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02"/>
  <workbookPr codeName="ThisWorkbook"/>
  <mc:AlternateContent xmlns:mc="http://schemas.openxmlformats.org/markup-compatibility/2006">
    <mc:Choice Requires="x15">
      <x15ac:absPath xmlns:x15ac="http://schemas.microsoft.com/office/spreadsheetml/2010/11/ac" url="C:\Users\PanMar\Downloads\"/>
    </mc:Choice>
  </mc:AlternateContent>
  <xr:revisionPtr revIDLastSave="4" documentId="11_3DDF4F704B8FF03B3B9C70309CB5AF563C421357" xr6:coauthVersionLast="47" xr6:coauthVersionMax="47" xr10:uidLastSave="{920F03CF-3A95-4472-8AC7-9A833AD971AA}"/>
  <bookViews>
    <workbookView xWindow="0" yWindow="0" windowWidth="14380" windowHeight="4650" xr2:uid="{00000000-000D-0000-FFFF-FFFF00000000}"/>
  </bookViews>
  <sheets>
    <sheet name="FY2018" sheetId="1" r:id="rId1"/>
  </sheets>
  <definedNames>
    <definedName name="_xlnm._FilterDatabase" localSheetId="0" hidden="1">'FY2018'!$A$9:$AZ$6369</definedName>
    <definedName name="A1a3991">'FY2018'!$A$4</definedName>
    <definedName name="Eyoas">'FY2018'!$M$6150</definedName>
    <definedName name="Z_4ED59AE7_2B13_4519_853E_B1A779B91DEC_.wvu.FilterData" localSheetId="0" hidden="1">'FY2018'!$A$9:$W$12</definedName>
    <definedName name="Z_53E84CB6_49EF_4026_A1BD_2E0AD56DB957_.wvu.FilterData" localSheetId="0" hidden="1">'FY2018'!$A$4:$A$5</definedName>
    <definedName name="Z_DA7C584E_10B5_4B11_A8CE_B2B25DB5E0E3_.wvu.FilterData" localSheetId="0" hidden="1">'FY2018'!$A$9:$X$12</definedName>
  </definedNames>
  <calcPr calcId="191028"/>
  <customWorkbookViews>
    <customWorkbookView name="フィルタ 1" guid="{4ED59AE7-2B13-4519-853E-B1A779B91DEC}" maximized="1" windowWidth="0" windowHeight="0" activeSheetId="0"/>
    <customWorkbookView name="フィルタ 2" guid="{DA7C584E-10B5-4B11-A8CE-B2B25DB5E0E3}" maximized="1" windowWidth="0" windowHeight="0" activeSheetId="0"/>
    <customWorkbookView name="フィルタ 3" guid="{53E84CB6-49EF-4026-A1BD-2E0AD56DB95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6358" i="1" l="1"/>
  <c r="S6359" i="1"/>
  <c r="S6360" i="1"/>
  <c r="S6361" i="1"/>
  <c r="S6362" i="1"/>
  <c r="S6363" i="1"/>
  <c r="S6364" i="1"/>
  <c r="S6365" i="1"/>
  <c r="S6366" i="1"/>
  <c r="S6367" i="1"/>
  <c r="S6368" i="1"/>
  <c r="S6369" i="1"/>
  <c r="S6353" i="1"/>
  <c r="S6354" i="1"/>
  <c r="S6355" i="1"/>
  <c r="S6356" i="1"/>
  <c r="S6335" i="1"/>
  <c r="S6336" i="1"/>
  <c r="S6337" i="1"/>
  <c r="S6338" i="1"/>
  <c r="S6339" i="1"/>
  <c r="S6340" i="1"/>
  <c r="S6341" i="1"/>
  <c r="S6342" i="1"/>
  <c r="S6343" i="1"/>
  <c r="S6344" i="1"/>
  <c r="S6345" i="1"/>
  <c r="S6346" i="1"/>
  <c r="S6347" i="1"/>
  <c r="S6348" i="1"/>
  <c r="S6349" i="1"/>
  <c r="S6350" i="1"/>
  <c r="S6351" i="1"/>
  <c r="S6352" i="1"/>
  <c r="S6324" i="1"/>
  <c r="S6325" i="1"/>
  <c r="S6326" i="1"/>
  <c r="S6327" i="1"/>
  <c r="S6328" i="1"/>
  <c r="S6329" i="1"/>
  <c r="S6330" i="1"/>
  <c r="S6331" i="1"/>
  <c r="S6332" i="1"/>
  <c r="S6333" i="1"/>
  <c r="S6334" i="1"/>
  <c r="S6323" i="1"/>
  <c r="S6281" i="1"/>
  <c r="S6280" i="1"/>
  <c r="S6279" i="1"/>
  <c r="S6261" i="1"/>
  <c r="S6260" i="1"/>
  <c r="S6259" i="1"/>
  <c r="S6258" i="1"/>
  <c r="S6257" i="1"/>
  <c r="R6250" i="1"/>
  <c r="R6249" i="1"/>
  <c r="R6248" i="1"/>
  <c r="R6247" i="1"/>
  <c r="R6246" i="1"/>
  <c r="S6254" i="1"/>
  <c r="S6255" i="1"/>
  <c r="S6247" i="1"/>
  <c r="S6248" i="1"/>
  <c r="S6249" i="1"/>
  <c r="S6250" i="1"/>
  <c r="S6251" i="1"/>
  <c r="S6252" i="1"/>
  <c r="S6253" i="1"/>
  <c r="S6246" i="1"/>
  <c r="R6245" i="1"/>
  <c r="S6245" i="1" s="1"/>
  <c r="S6228" i="1"/>
  <c r="S6225" i="1"/>
  <c r="S6224" i="1"/>
  <c r="S6222" i="1"/>
  <c r="S6223" i="1"/>
  <c r="S6221" i="1"/>
  <c r="S6220" i="1"/>
  <c r="S6219" i="1"/>
  <c r="S6218" i="1"/>
  <c r="S6217" i="1"/>
  <c r="S6215" i="1"/>
  <c r="S6214" i="1"/>
  <c r="S6213" i="1"/>
  <c r="S6203" i="1"/>
  <c r="S6202" i="1"/>
  <c r="S6201" i="1"/>
  <c r="S6200" i="1"/>
  <c r="S6199" i="1"/>
  <c r="S6197" i="1"/>
  <c r="S6190" i="1"/>
  <c r="S6191" i="1"/>
  <c r="S6192" i="1"/>
  <c r="S6193" i="1"/>
  <c r="S6194" i="1"/>
  <c r="S6195" i="1"/>
  <c r="S6196" i="1"/>
  <c r="R6189" i="1"/>
  <c r="S6189" i="1" s="1"/>
  <c r="R6188" i="1"/>
  <c r="S6188" i="1" s="1"/>
  <c r="R6187" i="1"/>
  <c r="S6187" i="1" s="1"/>
  <c r="R6186" i="1"/>
  <c r="S6186" i="1" s="1"/>
  <c r="R6185" i="1"/>
  <c r="S6185" i="1" s="1"/>
  <c r="R6183" i="1"/>
  <c r="S6183" i="1" s="1"/>
  <c r="R6182" i="1"/>
  <c r="S6182" i="1" s="1"/>
  <c r="S6175" i="1"/>
  <c r="S6176" i="1"/>
  <c r="S6177" i="1"/>
  <c r="S6178" i="1"/>
  <c r="S6180" i="1"/>
  <c r="S6174" i="1"/>
  <c r="S6173" i="1"/>
  <c r="S6172" i="1"/>
  <c r="S6171" i="1"/>
  <c r="S6170" i="1"/>
  <c r="S6169" i="1"/>
  <c r="S6168" i="1"/>
  <c r="S6167" i="1"/>
  <c r="S6166" i="1"/>
  <c r="S6165" i="1"/>
  <c r="S6164" i="1"/>
  <c r="S6163" i="1"/>
  <c r="R6156" i="1"/>
  <c r="S6156" i="1" s="1"/>
  <c r="R6155" i="1"/>
  <c r="S6153" i="1"/>
  <c r="S6152" i="1"/>
  <c r="S6151" i="1"/>
  <c r="S6136" i="1"/>
  <c r="S6134" i="1"/>
  <c r="S6135" i="1"/>
  <c r="S6133" i="1"/>
  <c r="S6130" i="1"/>
  <c r="S6131" i="1"/>
  <c r="S6132" i="1"/>
  <c r="S6110" i="1"/>
  <c r="S6109" i="1"/>
  <c r="S6108" i="1"/>
  <c r="S6107" i="1"/>
  <c r="S6106" i="1"/>
  <c r="S6105" i="1"/>
  <c r="S6104" i="1"/>
  <c r="S6103" i="1"/>
  <c r="S6102" i="1"/>
  <c r="S6111" i="1"/>
  <c r="S6101" i="1"/>
  <c r="S6079" i="1"/>
  <c r="S6078" i="1"/>
  <c r="S6063" i="1"/>
  <c r="S6064" i="1"/>
  <c r="S6065" i="1"/>
  <c r="S6066" i="1"/>
  <c r="S6067" i="1"/>
  <c r="S6068" i="1"/>
  <c r="S6069" i="1"/>
  <c r="S6070" i="1"/>
  <c r="S6071" i="1"/>
  <c r="S6072" i="1"/>
  <c r="S6073" i="1"/>
  <c r="S6074" i="1"/>
  <c r="S6075" i="1"/>
  <c r="S6062" i="1"/>
  <c r="S6056" i="1"/>
  <c r="S6057" i="1"/>
  <c r="S6058" i="1"/>
  <c r="S6059" i="1"/>
  <c r="S6060" i="1"/>
  <c r="S6061" i="1"/>
  <c r="S6054" i="1"/>
  <c r="S6055" i="1"/>
  <c r="S6048" i="1"/>
  <c r="S6049" i="1"/>
  <c r="S6050" i="1"/>
  <c r="S6051" i="1"/>
  <c r="S6052" i="1"/>
  <c r="S6053" i="1"/>
  <c r="A6039" i="1"/>
  <c r="A6040" i="1" s="1"/>
  <c r="A6041" i="1" s="1"/>
  <c r="A6035" i="1"/>
  <c r="A6036" i="1" s="1"/>
  <c r="A6037" i="1" s="1"/>
  <c r="A6043" i="1"/>
  <c r="A6044" i="1" s="1"/>
  <c r="A6045" i="1" s="1"/>
  <c r="A6047" i="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4" i="1" s="1"/>
  <c r="A6085" i="1" s="1"/>
  <c r="A6086" i="1" s="1"/>
  <c r="A6087" i="1" s="1"/>
  <c r="A6088" i="1" s="1"/>
  <c r="A6089" i="1" s="1"/>
  <c r="A6090" i="1" s="1"/>
  <c r="A6091" i="1" s="1"/>
  <c r="A6092" i="1" s="1"/>
  <c r="A6093" i="1" s="1"/>
  <c r="A6094" i="1" s="1"/>
  <c r="A6095" i="1" s="1"/>
  <c r="A6096" i="1" s="1"/>
  <c r="A6097" i="1" s="1"/>
  <c r="A6098" i="1" s="1"/>
  <c r="S6036" i="1"/>
  <c r="S6037" i="1"/>
  <c r="S6038" i="1"/>
  <c r="S6039" i="1"/>
  <c r="S6040" i="1"/>
  <c r="S6041" i="1"/>
  <c r="S6042" i="1"/>
  <c r="S6043" i="1"/>
  <c r="S6044" i="1"/>
  <c r="S6045" i="1"/>
  <c r="S6046" i="1"/>
  <c r="S6035" i="1"/>
  <c r="S6029" i="1"/>
  <c r="S6025" i="1"/>
  <c r="S6018" i="1"/>
  <c r="S6019" i="1"/>
  <c r="S6020" i="1"/>
  <c r="S6021" i="1"/>
  <c r="S6022" i="1"/>
  <c r="S6023" i="1"/>
  <c r="S6024" i="1"/>
  <c r="S6026" i="1"/>
  <c r="S6027" i="1"/>
  <c r="S6028" i="1"/>
  <c r="S6017" i="1"/>
  <c r="S6009" i="1"/>
  <c r="S6010" i="1"/>
  <c r="S6011" i="1"/>
  <c r="S6012" i="1"/>
  <c r="S6013" i="1"/>
  <c r="S6014" i="1"/>
  <c r="S6015" i="1"/>
  <c r="S6016" i="1"/>
  <c r="S6001" i="1"/>
  <c r="S6002" i="1"/>
  <c r="S6003" i="1"/>
  <c r="S5991" i="1"/>
  <c r="S5992" i="1"/>
  <c r="S5982" i="1"/>
  <c r="S5975" i="1"/>
  <c r="S5979" i="1"/>
  <c r="S5972" i="1"/>
  <c r="S5956" i="1"/>
  <c r="S5905" i="1"/>
  <c r="Q5905"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06" i="1"/>
  <c r="S5902" i="1"/>
  <c r="S5887" i="1"/>
  <c r="S5885" i="1"/>
  <c r="S5884" i="1"/>
  <c r="S5883" i="1"/>
  <c r="S5882" i="1"/>
  <c r="S5880" i="1"/>
  <c r="S5866" i="1"/>
  <c r="S5864" i="1"/>
  <c r="S5863" i="1"/>
  <c r="Q5817" i="1"/>
  <c r="Q5805" i="1"/>
  <c r="Q5801" i="1"/>
  <c r="S5801" i="1"/>
  <c r="S5800" i="1"/>
  <c r="Q5800" i="1"/>
  <c r="Q5804" i="1"/>
  <c r="Q5803" i="1"/>
  <c r="Q5802" i="1"/>
  <c r="A5798" i="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Q5799" i="1"/>
  <c r="Q5798" i="1"/>
  <c r="Q5797" i="1"/>
  <c r="Q5796" i="1"/>
  <c r="Q5795" i="1"/>
  <c r="Q5794" i="1"/>
  <c r="Q5793" i="1"/>
  <c r="Q5792" i="1"/>
  <c r="R5786" i="1"/>
  <c r="S5781" i="1"/>
  <c r="R5662" i="1"/>
  <c r="S5662" i="1" s="1"/>
  <c r="R5663" i="1"/>
  <c r="S5663" i="1" s="1"/>
  <c r="S5664" i="1"/>
  <c r="S5652" i="1"/>
  <c r="S5651" i="1"/>
  <c r="S5650" i="1"/>
  <c r="S5649" i="1"/>
  <c r="S5648" i="1"/>
  <c r="S5647" i="1"/>
  <c r="S5646" i="1"/>
  <c r="M5647" i="1"/>
  <c r="Q5630" i="1"/>
  <c r="S5615" i="1"/>
  <c r="S5609" i="1"/>
  <c r="S5610" i="1"/>
  <c r="S5611" i="1"/>
  <c r="S5616" i="1"/>
  <c r="S5617" i="1"/>
  <c r="S5618" i="1"/>
  <c r="S5600" i="1"/>
  <c r="S5573" i="1"/>
  <c r="S5537" i="1"/>
  <c r="S5514" i="1"/>
  <c r="S5515" i="1"/>
  <c r="S5516" i="1"/>
  <c r="S5518" i="1"/>
  <c r="S5510" i="1"/>
  <c r="S5509" i="1"/>
  <c r="S5503" i="1"/>
  <c r="S5505" i="1"/>
  <c r="S5504" i="1"/>
  <c r="R5473" i="1"/>
  <c r="R5474" i="1"/>
  <c r="S5474" i="1"/>
  <c r="S5475" i="1"/>
  <c r="S5476" i="1"/>
  <c r="S5477" i="1"/>
  <c r="S5478" i="1"/>
  <c r="S5479" i="1"/>
  <c r="S5480" i="1"/>
  <c r="S5481" i="1"/>
  <c r="S5482" i="1"/>
  <c r="S5483" i="1"/>
  <c r="S5502" i="1"/>
  <c r="S5506" i="1"/>
  <c r="S5507" i="1"/>
  <c r="S5508" i="1"/>
  <c r="S5511" i="1"/>
  <c r="S5512" i="1"/>
  <c r="S5513" i="1"/>
  <c r="S5521" i="1"/>
  <c r="S5522" i="1"/>
  <c r="S5523" i="1"/>
  <c r="S5524" i="1"/>
  <c r="S5525" i="1"/>
  <c r="S5528" i="1"/>
  <c r="S5529" i="1"/>
  <c r="S5530" i="1"/>
  <c r="S5531" i="1"/>
  <c r="S5532" i="1"/>
  <c r="S5534" i="1"/>
  <c r="S5535" i="1"/>
  <c r="S5536"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74" i="1"/>
  <c r="S5575" i="1"/>
  <c r="S5589" i="1"/>
  <c r="S5603" i="1"/>
  <c r="S5604" i="1"/>
  <c r="S5605" i="1"/>
  <c r="S5606" i="1"/>
  <c r="S5607" i="1"/>
  <c r="S5608" i="1"/>
  <c r="S5619" i="1"/>
  <c r="S5620" i="1"/>
  <c r="S5621" i="1"/>
  <c r="S5625" i="1"/>
  <c r="S5626" i="1"/>
  <c r="S5628" i="1"/>
  <c r="S5629" i="1"/>
  <c r="S5630" i="1"/>
  <c r="S5631" i="1"/>
  <c r="S5632" i="1"/>
  <c r="S5633" i="1"/>
  <c r="S5634" i="1"/>
  <c r="S5635" i="1"/>
  <c r="S5636" i="1"/>
  <c r="S5637" i="1"/>
  <c r="S5638" i="1"/>
  <c r="S5639" i="1"/>
  <c r="S5640" i="1"/>
  <c r="S5641" i="1"/>
  <c r="S5642" i="1"/>
  <c r="S5643" i="1"/>
  <c r="S5644" i="1"/>
  <c r="S5645" i="1"/>
  <c r="S5661" i="1"/>
  <c r="S5665" i="1"/>
  <c r="S5666" i="1"/>
  <c r="S5667" i="1"/>
  <c r="S5668" i="1"/>
  <c r="S5669" i="1"/>
  <c r="S5670" i="1"/>
  <c r="S5673" i="1"/>
  <c r="S5674" i="1"/>
  <c r="S5675" i="1"/>
  <c r="S5676" i="1"/>
  <c r="S5677" i="1"/>
  <c r="S5678" i="1"/>
  <c r="S5679" i="1"/>
  <c r="S5680" i="1"/>
  <c r="S5681" i="1"/>
  <c r="S5682" i="1"/>
  <c r="S5683" i="1"/>
  <c r="S5684" i="1"/>
  <c r="S5685" i="1"/>
  <c r="S5686" i="1"/>
  <c r="S5687" i="1"/>
  <c r="S5688" i="1"/>
  <c r="S5689" i="1"/>
  <c r="S5690" i="1"/>
  <c r="S5691" i="1"/>
  <c r="S5699" i="1"/>
  <c r="S5700" i="1"/>
  <c r="S5758" i="1"/>
  <c r="S5759" i="1"/>
  <c r="S5760" i="1"/>
  <c r="S5761" i="1"/>
  <c r="S5763" i="1"/>
  <c r="S5764" i="1"/>
  <c r="S5765" i="1"/>
  <c r="S5766" i="1"/>
  <c r="S5767" i="1"/>
  <c r="S5768" i="1"/>
  <c r="S5769" i="1"/>
  <c r="S5775" i="1"/>
  <c r="S5776" i="1"/>
  <c r="S5777" i="1"/>
  <c r="S5778" i="1"/>
  <c r="S5779" i="1"/>
  <c r="S5780" i="1"/>
  <c r="S5782" i="1"/>
  <c r="S5785" i="1"/>
  <c r="S5786" i="1"/>
  <c r="S5787" i="1"/>
  <c r="S5791" i="1"/>
  <c r="S5792" i="1"/>
  <c r="S5793" i="1"/>
  <c r="S5794" i="1"/>
  <c r="S5795" i="1"/>
  <c r="S5796" i="1"/>
  <c r="S5797" i="1"/>
  <c r="S5798" i="1"/>
  <c r="S5799" i="1"/>
  <c r="S5802" i="1"/>
  <c r="S5803" i="1"/>
  <c r="S5804" i="1"/>
  <c r="S5813" i="1"/>
  <c r="S5814" i="1"/>
  <c r="S5815" i="1"/>
  <c r="S5816" i="1"/>
  <c r="S5819" i="1"/>
  <c r="S5821" i="1"/>
  <c r="S5822" i="1"/>
  <c r="S5823" i="1"/>
  <c r="S5824" i="1"/>
  <c r="S5825" i="1"/>
  <c r="S5826" i="1"/>
  <c r="S5827" i="1"/>
  <c r="S5828" i="1"/>
  <c r="S5829" i="1"/>
  <c r="S5830" i="1"/>
  <c r="S5831" i="1"/>
  <c r="S5832" i="1"/>
  <c r="S5833" i="1"/>
  <c r="S5834" i="1"/>
  <c r="S5835" i="1"/>
  <c r="S5836" i="1"/>
  <c r="S5838" i="1"/>
  <c r="S5839" i="1"/>
  <c r="S5840" i="1"/>
  <c r="S5841" i="1"/>
  <c r="S5842" i="1"/>
  <c r="S5843" i="1"/>
  <c r="S5844" i="1"/>
  <c r="S5845" i="1"/>
  <c r="S5846" i="1"/>
  <c r="S5847" i="1"/>
  <c r="S5848" i="1"/>
  <c r="S5849" i="1"/>
  <c r="S5850" i="1"/>
  <c r="S5851" i="1"/>
  <c r="S5852" i="1"/>
  <c r="S5853" i="1"/>
  <c r="S5854" i="1"/>
  <c r="S5855" i="1"/>
  <c r="S5856" i="1"/>
  <c r="S5857" i="1"/>
  <c r="S5860" i="1"/>
  <c r="S5861" i="1"/>
  <c r="S5862" i="1"/>
  <c r="S5865" i="1"/>
  <c r="S5873" i="1"/>
  <c r="S5874" i="1"/>
  <c r="S5875" i="1"/>
  <c r="S5876" i="1"/>
  <c r="S5877" i="1"/>
  <c r="S5878" i="1"/>
  <c r="S5879" i="1"/>
  <c r="S5886" i="1"/>
  <c r="S5888" i="1"/>
  <c r="S5889" i="1"/>
  <c r="S5890" i="1"/>
  <c r="S5896" i="1"/>
  <c r="S5897" i="1"/>
  <c r="S5898" i="1"/>
  <c r="S5899" i="1"/>
  <c r="S5900" i="1"/>
  <c r="S5901" i="1"/>
  <c r="S5903" i="1"/>
  <c r="S5904"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7" i="1"/>
  <c r="S5958" i="1"/>
  <c r="S5959" i="1"/>
  <c r="S5960" i="1"/>
  <c r="S5961" i="1"/>
  <c r="S5962" i="1"/>
  <c r="S5963" i="1"/>
  <c r="S5964" i="1"/>
  <c r="S5965" i="1"/>
  <c r="S5966" i="1"/>
  <c r="S5967" i="1"/>
  <c r="S5968" i="1"/>
  <c r="S5969" i="1"/>
  <c r="S5971" i="1"/>
  <c r="S5973" i="1"/>
  <c r="S5974" i="1"/>
  <c r="S5976" i="1"/>
  <c r="S5977" i="1"/>
  <c r="S5978" i="1"/>
  <c r="S5980" i="1"/>
  <c r="S5981" i="1"/>
  <c r="S5983" i="1"/>
  <c r="S5984" i="1"/>
  <c r="S5985" i="1"/>
  <c r="S5986" i="1"/>
  <c r="S5987" i="1"/>
  <c r="S5988" i="1"/>
  <c r="S5989" i="1"/>
  <c r="S5990" i="1"/>
  <c r="S5993" i="1"/>
  <c r="S5994" i="1"/>
  <c r="S5995" i="1"/>
  <c r="S5997" i="1"/>
  <c r="S5998" i="1"/>
  <c r="S5999" i="1"/>
  <c r="S6000" i="1"/>
  <c r="S5473"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45" i="1"/>
  <c r="S5446" i="1"/>
  <c r="S5443" i="1"/>
  <c r="S5444" i="1"/>
  <c r="S5421" i="1"/>
  <c r="S5420" i="1"/>
  <c r="S5419" i="1"/>
  <c r="S5414" i="1"/>
  <c r="S5418" i="1"/>
  <c r="S5417" i="1"/>
  <c r="S5416" i="1"/>
  <c r="S5415" i="1"/>
  <c r="S5412" i="1"/>
  <c r="S5411" i="1"/>
  <c r="S5410" i="1"/>
  <c r="S5409" i="1"/>
  <c r="S5408" i="1"/>
  <c r="S5407" i="1"/>
  <c r="S5403" i="1"/>
  <c r="S5402" i="1"/>
  <c r="S5399" i="1"/>
  <c r="S5398" i="1"/>
  <c r="S5397" i="1"/>
  <c r="S5396" i="1"/>
  <c r="S5393" i="1"/>
  <c r="S5394" i="1"/>
  <c r="S5392" i="1"/>
  <c r="S5367" i="1"/>
  <c r="S5366" i="1"/>
  <c r="S5365" i="1"/>
  <c r="S5356" i="1"/>
  <c r="S5355" i="1"/>
  <c r="Q5322" i="1"/>
  <c r="S5322" i="1"/>
  <c r="S5321" i="1"/>
  <c r="S5318" i="1"/>
  <c r="S5317" i="1"/>
  <c r="S5316" i="1"/>
  <c r="S5315" i="1"/>
  <c r="S5308" i="1"/>
  <c r="S5289" i="1"/>
  <c r="S5288" i="1"/>
  <c r="S5287" i="1"/>
  <c r="S5280" i="1"/>
  <c r="S5275" i="1"/>
  <c r="S5277" i="1"/>
  <c r="S5276" i="1"/>
  <c r="S5273" i="1"/>
  <c r="S5268" i="1"/>
  <c r="S5267" i="1"/>
  <c r="S5266" i="1"/>
  <c r="S5252" i="1"/>
  <c r="S5251" i="1"/>
  <c r="S5250" i="1"/>
  <c r="S5249" i="1"/>
  <c r="S5243" i="1"/>
  <c r="S5244" i="1"/>
  <c r="S5245" i="1"/>
  <c r="S5247" i="1"/>
  <c r="S5248" i="1"/>
  <c r="S5246" i="1"/>
  <c r="S5242" i="1"/>
  <c r="R5101" i="1"/>
  <c r="S5237" i="1"/>
  <c r="S5236" i="1"/>
  <c r="S5235" i="1"/>
  <c r="S5234" i="1"/>
  <c r="S5229" i="1"/>
  <c r="S5227" i="1"/>
  <c r="S5228" i="1"/>
  <c r="S5226" i="1"/>
  <c r="S5225" i="1"/>
  <c r="S5224" i="1"/>
  <c r="S5223" i="1"/>
  <c r="S5221" i="1"/>
  <c r="S5220" i="1"/>
  <c r="S5219" i="1"/>
  <c r="S5218" i="1"/>
  <c r="S5217" i="1"/>
  <c r="S5215" i="1"/>
  <c r="S5214" i="1"/>
  <c r="S5213" i="1"/>
  <c r="S5211" i="1"/>
  <c r="S5212" i="1"/>
  <c r="S5210" i="1"/>
  <c r="S5209" i="1"/>
  <c r="Q4797" i="1"/>
  <c r="S5206" i="1"/>
  <c r="S5207" i="1"/>
  <c r="S5204" i="1"/>
  <c r="S5190" i="1"/>
  <c r="S5191" i="1"/>
  <c r="S5189" i="1"/>
  <c r="S5188" i="1"/>
  <c r="S5187" i="1"/>
  <c r="S5186" i="1"/>
  <c r="S5185" i="1"/>
  <c r="S5184" i="1"/>
  <c r="S5183" i="1"/>
  <c r="S5182" i="1"/>
  <c r="S5170" i="1"/>
  <c r="S5167" i="1"/>
  <c r="S5109" i="1"/>
  <c r="S5112" i="1"/>
  <c r="S5146" i="1"/>
  <c r="S5143" i="1"/>
  <c r="S5136" i="1"/>
  <c r="S5135" i="1"/>
  <c r="S5111" i="1"/>
  <c r="S5110" i="1"/>
  <c r="S5106" i="1"/>
  <c r="S5105" i="1"/>
  <c r="S5104" i="1"/>
  <c r="S5103" i="1"/>
  <c r="A5104" i="1"/>
  <c r="A5105" i="1" s="1"/>
  <c r="A5106" i="1" s="1"/>
  <c r="A5107" i="1" s="1"/>
  <c r="A5108" i="1" s="1"/>
  <c r="S5102" i="1"/>
  <c r="S5101" i="1"/>
  <c r="S5100" i="1"/>
  <c r="S5081" i="1"/>
  <c r="S5080" i="1"/>
  <c r="S5098" i="1"/>
  <c r="S5097" i="1"/>
  <c r="S5076" i="1"/>
  <c r="S5077" i="1"/>
  <c r="S5075" i="1"/>
  <c r="S5074" i="1"/>
  <c r="R5073" i="1"/>
  <c r="S5073" i="1"/>
  <c r="R5072" i="1"/>
  <c r="S5072" i="1" s="1"/>
  <c r="S5070" i="1"/>
  <c r="S5071" i="1"/>
  <c r="S5069" i="1"/>
  <c r="S5064" i="1"/>
  <c r="S5063" i="1"/>
  <c r="O5060" i="1"/>
  <c r="S5043" i="1"/>
  <c r="S5042" i="1"/>
  <c r="S5041" i="1"/>
  <c r="S5032" i="1"/>
  <c r="S5033" i="1"/>
  <c r="S5019" i="1"/>
  <c r="S5020" i="1"/>
  <c r="S5018" i="1"/>
  <c r="S5017" i="1"/>
  <c r="S5014" i="1"/>
  <c r="S5015" i="1"/>
  <c r="S5016" i="1"/>
  <c r="S5026" i="1"/>
  <c r="S5022" i="1"/>
  <c r="S5023" i="1"/>
  <c r="S5024" i="1"/>
  <c r="S5025" i="1"/>
  <c r="S5021" i="1"/>
  <c r="S5011" i="1"/>
  <c r="S5010" i="1"/>
  <c r="S5012" i="1"/>
  <c r="S5013" i="1"/>
  <c r="S5009" i="1"/>
  <c r="S5008" i="1"/>
  <c r="S5007" i="1"/>
  <c r="S5003" i="1"/>
  <c r="S4995" i="1"/>
  <c r="S5002" i="1"/>
  <c r="S4996" i="1"/>
  <c r="S4997" i="1"/>
  <c r="S4998" i="1"/>
  <c r="S4999" i="1"/>
  <c r="S5000" i="1"/>
  <c r="S5001" i="1"/>
  <c r="S4993" i="1"/>
  <c r="S4992" i="1"/>
  <c r="S4991" i="1"/>
  <c r="Q4987" i="1"/>
  <c r="S4987" i="1"/>
  <c r="Q4986" i="1"/>
  <c r="S4986" i="1"/>
  <c r="S4985" i="1"/>
  <c r="S4981" i="1"/>
  <c r="S4982" i="1"/>
  <c r="S4983" i="1"/>
  <c r="S4984" i="1"/>
  <c r="S4980" i="1"/>
  <c r="R4979" i="1"/>
  <c r="R4945" i="1"/>
  <c r="S4938" i="1"/>
  <c r="S4927" i="1"/>
  <c r="S4926" i="1"/>
  <c r="S4925" i="1"/>
  <c r="S4924" i="1"/>
  <c r="S4923" i="1"/>
  <c r="S4922" i="1"/>
  <c r="S4920" i="1"/>
  <c r="S4921" i="1"/>
  <c r="S4919" i="1"/>
  <c r="S4918" i="1"/>
  <c r="R4917" i="1"/>
  <c r="S4917" i="1" s="1"/>
  <c r="S4915" i="1"/>
  <c r="S4916" i="1"/>
  <c r="S4913" i="1"/>
  <c r="S4914" i="1"/>
  <c r="S4911" i="1"/>
  <c r="S4912" i="1"/>
  <c r="S4910" i="1"/>
  <c r="S4909" i="1"/>
  <c r="M4909" i="1"/>
  <c r="S4900" i="1"/>
  <c r="S4899" i="1"/>
  <c r="S4898" i="1"/>
  <c r="S4890" i="1"/>
  <c r="S4891" i="1"/>
  <c r="S4892" i="1"/>
  <c r="S4893" i="1"/>
  <c r="S4894" i="1"/>
  <c r="S4895" i="1"/>
  <c r="S4896" i="1"/>
  <c r="S4897" i="1"/>
  <c r="S4901" i="1"/>
  <c r="S4889" i="1"/>
  <c r="S4888" i="1"/>
  <c r="S4886" i="1"/>
  <c r="S4887" i="1"/>
  <c r="S4885" i="1"/>
  <c r="S4814" i="1"/>
  <c r="S4815" i="1"/>
  <c r="S4816" i="1"/>
  <c r="S4817" i="1"/>
  <c r="S4813" i="1"/>
  <c r="S4812" i="1"/>
  <c r="S4811" i="1"/>
  <c r="S4810" i="1"/>
  <c r="S4809" i="1"/>
  <c r="S4808" i="1"/>
  <c r="S4804" i="1"/>
  <c r="S4803" i="1"/>
  <c r="S4802" i="1"/>
  <c r="S4801" i="1"/>
  <c r="S4800" i="1"/>
  <c r="S4798" i="1"/>
  <c r="S4797" i="1"/>
  <c r="S4796" i="1"/>
  <c r="Q4796" i="1"/>
  <c r="S4795" i="1"/>
  <c r="Q4795" i="1"/>
  <c r="S4783" i="1"/>
  <c r="S4776" i="1"/>
  <c r="S4704" i="1"/>
  <c r="S4768" i="1"/>
  <c r="S4767" i="1"/>
  <c r="S4766" i="1"/>
  <c r="S4765" i="1"/>
  <c r="S4763" i="1"/>
  <c r="S4764" i="1"/>
  <c r="S4762" i="1"/>
  <c r="S4761" i="1"/>
  <c r="S4751" i="1"/>
  <c r="S4750" i="1"/>
  <c r="S4735" i="1"/>
  <c r="S4734" i="1"/>
  <c r="S4707" i="1"/>
  <c r="S4700" i="1"/>
  <c r="Q4698" i="1"/>
  <c r="S4697" i="1"/>
  <c r="S4696" i="1"/>
  <c r="S4695" i="1"/>
  <c r="S4694" i="1"/>
  <c r="S4693" i="1"/>
  <c r="S4692" i="1"/>
  <c r="S4691" i="1"/>
  <c r="S4690" i="1"/>
  <c r="S4689" i="1"/>
  <c r="S4688" i="1"/>
  <c r="S4687" i="1"/>
  <c r="S4686" i="1"/>
  <c r="S4685" i="1"/>
  <c r="S4684" i="1"/>
  <c r="S4683" i="1"/>
  <c r="S4682" i="1"/>
  <c r="S4681" i="1"/>
  <c r="S4680" i="1"/>
  <c r="S4679" i="1"/>
  <c r="S4678" i="1"/>
  <c r="S4662" i="1"/>
  <c r="S4661" i="1"/>
  <c r="S4652" i="1"/>
  <c r="S4651" i="1"/>
  <c r="S4650" i="1"/>
  <c r="S4649" i="1"/>
  <c r="Q4649" i="1"/>
  <c r="S4640" i="1"/>
  <c r="S4635" i="1"/>
  <c r="S4634" i="1"/>
  <c r="S4631" i="1"/>
  <c r="S4630" i="1"/>
  <c r="S4629" i="1"/>
  <c r="S4628" i="1"/>
  <c r="S4627" i="1"/>
  <c r="S4626" i="1"/>
  <c r="S4625" i="1"/>
  <c r="S4624" i="1"/>
  <c r="S4622" i="1"/>
  <c r="Q4622" i="1"/>
  <c r="S4621" i="1"/>
  <c r="S4620" i="1"/>
  <c r="Q4620" i="1"/>
  <c r="S4619" i="1"/>
  <c r="Q4619" i="1"/>
  <c r="S4618" i="1"/>
  <c r="Q4618" i="1"/>
  <c r="S4617" i="1"/>
  <c r="Q4617" i="1"/>
  <c r="S4616" i="1"/>
  <c r="Q4616" i="1"/>
  <c r="S4615" i="1"/>
  <c r="Q4615" i="1"/>
  <c r="Q4614" i="1"/>
  <c r="Q4613" i="1"/>
  <c r="Q4612" i="1"/>
  <c r="S4605" i="1"/>
  <c r="S4604" i="1"/>
  <c r="S4603" i="1"/>
  <c r="S4601" i="1"/>
  <c r="S4600" i="1"/>
  <c r="S4599" i="1"/>
  <c r="S4598" i="1"/>
  <c r="S4597" i="1"/>
  <c r="S4596" i="1"/>
  <c r="S4595" i="1"/>
  <c r="S4594" i="1"/>
  <c r="S4550" i="1"/>
  <c r="S4549" i="1"/>
  <c r="S4548" i="1"/>
  <c r="S4547" i="1"/>
  <c r="S4546" i="1"/>
  <c r="Q4545" i="1"/>
  <c r="S4544" i="1"/>
  <c r="Q4544" i="1"/>
  <c r="S4543" i="1"/>
  <c r="Q4543" i="1"/>
  <c r="S4542" i="1"/>
  <c r="Q4542" i="1"/>
  <c r="S4541" i="1"/>
  <c r="Q4541" i="1"/>
  <c r="S4540" i="1"/>
  <c r="Q4540" i="1"/>
  <c r="S4539" i="1"/>
  <c r="Q4539" i="1"/>
  <c r="S4538" i="1"/>
  <c r="Q4538" i="1"/>
  <c r="S4537" i="1"/>
  <c r="Q4537" i="1"/>
  <c r="S4536" i="1"/>
  <c r="Q4536" i="1"/>
  <c r="S4498" i="1"/>
  <c r="S4495" i="1"/>
  <c r="S4494" i="1"/>
  <c r="S4485" i="1"/>
  <c r="S4483" i="1"/>
  <c r="S4482" i="1"/>
  <c r="S4480" i="1"/>
  <c r="S4475" i="1"/>
  <c r="S4455" i="1"/>
  <c r="A4452" i="1"/>
  <c r="Q4450" i="1"/>
  <c r="Q4449" i="1"/>
  <c r="Q4448" i="1"/>
  <c r="Q4447" i="1"/>
  <c r="Q4446" i="1"/>
  <c r="Q4445" i="1"/>
  <c r="Q4444" i="1"/>
  <c r="Q4443" i="1"/>
  <c r="Q4442" i="1"/>
  <c r="Q4441" i="1"/>
  <c r="Q4440" i="1"/>
  <c r="Q4439" i="1"/>
  <c r="Q4438" i="1"/>
  <c r="Q4437" i="1"/>
  <c r="Q4436" i="1"/>
  <c r="Q4435" i="1"/>
  <c r="Q4434" i="1"/>
  <c r="Q4433" i="1"/>
  <c r="Q4432" i="1"/>
  <c r="S4431" i="1"/>
  <c r="Q4431" i="1"/>
  <c r="Q4430" i="1"/>
  <c r="Q4429" i="1"/>
  <c r="Q4428" i="1"/>
  <c r="Q4427" i="1"/>
  <c r="Q4426" i="1"/>
  <c r="Q4425" i="1"/>
  <c r="Q4424" i="1"/>
  <c r="Q4423" i="1"/>
  <c r="S4419" i="1"/>
  <c r="S4392" i="1"/>
  <c r="S4391" i="1"/>
  <c r="S4390" i="1"/>
  <c r="S4389" i="1"/>
  <c r="S4388" i="1"/>
  <c r="S4387" i="1"/>
  <c r="S4386" i="1"/>
  <c r="S4365" i="1"/>
  <c r="S4364" i="1"/>
  <c r="S4363" i="1"/>
  <c r="S4362" i="1"/>
  <c r="S4361" i="1"/>
  <c r="S4339" i="1"/>
  <c r="S4338" i="1"/>
  <c r="S4337" i="1"/>
  <c r="S4331" i="1"/>
  <c r="R4330" i="1"/>
  <c r="S4330" i="1" s="1"/>
  <c r="S4329" i="1"/>
  <c r="Q4329" i="1"/>
  <c r="S4322" i="1"/>
  <c r="A4318" i="1"/>
  <c r="A4319" i="1" s="1"/>
  <c r="S4314" i="1"/>
  <c r="S4313" i="1"/>
  <c r="S4281" i="1"/>
  <c r="S4277" i="1"/>
  <c r="S4276" i="1"/>
  <c r="S4275" i="1"/>
  <c r="S4274" i="1"/>
  <c r="S4273" i="1"/>
  <c r="S4272" i="1"/>
  <c r="S4271" i="1"/>
  <c r="S4270" i="1"/>
  <c r="S4269" i="1"/>
  <c r="S4268" i="1"/>
  <c r="S4267" i="1"/>
  <c r="S4266" i="1"/>
  <c r="S4265" i="1"/>
  <c r="S4264" i="1"/>
  <c r="S4263" i="1"/>
  <c r="S4261" i="1"/>
  <c r="S4258" i="1"/>
  <c r="S4257" i="1"/>
  <c r="S4256" i="1"/>
  <c r="S4255" i="1"/>
  <c r="S4254" i="1"/>
  <c r="S4253" i="1"/>
  <c r="S4252" i="1"/>
  <c r="S4251" i="1"/>
  <c r="S4219" i="1"/>
  <c r="Q4219" i="1"/>
  <c r="S4218" i="1"/>
  <c r="S4217" i="1"/>
  <c r="S4216" i="1"/>
  <c r="S4215" i="1"/>
  <c r="S4214" i="1"/>
  <c r="S4213" i="1"/>
  <c r="S4210" i="1"/>
  <c r="S4209" i="1"/>
  <c r="S4208" i="1"/>
  <c r="S4207" i="1"/>
  <c r="S4206" i="1"/>
  <c r="S4205" i="1"/>
  <c r="S4204" i="1"/>
  <c r="S4203" i="1"/>
  <c r="S4202" i="1"/>
  <c r="S4201" i="1"/>
  <c r="R4200" i="1"/>
  <c r="S4200" i="1"/>
  <c r="S4198" i="1"/>
  <c r="S4197" i="1"/>
  <c r="S4196" i="1"/>
  <c r="S4177" i="1"/>
  <c r="Q4177" i="1"/>
  <c r="S4176" i="1"/>
  <c r="S4175" i="1"/>
  <c r="S4174" i="1"/>
  <c r="S4173" i="1"/>
  <c r="S4158" i="1"/>
  <c r="S4150" i="1"/>
  <c r="S4090" i="1"/>
  <c r="S4089" i="1"/>
  <c r="S4088" i="1"/>
  <c r="S4087" i="1"/>
  <c r="S4086" i="1"/>
  <c r="S4085" i="1"/>
  <c r="S4078" i="1"/>
  <c r="S4077" i="1"/>
  <c r="S4075" i="1"/>
  <c r="S4074" i="1"/>
  <c r="S4067" i="1"/>
  <c r="S4066" i="1"/>
  <c r="S4065" i="1"/>
  <c r="S4064" i="1"/>
  <c r="S4063" i="1"/>
  <c r="S4062" i="1"/>
  <c r="S4061" i="1"/>
  <c r="S4060" i="1"/>
  <c r="S4059" i="1"/>
  <c r="S4041" i="1"/>
  <c r="S4040" i="1"/>
  <c r="S4039" i="1"/>
  <c r="S4038"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08" i="1"/>
  <c r="Q4008" i="1"/>
  <c r="S3994" i="1"/>
  <c r="S3989" i="1"/>
  <c r="S3988" i="1"/>
  <c r="S3987" i="1"/>
  <c r="S3986" i="1"/>
  <c r="S3985" i="1"/>
  <c r="S3983" i="1"/>
  <c r="S3982" i="1"/>
  <c r="S3967" i="1"/>
  <c r="S3966" i="1"/>
  <c r="S3965" i="1"/>
  <c r="S3964" i="1"/>
  <c r="S3940" i="1"/>
  <c r="S3939" i="1"/>
  <c r="S3938" i="1"/>
  <c r="S3937" i="1"/>
  <c r="S3936" i="1"/>
  <c r="S3935" i="1"/>
  <c r="S3934" i="1"/>
  <c r="S3933" i="1"/>
  <c r="S3932" i="1"/>
  <c r="R3931" i="1"/>
  <c r="S3931" i="1"/>
  <c r="S3920" i="1"/>
  <c r="S3919" i="1"/>
  <c r="S3918" i="1"/>
  <c r="S3917" i="1"/>
  <c r="S3916" i="1"/>
  <c r="S3914" i="1"/>
  <c r="S3911" i="1"/>
  <c r="S3910" i="1"/>
  <c r="S3909" i="1"/>
  <c r="S3908" i="1"/>
  <c r="S3907" i="1"/>
  <c r="S3906" i="1"/>
  <c r="S3905" i="1"/>
  <c r="S3904" i="1"/>
  <c r="S3903" i="1"/>
  <c r="S3902" i="1"/>
  <c r="S3901" i="1"/>
  <c r="S3900" i="1"/>
  <c r="S3899" i="1"/>
  <c r="S3897" i="1"/>
  <c r="S3891" i="1"/>
  <c r="S3881" i="1"/>
  <c r="S3880" i="1"/>
  <c r="S3879" i="1"/>
  <c r="S3878" i="1"/>
  <c r="S3877" i="1"/>
  <c r="S3876" i="1"/>
  <c r="S3838" i="1"/>
  <c r="S3824" i="1"/>
  <c r="S3823" i="1"/>
  <c r="S3822" i="1"/>
  <c r="S3817" i="1"/>
  <c r="Q3814" i="1"/>
  <c r="S3813" i="1"/>
  <c r="S3812" i="1"/>
  <c r="S3811" i="1"/>
  <c r="S3804" i="1"/>
  <c r="S3803" i="1"/>
  <c r="S3802" i="1"/>
  <c r="S3801" i="1"/>
  <c r="S3800" i="1"/>
  <c r="S3799" i="1"/>
  <c r="S3798" i="1"/>
  <c r="S3797" i="1"/>
  <c r="S3796" i="1"/>
  <c r="S3794" i="1"/>
  <c r="S3792" i="1"/>
  <c r="S3791" i="1"/>
  <c r="S3790" i="1"/>
  <c r="S3783" i="1"/>
  <c r="S3777" i="1"/>
  <c r="S3775" i="1"/>
  <c r="S3773" i="1"/>
  <c r="S3772" i="1"/>
  <c r="S3734" i="1"/>
  <c r="S3733" i="1"/>
  <c r="S3732" i="1"/>
  <c r="S3731" i="1"/>
  <c r="S3730" i="1"/>
  <c r="S3729" i="1"/>
  <c r="S3728" i="1"/>
  <c r="S3727" i="1"/>
  <c r="S3726" i="1"/>
  <c r="S3725" i="1"/>
  <c r="S3724" i="1"/>
  <c r="S3723" i="1"/>
  <c r="S3720" i="1"/>
  <c r="S3716" i="1"/>
  <c r="S3713" i="1"/>
  <c r="S3712" i="1"/>
  <c r="S3710" i="1"/>
  <c r="S3709" i="1"/>
  <c r="S3708" i="1"/>
  <c r="S3699" i="1"/>
  <c r="S3698" i="1"/>
  <c r="S3697" i="1"/>
  <c r="S3684" i="1"/>
  <c r="S3679"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54" i="1"/>
  <c r="S3550" i="1"/>
  <c r="S3547" i="1"/>
  <c r="S3535" i="1"/>
  <c r="S3534" i="1"/>
  <c r="S3533" i="1"/>
  <c r="S3532" i="1"/>
  <c r="S3531" i="1"/>
  <c r="S3530" i="1"/>
  <c r="S3529" i="1"/>
  <c r="S3528" i="1"/>
  <c r="S3527" i="1"/>
  <c r="S3525" i="1"/>
  <c r="S3524" i="1"/>
  <c r="S3523" i="1"/>
  <c r="S3522" i="1"/>
  <c r="S3521" i="1"/>
  <c r="S3520" i="1"/>
  <c r="S3519" i="1"/>
  <c r="S3518" i="1"/>
  <c r="S3517" i="1"/>
  <c r="S3501" i="1"/>
  <c r="Q3501" i="1"/>
  <c r="S3500" i="1"/>
  <c r="Q3500" i="1"/>
  <c r="S3499" i="1"/>
  <c r="Q3499" i="1"/>
  <c r="S3498" i="1"/>
  <c r="Q3498" i="1"/>
  <c r="S3497" i="1"/>
  <c r="Q3497" i="1"/>
  <c r="S3496" i="1"/>
  <c r="Q3496" i="1"/>
  <c r="S3495" i="1"/>
  <c r="Q3495" i="1"/>
  <c r="S3494" i="1"/>
  <c r="Q3494" i="1"/>
  <c r="S3488" i="1"/>
  <c r="S3487" i="1"/>
  <c r="S3486" i="1"/>
  <c r="S3485" i="1"/>
  <c r="S3484" i="1"/>
  <c r="S3470" i="1"/>
  <c r="S3468" i="1"/>
  <c r="S3467" i="1"/>
  <c r="S3466" i="1"/>
  <c r="S3465" i="1"/>
  <c r="S3462" i="1"/>
  <c r="S3461" i="1"/>
  <c r="S3459" i="1"/>
  <c r="S3458" i="1"/>
  <c r="S3457" i="1"/>
  <c r="S3456" i="1"/>
  <c r="S3455" i="1"/>
  <c r="S3454" i="1"/>
  <c r="S3453" i="1"/>
  <c r="S3452" i="1"/>
  <c r="S3451" i="1"/>
  <c r="S3450" i="1"/>
  <c r="S3449" i="1"/>
  <c r="S3448" i="1"/>
  <c r="S3447" i="1"/>
  <c r="S3446" i="1"/>
  <c r="S3445" i="1"/>
  <c r="S3444" i="1"/>
  <c r="S3439" i="1"/>
  <c r="S3438" i="1"/>
  <c r="S3437" i="1"/>
  <c r="S3436" i="1"/>
  <c r="S3421" i="1"/>
  <c r="S3408" i="1"/>
  <c r="S3407" i="1"/>
  <c r="S3406" i="1"/>
  <c r="S3405" i="1"/>
  <c r="S3400" i="1"/>
  <c r="S3389" i="1"/>
  <c r="S3388" i="1"/>
  <c r="S3387" i="1"/>
  <c r="Q3387" i="1"/>
  <c r="S3386" i="1"/>
  <c r="Q3386" i="1"/>
  <c r="S3385" i="1"/>
  <c r="Q3385" i="1"/>
  <c r="S3384" i="1"/>
  <c r="Q3384" i="1"/>
  <c r="S3383" i="1"/>
  <c r="Q3383" i="1"/>
  <c r="S3382" i="1"/>
  <c r="Q3382" i="1"/>
  <c r="S3381" i="1"/>
  <c r="Q3381" i="1"/>
  <c r="S3380" i="1"/>
  <c r="Q3380" i="1"/>
  <c r="S3379" i="1"/>
  <c r="Q3379" i="1"/>
  <c r="S3378" i="1"/>
  <c r="Q3378" i="1"/>
  <c r="S3377" i="1"/>
  <c r="Q3377" i="1"/>
  <c r="S3376" i="1"/>
  <c r="Q3376" i="1"/>
  <c r="S3375" i="1"/>
  <c r="Q3375" i="1"/>
  <c r="S3374" i="1"/>
  <c r="Q3374" i="1"/>
  <c r="S3373" i="1"/>
  <c r="Q3373" i="1"/>
  <c r="S3372" i="1"/>
  <c r="Q3372" i="1"/>
  <c r="S3371" i="1"/>
  <c r="Q3371" i="1"/>
  <c r="S3370" i="1"/>
  <c r="Q3370" i="1"/>
  <c r="S3369" i="1"/>
  <c r="Q3369" i="1"/>
  <c r="S3368" i="1"/>
  <c r="Q3368" i="1"/>
  <c r="S3367" i="1"/>
  <c r="Q3367" i="1"/>
  <c r="S3366" i="1"/>
  <c r="Q3366" i="1"/>
  <c r="S3365" i="1"/>
  <c r="Q3365" i="1"/>
  <c r="S3364" i="1"/>
  <c r="Q3364" i="1"/>
  <c r="S3363" i="1"/>
  <c r="Q3363" i="1"/>
  <c r="S3362" i="1"/>
  <c r="Q3362" i="1"/>
  <c r="S3361" i="1"/>
  <c r="Q3361" i="1"/>
  <c r="S3360" i="1"/>
  <c r="Q3360" i="1"/>
  <c r="S3358" i="1"/>
  <c r="S3357" i="1"/>
  <c r="S3356" i="1"/>
  <c r="S3355" i="1"/>
  <c r="S3354" i="1"/>
  <c r="S3346" i="1"/>
  <c r="S3345" i="1"/>
  <c r="S3344" i="1"/>
  <c r="S3343" i="1"/>
  <c r="N3341" i="1"/>
  <c r="R3341" i="1" s="1"/>
  <c r="S3334" i="1"/>
  <c r="S3330" i="1"/>
  <c r="S3325" i="1"/>
  <c r="S3320" i="1"/>
  <c r="S3319" i="1"/>
  <c r="R3316" i="1"/>
  <c r="A3313" i="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6" i="1" s="1"/>
  <c r="A3555"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6" i="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60" i="1"/>
  <c r="A4261" i="1" s="1"/>
  <c r="A4262" i="1" s="1"/>
  <c r="A4263" i="1" s="1"/>
  <c r="A4264" i="1" s="1"/>
  <c r="A4265" i="1" s="1"/>
  <c r="A4266" i="1" s="1"/>
  <c r="A4267" i="1" s="1"/>
  <c r="A4268" i="1" s="1"/>
  <c r="A4269" i="1" s="1"/>
  <c r="A4270" i="1" s="1"/>
  <c r="A4271" i="1" s="1"/>
  <c r="A4272" i="1" s="1"/>
  <c r="A4273" i="1" s="1"/>
  <c r="A4274" i="1" s="1"/>
  <c r="A4275" i="1" s="1"/>
  <c r="A4276" i="1" s="1"/>
  <c r="A4277" i="1" s="1"/>
  <c r="S3309" i="1"/>
  <c r="S3308" i="1"/>
  <c r="A3307" i="1"/>
  <c r="A3308" i="1" s="1"/>
  <c r="A3309" i="1" s="1"/>
  <c r="A3310" i="1" s="1"/>
  <c r="A3311" i="1" s="1"/>
  <c r="S3305" i="1"/>
  <c r="S3304" i="1"/>
  <c r="S3302" i="1"/>
  <c r="S3301" i="1"/>
  <c r="A3301" i="1"/>
  <c r="A3302" i="1" s="1"/>
  <c r="A3303" i="1" s="1"/>
  <c r="A3304" i="1" s="1"/>
  <c r="A3305" i="1" s="1"/>
  <c r="S3293" i="1"/>
  <c r="R3277" i="1"/>
  <c r="S3275" i="1"/>
  <c r="S3274" i="1"/>
  <c r="S3272" i="1"/>
  <c r="S3270" i="1"/>
  <c r="S3268" i="1"/>
  <c r="S3267" i="1"/>
  <c r="S3266" i="1"/>
  <c r="S3265" i="1"/>
  <c r="S3264" i="1"/>
  <c r="S3263" i="1"/>
  <c r="R3254" i="1"/>
  <c r="S3254" i="1"/>
  <c r="S3253" i="1"/>
  <c r="S3252" i="1"/>
  <c r="S3251" i="1"/>
  <c r="S3250" i="1"/>
  <c r="S3249" i="1"/>
  <c r="S3248" i="1"/>
  <c r="S3247" i="1"/>
  <c r="Q3247" i="1"/>
  <c r="S3246" i="1"/>
  <c r="S3245" i="1"/>
  <c r="S3244" i="1"/>
  <c r="S3243" i="1"/>
  <c r="S3242" i="1"/>
  <c r="S3241" i="1"/>
  <c r="S3240" i="1"/>
  <c r="S3239" i="1"/>
  <c r="S3238" i="1"/>
  <c r="S3237" i="1"/>
  <c r="S3236" i="1"/>
  <c r="S3235" i="1"/>
  <c r="S3234" i="1"/>
  <c r="S3233" i="1"/>
  <c r="S3232" i="1"/>
  <c r="S3204" i="1"/>
  <c r="S3203" i="1"/>
  <c r="S3201" i="1"/>
  <c r="S3200" i="1"/>
  <c r="S3199" i="1"/>
  <c r="N3199" i="1"/>
  <c r="R3199" i="1" s="1"/>
  <c r="N3198" i="1"/>
  <c r="R3198" i="1" s="1"/>
  <c r="N3197" i="1"/>
  <c r="R3197" i="1" s="1"/>
  <c r="N3196" i="1"/>
  <c r="R3196" i="1" s="1"/>
  <c r="N3195" i="1"/>
  <c r="R3195" i="1" s="1"/>
  <c r="R3194" i="1"/>
  <c r="N3193" i="1"/>
  <c r="R3193" i="1" s="1"/>
  <c r="N3192" i="1"/>
  <c r="R3192" i="1" s="1"/>
  <c r="N3191" i="1"/>
  <c r="R3191" i="1" s="1"/>
  <c r="N3190" i="1"/>
  <c r="R3190" i="1" s="1"/>
  <c r="N3189" i="1"/>
  <c r="R3189" i="1" s="1"/>
  <c r="N3188" i="1"/>
  <c r="R3188" i="1" s="1"/>
  <c r="N3187" i="1"/>
  <c r="R3187" i="1" s="1"/>
  <c r="N3186" i="1"/>
  <c r="R3186" i="1" s="1"/>
  <c r="N3185" i="1"/>
  <c r="R3185" i="1" s="1"/>
  <c r="N3184" i="1"/>
  <c r="R3184" i="1" s="1"/>
  <c r="N3183" i="1"/>
  <c r="R3183" i="1" s="1"/>
  <c r="S3156" i="1"/>
  <c r="S3155" i="1"/>
  <c r="Q3155" i="1"/>
  <c r="S3154" i="1"/>
  <c r="Q3154" i="1"/>
  <c r="S3153" i="1"/>
  <c r="Q3153" i="1"/>
  <c r="S3152" i="1"/>
  <c r="Q3152" i="1"/>
  <c r="S3151" i="1"/>
  <c r="Q3151" i="1"/>
  <c r="S3150" i="1"/>
  <c r="Q3150" i="1"/>
  <c r="S3149" i="1"/>
  <c r="Q3149" i="1"/>
  <c r="S3148" i="1"/>
  <c r="Q3148" i="1"/>
  <c r="S3147" i="1"/>
  <c r="Q3147" i="1"/>
  <c r="S3146" i="1"/>
  <c r="Q3146" i="1"/>
  <c r="S3145" i="1"/>
  <c r="Q3145" i="1"/>
  <c r="S3144" i="1"/>
  <c r="Q3144" i="1"/>
  <c r="S3143" i="1"/>
  <c r="Q3143" i="1"/>
  <c r="S3142" i="1"/>
  <c r="Q3142" i="1"/>
  <c r="S3141" i="1"/>
  <c r="Q3141" i="1"/>
  <c r="S3140" i="1"/>
  <c r="Q3140" i="1"/>
  <c r="S3139" i="1"/>
  <c r="Q3139" i="1"/>
  <c r="S3138" i="1"/>
  <c r="Q3138" i="1"/>
  <c r="S3137" i="1"/>
  <c r="Q3137" i="1"/>
  <c r="S3136" i="1"/>
  <c r="Q3136" i="1"/>
  <c r="S3135" i="1"/>
  <c r="Q3135" i="1"/>
  <c r="S3134" i="1"/>
  <c r="Q3134" i="1"/>
  <c r="S3133" i="1"/>
  <c r="Q3133" i="1"/>
  <c r="S3132" i="1"/>
  <c r="Q3132" i="1"/>
  <c r="S3131" i="1"/>
  <c r="Q3131" i="1"/>
  <c r="S3130" i="1"/>
  <c r="Q3130" i="1"/>
  <c r="S3129" i="1"/>
  <c r="Q3129" i="1"/>
  <c r="S3128" i="1"/>
  <c r="Q3128" i="1"/>
  <c r="S3127" i="1"/>
  <c r="Q3127" i="1"/>
  <c r="S3126" i="1"/>
  <c r="Q3126" i="1"/>
  <c r="S3125" i="1"/>
  <c r="Q3125" i="1"/>
  <c r="S3124" i="1"/>
  <c r="Q3124" i="1"/>
  <c r="S3123" i="1"/>
  <c r="Q3123" i="1"/>
  <c r="S3122" i="1"/>
  <c r="Q3122" i="1"/>
  <c r="S3121" i="1"/>
  <c r="Q3121" i="1"/>
  <c r="S3120" i="1"/>
  <c r="Q3120" i="1"/>
  <c r="S3119" i="1"/>
  <c r="Q3119" i="1"/>
  <c r="S3118" i="1"/>
  <c r="Q3118" i="1"/>
  <c r="S3117" i="1"/>
  <c r="Q3117" i="1"/>
  <c r="S3116" i="1"/>
  <c r="Q3116" i="1"/>
  <c r="S3115" i="1"/>
  <c r="Q3115" i="1"/>
  <c r="S3114" i="1"/>
  <c r="Q3114" i="1"/>
  <c r="S3113" i="1"/>
  <c r="Q3113" i="1"/>
  <c r="S3112" i="1"/>
  <c r="Q3112" i="1"/>
  <c r="S3111" i="1"/>
  <c r="Q3111" i="1"/>
  <c r="S3110" i="1"/>
  <c r="Q3110" i="1"/>
  <c r="S3109" i="1"/>
  <c r="Q3109" i="1"/>
  <c r="S3108" i="1"/>
  <c r="Q3108" i="1"/>
  <c r="S3107" i="1"/>
  <c r="Q3107" i="1"/>
  <c r="S3106" i="1"/>
  <c r="Q3106" i="1"/>
  <c r="S3105" i="1"/>
  <c r="Q3105" i="1"/>
  <c r="S3104" i="1"/>
  <c r="Q3104" i="1"/>
  <c r="S3103" i="1"/>
  <c r="Q3103" i="1"/>
  <c r="S3099" i="1"/>
  <c r="S3098" i="1"/>
  <c r="S3097" i="1"/>
  <c r="S3096" i="1"/>
  <c r="S3095" i="1"/>
  <c r="S3094" i="1"/>
  <c r="S3093" i="1"/>
  <c r="S3092" i="1"/>
  <c r="S3091" i="1"/>
  <c r="S3090" i="1"/>
  <c r="S3089" i="1"/>
  <c r="S3088" i="1"/>
  <c r="S3087" i="1"/>
  <c r="S3081" i="1"/>
  <c r="S3075" i="1"/>
  <c r="S3074" i="1"/>
  <c r="S3069" i="1"/>
  <c r="S3068" i="1"/>
  <c r="S3067" i="1"/>
  <c r="S3066" i="1"/>
  <c r="S3065" i="1"/>
  <c r="S3064" i="1"/>
  <c r="S3063" i="1"/>
  <c r="S3062" i="1"/>
  <c r="S3061" i="1"/>
  <c r="S3060" i="1"/>
  <c r="S3051" i="1"/>
  <c r="S3047" i="1"/>
  <c r="S3046" i="1"/>
  <c r="S3045" i="1"/>
  <c r="S3044" i="1"/>
  <c r="S3043" i="1"/>
  <c r="S3042" i="1"/>
  <c r="S3041" i="1"/>
  <c r="S3040" i="1"/>
  <c r="S3039" i="1"/>
  <c r="S3038" i="1"/>
  <c r="S3036" i="1"/>
  <c r="S3035" i="1"/>
  <c r="S3034" i="1"/>
  <c r="S3033" i="1"/>
  <c r="S3032" i="1"/>
  <c r="S3031" i="1"/>
  <c r="S3030" i="1"/>
  <c r="S3029" i="1"/>
  <c r="S3028" i="1"/>
  <c r="S3027" i="1"/>
  <c r="S3022" i="1"/>
  <c r="S3021" i="1"/>
  <c r="S3020" i="1"/>
  <c r="S3019" i="1"/>
  <c r="S3018" i="1"/>
  <c r="S3017" i="1"/>
  <c r="S3016" i="1"/>
  <c r="S3014" i="1"/>
  <c r="Q3014" i="1"/>
  <c r="S3013" i="1"/>
  <c r="Q3013" i="1"/>
  <c r="S3012" i="1"/>
  <c r="Q3012" i="1"/>
  <c r="S3011" i="1"/>
  <c r="Q3011" i="1"/>
  <c r="S3010" i="1"/>
  <c r="Q3010" i="1"/>
  <c r="S3009" i="1"/>
  <c r="Q3009" i="1"/>
  <c r="S3008" i="1"/>
  <c r="Q3008" i="1"/>
  <c r="S3007" i="1"/>
  <c r="Q3007" i="1"/>
  <c r="S3006" i="1"/>
  <c r="Q3006" i="1"/>
  <c r="S3005" i="1"/>
  <c r="Q3005" i="1"/>
  <c r="S3004" i="1"/>
  <c r="Q3004" i="1"/>
  <c r="S3003" i="1"/>
  <c r="Q3003" i="1"/>
  <c r="S3002" i="1"/>
  <c r="Q3002" i="1"/>
  <c r="S3001" i="1"/>
  <c r="Q3001" i="1"/>
  <c r="S3000" i="1"/>
  <c r="Q3000" i="1"/>
  <c r="S2999" i="1"/>
  <c r="Q2999" i="1"/>
  <c r="S2998" i="1"/>
  <c r="Q2998" i="1"/>
  <c r="S2997" i="1"/>
  <c r="Q2997" i="1"/>
  <c r="S2996" i="1"/>
  <c r="S2995" i="1"/>
  <c r="S2994" i="1"/>
  <c r="Q2994" i="1"/>
  <c r="S2993" i="1"/>
  <c r="Q2993" i="1"/>
  <c r="S2992" i="1"/>
  <c r="Q2992" i="1"/>
  <c r="S2991" i="1"/>
  <c r="Q2991" i="1"/>
  <c r="S2990" i="1"/>
  <c r="Q2990" i="1"/>
  <c r="S2989" i="1"/>
  <c r="Q2989" i="1"/>
  <c r="S2988" i="1"/>
  <c r="Q2988" i="1"/>
  <c r="Q2974" i="1"/>
  <c r="S2935" i="1"/>
  <c r="Q2935" i="1"/>
  <c r="S2934" i="1"/>
  <c r="Q2934" i="1"/>
  <c r="S2933" i="1"/>
  <c r="Q2933" i="1"/>
  <c r="S2932" i="1"/>
  <c r="Q2932" i="1"/>
  <c r="S2931" i="1"/>
  <c r="Q2931" i="1"/>
  <c r="S2930" i="1"/>
  <c r="Q2930" i="1"/>
  <c r="S2929" i="1"/>
  <c r="Q2929" i="1"/>
  <c r="S2927" i="1"/>
  <c r="Q2927" i="1"/>
  <c r="S2926" i="1"/>
  <c r="Q2926" i="1"/>
  <c r="S2925" i="1"/>
  <c r="Q2925" i="1"/>
  <c r="S2924" i="1"/>
  <c r="S2914" i="1"/>
  <c r="Q2914" i="1"/>
  <c r="S2913" i="1"/>
  <c r="Q2913" i="1"/>
  <c r="S2912" i="1"/>
  <c r="Q2912" i="1"/>
  <c r="S2905" i="1"/>
  <c r="Q2905" i="1"/>
  <c r="S2904" i="1"/>
  <c r="Q2904" i="1"/>
  <c r="S2903" i="1"/>
  <c r="Q2903" i="1"/>
  <c r="S2902" i="1"/>
  <c r="Q2902" i="1"/>
  <c r="S2901" i="1"/>
  <c r="Q2901" i="1"/>
  <c r="S2900" i="1"/>
  <c r="Q2900" i="1"/>
  <c r="S2899" i="1"/>
  <c r="Q2899" i="1"/>
  <c r="S2898" i="1"/>
  <c r="Q2898" i="1"/>
  <c r="S2897" i="1"/>
  <c r="Q2897" i="1"/>
  <c r="S2896" i="1"/>
  <c r="Q2896" i="1"/>
  <c r="S2895" i="1"/>
  <c r="Q2895" i="1"/>
  <c r="S2894" i="1"/>
  <c r="Q2894" i="1"/>
  <c r="S2893" i="1"/>
  <c r="Q2893" i="1"/>
  <c r="S2892" i="1"/>
  <c r="Q2892" i="1"/>
  <c r="S2891" i="1"/>
  <c r="Q2891" i="1"/>
  <c r="S2890" i="1"/>
  <c r="Q2890" i="1"/>
  <c r="S2889" i="1"/>
  <c r="S2888" i="1"/>
  <c r="Q2888" i="1"/>
  <c r="S2887" i="1"/>
  <c r="Q2887" i="1"/>
  <c r="S2886" i="1"/>
  <c r="S2885" i="1"/>
  <c r="S2883" i="1"/>
  <c r="S2882" i="1"/>
  <c r="Q2882" i="1"/>
  <c r="S2877" i="1"/>
  <c r="S2875" i="1"/>
  <c r="Q2875" i="1"/>
  <c r="Q2873" i="1"/>
  <c r="Q2872" i="1"/>
  <c r="Q2871" i="1"/>
  <c r="Q2870" i="1"/>
  <c r="Q2869" i="1"/>
  <c r="Q2868" i="1"/>
  <c r="Q2866" i="1"/>
  <c r="Q2865" i="1"/>
  <c r="Q2864" i="1"/>
  <c r="Q2863" i="1"/>
  <c r="Q2862" i="1"/>
  <c r="S2861" i="1"/>
  <c r="Q2861" i="1"/>
  <c r="S2860" i="1"/>
  <c r="Q2860" i="1"/>
  <c r="S2859" i="1"/>
  <c r="Q2859" i="1"/>
  <c r="S2858" i="1"/>
  <c r="Q2858" i="1"/>
  <c r="S2857" i="1"/>
  <c r="Q2857" i="1"/>
  <c r="Q2855" i="1"/>
  <c r="S2854" i="1"/>
  <c r="S2853" i="1"/>
  <c r="Q2852" i="1"/>
  <c r="S2850" i="1"/>
  <c r="Q2850" i="1"/>
  <c r="S2849" i="1"/>
  <c r="Q2849" i="1"/>
  <c r="Q2848" i="1"/>
  <c r="S2847" i="1"/>
  <c r="S2846" i="1"/>
  <c r="S2845" i="1"/>
  <c r="S2843" i="1"/>
  <c r="S2842" i="1"/>
  <c r="S2841" i="1"/>
  <c r="S2840" i="1"/>
  <c r="S2839" i="1"/>
  <c r="Q2839" i="1"/>
  <c r="S2838" i="1"/>
  <c r="S2837" i="1"/>
  <c r="S2836" i="1"/>
  <c r="S2835" i="1"/>
  <c r="S2834" i="1"/>
  <c r="S2833" i="1"/>
  <c r="S2832" i="1"/>
  <c r="Q2832" i="1"/>
  <c r="S2831" i="1"/>
  <c r="Q2831" i="1"/>
  <c r="S2830" i="1"/>
  <c r="Q2830" i="1"/>
  <c r="Q2829" i="1"/>
  <c r="Q2828" i="1"/>
  <c r="Q2827" i="1"/>
  <c r="Q2826" i="1"/>
  <c r="Q2825" i="1"/>
  <c r="Q2824" i="1"/>
  <c r="Q2823" i="1"/>
  <c r="Q2822" i="1"/>
  <c r="Q2821" i="1"/>
  <c r="Q2820" i="1"/>
  <c r="Q2819" i="1"/>
  <c r="S2818" i="1"/>
  <c r="Q2818" i="1"/>
  <c r="S2817" i="1"/>
  <c r="S2816" i="1"/>
  <c r="S2814" i="1"/>
  <c r="S2782" i="1"/>
  <c r="Q2782" i="1"/>
  <c r="S2781" i="1"/>
  <c r="Q2781" i="1"/>
  <c r="S2780" i="1"/>
  <c r="Q2780" i="1"/>
  <c r="S2779" i="1"/>
  <c r="Q2779" i="1"/>
  <c r="S2778" i="1"/>
  <c r="Q2778" i="1"/>
  <c r="S2777" i="1"/>
  <c r="Q2777" i="1"/>
  <c r="S2776" i="1"/>
  <c r="Q2776" i="1"/>
  <c r="S2775" i="1"/>
  <c r="Q2775" i="1"/>
  <c r="S2774" i="1"/>
  <c r="Q2774" i="1"/>
  <c r="S2773" i="1"/>
  <c r="Q2773" i="1"/>
  <c r="S2772" i="1"/>
  <c r="Q2772" i="1"/>
  <c r="S2771" i="1"/>
  <c r="Q2771" i="1"/>
  <c r="S2770" i="1"/>
  <c r="Q2770" i="1"/>
  <c r="S2769" i="1"/>
  <c r="Q2769" i="1"/>
  <c r="S2768" i="1"/>
  <c r="Q2768" i="1"/>
  <c r="S2767" i="1"/>
  <c r="Q2767" i="1"/>
  <c r="S2766" i="1"/>
  <c r="Q2766" i="1"/>
  <c r="S2765" i="1"/>
  <c r="Q2765" i="1"/>
  <c r="S2764" i="1"/>
  <c r="Q2764" i="1"/>
  <c r="S2763" i="1"/>
  <c r="Q2763" i="1"/>
  <c r="S2762" i="1"/>
  <c r="Q2762" i="1"/>
  <c r="S2761" i="1"/>
  <c r="Q2761" i="1"/>
  <c r="S2760" i="1"/>
  <c r="Q2760" i="1"/>
  <c r="S2759" i="1"/>
  <c r="Q2759" i="1"/>
  <c r="S2758" i="1"/>
  <c r="Q2758" i="1"/>
  <c r="S2757" i="1"/>
  <c r="Q2757" i="1"/>
  <c r="S2756" i="1"/>
  <c r="Q2756" i="1"/>
  <c r="S2755" i="1"/>
  <c r="Q2755" i="1"/>
  <c r="S2754" i="1"/>
  <c r="Q2754" i="1"/>
  <c r="S2753" i="1"/>
  <c r="Q2753" i="1"/>
  <c r="S2752" i="1"/>
  <c r="Q2752" i="1"/>
  <c r="S2751" i="1"/>
  <c r="Q2751" i="1"/>
  <c r="S2750" i="1"/>
  <c r="Q2750" i="1"/>
  <c r="S2749" i="1"/>
  <c r="Q2749" i="1"/>
  <c r="S2748" i="1"/>
  <c r="Q2748" i="1"/>
  <c r="S2747" i="1"/>
  <c r="Q2747" i="1"/>
  <c r="S2746" i="1"/>
  <c r="Q2746" i="1"/>
  <c r="S2745" i="1"/>
  <c r="Q2745" i="1"/>
  <c r="S2744" i="1"/>
  <c r="Q2744" i="1"/>
  <c r="S2743" i="1"/>
  <c r="Q2743" i="1"/>
  <c r="S2742" i="1"/>
  <c r="Q2742" i="1"/>
  <c r="S2741" i="1"/>
  <c r="Q2741" i="1"/>
  <c r="S2740" i="1"/>
  <c r="S2739" i="1"/>
  <c r="Q2739" i="1"/>
  <c r="S2738" i="1"/>
  <c r="Q2738" i="1"/>
  <c r="S2737" i="1"/>
  <c r="Q2737" i="1"/>
  <c r="S2736" i="1"/>
  <c r="Q2736" i="1"/>
  <c r="S2735" i="1"/>
  <c r="Q2735" i="1"/>
  <c r="S2734" i="1"/>
  <c r="Q2734" i="1"/>
  <c r="S2733" i="1"/>
  <c r="Q2733" i="1"/>
  <c r="S2732" i="1"/>
  <c r="Q2732" i="1"/>
  <c r="S2731" i="1"/>
  <c r="Q2731" i="1"/>
  <c r="S2730" i="1"/>
  <c r="Q2730" i="1"/>
  <c r="S2729" i="1"/>
  <c r="Q2729" i="1"/>
  <c r="S2728" i="1"/>
  <c r="Q2728" i="1"/>
  <c r="S2727" i="1"/>
  <c r="Q2727" i="1"/>
  <c r="S2726" i="1"/>
  <c r="Q2726" i="1"/>
  <c r="S2725" i="1"/>
  <c r="Q2725" i="1"/>
  <c r="Q2724" i="1"/>
  <c r="S2723" i="1"/>
  <c r="S2722" i="1"/>
  <c r="S2721" i="1"/>
  <c r="Q2721" i="1"/>
  <c r="S2699" i="1"/>
  <c r="S2698" i="1"/>
  <c r="S2697" i="1"/>
  <c r="Q2697" i="1"/>
  <c r="S2688" i="1"/>
  <c r="Q2688" i="1"/>
  <c r="S2687" i="1"/>
  <c r="Q2687" i="1"/>
  <c r="S2686" i="1"/>
  <c r="Q2686" i="1"/>
  <c r="S2685" i="1"/>
  <c r="Q2685" i="1"/>
  <c r="S2684" i="1"/>
  <c r="Q2684" i="1"/>
  <c r="S2683" i="1"/>
  <c r="Q2683" i="1"/>
  <c r="S2662" i="1"/>
  <c r="S2661" i="1"/>
  <c r="S2660" i="1"/>
  <c r="S2650" i="1"/>
  <c r="S2646" i="1"/>
  <c r="S2645" i="1"/>
  <c r="S2644" i="1"/>
  <c r="S2643" i="1"/>
  <c r="R2623" i="1"/>
  <c r="S2623" i="1" s="1"/>
  <c r="Q2622" i="1"/>
  <c r="S2619" i="1"/>
  <c r="Q2619" i="1"/>
  <c r="S2618" i="1"/>
  <c r="Q2618" i="1"/>
  <c r="S2616" i="1"/>
  <c r="S2615" i="1"/>
  <c r="S2614" i="1"/>
  <c r="S2613" i="1"/>
  <c r="S2611" i="1"/>
  <c r="Q2611" i="1"/>
  <c r="S2610" i="1"/>
  <c r="Q2610" i="1"/>
  <c r="S2609" i="1"/>
  <c r="Q2609" i="1"/>
  <c r="S2608" i="1"/>
  <c r="Q2608" i="1"/>
  <c r="S2607" i="1"/>
  <c r="Q2607" i="1"/>
  <c r="S2606" i="1"/>
  <c r="Q2606" i="1"/>
  <c r="S2605" i="1"/>
  <c r="Q2605" i="1"/>
  <c r="S2604" i="1"/>
  <c r="S2603" i="1"/>
  <c r="S2602" i="1"/>
  <c r="S2601" i="1"/>
  <c r="S2600" i="1"/>
  <c r="S2599" i="1"/>
  <c r="S2598" i="1"/>
  <c r="S2597" i="1"/>
  <c r="S2596" i="1"/>
  <c r="S2595" i="1"/>
  <c r="S2594" i="1"/>
  <c r="S2593" i="1"/>
  <c r="S2592" i="1"/>
  <c r="S2590" i="1"/>
  <c r="S2589" i="1"/>
  <c r="Q2589" i="1"/>
  <c r="Q2579" i="1"/>
  <c r="Q2578" i="1"/>
  <c r="S2577" i="1"/>
  <c r="Q2577" i="1"/>
  <c r="S2571" i="1"/>
  <c r="S2567" i="1"/>
  <c r="Q2567" i="1"/>
  <c r="S2566" i="1"/>
  <c r="Q2566" i="1"/>
  <c r="S2565" i="1"/>
  <c r="Q2565" i="1"/>
  <c r="S2564" i="1"/>
  <c r="Q2564" i="1"/>
  <c r="S2557" i="1"/>
  <c r="S2554" i="1"/>
  <c r="Q2554" i="1"/>
  <c r="S2553" i="1"/>
  <c r="Q2553" i="1"/>
  <c r="S2551" i="1"/>
  <c r="S2549" i="1"/>
  <c r="S2548" i="1"/>
  <c r="S2546" i="1"/>
  <c r="S2545" i="1"/>
  <c r="S2544" i="1"/>
  <c r="S2543" i="1"/>
  <c r="S2542" i="1"/>
  <c r="S2531" i="1"/>
  <c r="S2528" i="1"/>
  <c r="S2525" i="1"/>
  <c r="Q2525" i="1"/>
  <c r="S2524" i="1"/>
  <c r="Q2524" i="1"/>
  <c r="S2523" i="1"/>
  <c r="Q2523" i="1"/>
  <c r="S2522" i="1"/>
  <c r="S2521" i="1"/>
  <c r="S2511" i="1"/>
  <c r="S2506" i="1"/>
  <c r="S2505" i="1"/>
  <c r="S2441" i="1"/>
  <c r="S2440" i="1"/>
  <c r="R2436" i="1"/>
  <c r="R2435" i="1"/>
  <c r="R2434" i="1"/>
  <c r="R2433" i="1"/>
  <c r="R2432" i="1"/>
  <c r="S2424" i="1"/>
  <c r="S2423" i="1"/>
  <c r="S2422" i="1"/>
  <c r="S2421" i="1"/>
  <c r="S2420" i="1"/>
  <c r="S2419" i="1"/>
  <c r="S2418" i="1"/>
  <c r="Q2418" i="1"/>
  <c r="S2417" i="1"/>
  <c r="Q2417" i="1"/>
  <c r="Q2415" i="1"/>
  <c r="S2414" i="1"/>
  <c r="S2410" i="1"/>
  <c r="S2409" i="1"/>
  <c r="S2408" i="1"/>
  <c r="S2407" i="1"/>
  <c r="S2406" i="1"/>
  <c r="S2405" i="1"/>
  <c r="S2404" i="1"/>
  <c r="S2403" i="1"/>
  <c r="S2402" i="1"/>
  <c r="Q2402" i="1"/>
  <c r="S2401" i="1"/>
  <c r="Q2401" i="1"/>
  <c r="S2400" i="1"/>
  <c r="Q2400" i="1"/>
  <c r="S2399" i="1"/>
  <c r="Q2399" i="1"/>
  <c r="S2398" i="1"/>
  <c r="Q2398" i="1"/>
  <c r="S2397" i="1"/>
  <c r="Q2397" i="1"/>
  <c r="S2396" i="1"/>
  <c r="S2395" i="1"/>
  <c r="Q2395" i="1"/>
  <c r="S2394" i="1"/>
  <c r="Q2394" i="1"/>
  <c r="S2393" i="1"/>
  <c r="Q2393" i="1"/>
  <c r="S2392" i="1"/>
  <c r="Q2392" i="1"/>
  <c r="S2391" i="1"/>
  <c r="Q2391" i="1"/>
  <c r="S2390" i="1"/>
  <c r="Q2390" i="1"/>
  <c r="S2389" i="1"/>
  <c r="Q2389" i="1"/>
  <c r="S2388" i="1"/>
  <c r="Q2388" i="1"/>
  <c r="S2387" i="1"/>
  <c r="Q2387" i="1"/>
  <c r="S2386" i="1"/>
  <c r="Q2386" i="1"/>
  <c r="S2385" i="1"/>
  <c r="Q2385" i="1"/>
  <c r="S2384" i="1"/>
  <c r="Q2384" i="1"/>
  <c r="S2383" i="1"/>
  <c r="Q2383" i="1"/>
  <c r="S2382" i="1"/>
  <c r="Q2382" i="1"/>
  <c r="S2381" i="1"/>
  <c r="Q2381" i="1"/>
  <c r="S2380" i="1"/>
  <c r="Q2380" i="1"/>
  <c r="S2379" i="1"/>
  <c r="S2378" i="1"/>
  <c r="Q2378" i="1"/>
  <c r="S2377" i="1"/>
  <c r="Q2377" i="1"/>
  <c r="S2376" i="1"/>
  <c r="Q2376" i="1"/>
  <c r="S2375" i="1"/>
  <c r="Q2375" i="1"/>
  <c r="S2374" i="1"/>
  <c r="Q2374" i="1"/>
  <c r="S2373" i="1"/>
  <c r="Q2373" i="1"/>
  <c r="S2372" i="1"/>
  <c r="Q2372" i="1"/>
  <c r="S2371" i="1"/>
  <c r="Q2371" i="1"/>
  <c r="S2370" i="1"/>
  <c r="Q2370" i="1"/>
  <c r="S2369" i="1"/>
  <c r="Q2369" i="1"/>
  <c r="S2368" i="1"/>
  <c r="Q2368" i="1"/>
  <c r="S2367" i="1"/>
  <c r="Q2367" i="1"/>
  <c r="S2366" i="1"/>
  <c r="Q2366" i="1"/>
  <c r="S2365" i="1"/>
  <c r="Q2365" i="1"/>
  <c r="S2364" i="1"/>
  <c r="Q2364" i="1"/>
  <c r="S2363" i="1"/>
  <c r="Q2363" i="1"/>
  <c r="S2362" i="1"/>
  <c r="Q2362" i="1"/>
  <c r="S2361" i="1"/>
  <c r="Q2361" i="1"/>
  <c r="S2360" i="1"/>
  <c r="Q2360" i="1"/>
  <c r="S2359" i="1"/>
  <c r="Q2359" i="1"/>
  <c r="S2358" i="1"/>
  <c r="Q2358" i="1"/>
  <c r="S2357" i="1"/>
  <c r="Q2357" i="1"/>
  <c r="S2356" i="1"/>
  <c r="Q2356" i="1"/>
  <c r="S2355" i="1"/>
  <c r="Q2355" i="1"/>
  <c r="S2354" i="1"/>
  <c r="Q2354" i="1"/>
  <c r="S2353" i="1"/>
  <c r="Q2353" i="1"/>
  <c r="S2352" i="1"/>
  <c r="Q2352" i="1"/>
  <c r="S2351" i="1"/>
  <c r="Q2351" i="1"/>
  <c r="S2350" i="1"/>
  <c r="Q2350" i="1"/>
  <c r="S2325" i="1"/>
  <c r="S2324" i="1"/>
  <c r="S2323" i="1"/>
  <c r="Q2323" i="1"/>
  <c r="S2322" i="1"/>
  <c r="Q2322" i="1"/>
  <c r="S2321" i="1"/>
  <c r="Q2321" i="1"/>
  <c r="S2320" i="1"/>
  <c r="Q2320" i="1"/>
  <c r="S2319" i="1"/>
  <c r="Q2319" i="1"/>
  <c r="S2318" i="1"/>
  <c r="Q2318" i="1"/>
  <c r="S2317" i="1"/>
  <c r="Q2317" i="1"/>
  <c r="S2316" i="1"/>
  <c r="Q2316" i="1"/>
  <c r="S2315" i="1"/>
  <c r="Q2315" i="1"/>
  <c r="S2314" i="1"/>
  <c r="Q2314" i="1"/>
  <c r="S2313" i="1"/>
  <c r="S2312" i="1"/>
  <c r="S2311" i="1"/>
  <c r="S2310" i="1"/>
  <c r="S2309" i="1"/>
  <c r="S2308" i="1"/>
  <c r="S2307" i="1"/>
  <c r="S2306" i="1"/>
  <c r="S2305" i="1"/>
  <c r="S2304" i="1"/>
  <c r="S2303" i="1"/>
  <c r="S2300" i="1"/>
  <c r="S2299" i="1"/>
  <c r="S2298" i="1"/>
  <c r="S2297" i="1"/>
  <c r="Q2267" i="1"/>
  <c r="S2266" i="1"/>
  <c r="Q2266" i="1"/>
  <c r="S2265" i="1"/>
  <c r="Q2265" i="1"/>
  <c r="S2264" i="1"/>
  <c r="Q2264" i="1"/>
  <c r="S2263" i="1"/>
  <c r="Q2263" i="1"/>
  <c r="S2262" i="1"/>
  <c r="Q2262" i="1"/>
  <c r="S2261" i="1"/>
  <c r="Q2261" i="1"/>
  <c r="S2260" i="1"/>
  <c r="Q2260" i="1"/>
  <c r="S2259" i="1"/>
  <c r="Q2259" i="1"/>
  <c r="S2258" i="1"/>
  <c r="Q2258" i="1"/>
  <c r="S2257" i="1"/>
  <c r="Q2257" i="1"/>
  <c r="S2256" i="1"/>
  <c r="Q2256" i="1"/>
  <c r="S2255" i="1"/>
  <c r="Q2255" i="1"/>
  <c r="S2254" i="1"/>
  <c r="Q2254" i="1"/>
  <c r="S2250" i="1"/>
  <c r="S2232" i="1"/>
  <c r="S2231" i="1"/>
  <c r="S2223" i="1"/>
  <c r="S2202" i="1"/>
  <c r="S2201" i="1"/>
  <c r="S2197" i="1"/>
  <c r="S2193" i="1"/>
  <c r="S2164" i="1"/>
  <c r="S2161" i="1"/>
  <c r="S2159" i="1"/>
  <c r="S2154" i="1"/>
  <c r="S2135" i="1"/>
  <c r="S2103" i="1"/>
  <c r="S2102" i="1"/>
  <c r="S2101" i="1"/>
  <c r="S2100" i="1"/>
  <c r="S2099" i="1"/>
  <c r="S2098" i="1"/>
  <c r="S2097" i="1"/>
  <c r="S2096" i="1"/>
  <c r="S2095" i="1"/>
  <c r="S2094" i="1"/>
  <c r="S2093" i="1"/>
  <c r="S2092" i="1"/>
  <c r="S2091" i="1"/>
  <c r="W2083" i="1"/>
  <c r="W2082" i="1"/>
  <c r="W2081" i="1"/>
  <c r="W2080" i="1"/>
  <c r="W2079" i="1"/>
  <c r="W2078" i="1"/>
  <c r="W2077" i="1"/>
  <c r="W2076" i="1"/>
  <c r="W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38" i="1"/>
  <c r="S2037" i="1"/>
  <c r="S2035" i="1"/>
  <c r="Q2035" i="1"/>
  <c r="S2034" i="1"/>
  <c r="Q2034" i="1"/>
  <c r="S2033" i="1"/>
  <c r="S2032" i="1"/>
  <c r="S2031" i="1"/>
  <c r="S2030" i="1"/>
  <c r="S2029" i="1"/>
  <c r="S2028" i="1"/>
  <c r="S2027" i="1"/>
  <c r="S2026" i="1"/>
  <c r="S2025" i="1"/>
  <c r="R2018" i="1"/>
  <c r="S2018" i="1" s="1"/>
  <c r="R2017" i="1"/>
  <c r="S2017" i="1" s="1"/>
  <c r="S2016" i="1"/>
  <c r="S2015" i="1"/>
  <c r="S2014" i="1"/>
  <c r="S2013" i="1"/>
  <c r="S2012" i="1"/>
  <c r="S2011" i="1"/>
  <c r="S2010" i="1"/>
  <c r="S2009" i="1"/>
  <c r="S2008" i="1"/>
  <c r="S2002" i="1"/>
  <c r="R2001" i="1"/>
  <c r="R1996" i="1"/>
  <c r="S1994" i="1"/>
  <c r="S1993" i="1"/>
  <c r="S1992" i="1"/>
  <c r="S1991" i="1"/>
  <c r="S1990" i="1"/>
  <c r="S1989" i="1"/>
  <c r="S1988" i="1"/>
  <c r="S1987" i="1"/>
  <c r="S1986" i="1"/>
  <c r="S1985" i="1"/>
  <c r="S1984" i="1"/>
  <c r="S1983" i="1"/>
  <c r="S1982" i="1"/>
  <c r="S1981" i="1"/>
  <c r="S1980" i="1"/>
  <c r="S1979" i="1"/>
  <c r="S1978" i="1"/>
  <c r="S1946" i="1"/>
  <c r="S1945" i="1"/>
  <c r="S1944" i="1"/>
  <c r="S1942" i="1"/>
  <c r="S1908" i="1"/>
  <c r="S1907" i="1"/>
  <c r="S1906" i="1"/>
  <c r="S1905" i="1"/>
  <c r="S1904" i="1"/>
  <c r="S1899" i="1"/>
  <c r="S1898" i="1"/>
  <c r="S1896" i="1"/>
  <c r="S1895" i="1"/>
  <c r="S1894" i="1"/>
  <c r="S1892" i="1"/>
  <c r="Q1892" i="1"/>
  <c r="S1891" i="1"/>
  <c r="Q1891" i="1"/>
  <c r="S1890" i="1"/>
  <c r="Q1890" i="1"/>
  <c r="S1889" i="1"/>
  <c r="Q1889" i="1"/>
  <c r="S1887" i="1"/>
  <c r="S1886" i="1"/>
  <c r="S1885" i="1"/>
  <c r="S1884" i="1"/>
  <c r="S1883" i="1"/>
  <c r="S1882" i="1"/>
  <c r="S1881" i="1"/>
  <c r="S1880" i="1"/>
  <c r="S1879" i="1"/>
  <c r="S1878" i="1"/>
  <c r="S1877" i="1"/>
  <c r="S1876" i="1"/>
  <c r="S1874" i="1"/>
  <c r="Q1874" i="1"/>
  <c r="S1873" i="1"/>
  <c r="Q1873" i="1"/>
  <c r="S1872" i="1"/>
  <c r="Q1872" i="1"/>
  <c r="S1870" i="1"/>
  <c r="S1869" i="1"/>
  <c r="Q1869" i="1"/>
  <c r="S1868" i="1"/>
  <c r="Q1868" i="1"/>
  <c r="S1867" i="1"/>
  <c r="Q1867" i="1"/>
  <c r="S1866" i="1"/>
  <c r="Q1866" i="1"/>
  <c r="S1865" i="1"/>
  <c r="Q1865" i="1"/>
  <c r="S1864" i="1"/>
  <c r="Q1864" i="1"/>
  <c r="S1846" i="1"/>
  <c r="S1844" i="1"/>
  <c r="S1841" i="1"/>
  <c r="S1840" i="1"/>
  <c r="S1838" i="1"/>
  <c r="S1833" i="1"/>
  <c r="S1830" i="1"/>
  <c r="S1827" i="1"/>
  <c r="S1826" i="1"/>
  <c r="S1823" i="1"/>
  <c r="S1822" i="1"/>
  <c r="S1820" i="1"/>
  <c r="S1815" i="1"/>
  <c r="S1814" i="1"/>
  <c r="S1807" i="1"/>
  <c r="S1806" i="1"/>
  <c r="S1805" i="1"/>
  <c r="S1804" i="1"/>
  <c r="S1803" i="1"/>
  <c r="S1802" i="1"/>
  <c r="S1801" i="1"/>
  <c r="S1800" i="1"/>
  <c r="S1799" i="1"/>
  <c r="S1798" i="1"/>
  <c r="S1797" i="1"/>
  <c r="S1796" i="1"/>
  <c r="S1795" i="1"/>
  <c r="S1794" i="1"/>
  <c r="S1793" i="1"/>
  <c r="S1792" i="1"/>
  <c r="S1791" i="1"/>
  <c r="S1789" i="1"/>
  <c r="Q1789" i="1"/>
  <c r="S1788" i="1"/>
  <c r="Q1788" i="1"/>
  <c r="S1787" i="1"/>
  <c r="Q1787" i="1"/>
  <c r="S1786" i="1"/>
  <c r="Q1786" i="1"/>
  <c r="S1785" i="1"/>
  <c r="Q1785" i="1"/>
  <c r="S1784" i="1"/>
  <c r="Q1784" i="1"/>
  <c r="S1783" i="1"/>
  <c r="Q1783" i="1"/>
  <c r="S1782" i="1"/>
  <c r="Q1782" i="1"/>
  <c r="S1781" i="1"/>
  <c r="Q1781" i="1"/>
  <c r="S1780" i="1"/>
  <c r="Q1780" i="1"/>
  <c r="S1779" i="1"/>
  <c r="Q1779" i="1"/>
  <c r="S1778" i="1"/>
  <c r="S1777" i="1"/>
  <c r="S1776" i="1"/>
  <c r="S1775" i="1"/>
  <c r="S1774" i="1"/>
  <c r="S1773" i="1"/>
  <c r="S1772" i="1"/>
  <c r="S1771" i="1"/>
  <c r="S1770" i="1"/>
  <c r="S1769" i="1"/>
  <c r="S1768" i="1"/>
  <c r="S1767" i="1"/>
  <c r="S1766" i="1"/>
  <c r="S1765" i="1"/>
  <c r="S1764" i="1"/>
  <c r="S1763" i="1"/>
  <c r="S1762" i="1"/>
  <c r="S1761" i="1"/>
  <c r="S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2" i="1"/>
  <c r="W1710" i="1"/>
  <c r="W1709" i="1"/>
  <c r="W1706" i="1"/>
  <c r="W1704" i="1"/>
  <c r="R1692" i="1"/>
  <c r="Q1692" i="1"/>
  <c r="S1691" i="1"/>
  <c r="Q1691" i="1"/>
  <c r="S1690" i="1"/>
  <c r="S1689" i="1"/>
  <c r="S1688" i="1"/>
  <c r="Q1688" i="1"/>
  <c r="S1687" i="1"/>
  <c r="Q1687" i="1"/>
  <c r="S1686" i="1"/>
  <c r="Q1686" i="1"/>
  <c r="S1685" i="1"/>
  <c r="Q1685" i="1"/>
  <c r="S1684" i="1"/>
  <c r="Q1684" i="1"/>
  <c r="S1683" i="1"/>
  <c r="Q1683" i="1"/>
  <c r="S1682" i="1"/>
  <c r="Q1682" i="1"/>
  <c r="S1614" i="1"/>
  <c r="S1613" i="1"/>
  <c r="S1612" i="1"/>
  <c r="S1611" i="1"/>
  <c r="S1573" i="1"/>
  <c r="S1569" i="1"/>
  <c r="S1565" i="1"/>
  <c r="S1563" i="1"/>
  <c r="S1562" i="1"/>
  <c r="S1545" i="1"/>
  <c r="S1544" i="1"/>
  <c r="S1541" i="1"/>
  <c r="S1525" i="1"/>
  <c r="Q1525" i="1"/>
  <c r="S1524" i="1"/>
  <c r="Q1524" i="1"/>
  <c r="S1523" i="1"/>
  <c r="Q1523" i="1"/>
  <c r="S1522" i="1"/>
  <c r="Q1522" i="1"/>
  <c r="S1521" i="1"/>
  <c r="Q1521" i="1"/>
  <c r="S1520" i="1"/>
  <c r="Q1520" i="1"/>
  <c r="S1519" i="1"/>
  <c r="Q1519" i="1"/>
  <c r="S1518" i="1"/>
  <c r="Q1518" i="1"/>
  <c r="S1517" i="1"/>
  <c r="Q1517" i="1"/>
  <c r="S1516" i="1"/>
  <c r="Q1516" i="1"/>
  <c r="S1515" i="1"/>
  <c r="Q1515" i="1"/>
  <c r="S1514" i="1"/>
  <c r="Q1514" i="1"/>
  <c r="S1513" i="1"/>
  <c r="Q1513" i="1"/>
  <c r="S1512" i="1"/>
  <c r="Q1512" i="1"/>
  <c r="S1511" i="1"/>
  <c r="Q1511" i="1"/>
  <c r="S1510" i="1"/>
  <c r="Q1510" i="1"/>
  <c r="S1509" i="1"/>
  <c r="Q1509" i="1"/>
  <c r="S1508" i="1"/>
  <c r="Q1508" i="1"/>
  <c r="S1492" i="1"/>
  <c r="S1486" i="1"/>
  <c r="S1477" i="1"/>
  <c r="S1474" i="1"/>
  <c r="S1473" i="1"/>
  <c r="S1457" i="1"/>
  <c r="S1456" i="1"/>
  <c r="Q1456" i="1"/>
  <c r="S1455" i="1"/>
  <c r="S1452" i="1"/>
  <c r="S1451" i="1"/>
  <c r="S1450" i="1"/>
  <c r="S1449" i="1"/>
  <c r="S1448" i="1"/>
  <c r="S1447" i="1"/>
  <c r="S1446" i="1"/>
  <c r="S1445" i="1"/>
  <c r="S1440" i="1"/>
  <c r="S1439" i="1"/>
  <c r="Q1439" i="1"/>
  <c r="S1438" i="1"/>
  <c r="Q1438" i="1"/>
  <c r="S1437" i="1"/>
  <c r="S1436" i="1"/>
  <c r="S1435" i="1"/>
  <c r="S1434" i="1"/>
  <c r="S1433" i="1"/>
  <c r="S1431" i="1"/>
  <c r="S1397" i="1"/>
  <c r="S1396" i="1"/>
  <c r="S1383" i="1"/>
  <c r="Q1383" i="1"/>
  <c r="S1382" i="1"/>
  <c r="Q1382" i="1"/>
  <c r="S1381" i="1"/>
  <c r="Q1381" i="1"/>
  <c r="S1380" i="1"/>
  <c r="Q1380" i="1"/>
  <c r="S1379" i="1"/>
  <c r="Q1379" i="1"/>
  <c r="S1378" i="1"/>
  <c r="Q1378" i="1"/>
  <c r="S1377" i="1"/>
  <c r="Q1377" i="1"/>
  <c r="S1376" i="1"/>
  <c r="Q1376" i="1"/>
  <c r="S1375" i="1"/>
  <c r="Q1375" i="1"/>
  <c r="S1374" i="1"/>
  <c r="Q1374" i="1"/>
  <c r="S1373" i="1"/>
  <c r="Q1373" i="1"/>
  <c r="S1372" i="1"/>
  <c r="Q1372" i="1"/>
  <c r="S1371" i="1"/>
  <c r="S1366" i="1"/>
  <c r="S1365" i="1"/>
  <c r="S1364" i="1"/>
  <c r="S1363" i="1"/>
  <c r="S1362" i="1"/>
  <c r="S1361" i="1"/>
  <c r="S1360" i="1"/>
  <c r="S1359" i="1"/>
  <c r="S1358" i="1"/>
  <c r="S1357" i="1"/>
  <c r="S1356" i="1"/>
  <c r="S1355" i="1"/>
  <c r="S1354" i="1"/>
  <c r="S1353" i="1"/>
  <c r="S1352" i="1"/>
  <c r="S1347" i="1"/>
  <c r="S1346" i="1"/>
  <c r="S1345" i="1"/>
  <c r="S1344" i="1"/>
  <c r="S1343" i="1"/>
  <c r="S1342" i="1"/>
  <c r="S1341" i="1"/>
  <c r="S1340" i="1"/>
  <c r="S1339" i="1"/>
  <c r="R1336" i="1"/>
  <c r="R1335" i="1"/>
  <c r="S1335" i="1"/>
  <c r="R1334" i="1"/>
  <c r="S1334" i="1"/>
  <c r="R1333" i="1"/>
  <c r="S1333" i="1" s="1"/>
  <c r="R1332" i="1"/>
  <c r="S1332" i="1"/>
  <c r="R1331" i="1"/>
  <c r="S1331" i="1"/>
  <c r="R1329" i="1"/>
  <c r="S1328" i="1"/>
  <c r="S1298" i="1"/>
  <c r="Q1298" i="1"/>
  <c r="S1297" i="1"/>
  <c r="Q1297" i="1"/>
  <c r="S1296" i="1"/>
  <c r="Q1296" i="1"/>
  <c r="S1295" i="1"/>
  <c r="Q1295" i="1"/>
  <c r="S1294" i="1"/>
  <c r="Q1294" i="1"/>
  <c r="R1293" i="1"/>
  <c r="S1292" i="1"/>
  <c r="S1291" i="1"/>
  <c r="S1290" i="1"/>
  <c r="S1289" i="1"/>
  <c r="S1280" i="1"/>
  <c r="S1279" i="1"/>
  <c r="Q1279" i="1"/>
  <c r="S1278" i="1"/>
  <c r="Q1278" i="1"/>
  <c r="S1277" i="1"/>
  <c r="Q1277" i="1"/>
  <c r="S1276" i="1"/>
  <c r="Q1276" i="1"/>
  <c r="S1275" i="1"/>
  <c r="Q1275" i="1"/>
  <c r="S1274" i="1"/>
  <c r="Q1274" i="1"/>
  <c r="S1273" i="1"/>
  <c r="Q1273" i="1"/>
  <c r="S1272" i="1"/>
  <c r="Q1272" i="1"/>
  <c r="S1271" i="1"/>
  <c r="Q1271" i="1"/>
  <c r="S1270" i="1"/>
  <c r="Q1270" i="1"/>
  <c r="S1269" i="1"/>
  <c r="Q1269" i="1"/>
  <c r="S1268" i="1"/>
  <c r="Q1268" i="1"/>
  <c r="S1267" i="1"/>
  <c r="Q1267" i="1"/>
  <c r="S1266" i="1"/>
  <c r="Q1266" i="1"/>
  <c r="S1265" i="1"/>
  <c r="Q1265" i="1"/>
  <c r="S1264" i="1"/>
  <c r="Q1264" i="1"/>
  <c r="S1263" i="1"/>
  <c r="Q1263" i="1"/>
  <c r="S1262" i="1"/>
  <c r="Q1262" i="1"/>
  <c r="S1261" i="1"/>
  <c r="Q1261" i="1"/>
  <c r="S1260" i="1"/>
  <c r="Q1260" i="1"/>
  <c r="S1259" i="1"/>
  <c r="Q1259" i="1"/>
  <c r="S1258" i="1"/>
  <c r="Q1258" i="1"/>
  <c r="S1257" i="1"/>
  <c r="Q1257" i="1"/>
  <c r="S1256" i="1"/>
  <c r="Q1256" i="1"/>
  <c r="S1255" i="1"/>
  <c r="Q1255" i="1"/>
  <c r="S1254" i="1"/>
  <c r="Q1254" i="1"/>
  <c r="S1253" i="1"/>
  <c r="Q1253" i="1"/>
  <c r="S1252" i="1"/>
  <c r="Q1252" i="1"/>
  <c r="S1251" i="1"/>
  <c r="Q1251" i="1"/>
  <c r="S1250" i="1"/>
  <c r="Q1250" i="1"/>
  <c r="S1249" i="1"/>
  <c r="Q1249" i="1"/>
  <c r="S1248" i="1"/>
  <c r="Q1248" i="1"/>
  <c r="S1247" i="1"/>
  <c r="Q1247" i="1"/>
  <c r="S1246" i="1"/>
  <c r="Q1246" i="1"/>
  <c r="S1245" i="1"/>
  <c r="Q1245" i="1"/>
  <c r="S1244" i="1"/>
  <c r="Q1244" i="1"/>
  <c r="S1243" i="1"/>
  <c r="Q1243" i="1"/>
  <c r="S1242" i="1"/>
  <c r="Q1242" i="1"/>
  <c r="S1241" i="1"/>
  <c r="Q1241" i="1"/>
  <c r="S1240" i="1"/>
  <c r="S1238" i="1"/>
  <c r="S1190" i="1"/>
  <c r="S1177" i="1"/>
  <c r="S1176" i="1"/>
  <c r="S1175" i="1"/>
  <c r="S1174" i="1"/>
  <c r="S1172" i="1"/>
  <c r="S1170" i="1"/>
  <c r="S1169" i="1"/>
  <c r="S1168" i="1"/>
  <c r="S1164" i="1"/>
  <c r="S1163" i="1"/>
  <c r="S1162" i="1"/>
  <c r="S1161" i="1"/>
  <c r="S1134" i="1"/>
  <c r="Q1134" i="1"/>
  <c r="S1133" i="1"/>
  <c r="Q1133" i="1"/>
  <c r="S1132" i="1"/>
  <c r="Q1132" i="1"/>
  <c r="S1131" i="1"/>
  <c r="Q1131" i="1"/>
  <c r="S1130" i="1"/>
  <c r="S1129" i="1"/>
  <c r="S1128" i="1"/>
  <c r="S1127" i="1"/>
  <c r="S1126" i="1"/>
  <c r="S1125" i="1"/>
  <c r="S1114" i="1"/>
  <c r="S1113" i="1"/>
  <c r="S1112" i="1"/>
  <c r="S1111" i="1"/>
  <c r="S1110" i="1"/>
  <c r="S1109" i="1"/>
  <c r="S1108" i="1"/>
  <c r="Q1108" i="1"/>
  <c r="S1107" i="1"/>
  <c r="Q1107" i="1"/>
  <c r="W1106" i="1"/>
  <c r="R1106" i="1"/>
  <c r="S1103" i="1"/>
  <c r="S1102" i="1"/>
  <c r="S1101" i="1"/>
  <c r="S1100" i="1"/>
  <c r="S1099" i="1"/>
  <c r="S1098" i="1"/>
  <c r="S1097" i="1"/>
  <c r="Q1097" i="1"/>
  <c r="S1096" i="1"/>
  <c r="Q1096" i="1"/>
  <c r="S1095" i="1"/>
  <c r="Q1095" i="1"/>
  <c r="S1094" i="1"/>
  <c r="Q1094" i="1"/>
  <c r="S1093" i="1"/>
  <c r="S1092" i="1"/>
  <c r="Q1092" i="1"/>
  <c r="S1091" i="1"/>
  <c r="Q1091" i="1"/>
  <c r="S1090" i="1"/>
  <c r="Q1090" i="1"/>
  <c r="S1089" i="1"/>
  <c r="Q1089" i="1"/>
  <c r="S1088" i="1"/>
  <c r="S1087" i="1"/>
  <c r="S1086" i="1"/>
  <c r="S1085" i="1"/>
  <c r="S1084" i="1"/>
  <c r="Q1084" i="1"/>
  <c r="S1083" i="1"/>
  <c r="Q1083" i="1"/>
  <c r="S1082" i="1"/>
  <c r="Q1082" i="1"/>
  <c r="R1066" i="1"/>
  <c r="S1066" i="1"/>
  <c r="S1065" i="1"/>
  <c r="R1020" i="1"/>
  <c r="S1020" i="1" s="1"/>
  <c r="R1019" i="1"/>
  <c r="S1019" i="1" s="1"/>
  <c r="R1018" i="1"/>
  <c r="S1018" i="1" s="1"/>
  <c r="S977" i="1"/>
  <c r="S976" i="1"/>
  <c r="W971" i="1"/>
  <c r="W969" i="1"/>
  <c r="W968" i="1"/>
  <c r="S968" i="1"/>
  <c r="W967" i="1"/>
  <c r="S967" i="1"/>
  <c r="W966" i="1"/>
  <c r="S966" i="1"/>
  <c r="W964" i="1"/>
  <c r="W963" i="1"/>
  <c r="W962" i="1"/>
  <c r="R962" i="1"/>
  <c r="W961" i="1"/>
  <c r="S961" i="1"/>
  <c r="W960" i="1"/>
  <c r="S960" i="1"/>
  <c r="W959" i="1"/>
  <c r="W958" i="1"/>
  <c r="W957" i="1"/>
  <c r="W956" i="1"/>
  <c r="W955" i="1"/>
  <c r="W954" i="1"/>
  <c r="S954" i="1"/>
  <c r="Q954" i="1"/>
  <c r="W953" i="1"/>
  <c r="S953" i="1"/>
  <c r="Q953" i="1"/>
  <c r="S947" i="1"/>
  <c r="S946" i="1"/>
  <c r="S945" i="1"/>
  <c r="S944" i="1"/>
  <c r="S943" i="1"/>
  <c r="S942" i="1"/>
  <c r="S941" i="1"/>
  <c r="S939" i="1"/>
  <c r="S938" i="1"/>
  <c r="S933" i="1"/>
  <c r="Q933" i="1"/>
  <c r="S932" i="1"/>
  <c r="Q932" i="1"/>
  <c r="S931" i="1"/>
  <c r="Q931" i="1"/>
  <c r="S930" i="1"/>
  <c r="Q930" i="1"/>
  <c r="S929" i="1"/>
  <c r="Q929" i="1"/>
  <c r="S928" i="1"/>
  <c r="Q928" i="1"/>
  <c r="S927" i="1"/>
  <c r="Q927" i="1"/>
  <c r="S926" i="1"/>
  <c r="Q926" i="1"/>
  <c r="S925" i="1"/>
  <c r="Q925" i="1"/>
  <c r="S923" i="1"/>
  <c r="Q923" i="1"/>
  <c r="S922" i="1"/>
  <c r="Q922" i="1"/>
  <c r="S921" i="1"/>
  <c r="Q921" i="1"/>
  <c r="S920" i="1"/>
  <c r="Q920" i="1"/>
  <c r="S919" i="1"/>
  <c r="Q919" i="1"/>
  <c r="S914" i="1"/>
  <c r="Q914" i="1"/>
  <c r="S913" i="1"/>
  <c r="Q913" i="1"/>
  <c r="S912" i="1"/>
  <c r="Q912" i="1"/>
  <c r="S911" i="1"/>
  <c r="Q911" i="1"/>
  <c r="S910" i="1"/>
  <c r="Q910" i="1"/>
  <c r="S909" i="1"/>
  <c r="Q909" i="1"/>
  <c r="S908" i="1"/>
  <c r="Q908" i="1"/>
  <c r="S907" i="1"/>
  <c r="Q907" i="1"/>
  <c r="S906" i="1"/>
  <c r="Q906" i="1"/>
  <c r="S905" i="1"/>
  <c r="Q905" i="1"/>
  <c r="S904" i="1"/>
  <c r="S898" i="1"/>
  <c r="R897" i="1"/>
  <c r="S897" i="1" s="1"/>
  <c r="Q897" i="1"/>
  <c r="S896" i="1"/>
  <c r="S895" i="1"/>
  <c r="Q895" i="1"/>
  <c r="S894" i="1"/>
  <c r="S893" i="1"/>
  <c r="S891" i="1"/>
  <c r="Q891" i="1"/>
  <c r="S890" i="1"/>
  <c r="Q890" i="1"/>
  <c r="S889" i="1"/>
  <c r="Q889" i="1"/>
  <c r="S888" i="1"/>
  <c r="Q888" i="1"/>
  <c r="S887" i="1"/>
  <c r="Q887" i="1"/>
  <c r="S886" i="1"/>
  <c r="Q886" i="1"/>
  <c r="S885" i="1"/>
  <c r="Q885" i="1"/>
  <c r="S884" i="1"/>
  <c r="Q884" i="1"/>
  <c r="S883" i="1"/>
  <c r="Q883" i="1"/>
  <c r="S882" i="1"/>
  <c r="Q882" i="1"/>
  <c r="S881" i="1"/>
  <c r="Q881" i="1"/>
  <c r="S880" i="1"/>
  <c r="Q880" i="1"/>
  <c r="S879" i="1"/>
  <c r="Q879" i="1"/>
  <c r="S878" i="1"/>
  <c r="Q878" i="1"/>
  <c r="S877" i="1"/>
  <c r="Q877" i="1"/>
  <c r="S876" i="1"/>
  <c r="Q876" i="1"/>
  <c r="S875" i="1"/>
  <c r="Q875" i="1"/>
  <c r="S874" i="1"/>
  <c r="Q874" i="1"/>
  <c r="S873" i="1"/>
  <c r="Q873" i="1"/>
  <c r="S872" i="1"/>
  <c r="Q872" i="1"/>
  <c r="S871" i="1"/>
  <c r="Q871" i="1"/>
  <c r="S870" i="1"/>
  <c r="Q870" i="1"/>
  <c r="S869" i="1"/>
  <c r="Q869" i="1"/>
  <c r="S868" i="1"/>
  <c r="Q868" i="1"/>
  <c r="S867" i="1"/>
  <c r="Q867" i="1"/>
  <c r="S866" i="1"/>
  <c r="Q866" i="1"/>
  <c r="R856" i="1"/>
  <c r="S823" i="1"/>
  <c r="Q823" i="1"/>
  <c r="S822" i="1"/>
  <c r="Q822" i="1"/>
  <c r="Q821" i="1"/>
  <c r="Q820" i="1"/>
  <c r="Q819" i="1"/>
  <c r="Q818" i="1"/>
  <c r="Q817" i="1"/>
  <c r="Q816" i="1"/>
  <c r="Q815" i="1"/>
  <c r="Q814" i="1"/>
  <c r="Q813" i="1"/>
  <c r="Q812" i="1"/>
  <c r="Q811" i="1"/>
  <c r="Q810" i="1"/>
  <c r="Q809" i="1"/>
  <c r="Q808" i="1"/>
  <c r="Q807" i="1"/>
  <c r="Q806" i="1"/>
  <c r="Q805" i="1"/>
  <c r="Q804" i="1"/>
  <c r="Q803" i="1"/>
  <c r="Q802" i="1"/>
  <c r="Q801" i="1"/>
  <c r="Q800" i="1"/>
  <c r="R799" i="1"/>
  <c r="R798" i="1"/>
  <c r="R797" i="1"/>
  <c r="R796" i="1"/>
  <c r="R795" i="1"/>
  <c r="S788" i="1"/>
  <c r="S764" i="1"/>
  <c r="S763" i="1"/>
  <c r="S762" i="1"/>
  <c r="Q762" i="1"/>
  <c r="S761" i="1"/>
  <c r="Q761" i="1"/>
  <c r="S760" i="1"/>
  <c r="Q760" i="1"/>
  <c r="S759" i="1"/>
  <c r="Q759" i="1"/>
  <c r="S758" i="1"/>
  <c r="Q758" i="1"/>
  <c r="S757" i="1"/>
  <c r="Q757" i="1"/>
  <c r="S756" i="1"/>
  <c r="Q756" i="1"/>
  <c r="S755" i="1"/>
  <c r="Q755" i="1"/>
  <c r="S754" i="1"/>
  <c r="Q754" i="1"/>
  <c r="S753" i="1"/>
  <c r="Q753" i="1"/>
  <c r="S752" i="1"/>
  <c r="Q752" i="1"/>
  <c r="S744" i="1"/>
  <c r="S743" i="1"/>
  <c r="S742" i="1"/>
  <c r="S707" i="1"/>
  <c r="R706" i="1"/>
  <c r="S696" i="1"/>
  <c r="S682" i="1"/>
  <c r="S681" i="1"/>
  <c r="S680" i="1"/>
  <c r="S679" i="1"/>
  <c r="S678" i="1"/>
  <c r="S677" i="1"/>
  <c r="S676" i="1"/>
  <c r="S675" i="1"/>
  <c r="S674" i="1"/>
  <c r="S673" i="1"/>
  <c r="S672" i="1"/>
  <c r="S671" i="1"/>
  <c r="S670" i="1"/>
  <c r="S669" i="1"/>
  <c r="S668" i="1"/>
  <c r="S667" i="1"/>
  <c r="S666" i="1"/>
  <c r="S665" i="1"/>
  <c r="S664" i="1"/>
  <c r="S663" i="1"/>
  <c r="S662" i="1"/>
  <c r="S661" i="1"/>
  <c r="S660" i="1"/>
  <c r="S659" i="1"/>
  <c r="S637" i="1"/>
  <c r="S628" i="1"/>
  <c r="S626" i="1"/>
  <c r="S625" i="1"/>
  <c r="S624" i="1"/>
  <c r="S623" i="1"/>
  <c r="M623" i="1"/>
  <c r="S622" i="1"/>
  <c r="S621" i="1"/>
  <c r="M621" i="1"/>
  <c r="S620" i="1"/>
  <c r="M620" i="1"/>
  <c r="S619" i="1"/>
  <c r="S618" i="1"/>
  <c r="S617" i="1"/>
  <c r="M617" i="1"/>
  <c r="S616" i="1"/>
  <c r="M616" i="1"/>
  <c r="S615" i="1"/>
  <c r="M615" i="1"/>
  <c r="S614" i="1"/>
  <c r="M614" i="1"/>
  <c r="S613" i="1"/>
  <c r="M613" i="1"/>
  <c r="S612" i="1"/>
  <c r="M612" i="1"/>
  <c r="S611" i="1"/>
  <c r="M611" i="1"/>
  <c r="S610" i="1"/>
  <c r="M610" i="1"/>
  <c r="S609" i="1"/>
  <c r="M609" i="1"/>
  <c r="S608" i="1"/>
  <c r="M608" i="1"/>
  <c r="S602" i="1"/>
  <c r="R601" i="1"/>
  <c r="S601" i="1"/>
  <c r="R588"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4" i="1"/>
  <c r="S553" i="1"/>
  <c r="S552" i="1"/>
  <c r="R551" i="1"/>
  <c r="S551" i="1"/>
  <c r="S550" i="1"/>
  <c r="R549" i="1"/>
  <c r="S549" i="1"/>
  <c r="R548" i="1"/>
  <c r="S548" i="1"/>
  <c r="S547" i="1"/>
  <c r="R546" i="1"/>
  <c r="S546" i="1" s="1"/>
  <c r="R545" i="1"/>
  <c r="S545" i="1" s="1"/>
  <c r="R544" i="1"/>
  <c r="S544" i="1"/>
  <c r="R543" i="1"/>
  <c r="S543" i="1" s="1"/>
  <c r="S542" i="1"/>
  <c r="R541" i="1"/>
  <c r="S541" i="1"/>
  <c r="S540" i="1"/>
  <c r="R539" i="1"/>
  <c r="S539" i="1" s="1"/>
  <c r="R538" i="1"/>
  <c r="S538" i="1" s="1"/>
  <c r="S537" i="1"/>
  <c r="S536" i="1"/>
  <c r="S535" i="1"/>
  <c r="R534" i="1"/>
  <c r="S534" i="1" s="1"/>
  <c r="S533" i="1"/>
  <c r="S532" i="1"/>
  <c r="R530" i="1"/>
  <c r="S530" i="1" s="1"/>
  <c r="R529" i="1"/>
  <c r="S529" i="1" s="1"/>
  <c r="S528" i="1"/>
  <c r="S527" i="1"/>
  <c r="S526" i="1"/>
  <c r="S525" i="1"/>
  <c r="R524" i="1"/>
  <c r="S524" i="1"/>
  <c r="S523" i="1"/>
  <c r="S522" i="1"/>
  <c r="S521" i="1"/>
  <c r="S520" i="1"/>
  <c r="S519" i="1"/>
  <c r="S518" i="1"/>
  <c r="S517" i="1"/>
  <c r="S516" i="1"/>
  <c r="S515" i="1"/>
  <c r="S514" i="1"/>
  <c r="S513" i="1"/>
  <c r="S512" i="1"/>
  <c r="S511" i="1"/>
  <c r="S510" i="1"/>
  <c r="S509" i="1"/>
  <c r="S495" i="1"/>
  <c r="S491" i="1"/>
  <c r="S487" i="1"/>
  <c r="S486" i="1"/>
  <c r="S485" i="1"/>
  <c r="S484" i="1"/>
  <c r="S483" i="1"/>
  <c r="S482" i="1"/>
  <c r="S481" i="1"/>
  <c r="S480" i="1"/>
  <c r="S479" i="1"/>
  <c r="S478" i="1"/>
  <c r="S477" i="1"/>
  <c r="S476" i="1"/>
  <c r="S475" i="1"/>
  <c r="S474" i="1"/>
  <c r="S473" i="1"/>
  <c r="S472" i="1"/>
  <c r="S471" i="1"/>
  <c r="S470" i="1"/>
  <c r="S469" i="1"/>
  <c r="S468" i="1"/>
  <c r="R466" i="1"/>
  <c r="S464" i="1"/>
  <c r="S458" i="1"/>
  <c r="S457" i="1"/>
  <c r="S456" i="1"/>
  <c r="S455" i="1"/>
  <c r="S454" i="1"/>
  <c r="S453" i="1"/>
  <c r="S452" i="1"/>
  <c r="S451" i="1"/>
  <c r="S450" i="1"/>
  <c r="S449" i="1"/>
  <c r="S448" i="1"/>
  <c r="S447" i="1"/>
  <c r="S419" i="1"/>
  <c r="S418" i="1"/>
  <c r="S417" i="1"/>
  <c r="S415" i="1"/>
  <c r="S407" i="1"/>
  <c r="S404" i="1"/>
  <c r="S403" i="1"/>
  <c r="S402" i="1"/>
  <c r="S398" i="1"/>
  <c r="S396" i="1"/>
  <c r="S395" i="1"/>
  <c r="S394" i="1"/>
  <c r="S393" i="1"/>
  <c r="R392" i="1"/>
  <c r="S392" i="1" s="1"/>
  <c r="S391" i="1"/>
  <c r="S390" i="1"/>
  <c r="S389" i="1"/>
  <c r="S388" i="1"/>
  <c r="S387" i="1"/>
  <c r="S386" i="1"/>
  <c r="S369" i="1"/>
  <c r="R366" i="1"/>
  <c r="S364" i="1"/>
  <c r="S358" i="1"/>
  <c r="S357" i="1"/>
  <c r="S347" i="1"/>
  <c r="S345" i="1"/>
  <c r="S344" i="1"/>
  <c r="S292" i="1"/>
  <c r="S283" i="1"/>
  <c r="S282" i="1"/>
  <c r="S273" i="1"/>
  <c r="S272" i="1"/>
  <c r="S271" i="1"/>
  <c r="S270" i="1"/>
  <c r="S269" i="1"/>
  <c r="S267" i="1"/>
  <c r="S266" i="1"/>
  <c r="S265" i="1"/>
  <c r="S264" i="1"/>
  <c r="S263" i="1"/>
  <c r="S262" i="1"/>
  <c r="S261" i="1"/>
  <c r="S260" i="1"/>
  <c r="S259" i="1"/>
  <c r="S257" i="1"/>
  <c r="S254" i="1"/>
  <c r="S245" i="1"/>
  <c r="S244" i="1"/>
  <c r="S240" i="1"/>
  <c r="S238" i="1"/>
  <c r="S237" i="1"/>
  <c r="S236" i="1"/>
  <c r="S232" i="1"/>
  <c r="S231" i="1"/>
  <c r="S218" i="1"/>
  <c r="S217" i="1"/>
  <c r="S208" i="1"/>
  <c r="S200" i="1"/>
  <c r="R192" i="1"/>
  <c r="Q192" i="1"/>
  <c r="R191" i="1"/>
  <c r="Q191" i="1"/>
  <c r="R190" i="1"/>
  <c r="Q190" i="1"/>
  <c r="R189" i="1"/>
  <c r="Q189" i="1"/>
  <c r="R188" i="1"/>
  <c r="R187" i="1"/>
  <c r="S186" i="1"/>
  <c r="R167" i="1"/>
  <c r="Q167" i="1"/>
  <c r="R166" i="1"/>
  <c r="Q166" i="1"/>
  <c r="R165" i="1"/>
  <c r="Q165" i="1"/>
  <c r="R147" i="1"/>
  <c r="R138" i="1"/>
  <c r="R137" i="1"/>
  <c r="R90" i="1"/>
  <c r="Q50" i="1"/>
  <c r="Q49" i="1"/>
  <c r="Q46" i="1"/>
  <c r="Q45" i="1"/>
  <c r="Q44" i="1"/>
  <c r="Q43" i="1"/>
  <c r="Q42" i="1"/>
  <c r="Q41" i="1"/>
  <c r="Q40" i="1"/>
  <c r="Q39" i="1"/>
  <c r="Q38" i="1"/>
  <c r="Q37" i="1"/>
  <c r="Q36" i="1"/>
  <c r="Q35" i="1"/>
  <c r="Q34" i="1"/>
  <c r="Q33" i="1"/>
  <c r="Q32" i="1"/>
  <c r="Q31" i="1"/>
  <c r="Q30" i="1"/>
  <c r="Q29" i="1"/>
  <c r="Q28" i="1"/>
  <c r="Q27" i="1"/>
  <c r="S17" i="1"/>
  <c r="S16" i="1"/>
  <c r="A6099" i="1" l="1"/>
  <c r="A6100" i="1" s="1"/>
  <c r="A5906" i="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S18" i="1"/>
  <c r="Y5108" i="1"/>
  <c r="A6101" i="1" l="1"/>
  <c r="A6102" i="1" s="1"/>
  <c r="A6103" i="1" s="1"/>
  <c r="A6104" i="1" s="1"/>
  <c r="A6105" i="1" s="1"/>
  <c r="A6106" i="1" s="1"/>
  <c r="A6107" i="1" s="1"/>
  <c r="A6108" i="1" s="1"/>
  <c r="A6109" i="1" s="1"/>
  <c r="A6110" i="1" s="1"/>
  <c r="A6111" i="1" s="1"/>
  <c r="A6112" i="1" s="1"/>
  <c r="A6113" i="1" s="1"/>
  <c r="A5958" i="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117" i="1" l="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l="1"/>
  <c r="A6194" i="1" s="1"/>
  <c r="A6195" i="1" s="1"/>
  <c r="A6196" i="1" s="1"/>
  <c r="A6197" i="1" s="1"/>
  <c r="A6198" i="1" s="1"/>
  <c r="A6199" i="1" s="1"/>
  <c r="A6200" i="1" s="1"/>
  <c r="A620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Yudai Etsunaga</author>
  </authors>
  <commentList>
    <comment ref="N3219" authorId="0" shapeId="0" xr:uid="{00000000-0006-0000-0000-000001000000}">
      <text>
        <r>
          <rPr>
            <sz val="10"/>
            <color rgb="FF000000"/>
            <rFont val="Arial"/>
            <family val="2"/>
          </rPr>
          <t xml:space="preserve">
</t>
        </r>
      </text>
    </comment>
  </commentList>
</comments>
</file>

<file path=xl/sharedStrings.xml><?xml version="1.0" encoding="utf-8"?>
<sst xmlns="http://schemas.openxmlformats.org/spreadsheetml/2006/main" count="78498" uniqueCount="21553">
  <si>
    <t>H</t>
  </si>
  <si>
    <t>-</t>
  </si>
  <si>
    <t>ESD sensitive electronics
 静電気注意電子部品</t>
  </si>
  <si>
    <t>Non-ESD sensitive
electronics
 静電気に強い電子部品</t>
  </si>
  <si>
    <t>Example
 例</t>
  </si>
  <si>
    <t>oo</t>
  </si>
  <si>
    <t>　</t>
  </si>
  <si>
    <t>Part order approved
 注文承認済み</t>
  </si>
  <si>
    <t>Part ordered
 注文した部品</t>
  </si>
  <si>
    <t>Part delivered
 納品済み</t>
  </si>
  <si>
    <t>Parts ID
 管理番号</t>
  </si>
  <si>
    <t>Order date [YY/MM/DD]
 注文日程 [年/月/日]</t>
  </si>
  <si>
    <t>Component name
 物品名</t>
  </si>
  <si>
    <t>Status
 注文状況</t>
  </si>
  <si>
    <t>Budget
 予算</t>
  </si>
  <si>
    <t>Name of person
who orders
 注文者の名前</t>
  </si>
  <si>
    <t>Specifications
 仕様</t>
  </si>
  <si>
    <t>Manufacturer
 メーカ名</t>
  </si>
  <si>
    <t>Vendor
注文先</t>
  </si>
  <si>
    <r>
      <rPr>
        <b/>
        <sz val="11"/>
        <color rgb="FF000000"/>
        <rFont val="Times New Roman"/>
        <family val="1"/>
      </rPr>
      <t xml:space="preserve">Serial number from
</t>
    </r>
    <r>
      <rPr>
        <b/>
        <u/>
        <sz val="11"/>
        <color rgb="FF000000"/>
        <rFont val="Times New Roman"/>
        <family val="1"/>
      </rPr>
      <t>vendor</t>
    </r>
    <r>
      <rPr>
        <b/>
        <sz val="11"/>
        <color rgb="FF000000"/>
        <rFont val="Times New Roman"/>
        <family val="1"/>
      </rPr>
      <t xml:space="preserve">
</t>
    </r>
    <r>
      <rPr>
        <b/>
        <u/>
        <sz val="11"/>
        <color rgb="FF000000"/>
        <rFont val="Times New Roman"/>
        <family val="1"/>
      </rPr>
      <t>注文先</t>
    </r>
    <r>
      <rPr>
        <b/>
        <sz val="11"/>
        <color rgb="FF000000"/>
        <rFont val="Times New Roman"/>
        <family val="1"/>
      </rPr>
      <t>の型番</t>
    </r>
  </si>
  <si>
    <r>
      <rPr>
        <b/>
        <sz val="11"/>
        <color rgb="FF000000"/>
        <rFont val="Times New Roman"/>
        <family val="1"/>
      </rPr>
      <t xml:space="preserve">Model number from
</t>
    </r>
    <r>
      <rPr>
        <b/>
        <u/>
        <sz val="11"/>
        <color rgb="FF000000"/>
        <rFont val="Times New Roman"/>
        <family val="1"/>
      </rPr>
      <t>manufacturer</t>
    </r>
    <r>
      <rPr>
        <b/>
        <sz val="11"/>
        <color rgb="FF000000"/>
        <rFont val="Times New Roman"/>
        <family val="1"/>
      </rPr>
      <t xml:space="preserve">
</t>
    </r>
    <r>
      <rPr>
        <b/>
        <u/>
        <sz val="11"/>
        <color rgb="FF000000"/>
        <rFont val="Times New Roman"/>
        <family val="1"/>
      </rPr>
      <t>メーカ</t>
    </r>
    <r>
      <rPr>
        <b/>
        <sz val="11"/>
        <color rgb="FF000000"/>
        <rFont val="Times New Roman"/>
        <family val="1"/>
      </rPr>
      <t>の型番</t>
    </r>
  </si>
  <si>
    <t>Package type
 部品のパケージ</t>
  </si>
  <si>
    <t>Actual number of units needed
 実際に必要な数量</t>
  </si>
  <si>
    <t>Minimum number of units to be ordered
 最低の発注単位</t>
  </si>
  <si>
    <t>Actual number of units ordered
 実際に注文する数量</t>
  </si>
  <si>
    <r>
      <rPr>
        <b/>
        <sz val="11"/>
        <color rgb="FF000000"/>
        <rFont val="Times New Roman"/>
        <family val="1"/>
      </rPr>
      <t xml:space="preserve">Number of spare units in inventory </t>
    </r>
    <r>
      <rPr>
        <b/>
        <u/>
        <sz val="11"/>
        <color rgb="FF000000"/>
        <rFont val="Times New Roman"/>
        <family val="1"/>
      </rPr>
      <t>before</t>
    </r>
    <r>
      <rPr>
        <b/>
        <sz val="11"/>
        <color rgb="FF000000"/>
        <rFont val="Times New Roman"/>
        <family val="1"/>
      </rPr>
      <t xml:space="preserve"> order
</t>
    </r>
    <r>
      <rPr>
        <b/>
        <u/>
        <sz val="11"/>
        <color rgb="FF000000"/>
        <rFont val="Times New Roman"/>
        <family val="1"/>
      </rPr>
      <t>注文前</t>
    </r>
    <r>
      <rPr>
        <b/>
        <sz val="11"/>
        <color rgb="FF000000"/>
        <rFont val="Times New Roman"/>
        <family val="1"/>
      </rPr>
      <t>の 研究室内在庫数</t>
    </r>
  </si>
  <si>
    <r>
      <rPr>
        <b/>
        <sz val="11"/>
        <color rgb="FF000000"/>
        <rFont val="Times New Roman"/>
        <family val="1"/>
      </rPr>
      <t xml:space="preserve">Number of spare units in inventory </t>
    </r>
    <r>
      <rPr>
        <b/>
        <u/>
        <sz val="11"/>
        <color rgb="FF000000"/>
        <rFont val="Times New Roman"/>
        <family val="1"/>
      </rPr>
      <t>after</t>
    </r>
    <r>
      <rPr>
        <b/>
        <sz val="11"/>
        <color rgb="FF000000"/>
        <rFont val="Times New Roman"/>
        <family val="1"/>
      </rPr>
      <t xml:space="preserve"> order
</t>
    </r>
    <r>
      <rPr>
        <b/>
        <u/>
        <sz val="11"/>
        <color rgb="FF000000"/>
        <rFont val="Times New Roman"/>
        <family val="1"/>
      </rPr>
      <t>入荷後</t>
    </r>
    <r>
      <rPr>
        <b/>
        <sz val="11"/>
        <color rgb="FF000000"/>
        <rFont val="Times New Roman"/>
        <family val="1"/>
      </rPr>
      <t>の研究室内数量</t>
    </r>
  </si>
  <si>
    <t>Cost per unit or pack [JPY], w/o tax
 単価[JPY]、税別</t>
  </si>
  <si>
    <t>Total cost [JPY], 
 w/o tax
 全額[JPY]、税別</t>
  </si>
  <si>
    <t>Units recipient project
 部品を使用するプロジェクト</t>
  </si>
  <si>
    <t>Project / Sub-system
 プロジェクト内の担当系</t>
  </si>
  <si>
    <t>Parts location
 部品保管場所</t>
  </si>
  <si>
    <t>Website URL
 ウェブサイトリンク</t>
  </si>
  <si>
    <t>備考
Remark</t>
  </si>
  <si>
    <t>Ex. 1</t>
  </si>
  <si>
    <t>Adapter</t>
  </si>
  <si>
    <t>hozan</t>
  </si>
  <si>
    <t>SSOP-16 to DIP-16</t>
  </si>
  <si>
    <t>Winslow</t>
  </si>
  <si>
    <t>RS</t>
  </si>
  <si>
    <t>741-9391</t>
  </si>
  <si>
    <t>W9581RC</t>
  </si>
  <si>
    <t>SSOP-16 (0.65mm) to DIP-16 (0.3in)</t>
  </si>
  <si>
    <t>CubeSat training</t>
  </si>
  <si>
    <t>CSTC / EM CAM</t>
  </si>
  <si>
    <t>Training corner (SVBL 3F)</t>
  </si>
  <si>
    <t>https://jp.rs-online.com/web/p/ic-socket-adapters/7419391/?relevancy-data=636F3D3126696E3D4931384E525353746F636B4E756D6265724D504E266C753D656E266D6D3D6D61746368616C6C26706D3D5E283F69292852537C5253207C52532D293F5C647B337D285C73293F5B5C732D2F255C2E2C5D285C73293F5C647B332C347D2426706F3D313426736E3D592673723D2673743D52535F53544F434B5F4E554D4245522677633D4E4F4E45267573743D3734312D39333931267374613D3734313933393126</t>
  </si>
  <si>
    <t>Ex.2</t>
  </si>
  <si>
    <t>Diode (Schottky)</t>
  </si>
  <si>
    <t>HR4</t>
  </si>
  <si>
    <t>Pauline</t>
  </si>
  <si>
    <t>200mA, 30V, 3-pin</t>
  </si>
  <si>
    <t>On Semiconductor</t>
  </si>
  <si>
    <t>Digi-Key</t>
  </si>
  <si>
    <t>BAT54CLT1GOSCT-ND</t>
  </si>
  <si>
    <t>BAT54CLT1G</t>
  </si>
  <si>
    <t>SOT-23-3 (TO-236AB-3)
 SMD</t>
  </si>
  <si>
    <t>Satellite project</t>
  </si>
  <si>
    <t>HR4 / EM EPS</t>
  </si>
  <si>
    <t>AOBA room (SVBL 3F)</t>
  </si>
  <si>
    <t>https://www.digikey.jp/product-detail/ja/on-semiconductor/BAT54CLT1G/BAT54CLT1GOSCT-ND/920481</t>
  </si>
  <si>
    <r>
      <rPr>
        <sz val="11"/>
        <color rgb="FF000000"/>
        <rFont val="Times New Roman"/>
        <family val="1"/>
      </rPr>
      <t xml:space="preserve">Atmega
</t>
    </r>
    <r>
      <rPr>
        <sz val="11"/>
        <color rgb="FFFF0000"/>
        <rFont val="Times New Roman"/>
        <family val="1"/>
      </rPr>
      <t xml:space="preserve"> (Discontinued product)</t>
    </r>
  </si>
  <si>
    <t>運営費</t>
  </si>
  <si>
    <t>8-bit, 20MHz, 32kB flash, 2kB RAM, 32-pin</t>
  </si>
  <si>
    <t>Atmel</t>
  </si>
  <si>
    <t>696-3092</t>
  </si>
  <si>
    <t>ATMEGA328P-AU</t>
  </si>
  <si>
    <t>TQFP
 SMD</t>
  </si>
  <si>
    <t>Master research</t>
  </si>
  <si>
    <t>Desk drawer (4F)</t>
  </si>
  <si>
    <t>https://jp.rs-online.com/web/p/microcontrollers/6963092/?relevancy-data=636F3D3126696E3D4931384E525353746F636B4E756D6265724D504E266C753D656E266D6D3D6D61746368616C6C26706D3D5E5C647B367D247C5E5C647B377D247C5E5C647B31307D2426706F3D313426736E3D592673723D2673743D52535F53544F434B5F4E554D4245522677633D4E4F4E45267573743D36393633303932267374613D3639363330393226</t>
  </si>
  <si>
    <t>TOTAL [JPY]</t>
  </si>
  <si>
    <t>Container</t>
  </si>
  <si>
    <t>Yamauchi</t>
  </si>
  <si>
    <t>530L【幅39×奥行53×高さ32cm】1箱（4個入)</t>
  </si>
  <si>
    <t>ROX ロックス</t>
  </si>
  <si>
    <t>ASKUL</t>
  </si>
  <si>
    <t>Laboratory</t>
  </si>
  <si>
    <t>4F Center and SVBL 3F</t>
  </si>
  <si>
    <t>https://www.askul.co.jp/p/1854654/</t>
  </si>
  <si>
    <t>Vacuum tool pick-up</t>
  </si>
  <si>
    <t>Sri Lanka</t>
  </si>
  <si>
    <t>Faure</t>
  </si>
  <si>
    <t>Hozan</t>
  </si>
  <si>
    <t>Monotaro</t>
  </si>
  <si>
    <t>P-831</t>
  </si>
  <si>
    <t>Satellite projects</t>
  </si>
  <si>
    <t>BIRDS-3</t>
  </si>
  <si>
    <t>SVBL3F clean room</t>
  </si>
  <si>
    <t>https://www.monotaro.com/p/0655/5437/?t.q=p-831</t>
  </si>
  <si>
    <t>ESD protective blouse</t>
  </si>
  <si>
    <t xml:space="preserve">    (ESD管理値)点間抵抗1×105≦Rp＜1×1011 </t>
  </si>
  <si>
    <t>F-190-L</t>
  </si>
  <si>
    <t>BIRDS-3 (Pooja)</t>
  </si>
  <si>
    <t>SVBL3F clean room * 1
SVBL3F BIRDS room * 1</t>
  </si>
  <si>
    <t>https://www.monotaro.com/p/5557/4618/?t.q=f-190</t>
  </si>
  <si>
    <t>F</t>
  </si>
  <si>
    <t>アサヒプリテック株式会社</t>
  </si>
  <si>
    <t>Al cup</t>
  </si>
  <si>
    <t>Sasaki</t>
  </si>
  <si>
    <t>φ65(φ54)X23 mm</t>
  </si>
  <si>
    <t>アズワン</t>
  </si>
  <si>
    <t>misumi</t>
  </si>
  <si>
    <t>5-361-01</t>
  </si>
  <si>
    <t>SVBL 3F</t>
  </si>
  <si>
    <t>https://jp.misumi-ec.com/vona2/detail/223005639695/?HissuCode=5-361-01</t>
  </si>
  <si>
    <t>PTFEワッシャー</t>
  </si>
  <si>
    <t>廣杉計器</t>
  </si>
  <si>
    <t>TT-2606-08</t>
  </si>
  <si>
    <t>https://jp.misumi-ec.com/vona2/detail/221006205109/?ProductCode=TT-2606-08</t>
  </si>
  <si>
    <t>https://www.monotaro.com/p/0705/7985/</t>
  </si>
  <si>
    <t>300x300x2 mm</t>
  </si>
  <si>
    <t>十川ゴム</t>
  </si>
  <si>
    <t>モノタロウ</t>
  </si>
  <si>
    <t>K-125(50)</t>
  </si>
  <si>
    <t>ステンレス6角ナットM5</t>
  </si>
  <si>
    <t>Fukuda</t>
  </si>
  <si>
    <t>ナフコ</t>
  </si>
  <si>
    <t>GS</t>
  </si>
  <si>
    <t>ガラス管フューズ</t>
  </si>
  <si>
    <t>CW Skimmer license</t>
  </si>
  <si>
    <t>temperature sensor</t>
  </si>
  <si>
    <t>software</t>
  </si>
  <si>
    <t>Afreet Software Inc.</t>
  </si>
  <si>
    <t>CW Skimmer 2.0</t>
  </si>
  <si>
    <t>none, license key only</t>
  </si>
  <si>
    <t>BIRDS-2, 3</t>
  </si>
  <si>
    <t>GS Operation</t>
  </si>
  <si>
    <t>GS of Mongolia, Bangladesh, Ghana, Taiwan, Thailand</t>
  </si>
  <si>
    <t>http://www.dxatlas.com/Register.asp</t>
  </si>
  <si>
    <t>磨焼入鋼帯</t>
  </si>
  <si>
    <t>Kishimoto</t>
  </si>
  <si>
    <t>0.30 x 3.0 x 10,000 mm</t>
  </si>
  <si>
    <t>大阪熱処理株式会社</t>
  </si>
  <si>
    <t>SK85</t>
  </si>
  <si>
    <t>about 5,000 mm</t>
  </si>
  <si>
    <t>10,000 mm</t>
  </si>
  <si>
    <t>0 mm</t>
  </si>
  <si>
    <t>Antenna</t>
  </si>
  <si>
    <t>SVBL3F BIRDS room</t>
  </si>
  <si>
    <t>http://www.onk-phnx.co.jp/steel/</t>
  </si>
  <si>
    <t>Multilayer Ceramic Capacitor</t>
  </si>
  <si>
    <t>Juan J. Rojas</t>
  </si>
  <si>
    <t>Murata 10nF Multilayer Ceramic Capacitor MLCC 50V dc ±5% C0G Dielectric 0603 (1608M) SMD, Max. Temp. +125°C</t>
  </si>
  <si>
    <t>Murata</t>
  </si>
  <si>
    <t>815-1430</t>
  </si>
  <si>
    <t>GRM1885C1H103JA01D</t>
  </si>
  <si>
    <t>0603</t>
  </si>
  <si>
    <t>Charger/Discharger V4.1</t>
  </si>
  <si>
    <t>N/A</t>
  </si>
  <si>
    <t>SVBL2F</t>
  </si>
  <si>
    <t>https://jp.rs-online.com/web/p/ceramic-multilayer-capacitors/8151430/?sra=pstk</t>
  </si>
  <si>
    <t>Resistor</t>
  </si>
  <si>
    <t>Vishay CRCW Series Thick Film Surface Mount Fixed Resistor 0603 Case 510Ω ±1% 0.1W ±100ppm/°C</t>
  </si>
  <si>
    <t>Vishay</t>
  </si>
  <si>
    <t>679-0504</t>
  </si>
  <si>
    <t>CRCW 0603510 RFKEA</t>
  </si>
  <si>
    <t>https://jp.rs-online.com/web/p/surface-mount-fixed-resistors/6790504/?sra=pstk</t>
  </si>
  <si>
    <t>Aluminium Electrolitic Capacitor</t>
  </si>
  <si>
    <t>Nichicon Aluminium Electrolytic Capacitor WT Series 16V dc 100μF, Surface Mount Electrolytic, ±20% +105°C</t>
  </si>
  <si>
    <t>Nichicon</t>
  </si>
  <si>
    <t>523-3025</t>
  </si>
  <si>
    <t>UWT1C101MCL1GB</t>
  </si>
  <si>
    <t>D-CAP</t>
  </si>
  <si>
    <t>https://jp.rs-online.com/web/p/aluminium-capacitors/5233025/?sra=pstk</t>
  </si>
  <si>
    <t>Panasonic Thick Film Surface Mount Resistor 0603 Case 100Ω ±5% 0.1W ±200ppm/°C</t>
  </si>
  <si>
    <t>Panasonic</t>
  </si>
  <si>
    <t>520-4572</t>
  </si>
  <si>
    <t>ERJS03J101V</t>
  </si>
  <si>
    <t>https://jp.rs-online.com/web/p/surface-mount-fixed-resistors/5204572/?sra=pstk</t>
  </si>
  <si>
    <t>Murata 10μF Multilayer Ceramic Capacitor MLCC 25V dc ±10% X6S Dielectric 1210 (3225M) SMD, Max. Temp. +105°C</t>
  </si>
  <si>
    <t>749-2150</t>
  </si>
  <si>
    <t>GRM32DC81E106KA12L</t>
  </si>
  <si>
    <t>1210</t>
  </si>
  <si>
    <t>https://jp.rs-online.com/web/p/ceramic-multilayer-capacitors/7492150/?sra=pstk</t>
  </si>
  <si>
    <t>Power Resistor</t>
  </si>
  <si>
    <t>Arcol HS150 Series Aluminium Housed Axial Wire Wound Panel Mount Resistor, 10Ω ±5% 150W</t>
  </si>
  <si>
    <t>Arcol</t>
  </si>
  <si>
    <t>309-1267</t>
  </si>
  <si>
    <t xml:space="preserve">HS150 10R J </t>
  </si>
  <si>
    <t>--</t>
  </si>
  <si>
    <t>https://jp.rs-online.com/web/p/panel-mount-fixed-resistors/3091267/?sra=pstk</t>
  </si>
  <si>
    <t>Tantalum Polymer Solid Capacitor</t>
  </si>
  <si>
    <t>KEMET 33μF 25V dc Tantalum Capacitor Polymer Solid ±20% Tolerance T521 Series</t>
  </si>
  <si>
    <t>KEMET</t>
  </si>
  <si>
    <t>121-3317</t>
  </si>
  <si>
    <t>T521D336M025ATE040</t>
  </si>
  <si>
    <t>https://jp.rs-online.com/web/p/tantalum-capacitors/1213317/?sra=pstk</t>
  </si>
  <si>
    <t>Inductor</t>
  </si>
  <si>
    <t>Murata 6000B Series Wire-wound SMD Inductor 68 μH ±15% Wire-Wound 9A Idc</t>
  </si>
  <si>
    <t>749-6405</t>
  </si>
  <si>
    <t>60B683C</t>
  </si>
  <si>
    <t>https://jp.rs-online.com/web/p/wire-wound-surface-mount-inductors/7496405/?sra=pstk</t>
  </si>
  <si>
    <t>Power Socket</t>
  </si>
  <si>
    <t>Switchcraft Through Hole DC Power Socket 2mm Right Angle 5A</t>
  </si>
  <si>
    <t>Switchcraft</t>
  </si>
  <si>
    <t>705-1516</t>
  </si>
  <si>
    <t>722 RA</t>
  </si>
  <si>
    <t>https://jp.rs-online.com/web/p/dc-power-sockets/7051516/?sra=pstk</t>
  </si>
  <si>
    <t>Common Mode Choke</t>
  </si>
  <si>
    <t>1.4 μH TDK ACM Common Mode Choke 10 mΩ</t>
  </si>
  <si>
    <t>TDK</t>
  </si>
  <si>
    <t>916-4144</t>
  </si>
  <si>
    <t>ACM 9070-701-2PL-TL01</t>
  </si>
  <si>
    <t>https://jp.rs-online.com/web/p/emi-rfi-inductor-components/9164144/?sra=pstk</t>
  </si>
  <si>
    <t>Hall Effect Current Sensor</t>
  </si>
  <si>
    <t>Allegro Microsystems ACS723LLCTR-05AB-T, Current Sensor 8-Pin, SOIC</t>
  </si>
  <si>
    <t>Allegro Microsystems</t>
  </si>
  <si>
    <t>866-0767</t>
  </si>
  <si>
    <t xml:space="preserve">ACS723LLCTR-05AB-T </t>
  </si>
  <si>
    <t>SOIC-8</t>
  </si>
  <si>
    <t>https://jp.rs-online.com/web/p/current-sensors/8660767/?sra=pstk</t>
  </si>
  <si>
    <t>Audio Jack</t>
  </si>
  <si>
    <t>Lumberg 3.5 mm Through Hole Right Angle Stereo Jack, 3, -, 34 V ac/dc, 1A</t>
  </si>
  <si>
    <t>Lumberg</t>
  </si>
  <si>
    <t>505-1479</t>
  </si>
  <si>
    <t xml:space="preserve"> KLBR 4 </t>
  </si>
  <si>
    <t>https://jp.rs-online.com/web/p/jack-trs-connectors/5051479/?sra=pstk</t>
  </si>
  <si>
    <t>PCB Header</t>
  </si>
  <si>
    <t>JST PCB Header EH, 2 Way, 2.5mm Pitch, 1 Row, Straight, Through Hole</t>
  </si>
  <si>
    <t>JST</t>
  </si>
  <si>
    <t>515-1383</t>
  </si>
  <si>
    <t>B2B - EH - A</t>
  </si>
  <si>
    <t>https://jp.rs-online.com/web/p/pcb-headers/5151383/?sra=pstk</t>
  </si>
  <si>
    <t>JST PCB Header EH, 6 Way, 2.5mm Pitch, 1 Row, Straight, Through Hole</t>
  </si>
  <si>
    <t>515-1434</t>
  </si>
  <si>
    <t>B6B - EH - A</t>
  </si>
  <si>
    <t>https://jp.rs-online.com/web/p/pcb-headers/5151434/?sra=pstk</t>
  </si>
  <si>
    <t>Dual Mosfet Driver</t>
  </si>
  <si>
    <t>Microchip MCP14628-E/SN Dual MOSFET Power Driver, 2A High and Low Side, 4.5 → 5.5 V 8-Pin, SOIC</t>
  </si>
  <si>
    <t>Microchip</t>
  </si>
  <si>
    <t>668-4219</t>
  </si>
  <si>
    <t>MCP 14628-E / SN</t>
  </si>
  <si>
    <t>https://jp.rs-online.com/web/p/mosfet-power-drivers/6684219/?sra=pstk</t>
  </si>
  <si>
    <t>Optocoupler</t>
  </si>
  <si>
    <t>PS2502-1 Renesas Optocoupler DC Input Darlington Output, 4-Pin PDIP, Through Hole</t>
  </si>
  <si>
    <t>Renesas</t>
  </si>
  <si>
    <t>453-7556</t>
  </si>
  <si>
    <t>PS2502-1</t>
  </si>
  <si>
    <t>DIP-4</t>
  </si>
  <si>
    <t>https://jp.rs-online.com/web/p/optocouplers/4537556/?sra=pstk</t>
  </si>
  <si>
    <t>Voltage Reference</t>
  </si>
  <si>
    <t>Analog Devices REF195GSZ, Fixed Series Voltage Reference 5V, ±0.04 % 8-Pin, SOIC</t>
  </si>
  <si>
    <t>Analog Devices</t>
  </si>
  <si>
    <t>523-7011</t>
  </si>
  <si>
    <t>REF195GSZ</t>
  </si>
  <si>
    <t>https://jp.rs-online.com/web/p/voltage-references/5237011/?sra=pstk</t>
  </si>
  <si>
    <t>Latching Relay</t>
  </si>
  <si>
    <t>DPDT PCB Mount Latching Relay 8 A, 5V dc For Use In Power Applications</t>
  </si>
  <si>
    <t>TE Connectivity</t>
  </si>
  <si>
    <t>680-3883</t>
  </si>
  <si>
    <t>RT424F05</t>
  </si>
  <si>
    <t>https://jp.rs-online.com/web/p/latching-relays/6803883/?sra=pstk</t>
  </si>
  <si>
    <t>N-Channel MOSFET</t>
  </si>
  <si>
    <t>Vishay SI4164DY-T1-GE3 N-channel MOSFET, 30 A, 30 V, 8-Pin SOIC</t>
  </si>
  <si>
    <t>812-3198</t>
  </si>
  <si>
    <t>SI4164DY-T1-GE3</t>
  </si>
  <si>
    <t>https://jp.rs-online.com/web/p/mosfet-transistors/8123198/?sra=pstk</t>
  </si>
  <si>
    <t>Thermal pad</t>
  </si>
  <si>
    <t>Interface for HS150, 0.2mm</t>
  </si>
  <si>
    <t>RS Pro</t>
  </si>
  <si>
    <t>758-0960</t>
  </si>
  <si>
    <t>https://jp.rs-online.com/web/p/thermal-conductive-pads/7580960/?sra=pstk</t>
  </si>
  <si>
    <t>Arcol HS150 Series Aluminium Housed Axial Wire Wound Panel Mount Resistor, 1Ω ±5% 150W</t>
  </si>
  <si>
    <t>309-1217</t>
  </si>
  <si>
    <t>HS150 1R J</t>
  </si>
  <si>
    <t>https://jp.rs-online.com/web/p/panel-mount-fixed-resistors/3091217/</t>
  </si>
  <si>
    <t>Refill for solder tip cleaner</t>
  </si>
  <si>
    <t>GAZ REFILL FOR 599</t>
  </si>
  <si>
    <t>Hakko</t>
  </si>
  <si>
    <t>192-2608</t>
  </si>
  <si>
    <t>599-029</t>
  </si>
  <si>
    <t>https://jp.rs-online.com/web/p/products/1922608/</t>
  </si>
  <si>
    <t>Solder</t>
  </si>
  <si>
    <t>Lead Free Solder 0.6mm</t>
  </si>
  <si>
    <t>470-8988</t>
  </si>
  <si>
    <t>HS-372</t>
  </si>
  <si>
    <t>https://jp.rs-online.com/web/p/solders/4708988/</t>
  </si>
  <si>
    <t>Operational Amplifier</t>
  </si>
  <si>
    <t>IC OPAMP DIFF 175KHZ RRO 8SOIC</t>
  </si>
  <si>
    <t>Maxim Integrated</t>
  </si>
  <si>
    <t>DigiKey</t>
  </si>
  <si>
    <t>MAX1498ESA+-ND</t>
  </si>
  <si>
    <t>MAX1498ESA+</t>
  </si>
  <si>
    <t>https://www.digikey.jp/products/en?keywords=MAX4198ESA%2B-ND</t>
  </si>
  <si>
    <t>PCB</t>
  </si>
  <si>
    <t>Victor H. Schulz</t>
  </si>
  <si>
    <t>P-ban</t>
  </si>
  <si>
    <t>第1地上局メンテナンス</t>
  </si>
  <si>
    <t>Hiroshi Fukuda</t>
  </si>
  <si>
    <t>アポロ電子</t>
  </si>
  <si>
    <t>AV3, HR4</t>
  </si>
  <si>
    <t>第2地上局メンテナンス</t>
  </si>
  <si>
    <t>Birds-1, 2, 3</t>
  </si>
  <si>
    <t>ディプロイメントスイッチ</t>
  </si>
  <si>
    <t>スリランカ</t>
  </si>
  <si>
    <t>Yuji Sasaki</t>
  </si>
  <si>
    <t>C&amp;K</t>
  </si>
  <si>
    <t>CKN10231CT-ND</t>
  </si>
  <si>
    <t>SDS002R</t>
  </si>
  <si>
    <t>BIRDS3</t>
  </si>
  <si>
    <t>Structure</t>
  </si>
  <si>
    <t>BIRDS ROOM</t>
  </si>
  <si>
    <t>ハウジングコネクター</t>
  </si>
  <si>
    <t>2POS 2mm</t>
  </si>
  <si>
    <t>molex</t>
  </si>
  <si>
    <t>632-2081</t>
  </si>
  <si>
    <t>51090-0200</t>
  </si>
  <si>
    <t>ShoeHorn and M10X50 Bolt and Nut</t>
  </si>
  <si>
    <t>BONSU</t>
  </si>
  <si>
    <t>NAFCO</t>
  </si>
  <si>
    <t>Research</t>
  </si>
  <si>
    <t>ZHL-50W-52-S+</t>
  </si>
  <si>
    <t>Adrian Salces</t>
  </si>
  <si>
    <t>50 W class A RF power amplifer</t>
  </si>
  <si>
    <t>Mini-Circuits</t>
  </si>
  <si>
    <t>BT1165</t>
  </si>
  <si>
    <t>BIRDS2, 3</t>
  </si>
  <si>
    <t>Ground Station</t>
  </si>
  <si>
    <t>GS Room, 8th Floor</t>
  </si>
  <si>
    <t>https://www.minicircuits.com/WebStore/dashboard.html?model=ZHL-50W-52-S%2B</t>
  </si>
  <si>
    <t>LOK PLUG ON CAP FITTING</t>
  </si>
  <si>
    <t>MONOTARO</t>
  </si>
  <si>
    <t>VUWJP-6.35</t>
  </si>
  <si>
    <t>https://www.monotaro.com/p/3494/3754/</t>
  </si>
  <si>
    <t>Hose cable 6X4</t>
  </si>
  <si>
    <t>6mm x 4mm</t>
  </si>
  <si>
    <t>N2-4-6 × 4-5</t>
  </si>
  <si>
    <t>18/09./18</t>
  </si>
  <si>
    <t>Capacitor</t>
  </si>
  <si>
    <t>Yamaguchi</t>
  </si>
  <si>
    <t>2 x 1.25 x 0.9mm</t>
  </si>
  <si>
    <t>Kemet</t>
  </si>
  <si>
    <t>174-4517</t>
  </si>
  <si>
    <t>C0805C102K2GECAUTO</t>
  </si>
  <si>
    <t>BIRDS-2,3</t>
  </si>
  <si>
    <t>Ground station</t>
  </si>
  <si>
    <t>GS Room</t>
  </si>
  <si>
    <t>https://jp.rs-online.com/web/p/ceramic-multilayer-capacitors/1744517/?relevancy-data=636F3D3126696E3D4931384E525353746F636B4E756D626572266C753D656E266D6D3D6D61746368616C6C26706D3D5E282872737C5253295B205D3F293F2832355C647B387D7C32355C647B317D5C2D5C647B377D7C5C647B337D5B5C2D5D3F5C647B332C347D5B70505D3F292426706F3D3126736E3D592673723D2673743D52535F53544F434B5F4E554D4245522677633D4E4F4E45267573743D3137342D34353137267374613D3137343435313726</t>
  </si>
  <si>
    <t>MOSFET</t>
  </si>
  <si>
    <t>2.92 x 1.3 x 0.93mm</t>
  </si>
  <si>
    <t>ON semiconductor</t>
  </si>
  <si>
    <t>671-0312</t>
  </si>
  <si>
    <t>2N7002</t>
  </si>
  <si>
    <t>SOT-23</t>
  </si>
  <si>
    <t>https://jp.rs-online.com/web/p/mosfet-transistors/6710312/?relevancy-data=636F3D3126696E3D4931384E525353746F636B4E756D626572266C753D656E266D6D3D6D61746368616C6C26706D3D5E282872737C5253295B205D3F293F2832355C647B387D7C32355C647B317D5C2D5C647B377D7C5C647B337D5B5C2D5D3F5C647B332C347D5B70505D3F292426706F3D3126736E3D592673723D2673743D52535F53544F434B5F4E554D4245522677633D4E4F4E45267573743D3637312D30333132267374613D3637313033313226</t>
  </si>
  <si>
    <t>Balun</t>
  </si>
  <si>
    <t>5MHz ~ 1.2GHz 50 / 75 ohm 5-SMD Module</t>
  </si>
  <si>
    <t>M/A-Com Technology Solutions</t>
  </si>
  <si>
    <t>1465-1706-1-ND</t>
  </si>
  <si>
    <t>MABA-011029</t>
  </si>
  <si>
    <t>5-SMD</t>
  </si>
  <si>
    <t>BIRDS room</t>
  </si>
  <si>
    <t>https://www.digikey.jp/product-detail/ja/m-a-com-technology-solutions/MABA-011029/1465-1706-1-ND/5131116</t>
  </si>
  <si>
    <t>50ohm 400 to 2300MHz 1:1.5 ratio</t>
  </si>
  <si>
    <t>NCS1.5-232+</t>
  </si>
  <si>
    <t>$.99</t>
  </si>
  <si>
    <t>$19.8</t>
  </si>
  <si>
    <t>https://www.minicircuits.com/WebStore/dashboard.html?model=NCS1.5-232%2B</t>
  </si>
  <si>
    <t>10µH, 850mA 300 mOhm 1008 (2520 Metric)</t>
  </si>
  <si>
    <t>Wurth Electronics Inc.</t>
  </si>
  <si>
    <t>732-4516-1-ND</t>
  </si>
  <si>
    <t>74479887310A</t>
  </si>
  <si>
    <t>1008 (2520 Metric)</t>
  </si>
  <si>
    <t>https://www.digikey.jp/product-detail/en/wurth-electronics-inc/74479887310A/732-4516-1-ND/4120134</t>
  </si>
  <si>
    <t>CBSTSR M2-L5</t>
  </si>
  <si>
    <t>MISUMI</t>
  </si>
  <si>
    <t>CBSTSR2-5</t>
  </si>
  <si>
    <t>https://jp.misumi-ec.com/vona2/detail/110302280540/?HissuCode=CBSTSR&amp;PNSearch=CBSTSR&amp;KWSearch=CBSTSR&amp;searchFlow=results2products</t>
  </si>
  <si>
    <t>CBSTSR M2-L6</t>
  </si>
  <si>
    <t>CBSTSR2-6</t>
  </si>
  <si>
    <t>CBSTSR M3-L10</t>
  </si>
  <si>
    <t>CBSTSR3-10</t>
  </si>
  <si>
    <t>CU-305 D3-L5</t>
  </si>
  <si>
    <t>https://jp.misumi-ec.com/vona2/detail/221006204401/?HissuCode=CU-305&amp;PNSearch=CU-305&amp;KWSearch=cu-305&amp;searchFlow=results2products</t>
  </si>
  <si>
    <t>FABS M3-L96</t>
  </si>
  <si>
    <t>CU-305</t>
  </si>
  <si>
    <t>https://jp.misumi-ec.com/vona2/detail/110302679630/?HissuCode=FABS&amp;PNSearch=FABS&amp;KWSearch=FABS&amp;searchFlow=results2products</t>
  </si>
  <si>
    <t>SLBNR3（SHNJ M3）</t>
  </si>
  <si>
    <t>SLBNR3</t>
  </si>
  <si>
    <t>https://jp.misumi-ec.com/vona2/detail/110300250540/?HissuCode=SLBNR3&amp;PNSearch=SLBNR3&amp;KWSearch=SLBNR3&amp;searchFlow=results2products</t>
  </si>
  <si>
    <t>SHNS M2</t>
  </si>
  <si>
    <t>NBK</t>
  </si>
  <si>
    <t>https://www.nbk1560.com/products/specialscrew/nedzicom/miniaturescrew/SHNS/</t>
  </si>
  <si>
    <t>SLHS M2-L12</t>
  </si>
  <si>
    <t>https://www.nbk1560.com/products/specialscrew/nedzicom/lowsmallheadscrew/SLHS/</t>
  </si>
  <si>
    <t>SLHS M2-L8</t>
  </si>
  <si>
    <t>SNSS M1.6-6</t>
  </si>
  <si>
    <t>https://www.nbk1560.com/products/specialscrew/nedzicom/miniaturescrew/SNSS/</t>
  </si>
  <si>
    <t>SNSS M2-4</t>
  </si>
  <si>
    <t>SNSS M2-5</t>
  </si>
  <si>
    <t>SNSS-SD M2-L4</t>
  </si>
  <si>
    <t>https://www.nbk1560.com/products/specialscrew/nedzicom/lowsmallheadscrew/SNSS-SD/</t>
  </si>
  <si>
    <t>SNSS-SD M2-L6</t>
  </si>
  <si>
    <t>SSHS M2-L6</t>
  </si>
  <si>
    <t>https://www.nbk1560.com/products/specialscrew/nedzicom/lowsmallheadscrew/SSHS/</t>
  </si>
  <si>
    <t>SSHS M2-L8</t>
  </si>
  <si>
    <t>樹脂丸棒 外径(φmm) 8mm POM</t>
  </si>
  <si>
    <t xml:space="preserve">2-9593-02 </t>
  </si>
  <si>
    <t>https://jp.misumi-ec.com/vona2/detail/223006486719/?KWSearch=POM&amp;searchFlow=results2products</t>
  </si>
  <si>
    <t>PCB for monopole</t>
  </si>
  <si>
    <t>https://www.p-ban.com/kiban/com/csComTop.do</t>
  </si>
  <si>
    <t>PCB for dipole</t>
  </si>
  <si>
    <t>_+X solar Panel</t>
  </si>
  <si>
    <t>Pooja</t>
  </si>
  <si>
    <t>3 (slight change in design)</t>
  </si>
  <si>
    <t>Solar Panel PCB</t>
  </si>
  <si>
    <t>_+Y solar Panel</t>
  </si>
  <si>
    <t>_+Z solar Panel</t>
  </si>
  <si>
    <t>_-Y solar Panel</t>
  </si>
  <si>
    <t>_-Z solar Panel</t>
  </si>
  <si>
    <t>LDM_BOARD_FM</t>
  </si>
  <si>
    <t>Tharindu</t>
  </si>
  <si>
    <t>4 (1 unsoldered)</t>
  </si>
  <si>
    <t>56,879 yen</t>
  </si>
  <si>
    <t>LDM</t>
  </si>
  <si>
    <t>BIRDS3_MSNII_FMv01</t>
  </si>
  <si>
    <t>Abhas</t>
  </si>
  <si>
    <t>MSN II</t>
  </si>
  <si>
    <t>arladite RT 30</t>
  </si>
  <si>
    <t>montotaro</t>
  </si>
  <si>
    <t>Araldite rt 30</t>
  </si>
  <si>
    <t>research</t>
  </si>
  <si>
    <t>svbl 2nd floor</t>
  </si>
  <si>
    <t>https://www.monotaro.com/p/3466/5565/</t>
  </si>
  <si>
    <t>Valve</t>
  </si>
  <si>
    <t>HBV6-6</t>
  </si>
  <si>
    <t>https://www.monotaro.com/g/00386120/?t.q=39481924</t>
  </si>
  <si>
    <t>Splitter</t>
  </si>
  <si>
    <t>Misumi</t>
  </si>
  <si>
    <t>4HV 230-08</t>
  </si>
  <si>
    <t>PHV6-6</t>
  </si>
  <si>
    <t>https://jp.misumi-ec.com/vona2/detail/221004933699//</t>
  </si>
  <si>
    <t>25/09/0218</t>
  </si>
  <si>
    <t>PCB fabrication and component soldering</t>
  </si>
  <si>
    <t>Charger_Discharger_V2.1_PCB</t>
  </si>
  <si>
    <t>3 (all unsoldered)</t>
  </si>
  <si>
    <t>BIRDS3-RAB-FM</t>
  </si>
  <si>
    <t>sri lanka</t>
  </si>
  <si>
    <t>Dulani</t>
  </si>
  <si>
    <t>3(soldered)</t>
  </si>
  <si>
    <t>RAB</t>
  </si>
  <si>
    <t>KEMET Multilayer ceramic capacitor (MLCC) 16 V dc</t>
  </si>
  <si>
    <t>1μF ± 10%</t>
  </si>
  <si>
    <t>399-1284-1-ND</t>
  </si>
  <si>
    <t>C0805C105K4RACTU</t>
  </si>
  <si>
    <t>0805(2012M)</t>
  </si>
  <si>
    <t>14.7 per unit</t>
  </si>
  <si>
    <t>EPS</t>
  </si>
  <si>
    <t>https://jp.rs-online.com/web/p/ceramic-multilayer-capacitors/4515770/</t>
  </si>
  <si>
    <t>DIODE SCHOTTKY 20V 1A SOD123</t>
  </si>
  <si>
    <t>20V, 1A</t>
  </si>
  <si>
    <t>ON Semiconductor</t>
  </si>
  <si>
    <t>NRVB120VLSFT1GOSCT-ND</t>
  </si>
  <si>
    <t>NRVB120VLSFT1G</t>
  </si>
  <si>
    <t>SOD-123F</t>
  </si>
  <si>
    <t>35.11 per unit</t>
  </si>
  <si>
    <t>https://www.digikey.jp/product-detail/en/on-semiconductor/NRVB120VLSFT1G/NRVB120VLSFT1GOSCT-ND/8538727?cur=JPY&amp;lang=en</t>
  </si>
  <si>
    <t>SENSOR TEMP ANLG VOLT SC-70</t>
  </si>
  <si>
    <t>1.5 - 5.5V</t>
  </si>
  <si>
    <t>Texas Instruments</t>
  </si>
  <si>
    <t>296-36413-1-ND</t>
  </si>
  <si>
    <t>LMT84QDCKTQ1</t>
  </si>
  <si>
    <t>5-TSSOP, SC-70-5, SOT-353</t>
  </si>
  <si>
    <t>67.2 per unit</t>
  </si>
  <si>
    <t>https://www.digikey.jp/products/en?keywords=296-36413-1-ND</t>
  </si>
  <si>
    <t>12PIN Connector</t>
  </si>
  <si>
    <t>12PIN</t>
  </si>
  <si>
    <t>Hirosugi</t>
  </si>
  <si>
    <t>FSM-21045-12</t>
  </si>
  <si>
    <t>43 per unit</t>
  </si>
  <si>
    <t>http://hirosugi.co.jp/products/N/FSM-20.html</t>
  </si>
  <si>
    <t>Polymide battery heater</t>
  </si>
  <si>
    <t>11.6W, 49.7 ohm, 25mmX50mm</t>
  </si>
  <si>
    <t>Nippon Heaters</t>
  </si>
  <si>
    <t>PS 2550-24 / 12</t>
  </si>
  <si>
    <t>8400 per unit</t>
  </si>
  <si>
    <t>https://www.nippon-heater.co.jp/products/metal/polyimid/</t>
  </si>
  <si>
    <t>シリコンゴムシート</t>
  </si>
  <si>
    <t>https://www.monotaro.com/p/0705/7994/</t>
  </si>
  <si>
    <t>アスクル　チャック袋　0.04mm厚 A4</t>
  </si>
  <si>
    <t>240mm x 340mm</t>
  </si>
  <si>
    <t>アスクル</t>
  </si>
  <si>
    <t>598 per 100</t>
  </si>
  <si>
    <t>Inventory</t>
  </si>
  <si>
    <t>BIRDS room, 
Clean room</t>
  </si>
  <si>
    <t>https://www.askul.co.jp/p/9445364/</t>
  </si>
  <si>
    <t>アスクル　チャック袋　0.04mm厚 B7</t>
  </si>
  <si>
    <t>100mm x 140mm</t>
  </si>
  <si>
    <t>272 per 200</t>
  </si>
  <si>
    <t>BIRDS room,
Clean room</t>
  </si>
  <si>
    <t>https://www.askul.co.jp/p/9445589/</t>
  </si>
  <si>
    <t>RES 0.025 OHM 1% 1/4W 0805</t>
  </si>
  <si>
    <t>0.025 ohm</t>
  </si>
  <si>
    <t>WSLB-.025CT-ND</t>
  </si>
  <si>
    <t>WSL0805R0250FEA18</t>
  </si>
  <si>
    <t>0805US (2012M)</t>
  </si>
  <si>
    <t>https://www.digikey.jp/product-detail/en/vishay-dale/WSL0805R0250FEA18/WSLB-.025CT-ND/713391?cur=JPY&amp;lang=en</t>
  </si>
  <si>
    <t>RES 0.2 OHM 1% 1/4W 0805</t>
  </si>
  <si>
    <t>0.2 ohm</t>
  </si>
  <si>
    <t>WSLB-.20CT-ND</t>
  </si>
  <si>
    <t>WSL0805R2000FEA18</t>
  </si>
  <si>
    <t>https://www.digikey.jp/ordering/shoppingcart</t>
  </si>
  <si>
    <t>Atmega 32U4</t>
  </si>
  <si>
    <t>Atmega MCU</t>
  </si>
  <si>
    <t>ATMEGA32U4-AURCT-ND</t>
  </si>
  <si>
    <t>ATMEGA32U4-AUR</t>
  </si>
  <si>
    <t>TQFP-44</t>
  </si>
  <si>
    <t>https://www.digikey.jp/product-detail/en/microchip-technology/ATMEGA32U4-AUR/ATMEGA32U4-AURCT-ND/3440960</t>
  </si>
  <si>
    <t>SSM6K411TU(TE85L,F)</t>
  </si>
  <si>
    <t>Switching Mosfet</t>
  </si>
  <si>
    <t>Toshiba</t>
  </si>
  <si>
    <t>SSM6K411TU(TE85LFCT-ND</t>
  </si>
  <si>
    <t>UF6</t>
  </si>
  <si>
    <t>https://www.digikey.jp/product-detail/en/toshiba-semiconductor-and-storage/SSM6K411TU-TE85LF/SSM6K411TU-TE85LFCT-ND/5298038?cur=JPY&amp;lang=en</t>
  </si>
  <si>
    <t>LT6106</t>
  </si>
  <si>
    <t>Current sensor</t>
  </si>
  <si>
    <t>Analog Deveces</t>
  </si>
  <si>
    <t>LT6106CS5#TRMPBFCT-ND</t>
  </si>
  <si>
    <t>LT6106CS5#TRMPBF</t>
  </si>
  <si>
    <t>TSOT-23-5</t>
  </si>
  <si>
    <t>https://www.digikey.jp/product-detail/en/linear-technology-analog-devices/LT6106CS5-TRMPBF/LT6106CS5-TRMPBFCT-ND/1590293</t>
  </si>
  <si>
    <t>D10AA20Z4</t>
  </si>
  <si>
    <t>20dB Attenuator</t>
  </si>
  <si>
    <t>Aneren</t>
  </si>
  <si>
    <t>1173-1083-1-ND</t>
  </si>
  <si>
    <t>2-SMD</t>
  </si>
  <si>
    <t>https://www.digikey.jp/product-detail/en/anaren/D10AA20Z4/1173-1083-1-ND/3069281</t>
  </si>
  <si>
    <t>LTC4361-2 (IC OVERVOLTAGE/CUR PROT TSOT23-8)</t>
  </si>
  <si>
    <t>OCP</t>
  </si>
  <si>
    <t>LTC4361CTS8-2#TRMPBFCT-ND</t>
  </si>
  <si>
    <t>LTC4361CTS8-2#TRMPBF</t>
  </si>
  <si>
    <t>TSOT-23-8</t>
  </si>
  <si>
    <t>https://www.digikey.jp/product-detail/en/linear-technology-analog-devices/LTC4361CTS8-2-TRMPBF/LTC4361CTS8-2-TRMPBFCT-ND/2297165?cur=JPY&amp;lang=en</t>
  </si>
  <si>
    <t>16MHz Crystal</t>
  </si>
  <si>
    <t>SMD crystal 16MHz</t>
  </si>
  <si>
    <t>Abrocon</t>
  </si>
  <si>
    <t>535-10226-1-ND</t>
  </si>
  <si>
    <t>ABLS-16.000MHZ-B4-T</t>
  </si>
  <si>
    <t>HC49</t>
  </si>
  <si>
    <t>https://www.digikey.jp/product-detail/en/abracon-llc/ABLS-16.000MHZ-B4-T/535-10226-1-ND/2184261?cur=JPY&amp;lang=en</t>
  </si>
  <si>
    <t>RFM98</t>
  </si>
  <si>
    <t>RFM98 (Lora Module)</t>
  </si>
  <si>
    <t>HopeRF</t>
  </si>
  <si>
    <t>RFM98W-433S2-ND</t>
  </si>
  <si>
    <t>RFM98W-433S2</t>
  </si>
  <si>
    <t>SMD-RFM</t>
  </si>
  <si>
    <t>https://www.digikey.jp/product-detail/en/rf-solutions/RFM98W-433S2/RFM98W-433S2-ND/6564924</t>
  </si>
  <si>
    <t>CAP CER 22PF</t>
  </si>
  <si>
    <t>22pF Capacitor</t>
  </si>
  <si>
    <t>490-4942-1-ND</t>
  </si>
  <si>
    <t>GCM1885C2A220JA16D</t>
  </si>
  <si>
    <t>1608M</t>
  </si>
  <si>
    <t>https://www.digikey.jp/product-detail/en/murata-electronics-north-america/GCM1885C2A220JA16D/490-4942-1-ND/1765261</t>
  </si>
  <si>
    <t>CAP CER 10uF</t>
  </si>
  <si>
    <t>10uF Capacitor</t>
  </si>
  <si>
    <t>Samsung</t>
  </si>
  <si>
    <t>1276-6456-1-ND</t>
  </si>
  <si>
    <t>CL21A106KPFNNNG</t>
  </si>
  <si>
    <t>https://www.digikey.jp/product-detail/en/samsung-electro-mechanics/CL21A106KPFNNNG/1276-6456-1-ND/5958084</t>
  </si>
  <si>
    <t>Balun test board (NCS1.5-232+)</t>
  </si>
  <si>
    <t>mini-Circuits</t>
  </si>
  <si>
    <t>TB-626+</t>
  </si>
  <si>
    <t>https://www.minicircuits.com/WebStore/dashboard.html?model=TB-626%2B</t>
  </si>
  <si>
    <t>Balun test board (ADT1.5-1+)</t>
  </si>
  <si>
    <t>TB-430</t>
  </si>
  <si>
    <t>https://www.minicircuits.com/WebStore/dashboard.html?model=TB-430</t>
  </si>
  <si>
    <t>Structure Frame</t>
  </si>
  <si>
    <t>‐</t>
  </si>
  <si>
    <t>HMD</t>
  </si>
  <si>
    <t>3基</t>
  </si>
  <si>
    <t>1基</t>
  </si>
  <si>
    <t>MEXT</t>
  </si>
  <si>
    <t>Linear Technology/Analog Device</t>
  </si>
  <si>
    <t>Digikey</t>
  </si>
  <si>
    <t>SOT-23-5 Thin, TSOT-23-5</t>
  </si>
  <si>
    <t xml:space="preserve">
Mission board 2/FM</t>
  </si>
  <si>
    <t>0.2Ohm</t>
  </si>
  <si>
    <t>Samsung Electro-Mechanics</t>
  </si>
  <si>
    <t>1276-6171-1-ND</t>
  </si>
  <si>
    <t>RUT2012FR200CS</t>
  </si>
  <si>
    <t>0805（2012)</t>
  </si>
  <si>
    <t>https://www.digikey.jp/products/ja?keywords=1276-6171-1-ND</t>
  </si>
  <si>
    <t>Dual V Channel</t>
  </si>
  <si>
    <t>SC-70, 20V, 6pin</t>
  </si>
  <si>
    <t>SQ1922EEH-T1_GE3CT-ND</t>
  </si>
  <si>
    <t>SQ1922EEH-T1_GE3</t>
  </si>
  <si>
    <t>SC-70</t>
  </si>
  <si>
    <t>https://www.digikey.jp/products/ja?keywords=SQ1922EEH-T1_GE3CT-ND</t>
  </si>
  <si>
    <t>LED</t>
  </si>
  <si>
    <t>Green, 0805 LED</t>
  </si>
  <si>
    <t>LG</t>
  </si>
  <si>
    <t xml:space="preserve"> 475-1410-1-ND</t>
  </si>
  <si>
    <t>LG R971-KN-1</t>
  </si>
  <si>
    <t>0805（2012) SMD</t>
  </si>
  <si>
    <t>https://www.digikey.jp/product-detail/en/LG+R971-KN-1/475-1410-1-ND/1802598/?itemSeq=273198293</t>
  </si>
  <si>
    <t>NPN</t>
  </si>
  <si>
    <t>100mA, 50V</t>
  </si>
  <si>
    <t>ROHM</t>
  </si>
  <si>
    <t>DTC144EKAT146CT-ND</t>
  </si>
  <si>
    <t>DTC144 EKAT 146</t>
  </si>
  <si>
    <t>SOT-346</t>
  </si>
  <si>
    <t>https://www.digikey.jp/product-detail/ja/rohm-semiconductor/DTC144EKAT146/DTC144EKAT146CT-ND/650727</t>
  </si>
  <si>
    <t>MCU</t>
  </si>
  <si>
    <t>3.3V, 8bit</t>
  </si>
  <si>
    <t>ATMEGA2560V-8AURCT-ND</t>
  </si>
  <si>
    <t>ATMEGA 2560V-8 AUR</t>
  </si>
  <si>
    <t>TQFP100</t>
  </si>
  <si>
    <t>https://www.digikey.jp/product-detail/ja/microchip-technology/ATMEGA2560V-8AUR/ATMEGA2560V-8AURCT-ND/3440931</t>
  </si>
  <si>
    <t>0.025Ohm</t>
  </si>
  <si>
    <t>WSL 0805 R 0250 FEA 18</t>
  </si>
  <si>
    <t>https://www.digikey.jp/product-detail/ja/vishay-dale/WSL0805R0250FEA18/WSLB-.025CT-ND/713391</t>
  </si>
  <si>
    <t>Motor Driver</t>
  </si>
  <si>
    <t>DFN-10</t>
  </si>
  <si>
    <t>Allegro</t>
  </si>
  <si>
    <t>620-1159-1-ND</t>
  </si>
  <si>
    <t>A3901SEJTR-T</t>
  </si>
  <si>
    <t>https://www.digikey.jp/product-detail/en/A3901SEJTR-T/620-1159-1-ND/1108988/?itemSeq=273198905</t>
  </si>
  <si>
    <t>Crystal</t>
  </si>
  <si>
    <t>8Mhz</t>
  </si>
  <si>
    <t>Fox</t>
  </si>
  <si>
    <t>547-6452</t>
  </si>
  <si>
    <t>FOXSDLF / 080-20</t>
  </si>
  <si>
    <t>SMT</t>
  </si>
  <si>
    <t>https://jp.rs-online.com/web/p/crystal-units/5476452/</t>
  </si>
  <si>
    <t>33nH</t>
  </si>
  <si>
    <t>Abracon</t>
  </si>
  <si>
    <t>535-11564-1-ND</t>
  </si>
  <si>
    <t>AIMC-0805-33NJ-T</t>
  </si>
  <si>
    <t>0805（2012)
SMD</t>
  </si>
  <si>
    <t>https://www.digikey.jp/product-detail/en/AIMC-0805-33NJ-T/535-11564-1-ND/2782805/?itemSeq=273199799</t>
  </si>
  <si>
    <t>20pF</t>
  </si>
  <si>
    <t>1276-1829-1-ND</t>
  </si>
  <si>
    <t>CL21C200JBANNNC</t>
  </si>
  <si>
    <t>https://www.digikey.jp/product-detail/en/CL21C200JBANNNC/1276-1829-1-ND/3889915/?itemSeq=273201151</t>
  </si>
  <si>
    <t>18pF</t>
  </si>
  <si>
    <t>Johanson Dielectrics Inc.</t>
  </si>
  <si>
    <t>709-1171-1-ND</t>
  </si>
  <si>
    <t>500R15N180JV4T</t>
  </si>
  <si>
    <t>https://www.digikey.jp/product-detail/en/500R15N180JV4T/709-1171-1-ND/1859503/?itemSeq=273201451</t>
  </si>
  <si>
    <t>1uF</t>
  </si>
  <si>
    <t>Taiyo Yuden</t>
  </si>
  <si>
    <t>587-1248-1-ND</t>
  </si>
  <si>
    <t>TMK107BJ105KA-T</t>
  </si>
  <si>
    <t>boshi</t>
  </si>
  <si>
    <t>https://www.digikey.jp/product-detail/en/TMK107BJ105KA-T/587-1248-1-ND/931025/?itemSeq=273206271</t>
  </si>
  <si>
    <t>100uF</t>
  </si>
  <si>
    <t>490-10510-1-ND</t>
  </si>
  <si>
    <t>GRM21BR60G107ME15L</t>
  </si>
  <si>
    <t>https://www.digikey.jp/product-detail/en/GRM21BR60G107ME15L/490-10510-1-ND/5026439/?itemSeq=273207224</t>
  </si>
  <si>
    <t>0.1uF</t>
  </si>
  <si>
    <t>AVX Corporation</t>
  </si>
  <si>
    <t>478-1395-1-ND</t>
  </si>
  <si>
    <t>08055C104KAT2A</t>
  </si>
  <si>
    <t>https://www.digikey.jp/product-detail/en/08055C104KAT2A/478-1395-1-ND/564427/?itemSeq=273207630</t>
  </si>
  <si>
    <t>MMCX to UFL cable</t>
  </si>
  <si>
    <t>MMCX male right angle to IPX RG178 15cm</t>
  </si>
  <si>
    <t>Honkong Superbat Co.Ltd</t>
  </si>
  <si>
    <t>Hongkong Superbat Co.Ltd</t>
  </si>
  <si>
    <t>AC-M01RA-U04RJ178-15</t>
  </si>
  <si>
    <t>USD 2.50</t>
  </si>
  <si>
    <t>USD 15.50</t>
  </si>
  <si>
    <t>https://www.rfsupplier.com/ufl-right-angle-jack-to-mmcx-plug-right-angle-cable-using-rg178-coax_p6621.html</t>
  </si>
  <si>
    <t>GPS antenna</t>
  </si>
  <si>
    <t>Right Hand Circularly Polarized (RHCP)</t>
  </si>
  <si>
    <t>Circoom Technology Corp</t>
  </si>
  <si>
    <t>MRF</t>
  </si>
  <si>
    <t>PA025AA0096</t>
  </si>
  <si>
    <t>http://www.cirocomm.com/en-global/products_ciro/detail/PA025AA0096</t>
  </si>
  <si>
    <t>MMCX connector</t>
  </si>
  <si>
    <t xml:space="preserve"> CONN MMCX 50 OHM SMD</t>
  </si>
  <si>
    <t>Amphenol RF Division</t>
  </si>
  <si>
    <t>Digi Key</t>
  </si>
  <si>
    <t>ARF1725CT-ND</t>
  </si>
  <si>
    <t>https://www.digikey.jp/products/en?keywords=ARF1725CT-ND</t>
  </si>
  <si>
    <t>BIRDS3_SBPB_FMv01</t>
  </si>
  <si>
    <t>CPLD Backplane Board</t>
  </si>
  <si>
    <t>1 (1 unsoldered)</t>
  </si>
  <si>
    <t>Backplane</t>
  </si>
  <si>
    <t>BIRDS3_HBPB_FMv01</t>
  </si>
  <si>
    <t>Non CPLD Backplane Board</t>
  </si>
  <si>
    <t>2 (1 unsoldered)</t>
  </si>
  <si>
    <t>ボルト</t>
  </si>
  <si>
    <t>外部利用</t>
  </si>
  <si>
    <t>山内</t>
  </si>
  <si>
    <t>M12-35</t>
  </si>
  <si>
    <t>SUNCO</t>
  </si>
  <si>
    <t>CSH-STD-M12-35</t>
  </si>
  <si>
    <t>Labratory</t>
  </si>
  <si>
    <t>SVBL1F</t>
  </si>
  <si>
    <t>https://jp.misumi-ec.com/vona2/detail/221000551286/?CategorySpec=00000217065%3a%3amig00000002463787%0900000217017%3a%3amig00000002463781%0900000217082%3a%3aa%0900000217097%3a%3aa%0900000217131%3a%3aa%0900000217143%3a%3aa%0900000216962%3a%3aj&amp;bid=bid_list_template</t>
  </si>
  <si>
    <t>M12-50</t>
  </si>
  <si>
    <t>CSH-STD-M12-50</t>
  </si>
  <si>
    <t>M12-55</t>
  </si>
  <si>
    <t>CSH-STD-M12-55</t>
  </si>
  <si>
    <t>ワッシャ</t>
  </si>
  <si>
    <t>M12 Φ26</t>
  </si>
  <si>
    <t>天創</t>
  </si>
  <si>
    <t>WS12-P</t>
  </si>
  <si>
    <t>https://jp.misumi-ec.com/vona2/detail/221000552007/</t>
  </si>
  <si>
    <t>M12 Φ23</t>
  </si>
  <si>
    <t>WSJS-SUS-M12</t>
  </si>
  <si>
    <t>https://jp.misumi-ec.com/vona2/detail/221005685841/?CategorySpec=00000216919%3a%3ab%0900000217003%3a%3amig00000002465376&amp;bid=bid_list_template</t>
  </si>
  <si>
    <t>極東製作所</t>
  </si>
  <si>
    <t>KKT-HCSNNFXC12-55</t>
  </si>
  <si>
    <t>https://jp.misumi-ec.com/vona2/detail/221000530294/?CategorySpec=00000217065%3a%3amig00000002463787%0900000217017%3a%3amig00000002463781%0900000217082%3a%3aa%0900000217097%3a%3aa%0900000217131%3a%3aa%0900000217143%3a%3aa%0900000216962%3a%3aj&amp;bid=bid_list_template</t>
  </si>
  <si>
    <t>M16-120</t>
  </si>
  <si>
    <t>KKT-HCSNNFXC16-120</t>
  </si>
  <si>
    <t>M16  t5</t>
  </si>
  <si>
    <t>WSX-ST-M17X50-5</t>
  </si>
  <si>
    <t>https://jp.misumi-ec.com/vona2/detail/221004999084/?rid=hs_221000530294_221004999084</t>
  </si>
  <si>
    <t>Aducam ov5642</t>
  </si>
  <si>
    <t>5MP Camera</t>
  </si>
  <si>
    <t>Arducam</t>
  </si>
  <si>
    <t>Akizuki Denshi</t>
  </si>
  <si>
    <t>M-13200</t>
  </si>
  <si>
    <t>B0068</t>
  </si>
  <si>
    <t>MSN II (CAM)</t>
  </si>
  <si>
    <t>BIRDS Room, SVBL 3rd Floor</t>
  </si>
  <si>
    <t>http://akizukidenshi.com/catalog/g/gM-13200/</t>
  </si>
  <si>
    <t>B5M2916C</t>
  </si>
  <si>
    <t>Camera Lens</t>
  </si>
  <si>
    <t xml:space="preserve"> Lensation</t>
  </si>
  <si>
    <t>Lensation</t>
  </si>
  <si>
    <t>M-12</t>
  </si>
  <si>
    <t>520.45 [EUR]</t>
  </si>
  <si>
    <t>86.74 [EUR]</t>
  </si>
  <si>
    <t>https://www.lensation.de/product/B5M2916C/</t>
  </si>
  <si>
    <t>Non-polarized capacitor</t>
  </si>
  <si>
    <t>TDK laminated ceramic capacitor (MLCC) 50 V dc, 1000 pF ± 5%</t>
  </si>
  <si>
    <t>788-2963</t>
  </si>
  <si>
    <t>C1608C0G1H102J080AA</t>
  </si>
  <si>
    <t>C0603</t>
  </si>
  <si>
    <t>DBC_Prototype_V1.1</t>
  </si>
  <si>
    <t>https://jp.rs-online.com/web/p/ceramic-multilayer-capacitors/7235783/</t>
  </si>
  <si>
    <t>Multilayer ceramic capacitor (MLCC) 35 V dc 2.2 μF ± 10%</t>
  </si>
  <si>
    <t>815-1358</t>
  </si>
  <si>
    <t>GRM188R6YA225KA12D</t>
  </si>
  <si>
    <t>https://jp.rs-online.com/web/product/ceramic-multilayer-capacitors/1034115/</t>
  </si>
  <si>
    <t>Multilayer ceramic capacitor (MLCC) 16 V dc 1 μF ± 10%</t>
  </si>
  <si>
    <t>723-5506</t>
  </si>
  <si>
    <t>GRM188C71C105KA12D</t>
  </si>
  <si>
    <t>https://jp.rs-online.com/web/p/ceramic-multilayer-capacitors/9155660/</t>
  </si>
  <si>
    <t>Polarized capacitor</t>
  </si>
  <si>
    <t>C7343</t>
  </si>
  <si>
    <t>1 100.00</t>
  </si>
  <si>
    <t>https://jp.rs-online.com/web/p/tantalum-capacitors/1213317/</t>
  </si>
  <si>
    <t>6 pin connector</t>
  </si>
  <si>
    <t>B6B-EH-A</t>
  </si>
  <si>
    <t>https://jp.rs-online.com/web/p/pcb-headers/5151434/</t>
  </si>
  <si>
    <t>Switching diode</t>
  </si>
  <si>
    <t>Schottky Diode, 100V 3A, 2-Pin SMBflat</t>
  </si>
  <si>
    <t>STMicroelectronics</t>
  </si>
  <si>
    <t>880-5452</t>
  </si>
  <si>
    <t>STPS3H100UF</t>
  </si>
  <si>
    <t>SMB</t>
  </si>
  <si>
    <t>1 407.00</t>
  </si>
  <si>
    <t>https://jp.rs-online.com/web/p/rectifier-schottky-diodes/8805452/</t>
  </si>
  <si>
    <t>Zener Diode</t>
  </si>
  <si>
    <t>Zener diode, 4.1 V, 1 W, 2-Pin SOD-123</t>
  </si>
  <si>
    <t>752-5890</t>
  </si>
  <si>
    <t>KDZTR 3.9 B</t>
  </si>
  <si>
    <t>SOD-123</t>
  </si>
  <si>
    <t>https://jp.rs-online.com/web/p/zener-diodes/7525890/</t>
  </si>
  <si>
    <t>Banana jack</t>
  </si>
  <si>
    <t>Chip jack TJ series TJ - 563 - R, polycarbonate (PC), red</t>
  </si>
  <si>
    <t>SATO parts</t>
  </si>
  <si>
    <t>645-9442</t>
  </si>
  <si>
    <t>TJ-563-R</t>
  </si>
  <si>
    <t>1 414.00</t>
  </si>
  <si>
    <t>https://jp.rs-online.com/web/p/terminal-posts/6459414/</t>
  </si>
  <si>
    <t>Chip jack TJ series TJ - 563 - B, polycarbonate (PC), black</t>
  </si>
  <si>
    <t>645-9414</t>
  </si>
  <si>
    <t>TJ-563-B</t>
  </si>
  <si>
    <t>1 580.00</t>
  </si>
  <si>
    <t>https://jp.rs-online.com/web/p/terminal-posts/6459442/</t>
  </si>
  <si>
    <t>Hall-effect current sensor</t>
  </si>
  <si>
    <t>Hall-effect current sensor IC, 8-pin SOIC</t>
  </si>
  <si>
    <t>ACS723LLCTR-05AB-T</t>
  </si>
  <si>
    <t>4 360.00</t>
  </si>
  <si>
    <t>https://jp.rs-online.com/web/p/current-sensors/8660767/</t>
  </si>
  <si>
    <t>PCB fabrication without component soldering</t>
  </si>
  <si>
    <t>BDC_Prototype_V1.1 PCB board</t>
  </si>
  <si>
    <t>FAB LTC3119交換作業</t>
  </si>
  <si>
    <t>Sangkyun Kim</t>
  </si>
  <si>
    <t>LTC3119 Battery charger IC exchange by soldering work</t>
  </si>
  <si>
    <t>Sagami Tsushin</t>
  </si>
  <si>
    <t>NO.18100301</t>
  </si>
  <si>
    <t>Bird3</t>
  </si>
  <si>
    <t>SVBL 3F Bird Room</t>
  </si>
  <si>
    <t>0.20 x 3.0 x 10,000 mm</t>
  </si>
  <si>
    <t>2,000 mm</t>
  </si>
  <si>
    <t>錘(太陽電池貼り付け用)</t>
  </si>
  <si>
    <t>40 x 80 x 10 mm</t>
  </si>
  <si>
    <t>九州黄銅</t>
  </si>
  <si>
    <t>SUS304</t>
  </si>
  <si>
    <t>40 x 80 x 1 mm</t>
  </si>
  <si>
    <t>Dotite</t>
  </si>
  <si>
    <t>20g</t>
  </si>
  <si>
    <t>Fujikura Kasei</t>
  </si>
  <si>
    <t>D-550</t>
  </si>
  <si>
    <t>Clean Room</t>
  </si>
  <si>
    <t>https://www.monotaro.com/p/3324/0313/?displayId=5</t>
  </si>
  <si>
    <t>Ceramic Capacitor</t>
  </si>
  <si>
    <t>16V 22uF</t>
  </si>
  <si>
    <t>RS Components</t>
  </si>
  <si>
    <t>788-3023</t>
  </si>
  <si>
    <t>C2012X5R1C226K125AC</t>
  </si>
  <si>
    <t>2012 (0805)</t>
  </si>
  <si>
    <t>SBPB (CPLD Backplane)</t>
  </si>
  <si>
    <t>https://jp.rs-online.com/web/p/products/7883023/</t>
  </si>
  <si>
    <t>10V 4.7uF</t>
  </si>
  <si>
    <t>698-3579</t>
  </si>
  <si>
    <t>0805ZD475KAT2A</t>
  </si>
  <si>
    <t>https://jp.rs-online.com/web/p/products/6983579/</t>
  </si>
  <si>
    <t>50 Pin Connector</t>
  </si>
  <si>
    <t>2 row, 2mm 1A</t>
  </si>
  <si>
    <t>Hirose</t>
  </si>
  <si>
    <t>779-3068</t>
  </si>
  <si>
    <t>A3C - 50DA - 2DSA (71)</t>
  </si>
  <si>
    <t>HBPB (Non-CPLD Backplane)</t>
  </si>
  <si>
    <t>https://jp.rs-online.com/web/p/products/7793068/</t>
  </si>
  <si>
    <t>tHERMAL INSULATOR</t>
  </si>
  <si>
    <t>Bonsu</t>
  </si>
  <si>
    <t>nafco</t>
  </si>
  <si>
    <t>peltier component</t>
  </si>
  <si>
    <t>40mm x40 mmx40mm</t>
  </si>
  <si>
    <t>Laird Technologies</t>
  </si>
  <si>
    <t>430854-500</t>
  </si>
  <si>
    <t xml:space="preserve">926-1181-ND        </t>
  </si>
  <si>
    <t>https://www.digikey.com/product-detail/en/430854-500/926-1181-ND/2269541/?itemSeq=274400485</t>
  </si>
  <si>
    <t>Dsub 15 Kits</t>
  </si>
  <si>
    <t>TE Connectivity AMPLIMITE Series ABS D-sub Connector Backshell, 15 Way</t>
  </si>
  <si>
    <t>717-4596</t>
  </si>
  <si>
    <t>5748678-2</t>
  </si>
  <si>
    <t>¥3 908.00</t>
  </si>
  <si>
    <t>https://jp.rs-online.com/web/p/d-sub-connector-backshells/7174596/</t>
  </si>
  <si>
    <t>15 core cable</t>
  </si>
  <si>
    <t>Alpha Wire multi-core cable, 15 cores, no shield, 30 m</t>
  </si>
  <si>
    <t>Alpha Wire</t>
  </si>
  <si>
    <t>828-2281</t>
  </si>
  <si>
    <t>1181 / 15C SL005</t>
  </si>
  <si>
    <t>¥13 772.00</t>
  </si>
  <si>
    <t>https://jp.rs-online.com/web/p/multicore-industrial-cable/8282281/</t>
  </si>
  <si>
    <t>Female Dsub 15</t>
  </si>
  <si>
    <t>D-sub connector (solder terminal) Amphenol FCI, female, 15 poles</t>
  </si>
  <si>
    <t>Amphenol FCI</t>
  </si>
  <si>
    <t>542-7860</t>
  </si>
  <si>
    <t>DA15S064HTLF</t>
  </si>
  <si>
    <t>https://jp.rs-online.com/web/p/solder-d-sub-connectors/5427860/</t>
  </si>
  <si>
    <t>Male Dsub 15</t>
  </si>
  <si>
    <t>D-sub connector (solder terminal) Amphenol FCI, male, 15 poles</t>
  </si>
  <si>
    <t>542-7810</t>
  </si>
  <si>
    <t>DA15P064HTXLF</t>
  </si>
  <si>
    <t>https://jp.rs-online.com/web/p/solder-d-sub-connectors/5427810/</t>
  </si>
  <si>
    <t>Serial cable</t>
  </si>
  <si>
    <t>FTDI Chip Interface Development Kit 5 V TTL 3.5 mm Jack USB-UART cable</t>
  </si>
  <si>
    <t>FTDI Chip</t>
  </si>
  <si>
    <t>687-7774</t>
  </si>
  <si>
    <t>TTL-232R-5V-AJ</t>
  </si>
  <si>
    <t>¥2 323.00</t>
  </si>
  <si>
    <t>¥4 646.00</t>
  </si>
  <si>
    <t>https://jp.rs-online.com/web/p/interface-development-kits/6877774/</t>
  </si>
  <si>
    <t>Box</t>
  </si>
  <si>
    <t>Aluminum case Takachi Electric Industry 200 x 150 x 40 mm aluminum</t>
  </si>
  <si>
    <t>Takachi Electric Industry</t>
  </si>
  <si>
    <t>373-2277</t>
  </si>
  <si>
    <t>YM-200</t>
  </si>
  <si>
    <t>¥1 160.00</t>
  </si>
  <si>
    <t>¥4 640.00</t>
  </si>
  <si>
    <t>https://jp.rs-online.com/web/p/auxiliary-contacts/3732277/</t>
  </si>
  <si>
    <t>DC Adapter</t>
  </si>
  <si>
    <t>AC/DC WALL MOUNT ADPTR 7.5V 24W</t>
  </si>
  <si>
    <t>Triad Magnetics</t>
  </si>
  <si>
    <t>237-1391-ND</t>
  </si>
  <si>
    <t>WSU075-3200</t>
  </si>
  <si>
    <t>¥1 878.00</t>
  </si>
  <si>
    <t>¥3 756.00</t>
  </si>
  <si>
    <t>https://www.digikey.jp/products/en?keywords=237-1391-ND</t>
  </si>
  <si>
    <t>Black banana cable</t>
  </si>
  <si>
    <t>Hirschmann Test &amp; Measurement test lead, black, 50 cm</t>
  </si>
  <si>
    <t>Hirschmann Test &amp; Measurement</t>
  </si>
  <si>
    <t>343-3425</t>
  </si>
  <si>
    <t>¥2 516.00</t>
  </si>
  <si>
    <t>https://jp.rs-online.com/web/p/4-mm-connector-test-leads/3433425/</t>
  </si>
  <si>
    <t>Red banana cable</t>
  </si>
  <si>
    <t>Hirschmann Test &amp; Measurement test lead, red, 50 cm</t>
  </si>
  <si>
    <t>343-3431</t>
  </si>
  <si>
    <t>https://jp.rs-online.com/web/p/4-mm-connector-test-leads/3433431/</t>
  </si>
  <si>
    <t>Black banana plug</t>
  </si>
  <si>
    <t>Hirschmann Test &amp; Measurement Banana plug brass 51 mm black</t>
  </si>
  <si>
    <t>738-828</t>
  </si>
  <si>
    <t>¥1 240.00</t>
  </si>
  <si>
    <t>https://jp.rs-online.com/web/p/banana-plugs/0738828/</t>
  </si>
  <si>
    <t>Red banana plug</t>
  </si>
  <si>
    <t>738-834</t>
  </si>
  <si>
    <t>https://jp.rs-online.com/web/p/banana-plugs/0738834/</t>
  </si>
  <si>
    <t>4A fuse</t>
  </si>
  <si>
    <t>Littelfuse glass tube fuse 4 A (time lag) 239 series 5 x 20 mm 5 x 20 mm 125 V ac</t>
  </si>
  <si>
    <t>Littlefuse</t>
  </si>
  <si>
    <t>523-4725</t>
  </si>
  <si>
    <t>0239004.MXP</t>
  </si>
  <si>
    <t>¥1 724.00</t>
  </si>
  <si>
    <t>https://jp.rs-online.com/web/p/cartridge-fuses/5234725/</t>
  </si>
  <si>
    <t>Heatsink</t>
  </si>
  <si>
    <t>For RS Pro heat sink transistor, 20 x 35 x 20 mm</t>
  </si>
  <si>
    <t>263-251</t>
  </si>
  <si>
    <t>¥2 135.00</t>
  </si>
  <si>
    <t>https://jp.rs-online.com/web/p/heatsinks/0263251/</t>
  </si>
  <si>
    <t>Vishay Power Resistor LTO 50 Series 1 Ω 50 W ą 5%</t>
  </si>
  <si>
    <t>532-8369</t>
  </si>
  <si>
    <t>LTO 050 F 1 R 000 JTE 3</t>
  </si>
  <si>
    <t>TO-220</t>
  </si>
  <si>
    <t>¥7 830.00</t>
  </si>
  <si>
    <t>https://jp.rs-online.com/web/p/through-hole-fixed-resistors/5328369/</t>
  </si>
  <si>
    <t>Jumper shunt</t>
  </si>
  <si>
    <t>RS Pro short link, female, straight, black, top opening, 2 poles, 1 row, 2.54 mm pitch</t>
  </si>
  <si>
    <t>251-8862</t>
  </si>
  <si>
    <t>¥1 276.00</t>
  </si>
  <si>
    <t>https://jp.rs-online.com/web/p/jumpers-shunts/2518682/</t>
  </si>
  <si>
    <t>PIC microcontroller</t>
  </si>
  <si>
    <t>Microchip microcomputer PIC16F 8-bit RISC, 28-pin SPDIP</t>
  </si>
  <si>
    <t>803-2434</t>
  </si>
  <si>
    <t>PIC16F1786-I / SP</t>
  </si>
  <si>
    <t>¥2 962.00</t>
  </si>
  <si>
    <t>https://jp.rs-online.com/web/p/microcontrollers/8032434/</t>
  </si>
  <si>
    <t>Testbed for BIRDS-4</t>
  </si>
  <si>
    <t>1 set of standard Bird FAB, EPS/OBC</t>
  </si>
  <si>
    <t>Testbed for BBM</t>
  </si>
  <si>
    <t>BIRDS-4</t>
  </si>
  <si>
    <t>Testbed</t>
  </si>
  <si>
    <t>BIRDS Room</t>
  </si>
  <si>
    <t>https://www.p-ban.com/kiban/com/csComShwOrd.do?summaryOrderNo=18101700156</t>
  </si>
  <si>
    <t>H10903-ND</t>
  </si>
  <si>
    <t>A3C-50DA- 2 DSA (71)</t>
  </si>
  <si>
    <t>50 pin 2mm</t>
  </si>
  <si>
    <t>(9, all sent to p-ban)</t>
  </si>
  <si>
    <t>https://www.digikey.jp/product-detail/ja/A3C-50DA-2DSA(71)/H10903-ND/1033031/?itemSeq=274683285</t>
  </si>
  <si>
    <t>734-7066</t>
  </si>
  <si>
    <t>SPDT 5A</t>
  </si>
  <si>
    <t>https://jp.rs-online.com/web/p/products/7347066/</t>
  </si>
  <si>
    <t>515-1305</t>
  </si>
  <si>
    <t>S2B-EH (LF) (SN)</t>
  </si>
  <si>
    <t>2.5mm EH header</t>
  </si>
  <si>
    <t>https://jp.rs-online.com/web/p/products/5151305/</t>
  </si>
  <si>
    <t>HARWIN</t>
  </si>
  <si>
    <t>488-1730</t>
  </si>
  <si>
    <t>M20-7833646</t>
  </si>
  <si>
    <t>2.54mm, 72pole 2row</t>
  </si>
  <si>
    <t>https://jp.rs-online.com/web/p/products/4881730/</t>
  </si>
  <si>
    <t>Pheonix</t>
  </si>
  <si>
    <t xml:space="preserve">648-8484 </t>
  </si>
  <si>
    <t>3.5mm 2pole</t>
  </si>
  <si>
    <t>https://jp.rs-online.com/web/p/products/6488484/</t>
  </si>
  <si>
    <t>Y Panel board for ANGKASA</t>
  </si>
  <si>
    <t>運営費(50万円)</t>
  </si>
  <si>
    <t>1U CubeSat Panel board for antenna deployment</t>
  </si>
  <si>
    <t>ANGKASA Training</t>
  </si>
  <si>
    <t>スペーサ</t>
  </si>
  <si>
    <t>尾首(ビクトル代理)</t>
  </si>
  <si>
    <t>M2-L10</t>
  </si>
  <si>
    <t>ミスミ</t>
  </si>
  <si>
    <t>SP-S2-10</t>
  </si>
  <si>
    <t>https://jp.misumi-ec.com/vona2/detail/110500138040/?KWSearch=%e3%82%b9%e3%83%9a%e3%83%bc%e3%82%b5%20%e8%b2%ab%e9%80%9a&amp;searchFlow=results2products</t>
  </si>
  <si>
    <t>ねじ</t>
  </si>
  <si>
    <t>M2-L15</t>
  </si>
  <si>
    <t>CSPPN-SUS-M2-15</t>
  </si>
  <si>
    <t>https://jp.misumi-ec.com/vona2/detail/221000547304/?CategorySpec=00000217010%3a%3anvd00000000000001%0900000216966%3a%3amig00000002462205%0900000216948%3a%3ab&amp;bid=bid_list_template</t>
  </si>
  <si>
    <t>Flow regulator with display</t>
  </si>
  <si>
    <t>NAST</t>
  </si>
  <si>
    <t>Hisatsugu</t>
  </si>
  <si>
    <t>MV-301</t>
  </si>
  <si>
    <t>Bronkhorst High-Tech B.V.</t>
  </si>
  <si>
    <t>massflow-online</t>
  </si>
  <si>
    <t>MASS-VIEW MV-301</t>
  </si>
  <si>
    <t xml:space="preserve">4F Center </t>
  </si>
  <si>
    <t>https://www.massflow-online.com/shop/en/mass-view-flow-regulator-with-display-lowest-flow-143%3A00f3ae1202f08ec5d65742157b701e68.html</t>
  </si>
  <si>
    <t>アナログジャイロセンサ</t>
  </si>
  <si>
    <t>Max 100deg/s</t>
  </si>
  <si>
    <t>SILICON SENSING SYSTEMS</t>
  </si>
  <si>
    <t xml:space="preserve">シリコンセンシングシステムズジャパン
</t>
  </si>
  <si>
    <t>CRS03-02T</t>
  </si>
  <si>
    <t>Magnetoresistive Sensor</t>
  </si>
  <si>
    <t xml:space="preserve">MMC5883MA
</t>
  </si>
  <si>
    <t>Memsic Inc.</t>
  </si>
  <si>
    <t xml:space="preserve">1267-1072-1-ND </t>
  </si>
  <si>
    <t xml:space="preserve">MMC5883MA </t>
  </si>
  <si>
    <t>16LGA</t>
  </si>
  <si>
    <t>https://www.digikey.jp/product-detail/en/memsic-inc/MMC5883MA/1267-1072-1-ND/7063085</t>
  </si>
  <si>
    <t>CU-305PH D3-L5</t>
  </si>
  <si>
    <t>CU-305PH</t>
  </si>
  <si>
    <t>https://jp.misumi-ec.com/vona2/detail/221006204423/?PNSearch=CU-305PH&amp;HissuCode=CU-305PH&amp;searchFlow=suggest2products&amp;Keyword=CU-305PH</t>
  </si>
  <si>
    <t>Fluke-101</t>
  </si>
  <si>
    <t>Multimeter</t>
  </si>
  <si>
    <t>Fluke</t>
  </si>
  <si>
    <t>Futaba Room</t>
  </si>
  <si>
    <t>M2-L18</t>
  </si>
  <si>
    <t>ＳＵＮＣＯ</t>
  </si>
  <si>
    <t>CSH-SUS-M2-18</t>
  </si>
  <si>
    <t>https://jp.misumi-ec.com/vona2/detail/221000551286/?CategorySpec=00000217065%3a%3amig00000002466041%0900000217017%3a%3amig00000002466054%0900000217131%3a%3ab&amp;bid=bid_list_template</t>
  </si>
  <si>
    <t>BIRDS3 -Xpanel FM</t>
  </si>
  <si>
    <t>Nepal</t>
  </si>
  <si>
    <t>Pban</t>
  </si>
  <si>
    <t>Clean Room 3F</t>
  </si>
  <si>
    <t>GS antenna</t>
  </si>
  <si>
    <t>M2</t>
  </si>
  <si>
    <t>436CP42UG, 430-440 MHz</t>
  </si>
  <si>
    <t>$461.99</t>
  </si>
  <si>
    <t>$923.98</t>
  </si>
  <si>
    <t>BIRDS</t>
  </si>
  <si>
    <t>70CM 2 PORT POWER DIVIDER</t>
  </si>
  <si>
    <t>$125.99</t>
  </si>
  <si>
    <t>UHF-50, TUNED PHASE KIT</t>
  </si>
  <si>
    <t>$178.95</t>
  </si>
  <si>
    <t>CROSSBOOM, HD FG 11'</t>
  </si>
  <si>
    <t>$251.99</t>
  </si>
  <si>
    <t>L-BRACE KIT, UNIVERSAL(AM)</t>
  </si>
  <si>
    <t>$121.99</t>
  </si>
  <si>
    <t>$243.98</t>
  </si>
  <si>
    <t>UV Flashlight</t>
  </si>
  <si>
    <t>UV flashlight wth 100 LED</t>
  </si>
  <si>
    <t>BJHG</t>
  </si>
  <si>
    <t>Amazon</t>
  </si>
  <si>
    <t>UV flashlight with 100 LED</t>
  </si>
  <si>
    <t>https://www.amazon.co.jp/dp/B07G3ZQ2ZV/ref=pe_492632_159100282_TE_item</t>
  </si>
  <si>
    <t>ハンドタップ</t>
  </si>
  <si>
    <t>M2×0.4</t>
  </si>
  <si>
    <t>オーエスジー</t>
  </si>
  <si>
    <t>HT-5P-M2X0.4</t>
  </si>
  <si>
    <t>4Fcenter</t>
  </si>
  <si>
    <t>https://jp.misumi-ec.com/vona2/detail/223000436932/?KWSearch=%e3%83%8f%e3%83%b3%e3%83%89%e3%82%bf%e3%83%83%e3%83%97&amp;searchFlow=results2products&amp;relatedKeyword=1</t>
  </si>
  <si>
    <t>JSS</t>
  </si>
  <si>
    <t>村瀬 友顕</t>
  </si>
  <si>
    <t>Pch MOSFET</t>
  </si>
  <si>
    <t>東芝</t>
  </si>
  <si>
    <t>PTCA8107-H(TE12L,Q)</t>
  </si>
  <si>
    <t>SOP</t>
  </si>
  <si>
    <t>https://toshiba.semicon-storage.com/jp/product/mosfet/detail.TPCA8107-H.html</t>
  </si>
  <si>
    <t>Nch MOSFET</t>
  </si>
  <si>
    <t>Infineon</t>
  </si>
  <si>
    <t>IRF7910TRPBF</t>
  </si>
  <si>
    <t>SOIC</t>
  </si>
  <si>
    <t>https://jp.rs-online.com/web/p/mosfet-transistors/9154967/</t>
  </si>
  <si>
    <t>IRLML0030TRPBF</t>
  </si>
  <si>
    <t>https://jp.rs-online.com/web/p/mosfet-transistors/7259344/</t>
  </si>
  <si>
    <t>IRF9Z34NPBF</t>
  </si>
  <si>
    <t>TO-220AB</t>
  </si>
  <si>
    <t>https://jp.rs-online.com/web/p/mosfet-transistors/5410806/</t>
  </si>
  <si>
    <t>NTD2955-1G</t>
  </si>
  <si>
    <t>TO-251</t>
  </si>
  <si>
    <t>https://jp.rs-online.com/web/p/mosfet-transistors/7800517/</t>
  </si>
  <si>
    <t>IRF620PBF</t>
  </si>
  <si>
    <t>https://jp.rs-online.com/web/p/mosfet-transistors/5430052</t>
  </si>
  <si>
    <t>NTD2955T4G</t>
  </si>
  <si>
    <t>TO-252</t>
  </si>
  <si>
    <t>https://jp.rs-online.com/web/p/mosfet-transistors/0463038/</t>
  </si>
  <si>
    <t>Burner Circuit Board</t>
  </si>
  <si>
    <t>PCB board</t>
  </si>
  <si>
    <t>SMA Plug</t>
  </si>
  <si>
    <t>Amphenol</t>
  </si>
  <si>
    <t xml:space="preserve">        ARF2945-ND</t>
  </si>
  <si>
    <t>SMA</t>
  </si>
  <si>
    <t>International Rectifier</t>
  </si>
  <si>
    <t>秋月電子</t>
  </si>
  <si>
    <t>I-02553</t>
  </si>
  <si>
    <t>IRLML6402</t>
  </si>
  <si>
    <t>ＳＯＴ－２３</t>
  </si>
  <si>
    <t>http://akizukidenshi.com/catalog/g/gI-02553/</t>
  </si>
  <si>
    <t>I-00616</t>
  </si>
  <si>
    <t>2SK1062</t>
  </si>
  <si>
    <t>ＳＣ－５９</t>
  </si>
  <si>
    <t>http://akizukidenshi.com/catalog/g/gI-00616/</t>
  </si>
  <si>
    <t>Temperature Sensor</t>
  </si>
  <si>
    <t>Analog Devices Inc.</t>
  </si>
  <si>
    <t>TMP36FSZ-REELCT-ND</t>
  </si>
  <si>
    <t>TMP36FSZ-REEL</t>
  </si>
  <si>
    <t>https://www.digikey.jp/product-detail/en/analog-devices-inc/TMP36FSZ-REEL/TMP36FSZ-REELCT-ND/3761261</t>
  </si>
  <si>
    <t>PhotoMOS</t>
  </si>
  <si>
    <t>Panasonic Electric Works</t>
  </si>
  <si>
    <t>255-1567-ND</t>
  </si>
  <si>
    <t>AQZ102</t>
  </si>
  <si>
    <t>AQZ102-DIP</t>
  </si>
  <si>
    <t>https://www.digikey.jp/product-detail/en/panasonic-electric-works/AQZ102/255-1567-ND/5707</t>
  </si>
  <si>
    <t>SMA connector</t>
  </si>
  <si>
    <t>50 ohm</t>
  </si>
  <si>
    <t>Cinch Connectivity Solutions Johnson</t>
  </si>
  <si>
    <t>J717-ND</t>
  </si>
  <si>
    <t>142-0711-301</t>
  </si>
  <si>
    <t>SMD</t>
  </si>
  <si>
    <t>Antenna, COM</t>
  </si>
  <si>
    <t>https://www.digikey.jp/product-detail/ja/cinch-connectivity-solutions-johnson/142-0711-301/J717-ND/691804</t>
  </si>
  <si>
    <t>18pF, RF, Microwave, High Frequency</t>
  </si>
  <si>
    <t>Johanson Technology Inc.</t>
  </si>
  <si>
    <t>712-1322-1-ND</t>
  </si>
  <si>
    <t>251R14S180JV4T</t>
  </si>
  <si>
    <t>0603 (1608)</t>
  </si>
  <si>
    <t>https://www.digikey.jp/product-detail/en/johanson-technology-inc/251R14S180JV4T/712-1322-1-ND/1786784</t>
  </si>
  <si>
    <t>27kohm</t>
  </si>
  <si>
    <t>Susumu</t>
  </si>
  <si>
    <t>RR08P27.0KDCT-ND</t>
  </si>
  <si>
    <t>RR0816P-273-D</t>
  </si>
  <si>
    <t>https://www.digikey.jp/product-detail/en/susumu/RR0816P-273-D/RR08P27.0KDCT-ND/432758</t>
  </si>
  <si>
    <t>Socket Contact</t>
  </si>
  <si>
    <t>Tin 24-28 AWG Crimp</t>
  </si>
  <si>
    <t>JST Sales America Inc.</t>
  </si>
  <si>
    <t>455-2148-1-ND</t>
  </si>
  <si>
    <t>SPH-002T-P 0.5 L</t>
  </si>
  <si>
    <t>Antenna, EPS</t>
  </si>
  <si>
    <t>https://www.digikey.jp/product-detail/ja/jst-sales-america-inc/SPH-002T-P0.5L/455-2148-1-ND/1634657</t>
  </si>
  <si>
    <t>Connector Header</t>
  </si>
  <si>
    <t>Connector Header Through Hole 20 position 0.050" (1.27mm)</t>
  </si>
  <si>
    <t>Harwin Inc.</t>
  </si>
  <si>
    <t>952-1386-ND</t>
  </si>
  <si>
    <t>M50-3501042</t>
  </si>
  <si>
    <t>Battery Charging pin</t>
  </si>
  <si>
    <t>https://www.digikey.jp/product-detail/en/harwin-inc/M50-3501042/952-1386-ND/2264367?cur=JPY&amp;lang=en</t>
  </si>
  <si>
    <t>467MHz band pass filter</t>
  </si>
  <si>
    <t>NTU</t>
  </si>
  <si>
    <t>Apiwat</t>
  </si>
  <si>
    <t>BPF 200kHz bandwidth</t>
  </si>
  <si>
    <t>DCI communication</t>
  </si>
  <si>
    <t>DCI-467.674-0.2-4s-n3</t>
  </si>
  <si>
    <t>$1055</t>
  </si>
  <si>
    <t>SPATIUM</t>
  </si>
  <si>
    <t>GS room 8F</t>
  </si>
  <si>
    <t>heavy-duty antenna rotator</t>
  </si>
  <si>
    <t>ネパール</t>
  </si>
  <si>
    <t>Prosistel</t>
  </si>
  <si>
    <t>PST2051pro +E</t>
  </si>
  <si>
    <t>1152.6 Euro</t>
  </si>
  <si>
    <t>medium heavy-duty antenna rotator</t>
  </si>
  <si>
    <t>PST61pro+Ecombo</t>
  </si>
  <si>
    <t>1662.6 Euro</t>
  </si>
  <si>
    <t>COM parts</t>
  </si>
  <si>
    <t>RF cables, Molex Connectors</t>
  </si>
  <si>
    <t>Futaba room</t>
  </si>
  <si>
    <t>Antenna deployment</t>
  </si>
  <si>
    <t>Bolts, Nuts</t>
  </si>
  <si>
    <t>ハサミ</t>
  </si>
  <si>
    <t>佐々木</t>
  </si>
  <si>
    <t>ー</t>
  </si>
  <si>
    <t>SVBL</t>
  </si>
  <si>
    <t>ソケット</t>
  </si>
  <si>
    <t>Molex</t>
  </si>
  <si>
    <t>digikey</t>
  </si>
  <si>
    <t>WM6050-ND</t>
  </si>
  <si>
    <t>https://www.digikey.jp/products/ja?keywords=WM6050-ND</t>
  </si>
  <si>
    <t>M2ナット</t>
  </si>
  <si>
    <t>SHNS-M2</t>
  </si>
  <si>
    <t>グランドアース線</t>
  </si>
  <si>
    <t>ホーザン</t>
  </si>
  <si>
    <t>F-27</t>
  </si>
  <si>
    <t>clean room</t>
  </si>
  <si>
    <t>https://www.monotaro.com/g/00005163/?monotaroNo=2208543</t>
  </si>
  <si>
    <t>導電性テーブルマット</t>
  </si>
  <si>
    <t>1 x 1.8 m</t>
  </si>
  <si>
    <t>https://www.monotaro.com/p/7839/0707/</t>
  </si>
  <si>
    <t>ESD基板ホルダー</t>
  </si>
  <si>
    <t>F-37</t>
  </si>
  <si>
    <t>https://www.monotaro.com/p/3346/0646/?t.q=%8A%EE%94%C2%83z%83%8B%83_%81%5B</t>
  </si>
  <si>
    <t>鉛入りハンダ</t>
  </si>
  <si>
    <t>Sn 60% Pb 40%</t>
  </si>
  <si>
    <t>白光</t>
  </si>
  <si>
    <t>FS404-01</t>
  </si>
  <si>
    <t>https://www.monotaro.com/p/0945/0917/</t>
  </si>
  <si>
    <t>クアラテック手袋（パウダーフリー）</t>
  </si>
  <si>
    <t>M size</t>
  </si>
  <si>
    <t>8-4053-02</t>
  </si>
  <si>
    <t>https://www.monotaro.com/p/0989/0754/?displayId=5</t>
  </si>
  <si>
    <t>CSH-SUS-M2-15</t>
  </si>
  <si>
    <t>アルミニウムテープ</t>
  </si>
  <si>
    <t>50mm x 10m</t>
  </si>
  <si>
    <t>ニトムズ</t>
  </si>
  <si>
    <t>J3230</t>
  </si>
  <si>
    <t>1374/ 3roll</t>
  </si>
  <si>
    <t>https://www.askul.co.jp/p/1845762/</t>
  </si>
  <si>
    <t>使いきりキャップ</t>
  </si>
  <si>
    <t>川西工業</t>
  </si>
  <si>
    <t>https://www.askul.co.jp/p/7203239/</t>
  </si>
  <si>
    <t>帯電防止剤</t>
  </si>
  <si>
    <t>スリーボンド</t>
  </si>
  <si>
    <t>TB2910B</t>
  </si>
  <si>
    <t>https://www.askul.co.jp/p/8441979/</t>
  </si>
  <si>
    <t>アルミ板</t>
  </si>
  <si>
    <t>200x200x8(A5052)</t>
  </si>
  <si>
    <t>300x300x8(A5052)</t>
  </si>
  <si>
    <t>POM板</t>
  </si>
  <si>
    <t>300x300x10</t>
  </si>
  <si>
    <t>亜木津工業</t>
  </si>
  <si>
    <t>POMK-10-300-300</t>
  </si>
  <si>
    <t>https://jp.misumi-ec.com/vona2/detail/221000607008/?KWSearch=POM%20%e3%83%97%e3%83%ac%e3%83%bc%e3%83%88&amp;searchFlow=results2products&amp;relatedKeyword=1</t>
  </si>
  <si>
    <t>ネジ</t>
  </si>
  <si>
    <t xml:space="preserve">SLHS M2-L10
</t>
  </si>
  <si>
    <t>止め輪</t>
  </si>
  <si>
    <t xml:space="preserve">大陽ステンレススプリング </t>
  </si>
  <si>
    <t>monotaRO</t>
  </si>
  <si>
    <t>https://www.monotaro.com/g/00428191/?t.q=%8E%7E%82%DF%97%D6</t>
  </si>
  <si>
    <t>USB Camera</t>
  </si>
  <si>
    <t>720p USB Camera</t>
  </si>
  <si>
    <t>ELP</t>
  </si>
  <si>
    <t>ELP-01</t>
  </si>
  <si>
    <t>ネパール国旗</t>
  </si>
  <si>
    <t>TOSPA</t>
  </si>
  <si>
    <t>http://tospa.shop-pro.jp/?pid=8765033</t>
  </si>
  <si>
    <t>スリランカ国旗</t>
  </si>
  <si>
    <t>http://tospa.shop-pro.jp/?pid=8765028</t>
  </si>
  <si>
    <t>旗用ミニポール</t>
  </si>
  <si>
    <t>http://tospa.shop-pro.jp/?pid=9422394</t>
  </si>
  <si>
    <t>ESD卓上マット</t>
  </si>
  <si>
    <t>450 mm x 330 mm</t>
  </si>
  <si>
    <t>F-310-L</t>
  </si>
  <si>
    <t>https://www.monotaro.com/g/02887413/?t.q=F-310-L</t>
  </si>
  <si>
    <t>Bolt and Drill</t>
  </si>
  <si>
    <t>M2, M1.6, Bolt and Drill</t>
  </si>
  <si>
    <t>Rizal</t>
  </si>
  <si>
    <t>5Mohms</t>
  </si>
  <si>
    <t>Ohmite</t>
  </si>
  <si>
    <t>FCSL64R005DERCT-ND</t>
  </si>
  <si>
    <t>FCSL64R005DER</t>
  </si>
  <si>
    <t>Wide 2512</t>
  </si>
  <si>
    <t>https://www.digikey.jp/product-detail/en/ohmite/FCSL64R005DER/FCSL64R005DERCT-ND/9599078</t>
  </si>
  <si>
    <t>470pF, 16V</t>
  </si>
  <si>
    <t>339-10051-1-ND</t>
  </si>
  <si>
    <t>C0603C471K4RACTU</t>
  </si>
  <si>
    <t>https://www.digikey.jp/products/en?keywords=399-10051-1-ND</t>
  </si>
  <si>
    <t>0.22uF, 10V</t>
  </si>
  <si>
    <t>490-10411-1-ND</t>
  </si>
  <si>
    <t>GRM033R61A224KE90D</t>
  </si>
  <si>
    <t>0201 (0603)</t>
  </si>
  <si>
    <t>https://www.digikey.jp/products/en?keywords=490-10411-1-ND</t>
  </si>
  <si>
    <t>Diode</t>
  </si>
  <si>
    <t>800V, 1A</t>
  </si>
  <si>
    <t>GF1K-E3/67AGICT-ND</t>
  </si>
  <si>
    <t>GF1K-E3/67A</t>
  </si>
  <si>
    <t>0805,</t>
  </si>
  <si>
    <t>https://www.digikey.jp/product-detail/en/vishay-semiconductor-diodes-division/GF1K-E3-67A/GF1K-E3-67AGICT-ND/4764811</t>
  </si>
  <si>
    <t>0.3uF</t>
  </si>
  <si>
    <t>445-13459-1-ND</t>
  </si>
  <si>
    <t>C4532X7T2J304M250KA</t>
  </si>
  <si>
    <t>https://www.digikey.jp/products/en?keywords=445-13459-1-ND</t>
  </si>
  <si>
    <t>IC ADS1115</t>
  </si>
  <si>
    <t>I2C, 16bit ADC, Ultra-small</t>
  </si>
  <si>
    <t>Texas Instrument</t>
  </si>
  <si>
    <t>296-24934-1-ND</t>
  </si>
  <si>
    <t>ADS1115IDGST</t>
  </si>
  <si>
    <t>VSSOP</t>
  </si>
  <si>
    <t>https://www.digikey.jp/products/en?keywords=296-24934-1-ND</t>
  </si>
  <si>
    <t>IC DAC121C085</t>
  </si>
  <si>
    <t>12bit, micropower, I2C</t>
  </si>
  <si>
    <t>DAC121C085CIMM/NOPBCT-ND</t>
  </si>
  <si>
    <t>DAC121C085CIMM/NOPB</t>
  </si>
  <si>
    <t>https://www.digikey.jp/products/en?keywords=DAC121C085CIMM%2FNOPBCT-ND</t>
  </si>
  <si>
    <t>IC ISO7720</t>
  </si>
  <si>
    <t>DGTL ISO 3kV 2CH</t>
  </si>
  <si>
    <t>296-50345-1-ND</t>
  </si>
  <si>
    <t>ISO7720FQDRQ1</t>
  </si>
  <si>
    <t>8-SOIC</t>
  </si>
  <si>
    <t>https://www.digikey.jp/products/en?keywords=296-50345-1-ND</t>
  </si>
  <si>
    <t>DC DC Converter</t>
  </si>
  <si>
    <t>Output 5V 2W</t>
  </si>
  <si>
    <t>Recom Power</t>
  </si>
  <si>
    <t>945-2061-5-ND</t>
  </si>
  <si>
    <t>R05P205D/P</t>
  </si>
  <si>
    <t>7-SIP</t>
  </si>
  <si>
    <t>https://www.digikey.jp/products/en?keywords=945-2061-5-ND</t>
  </si>
  <si>
    <t>SSR Relay</t>
  </si>
  <si>
    <t>SPST-NO, 700MA 0-400V</t>
  </si>
  <si>
    <t>255-3395-ND</t>
  </si>
  <si>
    <t>AQZ104</t>
  </si>
  <si>
    <t>4-SIP</t>
  </si>
  <si>
    <t>https://www.digikey.jp/products/en?keywords=255-3395-ND</t>
  </si>
  <si>
    <t>CONNector Header Female</t>
  </si>
  <si>
    <t>FEM 40POS .1" DL TIN</t>
  </si>
  <si>
    <t>Sullins Connector</t>
  </si>
  <si>
    <t>S6104-ND</t>
  </si>
  <si>
    <t>PPTC202LFBN-RC</t>
  </si>
  <si>
    <t>Through Hole</t>
  </si>
  <si>
    <t>https://www.digikey.jp/products/en?keywords=S6104-ND</t>
  </si>
  <si>
    <t>Raspberry Starter Kit</t>
  </si>
  <si>
    <t>Raspberry PI Zero WH, Micro SD, Adaptor Power Supply, Mini HDMI</t>
  </si>
  <si>
    <t>Physical Computing Lab</t>
  </si>
  <si>
    <t>https://www.amazon.co.jp/Raspberry-Pi-Zero-WH-コンプリートスターターキット/dp/B07FSDYM2C/ref=sr_1_25_sspa?ie=UTF8&amp;qid=1542675236&amp;sr=8-25-spons&amp;keywords=raspberry+pi+zero+wh&amp;psc=1</t>
  </si>
  <si>
    <t>CONN HEADER</t>
  </si>
  <si>
    <t>CONN HEADER PH SIDE 2POS 2MM</t>
  </si>
  <si>
    <t>455-1719-ND</t>
  </si>
  <si>
    <t>S2B-PH-K-S(LF)(SN)</t>
  </si>
  <si>
    <t>https://www.digikey.jp/products/en?keywords=455-1719-ND</t>
  </si>
  <si>
    <t>Dipole antenna kit</t>
  </si>
  <si>
    <t>Not ordered</t>
  </si>
  <si>
    <t>nepal</t>
  </si>
  <si>
    <t>Adrian</t>
  </si>
  <si>
    <t>Dipole, VHF/UHF</t>
  </si>
  <si>
    <t>No brand</t>
  </si>
  <si>
    <t>RTL-SDR Blog Multipurpose Dipole Antenna Kit</t>
  </si>
  <si>
    <t>For future communication testing purposes</t>
  </si>
  <si>
    <t xml:space="preserve">https://www.amazon.com/RTL-SDR-Blog-Multipurpose-Dipole-Antenna/dp/B075445JDF?ref_=fsclp_pl_dp_7
</t>
  </si>
  <si>
    <t>Monopole antenna</t>
  </si>
  <si>
    <t>Monopole, VHF/UHF</t>
  </si>
  <si>
    <t>Nagoya</t>
  </si>
  <si>
    <t>Nagoya NMO-72</t>
  </si>
  <si>
    <t xml:space="preserve">https://www.amazon.com/Authentic-Genuine-Nagoya-UT-72-Magnetic/dp/B0744QPSG8/ref=pd_rhf_ee_s_vtp_ses_clicks_0_2?_encoding=UTF8&amp;pd_rd_i=B016SIJX28&amp;pd_rd_r=03c47ed7-8ef6-4d53-a72f-ff4cae994fc7&amp;pd_rd_w=bUQBb&amp;pd_rd_wg=V91CY&amp;pf_rd_i=desktop-rhf&amp;pf_rd_m=ATVPDKIKX0DER&amp;pf_rd_p=05d75987-58ed-4d36-bbfa-515cd87e4ee3&amp;pf_rd_r=EEF790HG335Q0Z5991WV&amp;pf_rd_s=desktop-rhf&amp;pf_rd_t=40701&amp;refRID=EEF790HG335Q0Z5991WV&amp;th=1
</t>
  </si>
  <si>
    <t>Monopole antenna grounding</t>
  </si>
  <si>
    <t>SO-239 Connector, Mounts to 2" Pole, Mast, Pipe</t>
  </si>
  <si>
    <t>Nagoya GPK-01</t>
  </si>
  <si>
    <t xml:space="preserve">https://www.amazon.com/Authentic-Genuine-Nagoya-UT-72-Magnetic/dp/B0744Q3RDM/ref=pd_rhf_ee_s_vtp_ses_clicks_0_2?_encoding=UTF8&amp;pd_rd_i=B016SIJX28&amp;pd_rd_r=03c47ed7-8ef6-4d53-a72f-ff4cae994fc7&amp;pd_rd_w=bUQBb&amp;pd_rd_wg=V91CY&amp;pf_rd_i=desktop-rhf&amp;pf_rd_m=ATVPDKIKX0DER&amp;pf_rd_p=05d75987-58ed-4d36-bbfa-515cd87e4ee3&amp;pf_rd_r=EEF790HG335Q0Z5991WV&amp;pf_rd_s=desktop-rhf&amp;pf_rd_t=40701&amp;refRID=EEF790HG335Q0Z5991WV&amp;th=1
</t>
  </si>
  <si>
    <t>Noise source generator</t>
  </si>
  <si>
    <t>Noise Source Simple Spectrum External Generator Tracking SMA Source + Case</t>
  </si>
  <si>
    <t>E-bay</t>
  </si>
  <si>
    <t>2017 Noise Source Simple Spectrum External Generator Tracking SMA Source + Case</t>
  </si>
  <si>
    <t xml:space="preserve">https://www.ebay.com/itm/2017-Noise-Source-Simple-Spectrum-External-Generator-Tracking-SMA-Source-Case/132180322006?_trkparms=aid%3D555018%26algo%3DPL.SIM%26ao%3D1%26asc%3D20131003132420%26meid%3Dd023b8203046481e974451be1ad3005c%26pid%3D100005%26rk%3D1%26rkt%3D12%26mehot%3Dag%26sd%3D201785941192%26itm%3D132180322006&amp;_trksid=p2047675.c100005.m1851
</t>
  </si>
  <si>
    <t>SMA-BNC ケーブル</t>
  </si>
  <si>
    <t>Ninagawa</t>
  </si>
  <si>
    <t>12.00インチ（304.80mm）</t>
  </si>
  <si>
    <t>J3612-ND</t>
  </si>
  <si>
    <t>415-0028-012</t>
  </si>
  <si>
    <t>https://www.digikey.jp/product-detail/ja/cinch-connectivity-solutions-johnson/415-0028-012/J3612-ND/457090</t>
  </si>
  <si>
    <t>SMA-Nタイプ雌ケ－ブル</t>
  </si>
  <si>
    <t>39.4インチ（1.0m)</t>
  </si>
  <si>
    <t>Taoglas Limited</t>
  </si>
  <si>
    <t>931-1285-ND</t>
  </si>
  <si>
    <t>CAB.951</t>
  </si>
  <si>
    <t>https://www.digikey.jp/product-detail/ja/taoglas-limited/CAB.951/931-1285-ND/4759412</t>
  </si>
  <si>
    <t>SMA-Nタイプ雄ケ－ブル</t>
  </si>
  <si>
    <t>9.843インチ（250.00mm）</t>
  </si>
  <si>
    <t>J10342-ND</t>
  </si>
  <si>
    <t>415-0059-MM250</t>
  </si>
  <si>
    <t>https://www.digikey.jp/product-detail/ja/cinch-connectivity-solutions-johnson/415-0059-MM250/J10342-ND/6579714</t>
  </si>
  <si>
    <t>iCOM power</t>
  </si>
  <si>
    <t>13.8V 20A</t>
  </si>
  <si>
    <t>iCOM</t>
  </si>
  <si>
    <t>PS-126</t>
  </si>
  <si>
    <t>https://www.amazon.co.jp/%E3%82%A2%E3%82%A4%E3%82%B3%E3%83%A0-PS-126-%EF%BC%88%E7%84%A1%E7%B7%9A%E6%A9%9F%E7%94%A8%E5%A4%96%E9%83%A8%E9%9B%BB%E6%BA%90%EF%BC%89/dp/B005F2IV1S/ref=sr_1_1?ie=UTF8&amp;qid=1543387167&amp;sr=8-1&amp;keywords=iCOM+PS-126</t>
  </si>
  <si>
    <t>Cable + Attenuator</t>
  </si>
  <si>
    <t>2m, 30dB</t>
  </si>
  <si>
    <t>DC Power Supply</t>
  </si>
  <si>
    <t>18V, 2A</t>
  </si>
  <si>
    <t>Kikusui</t>
  </si>
  <si>
    <t>PMX18-2A</t>
  </si>
  <si>
    <t>SPATIUM GS</t>
  </si>
  <si>
    <t>https://www.monotaro.com/p/2021/7585/?t.q=%92%BC%97%AC%88%C0%92%E8%89%BB%93d%8C%B9</t>
  </si>
  <si>
    <t>LOCTITE 263</t>
  </si>
  <si>
    <t>sasaki</t>
  </si>
  <si>
    <t>ヘンケルジャパン</t>
  </si>
  <si>
    <t xml:space="preserve">263-10 </t>
  </si>
  <si>
    <t>https://www.monotaro.com/g/00261084/?monotaroNo=34933543</t>
  </si>
  <si>
    <t>端末機器用シールド付多対ケーブル</t>
  </si>
  <si>
    <t>Apiwat, Kishimoto</t>
  </si>
  <si>
    <t>8-core, 0.56mm2</t>
  </si>
  <si>
    <t>オーナンバ</t>
  </si>
  <si>
    <t>OTSC(U)VB #20(0.5)×4P</t>
  </si>
  <si>
    <t>https://www.monotaro.com/p/5875/7973/</t>
  </si>
  <si>
    <t>GENDER CHANGER DSUB 9POS F-F</t>
  </si>
  <si>
    <t>Adapter Connector D-Sub, 9 Pin Female To D-Sub, 9 Pin Female Free Hanging (In-Line)</t>
  </si>
  <si>
    <t>Assmann WSW Components</t>
  </si>
  <si>
    <t xml:space="preserve">	AE10296-ND</t>
  </si>
  <si>
    <t>AB411</t>
  </si>
  <si>
    <t>https://www.digikey.jp/product-detail/ja/AB411/AE10296-ND/1630256/?itemSeq=278556341</t>
  </si>
  <si>
    <t>ADAPTER USB-SERIAL DB9/25 MALE</t>
  </si>
  <si>
    <t>USB to RS232 Cable 5.90' (1.80m) Shielded</t>
  </si>
  <si>
    <t>AE1324-ND</t>
  </si>
  <si>
    <t>DA-70119</t>
  </si>
  <si>
    <t>https://www.digikey.jp/product-detail/ja/DA-70119/AE1324-ND/555190/?itemSeq=278556377</t>
  </si>
  <si>
    <t>Antenna rod</t>
  </si>
  <si>
    <t>小阪熱処理株式会社</t>
  </si>
  <si>
    <t>Bird room</t>
  </si>
  <si>
    <t>額縁</t>
  </si>
  <si>
    <t xml:space="preserve">アルミ賞状額　A4　SRO-1325 </t>
  </si>
  <si>
    <t>セリオ　</t>
  </si>
  <si>
    <t xml:space="preserve">SRO-1325 </t>
  </si>
  <si>
    <t>AOBA VELOX-IV, BIRDS</t>
  </si>
  <si>
    <t>https://www.askul.co.jp/p/2702684/</t>
  </si>
  <si>
    <t>ペリカンボックス用スポンジ</t>
  </si>
  <si>
    <t>ウレタン</t>
  </si>
  <si>
    <t>PELICAN</t>
  </si>
  <si>
    <t>1450FOAM</t>
  </si>
  <si>
    <t>BIRDS-2</t>
  </si>
  <si>
    <t>https://www.monotaro.com/p/1640/8132/</t>
  </si>
  <si>
    <t>放射線試験基板
(コントロールボード)</t>
  </si>
  <si>
    <t>Murase</t>
  </si>
  <si>
    <t>P板</t>
  </si>
  <si>
    <t>SV</t>
  </si>
  <si>
    <t>放射線試験基板
(テストボード1)</t>
  </si>
  <si>
    <t>放射線試験基板
(テストボード2)</t>
  </si>
  <si>
    <t>DLP Circuit Board</t>
  </si>
  <si>
    <t>DLP_V1.0 PCB board</t>
  </si>
  <si>
    <t>F4center</t>
  </si>
  <si>
    <t>BIRDS-3 GPS flag sticker</t>
  </si>
  <si>
    <t>A6, 15stickers</t>
  </si>
  <si>
    <t>株式会社グラフィック</t>
  </si>
  <si>
    <t>https://www.graphic.jp/</t>
  </si>
  <si>
    <t>Plastic box</t>
  </si>
  <si>
    <t>443×295×259</t>
  </si>
  <si>
    <t>NCボックス</t>
  </si>
  <si>
    <t>アステージ/#25ナチュラル</t>
  </si>
  <si>
    <t>Bird4</t>
  </si>
  <si>
    <t>PBL</t>
  </si>
  <si>
    <t>https://www.monotaro.com/p/3474/0623/</t>
  </si>
  <si>
    <t>チップ抵抗器 100Ω</t>
  </si>
  <si>
    <t>Tomoaki MURASE</t>
  </si>
  <si>
    <t>6331サイズ, 2W, 100Ω, ±1%</t>
  </si>
  <si>
    <t>Bourns</t>
  </si>
  <si>
    <t xml:space="preserve">739-7957 </t>
  </si>
  <si>
    <t>CRM2512-FX-1000ELF</t>
  </si>
  <si>
    <t>R2512</t>
  </si>
  <si>
    <t>https://jp.rs-online.com/web/p/products/7397957/</t>
  </si>
  <si>
    <t>チップ抵抗器 200Ω</t>
  </si>
  <si>
    <t>6332サイズ, 2W, 200Ω, ±1%</t>
  </si>
  <si>
    <t>755-1205</t>
  </si>
  <si>
    <t>3521200RFT</t>
  </si>
  <si>
    <t>https://jp.rs-online.com/web/p/products/7551205/</t>
  </si>
  <si>
    <t>チップ抵抗器 300Ω</t>
  </si>
  <si>
    <t>6332サイズ, 2W, 300Ω, ±1%</t>
  </si>
  <si>
    <t>755-1215</t>
  </si>
  <si>
    <t>3521300RFT</t>
  </si>
  <si>
    <t>https://jp.rs-online.com/web/p/products/7551215/</t>
  </si>
  <si>
    <t>チップ抵抗器 1kΩ</t>
  </si>
  <si>
    <t>6331サイズ, 2W, 1kΩ, ±1%</t>
  </si>
  <si>
    <t>720-3212</t>
  </si>
  <si>
    <t>CRM2512-FX-1001ELF</t>
  </si>
  <si>
    <t>https://jp.rs-online.com/web/p/products/7203212/</t>
  </si>
  <si>
    <t>積層セラミックコンデンサ  0.1μF</t>
  </si>
  <si>
    <t>0.1μF 50V dc</t>
  </si>
  <si>
    <t>AVX</t>
  </si>
  <si>
    <t>136-7681</t>
  </si>
  <si>
    <t>12065C104K4Z2A</t>
  </si>
  <si>
    <t>C2012</t>
  </si>
  <si>
    <t>https://jp.rs-online.com/web/p/products/1367681/</t>
  </si>
  <si>
    <t>電解コンデンサ 100μF</t>
  </si>
  <si>
    <t>100μF, 50V dc</t>
  </si>
  <si>
    <t xml:space="preserve">ニチコン </t>
  </si>
  <si>
    <t>491-0276</t>
  </si>
  <si>
    <t>UHE1H101MPD</t>
  </si>
  <si>
    <t>スルーホール</t>
  </si>
  <si>
    <t>https://jp.rs-online.com/web/p/products/4910276/</t>
  </si>
  <si>
    <t>トグルスイッチ (On)-On</t>
  </si>
  <si>
    <t xml:space="preserve"> PCB 400 mA</t>
  </si>
  <si>
    <t>Apem</t>
  </si>
  <si>
    <t>132-3023</t>
  </si>
  <si>
    <t xml:space="preserve">TL32P0050 </t>
  </si>
  <si>
    <t>https://jp.rs-online.com/web/p/products/1323023/</t>
  </si>
  <si>
    <t>リードインダクタ</t>
  </si>
  <si>
    <t>47 μH, 3A, 50mΩ</t>
  </si>
  <si>
    <t>Pulse</t>
  </si>
  <si>
    <t xml:space="preserve">742-7985 </t>
  </si>
  <si>
    <t>PE-53112NL</t>
  </si>
  <si>
    <t>https://jp.rs-online.com/web/p/products/7427985/</t>
  </si>
  <si>
    <t>基板接続用ヘッダ</t>
  </si>
  <si>
    <t>254シリーズ 5極 2.54mm 1列 ストレート</t>
  </si>
  <si>
    <t xml:space="preserve">679-5599 </t>
  </si>
  <si>
    <t>22-23-2051</t>
  </si>
  <si>
    <t>https://jp.rs-online.com/web/p/products/6795599/</t>
  </si>
  <si>
    <t>マイコン PIC18F</t>
  </si>
  <si>
    <t>8ビット RISC, 64-Pin TQFP</t>
  </si>
  <si>
    <t xml:space="preserve">Microchip </t>
  </si>
  <si>
    <t>823-3908</t>
  </si>
  <si>
    <t>PIC18F67J94-I/PT</t>
  </si>
  <si>
    <t>表面実装</t>
  </si>
  <si>
    <t>https://jp.rs-online.com/web/p/products/8233908/</t>
  </si>
  <si>
    <t>水晶発振器</t>
  </si>
  <si>
    <t>32.768 kHz, HCMOS出力</t>
  </si>
  <si>
    <t>Micro Crystal</t>
  </si>
  <si>
    <t>672-7647</t>
  </si>
  <si>
    <t>OV-7604-C7-STD-020</t>
  </si>
  <si>
    <t>https://jp.rs-online.com/web/p/products/6727647/</t>
  </si>
  <si>
    <t>低損失三端子レギュレーター</t>
  </si>
  <si>
    <t>３．３Ｖ１Ａ</t>
  </si>
  <si>
    <t>　ローム株式会社(ROHM)</t>
  </si>
  <si>
    <t>I-13675</t>
  </si>
  <si>
    <t>BA033CC0T</t>
  </si>
  <si>
    <t>http://akizukidenshi.com/catalog/g/gI-13675/</t>
  </si>
  <si>
    <t>シリアル通信用ライントランシーバ</t>
  </si>
  <si>
    <t>３．３Ｖ駆動、４６０ｋｂｐｓの高速通信</t>
  </si>
  <si>
    <t>　Analog Devices, Inc.</t>
  </si>
  <si>
    <t>I-01279</t>
  </si>
  <si>
    <t>ADM3202ARNZ</t>
  </si>
  <si>
    <t>http://akizukidenshi.com/catalog/g/gI-01279/</t>
  </si>
  <si>
    <t>ピンヘッダ　</t>
  </si>
  <si>
    <t>１×４０</t>
  </si>
  <si>
    <t>Useconn Electronics Ltd.</t>
  </si>
  <si>
    <t>C-00167</t>
  </si>
  <si>
    <t>PH-1x40SG</t>
  </si>
  <si>
    <t>http://akizukidenshi.com/catalog/g/gC-00167/</t>
  </si>
  <si>
    <t>IC REG LINEAR</t>
  </si>
  <si>
    <t xml:space="preserve"> 5V 1A </t>
  </si>
  <si>
    <t xml:space="preserve">Texas Instruments	</t>
  </si>
  <si>
    <t>Digi-Keys</t>
  </si>
  <si>
    <t>LM340MP-5.0/NOPBCT-ND</t>
  </si>
  <si>
    <t>LM340MP-5.0/NOPB</t>
  </si>
  <si>
    <t>SOT223-4</t>
  </si>
  <si>
    <t>https://www.digikey.jp/product-detail/ja/LM340MP-5.0%2fNOPB/LM340MP-5.0%2fNOPBCT-ND/270747/?itemSeq=279513660</t>
  </si>
  <si>
    <t>メモリIC</t>
  </si>
  <si>
    <t>IC FLASH 256M SPI 104MHZ 16SOP</t>
  </si>
  <si>
    <t xml:space="preserve">Macronix	</t>
  </si>
  <si>
    <t>1092-1153-ND</t>
  </si>
  <si>
    <t>MX25L25735FMI-10G</t>
  </si>
  <si>
    <t>16-SOIC</t>
  </si>
  <si>
    <t>https://www.digikey.jp/product-detail/ja/MX25L25735FMI-10G/1092-1153-ND/4211594/?itemSeq=279513779</t>
  </si>
  <si>
    <t>電流検知 アンプ</t>
  </si>
  <si>
    <t>Linear Technology/Analog Devices</t>
  </si>
  <si>
    <t xml:space="preserve">LT6106HS5#TRMPBFCT-ND
</t>
  </si>
  <si>
    <t xml:space="preserve">LT6106HS5#TRMPBF
</t>
  </si>
  <si>
    <t>https://www.digikey.jp/product-detail/ja/LT6106HS5%23TRMPBF/LT6106HS5%23TRMPBFCT-ND/1590294/?itemSeq=279514326</t>
  </si>
  <si>
    <t>Artic Thermal cleanser and Purifier</t>
  </si>
  <si>
    <t>Benjamin Bonsu</t>
  </si>
  <si>
    <t>ArctiClean 1 &amp; 2</t>
  </si>
  <si>
    <t xml:space="preserve">Artic Silver Incooperated </t>
  </si>
  <si>
    <t xml:space="preserve">SVBL 2nd floor </t>
  </si>
  <si>
    <t>https://www.amazon.co.jp/dp/B0007TOR08/ref=asc_df_B0007TOR082550731/?tag=jpgo-22&amp;creative=9339&amp;creativeASIN=B0007TOR08&amp;linkCode=df0&amp;hvadid=249925604622&amp;hvpos=1o1&amp;hvnetw=g&amp;hvrand=194389830810304981&amp;hvpone=&amp;hvptwo=&amp;hvqmt=&amp;hvdev=c&amp;hvdvcmdl=&amp;hvlocint=&amp;hvlocphy=1009721&amp;hvtargid=pla-312399790261</t>
  </si>
  <si>
    <t xml:space="preserve">Anti-Freeze/Coolant </t>
  </si>
  <si>
    <t>-15 deC  to 60degC</t>
  </si>
  <si>
    <t xml:space="preserve">LLC </t>
  </si>
  <si>
    <t>Green-18L (JIS)</t>
  </si>
  <si>
    <t>https://www.monotaro.com/p/3545/6942/</t>
  </si>
  <si>
    <t>Water Cooling Circulating System</t>
  </si>
  <si>
    <t>-20 deC  to 30degC</t>
  </si>
  <si>
    <t>As One</t>
  </si>
  <si>
    <t>LTC-1200a</t>
  </si>
  <si>
    <t>https://www.monotaro.com/p/5107/8676/</t>
  </si>
  <si>
    <t>M3-L10</t>
  </si>
  <si>
    <t>SNSS-SD M3-L10</t>
  </si>
  <si>
    <t xml:space="preserve">https://www.nbk1560.com/products/specialscrew/nedzicom/lowsmallheadscrew/SNSS-SD/
</t>
  </si>
  <si>
    <t>M3</t>
  </si>
  <si>
    <t xml:space="preserve">https://www.monotaro.com/p/4219/9491/?t.q=%8E%7E%82%DF%97%D6
</t>
  </si>
  <si>
    <t>SNSS-M1.6-4</t>
  </si>
  <si>
    <t>SNSS-M1.6-5</t>
  </si>
  <si>
    <t>コネクタ</t>
  </si>
  <si>
    <t xml:space="preserve">solar cell sample package </t>
  </si>
  <si>
    <t>PBLteam1(yasushima,okubi,femi,alex)</t>
  </si>
  <si>
    <t>(1 Postcard solar cell (&gt; 3%), 1m unidirectional Solar tape &gt; 3%, 1m bidirectional Solar tape &gt; 3%)</t>
  </si>
  <si>
    <t>infinityPV</t>
  </si>
  <si>
    <t xml:space="preserve">SVBL 3nd floor </t>
  </si>
  <si>
    <t>https://infinitypv.com/shop/sample-packs/Solar-cell-sample-package</t>
  </si>
  <si>
    <t>レンタカー代</t>
  </si>
  <si>
    <t>長距離試験用12/19</t>
  </si>
  <si>
    <t>ケーブルカー代</t>
  </si>
  <si>
    <t>マスク</t>
  </si>
  <si>
    <t>95×175mm</t>
  </si>
  <si>
    <t>伊藤忠リーテイルリンク</t>
  </si>
  <si>
    <t>IRLM-001</t>
  </si>
  <si>
    <t>https://www.askul.co.jp/p/8475270/</t>
  </si>
  <si>
    <t>Thermal insulator</t>
  </si>
  <si>
    <t>2m length Elastomer</t>
  </si>
  <si>
    <t>Esco</t>
  </si>
  <si>
    <t xml:space="preserve">Research </t>
  </si>
  <si>
    <t>SVBL 2nd Floor</t>
  </si>
  <si>
    <t>https://www.monotaro.com/p/0372/8207/</t>
  </si>
  <si>
    <t xml:space="preserve">Tool Box </t>
  </si>
  <si>
    <t>Tool box</t>
  </si>
  <si>
    <t>https://www.monotaro.com/g/01859161/?displayId=24</t>
  </si>
  <si>
    <t xml:space="preserve">Adustable Wrench </t>
  </si>
  <si>
    <t xml:space="preserve">46 mm wide wrench </t>
  </si>
  <si>
    <t>Hit</t>
  </si>
  <si>
    <t>BSM 46</t>
  </si>
  <si>
    <t>https://www.monotaro.com/p/7519/5355/</t>
  </si>
  <si>
    <t>Thermal paste</t>
  </si>
  <si>
    <t>4 grams Thermal Compound</t>
  </si>
  <si>
    <t>https://www.amazon.co.uk/Arctic-MX-4-Compound-Micro-particles-Durability/dp/B0045JCFLY/ref=pd_sbs_147_1?_encoding=UTF8&amp;pd_rd_i=B0045JCFLY&amp;pd_rd_r=96709fbf-14b5-11e9-8d94-abdc97f28b64&amp;pd_rd_w=oz2qG&amp;pd_rd_wg=Hkyy4&amp;pf_rd_p=18edf98b-139a-41ee-bb40-d725dd59d1d3&amp;pf_rd_r=ADFKKBT9HZMKFVVM53HW&amp;psc=1&amp;refRID=ADFKKBT9HZMKFVVM53HW</t>
  </si>
  <si>
    <t>Bismuth /Tin solder Pasteand Pletier Module</t>
  </si>
  <si>
    <t>138deg solder paste</t>
  </si>
  <si>
    <t>Chp Quik</t>
  </si>
  <si>
    <t>SMDLTLFP-CHIP QUIK</t>
  </si>
  <si>
    <t>https://www.amazon.co.uk/gp/product/B0195V1QEI/ref=ox_sc_act_title_1?smid=A29OOUSAJREEZF&amp;psc=1</t>
  </si>
  <si>
    <t xml:space="preserve">Microfiber Exel Super Magic </t>
  </si>
  <si>
    <t>40cmX40cmX2cmLint free Microfibre</t>
  </si>
  <si>
    <t>EXEL</t>
  </si>
  <si>
    <t>https://www.amazon.co.uk/Microfibre-Exel-Cleaning-Polishing-Accessories/dp/B004SH3SDM/ref=pd_bxgy_img_3?_encoding=UTF8&amp;pd_rd_i=B004SH3SDM&amp;pd_rd_r=8df4edd7-1540-11e9-83dc-e5a51a4c5b73&amp;pd_rd_w=Le8fO&amp;pd_rd_wg=144ef&amp;pf_rd_p=466c8fd0-3653-4c9b-86fa-f9bc8fd2ae35&amp;pf_rd_r=QKDN2SBBH0VPENEQ2DM0&amp;psc=1&amp;refRID=QKDN2SBBH0VPENEQ2DM0</t>
  </si>
  <si>
    <t xml:space="preserve">Components Container </t>
  </si>
  <si>
    <t>plastic containers</t>
  </si>
  <si>
    <t>AX5243</t>
  </si>
  <si>
    <t>Izrael</t>
  </si>
  <si>
    <t>RF transceiver IC 27-1050MHz</t>
  </si>
  <si>
    <t>915 - 8739 P</t>
  </si>
  <si>
    <t>AX 5243 - 1 - TA 05</t>
  </si>
  <si>
    <t>QFN</t>
  </si>
  <si>
    <t>SF-Ward mission</t>
  </si>
  <si>
    <t>F4 center</t>
  </si>
  <si>
    <t>https://jp.rs-online.com/web/p/products/9158739P/</t>
  </si>
  <si>
    <t>BIM1H-145.825-10</t>
  </si>
  <si>
    <t>500mW VHF Narrowband Transceiver</t>
  </si>
  <si>
    <t>Radiometrix</t>
  </si>
  <si>
    <t>APRS-DP mission</t>
  </si>
  <si>
    <t>http://radiometrix.mybigcommerce.com/bim1h-500mw-vhf-narrowband-transceiver-frequency-144-390mhz-144-800mhz-145-825mhz-149-250mhz-151-300mhz-155-725mhz-or-169-4125mhz/</t>
  </si>
  <si>
    <t>TinyTrak4</t>
  </si>
  <si>
    <t>APRS controller</t>
  </si>
  <si>
    <t>Byonics</t>
  </si>
  <si>
    <t>https://www.byonics.com/tinytrak4</t>
  </si>
  <si>
    <t>Book: Attitude Stabilization for CubeSat</t>
  </si>
  <si>
    <t>Adolfo</t>
  </si>
  <si>
    <t>Book, hardcover, 190 pages</t>
  </si>
  <si>
    <t>Library in the staff room</t>
  </si>
  <si>
    <t>https://www.amazon.co.jp/Attitude-Stabilization-Cubesat-Concepts-Technology/dp/1527506517/ref=sr_1_1?ie=UTF8&amp;qid=1547532626&amp;sr=8-1&amp;keywords=9781527506510</t>
  </si>
  <si>
    <t xml:space="preserve">IRF9Z34NPBF </t>
  </si>
  <si>
    <t xml:space="preserve"> MEXT</t>
  </si>
  <si>
    <t>541-0806</t>
  </si>
  <si>
    <t>https://jp.rs-online.com/web/p/mosfets/5410806/</t>
  </si>
  <si>
    <t>ＳＯＴ２３変換基板</t>
  </si>
  <si>
    <t>変換基板</t>
  </si>
  <si>
    <t>秋月電子通商</t>
  </si>
  <si>
    <t>P-03659</t>
  </si>
  <si>
    <t>AE-SOT23</t>
  </si>
  <si>
    <t>http://akizukidenshi.com/catalog/g/gP-03659/</t>
  </si>
  <si>
    <t>Wall Clock</t>
  </si>
  <si>
    <t>Airbus</t>
  </si>
  <si>
    <t>Kiran</t>
  </si>
  <si>
    <t>Analog Clock</t>
  </si>
  <si>
    <t>SCHAFT</t>
  </si>
  <si>
    <t>NA</t>
  </si>
  <si>
    <t>https://www.schaft-japan.com/service/clock/wall15_request.html</t>
  </si>
  <si>
    <t>Wall Calendar</t>
  </si>
  <si>
    <t>A3 size, ring bind</t>
  </si>
  <si>
    <t>GRAPHIC</t>
  </si>
  <si>
    <t>https://www.graphic.jp/price/1534/</t>
  </si>
  <si>
    <t>Power Supply  Ultra Tec P.Modules and Accesories</t>
  </si>
  <si>
    <t>13.8A ,80V</t>
  </si>
  <si>
    <t>Texio</t>
  </si>
  <si>
    <t>PSW-360L80</t>
  </si>
  <si>
    <t>svbl nd floor</t>
  </si>
  <si>
    <t>https://www.monotaro.com/p/2034/4932/?t.q=PSW-360L80</t>
  </si>
  <si>
    <t xml:space="preserve">Hose Pipe </t>
  </si>
  <si>
    <t>20m length</t>
  </si>
  <si>
    <t>Toyox</t>
  </si>
  <si>
    <t>TR-12</t>
  </si>
  <si>
    <t>https://www.monotaro.com/p/0948/2636      https://www.digikey.com/product-detail/en/430854-500/926-1181-ND/2269541/?itemSeq=274400485/</t>
  </si>
  <si>
    <t>Hose Pipe Adaptor</t>
  </si>
  <si>
    <t xml:space="preserve">5-8mm/8-13mm </t>
  </si>
  <si>
    <t>Sampleertec</t>
  </si>
  <si>
    <t>Montaro</t>
  </si>
  <si>
    <t>https://www.monotaro.com/p/4903/6461/</t>
  </si>
  <si>
    <t xml:space="preserve">Deionized Water </t>
  </si>
  <si>
    <t>20 LITERS</t>
  </si>
  <si>
    <t>https://www.monotaro.com/g/01309085/?monotaroNo=19402048</t>
  </si>
  <si>
    <t xml:space="preserve">Hose pIpe Cover </t>
  </si>
  <si>
    <t xml:space="preserve">1.2m length </t>
  </si>
  <si>
    <t>2sc4081</t>
  </si>
  <si>
    <t>NPN transistor</t>
  </si>
  <si>
    <t>2SC4081T106RCT-ND</t>
  </si>
  <si>
    <t>2SC4081T106R</t>
  </si>
  <si>
    <t>sot323</t>
  </si>
  <si>
    <t>PSC mission</t>
  </si>
  <si>
    <t>https://www.digikey.jp/product-detail/ja/rohm-semiconductor/2SC4081T106R/2SC4081T106RCT-ND/650655</t>
  </si>
  <si>
    <t>pic16f1787</t>
  </si>
  <si>
    <t>Microcontroller</t>
  </si>
  <si>
    <t>PIC 16 F 1787 - I / MV - ND</t>
  </si>
  <si>
    <t>PIC 16 F 1787 - I / MV</t>
  </si>
  <si>
    <t>40 pin UQFN</t>
  </si>
  <si>
    <t>https://www.digikey.jp/product-detail/ja/microchip-technology/PIC16F1787-I-MV/PIC16F1787-I-MV-ND/3872375</t>
  </si>
  <si>
    <t>Crystal oscillator</t>
  </si>
  <si>
    <t>Fox electronics</t>
  </si>
  <si>
    <t>631-1399-1-ND</t>
  </si>
  <si>
    <t>FC 4 SDC BMM 8.0 - T 1</t>
  </si>
  <si>
    <t>HC 49</t>
  </si>
  <si>
    <t>BirDS-4</t>
  </si>
  <si>
    <t>https://www.digikey.jp/product-detail/ja/fox-electronics/FC4SDCBMM8.0-T1/631-1399-1-ND/4862601</t>
  </si>
  <si>
    <t>Yageo</t>
  </si>
  <si>
    <t>311-1102-1-ND</t>
  </si>
  <si>
    <t>CC 0805 JRNPO 9 BN 180</t>
  </si>
  <si>
    <t>https://www.digikey.jp/product-detail/ja/yageo/CC0805JRNPO9BN180/311-1102-1-ND/303012</t>
  </si>
  <si>
    <t>478-3614-1-ND</t>
  </si>
  <si>
    <t>08055F104K4T2A</t>
  </si>
  <si>
    <t>https://www.digikey.jp/product-detail/ja/avx-corporation/08055F104K4T2A/478-3614-1-ND/1024967</t>
  </si>
  <si>
    <t>IRF7416</t>
  </si>
  <si>
    <t>PMOSFET</t>
  </si>
  <si>
    <t>DIgikey</t>
  </si>
  <si>
    <t>IRF 7416 TRPBFCT-ND</t>
  </si>
  <si>
    <t>IRF 7416 TRPBF</t>
  </si>
  <si>
    <t>SOIC8</t>
  </si>
  <si>
    <t>https://www.digikey.jp/product-detail/ja/infineon-technologies/IRF7416TRPBF/IRF7416TRPBFCT-ND/1769880</t>
  </si>
  <si>
    <t>MCP601</t>
  </si>
  <si>
    <t>OpAmp</t>
  </si>
  <si>
    <t>MCP601T-E / OTCT-ND</t>
  </si>
  <si>
    <t>MCP601T-E / OT</t>
  </si>
  <si>
    <t>SOT-23-5</t>
  </si>
  <si>
    <t>https://www.digikey.jp/product-detail/ja/microchip-technology/MCP601T-E-OT/MCP601T-E-OTCT-ND/1979835</t>
  </si>
  <si>
    <t>2n7002</t>
  </si>
  <si>
    <t>NMOSFET</t>
  </si>
  <si>
    <t>2N 7002 NCT-ND</t>
  </si>
  <si>
    <t>2N 7002</t>
  </si>
  <si>
    <t>https://www.digikey.jp/product-detail/ja/on-semiconductor/2N7002/2N7002NCT-ND/244664</t>
  </si>
  <si>
    <t>100mOhm resistor</t>
  </si>
  <si>
    <t>sense resistor</t>
  </si>
  <si>
    <t>CTS resistor</t>
  </si>
  <si>
    <t>73L3R10JCT-ND</t>
  </si>
  <si>
    <t>73L 3 R 10 J</t>
  </si>
  <si>
    <t>https://www.digikey.jp/product-detail/ja/cts-resistor-products/73L3R10J/73L3R10JCT-ND/1543529</t>
  </si>
  <si>
    <t>0 Ohm resistor</t>
  </si>
  <si>
    <t>jumper resistor</t>
  </si>
  <si>
    <t>311 - 0.0 ARCT - ND</t>
  </si>
  <si>
    <t>RC 0805JR - 070RL</t>
  </si>
  <si>
    <t>SF-WArd mission</t>
  </si>
  <si>
    <t>https://www.digikey.jp/product-detail/ja/yageo/RC0805JR-070RL/311-0.0ARCT-ND/731163</t>
  </si>
  <si>
    <t>22nH inductor</t>
  </si>
  <si>
    <t>Pulse electronics network</t>
  </si>
  <si>
    <t>1840-1127-1-ND</t>
  </si>
  <si>
    <t>PE-0805 CM 220 KTT</t>
  </si>
  <si>
    <t>https://www.digikey.jp/product-detail/ja/pulse-electronics-network/PE-0805CM220KTT/1840-1127-1-ND/8120535</t>
  </si>
  <si>
    <t>150nH</t>
  </si>
  <si>
    <t>553-1044-1-ND</t>
  </si>
  <si>
    <t>PE-0805CM151JTT</t>
  </si>
  <si>
    <t>https://www.digikey.jp/product-detail/ja/pulse-electronics-network/PE-0805CM151JTT/553-1044-1-ND/754463</t>
  </si>
  <si>
    <t>120nH</t>
  </si>
  <si>
    <t>553-1043-1-ND</t>
  </si>
  <si>
    <t>PE-0805CM121JTT</t>
  </si>
  <si>
    <t>https://www.digikey.jp/product-detail/ja/pulse-electronics-network/PE-0805CM121JTT/553-1043-1-ND/754462</t>
  </si>
  <si>
    <t>10pF</t>
  </si>
  <si>
    <t>Vishay Vitramon</t>
  </si>
  <si>
    <t>720-1699-1-ND</t>
  </si>
  <si>
    <t>VJ0805A100JXAAC</t>
  </si>
  <si>
    <t>https://www.digikey.jp/product-detail/ja/vishay-vitramon/VJ0805A100JXAAC/720-1699-1-ND/8324119</t>
  </si>
  <si>
    <t>Jack Female socket, edge mount</t>
  </si>
  <si>
    <t>RF solutions</t>
  </si>
  <si>
    <t>CON-SMA-EDGE-S-ND</t>
  </si>
  <si>
    <t>CON-SMA-EDGE-S</t>
  </si>
  <si>
    <t>https://www.digikey.jp/product-detail/ja/rf-solutions/CON-SMA-EDGE-S/CON-SMA-EDGE-S-ND/5845767</t>
  </si>
  <si>
    <t>Uemura</t>
  </si>
  <si>
    <t>IC MCU 8BIT 256KB 
FLASH 100TQFP</t>
  </si>
  <si>
    <t>Microchip Technology</t>
  </si>
  <si>
    <t>ATMEGA2560-16AURCT-ND</t>
  </si>
  <si>
    <t>ATMEGA2560-16AUR</t>
  </si>
  <si>
    <t>PBL Team3</t>
  </si>
  <si>
    <t>extra mission</t>
  </si>
  <si>
    <t>SVBL 3rd floor</t>
  </si>
  <si>
    <t>https://www.digikey.jp/products/en?keywords=ATMEGA2560-16AURCT-ND</t>
  </si>
  <si>
    <t>MUX</t>
  </si>
  <si>
    <t>Multiplexer 4 x 2:1 16-PDIP</t>
  </si>
  <si>
    <t>296-3575-5-ND</t>
  </si>
  <si>
    <t>SN74F257N</t>
  </si>
  <si>
    <t>https://www.digikey.jp/product-detail/en/texas-instruments/SN74F257N/296-3575-5-ND/373711</t>
  </si>
  <si>
    <t>Arduino MEGA</t>
  </si>
  <si>
    <t>BOARD MCU MEGA2560</t>
  </si>
  <si>
    <t>Arduino</t>
  </si>
  <si>
    <t>1050-1018-ND</t>
  </si>
  <si>
    <t>A000067</t>
  </si>
  <si>
    <t>https://www.digikey.jp/product-detail/en/arduino/A000067/1050-1018-ND/2639006</t>
  </si>
  <si>
    <t>LCD 40x2</t>
  </si>
  <si>
    <t>LCD MODULE 40X2 
CHARACTER W/LED</t>
  </si>
  <si>
    <t>Lumex 
Opto/Components inc.</t>
  </si>
  <si>
    <t>67-1765-ND</t>
  </si>
  <si>
    <t>LCM-S04002DSF</t>
  </si>
  <si>
    <t>https://www.digikey.jp/product-detail/en/lumex-opto-components-inc/LCM-S04002DSF/67-1765-ND/469813</t>
  </si>
  <si>
    <t>CRYSTAL 16.0000MHZ 
20PF T/H</t>
  </si>
  <si>
    <t>ECS Inc.</t>
  </si>
  <si>
    <t>X1103-ND</t>
  </si>
  <si>
    <t>ECS-160-20-4X</t>
  </si>
  <si>
    <t>https://www.digikey.jp/product-detail/en/ecs-inc/ECS-160-20-4X/X1103-ND/827594</t>
  </si>
  <si>
    <t>Buffer IC</t>
  </si>
  <si>
    <t>IC BUFFER NON-INVERT 
6V 16DIP</t>
  </si>
  <si>
    <t>296-9213-5-ND</t>
  </si>
  <si>
    <t>CD74HC4050E</t>
  </si>
  <si>
    <t>https://www.digikey.jp/products/en?keywords=296-9213-5-ND</t>
  </si>
  <si>
    <t>Flash memory</t>
  </si>
  <si>
    <t>IC FLASH 1G SPI 
133MHZ 16SOP2</t>
  </si>
  <si>
    <t>Micron Technology Inc.</t>
  </si>
  <si>
    <t>557-1789-ND</t>
  </si>
  <si>
    <t>MT25QL01G
BBB8ESF-0SIT</t>
  </si>
  <si>
    <t>https://www.digikey.jp/product-detail/en/micron-technology-inc/MT25QL01GBBB8ESF-0SIT/557-1789-ND/6622725</t>
  </si>
  <si>
    <t>MPU development kit</t>
  </si>
  <si>
    <t>KIT DEV OMAP-L138</t>
  </si>
  <si>
    <t>296-43006-ND</t>
  </si>
  <si>
    <t>TMDSLCDK138</t>
  </si>
  <si>
    <t>https://www.digikey.jp/products/en?keywords=TMDSLCDK138</t>
  </si>
  <si>
    <t>Jumper Wire 1</t>
  </si>
  <si>
    <t>JUMPER WIRE M/F 6" 20PCS</t>
  </si>
  <si>
    <t>SparkFun Electronics</t>
  </si>
  <si>
    <t>1568-1511-ND</t>
  </si>
  <si>
    <t>PRT-12794</t>
  </si>
  <si>
    <t>https://www.digikey.jp/product-detail/en/sparkfun-electronics/PRT-12794/1568-1511-ND/5993859</t>
  </si>
  <si>
    <t>Jumper Wire 2</t>
  </si>
  <si>
    <t>JUMPER WIRE F/F 6" 20PCS</t>
  </si>
  <si>
    <t xml:space="preserve">1568-1513-ND </t>
  </si>
  <si>
    <t>PRT-12796</t>
  </si>
  <si>
    <t>https://www.digikey.jp/product-detail/en/sparkfun-electronics/PRT-12796/1568-1513-ND/5993861</t>
  </si>
  <si>
    <t>Jumper Wire 3</t>
  </si>
  <si>
    <t>JUMPER WIRE M/M 6" 20PCS</t>
  </si>
  <si>
    <t xml:space="preserve">1568-1512-ND </t>
  </si>
  <si>
    <t>PRT-12795</t>
  </si>
  <si>
    <t>https://www.digikey.jp/product-detail/en/sparkfun-electronics/PRT-12795/1568-1512-ND/5993860</t>
  </si>
  <si>
    <t>SOCKET ADAPT SOIC-W TO 16DIP 0.3</t>
  </si>
  <si>
    <t>SOCKET ADAPT 
SOIC-W TO 16DIP 0.3</t>
  </si>
  <si>
    <t>Aries Electronics</t>
  </si>
  <si>
    <t>16-35W000-11-RC-ND</t>
  </si>
  <si>
    <t>16-35W000-11-RC</t>
  </si>
  <si>
    <t>https://www.digikey.jp/product-detail/en/aries-electronics/16-35W000-11-RC/16-35W000-11-RC-ND/4208830</t>
  </si>
  <si>
    <t>USB CABLE FOR ARDUINO</t>
  </si>
  <si>
    <t>TYPE-B USB CABLE
 FOR ARDUINO DIE</t>
  </si>
  <si>
    <t>Seeed Technology Co.</t>
  </si>
  <si>
    <t xml:space="preserve">1597-1534-ND </t>
  </si>
  <si>
    <t>https://www.digikey.jp/products/en/cable-assemblies/usb-cables/455?k=USB%20Cable%20arduino</t>
  </si>
  <si>
    <t>Yasushima</t>
  </si>
  <si>
    <t>n-MOSFET</t>
  </si>
  <si>
    <t>915-4967</t>
  </si>
  <si>
    <t>PBL Team1</t>
  </si>
  <si>
    <t>671-0324</t>
  </si>
  <si>
    <t>BSS138</t>
  </si>
  <si>
    <t>ADコンバータ</t>
  </si>
  <si>
    <t>ADC</t>
  </si>
  <si>
    <t>770-9757</t>
  </si>
  <si>
    <t>MCP3208-BI/SL</t>
  </si>
  <si>
    <t>フラッシュメモリ</t>
  </si>
  <si>
    <t>FLASH Memory</t>
  </si>
  <si>
    <t>905-3117</t>
  </si>
  <si>
    <t>SST26VF016B-104V/SN</t>
  </si>
  <si>
    <t>電流センサ</t>
  </si>
  <si>
    <t>Ope AMP</t>
  </si>
  <si>
    <t>Linear Technology</t>
  </si>
  <si>
    <t>761-8897</t>
  </si>
  <si>
    <t>JSTコネクタ2ピン オス</t>
  </si>
  <si>
    <t>Connector</t>
  </si>
  <si>
    <t>JSTコネクタ3ピン オス</t>
  </si>
  <si>
    <t>515-1311</t>
  </si>
  <si>
    <t>S3B-EH (LF) (SN) </t>
  </si>
  <si>
    <t>JSTコネクタ2ピン メス</t>
  </si>
  <si>
    <t>311-6209</t>
  </si>
  <si>
    <t>EHR-2</t>
  </si>
  <si>
    <t>JSTコネクタ3ピン メス</t>
  </si>
  <si>
    <t>311-6215</t>
  </si>
  <si>
    <t>EHR-3</t>
  </si>
  <si>
    <t>JST 端子</t>
  </si>
  <si>
    <t>123-5946</t>
  </si>
  <si>
    <t>SEH-001T-P0.6</t>
  </si>
  <si>
    <t>ピンソケット</t>
  </si>
  <si>
    <t>socket</t>
  </si>
  <si>
    <t>Preci-Dip</t>
  </si>
  <si>
    <t>702-2993</t>
  </si>
  <si>
    <t>310-87-110-01-640101</t>
  </si>
  <si>
    <t>ダイオード</t>
  </si>
  <si>
    <t>shot-key diode</t>
  </si>
  <si>
    <t>890-2575</t>
  </si>
  <si>
    <t>1SS315(TPH3,F)</t>
  </si>
  <si>
    <t>過電流防止素子</t>
  </si>
  <si>
    <t>over current protection part</t>
  </si>
  <si>
    <t>LTC4361ITS8-1#TRMPBFCT-ND</t>
  </si>
  <si>
    <t>LTC4361ITS8-1#TRMPBF</t>
  </si>
  <si>
    <t>リファレンス</t>
  </si>
  <si>
    <t>refarence</t>
  </si>
  <si>
    <t>ADR3525WARMZ-R7CT-ND</t>
  </si>
  <si>
    <t>ADR3525WARMZ-R7</t>
  </si>
  <si>
    <t>Mission Board Team1</t>
  </si>
  <si>
    <t>Buck-Boost Switching Regulator</t>
  </si>
  <si>
    <t>Saito</t>
  </si>
  <si>
    <t>battery charger</t>
  </si>
  <si>
    <t>LTC3119EFE#PBF-ND</t>
  </si>
  <si>
    <t xml:space="preserve">LTC3119EFE#PBF </t>
  </si>
  <si>
    <t>28-TSSOP</t>
  </si>
  <si>
    <t>PBL Team2</t>
  </si>
  <si>
    <t>https://www.digikey.jp/product-detail/ja/linear-technology-analog-devices/LTC3119EFE-PBF/LTC3119EFE-PBF-ND/6419500</t>
  </si>
  <si>
    <t>SENSOR CURRENT HALL 5A</t>
  </si>
  <si>
    <t>current sensor</t>
  </si>
  <si>
    <t>Allergo MicroSystems</t>
  </si>
  <si>
    <t>620-1634-1-ND</t>
  </si>
  <si>
    <t>ACS722LLCTR-05AB-T</t>
  </si>
  <si>
    <t>https://www.digikey.jp/product-detail/ja/allegro-microsystems-llc/ACS722LLCTR-05AB-T/620-1634-1-ND/4948902</t>
  </si>
  <si>
    <t>Pre-Biased Bipolar Transistor</t>
  </si>
  <si>
    <t>voltage sensor</t>
  </si>
  <si>
    <t>Rohm Semiconductor</t>
  </si>
  <si>
    <t>UMD5NCT-ND</t>
  </si>
  <si>
    <t xml:space="preserve">UMD5NTR </t>
  </si>
  <si>
    <t>6-TSSOP, SC-88</t>
  </si>
  <si>
    <t>https://www.digikey.jp/product-detail/ja/rohm-semiconductor/UMD5NTR/UMD5NCT-ND/3769436</t>
  </si>
  <si>
    <t>microcontroller</t>
  </si>
  <si>
    <t>467-1707</t>
  </si>
  <si>
    <t>PIC16F877A-I/PT</t>
  </si>
  <si>
    <t>TQFP</t>
  </si>
  <si>
    <t>https://jp.rs-online.com/web/p/microcontrollers/4671707/</t>
  </si>
  <si>
    <t>Load Switch</t>
  </si>
  <si>
    <t>load switch</t>
  </si>
  <si>
    <t>Vishay Siliconix</t>
  </si>
  <si>
    <t>SI6423DQ-T1-E3CT-ND</t>
  </si>
  <si>
    <t>SI6423DQ-T1-E3</t>
  </si>
  <si>
    <t>8-TSSOP</t>
  </si>
  <si>
    <t>schottky diode</t>
  </si>
  <si>
    <t>reverse current protection</t>
  </si>
  <si>
    <t>DiodesZetex</t>
  </si>
  <si>
    <t>822-2441</t>
  </si>
  <si>
    <t>DFLS2100-7</t>
  </si>
  <si>
    <t>PowerDI 123</t>
  </si>
  <si>
    <t>https://jp.rs-online.com/web/p/rectifier-diodes-schottky-diodes/8222441/</t>
  </si>
  <si>
    <t>PDIP microcontroller</t>
  </si>
  <si>
    <t>165-4810</t>
  </si>
  <si>
    <t>PIC16F877-20/P</t>
  </si>
  <si>
    <t>PDIP</t>
  </si>
  <si>
    <t>https://jp.rs-online.com/web/p/microcontrollers/1654810/</t>
  </si>
  <si>
    <t xml:space="preserve">
</t>
  </si>
  <si>
    <t>ブラシレスモーター</t>
  </si>
  <si>
    <t>特注ブラシレスモータ</t>
  </si>
  <si>
    <t>東京パーツ工業</t>
  </si>
  <si>
    <t>SD12E</t>
  </si>
  <si>
    <t>ADCS</t>
  </si>
  <si>
    <t>SVBL 3rd Floor</t>
  </si>
  <si>
    <t>https://www.tokyoparts.co.jp/wp-content/uploads/2017/02/SD12E.pdf</t>
  </si>
  <si>
    <t>EMC probe</t>
  </si>
  <si>
    <t>UPD(BIRDS-4)</t>
  </si>
  <si>
    <t>EMC probe and preamp</t>
  </si>
  <si>
    <t>Rhode Schwalz</t>
  </si>
  <si>
    <t>九州計測器</t>
  </si>
  <si>
    <t>HZ-16, HZ-17</t>
  </si>
  <si>
    <t>H probe</t>
  </si>
  <si>
    <t>COM</t>
  </si>
  <si>
    <t>https://www.rohde-schwarz.com/us/product/emc_near-field_probes-productstartpage_63493-73798.html#image505868</t>
  </si>
  <si>
    <t>アクリル板，木材(ホームセンター購入)</t>
  </si>
  <si>
    <t>アクリル板，木材</t>
  </si>
  <si>
    <t>アクリルサンデー等</t>
  </si>
  <si>
    <t>ナフコ，ダイキ</t>
  </si>
  <si>
    <t>pe4259</t>
  </si>
  <si>
    <t>RF switch IC</t>
  </si>
  <si>
    <t>pSemi</t>
  </si>
  <si>
    <t>1046-1011-1-ND</t>
  </si>
  <si>
    <t>4259-63</t>
  </si>
  <si>
    <t>SC70-6</t>
  </si>
  <si>
    <t>https://www.digikey.jp/product-detail/en/psemi/4259-63/1046-1011-1-ND/2614515</t>
  </si>
  <si>
    <t xml:space="preserve">	MT25QL01GBBB</t>
  </si>
  <si>
    <t>557-1981-6-ND</t>
  </si>
  <si>
    <t>MT25QL01GBBB8ESF-0SIT TR</t>
  </si>
  <si>
    <t>BIRDS program</t>
  </si>
  <si>
    <t>https://www.digikey.jp/product-detail/en/micron-technology-inc/MT25QL01GBBB8ESF-0SIT-TR/557-1981-6-ND/9674167</t>
  </si>
  <si>
    <t>TMP36FSZ</t>
  </si>
  <si>
    <t>Temperature sensor</t>
  </si>
  <si>
    <t>Analog devices</t>
  </si>
  <si>
    <t>161-0157</t>
  </si>
  <si>
    <t>https://jp.rs-online.com/web/p/temperature-sensors-humidity-sensors/1610157/</t>
  </si>
  <si>
    <t>MAX232 Eval board</t>
  </si>
  <si>
    <t>Max 232 board</t>
  </si>
  <si>
    <t>MikroElektronika</t>
  </si>
  <si>
    <t>882-9042</t>
  </si>
  <si>
    <t>MIKROE-222</t>
  </si>
  <si>
    <t>PSC mission/SF Ward mission</t>
  </si>
  <si>
    <t>https://jp.rs-online.com/web/p/processor-microcontroller-development-kits/8829042/</t>
  </si>
  <si>
    <t>USB A → male RS 232</t>
  </si>
  <si>
    <t>converter cable</t>
  </si>
  <si>
    <t>RS PRO</t>
  </si>
  <si>
    <t>144-5699</t>
  </si>
  <si>
    <t>https://jp.rs-online.com/web/p/usb-cables/1445699/</t>
  </si>
  <si>
    <t>ceramic capacitor</t>
  </si>
  <si>
    <t>Samsung electro mechanics</t>
  </si>
  <si>
    <t>1276-6470-1-ND</t>
  </si>
  <si>
    <t>CL21B105KBFNNNG</t>
  </si>
  <si>
    <t>https://www.digikey.jp/product-detail/en/samsung-electro-mechanics/CL21B105KBFNNNG/1276-6470-1-ND/5958098</t>
  </si>
  <si>
    <t>adg774brqz</t>
  </si>
  <si>
    <t>izrael</t>
  </si>
  <si>
    <t>quad multiplexer</t>
  </si>
  <si>
    <t>709-7777</t>
  </si>
  <si>
    <t>ADG774BRQZ</t>
  </si>
  <si>
    <t>QSOP</t>
  </si>
  <si>
    <t>https://jp.rs-online.com/web/p/multiplexer-switch-ics/7097777/</t>
  </si>
  <si>
    <t>LTST-C171GKT</t>
  </si>
  <si>
    <t>green led</t>
  </si>
  <si>
    <t>lite-on inc.</t>
  </si>
  <si>
    <t>160-1423-1-ND</t>
  </si>
  <si>
    <t>https://www.digikey.jp/product-detail/en/lite-on-inc/LTST-C171GKT/160-1423-1-ND/386792</t>
  </si>
  <si>
    <t>LTST-C171KRKT</t>
  </si>
  <si>
    <t>red led</t>
  </si>
  <si>
    <t>160-1427-1-ND</t>
  </si>
  <si>
    <t>https://www.digikey.jp/product-detail/en/lite-on-inc/LTST-C171KRKT/160-1427-1-ND/386800</t>
  </si>
  <si>
    <t>Ene-loop plus 4cells pack</t>
  </si>
  <si>
    <t>UPD (BIRDS4)</t>
  </si>
  <si>
    <t>Sanyo</t>
  </si>
  <si>
    <t>Raktuen</t>
  </si>
  <si>
    <t xml:space="preserve">	N-TGN01PS</t>
  </si>
  <si>
    <t>BIRDS-2S</t>
  </si>
  <si>
    <t>https://item.rakuten.co.jp/bp-shop/10008547/</t>
  </si>
  <si>
    <t xml:space="preserve">Hose Pipe connector </t>
  </si>
  <si>
    <t>75mm x 40mm</t>
  </si>
  <si>
    <t>Sekisui Chemical Industry / DVIN</t>
  </si>
  <si>
    <t>DVIN</t>
  </si>
  <si>
    <t>SVBL 2nd floor</t>
  </si>
  <si>
    <t>https://www.monotaro.com/p/3466/4682/</t>
  </si>
  <si>
    <t>40mmx 30mm</t>
  </si>
  <si>
    <t>https://www.monotaro.com/p/3466/4646/</t>
  </si>
  <si>
    <t xml:space="preserve">Clamp Multimeter </t>
  </si>
  <si>
    <t>DC 0 -60A</t>
  </si>
  <si>
    <t>Kyoritsu Electric Meter / MODEL 2000</t>
  </si>
  <si>
    <t>MODEL2000</t>
  </si>
  <si>
    <t>https://www.monotaro.com/p/0570/8997/</t>
  </si>
  <si>
    <t>Alradite</t>
  </si>
  <si>
    <t>R-30</t>
  </si>
  <si>
    <t>Nichiban / AR-R 30</t>
  </si>
  <si>
    <t>https://www.monotaro.com/p/2412/2342/</t>
  </si>
  <si>
    <t>INA181</t>
  </si>
  <si>
    <t>current sense amplifier</t>
  </si>
  <si>
    <t>texas instruments</t>
  </si>
  <si>
    <t>296-47656-1-ND</t>
  </si>
  <si>
    <t>INA181A1IDBVR</t>
  </si>
  <si>
    <t>SOT-23-6</t>
  </si>
  <si>
    <t>https://www.digikey.jp/product-detail/en/texas-instruments/INA181A1IDBVR/296-47656-1-ND/8133025</t>
  </si>
  <si>
    <t xml:space="preserve">NA3UCSB UL/CE対応 シールド付 </t>
  </si>
  <si>
    <t>shield cable, 1.25sq, 7core, 100m</t>
  </si>
  <si>
    <t xml:space="preserve">NA 3 UCSB - 16 - 8 </t>
  </si>
  <si>
    <t>ground station</t>
  </si>
  <si>
    <t>Rooftop</t>
  </si>
  <si>
    <t>Transistor</t>
  </si>
  <si>
    <t>Mark</t>
  </si>
  <si>
    <t>Transistors - Bipolar (BJT) - Single, Pre-Biased</t>
  </si>
  <si>
    <t>DTC144EKAT146</t>
  </si>
  <si>
    <t>SOT346-R</t>
  </si>
  <si>
    <t>CAM Mission</t>
  </si>
  <si>
    <t>https://www.digikey.jp/product-detail/en/rohm-semiconductor/DTC144EKAT146/DTC144EKAT146CT-ND/650727</t>
  </si>
  <si>
    <t>not ordered (out of stock)</t>
  </si>
  <si>
    <t>2 N-Channel (Dual) MOSFET</t>
  </si>
  <si>
    <t>SOT363</t>
  </si>
  <si>
    <t>https://www.digikey.jp/product-detail/en/vishay-siliconix/SQ1922EEH-T1_GE3/SQ1922EEH-T1_GE3CT-ND/7622831</t>
  </si>
  <si>
    <t>Switch</t>
  </si>
  <si>
    <t>Tactile switch</t>
  </si>
  <si>
    <t>NKK Switches</t>
  </si>
  <si>
    <t>360-2595-1-ND</t>
  </si>
  <si>
    <t>HP0315AFKP2-R</t>
  </si>
  <si>
    <t>https://www.digikey.jp/products/en/switches/tactile-switches/197?k=HP0315AFKP2&amp;k=&amp;pkeyword=HP0315AFKP2&amp;sv=0&amp;pv7=2&amp;sf=0&amp;quantity=&amp;ColumnSort=0&amp;page=1&amp;pageSize=25</t>
  </si>
  <si>
    <t>Potentiometer</t>
  </si>
  <si>
    <t>Marloun</t>
  </si>
  <si>
    <t>10 kOhms 0.125W, 1/8W J Lead Surface Mount Trimmer Potentiometer</t>
  </si>
  <si>
    <t>Bourns Inc.</t>
  </si>
  <si>
    <t>3223W-1-103ECT-ND</t>
  </si>
  <si>
    <t>3223W-1-103E</t>
  </si>
  <si>
    <t>Surface Mount</t>
  </si>
  <si>
    <t>APRS-DP</t>
  </si>
  <si>
    <t>https://www.digikey.jp/product-detail/en/bourns-inc/3223W-1-103E/3223W-1-103ECT-ND/568964</t>
  </si>
  <si>
    <t>Gyro sensor</t>
  </si>
  <si>
    <t>L3GD20</t>
  </si>
  <si>
    <t>STマイクロ</t>
  </si>
  <si>
    <t>ストロベリー・リナックス</t>
  </si>
  <si>
    <t>https://strawberry-linux.com/catalog/items?code=12120</t>
  </si>
  <si>
    <t>MAGNETIC SENSOR module</t>
  </si>
  <si>
    <t xml:space="preserve">1267-1073-ND </t>
  </si>
  <si>
    <t xml:space="preserve">Memsic Inc. </t>
  </si>
  <si>
    <t xml:space="preserve">MMC5883MA-B </t>
  </si>
  <si>
    <t>https://www.digikey.jp/product-detail/ja/memsic-inc/MMC5883MA-B/1267-1073-ND/7063084</t>
  </si>
  <si>
    <t>同軸コネクタ</t>
  </si>
  <si>
    <t>R302302000</t>
  </si>
  <si>
    <t>Radiall</t>
  </si>
  <si>
    <t>125-0330</t>
  </si>
  <si>
    <t>https://jp.rs-online.com/web/p/ufl-connectors/1250330/</t>
  </si>
  <si>
    <t>In Circuit Debugger/Programmer</t>
  </si>
  <si>
    <t>ST-LINK/V2</t>
  </si>
  <si>
    <t>714-1701</t>
  </si>
  <si>
    <t>https://jp.rs-online.com/web/p/chip-programmers/7141701/</t>
  </si>
  <si>
    <t>STM32 , ARM Cortex M4</t>
  </si>
  <si>
    <t>STM32F446RET6</t>
  </si>
  <si>
    <t>110-6621</t>
  </si>
  <si>
    <t>LQFP</t>
  </si>
  <si>
    <t>https://jp.rs-online.com/web/p/microcontrollers/1106621/</t>
  </si>
  <si>
    <t>STM32F446RET6 評価キット</t>
  </si>
  <si>
    <t>Nucleo-64</t>
  </si>
  <si>
    <t>906-4624</t>
  </si>
  <si>
    <t>NUCLEO-F446RE</t>
  </si>
  <si>
    <t>https://jp.rs-online.com/web/p/processor-microcontroller-development-kits/9064624/</t>
  </si>
  <si>
    <t>Crystal Oscillator</t>
  </si>
  <si>
    <t>16MHz</t>
  </si>
  <si>
    <t>Kyosera</t>
  </si>
  <si>
    <t>693-6078</t>
  </si>
  <si>
    <t xml:space="preserve">CX3225SB16000D0GEJZ1 </t>
  </si>
  <si>
    <t>https://jp.rs-online.com/web/p/crystal-units/6936078/</t>
  </si>
  <si>
    <t>H bridge driver</t>
  </si>
  <si>
    <t>BD6211F-E2</t>
  </si>
  <si>
    <t>Rohm</t>
  </si>
  <si>
    <t>699-6736</t>
  </si>
  <si>
    <t>https://jp.rs-online.com/web/p/motor-driver-ics/6996736/</t>
  </si>
  <si>
    <t>TB6612FNG</t>
  </si>
  <si>
    <t xml:space="preserve"> 770-3797 </t>
  </si>
  <si>
    <t>SSOP</t>
  </si>
  <si>
    <t>https://jp.rs-online.com/web/p/motor-driver-ics/7703797/</t>
  </si>
  <si>
    <t>Connector header</t>
  </si>
  <si>
    <t>Connector Header Through Hole 10 position 0.100"</t>
  </si>
  <si>
    <t>Amphenol ICC (FCI)</t>
  </si>
  <si>
    <t>609-3243-ND</t>
  </si>
  <si>
    <t>67997-410HLF</t>
  </si>
  <si>
    <t>Through hole</t>
  </si>
  <si>
    <t>https://www.digikey.jp/product-detail/en/amphenol-icc-fci/67997-410HLF/609-3243-ND/1878475</t>
  </si>
  <si>
    <t xml:space="preserve">587-1601-1-ND </t>
  </si>
  <si>
    <t xml:space="preserve">CBC2012T2R2M </t>
  </si>
  <si>
    <t>SMD0805</t>
  </si>
  <si>
    <t>https://www.digikey.jp/product-detail/ja/taiyo-yuden/CBC2012T2R2M/587-1601-1-ND/1008216</t>
  </si>
  <si>
    <t>not ordered</t>
  </si>
  <si>
    <t xml:space="preserve">SSM6K411TU(TE85L,F </t>
  </si>
  <si>
    <t xml:space="preserve"> Toshiba Semiconductor</t>
  </si>
  <si>
    <t xml:space="preserve">SSM6K411TU(TE85LFCT-ND </t>
  </si>
  <si>
    <t>6-SMD</t>
  </si>
  <si>
    <t>https://www.digikey.jp/product-detail/ja/toshiba-semiconductor-and-storage/SSM6K411TU-TE85LF/SSM6K411TU-TE85LFCT-ND/5298038</t>
  </si>
  <si>
    <t xml:space="preserve">DTC144EETL </t>
  </si>
  <si>
    <t xml:space="preserve">DTC144EETLCT-ND </t>
  </si>
  <si>
    <t xml:space="preserve">SOT-416 </t>
  </si>
  <si>
    <t>https://www.digikey.jp/product-detail/en/rohm-semiconductor/DTC144EETL/DTC144EETLCT-ND/650726?cur=JPY&amp;lang=en</t>
  </si>
  <si>
    <t>GPS</t>
  </si>
  <si>
    <t>Venus838FLPx</t>
  </si>
  <si>
    <t>SkyTraq Technology, Inc</t>
  </si>
  <si>
    <t>skytraq.com.tw</t>
  </si>
  <si>
    <t>LGA69</t>
  </si>
  <si>
    <t>http://www.skytraq.com.tw/products/Venus838FLPx_PB_v1.pdf</t>
  </si>
  <si>
    <t>青 470nm</t>
  </si>
  <si>
    <t xml:space="preserve">Lite-On Inc. </t>
  </si>
  <si>
    <t xml:space="preserve">160-1645-1-ND </t>
  </si>
  <si>
    <t xml:space="preserve">LTST-C171TBKT 
</t>
  </si>
  <si>
    <t>https://www.digikey.jp/product-detail/ja/lite-on-inc/LTST-C171TBKT/160-1645-1-ND/573585</t>
  </si>
  <si>
    <t>0 ohm resistor</t>
  </si>
  <si>
    <t xml:space="preserve"> CR0603-J/-000ELF </t>
  </si>
  <si>
    <t xml:space="preserve">Bourns Inc. </t>
  </si>
  <si>
    <t xml:space="preserve">CR0603-J/-000ELFCT-ND </t>
  </si>
  <si>
    <t>SMD0603</t>
  </si>
  <si>
    <t>https://www.digikey.jp/product-detail/ja/bourns-inc/CR0603-J-000ELF/CR0603-J-000ELFCT-ND/3592927</t>
  </si>
  <si>
    <t>Brushless motor driver</t>
  </si>
  <si>
    <t xml:space="preserve">BD63005AMUV-E2 </t>
  </si>
  <si>
    <t xml:space="preserve">BD63005AMUV-E2CT-ND </t>
  </si>
  <si>
    <t>40-VFQFN</t>
  </si>
  <si>
    <t>https://www.digikey.jp/product-detail/ja/rohm-semiconductor/BD63005AMUV-E2/BD63005AMUV-E2CT-ND/7612501</t>
  </si>
  <si>
    <t>HIGH VACUUM GREASE</t>
  </si>
  <si>
    <t>Z-300</t>
  </si>
  <si>
    <t>ULVAC</t>
  </si>
  <si>
    <t>https://www.ulvac-es.co.jp/products/grease_z-300/</t>
  </si>
  <si>
    <t>FFC conector</t>
  </si>
  <si>
    <t>FPC / FFC コネクタ, メス, 24極, 0.5mm 下接点</t>
  </si>
  <si>
    <t xml:space="preserve">Molex </t>
  </si>
  <si>
    <t xml:space="preserve"> 670-2434</t>
  </si>
  <si>
    <t>52437-2471</t>
  </si>
  <si>
    <t>https://jp.rs-online.com/web/p/fpc-connectors/6702434/</t>
  </si>
  <si>
    <t>FPC / FFC コネクタ, メス, 24極, 0.5mm　上接点</t>
  </si>
  <si>
    <t>397-290</t>
  </si>
  <si>
    <t>52893-2495</t>
  </si>
  <si>
    <t>https://jp.rs-online.com/web/p/fpc-connectors/0397290/</t>
  </si>
  <si>
    <t>ATMEGA 644 PV-10 AU</t>
  </si>
  <si>
    <t>IC MCU 8 BIT 64 KB FLASH 44 TQFP</t>
  </si>
  <si>
    <t>ATMEGA644PV-10AU-ND</t>
  </si>
  <si>
    <t>https://www.digikey.jp/product-detail/ja/microchip-technology/ATMEGA644PV-10AU/ATMEGA644PV-10AU-ND/1245867</t>
  </si>
  <si>
    <t>Yellow 587 nm LED display - Discrete 2 V 0805</t>
  </si>
  <si>
    <t>Lite-On Inc.</t>
  </si>
  <si>
    <t>160-1428-1-ND</t>
  </si>
  <si>
    <t>LTST - C171 KSKT</t>
  </si>
  <si>
    <t>https://www.digikey.jp/product-detail/ja/lite-on-inc/LTST-C171KSKT/160-1428-1-ND/386802</t>
  </si>
  <si>
    <t>ku</t>
  </si>
  <si>
    <t>160-1645-1-ND</t>
  </si>
  <si>
    <t>LTST - C171 TBKT</t>
  </si>
  <si>
    <t>20 MHz ± 20 ppm Crystal 18 pF 40 Ohms HC - 49 / US</t>
  </si>
  <si>
    <t>Abracon LLC</t>
  </si>
  <si>
    <t>535-9074-1-ND</t>
  </si>
  <si>
    <t>ABLS-20.000 MHZ-B2-T</t>
  </si>
  <si>
    <t>HC-49 / US</t>
  </si>
  <si>
    <t>https://www.digikey.jp/product-detail/ja/abracon-llc/ABLS-20.000MHZ-B2-T/535-9074-1-ND/675591</t>
  </si>
  <si>
    <t>Opamp</t>
  </si>
  <si>
    <t>General Purpose Amplifier 2 Circuit Rail-to-Rail 8-SOIC</t>
  </si>
  <si>
    <t>MCP602T-I/SNCT-ND</t>
  </si>
  <si>
    <t>MCP602T-I/SN</t>
  </si>
  <si>
    <t>https://www.digikey.jp/product-detail/en/microchip-technology/MCP602T-I-SN/MCP602T-I-SNCT-ND/5013529</t>
  </si>
  <si>
    <t>2200pF ±10% 50V Ceramic Capacitor X7R 0805 (2012 Metric)</t>
  </si>
  <si>
    <t>311-1129-1-ND</t>
  </si>
  <si>
    <t>CC0805KRX7R9BB222</t>
  </si>
  <si>
    <t>https://www.digikey.jp/product-detail/en/yageo/CC0805KRX7R9BB222/311-1129-1-ND/303039</t>
  </si>
  <si>
    <t>ATmega32U4</t>
  </si>
  <si>
    <t>Nakayama</t>
  </si>
  <si>
    <t>AVR AVR® ATmega マイクロコントローラ IC 8ビット 16MHz 32KB（16K x 16） フラッシュ 44-TQFP（10x10）</t>
  </si>
  <si>
    <t>ATMEGA32U4RC-AU-ND</t>
  </si>
  <si>
    <t>ATMEGA32U4RC-AU</t>
  </si>
  <si>
    <t>44-TQFP</t>
  </si>
  <si>
    <t>Hentenna</t>
  </si>
  <si>
    <t>https://www.digikey.jp/product-detail/ja/microchip-technology/ATMEGA32U4RC-AU/ATMEGA32U4RC-AU-ND/2507982</t>
  </si>
  <si>
    <t>RFM98 ULTRA-LONG RANGE TRANSCEIV</t>
  </si>
  <si>
    <t>Seeed Technology Co., Ltd</t>
  </si>
  <si>
    <t>1597-1491-ND</t>
  </si>
  <si>
    <t>https://www.digikey.jp/product-detail/ja/seeed-technology-co-ltd/109990165/1597-1491-ND/7033235</t>
  </si>
  <si>
    <t>CONN MMCX JACK STR 50OHM EDGEMNT</t>
  </si>
  <si>
    <t>WM3786CT-ND</t>
  </si>
  <si>
    <t>MMCX</t>
  </si>
  <si>
    <t>https://www.digikey.jp/product-detail/ja/molex/0734150963/WM3786CT-ND/2421674</t>
  </si>
  <si>
    <t>MMCX SMA adapter</t>
  </si>
  <si>
    <t>CONN ADAPT SMA PLUG TO MMCX JACK</t>
  </si>
  <si>
    <t>Siretta Ltd</t>
  </si>
  <si>
    <t>ADAPT/MMCXF/SMAM-ND</t>
  </si>
  <si>
    <t>ADAPT/MMCXF/SMAM</t>
  </si>
  <si>
    <t>MMCX,SMA</t>
  </si>
  <si>
    <t>https://www.digikey.jp/product-detail/ja/siretta-ltd/ADAPT-MMCXF-SMAM/ADAPT-MMCXF-SMAM-ND/6573010</t>
  </si>
  <si>
    <t>6.8nH</t>
  </si>
  <si>
    <t>490-6906-1-ND</t>
  </si>
  <si>
    <t>LQW18AN6N8C00D</t>
  </si>
  <si>
    <t>https://www.digikey.jp/products/ja?keywords=490-1165-1-ND</t>
  </si>
  <si>
    <t>8.2nH</t>
  </si>
  <si>
    <t>490-1167-1-ND</t>
  </si>
  <si>
    <t>LQW18AN8N2D00D</t>
  </si>
  <si>
    <t>https://www.digikey.jp/products/ja?keywords=490-1167-1-ND</t>
  </si>
  <si>
    <t>10nH</t>
  </si>
  <si>
    <t>490-1169-1-ND</t>
  </si>
  <si>
    <t>LQW18AN10NJ00D</t>
  </si>
  <si>
    <t>https://www.digikey.jp/products/ja?keywords=490-1169-1-ND</t>
  </si>
  <si>
    <t>12nH</t>
  </si>
  <si>
    <t>490-1170-1-ND</t>
  </si>
  <si>
    <t>LQW18AN12NJ00D</t>
  </si>
  <si>
    <t>https://www.digikey.jp/products/ja?keywords=490-1170-1-ND</t>
  </si>
  <si>
    <t>15nH</t>
  </si>
  <si>
    <t>490-1171-1-ND</t>
  </si>
  <si>
    <t>LQW18AN15NJ00D</t>
  </si>
  <si>
    <t>https://www.digikey.jp/products/ja?keywords=490-1171-1-ND</t>
  </si>
  <si>
    <t>18nH</t>
  </si>
  <si>
    <t>490-1172-1-ND</t>
  </si>
  <si>
    <t>LQW18AN18NJ00D</t>
  </si>
  <si>
    <t>https://www.digikey.jp/products/ja?keywords=490-1172-1-ND</t>
  </si>
  <si>
    <t>22nH</t>
  </si>
  <si>
    <t>490-1173-1-ND</t>
  </si>
  <si>
    <t>LQW18AN22NJ00D</t>
  </si>
  <si>
    <t>https://www.digikey.jp/products/ja?keywords=490-1173-1-ND</t>
  </si>
  <si>
    <t>28nH</t>
  </si>
  <si>
    <t>490-1174-1-ND</t>
  </si>
  <si>
    <t>LQW18AN27NJ00D</t>
  </si>
  <si>
    <t>https://www.digikey.jp/products/ja?keywords=490-1174-1-ND</t>
  </si>
  <si>
    <t>Sullins Connector Solutions NRPN 252 PARN - RC</t>
  </si>
  <si>
    <t>50 pin right angle through hole  connector</t>
  </si>
  <si>
    <t>Sullins Connector solutions</t>
  </si>
  <si>
    <t>S5803-25-ND</t>
  </si>
  <si>
    <t>NRPN 252 PARN-RC</t>
  </si>
  <si>
    <t>BBM boards</t>
  </si>
  <si>
    <t>https://www.digikey.jp/product-detail/ja/sullins-connector-solutions/NRPN252PARN-RC/S5803-25-ND/805042</t>
  </si>
  <si>
    <t>Molex 0877605016</t>
  </si>
  <si>
    <t>WM 18635-ND</t>
  </si>
  <si>
    <t>https://www.digikey.jp/products/ja?keywords=WM18635-ND</t>
  </si>
  <si>
    <t>Pickit 3</t>
  </si>
  <si>
    <t>microcontroller programmer</t>
  </si>
  <si>
    <t>PG 164130-ND</t>
  </si>
  <si>
    <t>PG 164130</t>
  </si>
  <si>
    <t>https://www.digikey.jp/product-detail/ja/microchip-technology/PG164130/PG164130-ND/2171224</t>
  </si>
  <si>
    <t>LoRa_Tranceiver PCB (Pban)</t>
  </si>
  <si>
    <t>PCB(90cm*86cm)</t>
  </si>
  <si>
    <t>LoRa mdulation for cubesat (Research)</t>
  </si>
  <si>
    <t>may be changed to 84409yen?</t>
  </si>
  <si>
    <t>PSC mission BBM PCB (Pban)</t>
  </si>
  <si>
    <t>PSC BBM</t>
  </si>
  <si>
    <t>VHF Radiometrix transceiver</t>
  </si>
  <si>
    <t>f=145.825 MHz, PTX = 0.5 W</t>
  </si>
  <si>
    <t>COM-2 board</t>
  </si>
  <si>
    <t>http://www.radiometrix.com/content/bim1h</t>
  </si>
  <si>
    <t>49.9 kOhms ±0.5% 0.1W, 1/10W Chip Resistor 0805 (2012 Metric)</t>
  </si>
  <si>
    <t>RR12P49.9KDCT-ND</t>
  </si>
  <si>
    <t>RR1220P-4992-D-M</t>
  </si>
  <si>
    <t>https://www.digikey.jp/product-detail/en/susumu/RR1220P-4992-D-M/RR12P49.9KDCT-ND/433132</t>
  </si>
  <si>
    <t>50Ω 0.4 to 500MHz RF Transformer 1:1</t>
  </si>
  <si>
    <t>Mini circuit</t>
  </si>
  <si>
    <t>Mini circuit Yokoham</t>
  </si>
  <si>
    <t>TC1-1T+</t>
  </si>
  <si>
    <t>AT224-1A</t>
  </si>
  <si>
    <t>SVLB 3F</t>
  </si>
  <si>
    <t>https://www.minicircuits.com/WebStore/dashboard.html?model=TC1-1T%2B</t>
  </si>
  <si>
    <t xml:space="preserve">KNPEV-SB cable for GS rotator </t>
  </si>
  <si>
    <t>UPD (BIRDS-4)</t>
  </si>
  <si>
    <t>shield cable, 2 mm sq, 8core, 100m</t>
  </si>
  <si>
    <t>JMACS</t>
  </si>
  <si>
    <t>Hashimoto-kosan</t>
  </si>
  <si>
    <t>KNPEV-SB 4PX2SQ</t>
  </si>
  <si>
    <t>LoRa chip</t>
  </si>
  <si>
    <t>LoRa TRX chip</t>
  </si>
  <si>
    <t>Semtech</t>
  </si>
  <si>
    <t>SX1278IMLTRTCT-ND</t>
  </si>
  <si>
    <t>SX1278IMLTRT</t>
  </si>
  <si>
    <t>28-VQFN</t>
  </si>
  <si>
    <t>LoRa Research</t>
  </si>
  <si>
    <t>LoRa Trancever</t>
  </si>
  <si>
    <t>4th floor student room</t>
  </si>
  <si>
    <t>https://www.digikey.jp/product-detail/en/semtech-corporation/SX1278IMLTRT/SX1278IMLTRTCT-ND/5226787</t>
  </si>
  <si>
    <t>ATMEGA32U4-MURCT-ND</t>
  </si>
  <si>
    <t>ATMEGA32U4-MUR</t>
  </si>
  <si>
    <t>44-VFQFN</t>
  </si>
  <si>
    <t>https://www.digikey.jp/product-detail/en/microchip-technology/ATMEGA32U4-MUR/ATMEGA32U4-MURCT-ND/3440961</t>
  </si>
  <si>
    <t>32.0000 MHz crystal</t>
  </si>
  <si>
    <t>32.00000MHz crystal SMD</t>
  </si>
  <si>
    <t>NDK America, Inc.</t>
  </si>
  <si>
    <t>644-1065-1-ND</t>
  </si>
  <si>
    <t>NX2520SA-32.000000MHZ</t>
  </si>
  <si>
    <t>4-SMD, No Lead</t>
  </si>
  <si>
    <t>https://www.digikey.jp/product-detail/en/ndk-america-inc/NX2520SA-32.000000MHZ/644-1065-1-ND/1128937</t>
  </si>
  <si>
    <t>16.0000 MHz crystal</t>
  </si>
  <si>
    <t>16.0000MHz crystal SMD</t>
  </si>
  <si>
    <t>TXC</t>
  </si>
  <si>
    <t>887-1086-1-ND</t>
  </si>
  <si>
    <t>7A-16.000MAAJ-T</t>
  </si>
  <si>
    <t>2-SMD, No Lead</t>
  </si>
  <si>
    <t>https://www.digikey.jp/product-detail/en/txc-corporation/7A-16.000MAAJ-T/887-1086-1-ND/2118963?cur=JPY&amp;lang=en</t>
  </si>
  <si>
    <t>RF switch</t>
  </si>
  <si>
    <t>UHF RF Switch</t>
  </si>
  <si>
    <t>Skyworks Solutions Inc.</t>
  </si>
  <si>
    <t>863-1643-1-ND</t>
  </si>
  <si>
    <t>SKY13330-397LF</t>
  </si>
  <si>
    <t>12-UFQFN</t>
  </si>
  <si>
    <t>https://www.digikey.jp/products/ja?keywords=863-1643-1-ND</t>
  </si>
  <si>
    <t>Voltage regulator</t>
  </si>
  <si>
    <t>3.3v voltage regulator</t>
  </si>
  <si>
    <t>576-4764-1-ND</t>
  </si>
  <si>
    <t>MIC5504-3.3YM5-TR</t>
  </si>
  <si>
    <t>https://www.digikey.jp/product-detail/en/microchip-technology/MIC5504-3.3YM5-TR/576-4764-1-ND/4864028?cur=JPY&amp;lang=en</t>
  </si>
  <si>
    <t>P-mosfet</t>
  </si>
  <si>
    <t>Toshiba Semiconductor and Storage</t>
  </si>
  <si>
    <t>SSM6K411TU(TE85L,F</t>
  </si>
  <si>
    <t>6-SMD, Flat Leads</t>
  </si>
  <si>
    <t>https://www.digikey.jp/product-detail/en/toshiba-semiconductor-and-storage/SSM6K411TU-TE85LF/SSM6K411TU-TE85LFCT-ND/5298038</t>
  </si>
  <si>
    <t>82nH ,550mA</t>
  </si>
  <si>
    <t>Murata Electronics North America</t>
  </si>
  <si>
    <t>490-15746-1-ND</t>
  </si>
  <si>
    <t>LQW18AN82NG8ZD</t>
  </si>
  <si>
    <t>https://www.digikey.jp/product-detail/en/murata-electronics-north-america/LQW18AN82NG8ZD/490-15746-1-ND/6800411</t>
  </si>
  <si>
    <t>15nH, Microwave ceramic</t>
  </si>
  <si>
    <t>712-1408-1-ND</t>
  </si>
  <si>
    <t>L-07C15NJV6T</t>
  </si>
  <si>
    <t>1005M</t>
  </si>
  <si>
    <t>https://www.digikey.jp/product-detail/en/johanson-technology-inc/L-07C15NJV6T/712-1408-1-ND/1840086</t>
  </si>
  <si>
    <t>12nH, Microwave ceramic</t>
  </si>
  <si>
    <t>712-1453-1-ND</t>
  </si>
  <si>
    <t>L-07C12NJV6T</t>
  </si>
  <si>
    <t>https://www.digikey.jp/product-detail/en/johanson-technology-inc/L-07C12NJV6T/712-1453-1-ND/1915232</t>
  </si>
  <si>
    <t>18nH, Microwave ceramic</t>
  </si>
  <si>
    <t>712-1409-1-ND</t>
  </si>
  <si>
    <t>L-07C18NJV6T</t>
  </si>
  <si>
    <t>https://www.digikey.jp/product-detail/en/johanson-technology-inc/L-07C18NJV6T/712-1409-1-ND/1840087</t>
  </si>
  <si>
    <t>5.1nH, Microwave ceramic</t>
  </si>
  <si>
    <t>712-1461-1-ND</t>
  </si>
  <si>
    <t>L-07C5N1SV6T</t>
  </si>
  <si>
    <t>https://www.digikey.jp/product-detail/en/johanson-technology-inc/L-07C5N1SV6T/712-1461-1-ND/1915240</t>
  </si>
  <si>
    <t>4.3nH, Microwave ceramic</t>
  </si>
  <si>
    <t>712-1460-1-ND</t>
  </si>
  <si>
    <t>L-07C4N3SV6T</t>
  </si>
  <si>
    <t>https://www.digikey.jp/product-detail/en/johanson-technology-inc/L-07C4N3SV6T/712-1460-1-ND/1915239</t>
  </si>
  <si>
    <t>39nH, Microwave ceramic</t>
  </si>
  <si>
    <t>490-1176-1-ND</t>
  </si>
  <si>
    <t>LQW18AN39NJ00D</t>
  </si>
  <si>
    <t>https://www.digikey.jp/product-detail/en/murata-electronics-north-america/LQW18AN39NJ00D/490-1176-1-ND/584621</t>
  </si>
  <si>
    <t>RF AMP IC</t>
  </si>
  <si>
    <t>21dB, MMIC</t>
  </si>
  <si>
    <t>1127-2969-ND</t>
  </si>
  <si>
    <t>HMC452ST89E</t>
  </si>
  <si>
    <t>TO-243AA</t>
  </si>
  <si>
    <t>https://www.digikey.jp/product-detail/en/analog-devices-inc/HMC452ST89E/1127-2969-ND/5359949?cur=JPY&amp;lang=en</t>
  </si>
  <si>
    <t>FRAM</t>
  </si>
  <si>
    <t>8kB, SPI</t>
  </si>
  <si>
    <t>MR45V064BMAZAATLCT-ND</t>
  </si>
  <si>
    <t>MR45V064BMAZAATL</t>
  </si>
  <si>
    <t>8-SOP</t>
  </si>
  <si>
    <t>https://www.digikey.jp/product-detail/en/rohm-semiconductor/MR45V064BMAZAATL/MR45V064BMAZAATLCT-ND/8135961?cur=JPY&amp;lang=en</t>
  </si>
  <si>
    <t>shield cable, 2 mm sq, 8core, 40m</t>
  </si>
  <si>
    <t>2.2uF 6.3V</t>
  </si>
  <si>
    <t>490-12532-1-ND</t>
  </si>
  <si>
    <t>GRM155R60J225KE95D</t>
  </si>
  <si>
    <t>https://www.digikey.jp/product-detail/en/murata-electronics-north-america/GRM155R60J225KE95D/490-12532-1-ND/5797522</t>
  </si>
  <si>
    <t>Projector</t>
  </si>
  <si>
    <t>Yigit</t>
  </si>
  <si>
    <t>3000 lumen, 1080p Full HD 16:9, HDMI &amp; VGA ports</t>
  </si>
  <si>
    <t>ABOX</t>
  </si>
  <si>
    <t>https://www.amazon.co.jp/%E5%AE%B6%E5%BA%AD%E7%94%A8%E3%81%AB%E7%9B%B8%E5%BF%9C%E3%81%97%E3%81%84-HDMI%E3%82%B1%E3%83%BC%E3%83%96%E3%83%AB%E4%BB%98%E5%B1%9E-1080p%E3%83%95%E3%83%ABHD%E5%AF%BE%E5%BF%9C-%EF%BC%92%E3%81%A4%E5%86%85%E8%94%B5%E3%82%B9%E3%83%94%E3%83%BC%E3%82%AB%E3%83%BC-%E3%83%A1%E3%83%A2%E3%83%AA%E3%83%BC%E3%82%AB%E3%83%BC%E3%83%89%E3%81%AA%E3%81%A9%E6%8E%A5%E7%B6%9A%E5%8F%AF%E8%83%BD/dp/B07H5D8ZTC/ref=sr_1_3?ie=UTF8&amp;qid=1549948686&amp;sr=8-3&amp;keywords=projector+3000+lm</t>
  </si>
  <si>
    <t>1:1 balun</t>
  </si>
  <si>
    <t>M/A-Com Technology solutions</t>
  </si>
  <si>
    <t>1465-1309-1-ND</t>
  </si>
  <si>
    <t>MABA-010245-CT1160</t>
  </si>
  <si>
    <t>6SMD Flat</t>
  </si>
  <si>
    <t>https://www.digikey.jp/product-detail/en/m-a-com-technology-solutions/MABA-010245-CT1160/1465-1309-1-ND/4430006</t>
  </si>
  <si>
    <t>capacitor</t>
  </si>
  <si>
    <t>6.8pF</t>
  </si>
  <si>
    <t>478-5025-1-ND</t>
  </si>
  <si>
    <t>08051A6R8CAT2A</t>
  </si>
  <si>
    <t>https://www.digikey.jp/product-detail/en/avx-corporation/08051A6R8CAT2A/478-5025-1-ND/1888236</t>
  </si>
  <si>
    <t>50 ohm Edge mount</t>
  </si>
  <si>
    <t>https://www.digikey.jp/products/en?keywords=con-sma-edge-s-nd</t>
  </si>
  <si>
    <t>inductor</t>
  </si>
  <si>
    <t>587-5854-1-ND</t>
  </si>
  <si>
    <t>HK212510NJ-T</t>
  </si>
  <si>
    <t>https://www.digikey.jp/product-detail/en/taiyo-yuden/HK212510NJ-T/587-5854-1-ND/7674974</t>
  </si>
  <si>
    <t>PIC16f1789</t>
  </si>
  <si>
    <t>PIC16F1789-I/MV-ND</t>
  </si>
  <si>
    <t>PIC16F1789-I/MV</t>
  </si>
  <si>
    <t>40 UQFN</t>
  </si>
  <si>
    <t>SF-WARD/TMCR/PSC mission</t>
  </si>
  <si>
    <t>https://www.digikey.jp/products/en/integrated-circuits-ics/embedded-microcontrollers/685?k=pic16f1789&amp;k=&amp;pkeyword=pic16f1789&amp;sv=0&amp;pv1291=7099&amp;sf=0&amp;quantity=&amp;ColumnSort=0&amp;page=1&amp;stock=1&amp;pageSize=25</t>
  </si>
  <si>
    <t>BGA614</t>
  </si>
  <si>
    <t>RF Amplifier IC</t>
  </si>
  <si>
    <t>Infineon Technologies</t>
  </si>
  <si>
    <t>BGA614H6327XTSA1CT-ND</t>
  </si>
  <si>
    <t>BGA614H6327XTSA1</t>
  </si>
  <si>
    <t>SOT-343-4</t>
  </si>
  <si>
    <t>SF-WARD</t>
  </si>
  <si>
    <t>https://www.digikey.jp/product-detail/en/infineon-technologies/BGA614H6327XTSA1/BGA614H6327XTSA1CT-ND/2410161</t>
  </si>
  <si>
    <t>FOX924b-16</t>
  </si>
  <si>
    <t>TCXO 16MHz</t>
  </si>
  <si>
    <t>631-1071-1-ND</t>
  </si>
  <si>
    <t>FT5HNBPK16.0-T1</t>
  </si>
  <si>
    <t>4-smd</t>
  </si>
  <si>
    <t>https://www.digikey.jp/product-detail/en/fox-electronics/FT5HNBPK16.0-T1/631-1071-1-ND/1024776</t>
  </si>
  <si>
    <t>SF-WARD/APRS-DP mission BBM PCB (Pban)</t>
  </si>
  <si>
    <t>SF-WARD/APRS-DP</t>
  </si>
  <si>
    <t>final price 105,037 yen</t>
  </si>
  <si>
    <t>Slide Puzzle</t>
  </si>
  <si>
    <t>Diversity Award</t>
  </si>
  <si>
    <t>Puzzle (74x89mm)</t>
  </si>
  <si>
    <t>Taiyo</t>
  </si>
  <si>
    <t>BIRDS Project</t>
  </si>
  <si>
    <t>http://taiyo-web.co.jp/goods/product/%E3%82%B9%E3%83%A9%E3%82%A4%E3%83%89%E3%83%91%E3%82%BA%E3%83%AB/</t>
  </si>
  <si>
    <t>Peltier Module</t>
  </si>
  <si>
    <t>60mm x 40mm040mm</t>
  </si>
  <si>
    <t>Kryotherm</t>
  </si>
  <si>
    <t>TB-4(199-97-49-17)</t>
  </si>
  <si>
    <t>Quotation  Invoice No 18022019</t>
  </si>
  <si>
    <t xml:space="preserve">Copper Plate </t>
  </si>
  <si>
    <t>127mmx152mmx10mm</t>
  </si>
  <si>
    <t>Advent</t>
  </si>
  <si>
    <t>advent</t>
  </si>
  <si>
    <t>https://www.advent-rm.com/materials/Copper/</t>
  </si>
  <si>
    <t xml:space="preserve">HeatSink </t>
  </si>
  <si>
    <t xml:space="preserve">Aavid </t>
  </si>
  <si>
    <t>Digi -Key</t>
  </si>
  <si>
    <t>416501U00000G-ND</t>
  </si>
  <si>
    <t>https://www.digikey.jp/product-detail/en/416501U00000G/416501U00000G-ND/6131502/?itemSeq=284870313</t>
  </si>
  <si>
    <t xml:space="preserve">Peltier  Sealant </t>
  </si>
  <si>
    <t>1.06mmx 100.6mm x100.6mm</t>
  </si>
  <si>
    <t>Laird</t>
  </si>
  <si>
    <t xml:space="preserve">RS omponent </t>
  </si>
  <si>
    <t>U021041-26-U1</t>
  </si>
  <si>
    <t>https://jp.rs-online.com/web/p/products/0446475/</t>
  </si>
  <si>
    <t>Thernal conductive Gel</t>
  </si>
  <si>
    <t>400mm x400mm x0.5mm</t>
  </si>
  <si>
    <t>Taica</t>
  </si>
  <si>
    <t>COH-1019 LVC-T 0.5</t>
  </si>
  <si>
    <t>https://www.monotaro.com/g/01594729/?monotaroNo=26767572</t>
  </si>
  <si>
    <t xml:space="preserve">Thermal Graphite Sheet </t>
  </si>
  <si>
    <t>297mm  x210mm x0.3mm</t>
  </si>
  <si>
    <t xml:space="preserve">Amecthermasol </t>
  </si>
  <si>
    <t>Kyus-sf-1802T</t>
  </si>
  <si>
    <t>AGS003-A4</t>
  </si>
  <si>
    <t>Quotation  Invoice  Kyus-sf-1802T</t>
  </si>
  <si>
    <t>Deployment Switch</t>
  </si>
  <si>
    <t>5.1 mm x 14.25 mm x 14.7 mm</t>
  </si>
  <si>
    <t>Omron Electronics Inc-EMC Div</t>
  </si>
  <si>
    <t>J-7-V22</t>
  </si>
  <si>
    <t>https://www.digikey.jp/product-detail/ja/J-7-V22/SW817-ND/699997/?itemSeq=284879251</t>
  </si>
  <si>
    <t>final price: 17,089 yen</t>
  </si>
  <si>
    <t>CAM Mission
BBM PCB (Pban)</t>
  </si>
  <si>
    <t>LTC adapter</t>
  </si>
  <si>
    <t>35.56mm x 17.78mm x 1.57mm</t>
  </si>
  <si>
    <t xml:space="preserve">A891AR-ND </t>
  </si>
  <si>
    <t>LCQT-TSSOP28</t>
  </si>
  <si>
    <t>PBL team2</t>
  </si>
  <si>
    <t>https://www.digikey.jp/product-detail/ja/aries-electronics/LCQT-TSSOP28/A891AR-ND/4754599</t>
  </si>
  <si>
    <t>current adapter</t>
  </si>
  <si>
    <t>10.16mm x 10.16mm x 1.57mm</t>
  </si>
  <si>
    <t>chip quik ink.</t>
  </si>
  <si>
    <t xml:space="preserve">
PCB3005A1-ND</t>
  </si>
  <si>
    <t xml:space="preserve">PCB3005A1 </t>
  </si>
  <si>
    <t>https://www.digikey.jp/product-detail/ja/chip-quik-inc/PCB3005A1/PCB3005A1-ND/5978207</t>
  </si>
  <si>
    <t>solder paste</t>
  </si>
  <si>
    <t xml:space="preserve">ALUMINUM SOLDER PASTE WATER-SOLU </t>
  </si>
  <si>
    <t>SMDAL-ND</t>
  </si>
  <si>
    <t>SMDAL</t>
  </si>
  <si>
    <t>https://www.digikey.jp/product-detail/ja/chip-quik-inc/SMDAL/SMDAL-ND/8681821</t>
  </si>
  <si>
    <t>solder wire</t>
  </si>
  <si>
    <t xml:space="preserve">
SOLDER WIRE 60/40 TIN/LEAD NO-CL</t>
  </si>
  <si>
    <t xml:space="preserve">
SMD2SW.0201OZ-ND</t>
  </si>
  <si>
    <t xml:space="preserve">
SMD2SW.020 1OZ </t>
  </si>
  <si>
    <t>https://www.digikey.jp/product-detail/ja/chip-quik-inc/SMD2SW.020-1OZ/SMD2SW.0201OZ-ND/9558141</t>
  </si>
  <si>
    <t>IC opamp</t>
  </si>
  <si>
    <t xml:space="preserve">100KHZ 8DIP </t>
  </si>
  <si>
    <t>broadcom limited</t>
  </si>
  <si>
    <t xml:space="preserve">
516-1482-5-ND</t>
  </si>
  <si>
    <t xml:space="preserve">
HCPL-7840-000E</t>
  </si>
  <si>
    <t xml:space="preserve">https://www.digikey.jp/product-detail/ja/broadcom-limited/HCPL-7840-000E/516-1482-5-ND/669909
</t>
  </si>
  <si>
    <t>CAPACITOR SET for Tuning Matching Circuit</t>
  </si>
  <si>
    <t>Adrian/Uemura</t>
  </si>
  <si>
    <t xml:space="preserve">CAP KIT CER 0.3PF-82PF 1400PCS </t>
  </si>
  <si>
    <t>712-1159-ND</t>
  </si>
  <si>
    <t xml:space="preserve">0603 (1608 Metric) </t>
  </si>
  <si>
    <t>Antenna board</t>
  </si>
  <si>
    <t>https://www.digikey.jp/products/en/kits/capacitor-kits/651?k=capacitor+kits&amp;k=&amp;pkeyword=capacitor+kits&amp;sv=0&amp;pv26=435&amp;sf=0&amp;FV=ffe0028b%2Cfffc02c8&amp;quantity=&amp;ColumnSort=0&amp;page=1&amp;pageSize=25</t>
  </si>
  <si>
    <t xml:space="preserve">CAP CER 30PF 250V C0G/NP0 0603 </t>
  </si>
  <si>
    <t>712-1339-1-ND</t>
  </si>
  <si>
    <t>https://www.digikey.jp/product-detail/en/johanson-technology-inc/251R14S300GV4T/712-1339-1-ND/1786801</t>
  </si>
  <si>
    <t>CAP CER 4.3PF 250V C0G/NP0 0603</t>
  </si>
  <si>
    <t>712-1355-6-ND</t>
  </si>
  <si>
    <t>https://www.digikey.jp/product-detail/en/johanson-technology-inc/251R14S4R3CV4T/712-1355-6-ND/1787027</t>
  </si>
  <si>
    <t xml:space="preserve">CAP CER 6.2PF 250V C0G/NP0 0603 </t>
  </si>
  <si>
    <t>712-1363-1-ND</t>
  </si>
  <si>
    <t>https://www.digikey.jp/product-detail/en/johanson-technology-inc/251R14S6R2CV4T/712-1363-1-ND/1786825</t>
  </si>
  <si>
    <t>CAP CER 56PF 250V C0G/NP0 0603</t>
  </si>
  <si>
    <t>712-1358-1-ND</t>
  </si>
  <si>
    <t>https://www.digikey.jp/product-detail/en/johanson-technology-inc/251R14S560JV4T/712-1358-1-ND/1786820</t>
  </si>
  <si>
    <t>INDUCTOR SET for Tuning Matching Circuit</t>
  </si>
  <si>
    <t>1 nH to 220 nH</t>
  </si>
  <si>
    <t>712-1451-ND</t>
  </si>
  <si>
    <t>https://www.digikey.jp/product-detail/en/johanson-technology-inc/L603DC/712-1451-ND/1915219</t>
  </si>
  <si>
    <t>FIXED IND 0.4NH 850MA 80 MOHM</t>
  </si>
  <si>
    <t>0.4 nH</t>
  </si>
  <si>
    <t>490-10544-1-ND</t>
  </si>
  <si>
    <t xml:space="preserve">0201 (0603 Metric) </t>
  </si>
  <si>
    <t>https://www.digikey.jp/product-detail/en/murata-electronics-north-america/LQP03TG0N4C02D/490-10544-1-ND/5026488</t>
  </si>
  <si>
    <t xml:space="preserve">FIXED IND 0.3NH 850MA 80 MOHM </t>
  </si>
  <si>
    <t>0.3 nH</t>
  </si>
  <si>
    <t>490-10541-1-ND</t>
  </si>
  <si>
    <t>https://www.digikey.jp/product-detail/en/murata-electronics-north-america/LQP03TG0N3B02D/490-10541-1-ND/5026485</t>
  </si>
  <si>
    <t xml:space="preserve">FIXED IND 0.5NH 850MA 80 MOHM </t>
  </si>
  <si>
    <t>0.5 nH</t>
  </si>
  <si>
    <t>490-10545-1-ND</t>
  </si>
  <si>
    <t>https://www.digikey.jp/product-detail/en/murata-electronics-north-america/LQP03TG0N5B02D/490-10545-1-ND/5026489</t>
  </si>
  <si>
    <t>FIXED IND 0.6NH 850MA 70 MOHM</t>
  </si>
  <si>
    <t>0.6 nH</t>
  </si>
  <si>
    <t>490-6707-1-ND</t>
  </si>
  <si>
    <t>https://www.digikey.jp/product-detail/en/murata-electronics-north-america/LQP03TN0N6B02D/490-6707-1-ND/5802355</t>
  </si>
  <si>
    <t>FIXED IND 0.7NH 800MA 80 MOHM</t>
  </si>
  <si>
    <t>0.7 nH</t>
  </si>
  <si>
    <t xml:space="preserve">490-6708-1-ND </t>
  </si>
  <si>
    <t>https://www.digikey.jp/product-detail/en/murata-electronics-north-america/LQP03TN0N7B02D/490-6708-1-ND/5802356</t>
  </si>
  <si>
    <t xml:space="preserve">FIXED IND 0.8NH 800MA 80 MOHM </t>
  </si>
  <si>
    <t>0.8 nH</t>
  </si>
  <si>
    <t>490-6709-1-ND</t>
  </si>
  <si>
    <t>https://www.digikey.jp/product-detail/en/murata-electronics-north-america/LQP03TN0N8B02D/490-6709-1-ND/5802357</t>
  </si>
  <si>
    <t>FIXED IND 0.2NH 850MA 80 MOHM</t>
  </si>
  <si>
    <t>0.2 nH</t>
  </si>
  <si>
    <t xml:space="preserve">490-10539-1-ND </t>
  </si>
  <si>
    <t>https://www.digikey.jp/product-detail/en/murata-electronics-north-america/LQP03TG0N2B02D/490-10539-1-ND/5026483</t>
  </si>
  <si>
    <t>FIXED IND 0.9NH 750MA 100 MOHM</t>
  </si>
  <si>
    <t>0.9 nH</t>
  </si>
  <si>
    <t xml:space="preserve">490-12971-1-ND </t>
  </si>
  <si>
    <t>https://www.digikey.jp/product-detail/en/murata-electronics-north-america/LQP03TN0N9B02D/490-12971-1-ND/5802358</t>
  </si>
  <si>
    <t>16 MHz</t>
  </si>
  <si>
    <t>Qantek</t>
  </si>
  <si>
    <t>QCS8.00000F18B23R</t>
  </si>
  <si>
    <t>HC49UP</t>
  </si>
  <si>
    <t>Mission board</t>
  </si>
  <si>
    <t>http://jp.rs-online.com/web/p/crystal-units/8149535/?sra=pstk</t>
  </si>
  <si>
    <t>MUX - ADG774ABRQZ</t>
  </si>
  <si>
    <t>Low Voltage 400 MHz Quad 2:1 Mux with 3 ns Switching Time</t>
  </si>
  <si>
    <t>Mouser Electronics</t>
  </si>
  <si>
    <t>584-ADG774ABRQZ</t>
  </si>
  <si>
    <t>16-QSOP</t>
  </si>
  <si>
    <t>https://www.mouser.jp/ProductDetail/Analog-Devices/ADG774ABRQZ/?qs=sGAEpiMZZMtxrAS98ir%252bs4YpfXGcyaottj9R6BtLBFY=</t>
  </si>
  <si>
    <t>Flash Memory</t>
  </si>
  <si>
    <t>Cypress Semiconductor</t>
  </si>
  <si>
    <t>S25FL512SAGMFI011</t>
  </si>
  <si>
    <t>SO16W</t>
  </si>
  <si>
    <t>https://www.digikey.jp/products/ja?keywords=S25FL512SAGMFI011</t>
  </si>
  <si>
    <t>Op Amp</t>
  </si>
  <si>
    <t>4.4 ╡A/Amplifier, 90 kHz Op Amp,MSOP-8</t>
  </si>
  <si>
    <t>MCP6422-E/MS</t>
  </si>
  <si>
    <t>MSOP-8N</t>
  </si>
  <si>
    <t>https://www.digikey.jp/product-detail/ja/microchip-technology/MCP6422-E-MS/MCP6422-E-MS-ND/4439803</t>
  </si>
  <si>
    <t>TRACKER2 (APRS/TNC module)</t>
  </si>
  <si>
    <t>TT4</t>
  </si>
  <si>
    <t>https://www.byonics.com/tinytrak4/</t>
  </si>
  <si>
    <t>PIC</t>
  </si>
  <si>
    <t>PIC18F46J11-I/PT</t>
  </si>
  <si>
    <t>QFP80P1200X1200X120-44N</t>
  </si>
  <si>
    <t>http://jp.rs-online.com/web/p/microcontrollers/6670056/</t>
  </si>
  <si>
    <t>Omni-vision camera module</t>
  </si>
  <si>
    <t>BIRDS4(UPD)</t>
  </si>
  <si>
    <t>Uctronics</t>
  </si>
  <si>
    <t>SKU:B0068</t>
  </si>
  <si>
    <t>8-pin</t>
  </si>
  <si>
    <t>http://www.uctronics.com/mini-arducam-module-camera-shield-w-5-mp-ov5642-for-arduino-uno-mega2560-board.html</t>
  </si>
  <si>
    <t>GPS Antenna RF Cable</t>
  </si>
  <si>
    <t>MMCX to UFL connector</t>
  </si>
  <si>
    <t>ISP Supplies</t>
  </si>
  <si>
    <t>SKU: RAMMCX-UFL-R178-6</t>
  </si>
  <si>
    <t>1X09 Pinhead</t>
  </si>
  <si>
    <t>http://www.ispsupplies.com/MMCX-to-U-fL-LMR100-Pigtail</t>
  </si>
  <si>
    <t>PIN HEADER for Serial Monitor</t>
  </si>
  <si>
    <t>Harwin</t>
  </si>
  <si>
    <t>M20-9993645</t>
  </si>
  <si>
    <t>1X02 Pinhead</t>
  </si>
  <si>
    <t>http://jp.rs-online.com/web/p/pcb-headers/5473150/</t>
  </si>
  <si>
    <t>Level Converter</t>
  </si>
  <si>
    <t>MAX3378EEUD +</t>
  </si>
  <si>
    <t>TSSOP14</t>
  </si>
  <si>
    <t>https://www.digikey.jp/product-detail/ja/maxim-integrated/MAX3378EEUD-/MAX3378EEUD--ND/1701965</t>
  </si>
  <si>
    <t>GPS Module</t>
  </si>
  <si>
    <t>Skytraq Technology, Inc</t>
  </si>
  <si>
    <t>Venus838LPx-T</t>
  </si>
  <si>
    <t>https://www.tindie.com/products/nsayer/skytraq-venus838lpx-t-timing-gps-module-breakout/</t>
  </si>
  <si>
    <t>Gyro Sensor</t>
  </si>
  <si>
    <t xml:space="preserve">L3GD20HTR </t>
  </si>
  <si>
    <t>LGA-16</t>
  </si>
  <si>
    <t>https://www.digikey.jp/product-detail/ja/stmicroelectronics/L3GD20HTR/497-13931-1-ND/4357644</t>
  </si>
  <si>
    <t>Camera lens 1</t>
  </si>
  <si>
    <t>25 mm</t>
  </si>
  <si>
    <t>B5M25024C</t>
  </si>
  <si>
    <t>S-mount</t>
  </si>
  <si>
    <t>https://www.lensation.de/product/B5M25024C/</t>
  </si>
  <si>
    <t>Camera lens 2</t>
  </si>
  <si>
    <t>8 mm</t>
  </si>
  <si>
    <t>B5M8018C</t>
  </si>
  <si>
    <t>https://www.lensation.de/product/B5M8018C/</t>
  </si>
  <si>
    <t>BIRDS-2S TNC board fabrication</t>
  </si>
  <si>
    <t>BIRDS-2S RAB fabrication</t>
  </si>
  <si>
    <t>BIRDS-2S RAB assembly</t>
  </si>
  <si>
    <t>BIRDS-2S antenna board fabrication</t>
  </si>
  <si>
    <t>BIRDS-2S antenna board assembly</t>
  </si>
  <si>
    <t>BIRDS-2S +Z panel board fabrication</t>
  </si>
  <si>
    <t>+Z panel board</t>
  </si>
  <si>
    <t>BIRDS-2S -Z panel board fabrication</t>
  </si>
  <si>
    <t>-Z panel board</t>
  </si>
  <si>
    <t>BIRDS-2S +-X panel board fabrication</t>
  </si>
  <si>
    <t>+-X panel board</t>
  </si>
  <si>
    <t>BIRDS-2S burner circuit board fabrication</t>
  </si>
  <si>
    <t>BIRDS-2S burner circuit board assembly</t>
  </si>
  <si>
    <t>BIRDS-2S battery heater board fabrication and assembly</t>
  </si>
  <si>
    <t>Battery</t>
  </si>
  <si>
    <t>BIRDS-2S COM-2 board fabrication</t>
  </si>
  <si>
    <t>BIRDS-2S COM-2 board assembly</t>
  </si>
  <si>
    <t>BIRDS-2S programming access board fabrication</t>
  </si>
  <si>
    <t>Programming access board</t>
  </si>
  <si>
    <t>BIRDS-2S main structure</t>
  </si>
  <si>
    <t>1U CubeSat structure</t>
  </si>
  <si>
    <t>BIRDS-2S Stucture</t>
  </si>
  <si>
    <t>Screw</t>
  </si>
  <si>
    <t>SSHS-M2-6</t>
  </si>
  <si>
    <t>https://www.nbk1560.com/products/specialscrew/nedzicom/lowsmallheadscrew/SSHS/SSHS-M2/SSHS-M2-6/</t>
  </si>
  <si>
    <t>SSHS-M2-8</t>
  </si>
  <si>
    <t>https://www.nbk1560.com/products/specialscrew/nedzicom/lowsmallheadscrew/SSHS/SSHS-M2/SSHS-M2-8/</t>
  </si>
  <si>
    <t>https://jp.misumi-ec.com/vona2/detail/221000348314/?HissuCode=SNSS-M1.6X5</t>
  </si>
  <si>
    <t>SNSS-M1.6-6</t>
  </si>
  <si>
    <t>https://www.nbk1560.com/products/specialscrew/nedzicom/miniaturescrew/SNSS/SNSS-M1.6/SNSS-M1.6-6/</t>
  </si>
  <si>
    <t>SNSS-M2-4</t>
  </si>
  <si>
    <t>https://www.nbk1560.com/products/specialscrew/nedzicom/miniaturescrew/SNSS/SNSS-M2/SNSS-M2-4/</t>
  </si>
  <si>
    <t>SNSS-M2-4-SD</t>
  </si>
  <si>
    <t>https://www.nbk1560.com/products/specialscrew/nedzicom/lowsmallheadscrew/SNSS-SD/SNSS-M2-SD/SNSS-M2-4-SD/</t>
  </si>
  <si>
    <t>SNSS-M2-5</t>
  </si>
  <si>
    <t>https://www.nbk1560.com/products/specialscrew/nedzicom/miniaturescrew/SNSS/SNSS-M2/SNSS-M2-5/</t>
  </si>
  <si>
    <t>SLHS-M2-8</t>
  </si>
  <si>
    <t>https://www.nbk1560.com/products/specialscrew/nedzicom/lowsmallheadscrew/SLHS/SLHS-M2/SLHS-M2-8/</t>
  </si>
  <si>
    <t>SLHS-M2-12</t>
  </si>
  <si>
    <t>https://www.nbk1560.com/products/specialscrew/nedzicom/lowsmallheadscrew/SLHS/SLHS-M2/SLHS-M2-12/</t>
  </si>
  <si>
    <t>SNSS-M2-6-SD</t>
  </si>
  <si>
    <t>https://www.nbk1560.com/products/specialscrew/nedzicom/lowsmallheadscrew/SNSS-SD/SNSS-M2-SD/SNSS-M2-6-SD/</t>
  </si>
  <si>
    <t>https://jp.misumi-ec.com/vona2/detail/110302280540/?HissuCode=CBSTSR3-10&amp;PNSearch=CBSTSR3-10&amp;KWSearch=CBSTSR3-10&amp;searchFlow=results2products</t>
  </si>
  <si>
    <t>https://jp.misumi-ec.com/vona2/detail/110302280540/?HissuCode=CBSTSR2-6&amp;PNSearch=CBSTSR2-6&amp;KWSearch=CBSTSR2-6&amp;searchFlow=results2products</t>
  </si>
  <si>
    <t>https://jp.misumi-ec.com/vona2/detail/110302280540/?PNSearch=CBSTSR2-5&amp;HissuCode=CBSTSR2-5&amp;searchFlow=suggest2products&amp;Keyword=CBSTSR2-5</t>
  </si>
  <si>
    <t>FABS3-96</t>
  </si>
  <si>
    <t>https://jp.misumi-ec.com/vona2/detail/110302679630/?HissuCode=FABS3-96&amp;PNSearch=FABS3-96&amp;KWSearch=FABS3-96&amp;searchFlow=results2products</t>
  </si>
  <si>
    <t>Nut</t>
  </si>
  <si>
    <t>https://www.nbk1560.com/products/specialscrew/nedzicom/miniaturescrew/SHNS/SHNS-M2/</t>
  </si>
  <si>
    <t>Spacer</t>
  </si>
  <si>
    <t>C-302.5-5</t>
  </si>
  <si>
    <t>https://jp.misumi-ec.com/vona2/detail/221006204478/?HissuCode=C-302.5-5&amp;PNSearch=C-302.5-5&amp;KWSearch=C-302.5-5&amp;searchFlow=results2products</t>
  </si>
  <si>
    <t>C-303.5-5</t>
  </si>
  <si>
    <t>https://jp.misumi-ec.com/vona2/detail/221006204478/?HissuCode=C-303.5-5&amp;PNSearch=C-303.5-5&amp;KWSearch=C-303.5-5&amp;searchFlow=results2products</t>
  </si>
  <si>
    <t>C-306-5</t>
  </si>
  <si>
    <t>https://jp.misumi-ec.com/vona2/detail/221006204478/?HissuCode=C-306-5&amp;PNSearch=C-306-5&amp;KWSearch=C-306-5&amp;searchFlow=results2products</t>
  </si>
  <si>
    <t>C-309-5</t>
  </si>
  <si>
    <t>https://jp.misumi-ec.com/vona2/detail/221006204478/?HissuCode=C-309-5&amp;PNSearch=C-309-5&amp;KWSearch=C-309-5&amp;searchFlow=results2products</t>
  </si>
  <si>
    <t>C-309.5-5</t>
  </si>
  <si>
    <t>https://jp.misumi-ec.com/vona2/detail/221006204478/?HissuCode=C-309.5-5&amp;PNSearch=C-309.5-5&amp;KWSearch=C-309.5-5&amp;searchFlow=results2products</t>
  </si>
  <si>
    <t>C-314-5</t>
  </si>
  <si>
    <t>https://jp.misumi-ec.com/vona2/detail/221006204478/?HissuCode=C-314-5&amp;PNSearch=C-314-5&amp;KWSearch=C-314-5&amp;searchFlow=results2products</t>
  </si>
  <si>
    <t>C-318-5</t>
  </si>
  <si>
    <t>https://jp.misumi-ec.com/vona2/detail/221006204478/?HissuCode=C-318-5&amp;PNSearch=C-318-5&amp;KWSearch=C-318-5&amp;searchFlow=results2products</t>
  </si>
  <si>
    <t>https://jp.misumi-ec.com/vona2/detail/221006204423/?HissuCode=CU-305PH&amp;PNSearch=CU-305PH&amp;KWSearch=CU-305PH&amp;searchFlow=results2products</t>
  </si>
  <si>
    <t>Permanent Magnets</t>
  </si>
  <si>
    <t>ALNICO-5</t>
  </si>
  <si>
    <t>https://www.digikey.jp/product-detail/ja/standex-meder-electronics/ALNICO500-19X3.2X3.2MM/374-1130-ND/695282</t>
  </si>
  <si>
    <t>String Wire</t>
  </si>
  <si>
    <t>Gosen</t>
  </si>
  <si>
    <t>Buy directly from store</t>
  </si>
  <si>
    <t>Polymide film flexible heater</t>
  </si>
  <si>
    <t>Omega Spcetris</t>
  </si>
  <si>
    <t>RTV</t>
  </si>
  <si>
    <t>Hayakawa</t>
  </si>
  <si>
    <t>RTV-S-691(A&amp;B)</t>
  </si>
  <si>
    <t>Dotaite</t>
  </si>
  <si>
    <t>Fujikara</t>
  </si>
  <si>
    <t>https://www.monotaro.com/p/3324/0313/</t>
  </si>
  <si>
    <t>Raspberry Pi Camera Module V2, Daylight version</t>
  </si>
  <si>
    <t>Victor</t>
  </si>
  <si>
    <t>Sony IMX219 8-megapixel sensor,
with IR filter</t>
  </si>
  <si>
    <t>element14</t>
  </si>
  <si>
    <t>B01ER2SKFS</t>
  </si>
  <si>
    <t>https://www.amazon.co.jp/Raspberry-Pi-Camera-%E3%82%AB%E3%83%A1%E3%83%A9%E3%83%A2%E3%82%B8%E3%83%A5%E3%83%BC%E3%83%AB-Daylight/dp/B01ER2SKFS/</t>
  </si>
  <si>
    <t>Raspberry Pi Camera Module V2, NoIR version</t>
  </si>
  <si>
    <t>Sony IMX219 8-megapixel sensor,
without IR filter</t>
  </si>
  <si>
    <t>B01ER2SMHY</t>
  </si>
  <si>
    <t>https://www.amazon.co.jp/gp/product/B01ER2SMHY/ref=ox_sc_act_title_1?smid=A2XCLC244FCEX4&amp;psc=1</t>
  </si>
  <si>
    <t>USB cable</t>
  </si>
  <si>
    <t>USB 2.0 A male to
 microUSB male cable</t>
  </si>
  <si>
    <t>AmazonBasics</t>
  </si>
  <si>
    <t>B07232M876</t>
  </si>
  <si>
    <t>https://www.amazon.co.jp/gp/product/B07232M876/ref=ox_sc_act_title_2?smid=AN1VRQENFRJN5&amp;psc=1</t>
  </si>
  <si>
    <t>Raspberry Pi 2 Model B</t>
  </si>
  <si>
    <t>Broadcom BCM2836 SoC,
quad-core ARM Cortex-A7 900 MHz, 1 GB SDRAM</t>
  </si>
  <si>
    <t>Raspberry Pi</t>
  </si>
  <si>
    <t>B00W4T1HSY</t>
  </si>
  <si>
    <t>https://www.amazon.co.jp/gp/product/B00W4T1HSY/ref=ox_sc_act_title_3?smid=A245ZZGYDH3641&amp;psc=1</t>
  </si>
  <si>
    <t>RJ45 LAN Cable CAT7</t>
  </si>
  <si>
    <t>10Gbps, length=7.6m</t>
  </si>
  <si>
    <t>B013PUN1AW</t>
  </si>
  <si>
    <t>https://www.amazon.co.jp/gp/product/B013PUN1AW/ref=ox_sc_act_title_6?smid=AN1VRQENFRJN5&amp;psc=1</t>
  </si>
  <si>
    <t>IDC20 Cable</t>
  </si>
  <si>
    <t>20 pin, 2.54mm, length=50cm</t>
  </si>
  <si>
    <t>BU LU SHI</t>
  </si>
  <si>
    <t>B07C741WW8</t>
  </si>
  <si>
    <t>https://www.amazon.co.jp/gp/product/B07C741WW8/ref=ox_sc_act_title_5?smid=A3GY9B9316NNTO&amp;psc=1</t>
  </si>
  <si>
    <t>20 pin, 2.54mm, length=20cm</t>
  </si>
  <si>
    <t>uxcell</t>
  </si>
  <si>
    <t>a14051400ux0295</t>
  </si>
  <si>
    <t>https://www.amazon.co.jp/gp/product/B01AN7B1T8/ref=ox_sc_act_title_4?smid=AANM8PRMV1MBN&amp;psc=1</t>
  </si>
  <si>
    <t>2UEW Enameled Wire</t>
  </si>
  <si>
    <t>φ0.2mm, 500g</t>
  </si>
  <si>
    <t>KYOWA HARMONET</t>
  </si>
  <si>
    <t>https://www.monotaro.com/p/0523/2675/?t.q=%2583G%2583i%2583%2581%2583%258B%2590%25FC0.2mm</t>
  </si>
  <si>
    <t>GS rotator cable</t>
  </si>
  <si>
    <t>0.75sq, 8core, 80m, shieled</t>
  </si>
  <si>
    <t>TAIYO cabletec</t>
  </si>
  <si>
    <t>橋本興産</t>
  </si>
  <si>
    <t>サンライト3SX 8X0.75SQ</t>
  </si>
  <si>
    <t>Nozaki</t>
  </si>
  <si>
    <t>CBSTR3-10</t>
  </si>
  <si>
    <t>https://jp.misumi-ec.com/vona2/detail/110302280540/?HissuCode=CBSTSR3-10</t>
  </si>
  <si>
    <t>https://www.nbk1560.com/products/specialscrew/nedzicom/lowsmallheadscrew/SSHS/SSHS-M2/</t>
  </si>
  <si>
    <t>https://jp.misumi-ec.com/vona2/detail/221006204423/?HissuCode=CU-305PH</t>
  </si>
  <si>
    <t>水晶振動子 16MHz</t>
  </si>
  <si>
    <t>Tomoaki Murase</t>
  </si>
  <si>
    <t>FOXSDLF/160-20</t>
  </si>
  <si>
    <t>Fox Electronics</t>
  </si>
  <si>
    <t>547-6531</t>
  </si>
  <si>
    <t>TMCR</t>
  </si>
  <si>
    <t>https://jp.rs-online.com/web/p/crystal-units/5476531/</t>
  </si>
  <si>
    <t>電流検出増幅器</t>
  </si>
  <si>
    <t>MOUSER Electronics</t>
  </si>
  <si>
    <t xml:space="preserve">584-LT6106HS5#TRMPBF
</t>
  </si>
  <si>
    <t>https://www.mouser.jp/ProductDetail/Analog-Devices/LT6106HS5TRMPBF?qs=hVkxg5c3xu8OKBLMK7oSuA%3D%3D</t>
  </si>
  <si>
    <t>N-channel MOSFET</t>
  </si>
  <si>
    <t>IRF620PBF-ND</t>
    <phoneticPr fontId="256"/>
  </si>
  <si>
    <t>IRF620PBF</t>
    <phoneticPr fontId="256"/>
  </si>
  <si>
    <t>PID</t>
  </si>
  <si>
    <t>https://www.digikey.jp/product-detail/ja/vishay-siliconix/IRF620PBF/IRF620PBF-ND/811694</t>
  </si>
  <si>
    <t>P-channel MOSFET</t>
  </si>
  <si>
    <t>Wireless Router</t>
  </si>
  <si>
    <t>802.11.b, 802.11.g, 802.11.n</t>
  </si>
  <si>
    <t>Buffalo</t>
  </si>
  <si>
    <t>B071PB13WT</t>
  </si>
  <si>
    <t>WAPM-1266R</t>
  </si>
  <si>
    <t>https://www.amazon.co.jp/dp/B071PB13WT/ref=cm_sw_r_cp_api_i_zb7CCb6PWDTJB?language=en_US</t>
  </si>
  <si>
    <t>External Hard Drive</t>
  </si>
  <si>
    <t>UPD(BIRDS4)</t>
  </si>
  <si>
    <t>Transcend 2.5-Inch Portable HDD, Shockproof, M3 Series, 1TB</t>
  </si>
  <si>
    <t>Transcend</t>
  </si>
  <si>
    <t>B07B4CJ4KS</t>
  </si>
  <si>
    <t>TS1TSJ25M3S</t>
  </si>
  <si>
    <t>Secretary's Office, 4F</t>
  </si>
  <si>
    <t>https://www.amazon.co.jp/Transcend-USB3-1-%E3%82%B9%E3%83%AA%E3%83%A0%E3%83%9D%E3%83%BC%E3%82%BF%E3%83%96%E3%83%ABHDD-%E3%82%A2%E3%82%A4%E3%83%AD%E3%83%B3%E3%82%B0%E3%83%AC%E3%83%BC-TS1TSJ25M3S/dp/B07B4CJ4KS/ref=sr_1_5?ie=UTF8&amp;qid=1551255300&amp;sr=8-5&amp;keywords=external+hard+drive</t>
  </si>
  <si>
    <t>BIRDS-2S mission board fabrication</t>
  </si>
  <si>
    <t>BIRDS-2S mission board assembly</t>
  </si>
  <si>
    <t>Al6061 Plate</t>
  </si>
  <si>
    <t>20 x 25 x 120 mm</t>
  </si>
  <si>
    <t>A6061FMM-120-20-25</t>
  </si>
  <si>
    <t>https://jp.misumi-ec.com/vona2/detail/110302243870/?CategorySpec=00000173478%3a%3ae%0900000173301%3a%3amig00000002486654%2c25%0900000173429%3a%3a120%0900000173494%3a%3amig00000002488677%2c20</t>
  </si>
  <si>
    <t>Helical coil insert</t>
  </si>
  <si>
    <t>Stainless steel (SUS304)</t>
  </si>
  <si>
    <t>ES-M2-0.4-2D-SUS</t>
  </si>
  <si>
    <t>https://jp.misumi-ec.com/vona2/detail/221000597545/</t>
  </si>
  <si>
    <t>Bird2S FAB</t>
  </si>
  <si>
    <t>FAB of Bird2S</t>
  </si>
  <si>
    <t>PEEK plate</t>
  </si>
  <si>
    <t>200 x 200 x 6.9 mm</t>
  </si>
  <si>
    <t>PKA6FMM-200-200-6.9</t>
  </si>
  <si>
    <t>https://jp.misumi-ec.com/vona2/detail/110302696950/?Keyword=PEEK+%E3%83%97%E3%83%AC%E3%83%BC%E3%83%88&amp;searchFlow=preview2products</t>
  </si>
  <si>
    <t>B4_TMCR/MB_BBM_TM</t>
  </si>
  <si>
    <t>0.1 uF capacitor</t>
  </si>
  <si>
    <t>0.1 uF</t>
  </si>
  <si>
    <t xml:space="preserve">	490-11592-1-ND</t>
  </si>
  <si>
    <t>GRM21B7U1A104JA01L</t>
  </si>
  <si>
    <t>14 (1 set)</t>
  </si>
  <si>
    <t>https://www.digikey.jp/product-detail/ja/murata-electronics-north-america/GRM21B7U1A104JA01L/490-11592-1-ND/5333432</t>
  </si>
  <si>
    <t>10 uF capacitor</t>
  </si>
  <si>
    <t>10 uF</t>
  </si>
  <si>
    <t xml:space="preserve">	490-16824-1-ND</t>
  </si>
  <si>
    <t xml:space="preserve">	GRM21BR61E106KA73K</t>
  </si>
  <si>
    <t>2 (1 set)</t>
  </si>
  <si>
    <t>https://www.digikey.jp/product-detail/ja/murata-electronics-north-america/GRM21BR61E106KA73K/490-16824-1-ND/7595732</t>
  </si>
  <si>
    <t>490-6439-1-ND</t>
  </si>
  <si>
    <t>GRM188R72A104KA35J</t>
  </si>
  <si>
    <t>C1608</t>
  </si>
  <si>
    <t>https://www.digikey.jp/product-detail/ja/murata-electronics-north-america/GRM188R72A104KA35J/490-6439-1-ND/3845636</t>
  </si>
  <si>
    <t>18 pF capacitor</t>
  </si>
  <si>
    <t>18 pF</t>
  </si>
  <si>
    <t>490-9716-1-ND</t>
  </si>
  <si>
    <t>GRM1885C1H180FA01D</t>
  </si>
  <si>
    <t>8 (1 set)</t>
  </si>
  <si>
    <t>https://www.digikey.jp/product-detail/ja/murata-electronics-north-america/GRM1885C1H180FA01D/490-9716-1-ND/4934871</t>
  </si>
  <si>
    <t>9pF capacitor</t>
  </si>
  <si>
    <t>9 pF</t>
  </si>
  <si>
    <t>490-11483-1-ND</t>
  </si>
  <si>
    <t>GRM1885C1H9R0DA01D</t>
  </si>
  <si>
    <t>https://www.digikey.jp/product-detail/ja/murata-electronics-north-america/GRM1885C1H9R0DA01D/490-11483-1-ND/5333323</t>
  </si>
  <si>
    <t xml:space="preserve">	490-5920-1-ND</t>
  </si>
  <si>
    <t>GRM155R61E104KA87D</t>
  </si>
  <si>
    <t>C1005</t>
  </si>
  <si>
    <t>https://www.digikey.jp/product-detail/ja/murata-electronics-north-america/GRM155R61E104KA87D/490-5920-1-ND/3721277</t>
  </si>
  <si>
    <t>10 nF capacitor</t>
  </si>
  <si>
    <t>10000 pF</t>
  </si>
  <si>
    <t xml:space="preserve">	490-9666-1-ND</t>
  </si>
  <si>
    <t>https://www.digikey.jp/product-detail/ja/murata-electronics-north-america/GRM1885C1H103JA01D/490-9666-1-ND/4934772</t>
  </si>
  <si>
    <t>490-13238-1-ND</t>
  </si>
  <si>
    <t>GRM155R60J106ME15D</t>
  </si>
  <si>
    <t>https://www.digikey.jp/product-detail/ja/murata-electronics-north-america/GRM155C80J106ME11D/490-13233-1-ND/5877441</t>
  </si>
  <si>
    <t>100 kohm resistor</t>
  </si>
  <si>
    <t>100 kohm</t>
  </si>
  <si>
    <t>KOA</t>
  </si>
  <si>
    <t>631-5178</t>
  </si>
  <si>
    <t xml:space="preserve">RK73H2ATTD1003F </t>
  </si>
  <si>
    <t>0805 (R2012)</t>
  </si>
  <si>
    <t>16 (1 set)</t>
  </si>
  <si>
    <t>https://jp.rs-online.com/web/p/surface-mount-fixed-resistors/6315178/</t>
  </si>
  <si>
    <t>10 kohm resistor</t>
  </si>
  <si>
    <t>10 kohm</t>
  </si>
  <si>
    <t>432-450</t>
  </si>
  <si>
    <t>RK73B2ATTD103J</t>
  </si>
  <si>
    <t>https://jp.rs-online.com/web/p/surface-mount-fixed-resistors/0432450/?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37334232415454443130334A267374613D524B37334232415454443130334A26&amp;searchHistory=%7B%22enabled%22%3Atrue%7D</t>
  </si>
  <si>
    <t>1 kohm resistor</t>
  </si>
  <si>
    <t>1 kohm</t>
  </si>
  <si>
    <t>432-337</t>
  </si>
  <si>
    <t xml:space="preserve">RK73B2ATTD102J </t>
  </si>
  <si>
    <t>https://jp.rs-online.com/web/p/surface-mount-fixed-resistors/0432337/?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37334232415454443130324A267374613D524B37334232415454443130324A26&amp;searchHistory=%7B%22enabled%22%3Atrue%7D</t>
  </si>
  <si>
    <t>22 kohm resistor</t>
  </si>
  <si>
    <t>22 kohm</t>
  </si>
  <si>
    <t>432-494</t>
  </si>
  <si>
    <t>RK73B2ATTD223J</t>
  </si>
  <si>
    <t>https://jp.rs-online.com/web/p/surface-mount-fixed-resistors/0432494/?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37334232415454443232334A29267374613D524B37334232415454443232334A26&amp;searchHistory=%7B%22enabled%22%3Atrue%7D</t>
  </si>
  <si>
    <t>4.7 kohm resistor</t>
  </si>
  <si>
    <t>4.7 kohm</t>
  </si>
  <si>
    <t>432-416</t>
  </si>
  <si>
    <t>RK73B2ATTD472J</t>
  </si>
  <si>
    <t>https://jp.rs-online.com/web/p/surface-mount-fixed-resistors/0432416/?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37334232415454443437324A267374613D524B37334232415454443437324A26&amp;searchHistory=%7B%22enabled%22%3Atrue%7D</t>
  </si>
  <si>
    <t>47 kohm resistor</t>
  </si>
  <si>
    <t>47 kohm</t>
  </si>
  <si>
    <t>432-539</t>
  </si>
  <si>
    <t>RK73B2ATTD473J</t>
  </si>
  <si>
    <t>https://jp.rs-online.com/web/p/surface-mount-fixed-resistors/0432539/?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37334232415454443437334A267374613D524B37334232415454443437334A26&amp;searchHistory=%7B%22enabled%22%3Atrue%7D</t>
  </si>
  <si>
    <t>51 kohm resistor</t>
  </si>
  <si>
    <t>51 kohm</t>
  </si>
  <si>
    <t xml:space="preserve">432-549 </t>
  </si>
  <si>
    <t xml:space="preserve">RK73B2ATTD513J </t>
  </si>
  <si>
    <t>https://jp.rs-online.com/web/p/surface-mount-fixed-resistors/0432549/?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37334232415454443531334A267374613D524B37334232415454443531334A26&amp;searchHistory=%7B%22enabled%22%3Atrue%7D</t>
  </si>
  <si>
    <t>100 ohm resistor</t>
  </si>
  <si>
    <t>100 ohm</t>
  </si>
  <si>
    <t xml:space="preserve">631-4456 </t>
  </si>
  <si>
    <t>RK73H2ATTD1000F</t>
  </si>
  <si>
    <t>https://jp.rs-online.com/web/p/surface-mount-fixed-resistors/6314456/</t>
  </si>
  <si>
    <t>220 kohm resistor</t>
  </si>
  <si>
    <t>220 kohm</t>
  </si>
  <si>
    <t>432-618</t>
  </si>
  <si>
    <t>RK73B2ATTD224J</t>
  </si>
  <si>
    <t>https://jp.rs-online.com/web/p/surface-mount-fixed-resistors/0432618/</t>
  </si>
  <si>
    <t>QCS16.0000F18B23M</t>
  </si>
  <si>
    <t>Gyro Sensor (additional)</t>
  </si>
  <si>
    <t>M2-6, flat-head type</t>
  </si>
  <si>
    <t>https://jp.misumi-ec.com/vona2/detail/110302280540/?PNSearch=CBSTSR2-6&amp;HissuCode=CBSTSR2-6&amp;searchFlow=suggest2products&amp;Keyword=CBSTSR2-6</t>
  </si>
  <si>
    <t>GPS chip</t>
  </si>
  <si>
    <t>B4_-Y-SOLAR-PANEL_BBM</t>
  </si>
  <si>
    <t>STM32 Evaluation Board</t>
  </si>
  <si>
    <t>Yasir</t>
  </si>
  <si>
    <t>STM32F4 ARM Cortex-M4 MCU</t>
  </si>
  <si>
    <t>497-16287-ND</t>
  </si>
  <si>
    <t>STM32F407G-DISC1</t>
  </si>
  <si>
    <t>Image Classification Unit (ICU)</t>
  </si>
  <si>
    <t>https://www.digikey.jp/product-detail/en/stmicroelectronics/STM32F407G-DISC1/497-16287-ND/5824404?cur=JPY&amp;lang=en</t>
  </si>
  <si>
    <t>STM32 Evaluation Board with LCD</t>
  </si>
  <si>
    <t>DISCOVERY STM32F429 EVAL BRD with LCD</t>
  </si>
  <si>
    <t>497-16140-ND</t>
  </si>
  <si>
    <t>STM32F429I-DISC1</t>
  </si>
  <si>
    <t>https://www.digikey.jp/product-detail/en/stmicroelectronics/STM32F429I-DISC1/497-16140-ND/5731713</t>
  </si>
  <si>
    <t>USB 2.0 Cable</t>
  </si>
  <si>
    <t>USB 2.0 Cable A Male to Mini B Male 3.00' (914.4mm) Shielded</t>
  </si>
  <si>
    <t>Qualtek</t>
  </si>
  <si>
    <t>Q1103-ND</t>
  </si>
  <si>
    <t>3021055-03</t>
  </si>
  <si>
    <t>https://www.digikey.jp/product-detail/en/qualtek/3021055-03/Q1103-ND/7795305</t>
  </si>
  <si>
    <t>USB 2.0 Cable A Male to Micro B Male 3.00' (914.4mm) Shielded</t>
  </si>
  <si>
    <t>Q966-ND</t>
  </si>
  <si>
    <t>3025030-03</t>
  </si>
  <si>
    <t>https://www.digikey.jp/product-detail/en/qualtek/3025030-03/Q966-ND/6188812</t>
  </si>
  <si>
    <t>Jumper Wire</t>
  </si>
  <si>
    <t>JUMPER KIT VARIOUS 140PCS</t>
  </si>
  <si>
    <t>Twin Industries</t>
  </si>
  <si>
    <t>438-1049-ND</t>
  </si>
  <si>
    <t>TW-E012-000</t>
  </si>
  <si>
    <t>https://www.digikey.jp/product-detail/en/twin-industries/TW-E012-000/438-1049-ND/643115</t>
  </si>
  <si>
    <t>BIRDS-4 Back Plane Board BBM</t>
  </si>
  <si>
    <t>96mm by 96 mm 
6 layer PCB</t>
  </si>
  <si>
    <t>PBan</t>
  </si>
  <si>
    <t>201903070206M</t>
  </si>
  <si>
    <t>Back Plane Board (BPB)</t>
  </si>
  <si>
    <t>https://www.p-ban.com/kiban/mft/csMft02CfmEst:exec.do</t>
  </si>
  <si>
    <t>GST PCB</t>
  </si>
  <si>
    <t>PCB for GST prototyping</t>
  </si>
  <si>
    <t>201903080147M</t>
  </si>
  <si>
    <t>Student room</t>
  </si>
  <si>
    <t>Hari</t>
  </si>
  <si>
    <t xml:space="preserve"> DPDT 5V dc (relay)</t>
  </si>
  <si>
    <t>Schrack</t>
  </si>
  <si>
    <t>https://jp.rs-online.com/web/p/latching-relays/6803883/</t>
  </si>
  <si>
    <t>price per item incl. tax is 2067.12 yen</t>
  </si>
  <si>
    <t>RES 0.025 OHM 1% 1/8W 0805</t>
  </si>
  <si>
    <t>WSLA-.025CT-ND</t>
  </si>
  <si>
    <t>WSL0805R0250FEA</t>
  </si>
  <si>
    <t>https://www.digikey.jp/product-detail/en/vishay-dale/WSL0805R0250FEA/WSLA-.025DKR-ND/1775805</t>
  </si>
  <si>
    <t>RES 64.9K OHM 1% 1/8W 0805</t>
  </si>
  <si>
    <t>64.9k ohm</t>
  </si>
  <si>
    <t>P64.9KDACT-ND</t>
  </si>
  <si>
    <t>ERA-6AEB6492V</t>
  </si>
  <si>
    <t>https://www.digikey.jp/product-detail/en/panasonic-electronic-components/ERA-6AEB6492V/P64.9KDACT-ND/3075217</t>
  </si>
  <si>
    <t>RES 105K OHM 1% 1/8W 0805</t>
  </si>
  <si>
    <t>105k ohm</t>
  </si>
  <si>
    <t>P105KDACT-ND</t>
  </si>
  <si>
    <t>ERA-6AEB1053V</t>
  </si>
  <si>
    <t>https://www.digikey.jp/product-detail/en/panasonic-electronic-components/ERA-6AEB1053V/P105KDACT-ND/3074917</t>
  </si>
  <si>
    <t>CAP CER 10UF 10V X6S 0805</t>
  </si>
  <si>
    <t>10uF</t>
  </si>
  <si>
    <t>490-6466-1-ND</t>
  </si>
  <si>
    <t>GRM21BC81A106KE18L</t>
  </si>
  <si>
    <t>https://www.digikey.jp/product-detail/en/murata-electronics-north-america/GRM21BC81A106KE18L/490-6466-1-ND/3845663</t>
  </si>
  <si>
    <t>CAP CER 100UF 4V X5R 0805</t>
  </si>
  <si>
    <t>https://www.digikey.jp/product-detail/en/murata-electronics-north-america/GRM21BR60G107ME15L/490-10510-1-ND/5026439</t>
  </si>
  <si>
    <t>CAP CER 4.7UF 35V X5R 0805</t>
  </si>
  <si>
    <t>4.7uF</t>
  </si>
  <si>
    <t>490-7208-1-ND</t>
  </si>
  <si>
    <t>GRM219R6YA475KA73D</t>
  </si>
  <si>
    <t>https://www.digikey.jp/product-detail/en/murata-electronics-north-america/GRM219R6YA475KA73D/490-7208-1-ND/3900454</t>
  </si>
  <si>
    <t>CAP CER 620PF 50V C0G/NP0 0805</t>
  </si>
  <si>
    <t>620pF</t>
  </si>
  <si>
    <t>490-1618-1-ND</t>
  </si>
  <si>
    <t>GRM2165C1H621JA01D</t>
  </si>
  <si>
    <t>https://www.digikey.jp/product-detail/en/murata-electronics-north-america/GRM2165C1H621JA01D/490-1618-1-ND/587491</t>
  </si>
  <si>
    <t>Battery Holder</t>
  </si>
  <si>
    <t>Battery Holder AA PC Pin, SMD type</t>
  </si>
  <si>
    <t>Bulgin</t>
  </si>
  <si>
    <t>708-1408-ND</t>
  </si>
  <si>
    <t>BX0035</t>
  </si>
  <si>
    <t>https://www.digikey.jp/products/en?keywords=BX0035</t>
  </si>
  <si>
    <t>Real Time Clock</t>
  </si>
  <si>
    <t>PCF 8523 REAL TIME CLOCK BOARD</t>
  </si>
  <si>
    <t>Adafruit Industries LLC</t>
  </si>
  <si>
    <t>1528-1787-ND</t>
  </si>
  <si>
    <t>https://www.digikey.jp/product-detail/ja/adafruit-industries-llc/3295/1528-1787-ND/6238007?utm_adgroup=&amp;mkwid=srOwTOkkZ&amp;pcrid=258946934046&amp;pkw=&amp;pmt=&amp;pdv=c&amp;productid=6238007&amp;&amp;gclid=Cj0KCQiAtbnjBRDBARIsAO3zDl_ByMrWFtDpD6dLJ634oerkrjOg3DCKWEi_fLFgbyZBSmgfSqGarIIaAhJKEALw_wcB</t>
  </si>
  <si>
    <t>IC FLASH 32 M SPI 133 MHZ 8 SOIC</t>
  </si>
  <si>
    <t>Winbond Electronics</t>
  </si>
  <si>
    <t>W25Q32JVSSIQCT-ND</t>
  </si>
  <si>
    <t>W25Q32JVSSIQ TR</t>
  </si>
  <si>
    <t>8-SOIC (0.209 inch, 5.30 mm width)</t>
  </si>
  <si>
    <t>https://www.digikey.jp/products/en?keywords=W25Q32JVSSIQCT-ND</t>
  </si>
  <si>
    <t>FIXED IND 3.3UH 2.3A 20.3 MOHM</t>
  </si>
  <si>
    <t>Sumida America Components Inc.</t>
  </si>
  <si>
    <t>308-2071-1-ND</t>
  </si>
  <si>
    <t>CDRH5D28RNP-3R3NC</t>
  </si>
  <si>
    <t>https://www.digikey.jp/product-detail/en/sumida-america-components-inc/CDRH5D28RNP-3R3NC/308-2071-1-ND/3946713</t>
  </si>
  <si>
    <t>FIXED IND 1.5UH 2.8A 28 MOHM SMD</t>
  </si>
  <si>
    <t>SRR0604-1R5MLCT-ND</t>
  </si>
  <si>
    <t>SRR0604-1R5ML</t>
  </si>
  <si>
    <t>https://www.digikey.jp/product-detail/en/bourns-inc/SRR0604-1R5ML/SRR0604-1R5MLCT-ND/2352990</t>
  </si>
  <si>
    <t>TRANS PREBIAS NPN 200MW SOT323</t>
  </si>
  <si>
    <t>Nexperia USA Inc.</t>
  </si>
  <si>
    <t>1727-5140-1-ND</t>
  </si>
  <si>
    <t>PDTC144EU,115</t>
  </si>
  <si>
    <t>https://www.digikey.jp/product-detail/en/nexperia-usa-inc/PDTC144EU115/1727-5140-1-ND/2531726</t>
  </si>
  <si>
    <t>CONN SMA RCPT STR 50 OHM SMD</t>
  </si>
  <si>
    <t>Linx Technologies Inc.</t>
  </si>
  <si>
    <t>CONSMA001-SMD-G-ND</t>
  </si>
  <si>
    <t>CONSMA001-SMD-G</t>
  </si>
  <si>
    <t>https://www.digikey.jp/product-detail/en/linx-technologies-inc/CONSMA001-SMD-G/CONSMA001-SMD-G-ND/4496569</t>
  </si>
  <si>
    <t>Battery Charger</t>
  </si>
  <si>
    <t xml:space="preserve">	IC REG BCK BST 18V 5A TSSOP28</t>
  </si>
  <si>
    <t xml:space="preserve">	Linear Technology/Analog Devices</t>
  </si>
  <si>
    <t xml:space="preserve">	LTC3119IFE#PBF-ND</t>
  </si>
  <si>
    <t xml:space="preserve">	LTC3119IFE#PBF</t>
  </si>
  <si>
    <t xml:space="preserve">	28-TSSOP (0.173", 4.40mm Width) Exposed Pad</t>
  </si>
  <si>
    <t>https://www.digikey.jp/product-detail/en/linear-technology-analog-devices/LTC3119IFE-PBF/LTC3119IFE-PBF-ND/6419503</t>
  </si>
  <si>
    <t>Buck boost converter</t>
  </si>
  <si>
    <t xml:space="preserve">	IC REG BUCK BST ADJ 3.5A 14VSON</t>
  </si>
  <si>
    <t xml:space="preserve">	Texas Instruments</t>
  </si>
  <si>
    <t xml:space="preserve">	296-36491-1-ND</t>
  </si>
  <si>
    <t xml:space="preserve">	TPS63020DSJR</t>
  </si>
  <si>
    <t>14-VFDFN Exposed Pad</t>
  </si>
  <si>
    <t>https://www.digikey.jp/product-detail/en/texas-instruments/TPS63020DSJR/296-36491-1-ND/4305306</t>
  </si>
  <si>
    <t>4F center</t>
  </si>
  <si>
    <t>IC DAC</t>
  </si>
  <si>
    <t>IC DAC 16bit I2C Vout LP 8VSSOP</t>
  </si>
  <si>
    <t>296-14307-1-ND</t>
  </si>
  <si>
    <t>DAC8571IDGKR</t>
  </si>
  <si>
    <t>https://www.digikey.jp/products/en?keywords=296-14307-1-ND</t>
  </si>
  <si>
    <t>IC Regulator</t>
  </si>
  <si>
    <t>IC REG LINEAR 5V 200mA TSOT23-5</t>
  </si>
  <si>
    <t>ADP7142AUJZ-5.0-R7CT-ND</t>
  </si>
  <si>
    <t>ADP7142AUJZ-5.0-R7</t>
  </si>
  <si>
    <t>https://www.digikey.jp/products/en?keywords=ADP7142AUJZ-5.0-R7CT-ND</t>
  </si>
  <si>
    <t>IC REF</t>
  </si>
  <si>
    <t>IC VREF SERIES 5V 8SOIC</t>
  </si>
  <si>
    <t>296-27885-1-ND</t>
  </si>
  <si>
    <t>REF5050AQDRQ1</t>
  </si>
  <si>
    <t>https://www.digikey.jp/products/en?keywords=296-27885-1-ND</t>
  </si>
  <si>
    <t>IC</t>
  </si>
  <si>
    <t>IC AMPLIFIER ISOLATED 16-SOIC</t>
  </si>
  <si>
    <t>TI</t>
  </si>
  <si>
    <t>ADUM4190ARIZ-RLCT-ND</t>
  </si>
  <si>
    <t>ADUM4190ARIZ-RL</t>
  </si>
  <si>
    <t>https://www.digikey.jp/products/en?keywords=ADUM4190ARIZ-RLCT-ND</t>
  </si>
  <si>
    <t>IC OPAMP GP 1.2MHZ RRO 8SOIC</t>
  </si>
  <si>
    <t>296-30291-1-ND</t>
  </si>
  <si>
    <t>OPA2170AIDR</t>
  </si>
  <si>
    <t>https://www.digikey.jp/products/en?keywords=296-30291-1-ND</t>
  </si>
  <si>
    <t>IC OPAMP GP 10KHZ RRO 8SOIC</t>
  </si>
  <si>
    <t>MCP6032-E/SN-ND</t>
  </si>
  <si>
    <t>MCP6032-E/SN</t>
  </si>
  <si>
    <t>https://www.digikey.jp/products/en?keywords=MCP6032-E%2FSN-ND</t>
  </si>
  <si>
    <t>DGTL ISO 2.5KV 2CH I2C 8SOIC</t>
  </si>
  <si>
    <t>296-34872-1-ND</t>
  </si>
  <si>
    <t>ISO1541DR</t>
  </si>
  <si>
    <t>https://www.digikey.jp/products/en?keywords=296-34872-1-ND</t>
  </si>
  <si>
    <t>IC OPAMP GP 17MHZ RRO 8SOIC</t>
  </si>
  <si>
    <t>LMP7721MA/NOPB-ND</t>
  </si>
  <si>
    <t>LMP7721MA/NOPB</t>
  </si>
  <si>
    <t>https://www.digikey.jp/products/en?keywords=LMP7721MA%2FNOPB-ND</t>
  </si>
  <si>
    <t>16-BIT AFE FOR SMALL SIGNAL SENS</t>
  </si>
  <si>
    <t>296-50875-1-ND</t>
  </si>
  <si>
    <t>ADS112C04IPWR</t>
  </si>
  <si>
    <t>https://www.digikey.jp/products/en?keywords=296-50875-1-ND</t>
  </si>
  <si>
    <t>DC DC CONVERTER +/-9V 2W</t>
  </si>
  <si>
    <t>Recom</t>
  </si>
  <si>
    <t>945-2656-5-ND</t>
  </si>
  <si>
    <t>R05P209D</t>
  </si>
  <si>
    <t>5-SIP</t>
  </si>
  <si>
    <t>https://www.digikey.jp/products/en?keywords=945-2656-5-ND</t>
  </si>
  <si>
    <t>IC OP AMP RR 1MHZ SOT23-5</t>
  </si>
  <si>
    <t>296-45125-1-ND</t>
  </si>
  <si>
    <t>TLV6001UIDBVR</t>
  </si>
  <si>
    <t>https://www.digikey.jp/products/en?keywords=296-45125-1-ND</t>
  </si>
  <si>
    <t>INTERFACE IC MISC</t>
  </si>
  <si>
    <t>296-52316-1-ND</t>
  </si>
  <si>
    <t>ISO224BDWVR</t>
  </si>
  <si>
    <t>https://www.digikey.jp/products/en?keywords=296-52316-1-ND</t>
  </si>
  <si>
    <t>Header</t>
  </si>
  <si>
    <t>CONN HEADER VERT 3POS 2.54MM</t>
  </si>
  <si>
    <t>TE</t>
  </si>
  <si>
    <t>A19470-ND</t>
  </si>
  <si>
    <t>640456-3</t>
  </si>
  <si>
    <t>3-SIP</t>
  </si>
  <si>
    <t>https://www.digikey.jp/products/en?keywords=A19470-ND</t>
  </si>
  <si>
    <t>Famale Socket</t>
  </si>
  <si>
    <t>A99614-ND</t>
  </si>
  <si>
    <t>1375820-3</t>
  </si>
  <si>
    <t>https://www.digikey.jp/products/en?keywords=A99614-ND</t>
  </si>
  <si>
    <t>CONN HDR 40POS 0.1 TIN PCB</t>
  </si>
  <si>
    <t>40 SIP</t>
  </si>
  <si>
    <t>Jumper</t>
  </si>
  <si>
    <t>CONN JUMPER SHORTING .100" GOLD</t>
  </si>
  <si>
    <t>S9337-ND</t>
  </si>
  <si>
    <t>QPC02SXGN-RC</t>
  </si>
  <si>
    <t>https://www.digikey.jp/product-detail/en/sullins-connector-solutions/QPC02SXGN-RC/S9337-ND/2618262</t>
  </si>
  <si>
    <t>RES SMD 665K OHM 1% 1/8W 0805</t>
  </si>
  <si>
    <t>311-665KCRCT-ND</t>
  </si>
  <si>
    <t>RC0805FR-07665KL</t>
  </si>
  <si>
    <t>0805(2012) SMD</t>
  </si>
  <si>
    <t>https://www.digikey.jp/products/en?keywords=311-665KCRCT-ND</t>
  </si>
  <si>
    <t>RES SMD 105 OHM 1% 1/8W 0805</t>
  </si>
  <si>
    <t>541-105CCT-ND</t>
  </si>
  <si>
    <t>CRCW0805105RFKEA</t>
  </si>
  <si>
    <t>https://www.digikey.jp/products/en?keywords=541-105CCT-ND</t>
  </si>
  <si>
    <t>RES SMD 105K OHM 1% 1/10W 0603</t>
  </si>
  <si>
    <t>541-105KHCT-ND</t>
  </si>
  <si>
    <t>CRCW0603105KFKEA</t>
  </si>
  <si>
    <t>https://www.digikey.jp/products/en?keywords=541-105KHCT-ND</t>
  </si>
  <si>
    <t>RES 5MOHM 0.5% 2W WIDE 2512</t>
  </si>
  <si>
    <t>Wide 2512 (6432 Metric) SMD</t>
  </si>
  <si>
    <t>https://www.digikey.jp/products/en?keywords=FCSL64R005DERCT-ND</t>
  </si>
  <si>
    <t>CAP CER 0.3UF 630V X7T 1812</t>
  </si>
  <si>
    <t>1812 (4532 Metric) SMD</t>
  </si>
  <si>
    <t>RES SMD 100K OHM 0.1% 1/8W 0805</t>
  </si>
  <si>
    <t>P100KDACT-ND</t>
  </si>
  <si>
    <t>ERA-6AEB104V</t>
  </si>
  <si>
    <t>https://www.digikey.jp/product-detail/en/panasonic-electronic-components/ERA-6AEB104V/P100KDACT-ND/1465995</t>
  </si>
  <si>
    <t>CAP CER 150PF 50V C0G/NP0 0603</t>
  </si>
  <si>
    <t>399-1063-1-ND</t>
  </si>
  <si>
    <t>C0603C151J5GACTU</t>
  </si>
  <si>
    <t>0603 SMD</t>
  </si>
  <si>
    <t>https://www.digikey.jp/product-detail/en/kemet/C0603C151J5GACTU/399-1063-1-ND/411338</t>
  </si>
  <si>
    <t>Y-SOLAR-PANEL-4LAYER</t>
  </si>
  <si>
    <t>BIRDS4</t>
  </si>
  <si>
    <t>M12 Lens Set, ArduCam Lens</t>
  </si>
  <si>
    <t>M12 Lens Set, Arducam Lens (1/4") FOV (10°- 200°) with M12 Lens Holder</t>
  </si>
  <si>
    <t>ArduCam</t>
  </si>
  <si>
    <t>B07L92S9MT</t>
  </si>
  <si>
    <t xml:space="preserve">LS-40136 </t>
  </si>
  <si>
    <t>1 set</t>
  </si>
  <si>
    <t>https://www.amazon.com/Arducam-Raspberry-Arduino-Telephoto-Cleaning/dp/B07L92S9MT?currency=JPY&amp;th=1</t>
  </si>
  <si>
    <t>Cable for SPATIUM rotator</t>
  </si>
  <si>
    <t>0.5sq, 4P twist, shielded</t>
  </si>
  <si>
    <t>沖電線</t>
  </si>
  <si>
    <t>ORP-SB 4PX0.5SQ</t>
  </si>
  <si>
    <t>10m</t>
  </si>
  <si>
    <t>0m</t>
  </si>
  <si>
    <t>540 /m</t>
  </si>
  <si>
    <t>Portable HDD</t>
  </si>
  <si>
    <t>1TB</t>
  </si>
  <si>
    <r>
      <rPr>
        <strike/>
        <sz val="10"/>
        <rFont val="Times New Roman"/>
        <family val="1"/>
      </rPr>
      <t xml:space="preserve">RS
</t>
    </r>
    <r>
      <rPr>
        <sz val="10"/>
        <rFont val="Times New Roman"/>
        <family val="1"/>
      </rPr>
      <t>九工大生協</t>
    </r>
  </si>
  <si>
    <t>877-5623</t>
  </si>
  <si>
    <t>HD-PNF1.0U3BB-EU
HD-PCF1.0U3-BWD</t>
  </si>
  <si>
    <r>
      <rPr>
        <strike/>
        <sz val="10"/>
        <rFont val="Times New Roman"/>
        <family val="1"/>
      </rPr>
      <t xml:space="preserve">8497
</t>
    </r>
    <r>
      <rPr>
        <sz val="10"/>
        <rFont val="Times New Roman"/>
        <family val="1"/>
      </rPr>
      <t>9980</t>
    </r>
  </si>
  <si>
    <r>
      <rPr>
        <strike/>
        <sz val="10"/>
        <rFont val="Times New Roman"/>
        <family val="1"/>
      </rPr>
      <t xml:space="preserve">16994
</t>
    </r>
    <r>
      <rPr>
        <sz val="10"/>
        <rFont val="Times New Roman"/>
        <family val="1"/>
      </rPr>
      <t>19960</t>
    </r>
  </si>
  <si>
    <t>HORYU-IV</t>
  </si>
  <si>
    <t>Management</t>
  </si>
  <si>
    <t>Cho sensei and Nakayama</t>
  </si>
  <si>
    <t>https://jp.rs-online.com/web/p/external-hard-drives/8775623/</t>
  </si>
  <si>
    <t>HR4関連ドキュメントバックアップ用</t>
  </si>
  <si>
    <t>PCB Fabrication</t>
  </si>
  <si>
    <t>BIRDS4 Hentenna Maching</t>
  </si>
  <si>
    <t>82.6 x 100.7mm -X Panel</t>
  </si>
  <si>
    <t>HNT</t>
  </si>
  <si>
    <t>Nmosfet</t>
  </si>
  <si>
    <t>N-Channel 600V 50mA</t>
  </si>
  <si>
    <t>Diodes Incorporated</t>
  </si>
  <si>
    <t>Digi-key</t>
  </si>
  <si>
    <t>BSS127S-7DICT-ND</t>
  </si>
  <si>
    <t>BSS127S-7</t>
  </si>
  <si>
    <t>https://www.digikey.jp/product-detail/en/diodes-incorporated/BSS127S-7/BSS127S-7DICT-ND/3451564</t>
  </si>
  <si>
    <t>MOSFET N-CH 600V 30MA</t>
  </si>
  <si>
    <t>Taiwan Semiconductor Corporation</t>
  </si>
  <si>
    <t>TSM126CXRFGCT-ND</t>
  </si>
  <si>
    <t>TSM126CX RFG</t>
  </si>
  <si>
    <t>https://www.digikey.jp/product-detail/en/taiwan-semiconductor-corporation/TSM126CX-RFG/TSM126CXRFGCT-ND/7360147</t>
  </si>
  <si>
    <t>MOSFET N-CH 350V 72MA</t>
  </si>
  <si>
    <t>DN3135K1-GCT-ND</t>
  </si>
  <si>
    <t>DN3135K1-G</t>
  </si>
  <si>
    <t>https://www.digikey.jp/product-detail/en/microchip-technology/DN3135K1-G/DN3135K1-GCT-ND/4918723</t>
  </si>
  <si>
    <t>MOSFET N-CH 300V 0.085A</t>
  </si>
  <si>
    <t>TN2130K1-GCT-ND</t>
  </si>
  <si>
    <t>TN2130K1-G</t>
  </si>
  <si>
    <t>https://www.digikey.jp/product-detail/en/microchip-technology/TN2130K1-G/TN2130K1-GCT-ND/8603363</t>
  </si>
  <si>
    <t>INA181A4</t>
  </si>
  <si>
    <t>Current Sense Amplifier 1 Circuit Rail-to-Rail</t>
  </si>
  <si>
    <t>296-47659-1-ND</t>
  </si>
  <si>
    <t>INA181A4IDBVR</t>
  </si>
  <si>
    <t>https://www.digikey.jp/product-detail/en/texas-instruments/INA181A4IDBVR/296-47659-1-ND/8133028</t>
  </si>
  <si>
    <t>Photodiode</t>
  </si>
  <si>
    <t>SENSOR PHOTODIODE 570NM 2SMD GW</t>
  </si>
  <si>
    <t>OSRAM Opto Semiconductors Inc.</t>
  </si>
  <si>
    <t>475-2579-1-ND</t>
  </si>
  <si>
    <t>SFH 2430-Z</t>
  </si>
  <si>
    <t>2SMD</t>
  </si>
  <si>
    <t>https://www.digikey.jp/product-detail/en/osram-opto-semiconductors-inc/SFH-2430-Z/475-2579-1-ND/1228076</t>
  </si>
  <si>
    <t>CAM/ADCS/TMCR Missions</t>
  </si>
  <si>
    <t>RF power divider</t>
  </si>
  <si>
    <t xml:space="preserve">Freq:435MHz, N-type connector </t>
  </si>
  <si>
    <t>M2 antenna system inc.</t>
  </si>
  <si>
    <t>70CM 2PRT PD</t>
  </si>
  <si>
    <t>N-type connector</t>
  </si>
  <si>
    <t>BIRDS project</t>
  </si>
  <si>
    <t>GS rooftop</t>
  </si>
  <si>
    <t>https://www.m2inc.com/FG70CM2PRTPD</t>
  </si>
  <si>
    <t xml:space="preserve">Black Spray  Paint </t>
  </si>
  <si>
    <t>500deC Heat resitance temp</t>
  </si>
  <si>
    <t>TASCO</t>
  </si>
  <si>
    <t>THI-1B</t>
  </si>
  <si>
    <t>SVBL 2F</t>
  </si>
  <si>
    <t>https://www.monotaro.com/p/6828/9813/?t.q=THI-1B</t>
  </si>
  <si>
    <t>Portable speaker stand</t>
  </si>
  <si>
    <t>Adjustable foldable height 110-185 cm</t>
  </si>
  <si>
    <t>MBK</t>
  </si>
  <si>
    <t>B073JPNPLL</t>
  </si>
  <si>
    <t>ｆｄｍ-002</t>
  </si>
  <si>
    <t>GS room</t>
  </si>
  <si>
    <t>https://www.amazon.co.jp/%E3%80%90MBK%E3%80%91%E9%AB%98%E3%81%95%E8%AA%BF%E7%AF%80%E5%8F%AF-%E6%8A%98%E3%82%8A%E3%81%9F%E3%81%9F%E3%81%BF%E5%BC%8F-%E3%82%B9%E3%83%94%E3%83%BC%E3%82%AB%E3%83%BC%E3%82%B9%E3%82%BF%E3%83%B3%E3%83%89-2%E6%9C%AC%E7%B5%84-110cm-185%E3%8E%9D/dp/B073JPNPLL/ref=sr_1_13?crid=34LKHJKWV4L56&amp;keywords=%E3%82%B9%E3%83%94%E3%83%BC%E3%82%AB%E3%83%BC+%E3%82%B9%E3%82%BF%E3%83%B3%E3%83%89&amp;qid=1554093807&amp;s=gateway&amp;sprefix=speaker+s%2Caps%2C244&amp;sr=8-13</t>
  </si>
  <si>
    <t>RG-62 A/U Coaxial cable</t>
  </si>
  <si>
    <t>(3m) characteristic impedance 93Ω</t>
  </si>
  <si>
    <t>Fujikura Diamond Cable</t>
  </si>
  <si>
    <t>Oyaide.com</t>
  </si>
  <si>
    <t>sa100151</t>
  </si>
  <si>
    <t>RG- 62A / U</t>
  </si>
  <si>
    <t>https://oyaide.com/catalog/products/p-604.html</t>
  </si>
  <si>
    <t>5D-2V coaxial cable</t>
  </si>
  <si>
    <t>(10m) characteristic impedance 50Ω</t>
  </si>
  <si>
    <t>sa100111</t>
  </si>
  <si>
    <t>5D-2V</t>
  </si>
  <si>
    <t>https://oyaide.com/catalog/products/p-562.html</t>
  </si>
  <si>
    <t>N-Type connector for 5D-2V cable</t>
  </si>
  <si>
    <t>トーコネ</t>
  </si>
  <si>
    <t>sa101809</t>
  </si>
  <si>
    <t>NP-5D (N type plug)</t>
  </si>
  <si>
    <t>N-Type</t>
  </si>
  <si>
    <t>https://oyaide.com/catalog/products/p-1601.html</t>
  </si>
  <si>
    <t>N-Channel 8V 6A (Tc) 2.5W (Tc) Surface Mount SOT-23</t>
  </si>
  <si>
    <t>SI2342DS-T1-GE3CT-ND</t>
  </si>
  <si>
    <t>SI2342DS-T1-GE3</t>
  </si>
  <si>
    <t>https://www.digikey.jp/product-detail/en/vishay-siliconix/SI2342DS-T1-GE3/SI2342DS-T1-GE3CT-ND/5805424</t>
  </si>
  <si>
    <t>nmosfet</t>
  </si>
  <si>
    <t>N-Channel 20V 2.8A (Ta) 660mW (Ta)</t>
  </si>
  <si>
    <t>DMG2302UK-7DICT-ND</t>
  </si>
  <si>
    <t>DMG2302UK-7</t>
  </si>
  <si>
    <t>https://www.digikey.jp/product-detail/en/diodes-incorporated/DMG2302UK-7/DMG2302UK-7DICT-ND/6010163</t>
  </si>
  <si>
    <t>MOSFET N-CH 25V 220MA SOT-23</t>
  </si>
  <si>
    <t>FDV301NTR-ND</t>
  </si>
  <si>
    <t>FDV301N</t>
  </si>
  <si>
    <t>https://www.digikey.jp/product-detail/en/on-semiconductor/FDV301N/FDV301NCT-ND/458954</t>
  </si>
  <si>
    <t>GPS IC exchange work</t>
  </si>
  <si>
    <t>GPS IC exchange</t>
  </si>
  <si>
    <t>BGA</t>
  </si>
  <si>
    <t>Battery Heater</t>
  </si>
  <si>
    <t>3cmx5cm, 10W/inch2, Polyimide Film</t>
  </si>
  <si>
    <t>Omega</t>
  </si>
  <si>
    <t>KHLVA-102/10</t>
  </si>
  <si>
    <t>Student Room</t>
  </si>
  <si>
    <t>https://www.jp.omega.com/pptst/KHRA-KHLVA-KHA-SERIES.html</t>
  </si>
  <si>
    <t>M4ヘリサット</t>
  </si>
  <si>
    <t>M4 2D</t>
  </si>
  <si>
    <t>HLTS4-8</t>
  </si>
  <si>
    <t>https://jp.misumi-ec.com/vona2/detail/110300258940/?CategorySpec=00000217157%3a%3aa%0900000217161%3a%3aa&amp;clkid=clkid_list_template</t>
  </si>
  <si>
    <t>M6ヘリサット</t>
  </si>
  <si>
    <t>M6 2D</t>
  </si>
  <si>
    <t>HLTS6-12</t>
  </si>
  <si>
    <t>ハンドル</t>
  </si>
  <si>
    <t>アルミ製ハンドル</t>
  </si>
  <si>
    <t>HHDFA20</t>
  </si>
  <si>
    <t>https://jp.misumi-ec.com/vona2/detail/110302360250/?HissuCode=HHDFA20&amp;PNSearch=HHDFA20&amp;KWSearch=HHDFA20&amp;searchFlow=results2products</t>
  </si>
  <si>
    <t>UADS132</t>
  </si>
  <si>
    <t>https://jp.misumi-ec.com/vona2/detail/110300523450/?HissuCode=UADS132&amp;PNSearch=UADS132&amp;KWSearch=UADS132&amp;searchFlow=results2products</t>
  </si>
  <si>
    <t>BIRDS-4 STM Main Structure and Battery Box</t>
  </si>
  <si>
    <t>Yigit/Sasaki</t>
  </si>
  <si>
    <t>Rails, new deployment switch holder and battery box made of Aluminum</t>
  </si>
  <si>
    <t>262,872 yen is the tax included price.</t>
  </si>
  <si>
    <t>0.3x455x910</t>
  </si>
  <si>
    <t>Hikari</t>
  </si>
  <si>
    <t>HA349</t>
  </si>
  <si>
    <t>https://jp.misumi-ec.com/vona2/detail/221005172662/?HissuCode=HA349&amp;PNSearch=HA349&amp;KWSearch=HA349&amp;searchFlow=results2products</t>
  </si>
  <si>
    <t>0.1µF ±10% 50V Ceramic Capacitor X8R 0805/2012</t>
  </si>
  <si>
    <t>Surface Mount
 0805/2012</t>
  </si>
  <si>
    <t>MSN BRD 2
 (APRSDP, SFWARD, CAM, ICU)</t>
  </si>
  <si>
    <t>https://www.digikey.jp/products/en?keywords=478-3614-1-ND</t>
  </si>
  <si>
    <t>18pF ±5% 50V Ceramic Capacitor C0G, NP0 0805/2012</t>
  </si>
  <si>
    <t>CC0805JRNPO9BN180</t>
  </si>
  <si>
    <t>https://www.digikey.jp/products/en?keywords=%09311-1102-1-ND</t>
  </si>
  <si>
    <t>IC Microcontroller</t>
  </si>
  <si>
    <t>APRS/TNC Coded Chip (ATMEGA644-20PU)</t>
  </si>
  <si>
    <t>Tiny Track 4 (TT4) Chip</t>
  </si>
  <si>
    <t>Through Hole
 40-DIP</t>
  </si>
  <si>
    <t>http://byonics.com/add_to_cart?cost=25&amp;name=TinyTrak4+Chip</t>
  </si>
  <si>
    <t>ATMEGA 2560V-8AUR Microcontroller IC 8-bit 8 MHz 256 KB 100TQFP</t>
  </si>
  <si>
    <t>ATMEGA 2560V-8AURCT-ND</t>
  </si>
  <si>
    <t>ATMEGA 2560V-8AUR</t>
  </si>
  <si>
    <t>Surface Mount
 100-TQFP</t>
  </si>
  <si>
    <t>https://www.digikey.jp/products/ja?keywords=ATMEGA2560V-8AURCT-ND</t>
  </si>
  <si>
    <t>PIC PIC® XLP™ 18J Microcontroller IC 8-Bit 64MHz 128KB</t>
  </si>
  <si>
    <t>PIC18F67J94-I/PT-ND</t>
  </si>
  <si>
    <t>Surface Mount
 64-TQFP</t>
  </si>
  <si>
    <t>https://www.digikey.jp/product-detail/en/microchip-technology/PIC18F67J94-I-PT/PIC18F67J94-I-PT-ND/3872481</t>
  </si>
  <si>
    <t>IC OpAmp</t>
  </si>
  <si>
    <t>IC OpAmp General Purpose RRO 2.8MHz 8-SOIC</t>
  </si>
  <si>
    <t>Surface Mount
 8-SOIC</t>
  </si>
  <si>
    <t>https://www.digikey.jp/products/en?keywords=MCP602T-I%2FSNCT-ND</t>
  </si>
  <si>
    <t>IC OVP/OCP</t>
  </si>
  <si>
    <t>IC Overvoltage/Overcurrent Protection Controller 8-DFN</t>
  </si>
  <si>
    <t>Linear Technology / Analog Devices</t>
  </si>
  <si>
    <t>LTC4361IDC-2 # TRMPBFCT-ND</t>
  </si>
  <si>
    <t>LTC4361 IDC-2 # TRMPBF</t>
  </si>
  <si>
    <t>Surface Mount
 8-DFN</t>
  </si>
  <si>
    <t>https://www.digikey.jp/product-detail/ja/linear-technology-analog-devices/LTC4361IDC-2-TRMPBF/LTC4361IDC-2-TRMPBFCT-ND/2351620</t>
  </si>
  <si>
    <t>10µH Shielded Multilayer Inductor 350mA 470 mOhm 0805/2012</t>
  </si>
  <si>
    <t>TDK Corporation</t>
  </si>
  <si>
    <t>445-6396-1-ND</t>
  </si>
  <si>
    <t>MLZ2012M100WT000</t>
  </si>
  <si>
    <t>https://www.digikey.jp/product-detail/en/tdk-corporation/MLZ2012M100WT000/445-6396-1-ND/2465722</t>
  </si>
  <si>
    <t>22nH Shielded Multilayer Inductor 1.85A 44 mOhm 0805/2012</t>
  </si>
  <si>
    <t>445-174893-1-ND</t>
  </si>
  <si>
    <t>MLH2012F22NKT000</t>
  </si>
  <si>
    <t>https://www.digikey.jp/product-detail/en/tdk-corporation/MLH2012F22NKT000/445-174893-1-ND/6642485</t>
  </si>
  <si>
    <t>150nH Shielded Multilayer Inductor 300mA 200 mOhm Max 0805/2012</t>
  </si>
  <si>
    <t>445-181342-1-ND</t>
  </si>
  <si>
    <t>MLF2012DR15JT000</t>
  </si>
  <si>
    <t>https://www.digikey.jp/product-detail/en/tdk-corporation/MLF2012DR15JT000/445-181342-1-ND/9740613</t>
  </si>
  <si>
    <t>Yellow 587nm LED Indication - Discrete 2V 0805/2012</t>
  </si>
  <si>
    <t>LTST-C171KSKT</t>
  </si>
  <si>
    <t>https://www.digikey.jp/product-detail/en/lite-on-inc/LTST-C171KSKT/160-1428-1-ND/386802</t>
  </si>
  <si>
    <t>Blue 470nm LED Indication - Discrete 3.3V 0805/2012</t>
  </si>
  <si>
    <t>LTST-C171TBKT</t>
  </si>
  <si>
    <t>https://www.digikey.jp/product-detail/en/lite-on-inc/LTST-C171TBKT/160-1645-1-ND/573585</t>
  </si>
  <si>
    <t>MCX Connector</t>
  </si>
  <si>
    <t>wirst</t>
  </si>
  <si>
    <t>WM3935CT-ND</t>
  </si>
  <si>
    <t>https://www.digikey.com/product-detail/en/molex/0734151692/WM3935CT-ND/2421928</t>
  </si>
  <si>
    <t>Pin Header</t>
  </si>
  <si>
    <t>LPC-50M2LG / Right Angle Dip Type Male Connector for PCB</t>
  </si>
  <si>
    <t>Honda Tsushin Kogyo Co., Ltd.</t>
  </si>
  <si>
    <t>htkazshop</t>
  </si>
  <si>
    <t>Through Hole, Right Angle</t>
  </si>
  <si>
    <t>https://www.htkazshop.com/SHOP/HTK_101911.html</t>
  </si>
  <si>
    <t>Radio Transceiver</t>
  </si>
  <si>
    <t>500mW VHF Narrowband Transceiver BIM1H-145.825-10</t>
  </si>
  <si>
    <t>RF Cable</t>
  </si>
  <si>
    <t>Cable Assembly Coaxial MCX to MCX Male to Male RG-316 6.000" (152.40mm)</t>
  </si>
  <si>
    <t>WM6140-ND</t>
  </si>
  <si>
    <t>https://www.digikey.com/product-detail/en/molex/0897616133/WM6140-ND/2002507</t>
  </si>
  <si>
    <t>Tactile Switch</t>
  </si>
  <si>
    <t>Tactile Switch SPST-NO Top Actuated Surface Mount</t>
  </si>
  <si>
    <t>https://www.digikey.jp/product-detail/en/nkk-switches/HP0315AFKP2-R/360-2595-1-ND/2640558</t>
  </si>
  <si>
    <t>PHOTOMOS</t>
  </si>
  <si>
    <t>Max Load Current 4A</t>
  </si>
  <si>
    <t>Antenna Deployment</t>
  </si>
  <si>
    <t>https://www.digikey.jp/product-detail/en/panasonic-electric-works/AQZ102/255-1567-ND/570705?cur=JPY&amp;lang=en</t>
  </si>
  <si>
    <t>SENSOR TEMP ANLG VOLT 8-SOIC</t>
  </si>
  <si>
    <t>Operating Temperature: -40 to 150 degree</t>
  </si>
  <si>
    <t>1:1</t>
  </si>
  <si>
    <t>CONN MMCX JACK STR 50 OHM SMD</t>
  </si>
  <si>
    <t>908-22101T</t>
  </si>
  <si>
    <t>https://www.digikey.jp/products/ja?keywords=ARF1725CT-ND</t>
  </si>
  <si>
    <t>CONN SMA JACK R/A 50 OHM SMD</t>
  </si>
  <si>
    <t>CONN MCX RCPT STR 50 OHM SMD</t>
  </si>
  <si>
    <t>36-112CT-ND</t>
  </si>
  <si>
    <t>Keystone Electronics</t>
  </si>
  <si>
    <t>112TR</t>
  </si>
  <si>
    <t>https://www.digikey.jp/products/ja?keywords=36-112CT-ND</t>
  </si>
  <si>
    <t>36-118CT-ND</t>
  </si>
  <si>
    <t>118TR</t>
  </si>
  <si>
    <t>https://www.digikey.jp/products/ja?keywords=%0936-118CT-ND</t>
  </si>
  <si>
    <t>Capacitors kit</t>
  </si>
  <si>
    <t>0.3pF～82pF</t>
  </si>
  <si>
    <t>S603DS</t>
  </si>
  <si>
    <t>https://www.digikey.com/product-detail/en/johanson-technology-inc/S603DS/712-1159-ND/1786608</t>
  </si>
  <si>
    <t>Inductors kit</t>
  </si>
  <si>
    <t>1nH～220nH</t>
  </si>
  <si>
    <t>L603DC</t>
  </si>
  <si>
    <t>https://www.digikey.jp/product-detail/ja/johanson-technology-inc/L603DC/712-1451-ND/1915219</t>
  </si>
  <si>
    <t>-X PANEL BBM</t>
  </si>
  <si>
    <t>Eneloop Battey</t>
  </si>
  <si>
    <t>Hari(久継が代理注文)</t>
  </si>
  <si>
    <t>14.5X50.5( D) 1.2V ,capacity:1900MAh</t>
  </si>
  <si>
    <t>Panasonic(Panasonic)</t>
  </si>
  <si>
    <t>MonotaRO</t>
  </si>
  <si>
    <t>BK-3 MCC / 4C</t>
  </si>
  <si>
    <t>AA size</t>
  </si>
  <si>
    <t>https://www.monotaro.com/g/04137277/</t>
  </si>
  <si>
    <t>丸形コネクタ，オス</t>
  </si>
  <si>
    <t>6 + PE極 オス</t>
  </si>
  <si>
    <t>Hirschmann</t>
  </si>
  <si>
    <t>359-4407</t>
  </si>
  <si>
    <t>CA</t>
  </si>
  <si>
    <t>BIRDS GS</t>
  </si>
  <si>
    <t>https://jp.rs-online.com/web/p/industrial-automation-circular-connectors/3594407/</t>
  </si>
  <si>
    <t>丸形コネクタ，メス</t>
  </si>
  <si>
    <t>6 + PE極 メス</t>
  </si>
  <si>
    <t>359-4413</t>
  </si>
  <si>
    <t>https://jp.rs-online.com/web/p/industrial-automation-circular-connectors/3594413/</t>
  </si>
  <si>
    <t>ゴム板</t>
  </si>
  <si>
    <t>2x300x300</t>
  </si>
  <si>
    <t>GR2-30</t>
  </si>
  <si>
    <t>https://jp.misumi-ec.com/vona2/detail/221005171199/?HissuCode=GR2-30&amp;PNSearch=GR2-30&amp;KWSearch=GR2-30&amp;searchFlow=results2products</t>
  </si>
  <si>
    <t>3x300x300</t>
  </si>
  <si>
    <t>GR3-30</t>
  </si>
  <si>
    <t>2x250x250</t>
  </si>
  <si>
    <t>八幡ねじ</t>
  </si>
  <si>
    <t>https://jp.misumi-ec.com/vona2/detail/221006456714/</t>
  </si>
  <si>
    <t>6.7x400x200</t>
  </si>
  <si>
    <t>BSKYUA6.7-400-200</t>
  </si>
  <si>
    <t>https://jp.misumi-ec.com/vona2/detail/110300282830/?HissuCode=BSKYUA6.7-400-200&amp;PNSearch=BSKYUA6.7-400-200&amp;KWSearch=BSKYUA6.7-400-200&amp;searchFlow=results2products</t>
  </si>
  <si>
    <t>使い切りキャップ</t>
  </si>
  <si>
    <t>ホワイト 1セット（2000枚：100枚入×20箱）</t>
  </si>
  <si>
    <t>all</t>
  </si>
  <si>
    <t>Clean room</t>
  </si>
  <si>
    <t>https://www.askul.co.jp/p/8889043/</t>
  </si>
  <si>
    <t>サージカルフェイスマスク</t>
  </si>
  <si>
    <t>3層式 1箱（50枚入）</t>
  </si>
  <si>
    <t>Same number as cap</t>
  </si>
  <si>
    <t>スプリングピン</t>
  </si>
  <si>
    <t>φ3 18mm</t>
  </si>
  <si>
    <t>SPP-3-18</t>
  </si>
  <si>
    <t>roof top</t>
  </si>
  <si>
    <t>https://jp.misumi-ec.com/vona2/detail/221000531734/?CategorySpec=00000173501%3a%3anvd00000000000003%0900000173411%3a%3amig00000002488795%0900000173288%3a%3ae&amp;clkid=clkid_list_template</t>
  </si>
  <si>
    <t>6yen/part x 10 + 200</t>
  </si>
  <si>
    <t>STM32F407 ARM® Cortex®-M4 STM32F4 Microcontroller IC 32-Bit 168MHz 1MB (1M x 8) FLASH 100-LQFP (14x14)</t>
  </si>
  <si>
    <t>497-11605-ND</t>
  </si>
  <si>
    <t>STM32F407VGT6</t>
  </si>
  <si>
    <t>Surface Mount
 100-LQFP</t>
  </si>
  <si>
    <t>MSN BRD 2 - ICU</t>
  </si>
  <si>
    <t>https://www.digikey.jp/product-detail/en/stmicroelectronics/STM32F407VGT6/497-11605-ND/2747117</t>
  </si>
  <si>
    <t>ST-Link STM8/STM32 V2 Programmer</t>
  </si>
  <si>
    <t>STM8, STM32 - Debugger, Emulator, Programmer (In-Circuit/In-System)</t>
  </si>
  <si>
    <t>1528-1982-ND</t>
  </si>
  <si>
    <t>N.A.</t>
  </si>
  <si>
    <t>https://www.digikey.jp/product-detail/en/adafruit-industries-llc/2548/1528-1982-ND/6827110</t>
  </si>
  <si>
    <t>Connector Header Through Hole 5 position</t>
  </si>
  <si>
    <t>Connector Header Through Hole 5 position 0.100" (2.54mm)</t>
  </si>
  <si>
    <t>732-5318-ND</t>
  </si>
  <si>
    <t>https://www.digikey.jp/product-detail/en/wurth-electronics-inc/61300511121/732-5318-ND/4846831</t>
  </si>
  <si>
    <t>Connector Header Through Hole 2x5 position</t>
  </si>
  <si>
    <t>2x5 Connector Header Through Hole 10 position 0.100" (2.54MM)</t>
  </si>
  <si>
    <t>SMA Connector Jack, Female Socket 50Ohm Surface Mount, Right Angle Solder</t>
  </si>
  <si>
    <t>https://www.digikey.jp/product-detail/en/cinch-connectivity-solutions-johnson/142-0711-301/J717-ND/691804</t>
  </si>
  <si>
    <t>Cable Assembly Coaxial SMA to SMA Male to Male RG-316 6.000" (152.40mm)</t>
  </si>
  <si>
    <t>J3706-ND</t>
  </si>
  <si>
    <t>415-0029-006</t>
  </si>
  <si>
    <t>https://www.digikey.jp/product-detail/en/cinch-connectivity-solutions-johnson/415-0029-006/J3706-ND/457093</t>
  </si>
  <si>
    <t>22pF ±5% 50V Ceramic Capacitor C0G, NP0 0805/2012</t>
  </si>
  <si>
    <t>311-1103-1-ND</t>
  </si>
  <si>
    <t>CC0805JRNPO9BN220</t>
  </si>
  <si>
    <t>https://www.digikey.jp/product-detail/en/yageo/CC0805JRNPO9BN220/311-1103-1-ND/303013</t>
  </si>
  <si>
    <t>10000pF ±10% 50V Ceramic Capacitor X7R 0805/2012</t>
  </si>
  <si>
    <t>311-1136-1-ND</t>
  </si>
  <si>
    <t>CC0805KRX7R9BB103</t>
  </si>
  <si>
    <t>https://www.digikey.jp/product-detail/en/yageo/CC0805KRX7R9BB103/311-1136-1-ND/303046</t>
  </si>
  <si>
    <t>0.1µF ±10% 50V Ceramic Capacitor X7R 0805/2012</t>
  </si>
  <si>
    <t>311-1140-1-ND</t>
  </si>
  <si>
    <t>CC0805KRX7R9BB104</t>
  </si>
  <si>
    <t>https://www.digikey.jp/product-detail/en/yageo/CC0805KRX7R9BB104/311-1140-1-ND/303050</t>
  </si>
  <si>
    <t>4.7µF ±10% 50V Ceramic Capacitor X5R 0805/2012</t>
  </si>
  <si>
    <t>490-10751-1-ND</t>
  </si>
  <si>
    <t>GRM21BR61H475KE51L</t>
  </si>
  <si>
    <t>https://www.digikey.jp/product-detail/en/murata-electronics-north-america/GRM21BR61H475KE51L/490-10751-1-ND/5251349</t>
  </si>
  <si>
    <t>Solder Paste</t>
  </si>
  <si>
    <t>Leaded No-Clean Solder Paste Sn63Pb37 (63/37) Syringe, 0.53 oz (15g), 5cc</t>
  </si>
  <si>
    <t>Chip Quik Inc.</t>
  </si>
  <si>
    <t>SMD291AX-ND</t>
  </si>
  <si>
    <t>SMD 291 AX</t>
  </si>
  <si>
    <t>https://www.digikey.jp/product-detail/ja/chip-quik-inc/SMD291AX/SMD291AX-ND/1160002</t>
  </si>
  <si>
    <t>antenna cable</t>
  </si>
  <si>
    <t>Shieled cable, twist pair, 23 AWG</t>
  </si>
  <si>
    <t>113-5905</t>
  </si>
  <si>
    <t>https://jp.rs-online.com/web/p/cat7-cable/1135905/?relevancy-data=636F3D3126696E3D4931384E525353746F636B4E756D626572266C753D656E266D6D3D6D61746368616C6C26706D3D5E2828282872737C5253295B205D3F293F285C647B337D5B5C2D5C735D3F5C647B332C347D5B705061415D3F29297C283235285C647B387D7C5C647B317D5C2D5C647B377D2929292426706F3D3126736E3D592673723D2673743D52535F53544F434B5F4E554D4245522677633D4E4F4E45267573743D3131332D35393035267374613D3131333539303526&amp;searchHistory=%7B%22enabled%22%3Atrue%7D</t>
  </si>
  <si>
    <t>Multiplexer</t>
  </si>
  <si>
    <t>IC QUAD1:2 FET MUX/DEMUX 16TSSOP</t>
  </si>
  <si>
    <t>296-19138-1-ND</t>
  </si>
  <si>
    <t>SN74CB3Q3257PWR</t>
  </si>
  <si>
    <t>https://www.digikey.jp/product-detail/en/texas-instruments/SN74CB3Q3257PWR/296-19138-1-ND/864369</t>
  </si>
  <si>
    <t>GS camera set</t>
  </si>
  <si>
    <t>200万画素，POE給電，暗視撮影，防塵防水，４CH，NVRキット</t>
  </si>
  <si>
    <t>A-ZONE</t>
  </si>
  <si>
    <t>https://www.amazon.co.jp/ZONE-200%E4%B8%87%E7%94%BB%E7%B4%A0%E3%82%BF%E3%82%A4%E3%83%97-%E3%83%8D%E3%83%83%E3%83%88%E3%83%AF%E3%83%BC%E3%82%AF%E3%82%AB%E3%83%A1%E3%83%A9-cctv%E3%82%BB%E3%82%AD%E3%83%A5%E3%83%AA%E3%83%86%E3%82%A3%E3%82%AB%E3%83%A1%E3%83%A9%E3%82%B7%E3%82%B9%E3%83%86%E3%83%A0-%E3%82%AF%E3%82%A4%E3%83%83%E3%82%AF%E3%83%AA%E3%83%A2%E3%83%BC%E3%83%88%E3%82%A2%E3%82%AF%E3%82%BB%E3%82%B9/dp/B01N4P64WX/ref=cm_cr_arp_d_product_sims?ie=UTF8&amp;th=1</t>
  </si>
  <si>
    <t>ポリペンコアセタール(POM) シート</t>
  </si>
  <si>
    <t>ACCIMT</t>
  </si>
  <si>
    <t>Anibal</t>
  </si>
  <si>
    <t xml:space="preserve">POM-NC1.5-500-1000
POM Sheet for RW holder
</t>
  </si>
  <si>
    <t>https://www.monotaro.com/p/3880/5173/?t.q=POM-NC%2583V%2581%255B%2583g</t>
  </si>
  <si>
    <t>POM Board</t>
  </si>
  <si>
    <t xml:space="preserve">Polyacetal, Standard, White, 10-300-300 </t>
  </si>
  <si>
    <t>https://jp.misumi-ec.com/vona2/detail/221000607008/?KWSearch=POM%20%E6%9D%BF&amp;searchFlow=results2products</t>
  </si>
  <si>
    <t>直流安定化電源</t>
  </si>
  <si>
    <t>nakayama</t>
  </si>
  <si>
    <t>18V 2A</t>
  </si>
  <si>
    <t>松定プレジション</t>
  </si>
  <si>
    <t>P4K18-2</t>
  </si>
  <si>
    <t>https://www.matsusada.co.jp/product/psel/dcps/handy/000001/</t>
  </si>
  <si>
    <t>LANケーブル</t>
  </si>
  <si>
    <t>kishimoto</t>
  </si>
  <si>
    <t>屋外用，UTP, Cat6</t>
  </si>
  <si>
    <t>kingwire</t>
  </si>
  <si>
    <t>LAN-OD6-BK</t>
  </si>
  <si>
    <t>200m</t>
  </si>
  <si>
    <t>100m</t>
  </si>
  <si>
    <t>https://www.amazon.co.jp/kingwire-RoHS%E6%8C%87%E4%BB%A4%E6%BA%96%E6%8B%A0-%E5%B1%8B%E5%A4%96%E7%94%A8LAN%E3%82%B1%E3%83%BC%E3%83%96%E3%83%AB-%E3%82%AB%E3%83%86%E3%82%B4%E3%83%AA6-CAT6-%E3%83%96%E3%83%A9%E3%83%83%E3%82%AF-100%EF%BD%8D/dp/B07B3ZRB32?th=1</t>
  </si>
  <si>
    <t>ヒューズ</t>
  </si>
  <si>
    <t>直径: 6.35mm, 長さ: 31.8mm, 2A, 250V</t>
  </si>
  <si>
    <t>HR GS</t>
  </si>
  <si>
    <t>LANケーブルコネクタ</t>
  </si>
  <si>
    <t>cat6, RJ45, single-line</t>
  </si>
  <si>
    <t>TSdrena</t>
  </si>
  <si>
    <t>SPM-TLLC6100B</t>
  </si>
  <si>
    <t>https://www.amazon.co.jp/TSdrena-%E3%82%AB%E3%83%86%E3%82%B4%E3%83%AA6%E5%AF%BE%E5%BF%9C-LAN%E7%94%A8RJ45%E3%82%B3%E3%83%8D%E3%82%AF%E3%82%BF-100%E5%80%8B%E5%85%A5%E3%82%8A-SPM-TLLC6100B/dp/B00IFV2KZE/ref=sr_1_3?keywords=rj-45+cat6&amp;qid=1555922730&amp;s=computers&amp;sr=1-3</t>
  </si>
  <si>
    <t>Oscillator</t>
  </si>
  <si>
    <t xml:space="preserve">IC OSC SILICON PROG TSOT23-6 </t>
  </si>
  <si>
    <t xml:space="preserve">LTC6906CS6#TRMPBFDKR-ND </t>
  </si>
  <si>
    <t xml:space="preserve">LTC6906CS6#TRMPBF </t>
  </si>
  <si>
    <t xml:space="preserve">TSOT23-6 </t>
  </si>
  <si>
    <t>NTU mission</t>
  </si>
  <si>
    <t xml:space="preserve">NTU mission </t>
  </si>
  <si>
    <t>https://www.digikey.jp/product-detail/en/linear-technology-analog-devices/LTC6906CS6-TRMPBF/LTC6906CS6-TRMPBFDKR-ND/1618156?cur=USD&amp;lang=en</t>
  </si>
  <si>
    <t>Power Switch/Driver</t>
  </si>
  <si>
    <t xml:space="preserve">IC LOAD SWITCH 40MA SC70-5 </t>
  </si>
  <si>
    <t xml:space="preserve">296-25217-1-ND </t>
  </si>
  <si>
    <t xml:space="preserve">TPS22941DCKR </t>
  </si>
  <si>
    <t xml:space="preserve">SC70-5 </t>
  </si>
  <si>
    <t>https://www.digikey.jp/product-detail/en/texas-instruments/TPS22941DCKR/296-25217-1-ND/2172704</t>
  </si>
  <si>
    <t>12 Bit Analog to Digital Converter</t>
  </si>
  <si>
    <t xml:space="preserve">IC ADC 12BIT SRL 125KSPS 16SOIC </t>
  </si>
  <si>
    <t xml:space="preserve">AD7888ARZ-REEL7CT-ND </t>
  </si>
  <si>
    <t xml:space="preserve">AD7888ARZ-REEL7 </t>
  </si>
  <si>
    <t xml:space="preserve">16SOIC </t>
  </si>
  <si>
    <t>https://www.digikey.jp/product-detail/ja/analog-devices-inc/AD7888ARZ-REEL7/AD7888ARZ-REEL7CT-ND/3694573</t>
  </si>
  <si>
    <t>USB-シリアル変換ケーブル</t>
  </si>
  <si>
    <t>約1.8 m 出力電圧5.0V 出力電流75mA</t>
  </si>
  <si>
    <t>共立プロダクツ</t>
  </si>
  <si>
    <t xml:space="preserve">KP-232R-3V3 </t>
  </si>
  <si>
    <t>https://www.monotaro.com/g/02960802/</t>
  </si>
  <si>
    <t>カプトンテープ</t>
  </si>
  <si>
    <t>12.7mm幅　粘着剤:アクリル</t>
  </si>
  <si>
    <t>日東電工</t>
  </si>
  <si>
    <t xml:space="preserve">5-5018-05 </t>
  </si>
  <si>
    <t xml:space="preserve">P-224 </t>
  </si>
  <si>
    <t>BIRDS4 project</t>
  </si>
  <si>
    <t>https://www.monotaro.com/g/00269093/</t>
  </si>
  <si>
    <t>19mm幅　粘着剤:アクリル</t>
  </si>
  <si>
    <t xml:space="preserve">5-5018-06 </t>
  </si>
  <si>
    <t>12.7mm幅　粘着剤:シリコーン</t>
  </si>
  <si>
    <t>日東エルマテリアル</t>
  </si>
  <si>
    <t xml:space="preserve">836-5334 </t>
  </si>
  <si>
    <t>P-221</t>
  </si>
  <si>
    <t>4F center/SVBL 3F</t>
  </si>
  <si>
    <t>https://www.monotaro.com/g/03486717/?t.q=%83J%83v%83g%83%93%83e%81%5B%83v</t>
  </si>
  <si>
    <t>19mm幅　粘着剤:シリコーン</t>
  </si>
  <si>
    <t xml:space="preserve">836-5335 </t>
  </si>
  <si>
    <t xml:space="preserve">836-5336 </t>
  </si>
  <si>
    <t>P-222</t>
  </si>
  <si>
    <t xml:space="preserve">836-5337 </t>
  </si>
  <si>
    <t>Silicone Glue</t>
  </si>
  <si>
    <t>Concrete Basement Block</t>
  </si>
  <si>
    <t>Dimensions (mm) 140 x 175 x 150 Mass (kg) About 8 kg</t>
  </si>
  <si>
    <t>φ2.5 14mm</t>
  </si>
  <si>
    <t>SPP-2.5-14</t>
  </si>
  <si>
    <t>https://jp.misumi-ec.com/vona2/detail/221000531734/?HissuCode=SPP-2.5-14-SUS</t>
  </si>
  <si>
    <t>5yen/part x 10 + 200</t>
  </si>
  <si>
    <t>鳳龍四号ローテータ修理</t>
  </si>
  <si>
    <t>仰角ローテーター新規購入　取替</t>
  </si>
  <si>
    <t>クリエイト</t>
  </si>
  <si>
    <t>ERC5A</t>
  </si>
  <si>
    <t>HSK-SAT/BIRDS/HORYU</t>
  </si>
  <si>
    <t>operation room</t>
  </si>
  <si>
    <t>工事費込</t>
  </si>
  <si>
    <t>Wi-Fiルーター</t>
  </si>
  <si>
    <t>無線LAN親機 11ac/n/a/g/b 1300+450Mbps</t>
  </si>
  <si>
    <t>バッファロー</t>
  </si>
  <si>
    <t xml:space="preserve">WXR-1750DHP2 </t>
  </si>
  <si>
    <t>BIRDS部屋</t>
  </si>
  <si>
    <t>https://www.monotaro.com/g/04030725/?t.q=WXR-1750DHP2</t>
  </si>
  <si>
    <t>S-band 基準ダイポールアンテナ</t>
  </si>
  <si>
    <t>2.25GHz~2.6GHz 2dBi</t>
  </si>
  <si>
    <t>アンリツ</t>
  </si>
  <si>
    <t>MA5612B4</t>
  </si>
  <si>
    <t>HSK-SAT</t>
  </si>
  <si>
    <t>通信補助</t>
  </si>
  <si>
    <t>https://www.anritsu.com/ja-JP/test-measurement/products/ma5612-series</t>
  </si>
  <si>
    <t>ゴムシート</t>
  </si>
  <si>
    <t>t=5mm 200mm x 20mm</t>
  </si>
  <si>
    <t>カメラ</t>
  </si>
  <si>
    <t>https://www.monotaro.com/p/3584/7655/?t.q=5mm%20%83S%83%80%83V%81%5B%83g</t>
  </si>
  <si>
    <t>屋外用　多用途透明補修テープ</t>
  </si>
  <si>
    <t>まつうら工業</t>
  </si>
  <si>
    <t>CLEAR-HT-5010</t>
  </si>
  <si>
    <t>https://www.monotaro.com/p/0962/8238/?utm_medium=cpc&amp;utm_source=Adwords&amp;gclid=CjwKCAjw_MnmBRAoEiwAPRRWW7GKRhrVyGFcx_Ca7dxVoMeT4ejK0SPNWmWi_bs-6x-eQoA0tfRP8BoC6IgQAvD_BwE</t>
  </si>
  <si>
    <t xml:space="preserve">Peltier Element </t>
  </si>
  <si>
    <t>Quotation  Invoice No 190322A</t>
  </si>
  <si>
    <t>B4_RAB_EM</t>
  </si>
  <si>
    <t>90mm×85.7mm</t>
  </si>
  <si>
    <t>P板.com</t>
  </si>
  <si>
    <t>TMCR, NTU, PCS mission</t>
  </si>
  <si>
    <t>B4_BPB_EM</t>
  </si>
  <si>
    <t>Mark Angelo Purio</t>
  </si>
  <si>
    <t>96mm x 96mm</t>
  </si>
  <si>
    <t>Back Plane Board</t>
  </si>
  <si>
    <t>B4_MB2_EM</t>
  </si>
  <si>
    <t>90mm×86mm</t>
  </si>
  <si>
    <t>Mission Board 2
(SFWARD, APRSDP, CAM, ICU)</t>
  </si>
  <si>
    <t>B4_MB1_EM</t>
  </si>
  <si>
    <t>Mission Board 1
(ADCS, HNT)</t>
  </si>
  <si>
    <t>B4_Solarpanel_PCB_+X_EM</t>
  </si>
  <si>
    <t>82.6 mm x100.7 mm</t>
  </si>
  <si>
    <t>Solar Panel_+X</t>
  </si>
  <si>
    <t>B4_Solarpanel_PCB_+Z_EM</t>
  </si>
  <si>
    <t>96.3 mm x96.5mm</t>
  </si>
  <si>
    <t>Solar Panel_+Z</t>
  </si>
  <si>
    <t>B4_Solarpanel_PCB_-Z_EM</t>
  </si>
  <si>
    <t>96 mm x96mm</t>
  </si>
  <si>
    <t>Solar Panel_-Z</t>
  </si>
  <si>
    <t>B4_Solarpanel_PCB_+Y_EM</t>
  </si>
  <si>
    <t>Solar Panel_+Y</t>
  </si>
  <si>
    <t>90.0 mm x 85.7 mm x 1.2 mm</t>
  </si>
  <si>
    <t>0.1µF ±10% 50V Ceramic Capacitor X8R 0603/1608</t>
  </si>
  <si>
    <t>445-8818-1-ND</t>
  </si>
  <si>
    <t>C1608X8R1H104K080AB</t>
  </si>
  <si>
    <t>Surface Mount, MLCC
 0603/1608</t>
  </si>
  <si>
    <t>MSN BRD 2 EM</t>
  </si>
  <si>
    <t>https://www.digikey.jp/product-detail/en/tdk-corporation/C1608X8R1H104K080AB/445-8818-1-ND/3248223</t>
  </si>
  <si>
    <t>18pF ±5% 50V Ceramic Capacitor C0G, NP0 0603/1608</t>
  </si>
  <si>
    <t>445-5631-1-ND</t>
  </si>
  <si>
    <t>CGA3E2C0G1H180J080AA</t>
  </si>
  <si>
    <t>https://www.digikey.jp/product-detail/en/tdk-corporation/CGA3E2C0G1H180J080AA/445-5631-1-ND/2443671</t>
  </si>
  <si>
    <t>1µF ±10% 50V Ceramic Capacitor X7R 0603/1608</t>
  </si>
  <si>
    <t>587-3247-1-ND</t>
  </si>
  <si>
    <t>UMK107AB7105KA-T</t>
  </si>
  <si>
    <t>https://www.digikey.jp/product-detail/en/taiyo-yuden/UMK107AB7105KA-T/587-3247-1-ND/3660107</t>
  </si>
  <si>
    <t>2200pF ±5% 50V Ceramic Capacitor C0G, NP0 0603/1608</t>
  </si>
  <si>
    <t>445-12399-1-ND</t>
  </si>
  <si>
    <t>CGA3E2NP01H222J080AA</t>
  </si>
  <si>
    <t>https://www.digikey.jp/product-detail/en/tdk-corporation/CGA3E2NP01H222J080AA/445-12399-1-ND/3954065</t>
  </si>
  <si>
    <t>10pF ±0.5pF 50V Ceramic Capacitor C0G, NP0 0603/1608</t>
  </si>
  <si>
    <t>445-14053-1-ND</t>
  </si>
  <si>
    <t>C1608NP01H100D080AA</t>
  </si>
  <si>
    <t>https://www.digikey.jp/product-detail/en/tdk-corporation/C1608NP01H100D080AA/445-14053-1-ND/3955719</t>
  </si>
  <si>
    <t>6.8pF ±5% 50V Ceramic Capacitor C0G, NP0 0603/1608</t>
  </si>
  <si>
    <t>06035A6R8JAT2A</t>
  </si>
  <si>
    <t>https://www.digikey.jp/product-detail/en/avx-corporation/06035A6R8JAT2A/478-11823-1-ND/8573459</t>
  </si>
  <si>
    <t>2.2 μF ± 10% 6.3 V ceramic capacitor X8L 0603/1608</t>
  </si>
  <si>
    <t>445-175262-1-ND</t>
  </si>
  <si>
    <t>CGA3E1X8L0J225K080AC</t>
  </si>
  <si>
    <t>https://www.digikey.jp/product-detail/ja/tdk-corporation/CGA3E1X8L0J225K080AC/445-175262-1-ND/7930957</t>
  </si>
  <si>
    <t>20pF ± 5% 50V ceramic capacitor C0G, NP0 0603/1608</t>
  </si>
  <si>
    <t>478-7912-1-ND</t>
  </si>
  <si>
    <t>06035A200JAT2A</t>
  </si>
  <si>
    <t>https://www.digikey.jp/product-detail/en/avx-corporation/06035A200JAT2A/478-7912-1-ND/3881535</t>
  </si>
  <si>
    <t>10µF ±20% 6.3V Ceramic Capacitor X7S 0603/1608</t>
  </si>
  <si>
    <t>445-9104-1-ND</t>
  </si>
  <si>
    <t>C1608X7S0J106M080AC</t>
  </si>
  <si>
    <t>https://www.digikey.jp/product-detail/en/tdk-corporation/C1608X7S0J106M080AC/445-9104-1-ND/3661624</t>
  </si>
  <si>
    <t>Yellow 590nm LED Indication - Discrete 2.2V 0603/1608</t>
  </si>
  <si>
    <t>511-1588-1-ND</t>
  </si>
  <si>
    <t>SML-E12Y8WT86</t>
  </si>
  <si>
    <t>Surface Mount
 0603/1608</t>
  </si>
  <si>
    <t>https://www.digikey.jp/product-detail/en/rohm-semiconductor/SML-E12Y8WT86/511-1588-1-ND/1641820</t>
  </si>
  <si>
    <t>Orange 605nm LED Indication - Discrete 2.2V 0603/1608</t>
  </si>
  <si>
    <t>511-1583-1-ND</t>
  </si>
  <si>
    <t>SML-E12D8WT86</t>
  </si>
  <si>
    <t>https://www.digikey.jp/product-detail/en/rohm-semiconductor/SML-E12D8WT86/511-1583-1-ND/1641815</t>
  </si>
  <si>
    <t>Red 630nm LED Indication - Discrete 2.2V 0603/1608</t>
  </si>
  <si>
    <t>511-1587-1-ND</t>
  </si>
  <si>
    <t>SML-E12V8WT86</t>
  </si>
  <si>
    <t>https://www.digikey.jp/product-detail/en/rohm-semiconductor/SML-E12V8WT86/511-1587-1-ND/1641819</t>
  </si>
  <si>
    <t>Green 572nm LED Indication - Discrete 2.2V 0603/1608</t>
  </si>
  <si>
    <t>511-1584-1-ND</t>
  </si>
  <si>
    <t>SML-E12M8WT86</t>
  </si>
  <si>
    <t>https://www.digikey.jp/product-detail/en/rohm-semiconductor/SML-E12M8WT86/511-1584-1-ND/1641816</t>
  </si>
  <si>
    <t>IC Transistor</t>
  </si>
  <si>
    <t>Pre-Biased Bipolar Transistor (BJT) NPN - Pre-Biased 50V 100mA 250MHz 200mW</t>
  </si>
  <si>
    <t>Surface Mount
 SMT3</t>
  </si>
  <si>
    <t>https://www.digikey.jp/products/en?keywords=DTC144EKAT146CT-ND</t>
  </si>
  <si>
    <t>MOSFET Array 2 N-Channel (Dual) 20V 800mA (Tc) 1.5W</t>
  </si>
  <si>
    <t>SQ1912EH-T1_GE3CT-ND</t>
  </si>
  <si>
    <t>SQ1912EH-T1_GE3</t>
  </si>
  <si>
    <t>Surface Mount
 SC-70-6</t>
  </si>
  <si>
    <t>https://www.digikey.jp/product-detail/en/vishay-siliconix/SQ1912EH-T1_GE3/SQ1912EH-T1_GE3CT-ND/6709020</t>
  </si>
  <si>
    <t>Connector Header Surface Mount 24 position 0.050" (1.27mm)</t>
  </si>
  <si>
    <t>Sullins Connector Solutions</t>
  </si>
  <si>
    <t>S9012E-12-ND</t>
  </si>
  <si>
    <t>GRPB122VWQS-RC</t>
  </si>
  <si>
    <t>https://www.digikey.jp/products/en?keywords=GRPB%20122%20VWQS-RC</t>
  </si>
  <si>
    <t>Connector Header Surface Mount 10 position 0.050" (1.27mm)</t>
  </si>
  <si>
    <t>S9013E-05-ND</t>
  </si>
  <si>
    <t>GRPB052VWQP-RC</t>
  </si>
  <si>
    <t>MSN BRD 1 EM</t>
  </si>
  <si>
    <t>https://www.digikey.jp/product-detail/en/sullins-connector-solutions/GRPB052VWQP-RC/S9013E-05-ND/1786428</t>
  </si>
  <si>
    <t>Changed the cost per unit from Y280 to Y125, due to typographical error</t>
  </si>
  <si>
    <t>Position header</t>
  </si>
  <si>
    <t>10 Position Header Connector 0.079" (2.00mm) Through Hole</t>
  </si>
  <si>
    <t>S5750-05-ND</t>
  </si>
  <si>
    <t>NPPN052AFCN-RC</t>
  </si>
  <si>
    <t>https://www.digikey.jp/product-detail/en/sullins-connector-solutions/NPPN052AFCN-RC/S5750-05-ND/804790</t>
  </si>
  <si>
    <t>IC RF TxRx Only General ISM &lt; 1GHz 27MHz ~ 1.05GHz 28-VFQFN Exposed Pad</t>
  </si>
  <si>
    <t>AX5043-1-TW30OSCT-ND</t>
  </si>
  <si>
    <t>AX5043-1-TW30</t>
  </si>
  <si>
    <t>28-VFQFN Exposed Pad</t>
  </si>
  <si>
    <t>ICU</t>
  </si>
  <si>
    <t>https://www.digikey.jp/product-detail/en/on-semiconductor/AX5043-1-TW30/AX5043-1-TW30OSCT-ND/9923530</t>
  </si>
  <si>
    <t>Pin header (PCB)</t>
  </si>
  <si>
    <t>PSR-210154-00 12-Pin header (pin) PCB mounting hole diameter 0.8 0.8 (H = 1.5)</t>
  </si>
  <si>
    <t>PSR-210154-00</t>
  </si>
  <si>
    <t>Through-hole</t>
  </si>
  <si>
    <t>BPB</t>
  </si>
  <si>
    <t>https://www.monotaro.com/p/2634/4578/?t.q=PSR-210154-12</t>
  </si>
  <si>
    <t>Connector Header Surface Mount 2 position 0.079" (2.00mm)</t>
  </si>
  <si>
    <t>WM8301CT-ND</t>
  </si>
  <si>
    <t>https://www.digikey.jp/products/en?keywords=WM8301CT-ND</t>
  </si>
  <si>
    <t>IC Temp sensor</t>
  </si>
  <si>
    <t>Temperature Sensor Analog, Local -40°C ~ 125°C 10mV/°C 8-SOIC</t>
  </si>
  <si>
    <t>Pin header</t>
  </si>
  <si>
    <t>12-pin header for solar panel</t>
  </si>
  <si>
    <t>Camera</t>
  </si>
  <si>
    <t>OV5642 Arducam 5MP Mini Module Camera Shield</t>
  </si>
  <si>
    <t>24-pole FFC, FPC connector terminal, top 0.020 inch (0.50 mm) surface mount, right angle</t>
  </si>
  <si>
    <t>WM8810CT-ND</t>
  </si>
  <si>
    <t>https://www.digikey.jp/product-detail/ja/molex/0545502471/WM8810CT-ND/3197240</t>
  </si>
  <si>
    <t>10000 pF ± 5% 50 V Ceramic capacitors C0G, NP0 0603/1068</t>
  </si>
  <si>
    <t>445-12383-1-ND</t>
  </si>
  <si>
    <t>CGA 3 E 2 NP 01 H 103 J 080 AA</t>
  </si>
  <si>
    <t>https://www.digikey.jp/product-detail/ja/tdk-corporation/CGA3E2NP01H103J080AA/445-12383-1-ND/3954049</t>
  </si>
  <si>
    <t>10µF ±10% 6.3V Ceramic Capacitor X8L 0805/2012</t>
  </si>
  <si>
    <t>445-175409-1-ND</t>
  </si>
  <si>
    <t>C2012X8L0J106K125AC</t>
  </si>
  <si>
    <t>Surface Mount, MLCC
 0805/2012</t>
  </si>
  <si>
    <t>https://www.digikey.jp/product-detail/en/tdk-corporation/C2012X8L0J106K125AC/445-175409-1-ND/8343852</t>
  </si>
  <si>
    <t>100µF ±20% 4V Ceramic Capacitor X6S 0805/2012</t>
  </si>
  <si>
    <t>490-13978-1-ND</t>
  </si>
  <si>
    <t>GRM21BC80G107ME15L</t>
  </si>
  <si>
    <t>https://www.digikey.jp/product-detail/en/murata-electronics-north-america/GRM21BC80G107ME15L/490-13978-1-ND/6155808</t>
  </si>
  <si>
    <t>4.7µF ±10% 25V Ceramic Capacitor X8L 0805/2012</t>
  </si>
  <si>
    <t>445-181605-1-ND</t>
  </si>
  <si>
    <t>CGA4J1X8L1E475K125AC</t>
  </si>
  <si>
    <t>https://www.digikey.jp/product-detail/en/tdk-corporation/CGA4J1X8L1E475K125AC/445-181605-1-ND/9991483</t>
  </si>
  <si>
    <t>47µF ±20% 2.5V Ceramic Capacitor X6S 0603/1608</t>
  </si>
  <si>
    <t>490-13244-1-ND</t>
  </si>
  <si>
    <t>GRM188C80E476ME05D</t>
  </si>
  <si>
    <t>https://www.digikey.jp/product-detail/en/murata-electronics-north-america/GRM188C80E476ME05D/490-13244-1-ND/5877452</t>
  </si>
  <si>
    <t>33 nH Unshielded Multilayer Inductor 300 mA 600 milliohm max 0805 /2012</t>
  </si>
  <si>
    <t>AIMC-0805-33 NJ-T</t>
  </si>
  <si>
    <t>https://www.digikey.jp/product-detail/ja/abracon-llc/AIMC-0805-33NJ-T/535-11564-1-ND/2782805</t>
  </si>
  <si>
    <t>25 mOhms ±1% 0.125W, 1/8W Chip Resistor 0805/2012</t>
  </si>
  <si>
    <t>Vishay Dale</t>
  </si>
  <si>
    <t>WSLA-.025DKR-ND</t>
  </si>
  <si>
    <t>150 mOhms ±1% 0.25W, 1/4W Chip Resistor 0603/1608</t>
  </si>
  <si>
    <t>RHM1242DKR-ND</t>
  </si>
  <si>
    <t>UCR03EVPFLR150</t>
  </si>
  <si>
    <t>https://www.digikey.jp/product-detail/en/rohm-semiconductor/UCR03EVPFLR150/RHM1242DKR-ND/4058650</t>
  </si>
  <si>
    <t>IC OVP</t>
  </si>
  <si>
    <t>MSN BRD 1 and 2 EM</t>
  </si>
  <si>
    <t>Changed the cost per unit from Y468 to Y473, due to typographical error</t>
  </si>
  <si>
    <t xml:space="preserve">DTC144EKAT146        </t>
  </si>
  <si>
    <t>50V 100mA 250MHz 200mW 面実装 SMT3</t>
  </si>
  <si>
    <t xml:space="preserve">DTC144EKAT146CT-ND        </t>
  </si>
  <si>
    <t xml:space="preserve">DTC144EKAT146	</t>
  </si>
  <si>
    <t>SMT3</t>
  </si>
  <si>
    <t>OCP RAB</t>
  </si>
  <si>
    <t>LTC4361IDC-1#TRMPBF</t>
  </si>
  <si>
    <t>IC OVERVOLTAGE PROT CONT 8-DFN</t>
  </si>
  <si>
    <t xml:space="preserve">LTC4361IDC-1#TRMPBFCT-ND        </t>
  </si>
  <si>
    <t xml:space="preserve">LTC4361IDC-1#TRMPBF        </t>
  </si>
  <si>
    <t>8-DFN</t>
  </si>
  <si>
    <t>https://www.digikey.jp/product-detail/ja/linear-technology-analog-devices/LTC4361IDC-1-TRMPBF/LTC4361IDC-1-TRMPBFCT-ND/2351619</t>
  </si>
  <si>
    <t>CRYSTAL 16.0000MHZ</t>
  </si>
  <si>
    <t>16MHz ±30ppm 水晶 20pF 40 Ohms HC-49/US</t>
  </si>
  <si>
    <t xml:space="preserve">631-1404-1-ND        </t>
  </si>
  <si>
    <t xml:space="preserve">FC4SDCBMM16.0-T1	</t>
  </si>
  <si>
    <t>HC-49/US</t>
  </si>
  <si>
    <t>https://www.digikey.jp/product-detail/ja/fox-electronics/FC4SDCBMM16.0-T1/631-1404-1-ND/4862606</t>
  </si>
  <si>
    <t>Capacitor 10uF</t>
  </si>
  <si>
    <t>10µF ±10% 10V セラミックコンデンサ X5R 0805</t>
  </si>
  <si>
    <t xml:space="preserve">1276-6456-1-ND        </t>
  </si>
  <si>
    <t xml:space="preserve">CL21A106KPFNNNG	</t>
  </si>
  <si>
    <t>C0805</t>
  </si>
  <si>
    <t>https://www.digikey.jp/product-detail/ja/samsung-electro-mechanics/CL21A106KPFNNNG/1276-6456-1-ND/5958084</t>
  </si>
  <si>
    <t>Capacitor 100nF</t>
  </si>
  <si>
    <t>0.1µF -20%、+80% 50V セラミックコンデンサ Y5V（F） 0805</t>
  </si>
  <si>
    <t xml:space="preserve">1276-1007-1-ND        </t>
  </si>
  <si>
    <t>CL21F104ZBCNNNC</t>
  </si>
  <si>
    <t>https://www.digikey.jp/product-detail/ja/samsung-electro-mechanics/CL21F104ZBCNNNC/1276-1007-1-ND/3889093</t>
  </si>
  <si>
    <t>Capacitor 47nF</t>
  </si>
  <si>
    <t>47nF ±5% 100V セラミックコンデンサ C0G、NP0 0805</t>
  </si>
  <si>
    <t>399-1166-1-ND</t>
  </si>
  <si>
    <t>C0805C473K5RACTU</t>
  </si>
  <si>
    <t>https://www.digikey.jp/product-detail/ja/kemet/C0805C473K5RACTU/399-1166-1-ND/411441</t>
  </si>
  <si>
    <t>Register 0.025Ω</t>
  </si>
  <si>
    <t>25 mOhms ±5% 0.25W、1/4W チップ抵抗 0805</t>
  </si>
  <si>
    <t>RL12T.025JCT-ND</t>
  </si>
  <si>
    <t>RL1220T-R025-J</t>
  </si>
  <si>
    <t>R0805</t>
  </si>
  <si>
    <t>https://www.digikey.jp/product-detail/ja/susumu/RL1220T-R025-J/RL12T.025JCT-ND/567356</t>
  </si>
  <si>
    <t>Register 500mΩ</t>
  </si>
  <si>
    <t>500 mOhms ±1% 0.333W、1/3W チップ抵抗 0805</t>
  </si>
  <si>
    <t>RL12S.50FCT-ND</t>
  </si>
  <si>
    <t>RL1220S-R50-F</t>
  </si>
  <si>
    <t>https://www.digikey.jp/product-detail/ja/susumu/RL1220S-R50-F/RL12S.50FCT-ND/567351</t>
  </si>
  <si>
    <t>Register 2.5MΩ</t>
  </si>
  <si>
    <t>2.5 MOhms ±5% 0.125W、1/8W チップ抵抗 0805</t>
  </si>
  <si>
    <t>HVC0805T2504JETCT-ND</t>
  </si>
  <si>
    <t>HVC0805T2504JET</t>
  </si>
  <si>
    <t>https://www.digikey.jp/product-detail/ja/ohmite/HVC0805T2504JET/HVC0805T2504JETCT-ND/4809224</t>
  </si>
  <si>
    <t>Register 50mΩ</t>
  </si>
  <si>
    <t>50 mOhms ±5% 0.25W、1/4W チップ抵抗 0805</t>
  </si>
  <si>
    <t>RL12T.05JCT-ND</t>
  </si>
  <si>
    <t>RL1220T-R050-J</t>
  </si>
  <si>
    <t>https://www.digikey.jp/product-detail/ja/susumu/RL1220T-R050-J/RL12T.05JCT-ND/567358</t>
  </si>
  <si>
    <t xml:space="preserve">Magnet Alnico 5（AlNiCo） 0.126インチ角 x 0.748インチ高さ (3.20mm x 19.0mm) </t>
  </si>
  <si>
    <t>Standex-Meder Electronics</t>
  </si>
  <si>
    <t xml:space="preserve">374-1130-ND </t>
  </si>
  <si>
    <t xml:space="preserve">ALNICO500 19X3.2X3.2MM </t>
  </si>
  <si>
    <t>fishing line (PE line)</t>
  </si>
  <si>
    <t>https://item.rakuten.co.jp/upis777/741/</t>
  </si>
  <si>
    <t>導電性接着剤</t>
  </si>
  <si>
    <t>藤倉化成</t>
  </si>
  <si>
    <t>ARAALDITE RT30</t>
  </si>
  <si>
    <t>https://www.monotaro.com/g/00254666/?monotaroNo=33240313</t>
  </si>
  <si>
    <t>Araldite</t>
  </si>
  <si>
    <t>2液性高性能接着剤</t>
  </si>
  <si>
    <t>https://www.monotaro.com/g/00260582/?monotaroNo=34665565</t>
  </si>
  <si>
    <t>Loctite</t>
  </si>
  <si>
    <t>ねじゆるみ止め用接着剤</t>
  </si>
  <si>
    <t>ヘンケル</t>
  </si>
  <si>
    <t>263-10</t>
  </si>
  <si>
    <t>λgel sheet</t>
  </si>
  <si>
    <t>接着シート</t>
  </si>
  <si>
    <t>COH-1019LVC-T0.5</t>
  </si>
  <si>
    <t>Parts case</t>
  </si>
  <si>
    <t>パーツケース</t>
  </si>
  <si>
    <t>エンジニア</t>
  </si>
  <si>
    <t>KP-03K</t>
  </si>
  <si>
    <t>https://www.monotaro.com/g/00533703/?monotaroNo=58393815</t>
  </si>
  <si>
    <t>Lever Switch</t>
  </si>
  <si>
    <t>極超小型スイッチ
ヒンジ・ローラー・短レバー形
7A AC250V</t>
  </si>
  <si>
    <t>オムロン</t>
  </si>
  <si>
    <t>https://jp.misumi-ec.com/vona2/detail/221000559161/?KWSearch=%e3%82%b9%e3%82%a4%e3%83%83%e3%83%81%20%e3%82%aa%e3%83%a0%e3%83%ad%e3%83%b3%20J&amp;searchFlow=results2products</t>
  </si>
  <si>
    <t>Lever Switch Connector</t>
  </si>
  <si>
    <t>CONN RCPT HSNG 2MM 2POS SINGLE</t>
  </si>
  <si>
    <t xml:space="preserve">WM8287-ND </t>
  </si>
  <si>
    <t xml:space="preserve">51090-0200 </t>
  </si>
  <si>
    <t>https://www.digikey.jp/product-detail/ja/molex/51090-0200/WM8287-ND/1632891</t>
  </si>
  <si>
    <t>M1.6 Spiral Tap</t>
  </si>
  <si>
    <t>SP-M1.6X0.35</t>
  </si>
  <si>
    <t>YAMAWA</t>
  </si>
  <si>
    <t>451-1557</t>
  </si>
  <si>
    <t>https://www.monotaro.com/p/0815/0773/</t>
  </si>
  <si>
    <t>3,229 yen is tax incl. price</t>
  </si>
  <si>
    <t>Coil Insert Toolkit</t>
  </si>
  <si>
    <t>M2X0.4</t>
  </si>
  <si>
    <t>トレード</t>
  </si>
  <si>
    <t>https://www.monotaro.com/p/4531/7824/?t.q=%83%8A%83R%83C%83%8B%20%8DH%8B%EF</t>
  </si>
  <si>
    <t>10,249 yen is tax incl. price</t>
  </si>
  <si>
    <t>Oscillator, Silicon IC 10kHz ~ 1MHz TSOT-23-6</t>
  </si>
  <si>
    <t>LTC6906HS6#TRPBFDKR-ND</t>
  </si>
  <si>
    <t>LTC6906HS6#TRPBF</t>
  </si>
  <si>
    <t>TSOT-23-6</t>
  </si>
  <si>
    <t>https://www.digikey.jp/product-detail/en/linear-technology-analog-devices/LTC6906HS6-TRPBF/LTC6906HS6-TRPBFDKR-ND/9857271</t>
  </si>
  <si>
    <t>B4_Solarpanel_PCB_-Y_EM</t>
  </si>
  <si>
    <t>82.6 mm x 100.7 mm</t>
  </si>
  <si>
    <t>Solar Panel_-Y</t>
  </si>
  <si>
    <t>SEL test(NTU mission)</t>
  </si>
  <si>
    <t xml:space="preserve">SEL test(NTU mission) </t>
  </si>
  <si>
    <t>PIC16F1789</t>
  </si>
  <si>
    <t>PIC 16F マイコン IC 8ビット 32MHz 28KB（16K x 14） フラッシュ 40-UQFN（5x5）</t>
  </si>
  <si>
    <t>MIicrochip Technology</t>
  </si>
  <si>
    <t xml:space="preserve">PIC16F1789-I/MV-ND	</t>
  </si>
  <si>
    <t>40-UQFN</t>
  </si>
  <si>
    <t>SELtest</t>
  </si>
  <si>
    <t>SEL test</t>
  </si>
  <si>
    <t>https://www.digikey.jp/product-detail/ja/microchip-technology/PIC16F1789-I-MV/PIC16F1789-I-MV-ND/4080207</t>
  </si>
  <si>
    <t>PIC18F67J94</t>
  </si>
  <si>
    <t>PIC18J マイコン IC 8ビット 64MHz 128KB（64K x 16） フラッシュ 64-QFN（9x9）</t>
  </si>
  <si>
    <t>PIC18F67J94-I/MR-ND</t>
  </si>
  <si>
    <t>PIC18F67J94-I/MR</t>
  </si>
  <si>
    <t>64-QFN</t>
  </si>
  <si>
    <t>https://www.digikey.jp/product-detail/ja/microchip-technology/PIC18F67J94-I-MR/PIC18F67J94-I-MR-ND/3872480</t>
  </si>
  <si>
    <t>IC Crystal</t>
  </si>
  <si>
    <t>16MHz ±50ppm Crystal 12pF 80 Ohms 4-SMD, No Lead</t>
  </si>
  <si>
    <t>Kyocera International Inc. Electronic Components</t>
  </si>
  <si>
    <t>1253-1687-1-ND</t>
  </si>
  <si>
    <t>CX3225SB16000H0PSTC1</t>
  </si>
  <si>
    <t>Surface Mount
  4-SMD, No Lead</t>
  </si>
  <si>
    <t>https://www.digikey.jp/products/en?keywords=1253-1687-1-ND</t>
  </si>
  <si>
    <t>8MHz ±30ppm Crystal 18pF 60 Ohms 4-SMD, No Lead</t>
  </si>
  <si>
    <t>XC2015CT-ND</t>
  </si>
  <si>
    <t>ECS-80-18-20BQ-DS</t>
  </si>
  <si>
    <t>https://www.digikey.jp/product-detail/en/ecs-inc/ECS-80-18-20BQ-DS/XC2015CT-ND/4073726</t>
  </si>
  <si>
    <t>20MHz ±30ppm Crystal 18pF 40 Ohms 4-SMD, No Lead</t>
  </si>
  <si>
    <t>XC1997DKR-ND</t>
  </si>
  <si>
    <t>ECS-200-18-30BQ-DS</t>
  </si>
  <si>
    <t>https://www.digikey.jp/product-detail/en/ecs-inc/ECS-200-18-30BQ-DS/XC1997DKR-ND/4073674</t>
  </si>
  <si>
    <t>IC Gyroscope</t>
  </si>
  <si>
    <t>ST Micro, 3-axis sensor, I2C, SPI, 16-Pin LGA gyroscope L3GD20TR</t>
  </si>
  <si>
    <t>RS-online</t>
  </si>
  <si>
    <t>880-5301</t>
  </si>
  <si>
    <t>L3GD20TR</t>
  </si>
  <si>
    <t>LGA</t>
  </si>
  <si>
    <t>https://jp.rs-online.com/web/p/accelerometer-sensors/8805301/</t>
  </si>
  <si>
    <t>MMCX Connector</t>
  </si>
  <si>
    <t>MMCX Connector Jack, Female Socket 50Ohm Surface Mount Solder</t>
  </si>
  <si>
    <t>https://www.digikey.jp/product-detail/en/amphenol-rf-division/908-22101T/ARF1725CT-ND/2041861</t>
  </si>
  <si>
    <t>RF amp IC</t>
  </si>
  <si>
    <t>IC RF AMP GP 400MHZ-2.2GHZ</t>
  </si>
  <si>
    <t>BIRDS-4/Research</t>
  </si>
  <si>
    <t>https://www.digikey.jp/product-detail/ja/analog-devices-inc/HMC452ST89E/1127-2969-ND/5359949</t>
  </si>
  <si>
    <t>4.7pF ±0.25pF 50V セラミックコンデンサ C0G、NP0 0402（1005メートル法）</t>
  </si>
  <si>
    <t>490-3100-1-ND</t>
  </si>
  <si>
    <t>GJM1555C1H4R7CB01D</t>
  </si>
  <si>
    <t>https://www.digikey.jp/product-detail/ja/murata-electronics-north-america/GJM1555C1H4R7CB01D/490-3100-1-ND/702366</t>
  </si>
  <si>
    <t>Capasitor</t>
  </si>
  <si>
    <t>47pF ±2% 50V セラミックコンデンサ C0G、NP0 0402（1005メートル法）</t>
  </si>
  <si>
    <t>490-16375-1-ND</t>
  </si>
  <si>
    <t>GJM1555C1H470GB01D</t>
  </si>
  <si>
    <t>https://www.digikey.jp/product-detail/ja/murata-electronics-north-america/GJM1555C1H470GB01D/490-16375-1-ND/7363357</t>
  </si>
  <si>
    <t>10個~99個で単価24.4円　FM用も合わせて50個買うと1220円</t>
  </si>
  <si>
    <t>4pF ±0.1pF 50V セラミックコンデンサ C0G、NP0 0402（1005メートル法）</t>
  </si>
  <si>
    <t>490-8100-1-ND</t>
  </si>
  <si>
    <t>GJM1555C1H4R0BB01D</t>
  </si>
  <si>
    <t>https://www.digikey.jp/product-detail/ja/murata-electronics-north-america/GJM1555C1H4R0BB01D/490-8100-1-ND/4380386</t>
  </si>
  <si>
    <t>15pF ±2% 50V セラミックコンデンサ C0G、NP0 0402（1005メートル法）</t>
  </si>
  <si>
    <t>490-8080-1-ND</t>
  </si>
  <si>
    <t>GJM1555C1H150GB01D</t>
  </si>
  <si>
    <t>https://www.digikey.jp/product-detail/ja/murata-electronics-north-america/GJM1555C1H150GB01D/490-8080-1-ND/4380366</t>
  </si>
  <si>
    <t>7pF ±0.1pF 50V セラミックコンデンサ C0G、NP0 0402（1005メートル法）</t>
  </si>
  <si>
    <t>490-11233-1-ND</t>
  </si>
  <si>
    <t>GJM1555C1H7R0BB01D</t>
  </si>
  <si>
    <t>https://www.digikey.jp/product-detail/ja/murata-electronics-north-america/GJM1555C1H7R0BB01D/490-11233-1-ND/5333073</t>
  </si>
  <si>
    <t>8pF ±0.1pF 50V セラミックコンデンサ C0G、NP0 0402（1005メートル法）</t>
  </si>
  <si>
    <t>490-11238-1-ND</t>
  </si>
  <si>
    <t>GJM1555C1H8R0BB01D</t>
  </si>
  <si>
    <t>https://www.digikey.jp/product-detail/ja/murata-electronics-north-america/GJM1555C1H8R0BB01D/490-11238-1-ND/5333078</t>
  </si>
  <si>
    <t>2.2µF ±10% 6.3V セラミックコンデンサ X5R 0402（1005メートル法）</t>
  </si>
  <si>
    <t>https://www.digikey.jp/product-detail/ja/murata-electronics-north-america/GRM155R60J225KE95D/490-12532-1-ND/5797522</t>
  </si>
  <si>
    <t>10pF ±5% 50V セラミックコンデンサ C0G、NP0 0402（1005メートル法）</t>
  </si>
  <si>
    <t>490-3113-1-ND</t>
  </si>
  <si>
    <t>GJM1555C1H100JB01D</t>
  </si>
  <si>
    <t>https://www.digikey.jp/product-detail/ja/murata-electronics-north-america/GJM1555C1H100JB01D/490-3113-1-ND/702379</t>
  </si>
  <si>
    <t>82nH シールドなし 巻線 インダクタ 550mA 500ミリオーム最大 0603（1608メートル法）</t>
  </si>
  <si>
    <t>https://www.digikey.jp/product-detail/ja/murata-electronics-north-america/LQW18AN82NG8ZD/490-15746-1-ND/6800411</t>
  </si>
  <si>
    <t>15nH シールドなし 多層 インダクタ 250mA 600ミリオーム最大 0402（1005メートル法）</t>
  </si>
  <si>
    <t>https://www.digikey.jp/product-detail/ja/johanson-technology-inc/L-07C15NJV6T/712-1408-1-ND/1840086</t>
  </si>
  <si>
    <t>12nH シールドなし 多層 インダクタ 250mA 500ミリオーム最大 0402（1005メートル法）</t>
  </si>
  <si>
    <t>https://www.digikey.jp/product-detail/ja/johanson-technology-inc/L-07C12NJV6T/712-1453-1-ND/1915232</t>
  </si>
  <si>
    <t>18nH シールドなし 多層 インダクタ 200mA 650ミリオーム最大 0402（1005メートル法）</t>
  </si>
  <si>
    <t>https://www.digikey.jp/products/ja?keywords=712-1409-1-ND</t>
  </si>
  <si>
    <t>7.5nH シールドなし 多層 インダクタ 250mA 400ミリオーム最大 0402（1005メートル法）</t>
  </si>
  <si>
    <t>712-1463-1-ND</t>
  </si>
  <si>
    <t>L-07C7N5JV6T</t>
  </si>
  <si>
    <t>https://www.digikey.jp/product-detail/ja/johanson-technology-inc/L-07C7N5JV6T/712-1463-1-ND/1915242</t>
  </si>
  <si>
    <t>4.3nH シールドなし 多層 インダクタ 300mA 240ミリオーム最大 0402（1005メートル法）</t>
  </si>
  <si>
    <t>https://www.digikey.jp/products/ja?keywords=712-1460-1-ND</t>
  </si>
  <si>
    <t>39nH シールドなし 巻線 インダクタ 1A 160ミリオーム最大 0603（1608メートル法）</t>
  </si>
  <si>
    <t>490-15684-1-ND</t>
  </si>
  <si>
    <t>LQW18AN39NG8ZD</t>
  </si>
  <si>
    <t>https://www.digikey.jp/products/ja?keywords=490-15684-1-ND</t>
  </si>
  <si>
    <t>LoRa Chip</t>
  </si>
  <si>
    <t>IC RF TxRxのみ 802.15.4 LoRa™ 137MHz～525MHz 28-VQFN露出パッド</t>
  </si>
  <si>
    <t>Semtech Corporation</t>
  </si>
  <si>
    <t>https://www.digikey.jp/products/ja?keywords=SX1278IMLTRTCT-ND</t>
  </si>
  <si>
    <t>RF sw</t>
  </si>
  <si>
    <t>RFスイッチIC 汎用 SPDT 3GHz 50オーム SC-70-6</t>
  </si>
  <si>
    <t>SOT-363</t>
  </si>
  <si>
    <t>https://www.digikey.jp/products/ja?keywords=1046-1011-1-ND</t>
  </si>
  <si>
    <t>RF connector</t>
  </si>
  <si>
    <t>U.FL（UMCC） コネクタ レセプタクル、オスピン 50オーム 面実装 はんだ</t>
  </si>
  <si>
    <t>Hirose Electric Co Ltd</t>
  </si>
  <si>
    <t>H9161-ND</t>
  </si>
  <si>
    <t>U.FL-R-SMT(01)</t>
  </si>
  <si>
    <t>https://www.digikey.jp/product-detail/ja/hirose-electric-co-ltd/U.FL-R-SMT-01/H9161-ND/513010</t>
  </si>
  <si>
    <t>RF cable</t>
  </si>
  <si>
    <t>同軸ケーブルアセンブリ U.FL（UMCC）～U.FL（UMCC） 雌～雌 0.81mm外径 同軸ケーブル 1.969インチ（50.00mm）</t>
  </si>
  <si>
    <t>H122285-ND</t>
  </si>
  <si>
    <t>U.FL-2LP-04K1T-AC-(50)</t>
  </si>
  <si>
    <t>uFL-uFL</t>
  </si>
  <si>
    <t>https://www.digikey.jp/product-detail/ja/hirose-electric-co-ltd/U.FL-2LP-04K1T-AC-50/H122285-ND/4867027</t>
  </si>
  <si>
    <t>LTC4361ITS8-2#TRMPBF</t>
  </si>
  <si>
    <t>ハンドヘルド/携帯デバイス PMIC TSOT-23-8</t>
  </si>
  <si>
    <t>LTC4361ITS8-2#TRMPBFCT-ND</t>
  </si>
  <si>
    <t>https://www.digikey.jp/product-detail/ja/linear-technology-analog-devices/LTC4361ITS8-2-TRMPBF/LTC4361ITS8-2-TRMPBFCT-ND/2351622</t>
  </si>
  <si>
    <t>NPN トランジスタ</t>
  </si>
  <si>
    <t>Pre-Biased Bipolar Transistor (BJT) NPN - プリバイアス 50V 100mA 250MHz 200mW 面実装 SMT3</t>
  </si>
  <si>
    <t>TO-236-3</t>
  </si>
  <si>
    <t>https://www.digikey.jp/products/ja?keywords=DTC144EKAT146CT-ND</t>
  </si>
  <si>
    <t>AVR MCU</t>
  </si>
  <si>
    <t>AVR AVR® ATmega マイクロコントローラ IC 8ビット 16MHz 32KB（16K x 16） フラッシュ 44-VQFN（7x7）</t>
  </si>
  <si>
    <t>44-VQFN</t>
  </si>
  <si>
    <t>https://www.digikey.jp/products/ja?keywords=ATMEGA32U4-MURCT-ND</t>
  </si>
  <si>
    <t>3.3V リニアレギュレータ</t>
  </si>
  <si>
    <t>Linear Voltage Regulator IC 正固定 1 Output  300mA SOT-23-5</t>
  </si>
  <si>
    <t>https://www.digikey.jp/products/ja?keywords=576-4764-1-ND</t>
  </si>
  <si>
    <t>Nch MOS-FET</t>
  </si>
  <si>
    <t>Nチャンネル 20V 10A（Ta） 1W（Ta） 面実装 UF6</t>
  </si>
  <si>
    <t>https://www.digikey.jp/products/ja?keywords=SSM6K411TU(TE85LFCT-ND</t>
  </si>
  <si>
    <t>32MHz 水晶発振子</t>
  </si>
  <si>
    <t>32MHz ±10ppm 水晶 10pF 40 Ohms 4-SMD、リードなし</t>
  </si>
  <si>
    <t>https://www.digikey.jp/products/ja?keywords=644-1065-1-ND</t>
  </si>
  <si>
    <t>AX8052F143 Development kit</t>
  </si>
  <si>
    <t>USB debug adapter and a pair of RF modules</t>
  </si>
  <si>
    <t>F143-MINI-2-GEVK-ND</t>
  </si>
  <si>
    <t>F143-MINI-2-GEVK</t>
  </si>
  <si>
    <t>SFWARD</t>
  </si>
  <si>
    <t>https://www.digikey.jp/product-detail/en/on-semiconductor/F143-MINI-2-GEVK/F143-MINI-2-GEVK-ND/5820233</t>
  </si>
  <si>
    <t>AX8052F143 Tranceiver IC</t>
  </si>
  <si>
    <t xml:space="preserve">IC RF TXRX+MCU </t>
  </si>
  <si>
    <t>AX8052F143-3-TX40OSCT-ND</t>
  </si>
  <si>
    <t>AX8052F143-3-TX40</t>
  </si>
  <si>
    <t>https://www.digikey.jp/product-detail/en/on-semiconductor/AX8052F143-3-TX40/AX8052F143-3-TX40OSCT-ND/9764848</t>
  </si>
  <si>
    <t>RFケーブル</t>
  </si>
  <si>
    <t>同軸ケーブルアセンブリ U.FL（UMCC）～U.FL（UMCC） 雌～雌 1.13mm外径 同軸ケーブル 7.874インチ（200.00mm）</t>
  </si>
  <si>
    <t>H122296-ND</t>
  </si>
  <si>
    <t>U.FL-2LP-068N1T-AC-(200)</t>
  </si>
  <si>
    <t>https://www.digikey.jp/product-detail/ja/hirose-electric-co-ltd/U.FL-2LP-068N1T-AC-200/H122296-ND/4867038</t>
  </si>
  <si>
    <t>Carton Box</t>
  </si>
  <si>
    <t>inner:220x160x100</t>
  </si>
  <si>
    <t>森紙業</t>
  </si>
  <si>
    <t>https://www.askul.co.jp/p/223811/</t>
  </si>
  <si>
    <t>同軸ケーブルアセンブリ U.FL (UMCC)～RP-SMA 雌～雄 RG-178 5.906インチ（150.00mm）</t>
  </si>
  <si>
    <t>1528-1929-ND</t>
  </si>
  <si>
    <t>uFL-SMA</t>
  </si>
  <si>
    <t>https://www.digikey.jp/products/ja?keywords=1528-1929-ND</t>
  </si>
  <si>
    <t>LoRa Board soldering</t>
  </si>
  <si>
    <t>BIRDS MB1, Only LoRa TX/RX</t>
  </si>
  <si>
    <t xml:space="preserve">Connector </t>
  </si>
  <si>
    <t>Connector housing PA 10POS 2MM White</t>
  </si>
  <si>
    <t>JST Salse</t>
  </si>
  <si>
    <t>455-1494-ND</t>
  </si>
  <si>
    <t>PAP-10V-S</t>
  </si>
  <si>
    <t>Female Socket</t>
  </si>
  <si>
    <t>BIRDS-5</t>
  </si>
  <si>
    <t>FAB</t>
  </si>
  <si>
    <t>https://www.digikey.jp/product-detail/ja/jst-sales-america-inc/PAP-10V-S/455-1494-ND/759982</t>
  </si>
  <si>
    <t>https://www.digikey.jp/product-detail/en/yageo/CC0805JRNPO9BN180/311-1102-1-ND/303012</t>
  </si>
  <si>
    <t>1µF ±5% 50V Ceramic Capacitor X7R 0805/2012</t>
  </si>
  <si>
    <t>311-3498-1-ND</t>
  </si>
  <si>
    <t>CC0805JKX7R9BB105</t>
  </si>
  <si>
    <t>https://www.digikey.jp/product-detail/en/yageo/CC0805JKX7R9BB105/311-3498-1-ND/7164519</t>
  </si>
  <si>
    <t>0.1µF ±5% 50V Ceramic Capacitor X7R 0805/2012</t>
  </si>
  <si>
    <t>478-7609-1-ND</t>
  </si>
  <si>
    <t>08055C104JAT4A</t>
  </si>
  <si>
    <t>https://www.digikey.jp/product-detail/en/avx-corporation/08055C104JAT4A/478-7609-1-ND/6797633</t>
  </si>
  <si>
    <t>100µF ±20% 6.3V Ceramic Capacitor X5R 0805/2012</t>
  </si>
  <si>
    <t>490-13981-1-ND</t>
  </si>
  <si>
    <t>GRM21BR60J107ME15L</t>
  </si>
  <si>
    <t>https://www.digikey.jp/product-detail/en/murata-electronics-north-america/GRM21BR60J107ME15L/490-13981-1-ND/6155811</t>
  </si>
  <si>
    <t>MMC5883MA</t>
  </si>
  <si>
    <t>0.5 mm Spacer</t>
  </si>
  <si>
    <t>Hirosugi-Keiki</t>
  </si>
  <si>
    <t>CC-0306-05</t>
  </si>
  <si>
    <t>http://hirosugi.co.jp/products/POM/CC.html</t>
  </si>
  <si>
    <t>0.8 mm Spacer</t>
  </si>
  <si>
    <t>CC-0306-08</t>
  </si>
  <si>
    <t>17.5 mm Spacer</t>
  </si>
  <si>
    <t>C-317.5</t>
  </si>
  <si>
    <t>5 mm Spacer</t>
  </si>
  <si>
    <t>C-305</t>
  </si>
  <si>
    <t>9 mm Spacer</t>
  </si>
  <si>
    <t>C-309</t>
  </si>
  <si>
    <t>for EM</t>
  </si>
  <si>
    <t>For STM and EM</t>
  </si>
  <si>
    <t>https://jp.misumi-ec.com/vona2/detail/221006493827/?PNSearch=SNSS-M2-4-SD&amp;HissuCode=SNSS-M2-4-SD&amp;searchFlow=suggest2products&amp;Keyword=SNSS-M2-4-SD</t>
  </si>
  <si>
    <t xml:space="preserve">for  was needed number of these screws for BIRDS4's STM, EM, 3 FMs and 1 FM back-up. Buying 50 instead of 38 is cheaper from the vendor. </t>
  </si>
  <si>
    <t>Aluminum Panel</t>
  </si>
  <si>
    <t>A5052, for the shielding</t>
  </si>
  <si>
    <t>PAAL-300-300-1</t>
  </si>
  <si>
    <t>https://jp.misumi-ec.com/vona2/detail/110300498770/?ProductCode=PAAL-300-300-1</t>
  </si>
  <si>
    <t>for STM and EM</t>
  </si>
  <si>
    <t>Astroberry</t>
  </si>
  <si>
    <t>OpenMV Cam H7</t>
  </si>
  <si>
    <t>OpenMV</t>
  </si>
  <si>
    <t>OpenMV-Cam-H7</t>
  </si>
  <si>
    <t>45mm x 36mm PCB</t>
  </si>
  <si>
    <t>$65</t>
  </si>
  <si>
    <t>$137.13 (w shipping)</t>
  </si>
  <si>
    <t>https://openmv.io/products/openmv-cam-h7</t>
  </si>
  <si>
    <t>Running ML Algorithm</t>
  </si>
  <si>
    <t>GPS patch antenna</t>
  </si>
  <si>
    <t>-X PANEL EM</t>
  </si>
  <si>
    <t xml:space="preserve">82.6 mm x100.7 mm     </t>
  </si>
  <si>
    <t xml:space="preserve">   P板.com</t>
  </si>
  <si>
    <t xml:space="preserve"> P板.com</t>
  </si>
  <si>
    <t>CAM MCU</t>
  </si>
  <si>
    <t>APSF/COM96 MCU</t>
  </si>
  <si>
    <t>PIC16F1788-I / SS-ND</t>
  </si>
  <si>
    <t>PIC16F1788-I / SS</t>
  </si>
  <si>
    <t>28-pin SSOP</t>
  </si>
  <si>
    <t>https://www.digikey.jp/product-detail/ja/microchip-technology/PIC16F1788-I-SS/PIC16F1788-I-SS-ND/4080108</t>
  </si>
  <si>
    <t>OV5642_Mini_Plus</t>
  </si>
  <si>
    <t>8 pin</t>
  </si>
  <si>
    <t>https://www.uctronics.com/mini-arducam-module-camera-shield-w-5-mp-ov5642-for-arduino-uno-mega2560-board.html</t>
  </si>
  <si>
    <t>362-294</t>
  </si>
  <si>
    <t>1SS301 (F)</t>
  </si>
  <si>
    <t>SOT23</t>
  </si>
  <si>
    <t>https://jp.rs-online.com/web/p/rectifier-diodes-schottky-diodes/0362294/?searchTerm=1SS301%28F%29%5C&amp;relevancy-data=636F3D3226696E3D4931384E4B6E6F776E41734D504E266C753D6A61266D6D3D6D61746368616C6C7061727469616C26706D3D5E5B5C707B4C7D5C707B4E647D2D2C2F255C2E5D2B242</t>
  </si>
  <si>
    <t>MAX3378EEUD + -ND</t>
  </si>
  <si>
    <t>GPS Patch Antenna</t>
  </si>
  <si>
    <t>Cirocomm Technology Corp.</t>
  </si>
  <si>
    <t>Ribbon cable</t>
  </si>
  <si>
    <t>732-11802-ND</t>
  </si>
  <si>
    <t>63911215521CAB</t>
  </si>
  <si>
    <t>https://www.digikey.jp/product-detail/ja/wurth-electronics-inc/63911215521CAB/732-11802-ND/8324552</t>
  </si>
  <si>
    <t>CONN HEADER. 050 "24 PS DL SMD AU</t>
  </si>
  <si>
    <t>SMD24</t>
  </si>
  <si>
    <t>https://www.digikey.jp/products/ja?keywords=s9012E-12-nd</t>
  </si>
  <si>
    <t>CONN HEADER VERT 5POS 2.54MM</t>
  </si>
  <si>
    <t xml:space="preserve">        952-2267-ND</t>
  </si>
  <si>
    <t>M20-9990545</t>
  </si>
  <si>
    <t>Programming board</t>
  </si>
  <si>
    <t>https://www.digikey.jp/products/ja?keywords=M20-9990545</t>
  </si>
  <si>
    <t>CONN HEADER VERT 6POS 2.54MM</t>
  </si>
  <si>
    <t>952-2120-ND</t>
  </si>
  <si>
    <t>M20-9980345</t>
  </si>
  <si>
    <t>https://www.digikey.jp/products/ja?keywords=M20-9980345</t>
  </si>
  <si>
    <t>CABLE ASSY 5.5X2.5MM M / F 3 '</t>
  </si>
  <si>
    <t>CP-2215-ND</t>
  </si>
  <si>
    <t>CA-2215</t>
  </si>
  <si>
    <t>EPS/Charging</t>
  </si>
  <si>
    <t>https://www.digikey.jp/product-detail/ja/tensility-international-corp/CA-2215/CP-2215-ND/1129478</t>
  </si>
  <si>
    <t xml:space="preserve">JST 14pin connector </t>
  </si>
  <si>
    <t>476-6899</t>
  </si>
  <si>
    <t>PAP-14V-S</t>
  </si>
  <si>
    <t>https://jp.rs-online.com/web/p/pcb-connector-housings/4766899/?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5041502D3134562D53267374613D5041502D3134562D5326&amp;searchHistory=%7B%22enabled%22%3Atrue%7D</t>
  </si>
  <si>
    <t>JST Terminal PH Series Female Crimp</t>
  </si>
  <si>
    <t>820-1456</t>
  </si>
  <si>
    <t>BPH-002T-P0.5S</t>
  </si>
  <si>
    <t>https://jp.rs-online.com/web/p/pcb-connector-contacts/8201456/</t>
  </si>
  <si>
    <t xml:space="preserve">BIRDS4 </t>
  </si>
  <si>
    <t>RESISTOR
RES SMD 1 OHM 1% 1.5W 1218</t>
  </si>
  <si>
    <t xml:space="preserve">
1 ohm
</t>
  </si>
  <si>
    <t>541-1.00ANCT-ND</t>
  </si>
  <si>
    <t>CRCW12181R00FKEKHP</t>
  </si>
  <si>
    <t>https://www.digikey.jp/product-detail/en/vishay-dale/CRCW12181R00FKEKHP/541-1.00ANCT-ND/5327099</t>
  </si>
  <si>
    <t>アマチュア無線電波利用料</t>
  </si>
  <si>
    <t>アマチュア無線</t>
  </si>
  <si>
    <t>総務省</t>
  </si>
  <si>
    <t>HR4/BIRDS</t>
  </si>
  <si>
    <t>クアラテック手袋</t>
  </si>
  <si>
    <t>Mサイズ　100枚入り</t>
  </si>
  <si>
    <t>8-4053-018-4053-02</t>
  </si>
  <si>
    <t>クリーンルーム</t>
  </si>
  <si>
    <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t>
  </si>
  <si>
    <t>Lサイズ　100枚入り</t>
  </si>
  <si>
    <t>8-4053-018-4053-01</t>
  </si>
  <si>
    <t>QSLカード</t>
  </si>
  <si>
    <t>はがき100枚＊3か国分</t>
  </si>
  <si>
    <t>ラクスル</t>
  </si>
  <si>
    <t>抵抗 50Ω　RF用</t>
  </si>
  <si>
    <t>50 Ohms ±0.1% 0.125W, 1/8W Chip Resistor 0603 (1608 Metric) RF, High Frequency Thin Film</t>
  </si>
  <si>
    <t>Vishay Thin Film</t>
  </si>
  <si>
    <t>FC0603-50BFCT-ND</t>
  </si>
  <si>
    <t>FC0603E50R0BTBST1</t>
  </si>
  <si>
    <t>https://www.digikey.jp/product-detail/en/vishay-thin-film/FC0603E50R0BTBST1/FC0603-50BFCT-ND/1769793?cur=JPY&amp;lang=en</t>
  </si>
  <si>
    <t>Dammy Load</t>
  </si>
  <si>
    <t>HYSOL 11C</t>
  </si>
  <si>
    <t>ロックタイト</t>
  </si>
  <si>
    <t>https://www.monotaro.com/g/02777510/?t.q=%92%E1%83A%83E%83g%83K%83X%81%40%90%DA%92%85%8D%DC</t>
  </si>
  <si>
    <t>LOCTITE高機能瞬間接着剤4212</t>
  </si>
  <si>
    <t>https://www.monotaro.com/g/01851958/?t.q=LOCTITE%204212</t>
  </si>
  <si>
    <t>EP001N</t>
  </si>
  <si>
    <t>https://www.monotaro.com/g/00183933/?t.q=EP001N</t>
  </si>
  <si>
    <t>ハイスーパー</t>
  </si>
  <si>
    <t>セメダイン</t>
  </si>
  <si>
    <t>https://jp.misumi-ec.com/vona2/detail/223004986408/?rid=rid3</t>
  </si>
  <si>
    <t>セメダインEP-007</t>
  </si>
  <si>
    <t>https://www.monotaro.com/g/00506988/?t.q=%83Z%83%81%83_%83C%83%93%81%40EP</t>
  </si>
  <si>
    <t>電子部品デギャップ</t>
  </si>
  <si>
    <t>デンケン</t>
  </si>
  <si>
    <t>3Dプリンタ</t>
  </si>
  <si>
    <t>220*220*250mm</t>
  </si>
  <si>
    <t>ALUNAR</t>
  </si>
  <si>
    <t>Ender-3</t>
  </si>
  <si>
    <t>kit</t>
  </si>
  <si>
    <t>https://www.amazon.co.jp/ALUNAR-M518%E3%80%90%E5%B7%A5%E5%A0%B4%E7%9B%B4%E8%B2%A9%E3%80%91DIY%E3%82%B3%E3%83%B3%E3%83%91%E3%82%AF%E3%83%88-%EF%BC%93%EF%BC%A4%E3%83%97%E3%83%AA%E3%83%B3%E3%82%BF%E3%83%BC%E3%82%AD%E3%83%83%E3%83%88-%E3%83%97%E3%83%AA%E3%83%B3%E3%83%88%E3%82%B5%E3%82%A4%E3%82%BA150-150mm-%E5%AD%90%E4%BE%9B%E3%83%97%E3%83%AC%E3%82%BC%E3%83%B3%E3%83%88%E5%90%91%E3%81%91/dp/B074KVZMQW/ref=sr_1_37?__mk_ja_JP=%E3%82%AB%E3%82%BF%E3%82%AB%E3%83%8A&amp;keywords=3D%E3%83%97%E3%83%AA%E3%83%B3%E3%82%BF&amp;qid=1560834519&amp;s=gateway&amp;sr=8-37&amp;th=1</t>
  </si>
  <si>
    <t>3Dプリンタフィラメント</t>
  </si>
  <si>
    <t>1kg white</t>
  </si>
  <si>
    <t>https://www.amazon.co.jp/ALUNAR-%E3%80%8CALUNAR%E3%80%8D3D%E3%83%97%E3%83%AA%E3%83%B3%E3%82%BF%E3%83%BC%E7%94%A8%E3%83%95%E3%82%A3%E3%83%A9%E3%83%A1%E3%83%B3%E3%83%88-PLA%E7%B4%A0%E6%9D%90-%E6%AD%A3%E5%91%B3%E9%87%8D%E3%81%951kg-%E7%9B%B4%E5%BE%841-75mm-%E7%B4%84340%E3%83%A1%E3%83%BC%E3%83%88%E3%83%AB-%E5%86%8D%E7%94%9F%E5%8F%AF%E8%83%BD%E3%81%AA%E5%88%86%E8%A7%A3%E6%80%A7%E3%83%97%E3%83%A9%E3%82%B9%E3%83%81%E3%83%83%E3%82%AF-%E3%83%9B%E3%83%AF%E3%82%A4%E3%83%88/dp/B01N5QV8UT/ref=pd_bxgy_328_img_2/355-8382177-2871263?_encoding=UTF8&amp;pd_rd_i=B01N5QV8UT&amp;pd_rd_r=bb4065ea-91a2-11e9-abcd-e3cbe212f482&amp;pd_rd_w=0Ev5f&amp;pd_rd_wg=7bKC9&amp;pf_rd_p=2d39d87c-5ff4-47a9-a2d0-79fb936a2d97&amp;pf_rd_r=KKWX93ZW5ER1ZYXG3RFS&amp;psc=1&amp;refRID=KKWX93ZW5ER1ZYXG3RFS</t>
  </si>
  <si>
    <t>3Dプリンタープラットフォームシート</t>
  </si>
  <si>
    <t>210mm*180mm</t>
  </si>
  <si>
    <t>3M</t>
  </si>
  <si>
    <t>https://www.amazon.co.jp/3M-3D%E3%83%97%E3%83%AA%E3%83%B3%E3%82%BF%E3%83%BC%E3%83%97%E3%83%A9%E3%83%83%E3%83%88%E3%83%95%E3%82%A9%E3%83%BC%E3%83%A0%E3%82%B7%E3%83%BC%E3%83%88-3%E6%9E%9A%E5%85%A5-PLA%E5%AF%BE%E5%BF%9C-3099AB/dp/B01M11XI4Y/ref=pd_bxgy_328_img_3/355-8382177-2871263?_encoding=UTF8&amp;pd_rd_i=B01M11XI4Y&amp;pd_rd_r=bb4065ea-91a2-11e9-abcd-e3cbe212f482&amp;pd_rd_w=0Ev5f&amp;pd_rd_wg=7bKC9&amp;pf_rd_p=2d39d87c-5ff4-47a9-a2d0-79fb936a2d97&amp;pf_rd_r=KKWX93ZW5ER1ZYXG3RFS&amp;psc=1&amp;refRID=KKWX93ZW5ER1ZYXG3RFS</t>
  </si>
  <si>
    <t>LEDプリンタ</t>
  </si>
  <si>
    <t>50.4 x 24.2 cm</t>
  </si>
  <si>
    <t>OKI</t>
  </si>
  <si>
    <t>アプライド</t>
  </si>
  <si>
    <t>C332DNW</t>
  </si>
  <si>
    <t>Schottky Diodes</t>
  </si>
  <si>
    <t>ON Semi</t>
  </si>
  <si>
    <t>BAT54</t>
  </si>
  <si>
    <t>BAT54E6327HTSA1CT-ND</t>
  </si>
  <si>
    <t>SOT-23-3</t>
  </si>
  <si>
    <t>MB</t>
  </si>
  <si>
    <t>HEADER PIN</t>
  </si>
  <si>
    <t>2.00 mm pitch SMT (1 row / second column) connection side 〼0.5Mm pin</t>
  </si>
  <si>
    <t>Miscellaneous</t>
  </si>
  <si>
    <t>Hexagon Socket Head Cap Screw (Stainless Steel)</t>
  </si>
  <si>
    <t>10 (1 bag)</t>
  </si>
  <si>
    <t>Hexagon Socket Head Cap Screw for Precision Instruments (Fine Screw)</t>
  </si>
  <si>
    <t>20 (2 bags)</t>
  </si>
  <si>
    <t>Hexagon socket head bolt</t>
  </si>
  <si>
    <t>30 (3 bags)</t>
  </si>
  <si>
    <t>SLBNR2</t>
  </si>
  <si>
    <t>Washer</t>
  </si>
  <si>
    <t>Round washer special size (stainless steel)</t>
  </si>
  <si>
    <t>50 (1 bag)</t>
  </si>
  <si>
    <t>Round Washer JIS Small</t>
  </si>
  <si>
    <t>WSJS-BR-M2</t>
  </si>
  <si>
    <t>Hysteresis damper</t>
  </si>
  <si>
    <t xml:space="preserve"> nickel iron alloys</t>
  </si>
  <si>
    <t>NEA</t>
  </si>
  <si>
    <t>HyMu 80 Round Bar</t>
  </si>
  <si>
    <t>Requesting for quote</t>
  </si>
  <si>
    <t>Aluminum case</t>
  </si>
  <si>
    <t>A3080-D</t>
  </si>
  <si>
    <t>1 pack</t>
  </si>
  <si>
    <t>https://www.monotaro.com/p/0120/3868/?t.q=%8A%DB%8C%5E%83X%83%80%81%5B%83X</t>
  </si>
  <si>
    <t>CAM MCU programmer</t>
  </si>
  <si>
    <t>Amazon JP</t>
  </si>
  <si>
    <t>Atmel AVR ISP MK2 MKII ATMEL AVR</t>
  </si>
  <si>
    <t>Pickit 3 programmer</t>
  </si>
  <si>
    <t>Pickit-3</t>
  </si>
  <si>
    <t>"2x3" static shield bag</t>
  </si>
  <si>
    <t>Electrostatic shield bag &lt;10 nJ Energy Shielding silver 2 inches (50.8 mm) x 3 inches (76.2 mm)</t>
  </si>
  <si>
    <t>SCP403-ND</t>
  </si>
  <si>
    <t>"10x14" static shield bag</t>
  </si>
  <si>
    <t>Electrostatic shield bag &lt;10 nJ Energy Shielding silver 10 inches (254 mm) x 14 inches (355.6 mm)</t>
  </si>
  <si>
    <t>SCP365-ND</t>
  </si>
  <si>
    <t>https://www.digikey.jp/product-detail/ja/scs/1001014/SCP365-ND/3430399</t>
  </si>
  <si>
    <t>Pelican case smaller</t>
  </si>
  <si>
    <t>Inner dimensions: 468×355×193</t>
  </si>
  <si>
    <t>Pelican case 1550</t>
  </si>
  <si>
    <t>Shipment packaging</t>
  </si>
  <si>
    <t>Pelican case bigger</t>
  </si>
  <si>
    <t>Inner dimensions: 544×419×200</t>
  </si>
  <si>
    <t>Pelican case 1600</t>
  </si>
  <si>
    <t>Pelican case 1600BK</t>
  </si>
  <si>
    <t>https://www.monotaro.com/p/4900/2983/?t.q=%83y%83%8A%83J%83%93%201600</t>
  </si>
  <si>
    <t>B4_BPB_EM2</t>
  </si>
  <si>
    <t>BIRDS-4 / 
Back Plane Board</t>
  </si>
  <si>
    <t>SMA-MMCS cable</t>
  </si>
  <si>
    <t>180mm</t>
  </si>
  <si>
    <t>同軸ケーブル.net</t>
  </si>
  <si>
    <t>SMA-MMCX</t>
  </si>
  <si>
    <t>http://coax-cable.net/</t>
  </si>
  <si>
    <t>CONN HEADER  (Male Pin)</t>
  </si>
  <si>
    <t xml:space="preserve">CONN HEADER VERT 14POS 2MM </t>
  </si>
  <si>
    <t>455-1844-ND</t>
  </si>
  <si>
    <t>B14B-PASK-1 (LF) (SN)</t>
  </si>
  <si>
    <t>bulk</t>
  </si>
  <si>
    <t>BIRD 2S</t>
  </si>
  <si>
    <t>Back plane board to Battery connection</t>
  </si>
  <si>
    <t>https://www.digikey.jp/product-detail/ja/jst-sales-america-inc/B14B-PASK-1-LF-SN/455-1844-ND/926750</t>
  </si>
  <si>
    <t>CONN HEADER VERT 10 POS 2MM</t>
  </si>
  <si>
    <t>455-1825-ND</t>
  </si>
  <si>
    <t>B10B-PASK(LF)(SN)</t>
  </si>
  <si>
    <t>FAB to Battery connector</t>
  </si>
  <si>
    <t>https://www.digikey.jp/product-detail/en/jst-sales-america-inc/B10B-PASK-LF-SN/455-1825-ND/926731</t>
  </si>
  <si>
    <t>CONN HEADER VERT 10POS 2MM(Iinside pin)</t>
  </si>
  <si>
    <t>455-1840-ND</t>
  </si>
  <si>
    <t>B10B-PASK-1 (LF) (SN)</t>
  </si>
  <si>
    <t>https://www.digikey.jp/product-detail/ja/jst-sales-america-inc/B10B-PASK-1-LF-SN/455-1840-ND/926746</t>
  </si>
  <si>
    <t>(alternative)</t>
  </si>
  <si>
    <t>Battery Welding</t>
  </si>
  <si>
    <t>NiMH eneloop (3 series in one set)</t>
  </si>
  <si>
    <t>Ao system eneRgy EXploration</t>
  </si>
  <si>
    <t>190626-1</t>
  </si>
  <si>
    <t>BAattery Pack(EPS)</t>
  </si>
  <si>
    <t>ステンレス板</t>
  </si>
  <si>
    <t>100mm * 100mm * 0.5mm</t>
  </si>
  <si>
    <t>岩田製作所</t>
  </si>
  <si>
    <t>TS100-100-05</t>
  </si>
  <si>
    <t>https://www.monotaro.com/g/00262524/?t.q=TS100-100-05</t>
  </si>
  <si>
    <t>Fishing String</t>
  </si>
  <si>
    <t>8, 37kg</t>
  </si>
  <si>
    <t>GOSEN</t>
  </si>
  <si>
    <t>タックルベリー</t>
  </si>
  <si>
    <t>IC609-0404-004</t>
  </si>
  <si>
    <t>64pin PIC検査用ソケット</t>
  </si>
  <si>
    <t>64pin, スルーホール変換コネクタ</t>
  </si>
  <si>
    <t>山一電機</t>
  </si>
  <si>
    <t>中村電気</t>
  </si>
  <si>
    <t>IC610-0644-006</t>
  </si>
  <si>
    <t>SEL Test</t>
  </si>
  <si>
    <t>40pin PIC検査用ソケット</t>
  </si>
  <si>
    <t>40pin, スルーホール変換コネクタ</t>
  </si>
  <si>
    <t>Hari / Juan Jo</t>
  </si>
  <si>
    <t>TDK MLCC 1μF 50V dc ± 10%</t>
  </si>
  <si>
    <t>903-8720</t>
  </si>
  <si>
    <t>CGA4J3X7R1H105K125AB</t>
  </si>
  <si>
    <t>CeNT</t>
  </si>
  <si>
    <t>Charger/Discharger V5</t>
  </si>
  <si>
    <t>https://jp.rs-online.com/web/p/mlccs-multilayer-ceramic-capacitors/9038720/</t>
  </si>
  <si>
    <t>Murata MLCC 10μF 25V dc ± 20%</t>
  </si>
  <si>
    <t>790-2723</t>
  </si>
  <si>
    <t>GRM188R61E106MA73D</t>
  </si>
  <si>
    <t>https://jp.rs-online.com/web/p/mlccs-multilayer-ceramic-capacitors/7902723/</t>
  </si>
  <si>
    <t>TDK MLCC 10μF 50V dc ± 10%</t>
  </si>
  <si>
    <t>915-5446</t>
  </si>
  <si>
    <t>CGA6P3X7S1H106K250AE</t>
  </si>
  <si>
    <t>C1210</t>
  </si>
  <si>
    <t>https://jp.rs-online.com/web/p/mlccs-multilayer-ceramic-capacitors/9155446/</t>
  </si>
  <si>
    <t>TDK MLCC 100nF 50V dc ± 10%</t>
  </si>
  <si>
    <t>915-9237</t>
  </si>
  <si>
    <t>https://jp.rs-online.com/web/p/mlccs-multilayer-ceramic-capacitors/9159237</t>
  </si>
  <si>
    <t>TDK MLCC 1nF 50V dc ± 10%</t>
  </si>
  <si>
    <t>915-9211</t>
  </si>
  <si>
    <t>C1608X7R1H102K080AE</t>
  </si>
  <si>
    <t>https://jp.rs-online.com/web/p/mlccs-multilayer-ceramic-capacitors/9159211</t>
  </si>
  <si>
    <t>Audio jack</t>
  </si>
  <si>
    <t>Lumberg phone jack (female) 3.5 mm through-hole stereo</t>
  </si>
  <si>
    <t>KLBR 4</t>
  </si>
  <si>
    <t>https://jp.rs-online.com/web/p/jack-plugs/5051479</t>
  </si>
  <si>
    <t>Pin header for JST board connection EH series 6 poles 2.5 mm single row straight</t>
  </si>
  <si>
    <t>B6B-EH-A (LF) (SN)</t>
  </si>
  <si>
    <t>https://jp.rs-online.com/web/p/pcb-headers/5151434</t>
  </si>
  <si>
    <t>Samtec Discrete Socket SQT Series 2mm 20 Pole 2 Row Through Hole SQT-110-01-FD-RA</t>
  </si>
  <si>
    <t>SAMTEC</t>
  </si>
  <si>
    <t>180-1847</t>
  </si>
  <si>
    <t>SQT-110-01-FD-RA</t>
  </si>
  <si>
    <t>https://jp.rs-online.com/web/p/pcb-sockets/1801847/</t>
  </si>
  <si>
    <t>Op-Amp</t>
  </si>
  <si>
    <t>IC OPAMP DIFF 1 CIRCUIT 8SOIC</t>
  </si>
  <si>
    <t>MAX4198ESA+-ND</t>
  </si>
  <si>
    <t>https://www.digikey.com/product-detail/en/maxim-integrated/MAX4198ESA/MAX4198ESA-ND/1702090</t>
  </si>
  <si>
    <t>Dual MOSFET Driver</t>
  </si>
  <si>
    <t>Microchip MOSFET Driver Dual 2A, 4.5-5.5V 8-Pin SOIC Inverted, Non-Inverted MCP14628-E / SN</t>
  </si>
  <si>
    <t>MCP14628-E / SN</t>
  </si>
  <si>
    <t>https://jp.rs-online.com/web/p/mosfet-drivers/6684219</t>
  </si>
  <si>
    <t>Common mode choke</t>
  </si>
  <si>
    <t>TDK common mode choke coil ACM 10 mΩ</t>
  </si>
  <si>
    <t>ACM9070-701-2PL-TL01</t>
  </si>
  <si>
    <t>https://jp.rs-online.com/web/p/emi-rfi-inductor-components/9164144/</t>
  </si>
  <si>
    <t>Relay</t>
  </si>
  <si>
    <t>TE Connectivity Latching Relay DPDT 5V dc</t>
  </si>
  <si>
    <t>680-3883P</t>
  </si>
  <si>
    <t>https://jp.rs-online.com/web/p/latching-relays/6803883P/</t>
  </si>
  <si>
    <t>Power Inductor</t>
  </si>
  <si>
    <t>Murata Power Solutions Wirewound Inductors (face mount), 68 μH, 9A, 27 x 19.5 x 20 mm</t>
  </si>
  <si>
    <t>https://jp.rs-online.com/web/p/wire-wound-surface-mount-inductors/7496405/</t>
  </si>
  <si>
    <t>N-Ch MOSFET SO-8 BWL 40 V 3.3 mohm @ 10 V-</t>
  </si>
  <si>
    <t>180-7965</t>
  </si>
  <si>
    <t>SI4154DY-T1-GE3</t>
  </si>
  <si>
    <t>https://jp.rs-online.com/web/p/mosfets/1807965/</t>
  </si>
  <si>
    <t>OptoCoupler</t>
  </si>
  <si>
    <t>Isocom Photocoupler AC input 1, 4-Pin through hole mounting</t>
  </si>
  <si>
    <t>Isocom</t>
  </si>
  <si>
    <t>161-1266</t>
  </si>
  <si>
    <t>PS2502-1X</t>
  </si>
  <si>
    <t>DIL04</t>
  </si>
  <si>
    <t>https://jp.rs-online.com/web/p/optocouplers/1611266/</t>
  </si>
  <si>
    <t>Power jack</t>
  </si>
  <si>
    <t>Switchcraft DC Power Socket 2mm 5A Through Hole 12 V dc 722RA</t>
  </si>
  <si>
    <t>722RA</t>
  </si>
  <si>
    <t>8-bit MCU</t>
  </si>
  <si>
    <t>Microchip Microcomputer PIC16F 8-bit RISC, 28-Pin SDPIP</t>
  </si>
  <si>
    <t>SPDIP-28</t>
  </si>
  <si>
    <t>https://jp.rs-online.com/web/p/microcontrollers/8032434</t>
  </si>
  <si>
    <t>Vishay thick film surface mount resistor, 0.1 W, 0 Ω, ± 1%</t>
  </si>
  <si>
    <t>678-9670</t>
  </si>
  <si>
    <t>CRCW06030000Z0EB</t>
  </si>
  <si>
    <t>R0603</t>
  </si>
  <si>
    <t>https://jp.rs-online.com/web/p/surface-mount-fixed-resistors/6789670/</t>
  </si>
  <si>
    <t>KOA Thick Film Surface Mount Resistors, 0.125 W, 200 Ω, ± 1%</t>
  </si>
  <si>
    <t>631-6222</t>
  </si>
  <si>
    <t>RK73H1JTTD2000F</t>
  </si>
  <si>
    <t>https://jp.rs-online.com/web/p/surface-mount-fixed-resistors/6316222/</t>
  </si>
  <si>
    <t>Regulator</t>
  </si>
  <si>
    <t>ON Semiconductor Positive Voltage 3-Terminal Regulator 5 V 1A Fixed Output Surface Mount D2PAK 3-Pin</t>
  </si>
  <si>
    <t>785-7428</t>
  </si>
  <si>
    <t>NCV7805BD2TG</t>
  </si>
  <si>
    <t>D2PAK-3</t>
  </si>
  <si>
    <t>https://jp.rs-online.com/web/p/linear-voltage-regulators/7857428</t>
  </si>
  <si>
    <t>Voltage reference</t>
  </si>
  <si>
    <t>Analog Devices Reference Voltage IC, Output: 5V Surface Mount, 8-pin SOIC</t>
  </si>
  <si>
    <t>https://jp.rs-online.com/web/p/voltage-references/5237011/</t>
  </si>
  <si>
    <t>FTDI chip</t>
  </si>
  <si>
    <t>FTDI Chip Interface Development Kit 5 V TTL 3.5 mm Jack USB-UART Cable</t>
  </si>
  <si>
    <t>Adaptor</t>
  </si>
  <si>
    <t>7.5V 24W AC/DC External Wall Mount Adapter Fixed Blade Input</t>
  </si>
  <si>
    <t>Ni-MH cell holder</t>
  </si>
  <si>
    <t>Bulgin PCB mounting battery holder, AA size X 1 BX0035 AA battery 1 PCB</t>
  </si>
  <si>
    <t>489-908</t>
  </si>
  <si>
    <t>CellSwitcher V6</t>
  </si>
  <si>
    <t>https://jp.rs-online.com/web/p/battery-holders-mounts/0489908/</t>
  </si>
  <si>
    <t>20 Positions Header Connector 0.079 "(2.00 mm) Through Hole, Right Angle Gold</t>
  </si>
  <si>
    <t>TMM-110-01-L-D-RA</t>
  </si>
  <si>
    <t>SAM10228-ND</t>
  </si>
  <si>
    <t>https://www.digikey.jp/product-detail/ja/samtec-inc/TMM-110-01-F-D-RA/TMM-110-01-F-D-RA-ND/2685424</t>
  </si>
  <si>
    <t>Fuse holder</t>
  </si>
  <si>
    <t>Schurter PCB mounting fuse holder 10A for 5 x 20 mm cartridge fuse 250V ac 0031.8201</t>
  </si>
  <si>
    <t>Schurter</t>
  </si>
  <si>
    <t>176-9047</t>
  </si>
  <si>
    <t>https://jp.rs-online.com/web/p/pcb-mounts/1769047/</t>
  </si>
  <si>
    <t>TE Connectivity Relay 5V dc, 2c contact PCB mounting type</t>
  </si>
  <si>
    <t>782-1261</t>
  </si>
  <si>
    <t>RTE24005F</t>
  </si>
  <si>
    <t>Muxer</t>
  </si>
  <si>
    <t>Analog Devices Single 4: 1 Multiplexer 3 V, 5 V, 10-Pin MSOP</t>
  </si>
  <si>
    <t>523-8761</t>
  </si>
  <si>
    <t>ADG704BRMZ</t>
  </si>
  <si>
    <t>https://jp.rs-online.com/web/p/multiplexer-switch-ics/5238761/</t>
  </si>
  <si>
    <t>TE Connectivity Thick Film Surface Mount Resistors, 0.1 W, 1 kΩ, ± 1%</t>
  </si>
  <si>
    <t>213-2266</t>
  </si>
  <si>
    <t>CRG0603F1K0</t>
  </si>
  <si>
    <t>https://jp.rs-online.com/web/p/surface-mount-fixed-resistors/2132266</t>
  </si>
  <si>
    <t>STMicroelectronics Temperature Sensor IC, ± 1.5 ° C, Analog, 2.4 to 5.5 V, 4-Pin UDFN Temperature</t>
  </si>
  <si>
    <t>686-4973</t>
  </si>
  <si>
    <t>STLM20DD9F</t>
  </si>
  <si>
    <t>UDFN-4L</t>
  </si>
  <si>
    <t>https://jp.rs-online.com/web/p/temperature-sensors-humidity-sensors/6864973/</t>
  </si>
  <si>
    <t>Fuses</t>
  </si>
  <si>
    <t>Littelfuse glass tube fuse 4A (time lag) 239 series 5x20mm 5 x 20mm 125V ac</t>
  </si>
  <si>
    <t>Charger_Discharger_PCB</t>
  </si>
  <si>
    <t>2 layer PCB with soldering</t>
  </si>
  <si>
    <t>cellswitcher_Li-Ion_PCB</t>
  </si>
  <si>
    <t>cellswitcher_Ni-MH_PCB</t>
  </si>
  <si>
    <t>Juan Jo</t>
  </si>
  <si>
    <t>RS PRO pin header 2 poles 2.54 mm single row straight</t>
  </si>
  <si>
    <t>251-8086</t>
  </si>
  <si>
    <t>BDC_Prototype_V2.1</t>
  </si>
  <si>
    <t>https://jp.rs-online.com/web/p/pcb-headers/2518086/</t>
  </si>
  <si>
    <t>KEMET Tantalum Capacitor, 25 V, 33 μF, ± 20%</t>
  </si>
  <si>
    <t>Murata MLCC 1nF 50V dc ± 1%</t>
  </si>
  <si>
    <t>723-5783</t>
  </si>
  <si>
    <t>GRM1885C1H102FA01D</t>
  </si>
  <si>
    <t>Murata MLCC 2.2μF 35V dc ± 10%</t>
  </si>
  <si>
    <t>https://jp.rs-online.com/web/p/mlccs-multilayer-ceramic-capacitors/8151358/</t>
  </si>
  <si>
    <t>TDK MLCC 22μF 10V dc ± 20%</t>
  </si>
  <si>
    <t>915-9114</t>
  </si>
  <si>
    <t>C1608X5R1A226M080AC</t>
  </si>
  <si>
    <t>https://jp.rs-online.com/web/p/mlccs-multilayer-ceramic-capacitors/9159114/</t>
  </si>
  <si>
    <t>KEMET MLCC 15pF 50V dc ± 5%</t>
  </si>
  <si>
    <t>147-421</t>
  </si>
  <si>
    <t>C0603C150J5GACTU</t>
  </si>
  <si>
    <t>https://jp.rs-online.com/web/p/mlccs-multilayer-ceramic-capacitors/0147421/</t>
  </si>
  <si>
    <t>KEMET MLCC 820pF 50V dc ± 5%</t>
  </si>
  <si>
    <t>801-5265</t>
  </si>
  <si>
    <t>C0603C821J5GACTU</t>
  </si>
  <si>
    <t>https://jp.rs-online.com/web/p/mlccs-multilayer-ceramic-capacitors/8015265/</t>
  </si>
  <si>
    <t>Vishay MLCC 56pF 100V dc ± 5%</t>
  </si>
  <si>
    <t>647-6835</t>
  </si>
  <si>
    <t>VJ0603A560JXBAC</t>
  </si>
  <si>
    <t>https://jp.rs-online.com/web/p/mlccs-multilayer-ceramic-capacitors/6476835/</t>
  </si>
  <si>
    <t>KEMET MLCC 330nF 16V dc ± 10%</t>
  </si>
  <si>
    <t>147-522</t>
  </si>
  <si>
    <t>C0603C334K4RACTU</t>
  </si>
  <si>
    <t>https://jp.rs-online.com/web/p/mlccs-multilayer-ceramic-capacitors/0147522/</t>
  </si>
  <si>
    <t>KEMET MLCC 47μF 16V dc ± 20%</t>
  </si>
  <si>
    <t>803-0065</t>
  </si>
  <si>
    <t>C1210C476M4 PACTU</t>
  </si>
  <si>
    <t>https://jp.rs-online.com/web/p/mlccs-multilayer-ceramic-capacitors/8030065/</t>
  </si>
  <si>
    <t>Vishay MLCC 22pF 100V dc ± 5%</t>
  </si>
  <si>
    <t>393-6716</t>
  </si>
  <si>
    <t>VJ0603A220JXBAC</t>
  </si>
  <si>
    <t>https://jp.rs-online.com/web/p/mlccs-multilayer-ceramic-capacitors/3936716/</t>
  </si>
  <si>
    <t>TDK Multilayer Ceramic Capacitor (MLCC) 680pF 50V dc ± 10%</t>
  </si>
  <si>
    <t>600-9249</t>
  </si>
  <si>
    <t>C1608JB1H681K</t>
  </si>
  <si>
    <t>https://jp.rs-online.com/web/p/mlccs-multilayer-ceramic-capacitors/6009249/</t>
  </si>
  <si>
    <t>KEMET MLCC 47pF 50V dc ± 5%</t>
  </si>
  <si>
    <t>264-4517</t>
  </si>
  <si>
    <t>C0603C470J5GACTU</t>
  </si>
  <si>
    <t>https://jp.rs-online.com/web/p/mlccs-multilayer-ceramic-capacitors/2644517/</t>
  </si>
  <si>
    <t>TDK MLCC 100pF 250V dc ± 5%</t>
  </si>
  <si>
    <t>904-0142</t>
  </si>
  <si>
    <t>CGA3E3C0G2E101J080AA</t>
  </si>
  <si>
    <t>https://jp.rs-online.com/web/p/mlccs-multilayer-ceramic-capacitors/9040142/</t>
  </si>
  <si>
    <t>Ideal diode controller</t>
  </si>
  <si>
    <t>Linear Technology Ideal Diode Controller LTC4352CMS # PBF</t>
  </si>
  <si>
    <t>906-3283</t>
  </si>
  <si>
    <t>LTC4352CMS # PBF</t>
  </si>
  <si>
    <t>MSOP12</t>
  </si>
  <si>
    <t>https://jp.rs-online.com/web/p/node_under_construction/9063283/</t>
  </si>
  <si>
    <t>TDK Wirewound Inductors (surface mount), 22 μH, 4.8 A, shielded, 12.5 x 12.1 x 5.5 mm</t>
  </si>
  <si>
    <t>792-3953</t>
  </si>
  <si>
    <t>CLF12555T-220M</t>
  </si>
  <si>
    <t>CLF12555</t>
  </si>
  <si>
    <t>https://jp.rs-online.com/web/p/wire-wound-surface-mount-inductors/7923953/</t>
  </si>
  <si>
    <t>TDK Wirewound Inductors (surface mount), 4.7 μH, 2.5 A, shielded, 4.4 x 4.1 x 2 mm</t>
  </si>
  <si>
    <t>123-3161</t>
  </si>
  <si>
    <t>SPM4020T-4R7M-LR</t>
  </si>
  <si>
    <t>SPM4020T</t>
  </si>
  <si>
    <t>https://jp.rs-online.com/web/p/wire-wound-surface-mount-inductors/1233161/</t>
  </si>
  <si>
    <t>Dual N-Channel MOSFET</t>
  </si>
  <si>
    <t>Vishay Dual N-Channel Power MOSFET 6.7 A, 7.4 A Surface Mount Package SOIC 8 Pin</t>
  </si>
  <si>
    <t>818-1306</t>
  </si>
  <si>
    <t>SI4914BDY-T1-GE3</t>
  </si>
  <si>
    <t>https://jp.rs-online.com/web/p/mosfets/8181306/</t>
  </si>
  <si>
    <t>Infineon N-Channel Power MOSFET 6.3 A Surface Mount Package SOT-23 3-Pin</t>
  </si>
  <si>
    <t>737-7228</t>
  </si>
  <si>
    <t>IRLML6244TRPBF</t>
  </si>
  <si>
    <t>https://jp.rs-online.com/web/p/mosfets/7377228/</t>
  </si>
  <si>
    <t>Banana jack red</t>
  </si>
  <si>
    <t>Sato Parts, Terminal, Polycarbonate (PC), Red</t>
  </si>
  <si>
    <t>Banana jack black</t>
  </si>
  <si>
    <t>Sato Parts, Terminal, Polycarbonate (PC), Black</t>
  </si>
  <si>
    <t>https://jp.rs-online.com/web/p/dc-power-sockets/7051516/</t>
  </si>
  <si>
    <t>Buck-boost converter</t>
  </si>
  <si>
    <t>Linear Technology Step-up / step-down DC-DC converter, output voltage (Min): 2.5 V adjustable TSSOP</t>
  </si>
  <si>
    <t>786-9916</t>
  </si>
  <si>
    <t>LTC3112EFE # PBF</t>
  </si>
  <si>
    <t>TSSOP20CA</t>
  </si>
  <si>
    <t>Microchip Microcomputer PIC16F 8-bit RISC, 28-Pin SSOP</t>
  </si>
  <si>
    <t>799-0290</t>
  </si>
  <si>
    <t>PIC16F1786-I / SS</t>
  </si>
  <si>
    <t>SSOP28</t>
  </si>
  <si>
    <t>HARWIN pin header M20 series 6 poles 2.54 mm single row straight</t>
  </si>
  <si>
    <t>681-2994</t>
  </si>
  <si>
    <t>M20-9990645</t>
  </si>
  <si>
    <t>https://jp.rs-online.com/web/p/pcb-headers/6812994/</t>
  </si>
  <si>
    <t>TE Connectivity Precision Thin Film Surface Mount Resistors, 0.063 W, 620 kΩ, ± 0.1%</t>
  </si>
  <si>
    <t>666-2266</t>
  </si>
  <si>
    <t>CPF0603B620KE</t>
  </si>
  <si>
    <t>https://jp.rs-online.com/web/p/surface-mount-fixed-resistors/6662266/</t>
  </si>
  <si>
    <t>TE Connectivity Precision Thin Film Surface Mount Resistors, 0.063 W, 200 kΩ, ± 0.1%</t>
  </si>
  <si>
    <t>666-2222</t>
  </si>
  <si>
    <t>CPF0603B200KE</t>
  </si>
  <si>
    <t>https://jp.rs-online.com/web/p/surface-mount-fixed-resistors/6662222/</t>
  </si>
  <si>
    <t>KOA Thick Film Surface Mount Resistors, 0.1 W, 9.1 kΩ, ± 1%</t>
  </si>
  <si>
    <t>631-6626</t>
  </si>
  <si>
    <t>RK73H1JTTD9101F</t>
  </si>
  <si>
    <t>https://jp.rs-online.com/web/p/surface-mount-fixed-resistors/6316626/</t>
  </si>
  <si>
    <t>KOA Thick Film Surface Mount Resistors, 0.1 W, 39 kΩ, ± 1%</t>
  </si>
  <si>
    <t>631-6777</t>
  </si>
  <si>
    <t>RK73H1JTTD3902F</t>
  </si>
  <si>
    <t>https://jp.rs-online.com/web/p/surface-mount-fixed-resistors/6316777/</t>
  </si>
  <si>
    <t>TE Connectivity Precision Thin Film Surface Mount Resistors, 0.063 W, 845 kΩ, ± 0.1%</t>
  </si>
  <si>
    <t>122-9649</t>
  </si>
  <si>
    <t>CPF0603B845KE1</t>
  </si>
  <si>
    <t>https://jp.rs-online.com/web/p/surface-mount-fixed-resistors/1229649/</t>
  </si>
  <si>
    <t>TE Connectivity Precision Thin Film Surface Mount Resistors, 0.063 W, 158 kΩ, ± 0.1%</t>
  </si>
  <si>
    <t>122-9007</t>
  </si>
  <si>
    <t>CPF0603B158KE1</t>
  </si>
  <si>
    <t>https://jp.rs-online.com/web/p/surface-mount-fixed-resistors/1229007/</t>
  </si>
  <si>
    <t>KOA Thick Film Surface Mount Resistors, 0.1 W, 10 kΩ, ± 1%</t>
  </si>
  <si>
    <t>631-6632</t>
  </si>
  <si>
    <t>RK73H1JTTD1002F</t>
  </si>
  <si>
    <t>https://jp.rs-online.com/web/p/surface-mount-fixed-resistors/6316632/</t>
  </si>
  <si>
    <t>TE Connectivity Precision Thin Film Surface Mount Resistors, 0.063 W, 42.2 kΩ, ± 0.1%</t>
  </si>
  <si>
    <t>122-8867</t>
  </si>
  <si>
    <t>CPF0603B42K2E1</t>
  </si>
  <si>
    <t>https://jp.rs-online.com/web/p/surface-mount-fixed-resistors/1228867/</t>
  </si>
  <si>
    <t>KOA Thick Film Surface Mount Resistors, 0.1 W, 33 kΩ, ± 1%</t>
  </si>
  <si>
    <t>631-6755</t>
  </si>
  <si>
    <t>RK73H1JTTD3302F</t>
  </si>
  <si>
    <t>https://jp.rs-online.com/web/p/surface-mount-fixed-resistors/6316755/</t>
  </si>
  <si>
    <t>BDC_Prototype_V2.1_PCB</t>
  </si>
  <si>
    <t>B4_SolarPanel_PCB_-Z_EM_HS</t>
  </si>
  <si>
    <t>96mmX96mm</t>
  </si>
  <si>
    <t>P-Ban</t>
  </si>
  <si>
    <t>BIRDS-4-EPS</t>
  </si>
  <si>
    <t>SVBL3rd floor</t>
  </si>
  <si>
    <t>小型薬品個</t>
  </si>
  <si>
    <t>515x380x880mm</t>
  </si>
  <si>
    <t>ケニス</t>
  </si>
  <si>
    <t>https://www.askul.co.jp/p/P688162/</t>
  </si>
  <si>
    <t>スチールユニットキャビネット</t>
  </si>
  <si>
    <t>800x400x380mm</t>
  </si>
  <si>
    <t>エムテックス</t>
  </si>
  <si>
    <t>Center 4th floor</t>
  </si>
  <si>
    <t>https://www.askul.co.jp/p/903137/</t>
  </si>
  <si>
    <t>100uF 6.3V</t>
  </si>
  <si>
    <t>https://www.digikey.jp/product-detail/ja/murata-electronics-north-america/GRM21BR60J107ME15L/490-13981-1-ND/6155811?cur=JPY&amp;lang=ja</t>
  </si>
  <si>
    <t xml:space="preserve">10 pin conector </t>
  </si>
  <si>
    <t>S9007E-05-ND</t>
  </si>
  <si>
    <t>LPPB052NFSP-RC</t>
  </si>
  <si>
    <t>https://www.digikey.jp/product-detail/ja/sullins-connector-solutions/LPPB052NFSP-RC/S9007E-05-ND/1786351?cur=JPY&amp;lang=ja</t>
  </si>
  <si>
    <t>47uF 6.3V</t>
  </si>
  <si>
    <t>490-13247-1-ND</t>
  </si>
  <si>
    <t>GRM188R60J476ME15D</t>
  </si>
  <si>
    <t>https://www.digikey.jp/product-detail/ja/murata-electronics-north-america/GRM188R60J476ME15D/490-13247-1-ND/5877455?cur=JPY&amp;lang=ja</t>
  </si>
  <si>
    <t xml:space="preserve">トランスプレビアスNPN </t>
  </si>
  <si>
    <t>ロームセミコンダクタ</t>
  </si>
  <si>
    <t>https://www.digikey.jp/product-detail/ja/rohm-semiconductor/DTC144EKAT146/DTC144EKAT146CT-ND/650727?cur=JPY&amp;lang=ja</t>
  </si>
  <si>
    <t>https://www.digikey.jp/product-detail/ja/tdk-corporation/C1608X8R1H104K080AB/445-8818-1-ND/3248223?cur=JPY&amp;lang=ja</t>
  </si>
  <si>
    <t>同軸ケーブル</t>
  </si>
  <si>
    <t>50 Ohms</t>
  </si>
  <si>
    <t>RF Solutions</t>
  </si>
  <si>
    <t>CBA-UFLSMA-1-ND</t>
  </si>
  <si>
    <t>CBA-UFLSMA-1</t>
  </si>
  <si>
    <t>HNT/GS</t>
  </si>
  <si>
    <t>https://www.digikey.jp/product-detail/ja/rf-solutions/CBA-UFLSMA-1/CBA-UFLSMA-1-ND/5845754</t>
  </si>
  <si>
    <t>ACX1251-ND</t>
  </si>
  <si>
    <t>https://www.digikey.jp/product-detail/ja/amphenol-rf-division/132360/ACX1251-ND/1011928</t>
  </si>
  <si>
    <t>中継コネクタ</t>
  </si>
  <si>
    <t>　COSMTEC RESOURCES CO., LTD</t>
  </si>
  <si>
    <t>C-08430</t>
  </si>
  <si>
    <t>S-006-18HP-TGG</t>
  </si>
  <si>
    <t>http://akizukidenshi.com/catalog/g/gC-08430/</t>
  </si>
  <si>
    <t>バナナプラグ（赤色）</t>
  </si>
  <si>
    <t>　マル信無線電機株式会社</t>
  </si>
  <si>
    <t>C-10116</t>
  </si>
  <si>
    <t>ＭＫ－６２１－０</t>
  </si>
  <si>
    <t>http://akizukidenshi.com/catalog/g/gC-10116/</t>
  </si>
  <si>
    <t>バナナプラグ（黒色）</t>
  </si>
  <si>
    <t>C-101167</t>
  </si>
  <si>
    <t>ＭＫ－６２１－１</t>
  </si>
  <si>
    <t>http://akizukidenshi.com/catalog/g/gC-10117/</t>
  </si>
  <si>
    <t>バラン</t>
  </si>
  <si>
    <t>1:1, 500mW</t>
  </si>
  <si>
    <t>1465-1311-1-ND</t>
  </si>
  <si>
    <t>MABACT0059</t>
  </si>
  <si>
    <t>https://www.digikey.jp/product-detail/ja/m-a-com-technology-solutions/MABACT0059/1465-1311-1-ND/4430008?cur=JPY&amp;lang=ja</t>
  </si>
  <si>
    <t>resistor</t>
  </si>
  <si>
    <t>1Ohm</t>
  </si>
  <si>
    <t>https://www.digikey.jp/product-detail/ja/vishay-dale/CRCW12181R00FKEKHP/541-1.00ANCT-ND/5327099?cur=JPY&amp;lang=ja</t>
  </si>
  <si>
    <t>SMAコネクタ</t>
  </si>
  <si>
    <t>Thermistor for Battery</t>
  </si>
  <si>
    <t>NTC Thermistor 10k Bead</t>
  </si>
  <si>
    <t>TE Connectivity Measurement Specialties</t>
  </si>
  <si>
    <t xml:space="preserve">223-1557-ND </t>
  </si>
  <si>
    <t>GAG10K3976B1</t>
  </si>
  <si>
    <t>https://www.digikey.jp/products/en?keywords=GAG10K3976b1</t>
  </si>
  <si>
    <t>CAP CER 1uf 50V  X7R 0805</t>
  </si>
  <si>
    <t>https://www.digikey.jp/products/en?keywords=1276-6470-1-ND</t>
  </si>
  <si>
    <t>Crimp(CONN SOCKET 22-26AWG CRIMP TIN)</t>
  </si>
  <si>
    <t>Socket Contact Tin 22-26 AWG Crimp</t>
  </si>
  <si>
    <t>455-1325-1-ND</t>
  </si>
  <si>
    <t>SPHD-001T-P0.5</t>
  </si>
  <si>
    <t>https://www.digikey.jp/product-detail/en/jst-sales-america-inc/SPHD-001T-P0.5/455-1325-1-ND/608808</t>
  </si>
  <si>
    <t>91pF ±1% 50V</t>
  </si>
  <si>
    <t>478-11383-1-ND</t>
  </si>
  <si>
    <t>06035U910FAT2A</t>
  </si>
  <si>
    <t xml:space="preserve">Antenna </t>
  </si>
  <si>
    <t>https://www.digikey.jp/product-detail/ja/avx-corporation/06035U910FAT2A/478-11383-1-ND/8019134?cur=JPY&amp;lang=ja</t>
  </si>
  <si>
    <t>480nH ±5%</t>
  </si>
  <si>
    <t>490-18183-1-ND</t>
  </si>
  <si>
    <t>LQW18CAR48J00D</t>
  </si>
  <si>
    <t>https://www.digikey.jp/product-detail/ja/murata-electronics-north-america/LQW18CAR48J00D/490-18183-1-ND/9742085?cur=JPY&amp;lang=ja</t>
  </si>
  <si>
    <t>Jumper Wire F to F</t>
  </si>
  <si>
    <t>Jumper Wire Female to Female 6.000" (152.40mm) 28 AWG</t>
  </si>
  <si>
    <t>1528-1961-ND</t>
  </si>
  <si>
    <t>Mission Boards</t>
  </si>
  <si>
    <t>https://www.digikey.jp/product-detail/en/adafruit-industries-llc/1950/1528-1961-ND/6827084</t>
  </si>
  <si>
    <t>Jumper Wire M to M</t>
  </si>
  <si>
    <t>Jumper Wire Male to Male 6.000" (152.40mm) 28 AWG</t>
  </si>
  <si>
    <t>1528-1967-ND</t>
  </si>
  <si>
    <t>https://www.digikey.jp/product-detail/en/adafruit-industries-llc/1957/1528-1967-ND/6827090</t>
  </si>
  <si>
    <t>Jumper Wire M to F</t>
  </si>
  <si>
    <t>Jumper Wire Male to Female 6.000" (152.40mm) 28 AWG</t>
  </si>
  <si>
    <t>1528-1964-ND</t>
  </si>
  <si>
    <t>https://www.digikey.jp/product-detail/en/adafruit-industries-llc/1954/1528-1964-ND/6827087</t>
  </si>
  <si>
    <t>Position Header</t>
  </si>
  <si>
    <t>20 Position Header Connector 0.050" (1.27mm) Through Hole Gold</t>
  </si>
  <si>
    <t>S9009E-10-ND</t>
  </si>
  <si>
    <t>LPPB102CFFN-RC</t>
  </si>
  <si>
    <t>https://www.digikey.jp/product-detail/en/sullins-connector-solutions/LPPB102CFFN-RC/S9009E-10-ND/1786381</t>
  </si>
  <si>
    <t>Antenna element</t>
  </si>
  <si>
    <t>0.3 * 3 * 10,000 mm</t>
  </si>
  <si>
    <t>SK85, Hv480-520</t>
  </si>
  <si>
    <t>http://www.onk-phnx.co.jp/</t>
  </si>
  <si>
    <t>EM and FM structures</t>
  </si>
  <si>
    <t>https://jp.misumi-ec.com/vona2/detail/221006493827/?ProductCode=SNSS-M2-4-SD</t>
  </si>
  <si>
    <t>EM structure only</t>
  </si>
  <si>
    <t>BIRDS-4 EM Structure</t>
  </si>
  <si>
    <t>BIRDS-4 EM Mainframe &amp; OBC/EPS board shield</t>
  </si>
  <si>
    <t>ほうき</t>
  </si>
  <si>
    <t>https://www.monotaro.com/g/00176853/?t.q=9182047</t>
  </si>
  <si>
    <t>ホワイトボード</t>
  </si>
  <si>
    <t>600×900(mm)</t>
  </si>
  <si>
    <t>SONIC</t>
  </si>
  <si>
    <t>MS-395</t>
  </si>
  <si>
    <t>https://www.monotaro.com/g/00401659/?t.mpn=40253071</t>
  </si>
  <si>
    <t>傘立て</t>
  </si>
  <si>
    <t>450×235×515(mm)</t>
  </si>
  <si>
    <t>YAMAZEN</t>
  </si>
  <si>
    <t>UMBS-L(BK)</t>
  </si>
  <si>
    <t>https://www.monotaro.com/g/03016338/?t.q=70567988</t>
  </si>
  <si>
    <t>床洗剤</t>
  </si>
  <si>
    <t>4L</t>
  </si>
  <si>
    <t>リンレイ</t>
  </si>
  <si>
    <t>https://www.monotaro.com/g/01231070/?t.q=11749675</t>
  </si>
  <si>
    <t>回転モップセット</t>
  </si>
  <si>
    <t>パール金属</t>
  </si>
  <si>
    <t>E-3519</t>
  </si>
  <si>
    <t>Student room, Birds room</t>
  </si>
  <si>
    <t>https://www.monotaro.com/g/01250063/?t.mpn=16716708</t>
  </si>
  <si>
    <t>回転モップ</t>
  </si>
  <si>
    <t>E-3513</t>
  </si>
  <si>
    <t>https://www.monotaro.com/g/01250064/?t.q=16716717</t>
  </si>
  <si>
    <t>コイル交換作業費</t>
  </si>
  <si>
    <t>BIRD4(UPD)</t>
  </si>
  <si>
    <t>Inductor for OBC, 3.3V filter</t>
  </si>
  <si>
    <t>相模通信</t>
  </si>
  <si>
    <t>OBC</t>
  </si>
  <si>
    <t>CAM &amp; OBC</t>
  </si>
  <si>
    <t>Carton box for BIRDS-2S shipment</t>
  </si>
  <si>
    <t>65x50x43 cm ext; 64.5x49.5x42.3cm int</t>
  </si>
  <si>
    <t>ボックスバンク ダンボール 160サイズ 5枚セット 中敷き板付（2つ折り配送）引っ越し 段ボール箱 FD02-0001</t>
  </si>
  <si>
    <t>Shipment</t>
  </si>
  <si>
    <t>BPB/ADCS</t>
  </si>
  <si>
    <t>Jumper Resistor</t>
  </si>
  <si>
    <t>0 Ohms Jumper 0.03W, 1/32W Chip Resistor 01005 (0402 Metric) Moisture Resistant Thick Film</t>
  </si>
  <si>
    <t>1276-3538-1-ND</t>
  </si>
  <si>
    <t>RC0402J000CS</t>
  </si>
  <si>
    <t>https://www.digikey.jp/product-detail/en/samsung-electro-mechanics/RC0402J000CS/1276-3538-1-ND/3966510?_ga=2.40119717.626115283.1563703700-33209779.1563703700</t>
  </si>
  <si>
    <t>STM32F4 MCU</t>
  </si>
  <si>
    <t>IC MCU 32BIT 2MB FLASH 100LQFP</t>
  </si>
  <si>
    <t>497-14052-ND</t>
  </si>
  <si>
    <t>STM32F429VIT6</t>
  </si>
  <si>
    <t>100LQFP</t>
  </si>
  <si>
    <t xml:space="preserve">CAMERA ICU </t>
  </si>
  <si>
    <t>https://www.digikey.jp/product-detail/en/stmicroelectronics/STM32F429VIT6/497-14052-ND/4357425</t>
  </si>
  <si>
    <t>Mouser</t>
  </si>
  <si>
    <t>ADG774ABRQZ</t>
  </si>
  <si>
    <t>Low cost camera</t>
  </si>
  <si>
    <t>Arducam-Mini Plus OV5642 camera modules (without soldering the header pin)</t>
  </si>
  <si>
    <t>CAM</t>
  </si>
  <si>
    <t>GPS Antenna</t>
  </si>
  <si>
    <t>Cirocom Technology</t>
  </si>
  <si>
    <t>PIC programmer</t>
  </si>
  <si>
    <t>Pickit3</t>
  </si>
  <si>
    <t>https://www.amazon.co.jp/%E3%82%B8%E3%82%A7%E3%83%8D%E3%83%AA%E3%83%83%E3%82%AF-PICkit3-KIT3-%E3%82%A8%E3%83%9F%E3%83%A5%E3%83%AC%E3%83%BC%E3%82%BF%E3%83%97%E3%83%AD%E3%82%B0%E3%83%A9%E3%83%9E%E3%83%BCPIC%E3%83%9E%E3%82%A4%E3%82%AF%E3%83%AD%E3%82%B3%E3%83%B3%E3%83%88%E3%83%AD%E3%83%BC%E3%83%A9%E3%83%87%E3%83%90%E3%83%83%E3%82%AC%E3%83%97%E3%83%AD%E3%82%B0%E3%83%A9%E3%83%9E/dp/B01K26W8FQ/ref=sr_1_3?__mk_ja_JP=%E3%82%AB%E3%82%BF%E3%82%AB%E3%83%8A&amp;crid=7J7ARC8LXQ3&amp;keywords=pickit3&amp;qid=1560233824&amp;s=gateway&amp;sprefix=pickit%2Caps%2C247&amp;sr=8-3</t>
  </si>
  <si>
    <t>収入印紙</t>
  </si>
  <si>
    <t>BIRDS-3 地上局検査料</t>
  </si>
  <si>
    <t>郵便局</t>
  </si>
  <si>
    <t>九総通へ送付</t>
  </si>
  <si>
    <t>安定化電源</t>
  </si>
  <si>
    <t>松定プレシジョン</t>
  </si>
  <si>
    <t>コテ先</t>
  </si>
  <si>
    <t>Weller</t>
  </si>
  <si>
    <t>LT GW</t>
  </si>
  <si>
    <t>QFP流しハンダ用</t>
  </si>
  <si>
    <t>https://www.monotaro.com/p/3148/5177/</t>
  </si>
  <si>
    <t>9V形 乾電池</t>
  </si>
  <si>
    <t>6LR61 9V</t>
  </si>
  <si>
    <t>9V形 アルカリ</t>
  </si>
  <si>
    <t>https://www.monotaro.com/g/00367556/?t.q=9v%20%8A%A3%93d%92r</t>
  </si>
  <si>
    <t>Custom dipole antenna</t>
  </si>
  <si>
    <t>Hoda Awny</t>
  </si>
  <si>
    <t>1 / 2λ simple dipole type</t>
  </si>
  <si>
    <t>NATEC</t>
  </si>
  <si>
    <t>ATD-467</t>
  </si>
  <si>
    <t>http://www.natec-j.com/oem/oem_dipole_single.htm?c=oem&amp;d=oemsemicustom</t>
  </si>
  <si>
    <t>JST 基板接続用ピンヘッダ 4極</t>
  </si>
  <si>
    <t>820-1589</t>
  </si>
  <si>
    <t>S4B-XH-A(LF)(SN)</t>
  </si>
  <si>
    <t>XHシリーズ 4極 2.5mm 1列</t>
  </si>
  <si>
    <t>Research(TID試験・SEL試験)</t>
  </si>
  <si>
    <t>https://jp.rs-online.com/web/p/pcb-headers/8201589/</t>
  </si>
  <si>
    <t>JST 基板接続用ピンヘッダ 3極</t>
  </si>
  <si>
    <t>820-1585</t>
  </si>
  <si>
    <t>S3B-XH-A(LF)(SN)</t>
  </si>
  <si>
    <t>XHシリーズ 3極 2.5mm 1列</t>
  </si>
  <si>
    <t>https://jp.rs-online.com/web/p/pcb-headers/8201585/</t>
  </si>
  <si>
    <t>JST コネクタハウジング 4極</t>
  </si>
  <si>
    <t>820-1618</t>
  </si>
  <si>
    <t>XHP-4</t>
  </si>
  <si>
    <t>4極 1列 2.5mm XHPシリーズ</t>
  </si>
  <si>
    <t>https://jp.rs-online.com/web/p/pcb-connector-housings/8201618/</t>
  </si>
  <si>
    <t>JST コネクタハウジング 3極</t>
  </si>
  <si>
    <t>820-1614</t>
  </si>
  <si>
    <t>XHP-3</t>
  </si>
  <si>
    <t>3極 1列 2.5mm XHPシリーズ</t>
  </si>
  <si>
    <t>https://jp.rs-online.com/web/p/pcb-connector-housings/8201614/</t>
  </si>
  <si>
    <t>JST メス 圧着端子</t>
  </si>
  <si>
    <t>820-1529</t>
  </si>
  <si>
    <t>BXH-001T-P0.6</t>
  </si>
  <si>
    <t>JST 端子 XHシリーズ メス 圧着</t>
  </si>
  <si>
    <t>https://jp.rs-online.com/web/p/pcb-connector-contacts/8201529/</t>
  </si>
  <si>
    <t>Package adaptor</t>
  </si>
  <si>
    <t>VQFP-64/LQFP-64/TQFP-64 TO DIP64</t>
  </si>
  <si>
    <t>‎PA0096‎-ND</t>
  </si>
  <si>
    <t>‎PA0096‎</t>
  </si>
  <si>
    <t>S&amp;F Research</t>
  </si>
  <si>
    <t>GRT</t>
  </si>
  <si>
    <t>https://www.digikey.jp/product-detail/ja/PA0096/PA0096-ND/5014723/?itemSeq=299163251</t>
  </si>
  <si>
    <t>Jumper wires</t>
  </si>
  <si>
    <t>JUMPER KIT VARIOUS 26AWG 65PCS</t>
  </si>
  <si>
    <t>Bud Industries</t>
  </si>
  <si>
    <t>‎377-2093-ND‎</t>
  </si>
  <si>
    <t>BC-32625‎</t>
  </si>
  <si>
    <t>https://www.digikey.jp/product-detail/ja/BC-32625/377-2093-ND/4156446/?itemSeq=299164026</t>
  </si>
  <si>
    <t>‎1568-1511-ND‎</t>
  </si>
  <si>
    <t>‎PRT-12794‎</t>
  </si>
  <si>
    <t>https://www.digikey.jp/product-detail/ja/PRT-12794/1568-1511-ND/5993859/?itemSeq=299164047</t>
  </si>
  <si>
    <t>AX5043 transceiver evaluation board</t>
  </si>
  <si>
    <t>ADD-ON KIT FOR DVK-2</t>
  </si>
  <si>
    <t>‎ADD5043-433-2-GEVK-ND‎</t>
  </si>
  <si>
    <t>‎ADD5043-433-2-GEVK‎</t>
  </si>
  <si>
    <t>https://www.digikey.jp/product-detail/ja/ADD5043-433-2-GEVK/ADD5043-433-2-GEVK-ND/5820228/?itemSeq=299304149</t>
  </si>
  <si>
    <t>PIC18F67J94 MCU</t>
  </si>
  <si>
    <t>IC MCU 8BIT 128KB FLASH 64TQFP</t>
  </si>
  <si>
    <t>PIC18F67J94-I / PT-ND</t>
  </si>
  <si>
    <t>PIC18F67J94-I / PT</t>
  </si>
  <si>
    <t>https://www.digikey.jp/product-detail/ja/microchip-technology/PIC18F67J94-I-PT/PIC18F67J94-I-PT-ND/3872481</t>
  </si>
  <si>
    <t>SDR platform</t>
  </si>
  <si>
    <t>USRP B200MINI-I (1X1, 70 MHZ - 6 GHZ) - ETTUS RESEARCH</t>
  </si>
  <si>
    <t>Ettus Research</t>
  </si>
  <si>
    <t>USRP B200mini-i</t>
  </si>
  <si>
    <t>https://www.ettus.com/all-products/usrp-b200mini-i-2/</t>
  </si>
  <si>
    <t>Coil insert</t>
  </si>
  <si>
    <t>https://jp.misumi-ec.com/vona2/detail/221000597545/?ProductCode=ES-M2-0.4-2D-SUS</t>
  </si>
  <si>
    <t>EM structure</t>
  </si>
  <si>
    <t>https://jp.misumi-ec.com/vona2/detail/221000237669/?ProductCode=SLHS-M2X8</t>
  </si>
  <si>
    <t>https://jp.misumi-ec.com/vona2/detail/221000348314/?ProductCode=SNSS-M1.6X5</t>
  </si>
  <si>
    <t>https://jp.misumi-ec.com/vona2/detail/221000349089/?ProductCode=SSHS-M2X6</t>
  </si>
  <si>
    <t>BD63282EFV-E2</t>
  </si>
  <si>
    <t>Corestaff</t>
  </si>
  <si>
    <t>HTSSOP</t>
  </si>
  <si>
    <t>https://www.zaikostore.com/zaikostore/stockDetail?stockDetail=1&amp;stockID=ST41060653</t>
  </si>
  <si>
    <t>MTD6505T-E/NA</t>
  </si>
  <si>
    <t xml:space="preserve"> 761-7201</t>
  </si>
  <si>
    <t>UQFN</t>
  </si>
  <si>
    <t>https://jp.rs-online.com/web/p/motor-driver-ics/7617201/</t>
  </si>
  <si>
    <t>DRV11873PWPR</t>
  </si>
  <si>
    <t>813-6444</t>
  </si>
  <si>
    <t>https://jp.rs-online.com/web/p/motor-driver-ics/8136444/</t>
  </si>
  <si>
    <t>ジャンパーワイヤ</t>
  </si>
  <si>
    <t>MIKROE-513</t>
  </si>
  <si>
    <t xml:space="preserve"> 791-6463</t>
  </si>
  <si>
    <t>https://jp.rs-online.com/web/p/breadboard-jumper-wire-kits/7916463/</t>
  </si>
  <si>
    <t>MIKROE-511</t>
  </si>
  <si>
    <t>791-6450</t>
  </si>
  <si>
    <t>https://jp.rs-online.com/web/p/breadboard-jumper-wire-kits/7916450/</t>
  </si>
  <si>
    <t>MIKROE-512</t>
  </si>
  <si>
    <t>791-6454</t>
  </si>
  <si>
    <t>https://jp.rs-online.com/web/p/breadboard-jumper-wire-kits/7916454/</t>
  </si>
  <si>
    <t>レギュレータ 3.3 V</t>
  </si>
  <si>
    <t>3.3 V 500mA 固定出力 表面実装 SOT-223</t>
  </si>
  <si>
    <t>661-6733</t>
  </si>
  <si>
    <t>UA78M33CDCY</t>
  </si>
  <si>
    <t>SOT-223</t>
  </si>
  <si>
    <t>https://jp.rs-online.com/web/p/linear-voltage-regulators/6616733/</t>
  </si>
  <si>
    <t>レギュレータ 5.0 V</t>
  </si>
  <si>
    <t>5 V 500mA 固定出力 表面実装 SOT-223</t>
  </si>
  <si>
    <t>661-6721</t>
  </si>
  <si>
    <t>UA78M05CDCY</t>
  </si>
  <si>
    <t>https://jp.rs-online.com/web/p/linear-voltage-regulators/6616721/</t>
  </si>
  <si>
    <t>10Ω抵抗</t>
  </si>
  <si>
    <t>10Ω 2W ±1%</t>
  </si>
  <si>
    <t>663-6970</t>
  </si>
  <si>
    <t>MOS2CT52A10R0F</t>
  </si>
  <si>
    <t>https://jp.rs-online.com/web/p/through-hole-fixed-resistors/6636970/</t>
  </si>
  <si>
    <t>PIC18Fマイコン</t>
  </si>
  <si>
    <t>https://jp.rs-online.com/web/p/microcontrollers/8233908/</t>
  </si>
  <si>
    <t>コンデンサ 1μF</t>
  </si>
  <si>
    <t>1μF 100V dc ±10%</t>
  </si>
  <si>
    <t>915-5263</t>
  </si>
  <si>
    <t>CGA4J3X7S2A105K125AE</t>
  </si>
  <si>
    <t>https://jp.rs-online.com/web/p/mlccs-multilayer-ceramic-capacitors/9155263/</t>
  </si>
  <si>
    <t>コンデンサ 100nF</t>
  </si>
  <si>
    <t>100nF 100V dc ±10%</t>
  </si>
  <si>
    <t>903-4699</t>
  </si>
  <si>
    <t>CGA4J2X7R2A104K125AA</t>
  </si>
  <si>
    <t>\</t>
  </si>
  <si>
    <t>https://jp.rs-online.com/web/p/mlccs-multilayer-ceramic-capacitors/9034699/</t>
  </si>
  <si>
    <t>JST 基板接続用ピンヘッダ 2極</t>
  </si>
  <si>
    <t>XHシリーズ 2極 2.5mm 1列 ライトアング</t>
  </si>
  <si>
    <t>820-1582</t>
  </si>
  <si>
    <t>S2B-XH-A(LF)(SN)</t>
  </si>
  <si>
    <t>2極 2.5mm</t>
  </si>
  <si>
    <t>https://jp.rs-online.com/web/p/pcb-headers/8201582/</t>
  </si>
  <si>
    <t>JST コネクタハウジング 2極</t>
  </si>
  <si>
    <t>2極 1列 2.5mm XHPシリーズ</t>
  </si>
  <si>
    <t>820-1611</t>
  </si>
  <si>
    <t>XHP-2</t>
  </si>
  <si>
    <t>https://jp.rs-online.com/web/p/pcb-connector-housings/8201611/</t>
  </si>
  <si>
    <t>IC FLASH 1G SPI 133MHZ 16SOP2</t>
  </si>
  <si>
    <t>557-1981-1-ND</t>
  </si>
  <si>
    <t>16SOP2</t>
  </si>
  <si>
    <t>https://www.digikey.jp/product-detail/ja/micron-technology-inc/MT25QL01GBBB8ESF-0SIT-TR/557-1981-1-ND/9673962</t>
  </si>
  <si>
    <t>PCBルーラー</t>
  </si>
  <si>
    <t>PCB LAYOUT REFERENCE RULER 12"</t>
  </si>
  <si>
    <t>PCB-RULER-ND</t>
  </si>
  <si>
    <t>PCB-RULER-12INCH</t>
  </si>
  <si>
    <t>https://www.digikey.jp/products/ja?keywords=PCBRUler</t>
  </si>
  <si>
    <t>LT6106HS5#TRMPBF</t>
  </si>
  <si>
    <t>TSOT23-5</t>
  </si>
  <si>
    <t>LT6106HS5#TRMPBFCT-ND</t>
  </si>
  <si>
    <t>https://www.digikey.jp/product-detail/ja/linear-technology-analog-devices/LT6106HS5-TRMPBF/LT6106HS5-TRMPBFCT-ND/1590294</t>
  </si>
  <si>
    <t>ピンソケット 1列</t>
  </si>
  <si>
    <t>分割ロングピンソケット １ｘ４２</t>
  </si>
  <si>
    <t>秋月</t>
  </si>
  <si>
    <t>C-05779</t>
  </si>
  <si>
    <t>FHU-1x42SG</t>
  </si>
  <si>
    <t>１ｘ４２</t>
  </si>
  <si>
    <t>http://akizukidenshi.com/catalog/g/gC-05779/</t>
  </si>
  <si>
    <t>ピンヘッダ(両ロング)1列</t>
  </si>
  <si>
    <t>ピンヘッダ １×４０</t>
  </si>
  <si>
    <t>C-09056</t>
  </si>
  <si>
    <t>PH-1x40SG(6.1/6.1)</t>
  </si>
  <si>
    <t>1×４０</t>
  </si>
  <si>
    <t>http://akizukidenshi.com/catalog/g/gC-09056/</t>
  </si>
  <si>
    <t>ターミナルブロック</t>
  </si>
  <si>
    <t>ターミナルブロック ２ピン（青）</t>
  </si>
  <si>
    <t>Alphaplus Connectors &amp; Cables Corp.</t>
  </si>
  <si>
    <t>P-01306</t>
  </si>
  <si>
    <t>TB111-2-2-U-1-1</t>
  </si>
  <si>
    <t>http://akizukidenshi.com/catalog/g/gP-01306/</t>
  </si>
  <si>
    <t>プラスチックスペーサー</t>
  </si>
  <si>
    <t>プラスチックナット＋連結（６角ジョイント）スペーサー（１０ｍｍ）</t>
  </si>
  <si>
    <t>OptoSupply</t>
  </si>
  <si>
    <t>P-01864</t>
  </si>
  <si>
    <t>http://akizukidenshi.com/catalog/g/gP-01864/</t>
  </si>
  <si>
    <t>インダクタ（コイル）</t>
  </si>
  <si>
    <t>トロイダルコイル ２００μＨ９Ａ</t>
  </si>
  <si>
    <t>Core Master Enterprise</t>
  </si>
  <si>
    <t>P-04080</t>
  </si>
  <si>
    <t>TCV-201K-9A-8026</t>
  </si>
  <si>
    <t>http://akizukidenshi.com/catalog/g/gP-04080/</t>
  </si>
  <si>
    <t>ユニバーサル基板</t>
  </si>
  <si>
    <t>両面スルーホール Ｃタイプ ７２ｘ４７ｍｍ</t>
  </si>
  <si>
    <t>株式会社矢島製作所</t>
  </si>
  <si>
    <t>P-07214</t>
  </si>
  <si>
    <t>AE-C3</t>
  </si>
  <si>
    <t>両面スルーホール Ｃタイプ</t>
  </si>
  <si>
    <t>http://akizukidenshi.com/catalog/g/gP-07214/</t>
  </si>
  <si>
    <t>ピンヘッダ(片ロング)1列</t>
  </si>
  <si>
    <t>ＳＯＴ２３変換基板 金フラッシュ</t>
  </si>
  <si>
    <t>株式会社秋月電子通商</t>
  </si>
  <si>
    <t>Wifiレンタル</t>
  </si>
  <si>
    <t>Wifiレンタルどっとこむ</t>
  </si>
  <si>
    <t>https://www.wifi-rental.com/</t>
  </si>
  <si>
    <t>MMCX-LP-1.5D 圧着 / SMA-P-1.5D 圧着 / RG-188 (白) - 200</t>
  </si>
  <si>
    <t>APRS</t>
  </si>
  <si>
    <t>http://www.coax-cable.net/</t>
  </si>
  <si>
    <t>同軸ケーブルアセンブリ U.FL（UMCC）～SMA 雌～雌 1.13mm外径 同軸ケーブル 11.000インチ（279.40mm）</t>
  </si>
  <si>
    <t>PulseLarsen Antennas</t>
  </si>
  <si>
    <t>1837-1035-ND</t>
  </si>
  <si>
    <t>W9011M</t>
  </si>
  <si>
    <t>https://www.digikey.jp/products/ja?keywords=1837-1035-ND</t>
  </si>
  <si>
    <t>Cable Assembly Coaxial SMA to SMA Male to Male RG-316 39.4" (1.0m) 3.3'</t>
  </si>
  <si>
    <t>ACX2410-ND</t>
  </si>
  <si>
    <t>135101-01-M1.00</t>
  </si>
  <si>
    <t>SMA-SMA</t>
  </si>
  <si>
    <t>COM/APRS</t>
  </si>
  <si>
    <t>https://www.digikey.jp/products/ja?keywords=ACX2410-ND</t>
  </si>
  <si>
    <t>GST Stand</t>
  </si>
  <si>
    <t>26kg, cement stand</t>
  </si>
  <si>
    <t>GST reaearch</t>
  </si>
  <si>
    <t>Student room 4F</t>
  </si>
  <si>
    <t>GST housing</t>
  </si>
  <si>
    <t>Fibox polycarbonate case, polycarbonate, 180 x 130 x 100mm gray</t>
  </si>
  <si>
    <t>Fibox</t>
  </si>
  <si>
    <t>Stock No.498-5129</t>
  </si>
  <si>
    <t>PCM 150/100 T enclosure</t>
  </si>
  <si>
    <t>https://jp.rs-online.com/web/p/general-purpose-enclosures/4985129/</t>
  </si>
  <si>
    <t>Pelican case 1450</t>
  </si>
  <si>
    <t>371 cm x 258  cm x 152 cm, 2.9 kg.</t>
  </si>
  <si>
    <t>Pelican</t>
  </si>
  <si>
    <t>1450BK</t>
  </si>
  <si>
    <t>Clean room, SVBL 3rd floor</t>
  </si>
  <si>
    <t>https://www.monotaro.com/p/4900/2493/?t.q=1450BK</t>
  </si>
  <si>
    <t>rechargable battery</t>
  </si>
  <si>
    <t>Nickel metal hydride battery(AA),1 .9AH,1.2V</t>
  </si>
  <si>
    <t>841-2408</t>
  </si>
  <si>
    <t>HHR-3MVE / 2BC</t>
  </si>
  <si>
    <t>SVBL 3rd</t>
  </si>
  <si>
    <t>https://jp.rs-online.com/web/p/aa-rechargeable-batteries/8412408/</t>
  </si>
  <si>
    <t>Interface Development Kit 5 V</t>
  </si>
  <si>
    <t>USB-UART cable 5 V TTL</t>
  </si>
  <si>
    <t>687-7770</t>
  </si>
  <si>
    <t>TTL-232R-5V</t>
  </si>
  <si>
    <t>https://jp.rs-online.com/web/p/interface-development-kits/6877770/</t>
  </si>
  <si>
    <t>connector</t>
  </si>
  <si>
    <t>Connector Header Surface Mount 6 position 0.050" (1.27mm)</t>
  </si>
  <si>
    <t>sullins connecto</t>
  </si>
  <si>
    <t>S9013E-03-ND</t>
  </si>
  <si>
    <t>GRPB032VWQP-RC</t>
  </si>
  <si>
    <t>https://www.digikey.jp/product-detail/en/sullins-connector-solutions/GRPB032VWQP-RC/S9013E-03-ND/1786426?_ga=2.63194863.1748285464.1566804865-552660735.1562494772</t>
  </si>
  <si>
    <t>PICKIT 4</t>
  </si>
  <si>
    <t>PROGRAMMER MCU PICKIT 4</t>
  </si>
  <si>
    <t>Microchip technology</t>
  </si>
  <si>
    <t>PG164140-ND</t>
  </si>
  <si>
    <t>PG164140</t>
  </si>
  <si>
    <t>Reserch</t>
  </si>
  <si>
    <t>https://www.digikey.jp/product-detail/ja/microchip-technology/PG164140/PG164140-ND/8536593</t>
  </si>
  <si>
    <t>Solder suction line CP series</t>
  </si>
  <si>
    <t>Solder absorption line CP series CP-3015 1.5m</t>
  </si>
  <si>
    <t>Taiyo electric Ind.</t>
  </si>
  <si>
    <t>167-756</t>
  </si>
  <si>
    <t>CP-3015</t>
  </si>
  <si>
    <t>Soldering</t>
  </si>
  <si>
    <t>https://jp.rs-online.com/web/p/desoldering-wicks-braids/0167756/</t>
  </si>
  <si>
    <t>Power Barrel Connector Plug</t>
  </si>
  <si>
    <t>AEP</t>
  </si>
  <si>
    <t>CONN PWR PLUG 2.1X5.5MM SOLDER</t>
  </si>
  <si>
    <t>MPD</t>
  </si>
  <si>
    <t>EP501A-ND</t>
  </si>
  <si>
    <t>EP501A</t>
  </si>
  <si>
    <t>https://www.digikey.jp/product-detail/ja/mpd-memory-protection-devices/EP501A/EP501A-ND/2439550</t>
  </si>
  <si>
    <t>Chip Resistor</t>
  </si>
  <si>
    <t>RES 10K OHM 1% 1 / 4W 0805</t>
  </si>
  <si>
    <t>Stackpole Electronics Inc</t>
  </si>
  <si>
    <t>RNCP0805FTD10K0CT-ND</t>
  </si>
  <si>
    <t>RNCP0805FTD10K0</t>
  </si>
  <si>
    <t>tray</t>
  </si>
  <si>
    <t>https://www.digikey.jp/product-detail/ja/stackpole-electronics-inc/RNCP0805FTD10K0/RNCP0805FTD10K0CT-ND/2240601</t>
  </si>
  <si>
    <t>DC / DC converter</t>
  </si>
  <si>
    <t>DC DC CONVERTER 0.69-5.5V</t>
  </si>
  <si>
    <t>296-20647-ND</t>
  </si>
  <si>
    <t>PTH08T230WAD</t>
  </si>
  <si>
    <t>https://www.digikey.jp/product-detail/ja/texas-instruments/PTH08T230WAD/296-20647-ND/1133653</t>
  </si>
  <si>
    <t>Coax Cable 50m</t>
  </si>
  <si>
    <t>原田精機</t>
  </si>
  <si>
    <t>Oyaide</t>
  </si>
  <si>
    <t>5~15mほど余裕あり</t>
  </si>
  <si>
    <t>BNC connector for 5D</t>
  </si>
  <si>
    <t>BNCP-5</t>
  </si>
  <si>
    <t>BNCP- 5（BNC型プラグ）</t>
  </si>
  <si>
    <t>https://oyaide.com/catalog/products/p-1634.html</t>
  </si>
  <si>
    <t>デギャップ部品の交換実装</t>
  </si>
  <si>
    <t>PIC３個・ADC2個の交換実装</t>
  </si>
  <si>
    <t>SEL試験</t>
  </si>
  <si>
    <t>PIC18評価ボード</t>
  </si>
  <si>
    <t>デギャップしたPIC18（２個）用評価ボード</t>
  </si>
  <si>
    <t>Terminal Node Controller</t>
  </si>
  <si>
    <t>Apiwat Jirawattanaphol</t>
  </si>
  <si>
    <t>1200-19200 kbps baud rate TNC</t>
  </si>
  <si>
    <t>Kantronics</t>
  </si>
  <si>
    <t>Hamradio.com</t>
  </si>
  <si>
    <t>KPC-9612+ 512K USB</t>
  </si>
  <si>
    <t>BIRDS GS network</t>
  </si>
  <si>
    <t>https://www.hamradio.com/invoice_int.cfm?oid=INTL-090319033745-4465&amp;email=p350945j@mail.kyutech.jp</t>
  </si>
  <si>
    <t>Postage stamps</t>
  </si>
  <si>
    <t>Stamps for QSL card</t>
  </si>
  <si>
    <t>Japan Post</t>
  </si>
  <si>
    <t>BIRDS outreach</t>
  </si>
  <si>
    <t>M12ボルト</t>
  </si>
  <si>
    <t>NRI</t>
  </si>
  <si>
    <t>M12 L35 材質：SCM</t>
  </si>
  <si>
    <t>https://jp.misumi-ec.com/vona2/detail/221000551286/?HissuCode=CSH-STD-M12-35&amp;PNSearch=CSH-STD-M12-35&amp;KWSearch=CSH-STD-M12-35&amp;searchFlow=results2products</t>
  </si>
  <si>
    <t>M12 L40 材質：SCM</t>
  </si>
  <si>
    <t>CSH-STD-M12-40</t>
  </si>
  <si>
    <t>https://jp.misumi-ec.com/vona2/detail/221000551286/?HissuCode=CSH-STD-M12-40&amp;PNSearch=CSH-STD-M12-40&amp;KWSearch=CSH-STD-M12-40&amp;searchFlow=results2products</t>
  </si>
  <si>
    <t>M12 L50 材質：SCM</t>
  </si>
  <si>
    <t>https://jp.misumi-ec.com/vona2/detail/221000551286/?HissuCode=CSH-STD-M12-50&amp;PNSearch=CSH-STD-M12-50&amp;KWSearch=CSH-STD-M12-50&amp;searchFlow=results2products</t>
  </si>
  <si>
    <t>M12 L55 材質：SCM</t>
  </si>
  <si>
    <t>https://jp.misumi-ec.com/vona2/detail/221000551286/?HissuCode=CSH-STD-M12-55&amp;PNSearch=CSH-STD-M12-55&amp;KWSearch=CSH-STD-M12-55&amp;searchFlow=results2products</t>
  </si>
  <si>
    <t>M12ワッシャ</t>
  </si>
  <si>
    <t>M12ワッシャ　材質：SUS304</t>
  </si>
  <si>
    <t>https://jp.misumi-ec.com/vona2/detail/221000552007/?CategorySpec=00000216944%3a%3aa%0900000216994%3a%3aa%0900000217003%3a%3amig00000002465376&amp;clkid=clkid_list_template</t>
  </si>
  <si>
    <t>440x440x35mm 材質:A2024</t>
  </si>
  <si>
    <t>A2024-K35-440-440-35</t>
  </si>
  <si>
    <t>https://jp.misumi-ec.com/vona2/mech_material/M1401000000/M1401020000/</t>
  </si>
  <si>
    <t>#10-32リコイル</t>
  </si>
  <si>
    <t>#10-32   D2</t>
  </si>
  <si>
    <t>リコイル</t>
  </si>
  <si>
    <t>https://jp.misumi-ec.com/vona2/detail/221000768141/?CategorySpec=00000217157%3a%3aa%0900000217158%3a%3ab%0900000217161%3a%3ad&amp;clkid=clkid_list_template</t>
  </si>
  <si>
    <t>M6リコイル</t>
  </si>
  <si>
    <t>M6  D2</t>
  </si>
  <si>
    <t>https://jp.misumi-ec.com/vona2/detail/221000768107/?CategorySpec=00000217157%3a%3aa%0900000217158%3a%3ab%0900000217161%3a%3aa&amp;clkid=clkid_list_template</t>
  </si>
  <si>
    <t>BIRDS-3 アマチュア局電波料</t>
  </si>
  <si>
    <t>衛星局　３局分</t>
  </si>
  <si>
    <t>GS team</t>
  </si>
  <si>
    <t>Reaction wheels for FM</t>
  </si>
  <si>
    <t>SD12E-A</t>
  </si>
  <si>
    <t>Optical Mini-Series Aluminium Breadboard</t>
  </si>
  <si>
    <t>Femi</t>
  </si>
  <si>
    <t>150mmX150mmX9,5mm, M4 &amp; M5 Taps</t>
  </si>
  <si>
    <t>ThorLabs</t>
  </si>
  <si>
    <t>MSB15/M</t>
  </si>
  <si>
    <t>Optical Communication Beam Steering Experiment</t>
  </si>
  <si>
    <t>Sorbothane Feet</t>
  </si>
  <si>
    <t>27.mm Diameter, 4pcs</t>
  </si>
  <si>
    <t>AV4/M</t>
  </si>
  <si>
    <t>Reinforced Polymer Breadboard Lifting Handles</t>
  </si>
  <si>
    <t>0.24Kgs</t>
  </si>
  <si>
    <t>BBH1</t>
  </si>
  <si>
    <t>Optics Tweezers</t>
  </si>
  <si>
    <t>0.01Kgs</t>
  </si>
  <si>
    <t>TZ2</t>
  </si>
  <si>
    <t>Optics Vacuum Pick-Up Tool</t>
  </si>
  <si>
    <t>0.03Kgs</t>
  </si>
  <si>
    <t>VP10C</t>
  </si>
  <si>
    <t>Solderless Breadboard-Classic</t>
  </si>
  <si>
    <t>Board wih Aluminium Plate</t>
  </si>
  <si>
    <t>Sparkfun</t>
  </si>
  <si>
    <t>PRT-00112</t>
  </si>
  <si>
    <t>Dovetail Optical Rail</t>
  </si>
  <si>
    <t>600mm, 0.04Kgs</t>
  </si>
  <si>
    <t>RLA600/M</t>
  </si>
  <si>
    <t>Swivel-Base Mini-Series Post Holder</t>
  </si>
  <si>
    <t>51mm Tall, M6 Slot</t>
  </si>
  <si>
    <t>MSL2</t>
  </si>
  <si>
    <t>Optical Post</t>
  </si>
  <si>
    <t>6mm Diameter, 75mm Tall</t>
  </si>
  <si>
    <t>MS3R/M</t>
  </si>
  <si>
    <t xml:space="preserve">Mini-Series Adapter </t>
  </si>
  <si>
    <t>M6 External Thread &amp; M3 Internal Thread</t>
  </si>
  <si>
    <t>MSA6/M</t>
  </si>
  <si>
    <t>Mini-Series Right-Angle Bracket</t>
  </si>
  <si>
    <t>M3 Holes</t>
  </si>
  <si>
    <t>MSAP90/M</t>
  </si>
  <si>
    <t>Dovetail Optical Rail Carrier</t>
  </si>
  <si>
    <t>50.8mm X 25.4mm, M6 Counterbore</t>
  </si>
  <si>
    <t>RC2/M</t>
  </si>
  <si>
    <t>Digital Caliper</t>
  </si>
  <si>
    <t>0.41Kgs</t>
  </si>
  <si>
    <t>DIGC6</t>
  </si>
  <si>
    <t>Optical Bench Circular Bullseye Level</t>
  </si>
  <si>
    <t>1.25inch</t>
  </si>
  <si>
    <t>LVL01</t>
  </si>
  <si>
    <t>Combination Square with Bubble Level and Scribe</t>
  </si>
  <si>
    <t>12 inch 0.37Kgs</t>
  </si>
  <si>
    <t>LVL02</t>
  </si>
  <si>
    <t>Post-Mountable Polystyrene Screen</t>
  </si>
  <si>
    <t>White</t>
  </si>
  <si>
    <t>EDU-VS1/M</t>
  </si>
  <si>
    <t>Post-Mountable Laser Diode Mount</t>
  </si>
  <si>
    <t>For 5.6mm diammeter case</t>
  </si>
  <si>
    <t>LM9F</t>
  </si>
  <si>
    <t>Metal Grounding Wrist Strap</t>
  </si>
  <si>
    <t>6inch Circumference, 6ft Coiled Cord</t>
  </si>
  <si>
    <t>WS01</t>
  </si>
  <si>
    <t>Fabric Grounding Wrist Strap</t>
  </si>
  <si>
    <t>Adjustable circumference</t>
  </si>
  <si>
    <t>WS02</t>
  </si>
  <si>
    <t>DFB Laser Diode with Aspheric Lens Cap</t>
  </si>
  <si>
    <t>1550nm, 5mW, 5.6mm Aperture</t>
  </si>
  <si>
    <t>L1550P5DFB</t>
  </si>
  <si>
    <t>SM1-Threaded Mount</t>
  </si>
  <si>
    <t xml:space="preserve">Suitable for T0-18,39 </t>
  </si>
  <si>
    <t>S1LEDM</t>
  </si>
  <si>
    <t>IC Amplifier</t>
  </si>
  <si>
    <t>IC AMP CLASS AB MONO 1W 8DIP</t>
  </si>
  <si>
    <t>LM386N-4/NOPB‎</t>
  </si>
  <si>
    <t>‎296-43960-5-ND‎</t>
  </si>
  <si>
    <t>ESD Protection and Strain Releif Cable</t>
  </si>
  <si>
    <t>Pin Codes F and G, 3.3V</t>
  </si>
  <si>
    <t>SR9F</t>
  </si>
  <si>
    <t>Adjustable Collimation Optic Tube</t>
  </si>
  <si>
    <t>1050-1700nm Coating. 5.6mm Aperture Diode</t>
  </si>
  <si>
    <t>LTN330-C</t>
  </si>
  <si>
    <t>Mounted InGaAs Photodiode</t>
  </si>
  <si>
    <t>900-1700nm, Cathode Grounded</t>
  </si>
  <si>
    <t>SM05PD4A</t>
  </si>
  <si>
    <t>Optics Lens Mount with Retaining Ring</t>
  </si>
  <si>
    <t>0.5inch diameter, M3 Tap</t>
  </si>
  <si>
    <t>MLH05/M</t>
  </si>
  <si>
    <t>SMA Cable</t>
  </si>
  <si>
    <t>SMA to SMA, 609mm</t>
  </si>
  <si>
    <t>CA2924</t>
  </si>
  <si>
    <t>Breadboard Power Supply</t>
  </si>
  <si>
    <t>5V/3.3V</t>
  </si>
  <si>
    <t>PRT-00114</t>
  </si>
  <si>
    <t>Board Break Away Headers</t>
  </si>
  <si>
    <t>Straight</t>
  </si>
  <si>
    <t>PRT-00116</t>
  </si>
  <si>
    <t>SMA Connector</t>
  </si>
  <si>
    <t>Board Mountable</t>
  </si>
  <si>
    <t>WRL-00593</t>
  </si>
  <si>
    <t>3.5mm</t>
  </si>
  <si>
    <t>PRT-08032</t>
  </si>
  <si>
    <t>Speaker</t>
  </si>
  <si>
    <t>0.5W, 8ohms</t>
  </si>
  <si>
    <t>COM-09151</t>
  </si>
  <si>
    <t>4N35 Optoisolator</t>
  </si>
  <si>
    <t>OPTOISO 5KV TRANS W/BASE 6DIP</t>
  </si>
  <si>
    <t>Vishay Semiconductor Opto Division</t>
  </si>
  <si>
    <t>4N35</t>
  </si>
  <si>
    <t>4N35-ND‎</t>
  </si>
  <si>
    <t>RF Link Receiver</t>
  </si>
  <si>
    <t>434MHz, 4800bps</t>
  </si>
  <si>
    <t>WRL-10532</t>
  </si>
  <si>
    <t>RF link Transmitter</t>
  </si>
  <si>
    <t>434MHz</t>
  </si>
  <si>
    <t>WRL-10534</t>
  </si>
  <si>
    <t>MPU-6050 Inertia Measurement Unit</t>
  </si>
  <si>
    <t>Tripple Axis Accelerometer and Gyro Brakeout</t>
  </si>
  <si>
    <t>SEN-11028</t>
  </si>
  <si>
    <t>Arduino Mega 2560 R3</t>
  </si>
  <si>
    <t>R3</t>
  </si>
  <si>
    <t>DEV-11061</t>
  </si>
  <si>
    <t>Audio Plug</t>
  </si>
  <si>
    <t>COM-11143</t>
  </si>
  <si>
    <t>Arduino Stackabe Header Kit</t>
  </si>
  <si>
    <t>PRT-11417</t>
  </si>
  <si>
    <t>MEMS Mounting Board for S12237</t>
  </si>
  <si>
    <t>With four pin connector</t>
  </si>
  <si>
    <t>Hamamatsu</t>
  </si>
  <si>
    <t>A14110</t>
  </si>
  <si>
    <t>Resistor Bending Tool</t>
  </si>
  <si>
    <t>TOL-13114</t>
  </si>
  <si>
    <t>MyoWare ProtoShield Board</t>
  </si>
  <si>
    <t>For mounting IMU</t>
  </si>
  <si>
    <t>DEV-13819</t>
  </si>
  <si>
    <t>ProtoShield PCB Boards</t>
  </si>
  <si>
    <t>For External Circuit Assembly</t>
  </si>
  <si>
    <t>DEV-13820</t>
  </si>
  <si>
    <t>Audio Cable</t>
  </si>
  <si>
    <t>3ft</t>
  </si>
  <si>
    <t>CAB-14164</t>
  </si>
  <si>
    <t>Adapter Power Supply</t>
  </si>
  <si>
    <t>9VDC, 650mA, Barrel Jack</t>
  </si>
  <si>
    <t>TOL-15314</t>
  </si>
  <si>
    <t>Hamamatsu S12237-03P MEMS Mirror</t>
  </si>
  <si>
    <t>18degrees Optical Deflection Angle</t>
  </si>
  <si>
    <t>S12237-03P</t>
  </si>
  <si>
    <t>Bird4 FM FAB, OBC</t>
  </si>
  <si>
    <t>BIRDS bus FAB, OBC</t>
  </si>
  <si>
    <t>1U CubeSat Board</t>
  </si>
  <si>
    <t>OBC/EPS</t>
  </si>
  <si>
    <t>工業用内視鏡　カメラ部</t>
  </si>
  <si>
    <t>HKT-3.5J</t>
  </si>
  <si>
    <t>SPI エンジニアリング</t>
  </si>
  <si>
    <t>GS/Testing</t>
  </si>
  <si>
    <t>既存内視鏡のカメラ部故障のため</t>
  </si>
  <si>
    <t>Bird4 FM UHFTRX</t>
  </si>
  <si>
    <t>BIRDS bus COM</t>
  </si>
  <si>
    <t>Addnics</t>
  </si>
  <si>
    <t>Arducam 5MP Mini Module Camera Shield</t>
  </si>
  <si>
    <t>MSN BRD 2 FM</t>
  </si>
  <si>
    <t>445-12606-1-ND</t>
  </si>
  <si>
    <t>CGA3E3X8R1H104K080AB</t>
  </si>
  <si>
    <t>https://www.digikey.jp/product-detail/en/tdk-corporation/CGA3E3X8R1H104K080AB/445-12606-1-ND/3954272</t>
  </si>
  <si>
    <t>445-12387-1-ND</t>
  </si>
  <si>
    <t>CGA3E2NP01H100D080AA</t>
  </si>
  <si>
    <t>https://www.digikey.jp/product-detail/en/tdk-corporation/CGA3E2NP01H100D080AA/445-12387-1-ND/3954053</t>
  </si>
  <si>
    <t>2200pF ±10% 50V Ceramic Capacitor X8R 0603/1608</t>
  </si>
  <si>
    <t>445-173782-1-ND</t>
  </si>
  <si>
    <t>C1608X8R1H222K080AE</t>
  </si>
  <si>
    <t>https://www.digikey.jp/product-detail/en/tdk-corporation/C1608X8R1H222K080AE/445-173782-1-ND/5809853</t>
  </si>
  <si>
    <t>Connector Header Through Hole 40 position</t>
  </si>
  <si>
    <t>Connector Header Through Hole 40 position 0.100" (2.54mm)</t>
  </si>
  <si>
    <t>732-5334-ND</t>
  </si>
  <si>
    <t>https://www.digikey.jp/products/en?keywords=732-5334-ND</t>
  </si>
  <si>
    <t>Connector Header Through Hole Right Angle 40 position</t>
  </si>
  <si>
    <t>Connector Header Through Hole Right Angle 40 position 0.100" (2.54mm)</t>
  </si>
  <si>
    <t>732-5350-ND</t>
  </si>
  <si>
    <t>https://www.digikey.jp/products/en?keywords=732-5350-ND</t>
  </si>
  <si>
    <t>Surface Mount
 4-SMD, No Lead</t>
  </si>
  <si>
    <t>ARM® Cortex®-M4 STM32F4 Microcontroller IC 32-Bit 180MHz 2MB (2M x 8) FLASH 100-LQFP (14x14)</t>
  </si>
  <si>
    <t>https://www.digikey.jp/products/en?keywords=497-14052-ND%09</t>
  </si>
  <si>
    <t>IC Multiplexer</t>
  </si>
  <si>
    <t>4 Circuit IC Switch Mux/Demux 2:1 2.2Ohm (Typ) 16-QSOP</t>
  </si>
  <si>
    <t>ADG774BRQZ-ND</t>
  </si>
  <si>
    <t>https://www.digikey.jp/product-detail/en/analog-devices-inc/ADG774BRQZ/ADG774BRQZ-ND/997645</t>
  </si>
  <si>
    <t>https://www.digikey.jp/products/en?keywords=LTC4361IDC-2%20%23%20TRMPBFCT-ND</t>
  </si>
  <si>
    <t>2.2µH Shielded Multilayer Inductor 600mA 208mOhm 0805/2012</t>
  </si>
  <si>
    <t>445-174988-1-ND</t>
  </si>
  <si>
    <t>KLZ2012MHR2R2HTD25</t>
  </si>
  <si>
    <t>https://www.digikey.jp/products/en?keywords=445-174988-1-ND</t>
  </si>
  <si>
    <t>47µH Shielded Multilayer Inductor 170mA 3.7Ohm 0805/2012</t>
  </si>
  <si>
    <t>445-6400-1-ND</t>
  </si>
  <si>
    <t>MLZ2012M470WT000</t>
  </si>
  <si>
    <t>https://www.digikey.jp/products/en?keywords=445-6400-1-ND%09</t>
  </si>
  <si>
    <t>10 kOhms 0.25W, 1/4W J Lead Surface Mount Trimmer Potentiometer</t>
  </si>
  <si>
    <t>490-2644-1-ND</t>
  </si>
  <si>
    <t>PVG3A103C01R00</t>
  </si>
  <si>
    <t>https://www.digikey.jp/product-detail/en/bourns-inc/PVG3A103C01R00/490-2644-1-ND/666220</t>
  </si>
  <si>
    <t>25 mOhms ±1% 0.25W, 1/4W Chip Resistor 0603/1608</t>
  </si>
  <si>
    <t>KOA Speer Electronics, Inc.</t>
  </si>
  <si>
    <t>2019-UR73D1JTTD25L0FDKR-ND</t>
  </si>
  <si>
    <t>UR73D1JTTD25L0F</t>
  </si>
  <si>
    <t>https://www.digikey.jp/product-detail/en/koa-speer-electronics-inc/UR73D1JTTD25L0F/2019-UR73D1JTTD25L0FDKR-ND/9849763</t>
  </si>
  <si>
    <t>Raspberry Pi Evaluation Board</t>
  </si>
  <si>
    <t>BCM2837B0 Raspberry Pi 3 Model B +-ARM® Cortex®-A53, VideoCore MPU Embedded Evaluation Board</t>
  </si>
  <si>
    <t>1690-1025-ND</t>
  </si>
  <si>
    <t>RASPBERRY PI 3 MODEL B +</t>
  </si>
  <si>
    <t>SF-WARD GRT</t>
  </si>
  <si>
    <t>https://www.digikey.jp/products/ja/development-boards-kits-programmers/evaluation-boards-embedded-mcu-dsp/786?k=raspberry+pi&amp;k=&amp;pkeyword=raspberry+pi&amp;sv=0&amp;pv1742=726&amp;sf=0&amp;FV=ffe00312&amp;quantity=&amp;ColumnSort=0&amp;page=1&amp;pageSize=25</t>
  </si>
  <si>
    <t>1µF ± 10% 16V Ceramic Capacitor X7R 0805/2012</t>
  </si>
  <si>
    <t>Surface Mount
 0805/2012M</t>
  </si>
  <si>
    <t>EPS FM</t>
  </si>
  <si>
    <t>https://jp.rs-online.com/web/p/mlccs-multilayer-ceramic-capacitors/4515770/</t>
  </si>
  <si>
    <t>Temperature Sensor Analog, Local -50°C ~ 150°C 5.5mV/°C SC-70</t>
  </si>
  <si>
    <t>Schottky Diode</t>
  </si>
  <si>
    <t>Diode Schottky 20V 1A Surface Mount SOD-123FL</t>
  </si>
  <si>
    <t>Toyo al echobaking round cup</t>
  </si>
  <si>
    <t>6 cm, capacity 50 depth 33 mm inner diameter 54 mm , material AL</t>
  </si>
  <si>
    <t>Toyo aluminum Echo</t>
  </si>
  <si>
    <t>A4060-D</t>
  </si>
  <si>
    <t>https://www.monotaro.com/p/0120/3938/?t.q=%83A%83%8B%83%7E%83J%83b%83v</t>
  </si>
  <si>
    <t>Deployment switch</t>
  </si>
  <si>
    <t>SWITCH SNAP ACTION SPDT 7A 250V</t>
  </si>
  <si>
    <t>SW817-ND</t>
  </si>
  <si>
    <t>SPDT</t>
  </si>
  <si>
    <t>Socket Contact Crimp</t>
  </si>
  <si>
    <t>MMCX-LP-1.5D 圧着 / SMA-P-1.5D 圧着 / 1.5D-2W - 200</t>
  </si>
  <si>
    <t>http://www.coax-cable.net/custom/</t>
  </si>
  <si>
    <t>FTM-100DH</t>
  </si>
  <si>
    <t>returned</t>
  </si>
  <si>
    <t>144/430 MHz DUAL BAND TRANSCEIVER</t>
  </si>
  <si>
    <t>yaesu</t>
  </si>
  <si>
    <t>FTM-100DR</t>
  </si>
  <si>
    <t>https://www.amazon.co.jp/FTM-100DH-%E5%85%AB%E9%87%8D%E6%B4%B2%E7%84%A1%E7%B7%9A-430MHz%E3%83%87%E3%83%A5%E3%82%A2%E3%83%AB%E3%83%90%E3%83%B3%E3%83%89-%E3%83%88%E3%83%A9%E3%83%B3%E3%82%B7%E3%83%BC%E3%83%90%E3%83%BC-50W%E3%83%90%E3%83%BC%E3%82%B8%E3%83%A7%E3%83%B3/dp/B00YWT7JZY/ref=sr_1_3?__mk_ja_JP=%E3%82%AB%E3%82%BF%E3%82%AB%E3%83%8A&amp;keywords=FTM-100D&amp;qid=1568362306&amp;s=gateway&amp;sr=8-3</t>
  </si>
  <si>
    <t>Blackclip 5A</t>
  </si>
  <si>
    <t>Hirschmann 930 317-800 Dolphin Clip 5A, red</t>
  </si>
  <si>
    <t>hirschmann Test</t>
  </si>
  <si>
    <t>405-461</t>
  </si>
  <si>
    <t>930 317-800</t>
  </si>
  <si>
    <t>Research (charger/discharger)</t>
  </si>
  <si>
    <t>SVBL 2nd</t>
  </si>
  <si>
    <t>https://jp.rs-online.com/web/p/crocodile-clips/0405461/?relevancy-data</t>
  </si>
  <si>
    <t>cable red</t>
  </si>
  <si>
    <t>16 AWG FA1.25SQ-RED-10M 10m / reel, red</t>
  </si>
  <si>
    <t>Data star electric</t>
  </si>
  <si>
    <t>473-7740</t>
  </si>
  <si>
    <t>FA1.25SQ-RED-10M</t>
  </si>
  <si>
    <t>https://jp.rs-online.com/web/p/test-lead-wire/4737740/</t>
  </si>
  <si>
    <t>cable black</t>
  </si>
  <si>
    <t>17 AWG FA1.25SQ-RED-10M 10m / reel, black</t>
  </si>
  <si>
    <t>473-7784</t>
  </si>
  <si>
    <t>FA1.25SQ-BLACK-10M</t>
  </si>
  <si>
    <t>https://jp.rs-online.com/web/p/test-lead-wire/4737784/</t>
  </si>
  <si>
    <t>Rechargable battery</t>
  </si>
  <si>
    <t>Li ion 18650B MH12210 3350mAh, 3.7V, 6.8A</t>
  </si>
  <si>
    <t>18650B</t>
  </si>
  <si>
    <t>Test at charger /discharger</t>
  </si>
  <si>
    <t>https://www.amazon.co.jp/【中央電子通商】panasonic-パナソニック-NCR18650B-3400mAh-プラケース、データー表付属/dp/B07F9TGLTX/ref=pd_sbs_200_1/358-5716605-3835123?_encoding=UTF8&amp;pd_rd_i=B07F9TGLTX&amp;pd_rd_r=16d02905-2828-4715-bea1-4c128f267e97&amp;pd_rd_w=gkhTj&amp;pd_rd_wg=jSeQL&amp;pf_rd_p=ad2ea29d-ea11-483c-9db2-6b5875bb9b73&amp;pf_rd_r=FFXGENPM0FG0X6K8N9GF&amp;psc=1&amp;refRID=FFXGENPM0FG0X6K8N9GF</t>
  </si>
  <si>
    <t>Stand off (spacer)</t>
  </si>
  <si>
    <t>length 15mm, material brass,brass M3 x 15mm</t>
  </si>
  <si>
    <t>606-692</t>
  </si>
  <si>
    <t>https://jp.rs-online.com/web/p/standoffs/0606692/</t>
  </si>
  <si>
    <t>RS Pro Hex Nut M3 Steel</t>
  </si>
  <si>
    <t>nuts are 6-side nuts,DIN 934</t>
  </si>
  <si>
    <t>560-293</t>
  </si>
  <si>
    <t>https://jp.rs-online.com/web/p/hex-nuts/0560293/</t>
  </si>
  <si>
    <t>red clip 5A</t>
  </si>
  <si>
    <t>Hirschmann 930 317-801 Dolphin Clip 5A, red</t>
  </si>
  <si>
    <t>405-455</t>
  </si>
  <si>
    <t>930-317-801</t>
  </si>
  <si>
    <t>https://jp.rs-online.com/web/p/crocodile-clips/0405455/</t>
  </si>
  <si>
    <t>ada</t>
  </si>
  <si>
    <t>UPD(BRIDS4)</t>
  </si>
  <si>
    <t>CONN SMA JACK R / A 50 OHM SMD</t>
  </si>
  <si>
    <t>Cinch Connectivity Solutions</t>
  </si>
  <si>
    <t>SVBL 3F, cleanroom</t>
  </si>
  <si>
    <t>MMCX Connector, Right Angle</t>
  </si>
  <si>
    <t>CONN MMCX RCPT R / A 50 OHM SMD</t>
  </si>
  <si>
    <t>CONMMCX002-SMD-ND</t>
  </si>
  <si>
    <t>CONMMCX002-SMD</t>
  </si>
  <si>
    <t>https://www.digikey.jp/products/ja?keywords=CONMMCX002-SMD</t>
  </si>
  <si>
    <t>Balun for VHF</t>
  </si>
  <si>
    <t>BALUN 4.5MHZ-3GHZ 1: 1 6SMD FLAT</t>
  </si>
  <si>
    <t>https://www.digikey.jp/product-detail/ja/m-a-com-technology-solutions/MABACT0059/1465-1311-1-ND/4430008</t>
  </si>
  <si>
    <t>Balun for UHF</t>
  </si>
  <si>
    <t>1:1.5 LTCC Transformer, 400 - 2300 MHz, 50Ω</t>
  </si>
  <si>
    <t>Minicircuits</t>
  </si>
  <si>
    <t>BIRDS-2S (and BIRDS-4)</t>
  </si>
  <si>
    <t>BIRDS-2S antenna board ver2 fabrication</t>
  </si>
  <si>
    <t>4 layer, FR4, 82.6 mm x 100.7 mm x 1.6 mm</t>
  </si>
  <si>
    <t>https://www.p-ban.com/</t>
  </si>
  <si>
    <t>Connector header 2POS 2mm</t>
  </si>
  <si>
    <t>Surface mount</t>
  </si>
  <si>
    <t>BPB FM</t>
  </si>
  <si>
    <t>https://www.digikey.jp/product-detail/en/molex/0554600272/WM8301CT-ND/1632945</t>
  </si>
  <si>
    <t>Pin Connector, 50 pin</t>
  </si>
  <si>
    <t>50 Position Receptacle Connector 0.079" (2.00mm)</t>
  </si>
  <si>
    <t>https://www.digikey.jp/products/en?keywords=H10903-ND%09</t>
  </si>
  <si>
    <t>Pin header, 12 pin straight</t>
  </si>
  <si>
    <t>PSS-210204 -00 12-Pin header (pin) PCB mounting hole diameter 0.8 0.8 (H = 2)</t>
  </si>
  <si>
    <t>PSS-210204 -12</t>
  </si>
  <si>
    <t>https://www.monotaro.com/p/2634/4578/?t.q=PSR-210154-00</t>
  </si>
  <si>
    <t>Pin Header, 50 pin</t>
  </si>
  <si>
    <t>Dサブ 9pinメス</t>
  </si>
  <si>
    <t>D-subコネクタAmphenol,メス, 9極</t>
  </si>
  <si>
    <t>691-8777</t>
  </si>
  <si>
    <t>L77SDE09S</t>
  </si>
  <si>
    <t>https://jp.rs-online.com/web/p/solder-d-sub-connectors/6918777/</t>
  </si>
  <si>
    <t>Dサブ 9pin オス</t>
  </si>
  <si>
    <t>D-subコネクタAmphenol,オス, 9極</t>
  </si>
  <si>
    <t>691-8752</t>
  </si>
  <si>
    <t>L717SDE09P</t>
  </si>
  <si>
    <t>https://jp.rs-online.com/web/p/solder-d-sub-connectors/6918752/</t>
  </si>
  <si>
    <t>トランジスタ</t>
  </si>
  <si>
    <t>ロームNPN抵抗内蔵トランジスタ, 100 mA, 47 kΩ, 3-Pin SMT</t>
  </si>
  <si>
    <t>ローム</t>
  </si>
  <si>
    <t>246-1738</t>
  </si>
  <si>
    <t>https://jp.rs-online.com/web/p/digital-transistors/2461738/</t>
  </si>
  <si>
    <t>過電流保護IC</t>
  </si>
  <si>
    <t>LTC4361IDC-1#TRMPBFCT-ND</t>
  </si>
  <si>
    <t>Nチャンネル20V 10A（Ta）1W（Ta）面実装UF6</t>
  </si>
  <si>
    <t>FLASH - NOR メモリIC 1Gb（128M x 8）SPI 133MHz16-SO</t>
  </si>
  <si>
    <t>オシレーター</t>
  </si>
  <si>
    <t>発振器-発振器IC 10kHz～1MHz TSOT-23-6</t>
  </si>
  <si>
    <t>LTC6906HS6#TRMPBFCT-ND</t>
  </si>
  <si>
    <t>LTC6906HS6#TRMPBF</t>
  </si>
  <si>
    <t>https://www.digikey.jp/product-detail/ja/linear-technology-analog-devices/LTC6906HS6-TRMPBF/LTC6906HS6-TRMPBFCT-ND/3830450</t>
  </si>
  <si>
    <t>12 Bit Analog to Digital Converter 8 Input 1 SAR 16-SOIC</t>
  </si>
  <si>
    <t>AD7888ARZ-REEL7CT-ND</t>
  </si>
  <si>
    <t>AD7888ARZ-REEL7</t>
  </si>
  <si>
    <t>IC LOAD SWITCH</t>
  </si>
  <si>
    <t>Power Switch/Driver 1：1 Pチャンネル40mA SC-70-5</t>
  </si>
  <si>
    <t>296-25217-1-ND</t>
  </si>
  <si>
    <t>TPS22941DCKR</t>
  </si>
  <si>
    <t>https://www.digikey.jp/product-detail/ja/texas-instruments/TPS22941DCKR/296-25217-1-ND/2172704</t>
  </si>
  <si>
    <t>10µF セラミックコンデンサ</t>
  </si>
  <si>
    <t>10µF ±10% 10V セラミックコンデンサX5R 0805（2012メートル法）</t>
  </si>
  <si>
    <t>399-4925-1-ND</t>
  </si>
  <si>
    <t>C0805C106K8PACTU</t>
  </si>
  <si>
    <t>https://www.digikey.jp/product-detail/ja/kemet/C0805C106K8PACTU/399-4925-1-ND/1090920</t>
  </si>
  <si>
    <t>IC オペアンプ</t>
  </si>
  <si>
    <t>汎用アンプ1回路レールツーレールSOT-23-5</t>
  </si>
  <si>
    <t>MCP601T-I/OTCT-ND</t>
  </si>
  <si>
    <t>MCP601T-I/OT</t>
  </si>
  <si>
    <t>https://www.digikey.jp/product-detail/ja/microchip-technology/MCP601T-I-OT/MCP601T-I-OTCT-ND/418616</t>
  </si>
  <si>
    <t>MOSFETアレイ2 Nチャンネル（デュアル）20V 840mA（Tc）1.5W面実装SC-70-6</t>
  </si>
  <si>
    <t>https://www.digikey.jp/product-detail/ja/vishay-siliconix/SQ1922EEH-T1_GE3/SQ1922EEH-T1_GE3CT-ND/7622831</t>
  </si>
  <si>
    <t>電流検知アンプ</t>
  </si>
  <si>
    <t>電流検知アンプ1回路レールツーレールSOT-23-6</t>
  </si>
  <si>
    <t>https://www.digikey.jp/product-detail/ja/texas-instruments/INA181A1IDBVR/296-47656-1-ND/8133025</t>
  </si>
  <si>
    <t>50mΩ</t>
  </si>
  <si>
    <t>50 mOhms ±5% 0.25W、1/4Wチップ抵抗0805（2012メートル法）電流検知薄膜</t>
  </si>
  <si>
    <t>CAP ALUM 100UF 20% 25V RADIAL</t>
  </si>
  <si>
    <t>EEU-FC1E101S</t>
  </si>
  <si>
    <t>P10269-ND</t>
  </si>
  <si>
    <t>CAP ALUM 10UF 20% 25V RADIAL</t>
  </si>
  <si>
    <t>‎ECA-1EM100‎</t>
  </si>
  <si>
    <t>‎P5148-ND‎</t>
  </si>
  <si>
    <t>CAP CER 0.05UF 500V Z5U RADIAL</t>
  </si>
  <si>
    <t>Vishay BC Components</t>
  </si>
  <si>
    <t>‎S503Z69Z5UL63L0R‎</t>
  </si>
  <si>
    <t>BC5192-ND‎</t>
  </si>
  <si>
    <t>CAP ALUM 220UF 20% 35V RADIAL</t>
  </si>
  <si>
    <t>EEU-FM1V221L‎</t>
  </si>
  <si>
    <t>P12412-ND‎</t>
  </si>
  <si>
    <t>POT 10K OHM 1/4W PLASTIC LINEAR</t>
  </si>
  <si>
    <t>3310P-025-103L‎</t>
  </si>
  <si>
    <t>‎3310P-025-103L-ND‎</t>
  </si>
  <si>
    <t>POT 220 OHM LINEAR</t>
  </si>
  <si>
    <t>Amphenol Piher Sensing Systems</t>
  </si>
  <si>
    <t>1993-1118-ND‎</t>
  </si>
  <si>
    <t>‎PT10LV10-221A2020-S‎</t>
  </si>
  <si>
    <t>Trimmer</t>
  </si>
  <si>
    <t>TRIMMER 100 OHM 0.2W PC PIN TOP</t>
  </si>
  <si>
    <t>‎3306F-101-ND‎</t>
  </si>
  <si>
    <t>‎3306F-1-101‎</t>
  </si>
  <si>
    <t>RES 330 OHM 1/4W 5% AXIAL</t>
  </si>
  <si>
    <t>CF14JT330R‎</t>
  </si>
  <si>
    <t>‎CF14JT330RCT-ND‎</t>
  </si>
  <si>
    <t>RES 220 OHM 1/4W 5% AXIAL</t>
  </si>
  <si>
    <t>‎CF14JT220R‎</t>
  </si>
  <si>
    <t>CF14JT220RCT-ND‎</t>
  </si>
  <si>
    <t>RES 10 OHM 1W 5% AXIAL</t>
  </si>
  <si>
    <t>PR01000101009JR500‎</t>
  </si>
  <si>
    <t>PPC10W-1CT-ND‎</t>
  </si>
  <si>
    <t>RES 1K OHM 1/4W 5% AXIAL</t>
  </si>
  <si>
    <t>‎CF14JT1K00‎</t>
  </si>
  <si>
    <t>‎CF14JT1K00CT-ND‎</t>
  </si>
  <si>
    <t>RES 10K OHM 1/4W 5% AXIAL</t>
  </si>
  <si>
    <t>CF14JT10K0‎</t>
  </si>
  <si>
    <t>CF14JT10K0CT-ND‎</t>
  </si>
  <si>
    <t>RES 56 OHM 0.6W 1% AXIAL</t>
  </si>
  <si>
    <t>MBB02070C5609FCT00‎</t>
  </si>
  <si>
    <t>‎BC3844CT-ND‎</t>
  </si>
  <si>
    <t>RES 1.2K OHM 1/4W 5% AXIAL</t>
  </si>
  <si>
    <t>‎CF14JT1K20‎</t>
  </si>
  <si>
    <t>‎CF14JT1K20CT-ND‎</t>
  </si>
  <si>
    <t>LED COOL WHITE CLR 5MM RND T/H</t>
  </si>
  <si>
    <t>Cree Inc</t>
  </si>
  <si>
    <t>C512A-WNN-CZ0B0151-ND‎</t>
  </si>
  <si>
    <t>C512A-WNN-CZ0B0151‎</t>
  </si>
  <si>
    <t>Mass Flow Controller</t>
  </si>
  <si>
    <t>100ccm</t>
  </si>
  <si>
    <t>Horiba</t>
  </si>
  <si>
    <t>(株)堀場エステック</t>
  </si>
  <si>
    <t>SEC-E40, MK3</t>
  </si>
  <si>
    <t>4F Square Chamber</t>
  </si>
  <si>
    <t>4F Test room</t>
  </si>
  <si>
    <t>Mechanical high power RF switch</t>
  </si>
  <si>
    <t xml:space="preserve">
ANTENNA SWITCH, 2POS N,W/GND, LIGHTNING PROTECTED</t>
  </si>
  <si>
    <t>MFJ</t>
  </si>
  <si>
    <t>MFJ-1702CN</t>
  </si>
  <si>
    <t>GS/Operation</t>
  </si>
  <si>
    <t xml:space="preserve">GS </t>
  </si>
  <si>
    <t>http://www.mfjenterprises.com/Product.php?productid=MFJ-1702CN</t>
  </si>
  <si>
    <t>B4_BPB_FM-MAP</t>
  </si>
  <si>
    <t>B4_solarPanel_PCB_-X_FM_HRS</t>
  </si>
  <si>
    <t>82.6 mmX100.7 mm</t>
  </si>
  <si>
    <t>B4_solarPanel_PCB_+Y_FM_HRS</t>
  </si>
  <si>
    <t>82.6mm X100.7 mm</t>
  </si>
  <si>
    <t>B4_solarPanel_PCB_+X_FM_HRS</t>
  </si>
  <si>
    <t>B4_solarPanel_PCB_-Z_FM_HRS</t>
  </si>
  <si>
    <t>96 mmX 96 mm</t>
  </si>
  <si>
    <t>B4_solarPanel_PCB_+Z_FM_HRS</t>
  </si>
  <si>
    <t>B4_RAB_FM_IZTM</t>
  </si>
  <si>
    <t>IZ</t>
  </si>
  <si>
    <t>90 mm x 86mm</t>
  </si>
  <si>
    <t>光学特性測定用基板1</t>
  </si>
  <si>
    <t>Kakimoto</t>
  </si>
  <si>
    <t>30mm × 30mm</t>
  </si>
  <si>
    <t>研究（光学特性測定）</t>
  </si>
  <si>
    <t>柿本</t>
  </si>
  <si>
    <t>https://www.p-ban.com/kiban/com/csComDocPrint:exec.do?receiptNo=19092500151&amp;doc=1</t>
  </si>
  <si>
    <t>光学特性測定用基板2</t>
  </si>
  <si>
    <t>https://www.p-ban.com/kiban/com/csComDocPrint:exec.do?receiptNo=19092500153&amp;doc=1</t>
  </si>
  <si>
    <t>12  pin header for solar cells pcb</t>
  </si>
  <si>
    <t>EPS and Antenna deployment</t>
  </si>
  <si>
    <t>dual channel p-mosfet</t>
  </si>
  <si>
    <t>ROHM Semiconductor</t>
  </si>
  <si>
    <t>846-SP8J5FRATBCT-ND</t>
  </si>
  <si>
    <t>SP8J5FRATB</t>
  </si>
  <si>
    <t>surface mount</t>
  </si>
  <si>
    <t>RAB-PSC mission</t>
  </si>
  <si>
    <t>https://www.digikey.jp/product-detail/en/rohm-semiconductor/SP8J5FRATB/846-SP8J5FRATBCT-ND/10414084</t>
  </si>
  <si>
    <t xml:space="preserve">Tempretaure sensor </t>
  </si>
  <si>
    <t>VHF balun</t>
  </si>
  <si>
    <t>1:1,  4.5MHz ~ 3GHz</t>
  </si>
  <si>
    <t>CONN MMCX JACK</t>
  </si>
  <si>
    <t>82pF, 50V</t>
  </si>
  <si>
    <t>399-16259-6-ND</t>
  </si>
  <si>
    <t>CBR06C820F5GAC</t>
  </si>
  <si>
    <t>https://www.digikey.jp/product-detail/en/kemet/CBR06C820F5GAC/399-16259-6-ND/7650123</t>
  </si>
  <si>
    <t>220nH, 50V</t>
  </si>
  <si>
    <t xml:space="preserve">	TDK Corporation</t>
  </si>
  <si>
    <t xml:space="preserve">	445-6387-1-ND</t>
  </si>
  <si>
    <t>MLZ1608DR22DT000</t>
  </si>
  <si>
    <t>https://www.digikey.jp/product-detail/en/tdk-corporation/MLZ1608DR22DT000/445-6387-1-ND/2465714</t>
  </si>
  <si>
    <t>SMA-J connector</t>
  </si>
  <si>
    <t>SMA-J</t>
  </si>
  <si>
    <t xml:space="preserve">COSMTEC </t>
  </si>
  <si>
    <t>AKIDUKI</t>
  </si>
  <si>
    <t>C-09580</t>
  </si>
  <si>
    <t>S-029-TGG</t>
  </si>
  <si>
    <t>http://akizukidenshi.com/catalog/g/gC-09580/</t>
  </si>
  <si>
    <t>FM Structure</t>
  </si>
  <si>
    <t>FM Structural frames, OBC/EPS shield and battery box</t>
  </si>
  <si>
    <t>STR</t>
  </si>
  <si>
    <t>HMD, Yaske Creation and Stea gave price estimations.</t>
  </si>
  <si>
    <t>Compute Module 3+</t>
  </si>
  <si>
    <t>Single Board Computers Raspberry Pi Compute Module 3 +, BCM2837B0 SoC, 32GB eMMC Memory</t>
  </si>
  <si>
    <t>mouser</t>
  </si>
  <si>
    <t>358-94AC6637</t>
  </si>
  <si>
    <t>94AC6637</t>
  </si>
  <si>
    <t>KITSUNE</t>
  </si>
  <si>
    <t>https://www.mouser.jp/ProductDetail/Raspberry-Pi/94AC6637?qs=sGAEpiMZZMve4%2FbfQkoj%252BNdX7Jo1kJZksXa8BRFpTkk=</t>
  </si>
  <si>
    <t>Compute Module</t>
  </si>
  <si>
    <t>RASPBERRY PI COMPUTE BCM2835</t>
  </si>
  <si>
    <t>1690-1003-ND</t>
  </si>
  <si>
    <t>RASPBERRY PI COMPUTE BOARD</t>
  </si>
  <si>
    <t>SPATIUM II</t>
  </si>
  <si>
    <t>https://www.digikey.jp/product-detail/ja/raspberry-pi/RASPBERRY-PI-COMPUTE-BOARD/1690-1003-ND/6152802</t>
  </si>
  <si>
    <t>Raspberry Pi 3 (RPi3) Power Supply</t>
  </si>
  <si>
    <t>Victor/ Hoda Awny</t>
  </si>
  <si>
    <t>Processor Accessories Raspberry Pi 3 (RPi3) Power Supply</t>
  </si>
  <si>
    <t>358-1101001000045</t>
  </si>
  <si>
    <t>Camera/ SPATIUM II</t>
  </si>
  <si>
    <t>https://www.mouser.jp/ProductDetail/Raspberry-Pi/1101001000045?qs=sGAEpiMZZMve4%2FbfQkoj%252BMUp9oD6Abn1MSY4MW8Pkys%3D</t>
  </si>
  <si>
    <t>COMPUTE MODULE RASPBERRYPI3 I / O</t>
  </si>
  <si>
    <t>GPIO interface Raspberry Pi Compute Module 3 Platform Evaluation Expansion Board</t>
  </si>
  <si>
    <t>1690-1018-ND</t>
  </si>
  <si>
    <t>I / O BOARD</t>
  </si>
  <si>
    <t>https://www.digikey.jp/products/ja/development-boards-kits-programmers/evaluation-boards-expansion-boards-daughter-cards/797?k=raspberry%20pi%20compute</t>
  </si>
  <si>
    <t>UART Connection 3.3V</t>
  </si>
  <si>
    <t>CABLE USB EMBD UART 3.3V .1"HDR</t>
  </si>
  <si>
    <t>FTDI, Future Technology Devices International Ltd</t>
  </si>
  <si>
    <t>768-1015-ND</t>
  </si>
  <si>
    <t>TTL-232R-3V3</t>
  </si>
  <si>
    <t>https://www.digikey.jp/product-detail/en/ftdi-future-technology-devices-international-ltd/TTL-232R-3V3/768-1015-ND/1836393</t>
  </si>
  <si>
    <t>UART Connection 5V</t>
  </si>
  <si>
    <t>CABLE USB EMBD UART 5V .1"HDR</t>
  </si>
  <si>
    <t>768-1028-ND</t>
  </si>
  <si>
    <t>https://www.digikey.jp/product-detail/en/ftdi-future-technology-devices-international-ltd/TTL-232R-5V/768-1028-ND/2003493</t>
  </si>
  <si>
    <t>PICKit</t>
  </si>
  <si>
    <t>USB Cable</t>
  </si>
  <si>
    <t>CBL 1000MM USB TYPE A TO USB MIC</t>
  </si>
  <si>
    <t>CUI Devices</t>
  </si>
  <si>
    <t>102-5943-ND</t>
  </si>
  <si>
    <t>CBL-UA-MUB-1</t>
  </si>
  <si>
    <t>https://www.digikey.jp/product-detail/en/cui-inc/CBL-UA-MUB-1/102-5943-ND/9838595</t>
  </si>
  <si>
    <t>SDR</t>
  </si>
  <si>
    <t>RF Development Tools LimeSDR Mini</t>
  </si>
  <si>
    <t>Crowd Supply</t>
  </si>
  <si>
    <t>392-CS-LIME-05</t>
  </si>
  <si>
    <t>cs-lime-05</t>
  </si>
  <si>
    <t>https://www.mouser.jp/ProductDetail/Crowd-Supply/cs-lime-05?qs=sGAEpiMZZMve4%2FbfQkoj%252BMhQML8ddRrgClCLPhd9F2o%3D</t>
  </si>
  <si>
    <t>Crowd Supply Accessories LimeSDR Mini Antennas</t>
  </si>
  <si>
    <t>392-CS-LIME-07</t>
  </si>
  <si>
    <t>cs-lime-07</t>
  </si>
  <si>
    <t>https://www.mouser.jp/ProductDetail/Crowd-Supply/cs-lime-07?qs=sGAEpiMZZMve4/bfQkoj%2BPVkqhH3NE5DrTF%2BBjAPgZM=</t>
  </si>
  <si>
    <t>USB hub</t>
  </si>
  <si>
    <t>USB CABLE</t>
  </si>
  <si>
    <t>Tripp Lite</t>
  </si>
  <si>
    <t>TL2301-ND</t>
  </si>
  <si>
    <t>U336-U03-GB</t>
  </si>
  <si>
    <t>https://www.digikey.jp/product-detail/ja/tripp-lite/U336-U03-GB/TL2301-ND/5359358</t>
  </si>
  <si>
    <t>Ethernet Cable</t>
  </si>
  <si>
    <t>CABLE MOD 8P8C PLUG-PLUG 3 '</t>
  </si>
  <si>
    <t>AE10480-ND</t>
  </si>
  <si>
    <t>DK-1511-003 / BL</t>
  </si>
  <si>
    <t>https://www.digikey.jp/product-detail/ja/assmann-wsw-components/DK-1511-003-BL/AE10480-ND/2268272</t>
  </si>
  <si>
    <t>HDMI Cable</t>
  </si>
  <si>
    <t>CBL HDMI MM CON 3 '30AWG</t>
  </si>
  <si>
    <t>Q396-ND</t>
  </si>
  <si>
    <t>1721001-03</t>
  </si>
  <si>
    <t>https://www.digikey.jp/product-detail/ja/qualtek/1721001-03/Q396-ND/1531323</t>
  </si>
  <si>
    <t>50Ω RF抵抗</t>
  </si>
  <si>
    <t>50ohm</t>
  </si>
  <si>
    <t>Digkey</t>
  </si>
  <si>
    <t>FC0603-50BWCT-ND</t>
  </si>
  <si>
    <t>FC0603E50R0BST1</t>
  </si>
  <si>
    <t>https://www.digikey.jp/product-detail/ja/vishay-thin-film/FC0603E50R0BST1/FC0603-50BWCT-ND/1769795</t>
  </si>
  <si>
    <t>24pin connector</t>
  </si>
  <si>
    <t>1.27mm pich surfacemount</t>
  </si>
  <si>
    <t>Red LED</t>
  </si>
  <si>
    <t>Grren LED</t>
  </si>
  <si>
    <t>Tacticale Switch</t>
  </si>
  <si>
    <t>Copper Pipe</t>
  </si>
  <si>
    <t>1m Φ3mm</t>
  </si>
  <si>
    <t>光モール</t>
  </si>
  <si>
    <t>５</t>
  </si>
  <si>
    <t>https://www.monotaro.com/g/00402917/</t>
  </si>
  <si>
    <t>M3X6</t>
  </si>
  <si>
    <t>SNSS-M3X6-FC</t>
  </si>
  <si>
    <t>https://jp.misumi-ec.com/vona2/detail/221000236231/?PNSearch=SNSS-M3X6-FC&amp;HissuCode=SNSS-M3X6-FC&amp;searchFlow=suggest2products&amp;Keyword=SNSS-M3X6-FC</t>
  </si>
  <si>
    <t>FM</t>
  </si>
  <si>
    <t>https://jp.misumi-ec.com/vona2/detail/221006493827/?HissuCode=SNSS-M2-6-SD&amp;PNSearch=SNSS-M2-6-SD&amp;KWSearch=SNSS-M2-6-SD&amp;searchFlow=results2products</t>
  </si>
  <si>
    <t>https://jp.misumi-ec.com/vona2/detail/221000348314/?HissuCode=SNSS-M2X5</t>
  </si>
  <si>
    <t>FABS-M3-L96</t>
  </si>
  <si>
    <t>https://jp.misumi-ec.com/vona2/detail/110302679630/?HissuCode=FABS3-%5b20-150%2f1%5d</t>
  </si>
  <si>
    <t>https://jp.misumi-ec.com/vona2/detail/221000348314/?HissuCode=SNSS-M2X4</t>
  </si>
  <si>
    <t>https://jp.misumi-ec.com/vona2/detail/221000349089/?HissuCode=SSHS-M2X6</t>
  </si>
  <si>
    <t>https://jp.misumi-ec.com/vona2/detail/221000349089/?HissuCode=SSHS-M2X8</t>
  </si>
  <si>
    <t>CBSTSR2-4</t>
  </si>
  <si>
    <t>B4_MB2_FM-MAP</t>
  </si>
  <si>
    <t>90mm x 86mm</t>
  </si>
  <si>
    <t>Mission Board 2</t>
  </si>
  <si>
    <t>16Mhz 水晶発振器</t>
  </si>
  <si>
    <t>16MHz, 表面実装, 2-pin, SMD基本波</t>
  </si>
  <si>
    <t>表面実装, 2-pin</t>
  </si>
  <si>
    <t>RAB board</t>
  </si>
  <si>
    <t>0.05Ω抵抗</t>
  </si>
  <si>
    <t>0.5Ω抵抗</t>
  </si>
  <si>
    <t>500 mOhms ±1% 0.333W、1/3Wチップ抵抗0805（2012メートル法）電流検知薄膜</t>
  </si>
  <si>
    <t>1MΩ抵抗</t>
  </si>
  <si>
    <t>1 MOhms ±0.1% 0.125W、1/8Wチップ抵抗0805（2012メートル法）車載用AEC-Q200薄膜</t>
  </si>
  <si>
    <t>Panasonic Electronic Components</t>
  </si>
  <si>
    <t>P1MDACT-ND</t>
  </si>
  <si>
    <t>ERA-6AEB105V</t>
  </si>
  <si>
    <t>https://www.digikey.jp/product-detail/ja/panasonic-electronic-components/ERA-6AEB105V/P1MDACT-ND/1466019</t>
  </si>
  <si>
    <t>0.047μF セラミックコンデンサ</t>
  </si>
  <si>
    <t>0.047µF ±10% 100V セラミックコンデンサX7R 0805（2012メートル法）</t>
  </si>
  <si>
    <t>1276-6815-1-ND</t>
  </si>
  <si>
    <t>CL21B473KCCWPNC</t>
  </si>
  <si>
    <t>https://www.digikey.jp/product-detail/ja/samsung-electro-mechanics/CL21B473KCCWPNC/1276-6815-1-ND/5961674</t>
  </si>
  <si>
    <t>B4_MB1_FM-HH</t>
  </si>
  <si>
    <t>MSN BRD 1 FM</t>
  </si>
  <si>
    <t>Yaesu FTM-100DH (FTM100DH) Digital C4FM [Price Cut] ■ CQ Ohm original LCD protective sheet present</t>
  </si>
  <si>
    <t>CQオーム</t>
  </si>
  <si>
    <t>ST-472-AM-HO-MK</t>
  </si>
  <si>
    <t>FTM-100D / FTM-100DH</t>
  </si>
  <si>
    <t>https://www.cqcqde.com/fs/cqohm/27380</t>
  </si>
  <si>
    <t>CONN HDR 1.27MM VERT AU 20POS</t>
  </si>
  <si>
    <t>Cover glass</t>
  </si>
  <si>
    <t>40.0X80.0    0.145t</t>
  </si>
  <si>
    <t>松浪硝子工業株式会社</t>
  </si>
  <si>
    <t>Battery（Lithium Polymer battery)</t>
  </si>
  <si>
    <t>Harada Seiki</t>
  </si>
  <si>
    <t>DTP 605068, 3.7V, 2000mAh</t>
  </si>
  <si>
    <t>Data power technology</t>
  </si>
  <si>
    <t>DTP605068</t>
  </si>
  <si>
    <t>SVBL-2F</t>
  </si>
  <si>
    <t>https://www.monotaro.com/p/6069/0053/</t>
  </si>
  <si>
    <t>Operation competition prise (crystal torophy)</t>
  </si>
  <si>
    <t>寄付金</t>
  </si>
  <si>
    <t>幅70×高さ137×奥行40mm</t>
  </si>
  <si>
    <t>トロフィー生活</t>
  </si>
  <si>
    <t>Kakimoto's desk (407)</t>
  </si>
  <si>
    <t>http://www.trophy-seikatsu.com/shopping/1473317048-489017/</t>
  </si>
  <si>
    <t>MAX® 10 MAX® 10 FPGA 評価ボード</t>
  </si>
  <si>
    <t>MAX10, FPGA</t>
  </si>
  <si>
    <t>Terasic Inc.</t>
  </si>
  <si>
    <t>P0466-ND</t>
  </si>
  <si>
    <t>SPATIUM-II SDR</t>
  </si>
  <si>
    <t>https://www.digikey.jp/product-detail/ja/terasic-inc/P0466/P0466-ND/6230089</t>
  </si>
  <si>
    <t>BIRDS4 -Y PANEL FM</t>
  </si>
  <si>
    <t>267.8 mm * 100.7 mm</t>
  </si>
  <si>
    <t>Kaleidagragh</t>
  </si>
  <si>
    <t>Mac 英語版</t>
  </si>
  <si>
    <t>ヒューリンクス</t>
  </si>
  <si>
    <t>大学生協</t>
  </si>
  <si>
    <t>HY105NV</t>
  </si>
  <si>
    <t>学生部屋407</t>
  </si>
  <si>
    <t>https://software.univcoop.or.jp/search_result?unit_page%5Bkeyword%5D=%E3%82%AB%E3%83%AC%E3%82%A4%E3%83%80%E3%82%B0%E3%83%A9%E3%83%95&amp;commit=%E6%A4%9C%E7%B4%A2</t>
  </si>
  <si>
    <t>BME280使用 温湿度・気圧センサ</t>
  </si>
  <si>
    <t>Inutsuka</t>
  </si>
  <si>
    <t>超小型10×16mm 6ピン</t>
  </si>
  <si>
    <t>BOSCH</t>
  </si>
  <si>
    <t>AE-BME280</t>
  </si>
  <si>
    <t>Practice C,Reaearch</t>
  </si>
  <si>
    <t>SVBL 1F</t>
  </si>
  <si>
    <t>http://akizukidenshi.com/catalog/g/gK-09421/</t>
  </si>
  <si>
    <t>M3ボルト</t>
  </si>
  <si>
    <t>三井物産</t>
  </si>
  <si>
    <t>M3ボルト　L15</t>
  </si>
  <si>
    <t>鍋屋バイテック</t>
  </si>
  <si>
    <t>SNSLG-M3-L15</t>
  </si>
  <si>
    <t>10本入り</t>
  </si>
  <si>
    <t>POD</t>
  </si>
  <si>
    <t>https://jp.misumi-ec.com/vona2/detail/221006495032/?HissuCode=SNSLG-M3-15</t>
  </si>
  <si>
    <t>M3ボルト　L10</t>
  </si>
  <si>
    <t>SNSLG-M3-L10</t>
  </si>
  <si>
    <t>https://jp.misumi-ec.com/vona2/detail/221006495032/?HissuCode=SNSLG-M3-10&amp;PNSearch=SNSLG-M3-10&amp;KWSearch=SNSLG-M3-10&amp;searchFlow=results2products</t>
  </si>
  <si>
    <t>M3ワッシャ</t>
  </si>
  <si>
    <t>SWAJ-3-F</t>
  </si>
  <si>
    <t>10枚入り</t>
  </si>
  <si>
    <t>https://jp.misumi-ec.com/vona2/detail/221000233430/?HissuCode=SWAJ-3-F&amp;PNSearch=SWAJ-3-F&amp;KWSearch=SWAJ-3-F&amp;searchFlow=results2products</t>
  </si>
  <si>
    <t>M6ボルト</t>
  </si>
  <si>
    <t>M6ボルト　L20</t>
  </si>
  <si>
    <t>SNSLG-M6-20</t>
  </si>
  <si>
    <t>https://jp.misumi-ec.com/vona2/detail/221006495032/?HissuCode=SNSLG-M6-20&amp;PNSearch=SNSLG-M6-20&amp;KWSearch=SNSLG-M6-20&amp;searchFlow=results2products</t>
  </si>
  <si>
    <t>M6ワッシャ</t>
  </si>
  <si>
    <t>SWAJ-6-F</t>
  </si>
  <si>
    <t>https://jp.misumi-ec.com/vona2/detail/221000233430/?HissuCode=SWAJ-6-F&amp;PNSearch=SWAJ-6-F&amp;KWSearch=SWAJ-6-F&amp;searchFlow=results2products</t>
  </si>
  <si>
    <t>M8ナット</t>
  </si>
  <si>
    <t>SHNJ-M8</t>
  </si>
  <si>
    <t>https://jp.misumi-ec.com/vona2/detail/221000236107/?PNSearch=SHNJ-M8&amp;HissuCode=SHNJ-M8&amp;searchFlow=suggest2products&amp;Keyword=SHNJ-M8&amp;isReSearch=1</t>
  </si>
  <si>
    <t>M8ボルト</t>
  </si>
  <si>
    <t>M8ボルト　L30</t>
  </si>
  <si>
    <t>CBCPS8-30</t>
  </si>
  <si>
    <t>https://jp.misumi-ec.com/vona2/detail/110301996860/?HissuCode=CBCPS8-30&amp;PNSearch=CBCPS8-30&amp;KWSearch=CBCPS8-30&amp;searchFlow=results2products</t>
  </si>
  <si>
    <t>ハンドル　アルミ製</t>
  </si>
  <si>
    <t>M6ボルト　L12</t>
  </si>
  <si>
    <t>SNSLG-M6-12</t>
  </si>
  <si>
    <t>https://jp.misumi-ec.com/vona2/detail/221006495032/?HissuCode=SNSLG-M6-12&amp;PNSearch=SNSLG-M6-12&amp;KWSearch=SNSLG-M6-12&amp;searchFlow=results2products</t>
  </si>
  <si>
    <t>アルミ丸棒</t>
  </si>
  <si>
    <t>SpaceBD</t>
  </si>
  <si>
    <t>アルミ丸棒　A5052　φ100 L505　</t>
  </si>
  <si>
    <t>A5052-BP-100-505</t>
  </si>
  <si>
    <t>UAE</t>
  </si>
  <si>
    <t>衝撃試験</t>
  </si>
  <si>
    <t>https://jp.misumi-ec.com/vona2/detail/110310150029/?HissuCode=A5052-BP-100-505</t>
  </si>
  <si>
    <t>ULTIMETER 100 Weather Station (wind meter)</t>
  </si>
  <si>
    <t>Weather Station Wind meter</t>
  </si>
  <si>
    <t>peetbros</t>
  </si>
  <si>
    <t>WSF-20101</t>
  </si>
  <si>
    <t>269$</t>
  </si>
  <si>
    <t>https://www.peetbros.com/shop/item.aspx?itemid=4</t>
  </si>
  <si>
    <t>1267-1072-1-ND</t>
  </si>
  <si>
    <t>TB6612FNGC8ELCT-ND</t>
  </si>
  <si>
    <t>http://akizukidenshi.com/catalog/g/gI-11317/</t>
  </si>
  <si>
    <t>8.2nH, Microwave ceramic</t>
  </si>
  <si>
    <t>712-1420-1-ND</t>
  </si>
  <si>
    <t>L-07C8N2JV6T</t>
  </si>
  <si>
    <t>https://www.digikey.jp/product-detail/en/johanson-technology-inc/L-07C8N2JV6T/712-1420-1-ND/1840098</t>
  </si>
  <si>
    <t>Connector Header Surface Mount 6 position 0.039" (1.00mm)</t>
  </si>
  <si>
    <t>Samtech INC</t>
  </si>
  <si>
    <t>SAM12591-ND</t>
  </si>
  <si>
    <t>FTM-103-02-F-DV</t>
  </si>
  <si>
    <t>https://www.digikey.jp/product-detail/ja/samtec-inc/FTM-103-02-F-DV/SAM12591-ND/6692125?cur=JPY&amp;lang=ja</t>
  </si>
  <si>
    <t>Camera Lens, 5 Mega M12 Lens, f=2.9mm, F2.0, 1/2.5",
image height 7.30mm, with IR cut filter</t>
  </si>
  <si>
    <t>09956</t>
  </si>
  <si>
    <t>75.50 [EUR]</t>
  </si>
  <si>
    <t>501.12 [EURO] including fees</t>
  </si>
  <si>
    <t>EMI/RFI absorber &amp; shielding sheet</t>
  </si>
  <si>
    <t>RF EMI Absorbing Sheet AB6000 Polymer Resin, Metal Flakes Non-Conductive, Single Sided 8.268" (210.00mm) X 11.693" (297.00mm) X 0.004" (0.11mm)</t>
  </si>
  <si>
    <t>3M6005D-ND</t>
  </si>
  <si>
    <t>AB6005S</t>
  </si>
  <si>
    <t>BIRDS-2S/Research</t>
  </si>
  <si>
    <t>Satellite EMI absorbing/shielding</t>
  </si>
  <si>
    <t>Adrian's desk (Room 409)</t>
  </si>
  <si>
    <t>https://www.digikey.jp/products/ja?keywords=3M6005D-ND</t>
  </si>
  <si>
    <t>EMI/RFI absorber sheet</t>
  </si>
  <si>
    <t>RF EMI Absorber Sheet AB7000HF Polymer Resin, Metal Flakes Non-conductive, Single Side 8.268 "(210.00mm) X 11.693" (297.00mm) X 0.010 "(0.25mm)</t>
  </si>
  <si>
    <t>3M7020F-ND</t>
  </si>
  <si>
    <t>AB7020HF</t>
  </si>
  <si>
    <t>https://www.digikey.jp/products/ja?keywords=AB7020HF%20</t>
  </si>
  <si>
    <t>Connector Housing</t>
  </si>
  <si>
    <t>Board connector,Female Molex PCB 2 Poles 1 row 2 mm 51090series</t>
  </si>
  <si>
    <t>EPS/BIRDS-4</t>
  </si>
  <si>
    <t>https://jp.rs-online.com/web/p/pcb-connector-housings/6322081</t>
  </si>
  <si>
    <t>SPSt-NO,10ma 212V DC, Plunger type surface mount switch</t>
  </si>
  <si>
    <t>C &amp; K</t>
  </si>
  <si>
    <t>793-1768</t>
  </si>
  <si>
    <t>https://jp.rs-online.com/web/p/detector-switches/7931768/?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53445330303252267374613D5344533030325226&amp;searchHistory=%7B%22enabled%22%3Atrue%7D</t>
  </si>
  <si>
    <t xml:space="preserve">20 g, electroconductive </t>
  </si>
  <si>
    <t>monotaro</t>
  </si>
  <si>
    <t>6-5324-02</t>
  </si>
  <si>
    <t>Hand Tap</t>
  </si>
  <si>
    <t>M2x0.4 suitable hand tap for coil inserts</t>
  </si>
  <si>
    <t>OSG</t>
  </si>
  <si>
    <t xml:space="preserve"> 201-1701</t>
  </si>
  <si>
    <t>https://www.monotaro.com/p/0662/3461/</t>
  </si>
  <si>
    <t>Coax Cable</t>
  </si>
  <si>
    <t>MMCX-LP-1.5D 圧着 / SMA-P-1.5D 圧着 / RG-316</t>
  </si>
  <si>
    <t>https://coax-cable.net/custom/</t>
  </si>
  <si>
    <t>Thin steel honeycomb optical surface plate</t>
  </si>
  <si>
    <t>M6 tap 25mm XY, (Size (mm): 500 × 600 × 50), 24kg</t>
  </si>
  <si>
    <t>Iris Co.Ltd</t>
  </si>
  <si>
    <t>Airis1.co.jp</t>
  </si>
  <si>
    <t>C0506T</t>
  </si>
  <si>
    <t>Optical Beam Steering Experiment</t>
  </si>
  <si>
    <t>Mini-Series Lens Mount with Retaining Ring</t>
  </si>
  <si>
    <t>for Ø1/2" Optics, M3 Tap 0.03 Kgs</t>
  </si>
  <si>
    <t>Thorlabs</t>
  </si>
  <si>
    <t>￥3,795</t>
  </si>
  <si>
    <t>￥7, 590</t>
  </si>
  <si>
    <t>M6 x 1.0 Stainless Steel Cap Screw</t>
  </si>
  <si>
    <t>16 mm Long, 25 Pack</t>
  </si>
  <si>
    <t>SH6MS16</t>
  </si>
  <si>
    <t>￥1,153</t>
  </si>
  <si>
    <t>￥2,306</t>
  </si>
  <si>
    <t>M4 x 0.7 Stainless Steel Cap Screw</t>
  </si>
  <si>
    <t>16 mm Long, 50 Pack</t>
  </si>
  <si>
    <t>SH4MS16</t>
  </si>
  <si>
    <t>￥971</t>
  </si>
  <si>
    <t>￥1,942</t>
  </si>
  <si>
    <t xml:space="preserve">GPS GLONASS PATCH 1575.42MHZ </t>
  </si>
  <si>
    <t>GPS Patch antenna 1575.42MHz</t>
  </si>
  <si>
    <t>Findout</t>
  </si>
  <si>
    <t>931-1126-ND</t>
  </si>
  <si>
    <t>CGGP.25.4.A.02</t>
  </si>
  <si>
    <t>SPAPTIUM/ ADCS</t>
  </si>
  <si>
    <t>https://www.digikey.jp/product-detail/ja/taoglas-limited/CGGP.25.4.A.02/931-1126-ND/2690283</t>
  </si>
  <si>
    <t>CAP CER 22PF 50V 5% NP0 0805</t>
  </si>
  <si>
    <t xml:space="preserve">22pF 50V 10% </t>
  </si>
  <si>
    <t>Murata Electronics</t>
  </si>
  <si>
    <t>490-3608-1-ND</t>
  </si>
  <si>
    <t>GQM2195C1H220JB01D</t>
  </si>
  <si>
    <t>https://www.digikey.jp/product-detail/ja/murata-electronics/GQM2195C1H220JB01D/490-3608-1-ND/789608</t>
  </si>
  <si>
    <t>CAR CER 1UF 50V 10% X7R 0805</t>
  </si>
  <si>
    <t>1uF, 50V</t>
  </si>
  <si>
    <t>490-14440-1-ND</t>
  </si>
  <si>
    <t>GJ821BR71H105KA12L</t>
  </si>
  <si>
    <t>https://www.digikey.jp/products/ja?keywords=490-14440-1-ND</t>
  </si>
  <si>
    <t>CAR CER 0.1UF 25V X5R 0603</t>
  </si>
  <si>
    <t>0.1uF, 25V</t>
  </si>
  <si>
    <t>478-1244-1-ND</t>
  </si>
  <si>
    <t>06033D104KAT2A</t>
  </si>
  <si>
    <t>https://www.digikey.jp/products/ja?keywords=478-1244-1-ND</t>
  </si>
  <si>
    <t>RES SMD 100 OHM 1% 1/4W 0608</t>
  </si>
  <si>
    <t>100ohm</t>
  </si>
  <si>
    <t>P100BYCT-ND</t>
  </si>
  <si>
    <t>ERJ-PA3F1000V</t>
  </si>
  <si>
    <t>https://www.digikey.jp/products/ja?keywords=P100BYCT-ND</t>
  </si>
  <si>
    <t>IC TXRX RS485/422 8SOIC</t>
  </si>
  <si>
    <t>RS422</t>
  </si>
  <si>
    <t>MAX3490ESA+-ND</t>
  </si>
  <si>
    <t>MAX3490ESA+</t>
  </si>
  <si>
    <t>https://www.digikey.jp/products/ja?keywords=MAX3490ESA%2B-ND</t>
  </si>
  <si>
    <t>CONN HEADER GH TOP 7POS 1.25MM</t>
  </si>
  <si>
    <t>MiSUMI</t>
  </si>
  <si>
    <t>BM07B-GHS-TBT(LF)(SN)</t>
  </si>
  <si>
    <t>https://www.digikey.jp/products/ja?keywords=455-1583-1-ND</t>
  </si>
  <si>
    <t>455-1597-ND</t>
  </si>
  <si>
    <t>CONN GH HOUSING 7POS 1.25MM</t>
  </si>
  <si>
    <t>https://www.digikey.jp/products/ja?keywords=455-1597-ND</t>
  </si>
  <si>
    <t>Nichrome Wire</t>
  </si>
  <si>
    <t>80% Nickel, 20% Chromium</t>
  </si>
  <si>
    <t>サンコー</t>
  </si>
  <si>
    <t>marutsu</t>
  </si>
  <si>
    <t xml:space="preserve">	
NCHW1-0.5MM-L5</t>
  </si>
  <si>
    <t>NCHW1-0.5MM-L5</t>
  </si>
  <si>
    <t>0.5mm, 5m</t>
  </si>
  <si>
    <t>https://www.marutsu.co.jp/pc/i/223387/</t>
  </si>
  <si>
    <t>PCB for FIreant GPS</t>
  </si>
  <si>
    <t>SPATIUM/ADCS</t>
  </si>
  <si>
    <t>https://www.p-ban.com/kiban/com/csComDocPrint:exec.do?receiptNo=19112500158&amp;doc=1</t>
  </si>
  <si>
    <t>M2.3x0.4 suitable hand tap for coil inserts</t>
  </si>
  <si>
    <t>EX-POT-OH4-M2.3X0.4</t>
  </si>
  <si>
    <t>https://jp.misumi-ec.com/vona2/detail/223000437348/</t>
  </si>
  <si>
    <t>Terminal block</t>
  </si>
  <si>
    <t xml:space="preserve">3 P, MAx Cb type </t>
  </si>
  <si>
    <t>Nitto Industry</t>
  </si>
  <si>
    <t>TBF-063</t>
  </si>
  <si>
    <t>https://www.monotaro.com/p/4514/8442/</t>
  </si>
  <si>
    <t xml:space="preserve">Ac/Dc Converter </t>
  </si>
  <si>
    <t xml:space="preserve">90-264 V AC/12 V DC , 2A </t>
  </si>
  <si>
    <t>Uni-Five</t>
  </si>
  <si>
    <t>524-8847</t>
  </si>
  <si>
    <t>UIA324-12</t>
  </si>
  <si>
    <t>https://jp.rs-online.com/web/p/desktop-power-supplies/5248847/</t>
  </si>
  <si>
    <t>Variable Power Supply</t>
  </si>
  <si>
    <t>AC95-123V→DC 5-15V/30A</t>
  </si>
  <si>
    <t>esco</t>
  </si>
  <si>
    <t>EA812-23</t>
  </si>
  <si>
    <t>SFward</t>
  </si>
  <si>
    <t>https://www.monotaro.com/g/02424386/</t>
  </si>
  <si>
    <t>0.025Ω抵抗</t>
  </si>
  <si>
    <t>RES 0.025 OHM 5% 1/4W 0805</t>
  </si>
  <si>
    <t>MB2</t>
  </si>
  <si>
    <t>25Ω抵抗</t>
  </si>
  <si>
    <t>RES 25 OHM 0.1% 1/5W 0805</t>
  </si>
  <si>
    <t>764-1510-1-ND</t>
  </si>
  <si>
    <t>PTN0805E25R0BST1</t>
  </si>
  <si>
    <t>https://www.digikey.jp/product-detail/ja/vishay-thin-film/PTN0805E25R0BST1/764-1510-1-ND/7103294</t>
  </si>
  <si>
    <t>360Ω抵抗</t>
  </si>
  <si>
    <t>RES 360 OHM 0.1% 1/8W 0805</t>
  </si>
  <si>
    <t>P360DACT-ND</t>
  </si>
  <si>
    <t>ERA-6AEB361V</t>
  </si>
  <si>
    <t>https://www.digikey.jp/product-detail/ja/panasonic-electronic-components/ERA-6AEB361V/P360DACT-ND/1465936</t>
  </si>
  <si>
    <t>100Ω抵抗</t>
  </si>
  <si>
    <t>RES 100 OHM 0.1% 1/8W 0805</t>
  </si>
  <si>
    <t>P100DACT-ND</t>
  </si>
  <si>
    <t>ERA-6AEB101V</t>
  </si>
  <si>
    <t>https://www.digikey.jp/product-detail/ja/panasonic-electronic-components/ERA-6AEB101V/P100DACT-ND/1465923</t>
  </si>
  <si>
    <t>1kΩ抵抗</t>
  </si>
  <si>
    <t>RES 1K OHM 0.1% 1/8W 0805</t>
  </si>
  <si>
    <t>P1.0KDACT-ND</t>
  </si>
  <si>
    <t>ERA-6AEB102V</t>
  </si>
  <si>
    <t>https://www.digikey.jp/product-detail/ja/panasonic-electronic-components/ERA-6AEB102V/P1.0KDACT-ND/1465947</t>
  </si>
  <si>
    <t>10kΩ抵抗</t>
  </si>
  <si>
    <t>RES SMD 10K OHM 0.5% 1/10W 0805</t>
  </si>
  <si>
    <t>RR12P10.0KDCT-ND</t>
  </si>
  <si>
    <t>RR1220P-103-D</t>
  </si>
  <si>
    <t>https://www.digikey.jp/product-detail/ja/susumu/RR1220P-103-D/RR12P10.0KDCT-ND/432854</t>
  </si>
  <si>
    <t>ハンディオシロスコープ</t>
  </si>
  <si>
    <t>ＪＹＥ Ｔｅｃｈ Ｌｔｄ</t>
  </si>
  <si>
    <t>M-12972</t>
  </si>
  <si>
    <t>DSO Shell (15001)</t>
  </si>
  <si>
    <t>http://akizukidenshi.com/catalog/g/gM-12972/</t>
  </si>
  <si>
    <t>丸ピンＩＣ用ソケット</t>
  </si>
  <si>
    <t>（シングル４０Ｐ） １×４０</t>
  </si>
  <si>
    <t>Neltron Industrial Co., Ltd.</t>
  </si>
  <si>
    <t>P-01591</t>
  </si>
  <si>
    <t>6604S-40</t>
  </si>
  <si>
    <t>http://akizukidenshi.com/catalog/g/gP-01591/</t>
  </si>
  <si>
    <t>ACアダプタ 9V</t>
  </si>
  <si>
    <t>入力電圧：１００～２４０Ｖ/入力周波数：４７～６３Ｈｚ/出力電圧：＋９Ｖ±５％/出力電流：２．５Ａｍａｘ</t>
  </si>
  <si>
    <t>Adapter Technology Co., Ltd.</t>
  </si>
  <si>
    <t>M-08403</t>
  </si>
  <si>
    <t>STD-09025U</t>
  </si>
  <si>
    <t>http://akizukidenshi.com/catalog/g/gM-08403/</t>
  </si>
  <si>
    <t>ＤＣジャック（スクリュー端子台接続)</t>
  </si>
  <si>
    <t>内径：２．１ｍｍ/外径：５．５ｍ</t>
  </si>
  <si>
    <t>JIARONG Electronics LTD.</t>
  </si>
  <si>
    <t>C-08849</t>
  </si>
  <si>
    <t>JR-53</t>
  </si>
  <si>
    <t>http://akizukidenshi.com/catalog/g/gC-08849/</t>
  </si>
  <si>
    <t>ＸＨコネクタ ハウジング ２Ｐ</t>
  </si>
  <si>
    <t>C-12255</t>
  </si>
  <si>
    <t>http://akizukidenshi.com/catalog/g/gC-12255/</t>
  </si>
  <si>
    <t>ＸＨコネクタ ハウジング用コンタクト</t>
  </si>
  <si>
    <t>C-12264</t>
  </si>
  <si>
    <t>SXH-001T-P0.6</t>
  </si>
  <si>
    <t>http://akizukidenshi.com/catalog/g/gC-12264/</t>
  </si>
  <si>
    <t>TID試験用PICボード</t>
  </si>
  <si>
    <t>TID_Test_Control_Board_v2</t>
  </si>
  <si>
    <t>Sサイズ　100枚入り</t>
  </si>
  <si>
    <t>キムワイプ</t>
  </si>
  <si>
    <t>５箱　1000枚</t>
  </si>
  <si>
    <t>日本製紙クレシア</t>
  </si>
  <si>
    <t>クリーンルーム/BIRDSroom</t>
  </si>
  <si>
    <t>https://www.askul.co.jp/p/2062405/</t>
  </si>
  <si>
    <t>Loctite 349</t>
  </si>
  <si>
    <t>Optically Clear UV Adhesive</t>
  </si>
  <si>
    <t>Henkel loctite</t>
  </si>
  <si>
    <t>cureuv.com</t>
  </si>
  <si>
    <t>LOCTITE® AA 349™</t>
  </si>
  <si>
    <t>BIRDS4/Research</t>
  </si>
  <si>
    <t>PSC</t>
  </si>
  <si>
    <t>https://www.cureuv.com/products/loctite-349-impruv-uv-light-cure-adhesive-50ml</t>
  </si>
  <si>
    <t>GPS receiver</t>
  </si>
  <si>
    <t>センサコム</t>
  </si>
  <si>
    <t>Firefly S1722F8-GL</t>
  </si>
  <si>
    <t>S1722F8-GL</t>
  </si>
  <si>
    <t>SPATIUM/ ADCS</t>
  </si>
  <si>
    <t>GPS sticker</t>
  </si>
  <si>
    <t>A6 size</t>
  </si>
  <si>
    <t>グラフィック</t>
  </si>
  <si>
    <t>https://www.graphic.jp/estimate/making</t>
  </si>
  <si>
    <t>SMPM コネクタ プラグ、雄ピン 50オーム スルーホール、ライトアングル はんだ</t>
  </si>
  <si>
    <t>運営費E</t>
  </si>
  <si>
    <t>CONN SMPM PLUG R/A 50 OHM PCB</t>
  </si>
  <si>
    <t>Amphenol SV Microwave</t>
  </si>
  <si>
    <t>3212-40003-ND</t>
  </si>
  <si>
    <t>3212-40003</t>
  </si>
  <si>
    <t>C-band</t>
  </si>
  <si>
    <t>https://www.digikey.jp/product-detail/ja/amphenol-sv-microwave/3212-40003/3212-40003-ND/6050854</t>
  </si>
  <si>
    <t>同軸ケーブルアセンブリ SMA～SMPM 雌～雄 TFLex-405 12.00インチ（304.80mm）</t>
  </si>
  <si>
    <t xml:space="preserve"> FEMALE TO SMA MALE CABLE AS</t>
  </si>
  <si>
    <t>7032-7527-ND</t>
  </si>
  <si>
    <t>7032-7527</t>
  </si>
  <si>
    <t>https://www.digikey.jp/products/ja?keywords=7032-7527</t>
  </si>
  <si>
    <t>Adapter Coaxial Connector SMPMプラグ、雄ピン To SMAジャック、雌ソケット 50オーム</t>
  </si>
  <si>
    <t>CONN ADAPT SMPM PLUG TO SMA JACK</t>
  </si>
  <si>
    <t>SF1132-6027-ND</t>
  </si>
  <si>
    <t>SF1132-6027</t>
  </si>
  <si>
    <t>https://www.digikey.jp/products/ja?keywords=sf1132-6027</t>
  </si>
  <si>
    <t>programming cable</t>
  </si>
  <si>
    <t>CABLE ASSY MALE TO FMALE 26 POS</t>
  </si>
  <si>
    <t>952-3355-ND</t>
  </si>
  <si>
    <t>M50-9021342</t>
  </si>
  <si>
    <t>FM programming</t>
  </si>
  <si>
    <t>https://www.digikey.jp/product-detail/en/harwin-inc/M50-9021342/952-3355-ND/4953088</t>
  </si>
  <si>
    <t>クリーンルーム ウェア　クリーニング代</t>
  </si>
  <si>
    <t xml:space="preserve">SVBL3F クリーンルーム </t>
  </si>
  <si>
    <t>RJ11 cable for the radio-TNC connection</t>
  </si>
  <si>
    <t>Modular Cable Plug to Plug 6p6c (RJ11, RJ12, RJ14, RJ25) 7.00' (2.13m) Unshielded</t>
  </si>
  <si>
    <t>A2662R-07-ND</t>
  </si>
  <si>
    <t>AT-S-26-6/6/B-7/R</t>
  </si>
  <si>
    <t>SFward Ground Terminal</t>
  </si>
  <si>
    <t>https://www.digikey.jp/product-detail/en/assmann-wsw-components/AT-S-26-6-6-B-7-R/A2662R-07-ND/1972588</t>
  </si>
  <si>
    <t>CRIMP for Dep.Switch</t>
  </si>
  <si>
    <t>CONN SCKET 24-30AWG CRIMP TIN</t>
  </si>
  <si>
    <t>WM6060-ND</t>
  </si>
  <si>
    <t>20mm角アルミフレーム (長さ：113.5mm)</t>
  </si>
  <si>
    <t>フレームサイズ：20x20 材質：A6N01SS-T5</t>
  </si>
  <si>
    <t>HFS5-2020-113.5-TPW</t>
  </si>
  <si>
    <t>研究（振動試験）</t>
  </si>
  <si>
    <t>SV 1F</t>
  </si>
  <si>
    <t>https://jp.misumi-ec.com/vona2/detail/110302683830/?KWSearch=%e3%82%a2%e3%83%ab%e3%83%9f%e3%83%95%e3%83%ac%e3%83%bc%e3%83%a0&amp;searchFlow=results2products</t>
  </si>
  <si>
    <t>20mm角アルミフレーム (長さ：60mm)</t>
  </si>
  <si>
    <t>HFS5-2020-60-TPW</t>
  </si>
  <si>
    <t>HFS5-2020-60</t>
  </si>
  <si>
    <t>薄型ブラケット</t>
  </si>
  <si>
    <t>ミスミ　5シリーズ（溝幅6mm）材質：A6N01SS-T5</t>
  </si>
  <si>
    <t>HBLSS5-SST</t>
  </si>
  <si>
    <t>https://jp.misumi-ec.com/vona2/detail/110300438930/?CategorySpec=00000191172%3a%3ab%0900000191181%3a%3ac&amp;clkid=clkid_list_template</t>
  </si>
  <si>
    <t>全ねじ（M5-20mm）</t>
  </si>
  <si>
    <t>材質：S45C（スチール）</t>
  </si>
  <si>
    <t>FAB5-20</t>
  </si>
  <si>
    <t>https://jp.misumi-ec.com/vona2/detail/110302679630/?CategorySpec=00000216954%3a%3amig00000002481714%0900000216911%3a%3amig00000002481707%2c20&amp;clkid=clkid_list_template</t>
  </si>
  <si>
    <t>Paraguay Flag</t>
  </si>
  <si>
    <t>16×24 ｃm</t>
  </si>
  <si>
    <t>15,40</t>
  </si>
  <si>
    <t>http://tospa.shop-pro.jp/?pid=8765299</t>
  </si>
  <si>
    <t>https://www.amazon.co.jp/ELEGOO-PLA-3D%E3%83%97%E3%83%AA%E3%83%B3%E3%82%BF%E3%83%BC%E3%83%95%E3%82%A3%E3%83%A9%E3%83%A1%E3%83%B3%E3%83%88%E5%AF%B8%E6%B3%95%E7%B2%BE%E5%BA%A6-0-03-kg%E3%82%B9%E3%83%97%E3%83%BC%E3%83%AB1-75/dp/B07K1QMLFW/ref=sr_1_1_sspa?__mk_ja_JP=%E3%82%AB%E3%82%BF%E3%82%AB%E3%83%8A&amp;crid=2VLF76VI7S5JD&amp;keywords=alunar+pla%E3%83%95%E3%82%A3%E3%83%A9%E3%83%A1%E3%83%B3%E3%83%88&amp;qid=1575457013&amp;s=industrial&amp;sprefix=ALUNAR+%2Cindustrial%2C228&amp;sr=1-1-spons&amp;psc=1&amp;spLa=ZW5jcnlwdGVkUXVhbGlmaWVyPUEzT1g5U1pYN0NMS0JSJmVuY3J5cHRlZElkPUEwNDIzMTUxMlpaUktNM1pNVzBONSZlbmNyeXB0ZWRBZElkPUFEQzZNWTIyV0tJQjYmd2lkZ2V0TmFtZT1zcF9hdGYmYWN0aW9uPWNsaWNrUmVkaXJlY3QmZG9Ob3RMb2dDbGljaz10cnVl</t>
  </si>
  <si>
    <t>MMCX male right angle to IPX RG178 20cm</t>
  </si>
  <si>
    <t>AC-M01RA-U04RJ178-20</t>
  </si>
  <si>
    <t>送料30$</t>
  </si>
  <si>
    <t>SMAオス→SMAメス→SMAメス T型アダプタ 分岐アダプタ</t>
  </si>
  <si>
    <t>SMAプラグ，ジャック，ジャック　T型コネクタ</t>
  </si>
  <si>
    <t>Superbat</t>
  </si>
  <si>
    <t>SMAT型メス</t>
  </si>
  <si>
    <t>TEC</t>
  </si>
  <si>
    <t>https://www.amazon.co.jp/Superbat-SMA%E3%82%AA%E3%82%B9%E2%86%92SMA%E3%83%A1%E3%82%B9%E2%86%92SMA%E3%83%A1%E3%82%B9-T%E5%9E%8B%E3%82%A2%E3%83%80%E3%83%97%E3%82%BF-%E6%8E%A5%E7%B6%9A%E3%83%BB%E4%B8%AD%E7%B6%99%E3%83%BB%E5%88%86%E9%85%8D%E7%94%A8-%E3%82%A2%E3%83%B3%E3%83%86%E3%83%8A%E3%83%BB%E3%82%B1%E3%83%BC%E3%83%96%E3%83%AB%E3%81%AA%E3%81%A9%E7%94%A8/dp/B00PANPPLQ/ref=pd_sbs_21_1</t>
  </si>
  <si>
    <t>ALTERA USB Blaster互換JTagケーブル [並行輸入品]</t>
  </si>
  <si>
    <t>USB Blaster JTAG</t>
  </si>
  <si>
    <t>ノーブランド</t>
  </si>
  <si>
    <t>https://www.amazon.co.jp/gp/product/B00VUWNN74/ref=oh_aui_detailpage_o01_s00?ie=UTF8&amp;psc=1</t>
  </si>
  <si>
    <t>光学特性測定用基板（青）</t>
  </si>
  <si>
    <t>増井運営費</t>
  </si>
  <si>
    <t>リジッド基板</t>
  </si>
  <si>
    <t>P-ban.com</t>
  </si>
  <si>
    <t>研究</t>
  </si>
  <si>
    <t>Room 407</t>
  </si>
  <si>
    <t>光学特性測定用基板（白）</t>
  </si>
  <si>
    <t>光学特性測定用基板（黒）</t>
  </si>
  <si>
    <t>光学特性測定用基板（艶無黒）</t>
  </si>
  <si>
    <t>SMPM FEMALE TO SMA MALE CABLE AS</t>
  </si>
  <si>
    <t xml:space="preserve"> Multiplexer/Demultiplexer 4 x 2:1 16-SSOP</t>
  </si>
  <si>
    <t xml:space="preserve"> Texas Instruments</t>
  </si>
  <si>
    <t xml:space="preserve"> 296-17511-1-ND</t>
  </si>
  <si>
    <t xml:space="preserve"> SN74CB3Q3257DBQR</t>
  </si>
  <si>
    <t>16-SSOP</t>
  </si>
  <si>
    <t>https://www.digikey.jp/product-detail/en/texas-instruments/SN74CB3Q3257DBQR/296-17511-1-ND/700058</t>
  </si>
  <si>
    <t>CFRP プレート</t>
  </si>
  <si>
    <t>139*374*6.75 mm</t>
  </si>
  <si>
    <t>三協製作所</t>
  </si>
  <si>
    <t>https://www.sankyo-ss.co.jp/</t>
  </si>
  <si>
    <t>アルミ　プレート</t>
  </si>
  <si>
    <t>10*350*15 mm</t>
  </si>
  <si>
    <t>PPFNN-350-10-15</t>
  </si>
  <si>
    <t>https://jp.misumi-ec.com/vona2/detail/110300539550/?rid=rid3</t>
  </si>
  <si>
    <t>M3-12 六角穴付きボルト</t>
  </si>
  <si>
    <t>M3-12*0.5</t>
  </si>
  <si>
    <t>CSHSM-SUS-M3-10</t>
  </si>
  <si>
    <t>https://jp.misumi-ec.com/vona2/detail/221000551365/?HissuCode=CSHSM-SUS-M3-10</t>
  </si>
  <si>
    <t>エンドミル</t>
  </si>
  <si>
    <t>UEMURA</t>
  </si>
  <si>
    <t>刃径:3㎜ 刃長:20㎜</t>
  </si>
  <si>
    <t>VAC-PEM4EXL3-20</t>
  </si>
  <si>
    <t>https://jp.misumi-ec.com/vona2/detail/110600437470/?CategorySpec=SP464389::nvd00000000000591%09SP464390::nvd00000000000162&amp;clkid=clkid_list_template</t>
  </si>
  <si>
    <t>UVカット透明カバーフィルム/UV film</t>
  </si>
  <si>
    <t>210x297 mm, Glossy transparent, cut UV by 95%</t>
  </si>
  <si>
    <t>A-one</t>
  </si>
  <si>
    <t>https://www.monotaro.com/g/00243925/?t.q=UV</t>
  </si>
  <si>
    <t>UVカットガラス飛散防止シート</t>
  </si>
  <si>
    <t>180x46cm</t>
  </si>
  <si>
    <t>Asahipen</t>
  </si>
  <si>
    <t>UH1</t>
  </si>
  <si>
    <t>https://www.monotaro.com/g/01291890/?t.q=UV%83J%83b%83g%93%A7%96%BE%83J%83o%81%5B%83t%83B%83%8B%83%80</t>
  </si>
  <si>
    <t>Pin header, 12 pin right angle</t>
  </si>
  <si>
    <t>PSR-210154-00 12-Pin header (pin) PCB mounting hole diameter 0.8 (H = 1.5)</t>
  </si>
  <si>
    <t>PSR-210154-12</t>
  </si>
  <si>
    <t>2F SVBL</t>
  </si>
  <si>
    <t>A3C-50DA-2DSA (71)</t>
  </si>
  <si>
    <t>Pin Connector, 4 pin</t>
  </si>
  <si>
    <t>4 Position Receptacle Connector 0.079" (2.00mm)</t>
  </si>
  <si>
    <t>H10891-ND</t>
  </si>
  <si>
    <t>A3C-4DA-2DSA(71)</t>
  </si>
  <si>
    <t>https://www.digikey.jp/products/en?keywords=%09H10891-ND</t>
  </si>
  <si>
    <t>Connector header, 2POS 2mm</t>
  </si>
  <si>
    <t>Connector jumper shorting, 2POS 2mm</t>
  </si>
  <si>
    <t>2 (1 x 2) Position Shunt Connector Open Top 0.079" (2.00mm)</t>
  </si>
  <si>
    <t>S9339-ND</t>
  </si>
  <si>
    <t>SPN02SXCN-RC</t>
  </si>
  <si>
    <t>https://www.digikey.jp/product-detail/en/sullins-connector-solutions/SPN02SXCN-RC/S9339-ND/2618264</t>
  </si>
  <si>
    <t>IC CPLD</t>
  </si>
  <si>
    <t>IC CPLD 256MC 7.5NS 144TQFP</t>
  </si>
  <si>
    <t>Lattice Semiconductor Corporation</t>
  </si>
  <si>
    <t>220-1030-ND</t>
  </si>
  <si>
    <t>LC4256ZE-7TN144I</t>
  </si>
  <si>
    <t>144-TQFP (20x20)</t>
  </si>
  <si>
    <t>https://www.digikey.jp/product-detail/en/lattice-semiconductor-corporation/LC4256ZE-7TN144I/220-1030-ND/2641831</t>
  </si>
  <si>
    <t>IC Voltage Regulator</t>
  </si>
  <si>
    <t>Linear Voltage Regulator IC 1 Output 1A SOT-223</t>
  </si>
  <si>
    <t>NCV1117ST18T3GOSCT-ND</t>
  </si>
  <si>
    <t>NCV1117ST18T3G</t>
  </si>
  <si>
    <t>https://www.digikey.jp/product-detail/en/on-semiconductor/NCV1117ST18T3G/NCV1117ST18T3GOSCT-ND/3487436</t>
  </si>
  <si>
    <t>https://www.digikey.jp/products/en?keywords=1276-3538-1-ND%09</t>
  </si>
  <si>
    <t>22µF ±20% 4V Ceramic Capacitor X5R 0603/1608</t>
  </si>
  <si>
    <t>587-3262-1-ND</t>
  </si>
  <si>
    <t>AMK107BBJ226MAHT</t>
  </si>
  <si>
    <t>https://www.digikey.jp/product-detail/en/taiyo-yuden/AMK107BBJ226MAHT/587-3262-1-ND/4157229</t>
  </si>
  <si>
    <t>4.7µF ±10% 25V Ceramic Capacitor X6S 0603/1608</t>
  </si>
  <si>
    <t>490-12295-1-ND</t>
  </si>
  <si>
    <t>GRT188C81E475KE13D</t>
  </si>
  <si>
    <t>https://www.digikey.jp/product-detail/en/murata-electronics/GRT188C81E475KE13D/490-12295-1-ND/5416996</t>
  </si>
  <si>
    <t>600 Ohms @ 100MHz 1 Ferrite Bead 0603/1608</t>
  </si>
  <si>
    <t>490-1014-1-ND</t>
  </si>
  <si>
    <t>BLM18AG601SN1D</t>
  </si>
  <si>
    <t>https://www.digikey.jp/product-detail/en/murata-electronics/BLM18AG601SN1D/490-1014-1-ND/584462</t>
  </si>
  <si>
    <t>Jumper Wire Kit</t>
  </si>
  <si>
    <t>Jumper Wire Kit - Pre-Formed for Breadboard Various 140 per Pkg</t>
  </si>
  <si>
    <t>【ｻﾝﾌﾟﾗﾃｯｸ】PTFEｼｰﾄ</t>
  </si>
  <si>
    <t>増井の運営費</t>
  </si>
  <si>
    <t>1000*300*0.5mm</t>
  </si>
  <si>
    <t>サンプラテック</t>
  </si>
  <si>
    <t>ステッピングモータ 5個セット</t>
  </si>
  <si>
    <t>28BYJ-48 ULN2003</t>
  </si>
  <si>
    <t>B06XCSCD8T</t>
  </si>
  <si>
    <t>Resarch</t>
  </si>
  <si>
    <t>https://www.amazon.co.jp/gp/product/B06XCSCD8T/ref=ppx_yo_dt_b_asin_title_o09_s00?ie=UTF8&amp;psc=1</t>
  </si>
  <si>
    <t>ベルトギアセット</t>
  </si>
  <si>
    <t>GT2 タイミングベルト</t>
  </si>
  <si>
    <t>KeeYees</t>
  </si>
  <si>
    <t>B07SH7ZYTV</t>
  </si>
  <si>
    <t>https://www.amazon.co.jp/gp/product/B07SH7ZYTV/ref=ppx_yo_dt_b_asin_title_o08_s00?ie=UTF8&amp;psc=1</t>
  </si>
  <si>
    <t>UARTBluetooth通信モジュール</t>
  </si>
  <si>
    <t>HC-06</t>
  </si>
  <si>
    <t>WINGONEER</t>
  </si>
  <si>
    <t>B07M9XRFG7</t>
  </si>
  <si>
    <t>https://www.amazon.co.jp/gp/product/B07M9XRFG7/ref=ppx_yo_dt_b_asin_title_o07_s00?ie=UTF8&amp;psc=1</t>
  </si>
  <si>
    <t>樹脂リニアベアリング 8個セット</t>
  </si>
  <si>
    <t>LM8UUベアリング8mmシャフトx</t>
  </si>
  <si>
    <t>B07XQ68Q34</t>
  </si>
  <si>
    <t>https://www.amazon.co.jp/gp/product/B07XQ68Q34/ref=ppx_yo_dt_b_asin_title_o06_s00?ie=UTF8&amp;psc=1</t>
  </si>
  <si>
    <t>FRPグラスファイバ 樹脂ロッド 3本入</t>
  </si>
  <si>
    <t>8mm 500 FRP</t>
  </si>
  <si>
    <t>B07V3Q3NGV</t>
  </si>
  <si>
    <t>https://www.amazon.co.jp/gp/product/B07V3Q3NGV/ref=ppx_yo_dt_b_asin_title_o05_s00?ie=UTF8&amp;psc=1</t>
  </si>
  <si>
    <t>カーボンファイバ 樹脂ロッド</t>
  </si>
  <si>
    <t>8mm 400 CB</t>
  </si>
  <si>
    <t>B07Q27CY6P</t>
  </si>
  <si>
    <t>https://www.amazon.co.jp/gp/product/B07Q27CY6P/ref=ppx_yo_dt_b_asin_title_o04_s00?ie=UTF8&amp;psc=1</t>
  </si>
  <si>
    <t>DCギアモータ</t>
  </si>
  <si>
    <t>M4x55 6V200RPM</t>
  </si>
  <si>
    <t>B07HQQTH7V</t>
  </si>
  <si>
    <t>https://www.amazon.co.jp/gp/product/B07HQQTH7V/ref=ppx_yo_dt_b_asin_title_o03_s00?ie=UTF8&amp;psc=1</t>
  </si>
  <si>
    <t>Arduino mini 3個セット</t>
  </si>
  <si>
    <t>ATMEGA328P</t>
  </si>
  <si>
    <t>HiLetgo</t>
  </si>
  <si>
    <t>B013QV2EQM</t>
  </si>
  <si>
    <t>https://www.amazon.co.jp/gp/product/B013QV2EQM/ref=ppx_yo_dt_b_asin_title_o02_s00?ie=UTF8&amp;psc=1</t>
  </si>
  <si>
    <t>USB TTL コンバータ</t>
  </si>
  <si>
    <t>FTDI FT232RL</t>
  </si>
  <si>
    <t>B011QQJ034</t>
  </si>
  <si>
    <t>https://www.amazon.co.jp/gp/product/B011QQJ034/ref=ppx_yo_dt_b_asin_title_o01_s00?ie=UTF8&amp;psc=1</t>
  </si>
  <si>
    <t>Li-Po防爆バッグ</t>
  </si>
  <si>
    <t>240x65x180mm</t>
  </si>
  <si>
    <t>KUSSN</t>
  </si>
  <si>
    <t>B0728HBNCX</t>
  </si>
  <si>
    <t>https://www.amazon.co.jp/gp/product/B0728HBNCX/ref=ppx_yo_dt_b_asin_title_o00_s00?ie=UTF8&amp;psc=1</t>
  </si>
  <si>
    <t>FFCケーブル 10個入</t>
  </si>
  <si>
    <t>0.5x10x200</t>
  </si>
  <si>
    <t>B01G85CSCS</t>
  </si>
  <si>
    <t>FFC</t>
  </si>
  <si>
    <t>https://www.amazon.co.jp/gp/product/B01G85CSCS/ref=ppx_yo_dt_b_asin_title_o00_s00?ie=UTF8&amp;psc=1</t>
  </si>
  <si>
    <t>FFCコネクタ 10個入</t>
  </si>
  <si>
    <t>0.5x10</t>
  </si>
  <si>
    <t>B07W4F87D1</t>
  </si>
  <si>
    <t>https://www.amazon.co.jp/gp/product/B07W4F87D1/ref=ppx_yo_dt_b_asin_title_o01_s00?ie=UTF8&amp;psc=1</t>
  </si>
  <si>
    <t>アクリル板（ホームセンター）</t>
  </si>
  <si>
    <t>300x400</t>
  </si>
  <si>
    <t>アクリルサンデー</t>
  </si>
  <si>
    <t>LoRa® Wireless RF Transceiver Module</t>
  </si>
  <si>
    <t>DEMO BOARD RN2483 LORA MOTE</t>
  </si>
  <si>
    <t>DM164138-ND</t>
  </si>
  <si>
    <t>DM164138</t>
  </si>
  <si>
    <t>https://www.digikey.jp/products/en?keywords=DM164138</t>
  </si>
  <si>
    <t>プリント配線板材料</t>
  </si>
  <si>
    <t>岸本</t>
  </si>
  <si>
    <t>RT8550 457x305mm, 1.575mm</t>
  </si>
  <si>
    <t>Rogers</t>
  </si>
  <si>
    <t>ニューメタルス大阪支店（ロジャースジャパン代理店）</t>
  </si>
  <si>
    <t>RT/duroid5880 18x12 1R/1R 0620</t>
  </si>
  <si>
    <t>AD831 高周波 RF ミキサーモジュール 1-500 mhz 帯域幅デュアルバランスミキサーシングルチップ無線周波数コンバータ</t>
  </si>
  <si>
    <t>1-500MHz</t>
  </si>
  <si>
    <t>Lufasa</t>
  </si>
  <si>
    <t>AD831</t>
  </si>
  <si>
    <t>SPATIUM-II</t>
  </si>
  <si>
    <t>https://www.amazon.co.jp/gp/offer-listing/B07RRMLG9G/ref=dp_olp_new_mbc?ie=UTF8&amp;condition=new</t>
  </si>
  <si>
    <t>RFスイッチ</t>
  </si>
  <si>
    <t>EVAL-ADG902EBZ-ND</t>
  </si>
  <si>
    <t>EVAL-ADG902EBZ</t>
  </si>
  <si>
    <t>https://www.digikey.jp/product-detail/ja/analog-devices-inc/EVAL-ADG902EBZ/EVAL-ADG902EBZ-ND/1556024</t>
  </si>
  <si>
    <t xml:space="preserve">Hari </t>
  </si>
  <si>
    <t>Charger/DischargerV</t>
  </si>
  <si>
    <t>https://www.digikey.jp/products/ja?keywords=NCV7805BD2TG</t>
  </si>
  <si>
    <t>Repair</t>
  </si>
  <si>
    <t>2POS 2mm 51090-0200</t>
  </si>
  <si>
    <t>30mm角アルミフレーム</t>
  </si>
  <si>
    <t>30mm角 L=1300</t>
  </si>
  <si>
    <t>HFSL6-3030-1300</t>
  </si>
  <si>
    <t>Lab</t>
  </si>
  <si>
    <t>https://jp.misumi-ec.com/vona2/detail/110302686450/?HissuCode=HFSL6-3030-200&amp;PNSearch=HFSL6-3030-200&amp;KWSearch=HFSL6-3030-200&amp;searchFlow=results2products</t>
  </si>
  <si>
    <t>30mm角 L=620</t>
  </si>
  <si>
    <t>HFSL6-3030-620</t>
  </si>
  <si>
    <t>30mm角 L=200</t>
  </si>
  <si>
    <t>HFSL6-3030-200</t>
  </si>
  <si>
    <t>突起付反転ブラケット</t>
  </si>
  <si>
    <t>コーナーブランケット</t>
  </si>
  <si>
    <t>HBLFN6-SSU</t>
  </si>
  <si>
    <t>https://jp.misumi-ec.com/vona2/detail/110300442340/?HissuCode=HBLFSN6-SSU</t>
  </si>
  <si>
    <t>ブラインドブラケット</t>
  </si>
  <si>
    <t>ブラインドブランケット</t>
  </si>
  <si>
    <t>HBLBS6</t>
  </si>
  <si>
    <t>https://jp.misumi-ec.com/vona2/detail/110300445410/?CategorySpec=00000191171%3a%3ac&amp;clkid=clkid_list_template</t>
  </si>
  <si>
    <t>25mm角アルミフレーム</t>
  </si>
  <si>
    <t>25mm角 L=335.5</t>
  </si>
  <si>
    <t>HFSB5-2525-335.5</t>
  </si>
  <si>
    <t>https://jp.misumi-ec.com/vona2/detail/110302685050/?CategorySpec=00000173432%3a%3amig00000002491549%0900000173392%3a%3ab&amp;clkid=clkid_list_template</t>
  </si>
  <si>
    <t>25mm角 L=177</t>
  </si>
  <si>
    <t>HFSB5-2525-177</t>
  </si>
  <si>
    <t>25mm角 L=50</t>
  </si>
  <si>
    <t>HFSB5-2525-50</t>
  </si>
  <si>
    <t>25mm角 L=100</t>
  </si>
  <si>
    <t>HFSB5-2525-100</t>
  </si>
  <si>
    <t>キャップ</t>
  </si>
  <si>
    <t>25mm角用</t>
  </si>
  <si>
    <t>HFC5-2525-B</t>
  </si>
  <si>
    <t>https://jp.misumi-ec.com/vona2/detail/110300440510/?CategorySpec=00000260741%3a%3aa&amp;clkid=clkid_list_template</t>
  </si>
  <si>
    <t>HBLFSNB5-SEU</t>
  </si>
  <si>
    <t>https://jp.misumi-ec.com/vona2/detail/110300437260/?CategorySpec=00000191172%3a%3ab%0900000191176%3a%3ac%0900000191186%3a%3aa&amp;clkid=clkid_list_template</t>
  </si>
  <si>
    <t>SHBLBS5</t>
  </si>
  <si>
    <t>https://jp.misumi-ec.com/vona2/detail/110300439970/?CategorySpec=00000191171%3a%3ab&amp;clkid=clkid_list_template</t>
  </si>
  <si>
    <t>25mm角 L=222</t>
  </si>
  <si>
    <t>HFSB5-2525-222</t>
  </si>
  <si>
    <t>25mm角 L=108.5</t>
  </si>
  <si>
    <t>HFSB5-2525-108.5</t>
  </si>
  <si>
    <t>A5052P 226.2x99.9x5mm</t>
  </si>
  <si>
    <t>A5052P-6F-BS-NNN-226.2-99.9-5</t>
  </si>
  <si>
    <t>https://jp.misumi-ec.com/vona2/detail/110310113219/?HissuCode=A5052P-6F-BSXC-NNN-226.2-99.9-4.9</t>
  </si>
  <si>
    <t>A5052P 99.9x99.9x2.9</t>
  </si>
  <si>
    <t>A5052P-6F-BSXB-NNN-99.9-99.9-2.9</t>
  </si>
  <si>
    <t>https://jp.misumi-ec.com/vona2/detail/110310113219/?HissuCode=A5052P-6F-BSXB-NNN-99.9-99.9-2.9</t>
  </si>
  <si>
    <t>arduino nano</t>
  </si>
  <si>
    <t>MEXT(BIRDS)</t>
  </si>
  <si>
    <t>Hiraka</t>
  </si>
  <si>
    <t>プログラム書込み済みのATMEGA328P-AU</t>
  </si>
  <si>
    <t>Arduino srl</t>
  </si>
  <si>
    <t>M-09059</t>
  </si>
  <si>
    <t>Arduino Nano</t>
  </si>
  <si>
    <t>PBL team A</t>
  </si>
  <si>
    <t>4F</t>
  </si>
  <si>
    <t>http://akizukidenshi.com/catalog/g/gM-09059/</t>
  </si>
  <si>
    <t>トワイライトワイヤレスモジュール　ＴＷＥ－Ｌｉｔｅ－Ｄｉｐ－ＷＡ</t>
  </si>
  <si>
    <t>動作電圧：2.3~3.6V 無線規格：IEEE802.15.4
送信出力：2.5dBm 受信感度：-95dBm</t>
  </si>
  <si>
    <t>モノワイヤレス株式会社</t>
  </si>
  <si>
    <t>M-06760</t>
  </si>
  <si>
    <t>TWE-L-DI-W</t>
  </si>
  <si>
    <t>http://akizukidenshi.com/catalog/g/gM-06760/</t>
  </si>
  <si>
    <t>ブレッドボード・ジャンパーワイヤ（オス－オス）セット　各種　合計６０本以上</t>
  </si>
  <si>
    <t>長さ：10cm~25cm 本数：1袋に60本以上 色：ロットにより変動</t>
  </si>
  <si>
    <t xml:space="preserve">Cixi Wanjie Electronic Co.,Ltd(慈渓市万捷電子有限公司)
</t>
  </si>
  <si>
    <t>C-05159</t>
  </si>
  <si>
    <t>BBJ-65</t>
  </si>
  <si>
    <t>http://akizukidenshi.com/catalog/g/gC-05159/</t>
  </si>
  <si>
    <t>ＢＭＥ２８０使用　温湿度・気圧センサモジュールキット</t>
  </si>
  <si>
    <t>電源電圧：1.71V~3.6V 温度：-40~+85℃、 ±1℃</t>
  </si>
  <si>
    <t>K-09421</t>
  </si>
  <si>
    <t>ＵＳＢアダプター　ＴＷＥ－Ｌｉｔｅ－Ｒ（トワイ・ライター）（ソケット付完成品）</t>
  </si>
  <si>
    <t>USBバスパワー(外部給電も可) 3.3V系電源供給能力：35mA
使用USB UART：TF232RQ</t>
  </si>
  <si>
    <t>M-08264</t>
  </si>
  <si>
    <t>TWE-LITE-R</t>
  </si>
  <si>
    <t>http://akizukidenshi.com/catalog/g/gM-08264/</t>
  </si>
  <si>
    <t>ＵＳＢケーブル　ＵＳＢ２．０　Ａオス－ミニＢオス　１．５ｍ　Ａ－ｍｉｎｉＢ</t>
  </si>
  <si>
    <t>伝送規格：USB2.0 コネクタ：Type-Aオス、Mini-Bオス
長さ：1.5m(ケーブル径：実測3.6mm)</t>
  </si>
  <si>
    <t>XIAMEN UME ELECTRONICS CO.，LTD.</t>
  </si>
  <si>
    <t>C-07606</t>
  </si>
  <si>
    <t>USBcable A-miniB</t>
  </si>
  <si>
    <t>http://akizukidenshi.com/catalog/g/gC-07606/</t>
  </si>
  <si>
    <t>００６Ｐ電池ボックス　ふた付スイッチ付　ＳＢＨ－９ＶＡＳ１５０</t>
  </si>
  <si>
    <t>006Pタイプ電池×1本用 プラスチック製 ふた付 スイッチ</t>
  </si>
  <si>
    <t>COMFORTABLE ELECTRONIC CO., LTD(COMF)</t>
  </si>
  <si>
    <t>P-02668</t>
  </si>
  <si>
    <t>SBH-9VAS150</t>
  </si>
  <si>
    <t>http://akizukidenshi.com/catalog/g/gP-02668/</t>
  </si>
  <si>
    <t>Ａｒｄｕｉｎｏ　Ｎａｎｏ</t>
  </si>
  <si>
    <t>大谷</t>
  </si>
  <si>
    <t xml:space="preserve">・搭載マイコン：プログラム書込み済みのATMEGA328P-AU
</t>
  </si>
  <si>
    <t>PBL team C</t>
  </si>
  <si>
    <t>ＯＶ２６４０使用２００万画素カメラ　フレームバッファ付き　Ｍ１２ピンホール　Ｂ００６７</t>
  </si>
  <si>
    <t>・電源電圧：DC5V
・消費電流：ノーマル70mA、ローパワーモード20mA
・フレームバッファ：384KB</t>
  </si>
  <si>
    <t>M-13199</t>
  </si>
  <si>
    <t>B0067</t>
  </si>
  <si>
    <t>http://akizukidenshi.com/catalog/g/gM-13199/</t>
  </si>
  <si>
    <t>愛雅堂 双眼 カメラモジュール UVC カメラ Pi Webカメラ</t>
  </si>
  <si>
    <t xml:space="preserve">双眼3Dカメララモジュール、USB2.0ポートプラグアンドプレイ </t>
  </si>
  <si>
    <t>https://www.amazon.co.jp/愛雅堂-コンピュータビジョン-デュアルレンズカメラ-ArduinoRaspberry-日本語のチュートリアル/dp/B07PN518TB</t>
  </si>
  <si>
    <t>ふとん圧縮袋</t>
  </si>
  <si>
    <t>安島</t>
  </si>
  <si>
    <t>2枚セット 120×92cm</t>
  </si>
  <si>
    <t>オリエント</t>
  </si>
  <si>
    <t>5S</t>
  </si>
  <si>
    <t>7F</t>
  </si>
  <si>
    <t>https://www.amazon.co.jp/dp/B000EERL0O/</t>
  </si>
  <si>
    <t>Water hose connectors</t>
  </si>
  <si>
    <t>1f</t>
  </si>
  <si>
    <t>アクリル板</t>
  </si>
  <si>
    <t>5mm 300x300</t>
  </si>
  <si>
    <t>コモグラス</t>
  </si>
  <si>
    <t>https://www.monotaro.com/p/3661/0201/?t.q=%83A%83N%83%8A%83%8B%94%C2</t>
  </si>
  <si>
    <t>ナイロンチューブ</t>
  </si>
  <si>
    <t>6mm</t>
  </si>
  <si>
    <t>MN0640-5-B</t>
  </si>
  <si>
    <t>https://www.monotaro.com/p/6069/7972/</t>
  </si>
  <si>
    <t>チューブフィッターカプラ</t>
  </si>
  <si>
    <t>1/4 to 6mm チューブ</t>
  </si>
  <si>
    <t>SMC</t>
  </si>
  <si>
    <t>60PC</t>
  </si>
  <si>
    <t>https://www.monotaro.com/p/3473/0674/?t.q=%83%8F%83%93%83%5E%83b%83%60%83J%83v%83%89</t>
  </si>
  <si>
    <t>チューブ用分岐チーズ</t>
  </si>
  <si>
    <t>KQ2T</t>
  </si>
  <si>
    <t>KQ2T06-00A</t>
  </si>
  <si>
    <t>https://www.monotaro.com/p/4121/5343/?displayId=5</t>
  </si>
  <si>
    <t>アラルダイト</t>
  </si>
  <si>
    <t>急速硬化</t>
  </si>
  <si>
    <t>ARALDITE RT30</t>
  </si>
  <si>
    <t>https://www.monotaro.com/p/3466/5565/?t.q=%83A%83%89%83%8B%83_%83C%83g</t>
  </si>
  <si>
    <t>キムタオル</t>
  </si>
  <si>
    <t>https://www.monotaro.com/p/3257/5794/?displayId=4</t>
  </si>
  <si>
    <t>MSOP DIP変換基板</t>
  </si>
  <si>
    <t>10pin 0.5</t>
  </si>
  <si>
    <t>P-06863</t>
  </si>
  <si>
    <t>AE-MSOP10</t>
  </si>
  <si>
    <t>http://akizukidenshi.com/catalog/g/gP-06863/</t>
  </si>
  <si>
    <t>ジャンパワイヤ</t>
  </si>
  <si>
    <t>赤150mm</t>
  </si>
  <si>
    <t>E-CALL</t>
  </si>
  <si>
    <t>P-02932</t>
  </si>
  <si>
    <t>116-719-01-015</t>
  </si>
  <si>
    <t>http://akizukidenshi.com/catalog/g/gP-02932/</t>
  </si>
  <si>
    <t>黒150mm</t>
  </si>
  <si>
    <t>P-02933</t>
  </si>
  <si>
    <t>0116-719-05-015</t>
  </si>
  <si>
    <t>http://akizukidenshi.com/catalog/g/gP-02933/</t>
  </si>
  <si>
    <t>赤片メス150mm</t>
  </si>
  <si>
    <t>P-03471</t>
  </si>
  <si>
    <t>0116-71904-01-015</t>
  </si>
  <si>
    <t>http://akizukidenshi.com/catalog/g/gP-03471/</t>
  </si>
  <si>
    <t>黒片メス150mm</t>
  </si>
  <si>
    <t>P-03472</t>
  </si>
  <si>
    <t>0116-71904-05-015</t>
  </si>
  <si>
    <t>http://akizukidenshi.com/catalog/g/gP-03472/</t>
  </si>
  <si>
    <t>Raspberry pi zeroWH</t>
  </si>
  <si>
    <t>WH</t>
  </si>
  <si>
    <t>raspberry pi</t>
  </si>
  <si>
    <t>M-12961</t>
  </si>
  <si>
    <t>Raspberry Pi Zero WH</t>
  </si>
  <si>
    <t>http://akizukidenshi.com/catalog/g/gM-12961/</t>
  </si>
  <si>
    <t>399-11163-1-ND</t>
  </si>
  <si>
    <t>C0805C104J4RACTU</t>
  </si>
  <si>
    <t>OBC/EPS, ADCS, Access Board</t>
  </si>
  <si>
    <t>2F, SVBL</t>
  </si>
  <si>
    <t>https://www.digikey.jp/product-detail/en/kemet/C0805C104J4RACTU/399-11163-1-ND/4357875</t>
  </si>
  <si>
    <t>100nF</t>
  </si>
  <si>
    <t>https://www.digikey.jp/product-detail/en/murata-electronics/GRM21BR60J107ME15L/490-13981-1-ND/6155811</t>
  </si>
  <si>
    <t>399-7411-1-ND</t>
  </si>
  <si>
    <t>C0805C106K8RACTU</t>
  </si>
  <si>
    <t>https://www.digikey.jp/product-detail/en/kemet/C0805C106K8RACTU/399-7411-1-ND/3317445</t>
  </si>
  <si>
    <t>12pF</t>
  </si>
  <si>
    <t>399-17427-1-ND</t>
  </si>
  <si>
    <t>C0805C120J3GAC7800</t>
  </si>
  <si>
    <t>https://www.digikey.jp/product-detail/en/kemet/C0805C120J3GAC7800/399-17427-1-ND/8570394</t>
  </si>
  <si>
    <t>180pF</t>
  </si>
  <si>
    <t>399-9182-1-ND</t>
  </si>
  <si>
    <t>C0805C181K5GACTU</t>
  </si>
  <si>
    <t>https://www.digikey.jp/product-detail/en/kemet/C0805C181K5GACTU/399-9182-1-ND/3522700</t>
  </si>
  <si>
    <t>15uF</t>
  </si>
  <si>
    <t>445-14559-1-ND</t>
  </si>
  <si>
    <t>C2012X7S1A156M125AC</t>
  </si>
  <si>
    <t>https://www.digikey.jp/product-detail/en/tdk-corporation/C2012X7S1A156M125AC/445-14559-1-ND/3956225</t>
  </si>
  <si>
    <t>399-1172-1-ND</t>
  </si>
  <si>
    <t>C0805C105K8RACTU</t>
  </si>
  <si>
    <t>https://www.digikey.jp/product-detail/en/kemet/C0805C105K8RACTU/399-1172-1-ND/411447</t>
  </si>
  <si>
    <t>22uF</t>
  </si>
  <si>
    <t>490-9959-1-ND</t>
  </si>
  <si>
    <t>GRM21BD71A226ME44L</t>
  </si>
  <si>
    <t>https://www.digikey.jp/product-detail/en/murata-electronics/GRM21BD71A226ME44L/490-9959-1-ND/5026434</t>
  </si>
  <si>
    <t>220nF</t>
  </si>
  <si>
    <t>399-8051-1-ND</t>
  </si>
  <si>
    <t>C0805C224K4RACTU</t>
  </si>
  <si>
    <t>https://www.digikey.jp/product-detail/en/kemet/C0805C224K4RACTU/399-8051-1-ND/3471774</t>
  </si>
  <si>
    <t>3300pF</t>
  </si>
  <si>
    <t>399-14593-1-ND</t>
  </si>
  <si>
    <t>C0805C332K4RAC7800</t>
  </si>
  <si>
    <t>https://www.digikey.jp/product-detail/en/kemet/C0805C332K4RAC7800/399-14593-1-ND/7103885</t>
  </si>
  <si>
    <t>390pF</t>
  </si>
  <si>
    <t>399-1132-1-ND</t>
  </si>
  <si>
    <t>C0805C391J5GACTU</t>
  </si>
  <si>
    <t>https://www.digikey.jp/product-detail/en/kemet/C0805C391J5GACTU/399-1132-1-ND/411407</t>
  </si>
  <si>
    <t>490-14466-1-ND</t>
  </si>
  <si>
    <t>GRM21BR71C475KE51L</t>
  </si>
  <si>
    <t>https://www.digikey.jp/product-detail/en/murata-electronics/GRM21BR71C475KE51L/490-14466-1-ND/6606927</t>
  </si>
  <si>
    <t>4700pF</t>
  </si>
  <si>
    <t>399-14607-1-ND</t>
  </si>
  <si>
    <t>C0805C472K4RAC7800</t>
  </si>
  <si>
    <t>https://www.digikey.jp/product-detail/en/kemet/C0805C472K4RAC7800/399-14607-1-ND/7103899</t>
  </si>
  <si>
    <t>47nF</t>
  </si>
  <si>
    <t>399-15505-1-ND</t>
  </si>
  <si>
    <t>C0805C473K4RAC7800</t>
  </si>
  <si>
    <t>https://www.digikey.jp/product-detail/en/kemet/C0805C473K4RAC7800/399-15505-1-ND/7386903</t>
  </si>
  <si>
    <t>560pF</t>
  </si>
  <si>
    <t>399-1143-1-ND</t>
  </si>
  <si>
    <t>C0805C561K5RACTU</t>
  </si>
  <si>
    <t>https://www.digikey.jp/product-detail/en/kemet/C0805C561K5RACTU/399-1143-1-ND/411418</t>
  </si>
  <si>
    <t>399-15521-1-ND</t>
  </si>
  <si>
    <t>C0805C621J5GAC7800</t>
  </si>
  <si>
    <t>https://www.digikey.jp/product-detail/en/kemet/C0805C621J5GAC7800/399-15521-1-ND/7386919</t>
  </si>
  <si>
    <t>680pF</t>
  </si>
  <si>
    <t>Würth Elektronik</t>
  </si>
  <si>
    <t>732-8032-1-ND</t>
  </si>
  <si>
    <t>https://www.digikey.jp/product-detail/en/w-rth-elektronik/885012207032/732-8032-1-ND/5454659</t>
  </si>
  <si>
    <t>8.2nF</t>
  </si>
  <si>
    <t>399-9275-1-ND</t>
  </si>
  <si>
    <t>C0805C822K5RACTU</t>
  </si>
  <si>
    <t>https://www.digikey.jp/product-detail/en/kemet/C0805C822K5RACTU/399-9275-1-ND/3522793</t>
  </si>
  <si>
    <t>100k</t>
  </si>
  <si>
    <t>digikey.jp/product-detail/en/panasonic-electronic-components/ERA-6AEB104V/P100KDACT-ND/1465995</t>
  </si>
  <si>
    <t>541-100CCT-ND</t>
  </si>
  <si>
    <t>CRCW0805100RFKEA</t>
  </si>
  <si>
    <t>https://www.digikey.jp/product-detail/en/vishay-dale/CRCW0805100RFKEA/541-100CCT-ND/1180669</t>
  </si>
  <si>
    <t>10k</t>
  </si>
  <si>
    <t>541-10.0KCCT-ND</t>
  </si>
  <si>
    <t>CRCW080510K0FKEA</t>
  </si>
  <si>
    <t>https://www.digikey.jp/product-detail/en/vishay-dale/CRCW080510K0FKEA/541-10.0KCCT-ND/1180897</t>
  </si>
  <si>
    <t>2019-UR73VD2ATTD25L0FCT-ND</t>
  </si>
  <si>
    <t>UR73VD2ATTD25L0F</t>
  </si>
  <si>
    <t>https://www.digikey.jp/product-detail/en/koa-speer-electronics-inc/UR73VD2ATTD25L0F/2019-UR73VD2ATTD25L0FCT-ND/9847760</t>
  </si>
  <si>
    <t>WSLB-.01CT-ND</t>
  </si>
  <si>
    <t>WSL0805R0100FEA18</t>
  </si>
  <si>
    <t>https://www.digikey.jp/product-detail/en/vishay-dale/WSL0805R0100FEA18/WSLB-.01CT-ND/713385</t>
  </si>
  <si>
    <t>541-2729-1-ND</t>
  </si>
  <si>
    <t>RCWE0805R150FKEA</t>
  </si>
  <si>
    <t>https://www.digikey.jp/product-detail/en/vishay-dale/RCWE0805R150FKEA/541-2729-1-ND/5773599</t>
  </si>
  <si>
    <t>311-.5LUCT-ND</t>
  </si>
  <si>
    <t>RL0805FR-7W0R5L</t>
  </si>
  <si>
    <t>https://www.digikey.jp/product-detail/en/yageo/RL0805FR-7W0R5L/311-.5LUCT-ND/3885461</t>
  </si>
  <si>
    <t>2019-SG73S2ATTD1R00FCT-ND</t>
  </si>
  <si>
    <t>SG73S2ATTD1R00F</t>
  </si>
  <si>
    <t>https://www.digikey.jp/product-detail/en/koa-speer-electronics-inc/SG73S2ATTD1R00F/2019-SG73S2ATTD1R00FCT-ND/10280138</t>
  </si>
  <si>
    <t>2019-RK73H2ATTD10R0FCT-ND</t>
  </si>
  <si>
    <t>RK73H2ATTD10R0F</t>
  </si>
  <si>
    <t>https://www.digikey.jp/product-detail/en/koa-speer-electronics-inc/RK73H2ATTD10R0F/2019-RK73H2ATTD10R0FCT-ND/10234529</t>
  </si>
  <si>
    <t>105k</t>
  </si>
  <si>
    <t>541-105KCCT-ND</t>
  </si>
  <si>
    <t>CRCW0805105KFKEA</t>
  </si>
  <si>
    <t>https://www.digikey.jp/product-detail/en/vishay-dale/CRCW0805105KFKEA/541-105KCCT-ND/1181015</t>
  </si>
  <si>
    <t>150k</t>
  </si>
  <si>
    <t>541-150KCCT-ND</t>
  </si>
  <si>
    <t>CRCW0805150KFKEA</t>
  </si>
  <si>
    <t>https://www.digikey.jp/product-detail/en/vishay-dale/CRCW0805150KFKEA/541-150KCCT-ND/1181031</t>
  </si>
  <si>
    <t>18.7k</t>
  </si>
  <si>
    <t>541-18.7KCCT-ND</t>
  </si>
  <si>
    <t>CRCW080518K7FKEA</t>
  </si>
  <si>
    <t>https://www.digikey.jp/product-detail/en/vishay-dale/CRCW080518K7FKEA/541-18.7KCCT-ND/1180926</t>
  </si>
  <si>
    <t>180k</t>
  </si>
  <si>
    <t>541-180KCCT-ND</t>
  </si>
  <si>
    <t>CRCW0805180KFKEA</t>
  </si>
  <si>
    <t>https://www.digikey.jp/product-detail/en/vishay-dale/CRCW0805180KFKEA/541-180KCCT-ND/1181040</t>
  </si>
  <si>
    <t>1k</t>
  </si>
  <si>
    <t>541-1.00KCCT-ND</t>
  </si>
  <si>
    <t>CRCW08051K00FKEA</t>
  </si>
  <si>
    <t>https://www.digikey.jp/product-detail/en/vishay-dale/CRCW08051K00FKEA/541-1.00KCCT-ND/1180783</t>
  </si>
  <si>
    <t>541-200CCT-ND</t>
  </si>
  <si>
    <t>CRCW0805200RFKEA</t>
  </si>
  <si>
    <t>https://www.digikey.jp/product-detail/en/vishay-dale/CRCW0805200RFKEA/541-200CCT-ND/1180701</t>
  </si>
  <si>
    <t>261k</t>
  </si>
  <si>
    <t>541-261KCCT-ND</t>
  </si>
  <si>
    <t>CRCW0805261KFKEA</t>
  </si>
  <si>
    <t>https://www.digikey.jp/product-detail/en/vishay-dale/CRCW0805261KFKEA/541-261KCCT-ND/1181058</t>
  </si>
  <si>
    <t>541-4149-1-ND</t>
  </si>
  <si>
    <t>CRCW080533R0FKEAC</t>
  </si>
  <si>
    <t>https://www.digikey.jp/product-detail/en/vishay-dale/CRCW080533R0FKEAC/541-4149-1-ND/7928832</t>
  </si>
  <si>
    <t>4.7k</t>
  </si>
  <si>
    <t>541-4131-1-ND</t>
  </si>
  <si>
    <t>CRCW08054K70FKEAC</t>
  </si>
  <si>
    <t>https://www.digikey.jp/product-detail/en/vishay-dale/CRCW08054K70FKEAC/541-4131-1-ND/7928814</t>
  </si>
  <si>
    <t>4.99k</t>
  </si>
  <si>
    <t>541-4138-1-ND</t>
  </si>
  <si>
    <t>CRCW08054K99FKEAC</t>
  </si>
  <si>
    <t>https://www.digikey.jp/product-detail/en/vishay-dale/CRCW08054K99FKEAC/541-4138-1-ND/7928821</t>
  </si>
  <si>
    <t>45.3k</t>
  </si>
  <si>
    <t>541-45.3KCCT-ND</t>
  </si>
  <si>
    <t>CRCW080545K3FKEA</t>
  </si>
  <si>
    <t>https://www.digikey.jp/product-detail/en/vishay-dale/CRCW080545K3FKEA/541-45.3KCCT-ND/1180971</t>
  </si>
  <si>
    <t>64.9k</t>
  </si>
  <si>
    <t>541-64.9KCCT-ND</t>
  </si>
  <si>
    <t>CRCW080564K9FKEA</t>
  </si>
  <si>
    <t>https://www.digikey.jp/product-detail/en/vishay-dale/CRCW080564K9FKEA/541-64.9KCCT-ND/1180990</t>
  </si>
  <si>
    <t>7.5k</t>
  </si>
  <si>
    <t>541-7.50KCCT-ND</t>
  </si>
  <si>
    <t>CRCW08057K50FKEA</t>
  </si>
  <si>
    <t>https://www.digikey.jp/product-detail/en/vishay-dale/CRCW08057K50FKEA/541-7.50KCCT-ND/1180883</t>
  </si>
  <si>
    <t>562k</t>
  </si>
  <si>
    <t>541-562KCCT-ND</t>
  </si>
  <si>
    <t>CRCW0805562KFKEA</t>
  </si>
  <si>
    <t>https://www.digikey.jp/product-detail/en/vishay-dale/CRCW0805562KFKEA/541-562KCCT-ND/1181099</t>
  </si>
  <si>
    <t>510k</t>
  </si>
  <si>
    <t>541-510KCCT-ND</t>
  </si>
  <si>
    <t>CRCW0805510KFKEA</t>
  </si>
  <si>
    <t>https://www.digikey.jp/product-detail/en/vishay-dale/CRCW0805510KFKEA/541-510KCCT-ND/1181093</t>
  </si>
  <si>
    <t>825k</t>
  </si>
  <si>
    <t>541-825KCCT-ND</t>
  </si>
  <si>
    <t>CRCW0805825KFKEA</t>
  </si>
  <si>
    <t>https://www.digikey.jp/product-detail/en/vishay-dale/CRCW0805825KFKEA/541-825KCCT-ND/1181118</t>
  </si>
  <si>
    <t>56k</t>
  </si>
  <si>
    <t>541-56.0KCCT-ND</t>
  </si>
  <si>
    <t>CRCW080556K0FKEA</t>
  </si>
  <si>
    <t>https://www.digikey.jp/product-detail/en/vishay-dale/CRCW080556K0FKEA/541-56.0KCCT-ND/1180982</t>
  </si>
  <si>
    <t>931k</t>
  </si>
  <si>
    <t>541-931KCCT-ND</t>
  </si>
  <si>
    <t>CRCW0805931KFKEA</t>
  </si>
  <si>
    <t>https://www.digikey.jp/product-detail/en/vishay-dale/CRCW0805931KFKEA/541-931KCCT-ND/1181124</t>
  </si>
  <si>
    <t>953k</t>
  </si>
  <si>
    <t>541-953KCCT-ND</t>
  </si>
  <si>
    <t>CRCW0805953KFKEA</t>
  </si>
  <si>
    <t>https://www.digikey.jp/product-detail/en/vishay-dale/CRCW0805953KFKEA/541-953KCCT-ND/1181125</t>
  </si>
  <si>
    <t>97.6k</t>
  </si>
  <si>
    <t>541-97.6KCCT-ND</t>
  </si>
  <si>
    <t>CRCW080597K6FKEA</t>
  </si>
  <si>
    <t>https://www.digikey.jp/product-detail/en/vishay-dale/CRCW080597K6FKEA/541-97.6KCCT-ND/1181012</t>
  </si>
  <si>
    <t>976k</t>
  </si>
  <si>
    <t>541-976KCCT-ND</t>
  </si>
  <si>
    <t>CRCW0805976KFKEA</t>
  </si>
  <si>
    <t>https://www.digikey.jp/product-detail/en/vishay-dale/CRCW0805976KFKEA/541-976KCCT-ND/1181126</t>
  </si>
  <si>
    <t>TRANS PREBIAS NPN 200MW SC75</t>
  </si>
  <si>
    <t>DTC144EET1GOSCT-ND</t>
  </si>
  <si>
    <t>DTC144EET1G</t>
  </si>
  <si>
    <t>SC-75</t>
  </si>
  <si>
    <t>https://www.digikey.com/product-detail/en/on-semiconductor/DTC144EET1G/DTC144EET1GOSCT-ND/917916</t>
  </si>
  <si>
    <t>CRYSTAL 16.0000MHZ 8PF SMD</t>
  </si>
  <si>
    <t>XC982CT-ND</t>
  </si>
  <si>
    <t>ECS-160-20-23A-EN-TR</t>
  </si>
  <si>
    <t>https://www.digikey.jp/product-detail/en/ndk-america-inc/NX5032GA-16.000000MHZ-LN-CD-1/644-1037-1-ND/1128909</t>
  </si>
  <si>
    <t>Current Sensor</t>
  </si>
  <si>
    <t>IC CURR SENSE 1 CIRCUIT TSOT23-5</t>
  </si>
  <si>
    <t>https://www.digikey.jp/product-detail/en/linear-technology-analog-devices/LT6106HS5-TRMPBF/LT6106HS5-TRMPBFCT-ND/1590294</t>
  </si>
  <si>
    <t>DC/DC Converter</t>
  </si>
  <si>
    <t>IC REG BCK BST ADJ 5A 28QFN</t>
  </si>
  <si>
    <t>LTC3119EUFD#PBF-ND</t>
  </si>
  <si>
    <t>LTC3119EUFD#PBF</t>
  </si>
  <si>
    <t>28-QFN (4x5)</t>
  </si>
  <si>
    <t>https://www.digikey.jp/product-detail/en/linear-technology-analog-devices/LTC3119EUFD-PBF/LTC3119EUFD-PBF-ND/6419501</t>
  </si>
  <si>
    <t>MT25QL01GBBB8ESF-0SIT</t>
  </si>
  <si>
    <t>16-SOIC (0.295", 7.50mm Width)</t>
  </si>
  <si>
    <t>OSC XO 32.768KHZ SMD</t>
  </si>
  <si>
    <t>Micro crystal</t>
  </si>
  <si>
    <t>2195-OV-7604-C7-32.768KHZ-20PPM-TA-QCCT-ND</t>
  </si>
  <si>
    <t>OV-7604-C7-32.768KHZ-20PPM-TA-QC</t>
  </si>
  <si>
    <t>https://www.digikey.jp/product-detail/en/micro-crystal-ag/OV-7604-C7-32.768KHZ-20PPM-TA-QC/2195-OV-7604-C7-32.768KHZ-20PPM-TA-QCCT-ND/10431079</t>
  </si>
  <si>
    <t>Microprocessor/PIC16F1789</t>
  </si>
  <si>
    <t>IC MCU 8BIT 28KB FLASH 40UQFN</t>
  </si>
  <si>
    <t>40-UQFN (5x5)</t>
  </si>
  <si>
    <t>https://www.digikey.jp/product-detail/en/microchip-technology/PIC16F1789-I-MV/PIC16F1789-I-MV-ND/4080207</t>
  </si>
  <si>
    <t>Microprocessor/PIC18F67J94</t>
  </si>
  <si>
    <t>IC MCU 8BIT 128KB FLASH 64QFN</t>
  </si>
  <si>
    <t>64-QFN (9x9)</t>
  </si>
  <si>
    <t>https://www.digikey.jp/product-detail/en/microchip-technology/PIC18F67J94-I-MR/PIC18F67J94-I-MR-ND/3872480</t>
  </si>
  <si>
    <t>IC 4-BIT FET MUX/DEMUX 16SSOP</t>
  </si>
  <si>
    <t>296-17511-1-ND</t>
  </si>
  <si>
    <t>SN74CB3Q3257DBQR</t>
  </si>
  <si>
    <t>IC DUAL FET BUS SWITCH 8-TSSOP</t>
  </si>
  <si>
    <t>296-16809-1-ND</t>
  </si>
  <si>
    <t>SN74CB3Q3305PWR</t>
  </si>
  <si>
    <t>https://www.digikey.jp/product-detail/en/texas-instruments/SN74CB3Q3305PWR/296-16809-1-ND/637175</t>
  </si>
  <si>
    <t>MOSFET N-CH 20V 10A</t>
  </si>
  <si>
    <t>296-13497-1-ND</t>
  </si>
  <si>
    <t>SN74LVC2G34DCKR</t>
  </si>
  <si>
    <t>SC-70-6</t>
  </si>
  <si>
    <t>https://www.digikey.jp/product-detail/en/texas-instruments/SN74LVC2G34DCKR/296-13497-1-ND/486433</t>
  </si>
  <si>
    <t>Buffer</t>
  </si>
  <si>
    <t>IC BUF NON-INVERT 5.5V SC70-6</t>
  </si>
  <si>
    <t>SSM6K411TU(TE85LFTR-ND</t>
  </si>
  <si>
    <t>UF6, 6 SMD</t>
  </si>
  <si>
    <t>Watchdog Timer</t>
  </si>
  <si>
    <t>IC SUPERVISOR 1 CHANNEL SOT23-5</t>
  </si>
  <si>
    <t>497-10058-1-ND</t>
  </si>
  <si>
    <t>STWD100NYWY3F</t>
  </si>
  <si>
    <t>SOT23-5</t>
  </si>
  <si>
    <t>https://www.digikey.jp/product-detail/en/stmicroelectronics/STWD100NYWY3F/497-10058-1-ND/2175107</t>
  </si>
  <si>
    <t>IC REG BOOST ADJ 10A 20VQFN</t>
  </si>
  <si>
    <t>296-42129-1-ND</t>
  </si>
  <si>
    <t>TPS61088RHLT</t>
  </si>
  <si>
    <t>20-VFQFN Exposed Pad</t>
  </si>
  <si>
    <t>https://www.digikey.jp/product-detail/en/texas-instruments/TPS61088RHLT/296-42129-1-ND/5267360</t>
  </si>
  <si>
    <t>IC REG BUCK ADJUSTABLE 3A 16QFN</t>
  </si>
  <si>
    <t>296-39446-1-ND</t>
  </si>
  <si>
    <t>TPS62130ARGTR</t>
  </si>
  <si>
    <t>16-QFN (3x3)</t>
  </si>
  <si>
    <t>https://www.digikey.jp/product-detail/en/texas-instruments/TPS62130ARGTR/296-39446-1-ND/5143394</t>
  </si>
  <si>
    <t>TRANS NPN/PNP PREBIAS UMT6</t>
  </si>
  <si>
    <t>UMD5NTR</t>
  </si>
  <si>
    <t>6-TSSOP, SC-88, SOT-363</t>
  </si>
  <si>
    <t>https://www.digikey.jp/product-detail/en/rohm-semiconductor/UMD5NTR/UMD5NCT-ND/3769436</t>
  </si>
  <si>
    <t>2.2uH</t>
  </si>
  <si>
    <t>445-174497-1-ND</t>
  </si>
  <si>
    <t>SPM5020T-2R2M-LR</t>
  </si>
  <si>
    <t>(5.40mm x 5.10mm)</t>
  </si>
  <si>
    <t>https://www.digikey.jp/product-detail/en/tdk-corporation/SPM5020T-2R2M-LR/445-174497-1-ND/5962423</t>
  </si>
  <si>
    <t>3.3uH</t>
  </si>
  <si>
    <t>445-174498-1-ND</t>
  </si>
  <si>
    <t>SPM5020T-3R3M-LR</t>
  </si>
  <si>
    <t>5.40mm x 5.10mm</t>
  </si>
  <si>
    <t>https://www.digikey.jp/product-detail/en/tdk-corporation/SPM5020T-3R3M-LR/445-174498-1-ND/5962424</t>
  </si>
  <si>
    <t>0 Ohm</t>
  </si>
  <si>
    <t>541-0.0TBCT-ND</t>
  </si>
  <si>
    <t>CRCW08050000Z0EAHP</t>
  </si>
  <si>
    <t>https://www.digikey.jp/product-detail/en/vishay-dale/CRCW08050000Z0EAHP/541-0.0TBCT-ND/2222831</t>
  </si>
  <si>
    <t>N-type connector (male)</t>
  </si>
  <si>
    <t>N-type connector (male) for 12d-sfa</t>
  </si>
  <si>
    <t>アルミック電機</t>
  </si>
  <si>
    <t>NP-12DFB</t>
  </si>
  <si>
    <t>https://www.amazon.co.jp/gp/product/B005TCAQVM/ref=ox_sc_act_title_1?smid=A2XCBFGX1AIRK0&amp;psc=1</t>
  </si>
  <si>
    <t>N-type connector (female)</t>
  </si>
  <si>
    <t>N-type connector (female) for 12d-sfa</t>
  </si>
  <si>
    <t>NJ-12DFB</t>
  </si>
  <si>
    <t>https://www.amazon.co.jp/gp/product/B07VC1D37Q/ref=ox_sc_act_title_2?smid=A2XCBFGX1AIRK0&amp;psc=1</t>
  </si>
  <si>
    <t>UFL Connector</t>
  </si>
  <si>
    <t>CONUFL001-SMD-T</t>
  </si>
  <si>
    <t>CONUFL001-SMD-TCT-ND</t>
  </si>
  <si>
    <t>LoRa Mission Board</t>
  </si>
  <si>
    <t>https://www.digikey.jp/product-detail/en/linx-technologies-inc/CONUFL001-SMD-T/CONUFL001-SMD-TCT-ND/7427733</t>
  </si>
  <si>
    <t>ATMEGA32U4 MCU</t>
  </si>
  <si>
    <t>SX1278 LoRa Chip</t>
  </si>
  <si>
    <t>https://www.digikey.jp/product-detail/en/semtech-corporation/SX1278IMLTRT/SX1278IMLTRTCT-ND/5226787?cur=JPY&amp;lang=en</t>
  </si>
  <si>
    <t>TXC CORPORATION</t>
  </si>
  <si>
    <t>32MHz Crystal</t>
  </si>
  <si>
    <t>LTC4361ITS8-2#TRMPBF (OCP IC)</t>
  </si>
  <si>
    <t>IC OVERVOLT PROT CONT TSOT23-8</t>
  </si>
  <si>
    <t>https://www.digikey.jp/product-detail/en/linear-technology-analog-devices/LTC4361ITS8-2-TRMPBF/LTC4361ITS8-2-TRMPBFCT-ND/2351622</t>
  </si>
  <si>
    <t>Pre-Biased Bipolar Transistor (BJT) NPN - Pre-Biased 50V 100mA 250MHz 200mW Surface Mount SMT3</t>
  </si>
  <si>
    <t>SMD(TO-236-3, SC-59, SOT-23-3)</t>
  </si>
  <si>
    <t>SSM6K411TU</t>
  </si>
  <si>
    <t>N-Channel 20V 10A (Ta) 1W (Ta) Surface Mount UF6</t>
  </si>
  <si>
    <t>SMD(6-SMD, Flat Leads )</t>
  </si>
  <si>
    <t>FLASH - NOR Memory IC 1Gb (128M x 8) SPI 133MHz 16-SO</t>
  </si>
  <si>
    <t>SMD(16-SOIC)</t>
  </si>
  <si>
    <t>CLM-103-02-F-D (2x3 Con, 1mm)</t>
  </si>
  <si>
    <t>6 Position Receptacle Connector Surface Mount</t>
  </si>
  <si>
    <t>Samtec Inc.</t>
  </si>
  <si>
    <t>SAM9220-ND</t>
  </si>
  <si>
    <t>CLM-103-02-F-D</t>
  </si>
  <si>
    <t>loRa Mission Board</t>
  </si>
  <si>
    <t>https://www.digikey.jp/product-detail/en/samtec-inc/CLM-103-02-F-D/SAM9220-ND/6677957</t>
  </si>
  <si>
    <t>CLM-102-02-F-D (2x2 Con, 1mm)</t>
  </si>
  <si>
    <t>4 Position Receptacle Connector Surface Mount</t>
  </si>
  <si>
    <t>SAM10967-ND</t>
  </si>
  <si>
    <t>CLM-102-02-F-D</t>
  </si>
  <si>
    <t>https://www.digikey.jp/product-detail/en/samtec-inc/CLM-102-02-F-D/SAM10967-ND/6692087</t>
  </si>
  <si>
    <t>FTM-103-02-F-DV (2x3 Con, 1mm , male)</t>
  </si>
  <si>
    <t>https://www.digikey.jp/product-detail/en/samtec-inc/FTM-103-02-F-DV/SAM12591-ND/6692125</t>
  </si>
  <si>
    <t>18nH Unshielded Multilayer Inductor 200mA 650mOhm Max 0402 (1005 Metric)</t>
  </si>
  <si>
    <t>SMD (1005)</t>
  </si>
  <si>
    <t>47pF ±2% 50V Ceramic Capacitor C0G, NP0 0402 (1005 Metric)</t>
  </si>
  <si>
    <t>https://www.digikey.jp/product-detail/en/murata-electronics/GJM1555C1H470GB01D/490-16375-1-ND/7363357</t>
  </si>
  <si>
    <t>4.7pF ±0.25pF 50V Ceramic Capacitor C0G, NP0 0402 (1005 Metric)</t>
  </si>
  <si>
    <t>https://www.digikey.jp/product-detail/en/murata-electronics/GJM1555C1H4R7CB01D/490-3100-1-ND/702366</t>
  </si>
  <si>
    <t>VJ0805D102KXAAJ</t>
  </si>
  <si>
    <t>1000pF ±10% 50V Ceramic Capacitor C0G, NP0 0805 (2012 Metric)</t>
  </si>
  <si>
    <t>720-1340-1-ND</t>
  </si>
  <si>
    <t>SMD (2012)</t>
  </si>
  <si>
    <t>https://www.digikey.jp/product-detail/en/vishay-vitramon/VJ0805D102KXAAJ/720-1340-1-ND/3280754</t>
  </si>
  <si>
    <t>CDBQR0130L</t>
  </si>
  <si>
    <t>Diode Schottky 30V 100mA Surface Mount 0402/SOD-923F</t>
  </si>
  <si>
    <t>Comchip Technology</t>
  </si>
  <si>
    <t>641-1271-1-ND</t>
  </si>
  <si>
    <t>https://www.digikey.jp/product-detail/en/comchip-technology/CDBQR0130L/641-1271-1-ND/1973550</t>
  </si>
  <si>
    <t>RC0402FR-0722RL</t>
  </si>
  <si>
    <t>22 Ohms ±1% 0.063W, 1/16W Chip Resistor 0402 (1005 Metric) Moisture Resistant Thick Film</t>
  </si>
  <si>
    <t>311-22.0LRCT-ND</t>
  </si>
  <si>
    <t>https://www.digikey.jp/product-detail/en/yageo/RC0402FR-0722RL/311-22.0LRCT-ND/729509</t>
  </si>
  <si>
    <t>RC0402FR-0749R9L</t>
  </si>
  <si>
    <t>49.9 Ohms ±1% 0.063W, 1/16W Chip Resistor 0402 (1005 Metric) Moisture Resistant Thick Film</t>
  </si>
  <si>
    <t>311-49.9LRCT-ND</t>
  </si>
  <si>
    <t>https://www.digikey.jp/product-detail/en/yageo/RC0402FR-0749R9L/311-49.9LRCT-ND/729568</t>
  </si>
  <si>
    <t>RC0402FR-0710KL</t>
  </si>
  <si>
    <t>10 kOhms ±1% 0.063W, 1/16W Chip Resistor 0402 (1005 Metric) Moisture Resistant Thick Film</t>
  </si>
  <si>
    <t>311-10.0KLRCT-ND</t>
  </si>
  <si>
    <t>https://www.digikey.jp/product-detail/en/yageo/RC0402FR-0710KL/311-10.0KLRCT-ND/729470</t>
  </si>
  <si>
    <t>RFM98W</t>
  </si>
  <si>
    <t>General ISM &lt; 1GHz LoRa™ Transceiver Module 433MHz Surface Mount</t>
  </si>
  <si>
    <t>https://www.digikey.jp/product-detail/en/seeed-technology-co-ltd/109990165/1597-1491-ND/7033235?cur=JPY&amp;lang=en</t>
  </si>
  <si>
    <t>スプリッタ</t>
  </si>
  <si>
    <t>2 Ways Core &amp; Wire Power Splitter, 1 - 650 MHz, 50Ω</t>
  </si>
  <si>
    <t>MIini-Circuits</t>
  </si>
  <si>
    <t>ADP-2-1W+</t>
  </si>
  <si>
    <t>https://www.minicircuits.com/WebStore/dashboard.html?model=ADP-2-1W%2B</t>
  </si>
  <si>
    <t>4 Ways Core &amp; Wire Power Splitter, 1 - 500 MHz, 50Ω</t>
  </si>
  <si>
    <t>AD4PS-1+</t>
  </si>
  <si>
    <t>https://www.minicircuits.com/WebStore/dashboard.html?model=AD4PS-1%2B</t>
  </si>
  <si>
    <t>アンプ</t>
  </si>
  <si>
    <t xml:space="preserve">SMT Low Noise Amplifier, DC - 2000 MHz, 50Ω
</t>
  </si>
  <si>
    <t>MAR-6SM+</t>
  </si>
  <si>
    <t>https://www.minicircuits.com/WebStore/dashboard.html?model=MAR-6SM%2B</t>
  </si>
  <si>
    <t>RFチョーク</t>
  </si>
  <si>
    <t>RF CHOKE / SURF MOUNT / RoHS</t>
  </si>
  <si>
    <t>TCCH-80+</t>
  </si>
  <si>
    <t>https://www.minicircuits.com/WebStore/dashboard.html?model=TCCH-80%2B</t>
  </si>
  <si>
    <t>トランス</t>
  </si>
  <si>
    <t>1:1 CORE &amp; WIRE Transformer, 20 - 1200 MHz, 50Ω</t>
  </si>
  <si>
    <t>ADTL1-12+</t>
  </si>
  <si>
    <t>Anntena</t>
  </si>
  <si>
    <t>https://www.minicircuits.com/WebStore/dashboard.html?model=ADTL1-12%2B</t>
  </si>
  <si>
    <t>1:2 CORE &amp; WIRE Transformer, 8 - 600 MHz, 50Ω</t>
  </si>
  <si>
    <t>ADT2-1T-1P+</t>
  </si>
  <si>
    <t>https://www.minicircuits.com/WebStore/dashboard.html?model=ADT2-1T-1P%2B</t>
  </si>
  <si>
    <t>Kitsune</t>
  </si>
  <si>
    <t>Card Edge</t>
  </si>
  <si>
    <t>WM5534-ND</t>
  </si>
  <si>
    <t>Card-Edge</t>
  </si>
  <si>
    <t>https://www.digikey.jp/product-detail/ja/molex/0732511150/WM5534-ND/1465156</t>
  </si>
  <si>
    <t>Dammy load</t>
  </si>
  <si>
    <t>WM9473-ND</t>
  </si>
  <si>
    <t>https://www.digikey.jp/product-detail/ja/molex/0733910680/WM9473-ND/3878259</t>
  </si>
  <si>
    <t>SMD Prototyping Board</t>
  </si>
  <si>
    <t>t=1.6mm 72mm x 47mm</t>
  </si>
  <si>
    <t>Yashima</t>
  </si>
  <si>
    <t>Akiduki</t>
  </si>
  <si>
    <t>P-03677</t>
  </si>
  <si>
    <t>http://akizukidenshi.com/catalog/g/gP-03677/</t>
  </si>
  <si>
    <t>ArduiCAM OV2640</t>
  </si>
  <si>
    <t>2M pixel</t>
  </si>
  <si>
    <t>ArduCAM</t>
  </si>
  <si>
    <t>UCTRONICS</t>
  </si>
  <si>
    <t>Small Camera and C-band</t>
  </si>
  <si>
    <t>CubeSatサイズ検査ゲージ</t>
  </si>
  <si>
    <t xml:space="preserve">130x189x123.6 A5052
</t>
  </si>
  <si>
    <t xml:space="preserve">KITSUNE LoRa BBM Board
</t>
  </si>
  <si>
    <t>90cm x 86cm</t>
  </si>
  <si>
    <t>50 pin connector</t>
  </si>
  <si>
    <t>2mm  pitch /DIP/1A</t>
  </si>
  <si>
    <t>HTK</t>
  </si>
  <si>
    <t>LPC-50M2LG</t>
  </si>
  <si>
    <t>DIP</t>
  </si>
  <si>
    <t>OBC/EPS, ADCS,ACCESS,LORA</t>
  </si>
  <si>
    <t>2F/SVBL</t>
  </si>
  <si>
    <t>Programming connector</t>
  </si>
  <si>
    <t>26 position connector</t>
  </si>
  <si>
    <t>MSDR26-ND</t>
  </si>
  <si>
    <t>12226-5150-00FR</t>
  </si>
  <si>
    <t>through hole</t>
  </si>
  <si>
    <t>ACCESS , Programming Board</t>
  </si>
  <si>
    <t>https://www.digikey.jp/product-detail/en/3m/12226-5150-00FR/MSDR26-ND/1092158</t>
  </si>
  <si>
    <t>Programming Cable</t>
  </si>
  <si>
    <t>26 poition male to male</t>
  </si>
  <si>
    <t>3M158616-ND</t>
  </si>
  <si>
    <t>1SF26-L120-00C-100 (RC)</t>
  </si>
  <si>
    <t xml:space="preserve">ACCESS </t>
  </si>
  <si>
    <t>https://www.digikey.jp/product-detail/en/3m/1SF26-L120-00C-100-RC/3M158616-ND/3866987</t>
  </si>
  <si>
    <t>Pin Headers</t>
  </si>
  <si>
    <t>2.54 pitch/through hole</t>
  </si>
  <si>
    <t>Useconn electronics</t>
  </si>
  <si>
    <t>Akizukidenshi</t>
  </si>
  <si>
    <t>ACCESS</t>
  </si>
  <si>
    <t xml:space="preserve"> header connector</t>
  </si>
  <si>
    <t>4 position</t>
  </si>
  <si>
    <t>Sulllins Connector Solutions</t>
  </si>
  <si>
    <t>S5555-ND</t>
  </si>
  <si>
    <t>PPPC022LJBN-RC</t>
  </si>
  <si>
    <t>https://www.digikey.jp/product-detail/en/sullins-connector-solutions/PPPC022LJBN-RC/S5555-ND/776013</t>
  </si>
  <si>
    <t>Connecor</t>
  </si>
  <si>
    <t xml:space="preserve">6 position </t>
  </si>
  <si>
    <t>SAM13368CT-ND</t>
  </si>
  <si>
    <t>CLM-103-02-FD-TR</t>
  </si>
  <si>
    <t>https://www.digikey.jp/product-detail/ja/samtec-inc/CLM-103-02-F-D-TR/SAM13368CT-ND/9593662</t>
  </si>
  <si>
    <t>KITSUNE Fireant GPS EM/ FM</t>
  </si>
  <si>
    <t>35mm x 45mm</t>
  </si>
  <si>
    <t>TEC/ ADCS</t>
  </si>
  <si>
    <t>KITSUNE OBC/EPS BBM Board</t>
  </si>
  <si>
    <t>KTISUNE</t>
  </si>
  <si>
    <t>NEMA 23 Stepper Motor</t>
  </si>
  <si>
    <t xml:space="preserve">Kiruki
</t>
  </si>
  <si>
    <t>Nema 23 Bipolar 1.8deg 2.4Nm (340oz.in) 1.8A 4.95V 57x57x104mm 4 Wires 8mm Bore</t>
  </si>
  <si>
    <t>Omc-StepperOnline</t>
  </si>
  <si>
    <t>Amazon Japan</t>
  </si>
  <si>
    <t>23HS41-1804S</t>
  </si>
  <si>
    <t>NEMA 23</t>
  </si>
  <si>
    <t>Mobile Ground Station</t>
  </si>
  <si>
    <t>https://www.amazon.co.jp/dp/B07CQG8DK1/ref=sr_1_11?keywords=nema+23+57&amp;qid=1577965879&amp;s=apparel&amp;sr=8-11</t>
  </si>
  <si>
    <t>Motor Mounting Brackets</t>
  </si>
  <si>
    <t>Nema 23 Bracket for Stepper Motor Alloy Steel Bracket</t>
  </si>
  <si>
    <t>ST-M2</t>
  </si>
  <si>
    <t>Stepper Motor Driver</t>
  </si>
  <si>
    <t>Digital Stepper Driver 1.0-4.2A 20-50VDC for Nema 17, 23, 24 Stepper Motor</t>
  </si>
  <si>
    <t>DM542T</t>
  </si>
  <si>
    <t>https://www.amazon.co.jp/dp/B07CNNBLML/ref=sr_1_39?keywords=stepper+online&amp;qid=1578376290&amp;sr=8-39</t>
  </si>
  <si>
    <t>Motor Power Supply</t>
  </si>
  <si>
    <t>240W 24V 10A DC Output  AC input 100V</t>
  </si>
  <si>
    <t>Raspberry Pi 4 Model B</t>
  </si>
  <si>
    <t>Raspberry Pi 4 Model B 2GB</t>
  </si>
  <si>
    <t>Raspberry Pi Foundation</t>
  </si>
  <si>
    <t>M-14839</t>
  </si>
  <si>
    <t>http://akizukidenshi.com/catalog/g/gM-14839/</t>
  </si>
  <si>
    <t>Power Supply for Pi</t>
  </si>
  <si>
    <t>5.1V 3.8A USB Type-C Power Adapter</t>
  </si>
  <si>
    <t>AD-A051P380</t>
  </si>
  <si>
    <t>http://akizukidenshi.com/catalog/g/gM-14935/</t>
  </si>
  <si>
    <t>Power Supply Module</t>
  </si>
  <si>
    <t>24V to 5V Buckboost DC Converter Module</t>
  </si>
  <si>
    <t>Drok</t>
  </si>
  <si>
    <t>Optical Endstop</t>
  </si>
  <si>
    <t>Ramps 1.4 Optical Endstop Switches 6-pieces package</t>
  </si>
  <si>
    <t>BerryGPS-IMU Module</t>
  </si>
  <si>
    <t>GPS and Magnetometer Module for Raspberry Pi</t>
  </si>
  <si>
    <t>Ozzmaker</t>
  </si>
  <si>
    <t>BerryGPS-IMUv3</t>
  </si>
  <si>
    <t>https://www.amazon.com/BerryGPS-IMUv3-Raspberry-Accelerometer-Magnetometer-Barometric/dp/B072MNBC9M</t>
  </si>
  <si>
    <t>Active GPS Antenna - 28dB - 3-5V - SMA Connector</t>
  </si>
  <si>
    <t>Arduino Pro Mini</t>
  </si>
  <si>
    <t>AE-ATmega328-Mini (Arduino Pro Mini Compatible)</t>
  </si>
  <si>
    <t>K-10347</t>
  </si>
  <si>
    <t>http://akizukidenshi.com/catalog/g/gK-10347/</t>
  </si>
  <si>
    <t>Turntable</t>
  </si>
  <si>
    <t>Eastern Seiko Turntable</t>
  </si>
  <si>
    <t>Eastern Seiko</t>
  </si>
  <si>
    <t>Sprocket Chain</t>
  </si>
  <si>
    <t>No. 25 (6.35mm Pitch) Link Chain (200 links)</t>
  </si>
  <si>
    <t>CHE25-200</t>
  </si>
  <si>
    <t>Chain cutter</t>
  </si>
  <si>
    <t>ローラーチェーン 取り外しブレーカーカッター オートバイ 自転車 ゴーカート ATVチェーン交換用</t>
  </si>
  <si>
    <t>Aluminum Plate</t>
  </si>
  <si>
    <t>1.5 mm by 400 mm by 600 mm</t>
  </si>
  <si>
    <t>HIKARI</t>
  </si>
  <si>
    <t xml:space="preserve">HA1546
</t>
  </si>
  <si>
    <t>2 mm by 300 mm by 400 mm</t>
  </si>
  <si>
    <t>HA2034</t>
  </si>
  <si>
    <t>1.5 mm by 300 mm by 200 mm</t>
  </si>
  <si>
    <t>HA1523</t>
  </si>
  <si>
    <t>Metal Block</t>
  </si>
  <si>
    <t>20 mm thick 50 cm long</t>
  </si>
  <si>
    <t>S50C-CUT-500-20-20</t>
  </si>
  <si>
    <t>20mm thick by 150 mm by 70mm</t>
  </si>
  <si>
    <t>PNLNP-150-70-20</t>
  </si>
  <si>
    <t>U-shaped Metal Channel</t>
  </si>
  <si>
    <t>2.5 mm by 5 cm by 2.5 cm by 100 cm</t>
  </si>
  <si>
    <t>CASA2.5-5025-1000</t>
  </si>
  <si>
    <t>2.5 mm by 5 cm by 2.5 cm by 50 cm</t>
  </si>
  <si>
    <t>CASA2.5-5025-500</t>
  </si>
  <si>
    <t>Motor Shaft Sprocket (Az)</t>
  </si>
  <si>
    <t>8mm Bore 11 Tooth Sprocket for 25 Roller Chain</t>
  </si>
  <si>
    <t>SP-25BS11-5/16</t>
  </si>
  <si>
    <t>Motor Shaft Sprocket (El)</t>
  </si>
  <si>
    <t>8mm Bore 11 Teeth for 25B Series</t>
  </si>
  <si>
    <t>KATAYAMA CHAIN</t>
  </si>
  <si>
    <t>K25B11D8F</t>
  </si>
  <si>
    <t>Az Main Shaft</t>
  </si>
  <si>
    <t>15 mm Diameter Stainless Steel shaft 30 cm long</t>
  </si>
  <si>
    <t>SSFHR15-300</t>
  </si>
  <si>
    <t>Az Main Shaft Option 2</t>
  </si>
  <si>
    <t>15 mm Diameter shaft 30 cm long with key grooves</t>
  </si>
  <si>
    <t>PSFHKRW15-300-M6-N6-KA5-A50-KB125-B70</t>
  </si>
  <si>
    <t>Az Main Shaft Sprocket</t>
  </si>
  <si>
    <t>15mm Bore 30 Tooth Carbon Steel 25B Series</t>
  </si>
  <si>
    <t>SP25B30-N-15</t>
  </si>
  <si>
    <t>El Main Shaft Sprocket</t>
  </si>
  <si>
    <t>28mm Bore Steel Sprocket 42 Teeth</t>
  </si>
  <si>
    <t>K25B42D28F</t>
  </si>
  <si>
    <t>Thrust Bearings</t>
  </si>
  <si>
    <t>15mm Bore Thrust Bearing Mount Unit</t>
  </si>
  <si>
    <t xml:space="preserve">NIPPON PILLOW BLOCK
</t>
  </si>
  <si>
    <t>UFL002</t>
  </si>
  <si>
    <t>Pillow Block</t>
  </si>
  <si>
    <t>30mm Bore Thrust Bearing Pillow Mount</t>
  </si>
  <si>
    <t>PBT30</t>
  </si>
  <si>
    <t xml:space="preserve">Aluminum Pipe </t>
  </si>
  <si>
    <t>28mm Diameter Aluminum Pipe 60cm long</t>
  </si>
  <si>
    <t>PFAS28-A-600</t>
  </si>
  <si>
    <t>Shaft Keyways (Az)</t>
  </si>
  <si>
    <t>Parallel Keyway 4 cm long 4 mm thick</t>
  </si>
  <si>
    <t>KEGF4-40</t>
  </si>
  <si>
    <t>Shaft Keyways (El)</t>
  </si>
  <si>
    <t>Parallel Keyway 5 cm long 8 mm thick</t>
  </si>
  <si>
    <t>KEGF8-50</t>
  </si>
  <si>
    <t>Motor Keyways</t>
  </si>
  <si>
    <t>Parallel Keyway 1.5 cm long 4 mm thick</t>
  </si>
  <si>
    <t>KEGF4-15</t>
  </si>
  <si>
    <t xml:space="preserve">Set Screws </t>
  </si>
  <si>
    <t>1.6 cm long set screw M8 Flat end</t>
  </si>
  <si>
    <t>MSSFS8-16</t>
  </si>
  <si>
    <t>PDR30 set screw M6 1.2 cm long</t>
  </si>
  <si>
    <t>MSSFS6-12</t>
  </si>
  <si>
    <t>M6 1.6 cm long</t>
  </si>
  <si>
    <t>MSSFS6-16</t>
  </si>
  <si>
    <t>M4 1.2 cm long</t>
  </si>
  <si>
    <t>MSSFS4-12</t>
  </si>
  <si>
    <t>M8 1 cm long</t>
  </si>
  <si>
    <t>SSH-ST-MS8-10</t>
  </si>
  <si>
    <t>Shaft Collars (El)</t>
  </si>
  <si>
    <t>30 mm Bore 10mm Width collar</t>
  </si>
  <si>
    <t>SCBRJ30-35</t>
  </si>
  <si>
    <t>Shaft Collars (Az)</t>
  </si>
  <si>
    <t>15 mm Bore 10mm Width collar</t>
  </si>
  <si>
    <t>SCBRJ15-19</t>
  </si>
  <si>
    <t>Motor Bracket Bolts</t>
  </si>
  <si>
    <t>M4 (4mm) Screw 1.8 cm long 0.7 mm Pitch</t>
  </si>
  <si>
    <t>HXN-ST-M4-18</t>
  </si>
  <si>
    <t>Motor Bracket Nuts</t>
  </si>
  <si>
    <t>M4 (4mm) Compact Nut</t>
  </si>
  <si>
    <t>SNTRCS4</t>
  </si>
  <si>
    <t>M4 (4mm) Hex Nuts</t>
  </si>
  <si>
    <t>KNTR4</t>
  </si>
  <si>
    <t>Motor Bracket washers</t>
  </si>
  <si>
    <t>4.5 mm Bore washer 10 mm Outer Diameter</t>
  </si>
  <si>
    <t>ASANO MANUFACTURING</t>
  </si>
  <si>
    <t>WSJISST-SUS-M5</t>
  </si>
  <si>
    <t>Shaft Support (Az)</t>
  </si>
  <si>
    <t>15 mm Bore Flanged slit</t>
  </si>
  <si>
    <t>SHF15</t>
  </si>
  <si>
    <t>Shaft Support Block Shape</t>
  </si>
  <si>
    <t>15 mm Bore Side mount Slit type</t>
  </si>
  <si>
    <t>SHYA15-40</t>
  </si>
  <si>
    <t>Pillow Block Bolts</t>
  </si>
  <si>
    <t>M12 Aluminum Bolt 35mm long 1.75 mm Pitch</t>
  </si>
  <si>
    <t>HXN-AL-M12-35</t>
  </si>
  <si>
    <t xml:space="preserve">Pillow Block Nuts
</t>
  </si>
  <si>
    <t>M12  Nuts</t>
  </si>
  <si>
    <t>HNT1-SCM-M12</t>
  </si>
  <si>
    <t>Thrust Bearings Bolts</t>
  </si>
  <si>
    <t>M6 Aluminum Bolt 30mm long 1mm Pitch</t>
  </si>
  <si>
    <t>HXN-AL-M6-30</t>
  </si>
  <si>
    <t>Thrust Bearings Nuts</t>
  </si>
  <si>
    <t>M6 Nuts</t>
  </si>
  <si>
    <t>HNT1-AL-M6</t>
  </si>
  <si>
    <t>Shaft Holder Metal Block Bolt</t>
  </si>
  <si>
    <t>M8 Steel Bolt 70mm long 1.25mm Pitch</t>
  </si>
  <si>
    <t>RSCB8-70</t>
  </si>
  <si>
    <t>M8 Bolts</t>
  </si>
  <si>
    <t>M8 Aluminum Bolt 40mm long 1.25mm Pitch</t>
  </si>
  <si>
    <t>HXN-AL-M8-40</t>
  </si>
  <si>
    <t>M8 Aluminum Bolt 35mm long 1.25mm Pitch</t>
  </si>
  <si>
    <t>HXN-AL-M8-35</t>
  </si>
  <si>
    <t>M8 Aluminum Bolt 20mm long 1.25mm Pitch</t>
  </si>
  <si>
    <t>HXN-AL-M8-20</t>
  </si>
  <si>
    <t>M8 Nuts</t>
  </si>
  <si>
    <t>M8 Aluminum Nut Metric Coarse</t>
  </si>
  <si>
    <t>HNT1-AL-M8</t>
  </si>
  <si>
    <t>M8 Washers</t>
  </si>
  <si>
    <t>Cancelled</t>
  </si>
  <si>
    <t>M8 Flat Washer 1.5mm thick</t>
  </si>
  <si>
    <t>WSX-SUS-M8X16-1.5</t>
  </si>
  <si>
    <t xml:space="preserve">M6 Washers
</t>
  </si>
  <si>
    <t>M6 Flat Washer 1.5mm thick</t>
  </si>
  <si>
    <t xml:space="preserve">MISUMI
</t>
  </si>
  <si>
    <t>WSX-SUS-M6X16-1.5</t>
  </si>
  <si>
    <t>TSK　ボンド低粘度</t>
  </si>
  <si>
    <t>塩ビパイプ　VP13mm</t>
  </si>
  <si>
    <t>塩ビパイプ　VP20mm</t>
  </si>
  <si>
    <t>塩ビパイプ　VP30mm</t>
  </si>
  <si>
    <t>TS継手　ソケット30</t>
  </si>
  <si>
    <t>TS継手　ソケット30x2</t>
  </si>
  <si>
    <t>角型旗立石　約155x250</t>
  </si>
  <si>
    <t>建築用品</t>
  </si>
  <si>
    <t>USB3.0-AメスDIP化基板</t>
  </si>
  <si>
    <t>カホパーツセンター</t>
  </si>
  <si>
    <t>ジャンクRFケーブル　SMAJ UFL</t>
  </si>
  <si>
    <t>エクステンション基板 ICB070</t>
  </si>
  <si>
    <t>uFL-uFL同軸ケーブル</t>
  </si>
  <si>
    <t>CBL ASSY U.FL PLUG-PLUG 1.378"</t>
  </si>
  <si>
    <t>H125216-ND</t>
  </si>
  <si>
    <t>U.FL-2LP-068N2-A-(35)</t>
  </si>
  <si>
    <t>U.FL（UMCC） コネクタ プラグ、雌ソケット 50オーム 面実装 はんだ</t>
  </si>
  <si>
    <t>CONN U.FL PLUG STR 50 OHM SMD</t>
  </si>
  <si>
    <t>H11809CT-ND</t>
  </si>
  <si>
    <t>U.FL-PR-SMT2.5-1(10)</t>
  </si>
  <si>
    <t>https://www.digikey.jp/product-detail/ja/hirose-electric-co-ltd/U.FL-PR-SMT2.5-1-10/H11809CT-ND/2201793</t>
  </si>
  <si>
    <t>ヘッダ コネクタ　スルーホール金</t>
  </si>
  <si>
    <t>CONN HEADER VERT 50POS 2.54MM</t>
  </si>
  <si>
    <t>SAM1029-50-ND</t>
  </si>
  <si>
    <t>TSW-150-07-G-S</t>
  </si>
  <si>
    <t>https://www.digikey.jp/product-detail/ja/samtec-inc/TSW-150-07-G-S/SAM1029-50-ND/1101277</t>
  </si>
  <si>
    <t>レセプタクル コネクタ  スルーホール</t>
  </si>
  <si>
    <t>CONN RCPT 50POS 0.1 GOLD PCB</t>
  </si>
  <si>
    <t>SAM1089-50-ND</t>
  </si>
  <si>
    <t>SLW-150-01-G-S</t>
  </si>
  <si>
    <t>https://www.digikey.jp/product-detail/ja/samtec-inc/SLW-150-01-G-S/SAM1089-50-ND/1104587</t>
  </si>
  <si>
    <t>トランシーバ</t>
  </si>
  <si>
    <t>GPS/ADCS</t>
  </si>
  <si>
    <t>CONN SOCKET 26-30AWG CRIMP TIN</t>
  </si>
  <si>
    <t>455-1606-1-ND</t>
  </si>
  <si>
    <t>SSHL-002T-P0.2</t>
  </si>
  <si>
    <t>26-30AWG</t>
  </si>
  <si>
    <t>https://www.digikey.jp/product-detail/ja/jst-sales-america-inc/SSHL-002T-P0.2/455-1606-1-ND/1642795</t>
  </si>
  <si>
    <t>GHR-07V-S</t>
  </si>
  <si>
    <t>雌ソケット</t>
  </si>
  <si>
    <t>https://www.digikey.jp/product-detail/ja/jst-sales-america-inc/GHR-07V-S/455-1597-ND/807819</t>
  </si>
  <si>
    <t>CONN HEADER SMD 7POS 1.25MM</t>
  </si>
  <si>
    <t>455-1583-1-ND</t>
  </si>
  <si>
    <t>BM07B-GHS-TBT(LF)(SN)(N)</t>
  </si>
  <si>
    <t>https://www.digikey.jp/product-detail/ja/jst-sales-america-inc/BM07B-GHS-TBT-LF-SN-N/455-1583-1-ND/807851</t>
  </si>
  <si>
    <t>D-SUB Connector</t>
  </si>
  <si>
    <t>9 Position D-Sub Receptacle, Female Sockets Connector</t>
  </si>
  <si>
    <t>Amphenol ICC</t>
  </si>
  <si>
    <t>609-1486-ND</t>
  </si>
  <si>
    <t>D09S33E4GV00LF</t>
  </si>
  <si>
    <t>D-Sub</t>
  </si>
  <si>
    <t>https://www.digikey.jp/product-detail/en/amphenol-icc-fci/D09S33E4GV00LF/609-1486-ND/1001800?cur=JPY&amp;lang=en</t>
  </si>
  <si>
    <t xml:space="preserve">Pitch 2.54mm, row: 1 </t>
  </si>
  <si>
    <t>akizukidenshi</t>
  </si>
  <si>
    <t>3 pins, 15A / 300VAC</t>
  </si>
  <si>
    <t>P-01307</t>
  </si>
  <si>
    <t>http://akizukidenshi.com/catalog/g/gP-01307/</t>
  </si>
  <si>
    <t>CONN HEADER VERT 26POS 2MM</t>
  </si>
  <si>
    <t>952-2396-5-ND</t>
  </si>
  <si>
    <t>M80-8672622</t>
  </si>
  <si>
    <t>https://www.digikey.jp/product-detail/ja/harwin-inc/M80-8672622/952-2396-5-ND/2272043</t>
  </si>
  <si>
    <t>XBEE HEADER SOCKET</t>
  </si>
  <si>
    <t>XBEE HEADER SOCKET 2MM 10PIN 2PK</t>
  </si>
  <si>
    <t>1528-1392-ND</t>
  </si>
  <si>
    <t>SOCKET 2MM 10PIN</t>
  </si>
  <si>
    <t>https://www.digikey.jp/product-detail/en/adafruit-industries-llc/366/1528-1392-ND/5629440</t>
  </si>
  <si>
    <t>ATMega2560 Arduino Mega2560 AVR® ATmega AVR MCU Placa de evaluación integrada de 8 bits</t>
  </si>
  <si>
    <t>https://www.digikey.jp/product-detail/ja/arduino/A000067/1050-1018-ND/2639006</t>
  </si>
  <si>
    <t>MicroSD Card 16GB</t>
  </si>
  <si>
    <t>Memory Card microSD™ 16GB Class 10 MLC</t>
  </si>
  <si>
    <t>ATP Electronics, Inc.</t>
  </si>
  <si>
    <t>AF16GUD3-OEM-ND</t>
  </si>
  <si>
    <t>AF16GUD3-OEM</t>
  </si>
  <si>
    <t>https://www.digikey.jp/product-detail/en/atp-electronics-inc/AF16GUD3-OEM/AF16GUD3-OEM-ND/5022269</t>
  </si>
  <si>
    <t>XBEE 2.4GHz</t>
  </si>
  <si>
    <t>802.15.4 Zigbee® Transceiver Module 2.4GHz Integrated, Wire Antenna</t>
  </si>
  <si>
    <t>Digi International</t>
  </si>
  <si>
    <t>602-1858-ND</t>
  </si>
  <si>
    <t xml:space="preserve"> XB24CZ7WITB003</t>
  </si>
  <si>
    <t>https://www.digikey.jp/product-detail/en/digi-international/XB24CZ7WITB003/602-1858-ND/5322880</t>
  </si>
  <si>
    <t>WIFI Module</t>
  </si>
  <si>
    <t>IEEE 802.11b/g/n WIFI Module 2.4GHz Integrated, Wire Antenna</t>
  </si>
  <si>
    <t>818-7338</t>
  </si>
  <si>
    <t>XB2B-WFWT-001</t>
  </si>
  <si>
    <t>https://jp.rs-online.com/web/p/wlan-modules/8187338</t>
  </si>
  <si>
    <t>USB to TTL Serial 3.3V Cable</t>
  </si>
  <si>
    <t>USB to TTL Serial 3.3V Cable 5.90' (1.80m) Unshielded</t>
  </si>
  <si>
    <t xml:space="preserve"> FTDI, Future Technology Devices International Ltd</t>
  </si>
  <si>
    <t xml:space="preserve"> 768-1015-ND</t>
  </si>
  <si>
    <t xml:space="preserve"> TTL-232R-3V3</t>
  </si>
  <si>
    <t>Raspberry Pi 3 Model B+</t>
  </si>
  <si>
    <t>Raspberry Pi 3 Model B+ - ARM® Cortex®-A53</t>
  </si>
  <si>
    <t xml:space="preserve"> Raspberry Pi</t>
  </si>
  <si>
    <t>M-13470</t>
  </si>
  <si>
    <t>RASPBERRY PI 3 MODEL B</t>
  </si>
  <si>
    <t>http://akizukidenshi.com/catalog/g/gM-13470/</t>
  </si>
  <si>
    <t>glass cutter</t>
  </si>
  <si>
    <t>1-3mm, diamond blade</t>
  </si>
  <si>
    <t>TRUSCO</t>
  </si>
  <si>
    <t>419-9847</t>
  </si>
  <si>
    <t>3F/SFVBL</t>
  </si>
  <si>
    <t>https://www.monotaro.com/p/4892/4337/</t>
  </si>
  <si>
    <t>Digital Multimeter</t>
  </si>
  <si>
    <t>Digital Multimeters True RMS MultiMeter NCV + Temperature</t>
  </si>
  <si>
    <t>Extech</t>
  </si>
  <si>
    <t>685-EX355</t>
  </si>
  <si>
    <t>EX355</t>
  </si>
  <si>
    <t>General use</t>
  </si>
  <si>
    <t>SVBL/2F Control Room</t>
  </si>
  <si>
    <t>https://www.mouser.jp/ProductDetail/Extech/EX355?qs=sGAEpiMZZMtNaRJxj63fb%2Fv0bGPJG22TtrXwIx6NV%2FE%3D</t>
  </si>
  <si>
    <t>Digital Calipers</t>
  </si>
  <si>
    <t>6" Digital Calipers</t>
  </si>
  <si>
    <t>SparkFun</t>
  </si>
  <si>
    <t>474-TOL-10997</t>
  </si>
  <si>
    <t>TOL-10997</t>
  </si>
  <si>
    <t>https://www.mouser.jp/ProductDetail/SparkFun/TOL-10997?qs=sGAEpiMZZMtyU1cDF2RqUE5bpLI3XpN5d%252B9PbCGIlWE%3D</t>
  </si>
  <si>
    <t>Ethernet Cables / Networking Cables NBC-R4AC/5, 0-94Z/R4AC</t>
  </si>
  <si>
    <t>Phoenix Contact</t>
  </si>
  <si>
    <t>651-1403933</t>
  </si>
  <si>
    <t>https://www.mouser.jp/ProductDetail/Phoenix-Contact/1403933?qs=sGAEpiMZZMv%2F60yVGPe5wLKgAJi3UG21JCGwxFffqgWf%2FEWJtALkWA%3D%3D</t>
  </si>
  <si>
    <t>Power Supply</t>
  </si>
  <si>
    <t>Raspberry Pi Training</t>
  </si>
  <si>
    <t>Ribbon Cable</t>
  </si>
  <si>
    <t>RIBBON CBL 40-WIRE FEM/FEM 20CM</t>
  </si>
  <si>
    <t>1471-1969-ND</t>
  </si>
  <si>
    <t>MIKROE-2313</t>
  </si>
  <si>
    <t>https://www.digikey.jp/product-detail/ja/mikroelektronika/MIKROE-2313/1471-1969-ND/8564417</t>
  </si>
  <si>
    <t>CONN HEADER VERT 72POS 2.54MM</t>
  </si>
  <si>
    <t>3M9466-72-ND</t>
  </si>
  <si>
    <t>961272-6404-AR</t>
  </si>
  <si>
    <t>Bulk</t>
  </si>
  <si>
    <t>https://www.digikey.jp/product-detail/en/3m/961272-6404-AR/3M9466-72-ND/2071507</t>
  </si>
  <si>
    <t>USB hub with integrated ethernet port</t>
  </si>
  <si>
    <t>377-2258-ND</t>
  </si>
  <si>
    <t>BC-32626</t>
  </si>
  <si>
    <t>https://www.digikey.jp/product-detail/en/bud-industries/BC-32626/377-2258-ND/5291560</t>
  </si>
  <si>
    <t>TEST LEAD TIP PLUG 7.9"</t>
  </si>
  <si>
    <t>1471-1970-ND</t>
  </si>
  <si>
    <t>MIKROE-2314</t>
  </si>
  <si>
    <t>https://www.digikey.jp/product-detail/ja/mikroelektronika/MIKROE-2314/1471-1970-ND/8564418</t>
  </si>
  <si>
    <t>TIP PLUG TO TIP PLUG 7.9"</t>
  </si>
  <si>
    <t>1471-1971-ND</t>
  </si>
  <si>
    <t>MIKROE-2315</t>
  </si>
  <si>
    <t>https://www.digikey.jp/product-detail/ja/mikroelektronika/MIKROE-2315/1471-1971-ND/8564419</t>
  </si>
  <si>
    <t>RASPBERRY PI 3 MODEL B+</t>
  </si>
  <si>
    <t>https://www.digikey.jp/product-detail/en/raspberry-pi/RASPBERRY-PI-3-MODEL-B/1690-1025-ND/8571724</t>
  </si>
  <si>
    <t>Ethernet switch</t>
  </si>
  <si>
    <t>TP-Link 5 port ethernet switch 10/100/1000Mbps</t>
  </si>
  <si>
    <t>TP-LINK</t>
  </si>
  <si>
    <t>TL-SG105</t>
  </si>
  <si>
    <t>B00A128S24</t>
  </si>
  <si>
    <t>https://www.amazon.co.jp/%E3%80%90Amazon-co-jp%E9%99%90%E5%AE%9A%E3%80%91TP-Link-%E3%82%B9%E3%82%A4%E3%83%83%E3%83%81%E3%83%B3%E3%82%B0%E3%83%8F%E3%83%96-1000Mbps-%E3%83%A9%E3%82%A4%E3%83%95%E3%82%BF%E3%82%A4%E3%83%A0%E4%BF%9D%E8%A8%BC-TL-SG105V4-0/dp/B00A128S24/ref=sr_1_12?__mk_ja_JP=%E3%82%AB%E3%82%BF%E3%82%AB%E3%83%8A&amp;keywords=ethernet+router&amp;qid=1579220631&amp;sr=8-12</t>
  </si>
  <si>
    <t>Screwdriver set</t>
  </si>
  <si>
    <t>xboun</t>
  </si>
  <si>
    <t>B07V9MG2KM</t>
  </si>
  <si>
    <t>https://www.amazon.co.jp/【2020昇級版】精密ドライバーセット-磁気ドライバー-滑り止めハンドル-特殊ドライバー-多機能ツールキット/dp/B07V9MG2KM/ref=sr_1_5?__mk_ja_JP=カタカナ&amp;crid=1E8LKQ46BY36U&amp;keywords=screwdriver+set&amp;qid=1579224092&amp;sprefix=screwdriver%2Caps%2C227&amp;sr=8-5</t>
  </si>
  <si>
    <t>Ruler 30cm</t>
  </si>
  <si>
    <t>コクヨ(KOKUYO)</t>
  </si>
  <si>
    <t>B0012MAIRA</t>
  </si>
  <si>
    <t>TZ-1343</t>
  </si>
  <si>
    <t>https://www.amazon.co.jp/%E3%82%B3%E3%82%AF%E3%83%A8-KOKUYO-TZ-1343-%E3%82%B9%E3%83%86%E3%83%B3%E3%83%AC%E3%82%B9%E7%9B%B4%E5%AE%9A%E8%A6%8F-30cm/dp/B0012MAIRA/ref=sr_1_4?__mk_ja_JP=%E3%82%AB%E3%82%BF%E3%82%AB%E3%83%8A&amp;keywords=ruler&amp;qid=1579225877&amp;sr=8-4</t>
  </si>
  <si>
    <t>Scissor</t>
  </si>
  <si>
    <t>B004MPFS3S</t>
  </si>
  <si>
    <t>https://www.amazon.co.jp/3M-%E3%82%B9%E3%82%B3%E3%83%83%E3%83%81-%E3%83%81%E3%82%BF%E3%83%B3%E3%82%B3%E3%83%BC%E3%83%88-%E3%83%99%E3%82%BF%E3%81%A4%E3%81%8D%E9%98%B2%E6%AD%A2%E5%8A%A0%E5%B7%A5-%E6%9C%AC%E4%BD%93178mm/dp/B004MPFS3S/ref=sr_1_7?__mk_ja_JP=%E3%82%AB%E3%82%BF%E3%82%AB%E3%83%8A&amp;keywords=%E3%83%8F%E3%82%B5%E3%83%9F&amp;qid=1579226847&amp;sr=8-7</t>
  </si>
  <si>
    <t>metal fastener</t>
  </si>
  <si>
    <t>C-Type Silver Solder</t>
  </si>
  <si>
    <t>952-1738-1-ND</t>
  </si>
  <si>
    <t>S8091-46R</t>
  </si>
  <si>
    <t>SVBL/3F birds room</t>
  </si>
  <si>
    <t>https://www.digikey.jp/product-detail/en/harwin-inc/S8091-46R/952-1738-1-ND/3131067</t>
  </si>
  <si>
    <t>952-1576-1-ND</t>
  </si>
  <si>
    <t>S8101-46R</t>
  </si>
  <si>
    <t>https://www.digikey.jp/product-detail/en/harwin-inc/S8101-46R/952-1576-1-ND/2281834</t>
  </si>
  <si>
    <t>Photodiodes</t>
  </si>
  <si>
    <t>Rodrigo</t>
  </si>
  <si>
    <t>Si photodiodes S1087-01</t>
  </si>
  <si>
    <t>S1087-01</t>
  </si>
  <si>
    <t>https://www.hamamatsu.com/jp/en/product/type/S1087-01/index.html</t>
  </si>
  <si>
    <t>ラインテープ　トラ柄</t>
  </si>
  <si>
    <t>https://www.monotaro.com/p/4893/6763/</t>
  </si>
  <si>
    <t>GPS module</t>
  </si>
  <si>
    <t>RF RECEIVER 1.575GHZ MODULE</t>
  </si>
  <si>
    <t>474-GPS-13740</t>
  </si>
  <si>
    <t>GPS-13740</t>
  </si>
  <si>
    <t>Module</t>
  </si>
  <si>
    <t>Mobile GST</t>
  </si>
  <si>
    <t>https://www.mouser.jp/ProductDetail/SparkFun/GPS-13740?qs=%2Fha2pyFadugcUJrxNHRX1%2F2Iqdn0fUobIDh%252BlV4BMJszmu8a1sFm%2Fw%3D%3D</t>
  </si>
  <si>
    <t>Accelerometer</t>
  </si>
  <si>
    <t>TRIPLE AXIS ACCELEROMETER BREAKO</t>
  </si>
  <si>
    <t>1568-1169-ND</t>
  </si>
  <si>
    <t>SEN-12786</t>
  </si>
  <si>
    <t>https://www.digikey.jp/product-detail/en/sparkfun-electronics/SEN-12786/1568-1169-ND/5673755</t>
  </si>
  <si>
    <t>Hoda</t>
  </si>
  <si>
    <t>CBL ASSY SMA PLUG RG174 12"</t>
  </si>
  <si>
    <t>Amphenol RF</t>
  </si>
  <si>
    <t>ACX1606-ND</t>
  </si>
  <si>
    <t>135104-02-12.00</t>
  </si>
  <si>
    <t>cable</t>
  </si>
  <si>
    <t>TEC Antenna Connector</t>
  </si>
  <si>
    <t>https://www.digikey.jp/product-detail/ja/amphenol-rf/135104-02-12.00/ACX1606-ND/2003939</t>
  </si>
  <si>
    <t>Raspberry Pi Compute Module</t>
  </si>
  <si>
    <t>Raspberry</t>
  </si>
  <si>
    <t>Board</t>
  </si>
  <si>
    <t>TEC Board BBM/EM/FM</t>
  </si>
  <si>
    <t>https://www.mouser.jp/ProductDetail/Raspberry-Pi/94AC6637?qs=2WXlatMagcGVzbsT0gacDw==&amp;gclid=Cj0KCQiA0NfvBRCVARIsAO4930nYx9WMohEyHrBmgI7dxQtMbitNHi6ehlbaNnjnRaq9rHWXVuaHQpMaAtH2EALw_wcB</t>
  </si>
  <si>
    <t>CONN SKT SODIMM 200POS R/A SMD</t>
  </si>
  <si>
    <t>200 Position SODIMM DDR2 SDRAM Socket 面実装、ライトアングル</t>
  </si>
  <si>
    <t>TE Connectivity AMP Connectors</t>
  </si>
  <si>
    <t>A114851-ND</t>
  </si>
  <si>
    <t>1473005-4</t>
  </si>
  <si>
    <t>TEC Board EM/FM</t>
  </si>
  <si>
    <t>https://www.digikey.jp/product-detail/ja/te-connectivity-amp-connectors/1473005-4/A114851-ND/2187756</t>
  </si>
  <si>
    <t>IC REG BUCK 1.8V/3.3V DL 12WDFN</t>
  </si>
  <si>
    <t>Buck Switching Regulator IC Positive Fixed 1.8V, 3.3V 2 Output 1A 12-WFDFN Exposed Pad</t>
  </si>
  <si>
    <t>PAM2306AYPKE</t>
  </si>
  <si>
    <t>PAM2306AYPKEDICT-ND</t>
  </si>
  <si>
    <t>12-WFDFN Exposed Pad</t>
  </si>
  <si>
    <t>https://www.digikey.jp/product-detail/en/diodes-incorporated/PAM2306AYPKE/PAM2306AYPKEDICT-ND/7794266?_ga=2.51402089.173113791.1579774486-670371556.1558338406</t>
  </si>
  <si>
    <t>IC REG LINEAR 2.5V 150MA SOT353</t>
  </si>
  <si>
    <t>Linear Voltage Regulator IC Positive Fixed 1 Output  150mA SOT-353</t>
  </si>
  <si>
    <t>AP7115-25SEGDICT-ND</t>
  </si>
  <si>
    <t>AP7115-25SEG-7</t>
  </si>
  <si>
    <t>SOT-353</t>
  </si>
  <si>
    <t>https://www.digikey.jp/product-detail/en/diodes-incorporated/AP7115-25SEG-7/AP7115-25SEGDICT-ND/2044560?_ga=2.79920215.173113791.1579774486-670371556.1558338406</t>
  </si>
  <si>
    <t>IC USB SWITCH DPDT 10UMLP</t>
  </si>
  <si>
    <t>USB Switch IC 1 Channel 10-UMLP (1.8x1.4)</t>
  </si>
  <si>
    <t>FSUSB42UMXCT-ND</t>
  </si>
  <si>
    <t>FSUSB42UMX</t>
  </si>
  <si>
    <t>10-UFQFN</t>
  </si>
  <si>
    <t>https://www.digikey.jp/product-detail/ja/on-semiconductor/FSUSB42UMX/FSUSB42UMXCT-ND/1642629?utm_adgroup=Interface+Analog+Switches+-+Special+Purpose&amp;utm_source=google&amp;utm_medium=cpc&amp;utm_campaign=Google%20Shopping_Integrated%20Circuits&amp;utm_term=&amp;mkwid=sgE9sgphf&amp;pcrid=317439483774&amp;pkw=&amp;pmt=&amp;pdv=c&amp;productid=1642629&amp;slid=&amp;gclid=Cj0KCQiA0NfvBRCVARIsAO4930mggVLXh5bFAm3F6VLmwBGdA3qpImNHhD_08QxqOz7FRNnS4mDjVaYaAmi8EALw_wcB</t>
  </si>
  <si>
    <t>MOSFET N-CH 20V 630MA SOT-523</t>
  </si>
  <si>
    <t>N-Channel 20V 630mA (Ta) 280mW (Ta) Surface Mount SOT-523</t>
  </si>
  <si>
    <t>DMG1012T-7DICT-ND</t>
  </si>
  <si>
    <t>DMG1012T-7</t>
  </si>
  <si>
    <t>SOT-523</t>
  </si>
  <si>
    <t>https://www.digikey.jp/product-detail/en/diodes-incorporated/DMG1012T-7/DMG1012T-7DICT-ND/2181232?cur=JPY&amp;lang=en</t>
  </si>
  <si>
    <t>PTC RESET FUSE 8V 2A 1812</t>
  </si>
  <si>
    <t>Polymeric PTC Resettable Fuse 8V 2A Ih Surface Mount 1812 (4532 Metric), Concave</t>
  </si>
  <si>
    <t>MF-MSMF200-2CT-ND</t>
  </si>
  <si>
    <t>MF-MSMF200-2</t>
  </si>
  <si>
    <t>1812 (4532 Metric)</t>
  </si>
  <si>
    <t>https://www.digikey.jp/product-detail/en/bourns-inc/MF-MSMF200-2/MF-MSMF200-2CT-ND/662850</t>
  </si>
  <si>
    <t>LED GREEN CLEAR 0805 SMD</t>
  </si>
  <si>
    <t>Green  LED Indication - Discrete 2.2V 0805 (2012 Metric)</t>
  </si>
  <si>
    <t>511-1287-1-ND</t>
  </si>
  <si>
    <t>SML-210MTT86</t>
  </si>
  <si>
    <t>0805 (2012 Metric)</t>
  </si>
  <si>
    <t>https://www.digikey.jp/product-detail/en/rohm-semiconductor/SML-210MTT86/511-1287-1-ND/637100</t>
  </si>
  <si>
    <t>FIXED IND 4.7UH 2A 72 MOHM SMD</t>
  </si>
  <si>
    <t>4.7µH Shielded Wirewound Inductor 2A 72mOhm Max Nonstandard</t>
  </si>
  <si>
    <t>v</t>
  </si>
  <si>
    <t>587-2407-1-ND</t>
  </si>
  <si>
    <t>NRS5020T4R7MMGJ</t>
  </si>
  <si>
    <t>Nonstandard</t>
  </si>
  <si>
    <t>https://www.digikey.jp/product-detail/en/taiyo-yuden/NRS5020T4R7MMGJ/587-2407-1-ND/2230273</t>
  </si>
  <si>
    <t>TRANS PREBIAS NPN 200MW SMT3</t>
  </si>
  <si>
    <t>MOSFET 2N-CH 20V SC70-6</t>
  </si>
  <si>
    <t>Mosfet Array 2 N-Channel (Dual) 20V 840mA (Tc) 1.5W Surface Mount SC-70-6</t>
  </si>
  <si>
    <t>FLASH - NOR Memory IC 1Gb (128M x 8) SPI 133MHz  16-SO</t>
  </si>
  <si>
    <t>https://www.digikey.jp/product-detail/en/micron-technology-inc/MT25QL01GBBB8ESF-0SIT-TR/557-1981-1-ND/9673962</t>
  </si>
  <si>
    <t>CABLE MOD 8P8C PLUG-PLUG 3'</t>
  </si>
  <si>
    <t>Kishimoto/Hoda</t>
  </si>
  <si>
    <t>Modular Cable Plug to Plug 8p8c (RJ45, Ethernet) 3.00' (914.4mm) Unshielded</t>
  </si>
  <si>
    <t>DK-1511-003/BL</t>
  </si>
  <si>
    <t>Development of TEC Board</t>
  </si>
  <si>
    <t>Ac Adapter</t>
  </si>
  <si>
    <t>Wall Mount AC Adapters Raspberry Pi 3 RPi 3 T5875DV</t>
  </si>
  <si>
    <t>USB Hub</t>
  </si>
  <si>
    <t>I/O BOARD</t>
  </si>
  <si>
    <t>COMPUTE MODULE RASPBERRYPI3 I/O</t>
  </si>
  <si>
    <t>https://www.digikey.jp/product-detail/en/raspberry-pi/I-O-BOARD/1690-1018-ND/6605501?cur=JPY&amp;lang=en</t>
  </si>
  <si>
    <t>IC OVERVOLTAGE/CUR PROT TSOT23-8</t>
  </si>
  <si>
    <t>Hoda/Abhas</t>
  </si>
  <si>
    <t>Handheld/Mobile Devices PMIC TSOT-23-8</t>
  </si>
  <si>
    <t>TEC Board EM/FM/CAM EM/FM</t>
  </si>
  <si>
    <t>IC USB 2.0 ETH CTLR IND 64-QFN</t>
  </si>
  <si>
    <t>Abhas/Hoda</t>
  </si>
  <si>
    <t>Ethernet Bridge, USB to Ethernet USB 2.0, 10/100 Base-T/TX PHY USB Interface 64-QFN-EP (9x9)</t>
  </si>
  <si>
    <t>LAN9514I-JZX-ND</t>
  </si>
  <si>
    <t>LAN9514I-JZX</t>
  </si>
  <si>
    <t>CAM Board EM/FM</t>
  </si>
  <si>
    <t>https://www.digikey.jp/products/en?keywords=LAN9514I-JZX</t>
  </si>
  <si>
    <t>Azami/Hoda</t>
  </si>
  <si>
    <t>CAM Board FM</t>
  </si>
  <si>
    <t>KITSUNE 2U BPB BBM</t>
  </si>
  <si>
    <t>PCB (224mm x 152mm)</t>
  </si>
  <si>
    <t>BPB BBM</t>
  </si>
  <si>
    <t>4CH電源装置</t>
  </si>
  <si>
    <t>GPD-4303S</t>
  </si>
  <si>
    <t>GW Instek</t>
  </si>
  <si>
    <t>https://jp.misumi-ec.com/vona2/detail/223007851457/</t>
  </si>
  <si>
    <t>樹脂ビスM3-12</t>
  </si>
  <si>
    <t>CSHPC-PC-M3-12</t>
  </si>
  <si>
    <t>https://jp.misumi-ec.com/vona2/detail/221000551444/?KWSearch=%e6%a8%b9%e8%84%82%e3%83%9c%e3%83%ab%e3%83%88&amp;searchFlow=results2products</t>
  </si>
  <si>
    <t>樹脂ビスM4-12</t>
  </si>
  <si>
    <t>CSHPC-PC-M4-12</t>
  </si>
  <si>
    <t>アルミフレーム</t>
  </si>
  <si>
    <t>NFSR5-2020-540</t>
  </si>
  <si>
    <t>NFSR5-2020-[50-4000/0.5]</t>
  </si>
  <si>
    <t>https://jp.misumi-ec.com/vona2/detail/110302685570/</t>
  </si>
  <si>
    <t>フレームエンド</t>
  </si>
  <si>
    <t>HBLCD5-S</t>
  </si>
  <si>
    <t>https://jp.misumi-ec.com/vona2/detail/110300439630/</t>
  </si>
  <si>
    <t>アルミボルト</t>
  </si>
  <si>
    <t>CBAL4-12</t>
  </si>
  <si>
    <t>CBT4-12</t>
  </si>
  <si>
    <t>https://jp.misumi-ec.com/vona2/detail/110302678660/?KWSearch=%e3%82%a2%e3%83%ab%e3%83%9f%e3%83%9c%e3%83%ab%e3%83%88&amp;searchFlow=results2products</t>
  </si>
  <si>
    <t>樹脂ビスM4-20</t>
  </si>
  <si>
    <t>CSHPC-PC-M4-20</t>
  </si>
  <si>
    <t>樹脂ビスM4-25</t>
  </si>
  <si>
    <t>CSHPC-PC-M4-25</t>
  </si>
  <si>
    <t>樹脂ビスM3-25</t>
  </si>
  <si>
    <t>CSHPC-PC-M3-25</t>
  </si>
  <si>
    <t>樹脂ビスM3-10</t>
  </si>
  <si>
    <t>CSHPC-PC-M3-10</t>
  </si>
  <si>
    <t>樹脂ナットM4</t>
  </si>
  <si>
    <t>HNT1-PC-M4</t>
  </si>
  <si>
    <t>https://jp.misumi-ec.com/vona2/detail/221000544288/?rid=c14_detail_1_221000544288</t>
  </si>
  <si>
    <t>樹脂ナットM3</t>
  </si>
  <si>
    <t>HNT1-PC-M3</t>
  </si>
  <si>
    <t>低頭六角ボルト 10pack</t>
  </si>
  <si>
    <t>SSH-M3X10</t>
  </si>
  <si>
    <t>Nabeya bytech</t>
  </si>
  <si>
    <t>https://jp.misumi-ec.com/vona2/detail/221000349089/?CategorySpec=00000217040%3a%3amig00000002457491%0900000217056%3a%3amig00000002487723%0900000217074%3a%3ac%0900000216906%3a%3aa&amp;clkid=clkid_list_template</t>
  </si>
  <si>
    <t>樹脂ビスM3 x 5 50pack</t>
  </si>
  <si>
    <t>SPC-M3X5-P</t>
  </si>
  <si>
    <t>https://jp.misumi-ec.com/vona2/detail/221000351071/?CategorySpec=00000239007%3a%3amig00000002506379%0900000239090%3a%3amig00000002568311%0900000239362%3a%3aa%0900000239175%3a%3ag%0900000237493%3a%3ab%0900000238054%3a%3aa&amp;clkid=clkid_list_template</t>
  </si>
  <si>
    <t>ミニベアリング</t>
  </si>
  <si>
    <t>F-624ZZ1/1K</t>
  </si>
  <si>
    <t>NTN</t>
  </si>
  <si>
    <t>https://jp.misumi-ec.com/vona2/detail/221000058378/?KWSearch=%e3%83%99%e3%82%a2%e3%83%aa%e3%83%b3%e3%82%b0&amp;searchFlow=results2products</t>
  </si>
  <si>
    <t>コイル</t>
  </si>
  <si>
    <t>d0.4 UEW</t>
  </si>
  <si>
    <t>swcc</t>
  </si>
  <si>
    <t>電線ストア.com</t>
  </si>
  <si>
    <t>http://www.densen-store.com/products/detail.php?product_id=2510</t>
  </si>
  <si>
    <t>オイルレスエアーコンプレッサー</t>
  </si>
  <si>
    <t>ACP-39SLA</t>
  </si>
  <si>
    <t>EARTH MAN</t>
  </si>
  <si>
    <t>https://www.monotaro.com/p/0177/5262/?t.q=%83R%83%93%83v%83%8C%83b%83T%81%5B</t>
  </si>
  <si>
    <t>Pin receptacle connector, 20 pin</t>
  </si>
  <si>
    <t>20 Position receptacle connector, 0.100" (2.54mm)</t>
  </si>
  <si>
    <t>952-1837-ND</t>
  </si>
  <si>
    <t>M20-7831046</t>
  </si>
  <si>
    <t>https://www.digikey.jp/product-detail/en/harwin-inc/M20-7831046/952-1837-ND/3727804</t>
  </si>
  <si>
    <t>Pin receptacle connector, 30 pin</t>
  </si>
  <si>
    <t>30 Position receptacle connector, 0.100" (2.54mm)</t>
  </si>
  <si>
    <t>952-2834-ND</t>
  </si>
  <si>
    <t>M20-7831542</t>
  </si>
  <si>
    <t>https://www.digikey.jp/product-detail/en/harwin-inc/M20-7831542/952-2834-ND/3919506</t>
  </si>
  <si>
    <t>Toggle switch</t>
  </si>
  <si>
    <t>Toggle Switch SPST Panel Mount</t>
  </si>
  <si>
    <t>TE Connectivity ALCOSWITCH Switches</t>
  </si>
  <si>
    <t>450-2071-ND</t>
  </si>
  <si>
    <t>TMS6T3B1M1QE</t>
  </si>
  <si>
    <t>https://www.digikey.jp/products/en?keywords=450-2071-nd</t>
  </si>
  <si>
    <t>ITO quartz glass</t>
  </si>
  <si>
    <t>AEP(BIRDS4)</t>
  </si>
  <si>
    <t>quartz glass size 10x20 mm, ITO membrane is 100±20 nm,surface resistivity is 20 Ω/sq</t>
  </si>
  <si>
    <t>ALS Co., Ltd</t>
  </si>
  <si>
    <t>Shikouseiki</t>
  </si>
  <si>
    <t>3F SVBL BIRDS room</t>
  </si>
  <si>
    <t>https://www.als-japan.com/1385.html</t>
  </si>
  <si>
    <t>Amateur Radio Fee</t>
  </si>
  <si>
    <t>Amateur radio 1year</t>
  </si>
  <si>
    <t>MIC</t>
  </si>
  <si>
    <t>HORYU/BIRDS</t>
  </si>
  <si>
    <t>https://www.soumu.go.jp/soutsu/kyushu/ru/at/fee.html</t>
  </si>
  <si>
    <t>d0.7 PEW</t>
  </si>
  <si>
    <t>https://www.densen-store.com/products/detail.php?product_id=24</t>
  </si>
  <si>
    <t>Low Head Profile M2 Screws</t>
  </si>
  <si>
    <t>Hind</t>
  </si>
  <si>
    <t>M2 4mm Low Head Profile</t>
  </si>
  <si>
    <t>https://us.misumi-ec.com/vona2/detail/110302280540/?HissuCode=CBSTSR2-4&amp;curSearch=%7b%22field%22%3a%22%40search%22%2c%22seriesCode%22%3a%22110302280540%22%2c%22innerCode%22%3a%22%22%2c%22sort%22%3a1%2c%22specSortFlag%22%3a0%2c%22allSpecFlag%22%3a0%2c%22page%22%3a1%2c%22pageSize%22%3a%2260%22%2c%2200000072016%22%3a%22mig00000001420308%22%2c%2200000072118%22%3a%22mig00000001420304%22%2c%2200000072493%22%3a%22a%22%2c%2200000072376%22%3a%22a%22%2c%22fixedInfo%22%3a%22MDM0000131634811030228054011%7c20%22%7d&amp;Tab=codeList</t>
  </si>
  <si>
    <t>torsion spring</t>
  </si>
  <si>
    <t>180 ° right winding torsion spring φ3</t>
  </si>
  <si>
    <t>accurate</t>
  </si>
  <si>
    <t>T008C</t>
  </si>
  <si>
    <t>https://jp.misumi-ec.com/vona2/detail/221000016923/?PNSearch=T008C&amp;HissuCode=T008C&amp;searchFlow=suggest2products&amp;Keyword=T008C</t>
  </si>
  <si>
    <t>180 ° left winding torsion spring φ3</t>
  </si>
  <si>
    <t>TL015C</t>
  </si>
  <si>
    <t>https://jp.misumi-ec.com/vona2/detail/221000016923/?PNSearch=TL008C&amp;HissuCode=TL008C&amp;searchFlow=suggest2products&amp;Keyword=TL008C</t>
  </si>
  <si>
    <t>90° right winding torsion spring φ4</t>
  </si>
  <si>
    <t>samini</t>
  </si>
  <si>
    <t>33-0446</t>
  </si>
  <si>
    <t>https://jp.misumi-ec.com/vona2/detail/221000572234/?PNSearch=33-0446&amp;HissuCode=33-0446&amp;searchFlow=suggest2products&amp;Keyword=33-0446</t>
  </si>
  <si>
    <t>90° left winding torsion spring φ4</t>
  </si>
  <si>
    <t>34-0447</t>
  </si>
  <si>
    <t>https://jp.misumi-ec.com/vona2/detail/221000572234/?PNSearch=34-0446&amp;HissuCode=34-0446&amp;searchFlow=suggest2products&amp;Keyword=34-0446</t>
  </si>
  <si>
    <t>90° left and right winding torsion spring φ4</t>
  </si>
  <si>
    <t>esuko</t>
  </si>
  <si>
    <t>EA952SH-422</t>
  </si>
  <si>
    <t>https://jp.misumi-ec.com/vona2/detail/221005814351/</t>
  </si>
  <si>
    <t>washer</t>
  </si>
  <si>
    <t>M2 6mm SUS304 1.2mm a washer</t>
  </si>
  <si>
    <t>CSPPNP1-SUS-M2-6</t>
  </si>
  <si>
    <t>https://jp.misumi-ec.com/vona2/detail/221000546404/?PNSearch=CSPPNP1-SUS-M2-6&amp;HissuCode=CSPPNP1-SUS-M2-6&amp;searchFlow=suggesthistory&amp;Keyword=CSPPNP1-SUS-M2-6</t>
  </si>
  <si>
    <t>M2 5mm SUS304 1.2mm a washer</t>
  </si>
  <si>
    <t>CSPPNP1-SUS-M2-5</t>
  </si>
  <si>
    <t>https://jp.misumi-ec.com/vona2/detail/221000546404/?HissuCode=CSPPNP1-SUS-M2-5&amp;PNSearch=CSPPNP1-SUS-M2-5&amp;KWSearch=CSPPNP1-SUS-M2-5&amp;searchFlow=results2products</t>
  </si>
  <si>
    <t>fishing wire</t>
  </si>
  <si>
    <t>PE fishing wire No.2.5 / 13.0kg</t>
  </si>
  <si>
    <t>Rakuten</t>
  </si>
  <si>
    <t>HR-2.5</t>
  </si>
  <si>
    <t>https://item.rakuten.co.jp/upis777/745/</t>
  </si>
  <si>
    <t>Nichrome wire</t>
  </si>
  <si>
    <t>0.5 mm x 5 m</t>
  </si>
  <si>
    <t>Senko</t>
  </si>
  <si>
    <t xml:space="preserve">Simultion
</t>
  </si>
  <si>
    <t>protues PIC bundle VSM 8bit</t>
  </si>
  <si>
    <t>Labcenter Electronics</t>
  </si>
  <si>
    <t>datadynmics</t>
  </si>
  <si>
    <t>https://www.datadynamics.co.jp/proteus/picbundle8bitj.htm</t>
  </si>
  <si>
    <t>compiler</t>
  </si>
  <si>
    <t>PIC C compiler</t>
  </si>
  <si>
    <t>Mikroelectronika</t>
  </si>
  <si>
    <t>1471-1685-ND</t>
  </si>
  <si>
    <t>MIKROE-1943</t>
  </si>
  <si>
    <t>https://www.digikey.jp/product-detail/en/mikroelektronika/MIKROE-1943/1471-1685-ND/6490568</t>
  </si>
  <si>
    <t>film</t>
  </si>
  <si>
    <t>1150*1000 sheet</t>
  </si>
  <si>
    <t>furon chemical</t>
  </si>
  <si>
    <t>External hard drive</t>
  </si>
  <si>
    <t>Portable Hard Disk 2TB/3.02. 0 Compatible</t>
  </si>
  <si>
    <t>I – O Data</t>
  </si>
  <si>
    <t>Data Storage</t>
  </si>
  <si>
    <t>https://www.amazon.co.jp/dp/B078D674SY/ref=sr_1_12?keywords=%E5%A4%96%E4%BB%98%E3%81%91%EF%BD%88dd&amp;qid=1580885577&amp;refinements=p_72%3A2150400051%2Cp_n_feature_browse-bin%3A2180333051&amp;rnid=2180328051&amp;s=computers&amp;sr=1-12</t>
  </si>
  <si>
    <t>PC/104 Extractor</t>
  </si>
  <si>
    <t>PC/104 Extractor tool</t>
  </si>
  <si>
    <t>VersaLogic Corporation</t>
  </si>
  <si>
    <t>1241-1103-ND</t>
  </si>
  <si>
    <t>VL-HDW-203</t>
  </si>
  <si>
    <t>CubeSat interface</t>
  </si>
  <si>
    <t>https://www.digikey.jp/products/en?keywords=1241-1103-ND</t>
  </si>
  <si>
    <t>Receptacle connector TH</t>
  </si>
  <si>
    <t>52-pos Receptacle connector TH</t>
  </si>
  <si>
    <t>SAM1185-26-ND</t>
  </si>
  <si>
    <t>SSQ-126-02-G-D</t>
  </si>
  <si>
    <t>https://www.digikey.jp/product-detail/en/samtec-inc/SSQ-126-02-G-D/SAM1185-26-ND/1110841</t>
  </si>
  <si>
    <t>テフロンシート</t>
  </si>
  <si>
    <t>90° right winding torsion spring φ3</t>
  </si>
  <si>
    <t>Samini</t>
  </si>
  <si>
    <t>33-0336</t>
  </si>
  <si>
    <t>https://jp.misumi-ec.com/vona2/detail/221000572234/?PNSearch=33-0336&amp;HissuCode=33-0336&amp;searchFlow=suggesthistory&amp;Keyword=33-0336</t>
  </si>
  <si>
    <t>90° left winding torsion spring φ3</t>
  </si>
  <si>
    <t>34-0336</t>
  </si>
  <si>
    <t>M1.4 L3mm screw</t>
  </si>
  <si>
    <t>Hirosugi Keiki</t>
  </si>
  <si>
    <t>U-1430-01</t>
  </si>
  <si>
    <t>https://jp.misumi-ec.com/vona2/detail/221006203422/?PNSearch=U-1430-01&amp;HissuCode=U-1430-01&amp;searchFlow=suggest2products&amp;Keyword=U-1430-01</t>
  </si>
  <si>
    <t>USBケーブル</t>
  </si>
  <si>
    <t>USBケーブル　5mm ブースター付き</t>
  </si>
  <si>
    <t>K180192</t>
  </si>
  <si>
    <t>BSUAAR250BS</t>
  </si>
  <si>
    <t>Vibration, Shock Test</t>
  </si>
  <si>
    <t>https://www.askul.co.jp/p/K180192/</t>
  </si>
  <si>
    <t>FM変調IC</t>
  </si>
  <si>
    <t>RF Transmitter ASK、FSK 433MHz～435MHz 6.9dBm  キャスタレーション Antenna 10-TFSOP、10-MSOP（0.118インチ、3.00mm幅）</t>
  </si>
  <si>
    <t>TDK5100FHTMA1CT-ND</t>
  </si>
  <si>
    <t>TDK5100FHTMA1</t>
  </si>
  <si>
    <t>10-TFSOP、10-MSOP</t>
  </si>
  <si>
    <t>https://www.digikey.jp/product-detail/ja/infineon-technologies/TDK5100FHTMA1/TDK5100FHTMA1CT-ND/9808475</t>
  </si>
  <si>
    <t>13.56MHz ±20ppm 水晶 12pF 100 Ohms 4-SMD、リードなし</t>
  </si>
  <si>
    <t>XC2145CT-ND</t>
  </si>
  <si>
    <t>ECS-135.6-12-33Q-JES-TR</t>
  </si>
  <si>
    <t>4-SMD</t>
  </si>
  <si>
    <t>https://www.digikey.jp/product-detail/ja/ecs-inc/ECS-135.6-12-33Q-JES-TR/XC2145CT-ND/6050974</t>
  </si>
  <si>
    <t>Synflex  Pipe</t>
  </si>
  <si>
    <t>Bonsu B</t>
  </si>
  <si>
    <t xml:space="preserve">20 meters long </t>
  </si>
  <si>
    <t>Chiyoda commerce</t>
  </si>
  <si>
    <t xml:space="preserve">PeTT Vacuum Chamber </t>
  </si>
  <si>
    <t xml:space="preserve">Research project </t>
  </si>
  <si>
    <t>https://www.monotaro.com/p/0584/3451/</t>
  </si>
  <si>
    <t>straight Touch fitting</t>
  </si>
  <si>
    <t>connection screw 1/2, Applicable tube outer diameter 10mm</t>
  </si>
  <si>
    <t>https://www.monotaro.com/p/0572/1886/</t>
  </si>
  <si>
    <t xml:space="preserve">Water supply  adaptor </t>
  </si>
  <si>
    <t>M26 x 1.5</t>
  </si>
  <si>
    <t>SANEI (San-ei faucet factory)</t>
  </si>
  <si>
    <t>https://www.monotaro.com/p/3461/7283/</t>
  </si>
  <si>
    <t>Water supply  adaptor _2</t>
  </si>
  <si>
    <t>G 3/4 x G 1/2</t>
  </si>
  <si>
    <t>https://www.monotaro.com/p/4443/0174/</t>
  </si>
  <si>
    <t>BIRDS TEST</t>
  </si>
  <si>
    <t>Test board for BIRDS DUMMY</t>
  </si>
  <si>
    <t>MEXT CubeSat human resource</t>
  </si>
  <si>
    <t>BIRDS DUMMY</t>
  </si>
  <si>
    <t>BIRDS DUMMY board</t>
  </si>
  <si>
    <t>BIRDS DUMMY Memory IC and Capacitors</t>
  </si>
  <si>
    <t>1G byte flash memory and SMD capacitors</t>
  </si>
  <si>
    <t>BIRDS DUMMY Microcontroller and IC devices</t>
  </si>
  <si>
    <t>PIC32MZ2048EFG144, 150MHze MEMS OSC</t>
  </si>
  <si>
    <t>BIRDS DUMMY Tantal capicitors</t>
  </si>
  <si>
    <t>Tantal capicitors 100uF</t>
  </si>
  <si>
    <t>Femi Ishola</t>
  </si>
  <si>
    <t xml:space="preserve">1KΩ </t>
  </si>
  <si>
    <t>RS Electronics</t>
  </si>
  <si>
    <t>RS Stock No.663-6810</t>
  </si>
  <si>
    <t>MOS1CT52A1001F</t>
  </si>
  <si>
    <t>Beam Steering Experiment</t>
  </si>
  <si>
    <t>1.2KΩ</t>
  </si>
  <si>
    <t>RS Stock No.663-6551</t>
  </si>
  <si>
    <t>2CT52A1201F</t>
  </si>
  <si>
    <t>10Ω</t>
  </si>
  <si>
    <t>RS Stock No.663-6703</t>
  </si>
  <si>
    <t>MOS1CT52A10R0F</t>
  </si>
  <si>
    <t>10KΩ Pot-Lin</t>
  </si>
  <si>
    <t>RS Stock No.522-0625</t>
  </si>
  <si>
    <t>3310Y-001-103L</t>
  </si>
  <si>
    <t>1KΩ Pot-Lin</t>
  </si>
  <si>
    <t>RS Stock No.522-0603</t>
  </si>
  <si>
    <t>3310Y-001-102L</t>
  </si>
  <si>
    <t>￥678</t>
  </si>
  <si>
    <t>5.1KΩ</t>
  </si>
  <si>
    <t>RS Stock No.663-6850</t>
  </si>
  <si>
    <t>MOS1CT52A5101F</t>
  </si>
  <si>
    <t>￥242</t>
  </si>
  <si>
    <t>10KΩ</t>
  </si>
  <si>
    <t>RS Stock No.663-6860</t>
  </si>
  <si>
    <t>MOS1CT52A1002F</t>
  </si>
  <si>
    <t>￥377</t>
  </si>
  <si>
    <t>4.7KΩ</t>
  </si>
  <si>
    <t>RS Stock No.663-6857</t>
  </si>
  <si>
    <t>MOS1CT52A4701F</t>
  </si>
  <si>
    <t>￥482</t>
  </si>
  <si>
    <t>330Ω Metal Film</t>
  </si>
  <si>
    <t>RS Stock No.131-198</t>
  </si>
  <si>
    <t>CFR25J330R</t>
  </si>
  <si>
    <t>￥11</t>
  </si>
  <si>
    <t>3.3Ω Metal Film</t>
  </si>
  <si>
    <t>RS Stock No.150-688</t>
  </si>
  <si>
    <t>LR1F3R3</t>
  </si>
  <si>
    <t>￥300</t>
  </si>
  <si>
    <t>100Ω Pot-Lin</t>
  </si>
  <si>
    <t>691-7651</t>
  </si>
  <si>
    <t>3386V-1-101LF</t>
  </si>
  <si>
    <t>￥412</t>
  </si>
  <si>
    <t>56Ω</t>
  </si>
  <si>
    <t>RS Stock No.663-6753</t>
  </si>
  <si>
    <t>MOS1CT52A56R0F</t>
  </si>
  <si>
    <t>￥299</t>
  </si>
  <si>
    <t>82Ω</t>
  </si>
  <si>
    <t>RS Stock No.663-6765</t>
  </si>
  <si>
    <t>MOS1CT52A82R0F</t>
  </si>
  <si>
    <t>470Ω</t>
  </si>
  <si>
    <t>RS Stock No.214-2724</t>
  </si>
  <si>
    <t>ROX3SJ470R</t>
  </si>
  <si>
    <t>￥117</t>
  </si>
  <si>
    <t>100μF, 25V Radial Electrolytic</t>
  </si>
  <si>
    <t>RS Stock No.475-7845</t>
  </si>
  <si>
    <t>UVK1E101MDD</t>
  </si>
  <si>
    <t>￥147</t>
  </si>
  <si>
    <t>10μF, 50V Radial Electrolytic</t>
  </si>
  <si>
    <t>RS Stock No.715-2818</t>
  </si>
  <si>
    <t>UPW1H100MDD</t>
  </si>
  <si>
    <t>￥166</t>
  </si>
  <si>
    <t>100nF, 50V Electrolytic</t>
  </si>
  <si>
    <t>RS Stock No.475-9447</t>
  </si>
  <si>
    <t>UMA1H0R1MDD</t>
  </si>
  <si>
    <t>￥274</t>
  </si>
  <si>
    <t>15pF, 25V Ceramic</t>
  </si>
  <si>
    <t>RS Stock No.789-9315</t>
  </si>
  <si>
    <t>DEC1X3J150JC4B</t>
  </si>
  <si>
    <t>￥533</t>
  </si>
  <si>
    <t>Logic Level Adapter</t>
  </si>
  <si>
    <t>BOB-12009 BSS138</t>
  </si>
  <si>
    <t>Sparkfun Electronics</t>
  </si>
  <si>
    <t>RS Stock No.124-4528</t>
  </si>
  <si>
    <t>LM386N-3 / NOPB</t>
  </si>
  <si>
    <t>￥649.84</t>
  </si>
  <si>
    <t>Chip</t>
  </si>
  <si>
    <t>LM386</t>
  </si>
  <si>
    <t>RS Stock No.533-8237</t>
  </si>
  <si>
    <t>LM339N / NOPB</t>
  </si>
  <si>
    <t>￥1,157</t>
  </si>
  <si>
    <t>LM339</t>
  </si>
  <si>
    <t xml:space="preserve"> 296-9542-5-ND</t>
  </si>
  <si>
    <t>LM324AN</t>
  </si>
  <si>
    <t>￥234</t>
  </si>
  <si>
    <t>LM324</t>
  </si>
  <si>
    <t>DigiKey Electronics</t>
  </si>
  <si>
    <t>609-4712-ND‎</t>
  </si>
  <si>
    <t>DILB14P-223TLF‎</t>
  </si>
  <si>
    <t>￥105.74</t>
  </si>
  <si>
    <t>DIP Socket</t>
  </si>
  <si>
    <t>14 Pins DIL</t>
  </si>
  <si>
    <t>609-4717-ND‎</t>
  </si>
  <si>
    <t>DILB8P-223TLF‎</t>
  </si>
  <si>
    <t>￥118.95</t>
  </si>
  <si>
    <t xml:space="preserve"> DIP Socket</t>
  </si>
  <si>
    <t>8 Pins DIL</t>
  </si>
  <si>
    <t>￥70.49</t>
  </si>
  <si>
    <t>DAC Chip</t>
  </si>
  <si>
    <t>MCP4725 I2C DAC BOB-12918</t>
  </si>
  <si>
    <t>BOB-12918</t>
  </si>
  <si>
    <t>￥1,090.41</t>
  </si>
  <si>
    <t>LEDs COM-12062</t>
  </si>
  <si>
    <t>Assorted LEDs COM-12062</t>
  </si>
  <si>
    <t>COM-12062</t>
  </si>
  <si>
    <t>￥363.47</t>
  </si>
  <si>
    <t>PRT-14671 Large Jumper Wire Kit</t>
  </si>
  <si>
    <t>Large Jumper Wire Kit</t>
  </si>
  <si>
    <t xml:space="preserve">PRT-14671 </t>
  </si>
  <si>
    <t>￥2748.04</t>
  </si>
  <si>
    <t>PRT-09139 Jumper Wires Premium 6" M/F Pack</t>
  </si>
  <si>
    <t>Jumper Wires Premium 6" M/F Pack</t>
  </si>
  <si>
    <t>PRT-09139</t>
  </si>
  <si>
    <t>PRT-12794 Jumper Wires Connected 6" M/F</t>
  </si>
  <si>
    <t>Jumper Wires Connected 6" M/F</t>
  </si>
  <si>
    <t xml:space="preserve">PRT-12794 </t>
  </si>
  <si>
    <t>￥214.78</t>
  </si>
  <si>
    <t>PRT-12796 Jumper Wires Connected 6" F/F</t>
  </si>
  <si>
    <t>Jumper Wires Connected 6" F/F</t>
  </si>
  <si>
    <t xml:space="preserve">PRT-12796 </t>
  </si>
  <si>
    <t>PRT-14284 Jumper Wires Premium 4" M/M</t>
  </si>
  <si>
    <t>Jumper Wires Premium 4" M/M</t>
  </si>
  <si>
    <t>PRT-14284</t>
  </si>
  <si>
    <t>PRT-00114 Breadboard Power Supply 5V/3.3V</t>
  </si>
  <si>
    <t>Breadboard Power Supply 5V/3.3V</t>
  </si>
  <si>
    <t>￥1156.49</t>
  </si>
  <si>
    <t>COM-09906 Laser Module - Green</t>
  </si>
  <si>
    <t>Laser Module - Green</t>
  </si>
  <si>
    <t>COM-09906</t>
  </si>
  <si>
    <t>￥1977.05</t>
  </si>
  <si>
    <t>レジャーテーブル</t>
  </si>
  <si>
    <t>NICT</t>
  </si>
  <si>
    <t>120mm x 60mm</t>
  </si>
  <si>
    <t>YAT-1260</t>
  </si>
  <si>
    <t>学生実験</t>
  </si>
  <si>
    <t>https://www.monotaro.com/p/2554/3465/?utm_medium=cpc&amp;utm_source=Adwords&amp;utm_campaign=246-833-4061_6466659573&amp;utm_content=77481173756&amp;utm_term=_380604238305__aud-299700299220:pla-557385359696&amp;gclid=CjwKCAiAnfjyBRBxEiwA-EECLDQk7UPneFb2AqnHJL76YJS8opIyFDHUZ1Mth_RoEElooKm7RLc7bhoCUHIQAvD_BwE</t>
  </si>
  <si>
    <t>低損失同軸ケーブル</t>
  </si>
  <si>
    <t>5D-FB 100m</t>
  </si>
  <si>
    <t>四国電線</t>
  </si>
  <si>
    <t>5D-FB</t>
  </si>
  <si>
    <t>https://www.monotaro.com/g/04550893/?t.q=5D-FB</t>
  </si>
  <si>
    <t>Nプラグ</t>
  </si>
  <si>
    <t>Nプラグ　5D-FB用</t>
  </si>
  <si>
    <t>NP-H-5DFB</t>
  </si>
  <si>
    <t>https://www.monotaro.com/p/5555/1606/</t>
  </si>
  <si>
    <t>NJ-SMAP 変換コネクタ</t>
  </si>
  <si>
    <t>Nジャック-SMAプラグ</t>
  </si>
  <si>
    <t>NJ-SMAP-18G</t>
  </si>
  <si>
    <t>https://www.monotaro.com/p/5052/1328/?t.q=N%83R%83l%83N%83%5E</t>
  </si>
  <si>
    <t>USB延長ケーブル</t>
  </si>
  <si>
    <t>USB(A)オス-USB(A)メス 50cm</t>
  </si>
  <si>
    <t>エレコム</t>
  </si>
  <si>
    <t>U2C-JE05BK</t>
  </si>
  <si>
    <t>https://www.monotaro.com/g/00862427/?t.q=USB%89%84%92%B7</t>
  </si>
  <si>
    <t>P-ban soldering</t>
  </si>
  <si>
    <t>Soldering of 12V DC/DC converter and BCR</t>
  </si>
  <si>
    <t>EPS/OBC</t>
  </si>
  <si>
    <t>Break Away Headers - Straight</t>
  </si>
  <si>
    <t>USB Cable A to B - 6 Foot</t>
  </si>
  <si>
    <t>CAB-00512</t>
  </si>
  <si>
    <t>Mini Photocell</t>
  </si>
  <si>
    <t>SEN-09088</t>
  </si>
  <si>
    <t>Heat Shrink Kit</t>
  </si>
  <si>
    <t>PRT-09353</t>
  </si>
  <si>
    <t>SparkFun Audio Amplifier Kit - STA540</t>
  </si>
  <si>
    <t>KIT-09612</t>
  </si>
  <si>
    <t>JST Jumper 2 Wire Assembly</t>
  </si>
  <si>
    <t>PRT-09914</t>
  </si>
  <si>
    <t>JST Jumper 4 Wire Assembly</t>
  </si>
  <si>
    <t>PRT-09916</t>
  </si>
  <si>
    <t>Arduino Stackable Header Kit - R3</t>
  </si>
  <si>
    <t>SparkFun Logic Level Converter - Bi-Directional</t>
  </si>
  <si>
    <t>BOB-12009</t>
  </si>
  <si>
    <t>SparkFun XBee Shield</t>
  </si>
  <si>
    <t>WRL-12847</t>
  </si>
  <si>
    <t>SparkFun Snappable Protoboard</t>
  </si>
  <si>
    <t>PRT-13268</t>
  </si>
  <si>
    <t>SparkFun OpenLog</t>
  </si>
  <si>
    <t>DEV-13712</t>
  </si>
  <si>
    <t>SparkFun ProtoShield Kit</t>
  </si>
  <si>
    <t>SparkFun Qwiic Shield for Arduino</t>
  </si>
  <si>
    <t>DEV-14352</t>
  </si>
  <si>
    <t>Qwiic Cable - 100mm</t>
  </si>
  <si>
    <t>PRT-14427</t>
  </si>
  <si>
    <t>SparkFun Micro OLED Breakout (Qwiic)</t>
  </si>
  <si>
    <t>LCD-14532</t>
  </si>
  <si>
    <t>Large Jumper Wire Kit - 700pcs</t>
  </si>
  <si>
    <t>PRT-14671</t>
  </si>
  <si>
    <t>microSD Card with Adapter - 64GB (Class 10)</t>
  </si>
  <si>
    <t>COM-14833</t>
  </si>
  <si>
    <t>USB 2.0 Cable A to C - 3 Foot</t>
  </si>
  <si>
    <t>CAB-15092</t>
  </si>
  <si>
    <t>U.FL to U.FL Mini Coax Cable - 200mm</t>
  </si>
  <si>
    <t>WRL-15114</t>
  </si>
  <si>
    <t>SparkFun GPS-RTK2 Board - ZED-F9P (Qwiic)</t>
  </si>
  <si>
    <t>GPS-15136</t>
  </si>
  <si>
    <t>Molex Flexible GNSS Antenna - U.FL (Adhesive)</t>
  </si>
  <si>
    <t>GPS-15246</t>
  </si>
  <si>
    <t>SparkFun GNSS Chip Antenna Evaluation Board</t>
  </si>
  <si>
    <t>GPS-15247</t>
  </si>
  <si>
    <t>SparkFun XBee 3 Wireless Kit</t>
  </si>
  <si>
    <t>KIT-15936</t>
  </si>
  <si>
    <t>Qwiic Cable - Breadboard Jumper (4-pin)</t>
  </si>
  <si>
    <t>PRT-14425</t>
  </si>
  <si>
    <t>Mini-Series Kinematic Mount</t>
  </si>
  <si>
    <t>Mini-Series Kinematic Mount for Ø11 mm Cylindrical Components M3 Taps</t>
  </si>
  <si>
    <t>MK11F/M</t>
  </si>
  <si>
    <t>Compact Laser Module 520nm</t>
  </si>
  <si>
    <t>Compact Laser Module with Bare Wire Leads 520 nm 0.9 mW</t>
  </si>
  <si>
    <t>PL203</t>
  </si>
  <si>
    <t>Compact Laser Module 635nm</t>
  </si>
  <si>
    <t>Compact Laser Module with Bare Wire Leads 635 nm 0.9 mW</t>
  </si>
  <si>
    <t>PL204</t>
  </si>
  <si>
    <t>Mounted Silicon Photodiode 320-1100 nm Cathode Grounded</t>
  </si>
  <si>
    <t>SM05PD3A</t>
  </si>
  <si>
    <t>Retaining Ring</t>
  </si>
  <si>
    <t>Mini-Series Lens Mount with Retaining Ring for Ø1/2" Optics M3 Tap</t>
  </si>
  <si>
    <t>PLL</t>
  </si>
  <si>
    <t>IC CLK MULTIPLIER PLL 8-SOIC</t>
  </si>
  <si>
    <t>Renesas Electronics America Inc.</t>
  </si>
  <si>
    <t>800-1036-1-ND</t>
  </si>
  <si>
    <t>501MLFT</t>
  </si>
  <si>
    <t>SPATIUM/ COM</t>
  </si>
  <si>
    <t>https://www.digikey.jp/product-detail/ja/renesas-electronics-america-inc/501MLFT/800-1036-1-ND/1916104</t>
  </si>
  <si>
    <t>ブレイクアウト基板</t>
  </si>
  <si>
    <t>SOCKET ADAPTER SOIC TO 8DIP</t>
  </si>
  <si>
    <t>A880AR-ND</t>
  </si>
  <si>
    <t>LCQT-SOIC8-8</t>
  </si>
  <si>
    <t>KISTUNE</t>
  </si>
  <si>
    <t>https://www.digikey.jp/product-detail/ja/aries-electronics/LCQT-SOIC8-8/A880AR-ND/4754588</t>
  </si>
  <si>
    <t>N型-SMA変換コネクタ</t>
  </si>
  <si>
    <t>同軸コネクタ（RF） - アダプタ Nプラグ、雄ピン ～ SMAジャック、雌ソケット 50オーム</t>
  </si>
  <si>
    <t>Cinch Connectivity Solutions AIM-Cambridge</t>
  </si>
  <si>
    <t>367-1017-ND</t>
  </si>
  <si>
    <t>29-3840</t>
  </si>
  <si>
    <t>https://www.digikey.jp/product-detail/ja/cinch-connectivity-solutions-aim-cambridge/29-3840/367-1017-ND/385342</t>
  </si>
  <si>
    <t>SMA同軸ケーブル</t>
  </si>
  <si>
    <t>同軸ケーブルアセンブリ SMA～SMA 雄～雄 RG-174 3.937インチ（100.00mm）</t>
  </si>
  <si>
    <t>24-415-0204-MM100-ND</t>
  </si>
  <si>
    <t>415-0204-MM100</t>
  </si>
  <si>
    <t>https://www.digikey.jp/product-detail/ja/cinch-connectivity-solutions-johnson/415-0204-MM100/24-415-0204-MM100-ND/11205985</t>
  </si>
  <si>
    <t>オヤイデ電気</t>
  </si>
  <si>
    <t>10 m</t>
  </si>
  <si>
    <t>1 m</t>
  </si>
  <si>
    <t>カプラ</t>
  </si>
  <si>
    <t>10 dB SMT Directional Coupler, 5 - 900 MHz, 50Ω</t>
  </si>
  <si>
    <t>mini-circuit</t>
  </si>
  <si>
    <t>ADC-10-1R+</t>
  </si>
  <si>
    <t>https://datasheet.octopart.com/ADC-10-1R%2B-Mini-Circuits-datasheet-8615193.pdf</t>
  </si>
  <si>
    <t>20 dB SMT Directional Coupler, 5 - 1000 MHz, 50Ω</t>
  </si>
  <si>
    <t>ADC-20-4+</t>
  </si>
  <si>
    <t>https://www.minicircuits.com/pdfs/ADC-20-4.pdf</t>
  </si>
  <si>
    <t>https://www.minicircuits.com/pdfs/ADP-2-1W.pdf</t>
  </si>
  <si>
    <t>アッテネータ</t>
  </si>
  <si>
    <t>50ohm, 1dB</t>
  </si>
  <si>
    <t>VAT-1W2+</t>
  </si>
  <si>
    <t>BIRDS/ KITSUNE</t>
  </si>
  <si>
    <t>COM/ GS</t>
  </si>
  <si>
    <t>http://www.ktek.jp/mini-ckt-atten-term-50-ohm.html</t>
  </si>
  <si>
    <t>50ohm, 2dB</t>
  </si>
  <si>
    <t>VAT-2W2+</t>
  </si>
  <si>
    <t>50ohm, 3dB</t>
  </si>
  <si>
    <t>VAT-3W2+</t>
  </si>
  <si>
    <t>50ohm, 4dB</t>
  </si>
  <si>
    <t>VAT-4W2+</t>
  </si>
  <si>
    <t>50ohm, 6dB</t>
  </si>
  <si>
    <t>VAT-6W2+</t>
  </si>
  <si>
    <t>50ohm, 10dB</t>
  </si>
  <si>
    <t>VAT-10W2+</t>
  </si>
  <si>
    <t>50ohm, 15dB</t>
  </si>
  <si>
    <t>VAT-15W2+</t>
  </si>
  <si>
    <t>50ohm, 20dB</t>
  </si>
  <si>
    <t>VAT-20W2+</t>
  </si>
  <si>
    <t>50ohm, 30dB</t>
  </si>
  <si>
    <t>VAT-30W2+</t>
  </si>
  <si>
    <t>白　PLA</t>
  </si>
  <si>
    <t>Creality 3D</t>
  </si>
  <si>
    <t>BIRDS/KITSUNE</t>
  </si>
  <si>
    <t>SV3F</t>
  </si>
  <si>
    <t>https://www.amazon.co.jp/%E3%80%90Creality-3D-3D%E3%83%97%E3%83%AA%E3%83%B3%E3%82%BF%E3%83%95%E3%82%A3%E3%83%A9%E3%83%A1%E3%83%B3%E3%83%88PLA-mm%E3%80%811-75mm-3D%E3%83%97%E3%83%AA%E3%83%B3%E3%82%BF%E3%81%8A%E3%82%88%E3%81%B33D%E3%83%9A%E3%83%B3%E7%94%A8PLA%EF%BC%881KG%EF%BC%89%E3%82%B9%E3%83%97%E3%83%BC%E3%83%AB%E9%80%A0%E5%BD%A2%E6%9D%90%E6%96%99PLA%E6%A8%B9%E8%84%82%E6%9D%90%E6%96%99/dp/B07KXSQDHT/ref=sr_1_5?__mk_ja_JP=%E3%82%AB%E3%82%BF%E3%82%AB%E3%83%8A&amp;keywords=3D%E3%83%97%E3%83%AA%E3%83%B3%E3%82%BF+%E3%83%95%E3%82%A3%E3%83%A9%E3%83%A1%E3%83%B3%E3%83%88+PLA&amp;qid=1584066686&amp;sr=8-5</t>
  </si>
  <si>
    <t>3Dプリンタプラットフォームシート</t>
  </si>
  <si>
    <t>210mm x 180mm</t>
  </si>
  <si>
    <t>https://www.amazon.co.jp/3M-3D%E3%83%97%E3%83%AA%E3%83%B3%E3%82%BF%E3%83%BC%E3%83%97%E3%83%A9%E3%83%83%E3%83%88%E3%83%95%E3%82%A9%E3%83%BC%E3%83%A0%E3%82%B7%E3%83%BC%E3%83%88-3%E6%9E%9A%E5%85%A5-PLA%E5%AF%BE%E5%BF%9C-3099AB/dp/B01M11XI4Y/ref=pd_bxgy_img_2/358-6677542-2376202?_encoding=UTF8&amp;pd_rd_i=B01M11XI4Y&amp;pd_rd_r=7f6c307c-46a3-438f-acd5-3c4ededfda25&amp;pd_rd_w=ceXuB&amp;pd_rd_wg=038Cp&amp;pf_rd_p=63d0fe32-ccc0-4f51-a060-39d142be22ea&amp;pf_rd_r=5DWKZKHRE8P5SVNMF2PG&amp;psc=1&amp;refRID=5DWKZKHRE8P5SVNMF2PG</t>
  </si>
  <si>
    <t>45cm Dish antenna</t>
  </si>
  <si>
    <t>45cm</t>
  </si>
  <si>
    <t>Maspro</t>
  </si>
  <si>
    <t>BC45RL-SET</t>
  </si>
  <si>
    <t>C-band communication</t>
  </si>
  <si>
    <t>SV2F</t>
  </si>
  <si>
    <t>https://www.amazon.co.jp/%E3%83%9E%E3%82%B9%E3%83%97%E3%83%AD-4K%EF%BD%A58K%E8%A1%9B%E6%98%9F%E6%94%BE%E9%80%81%E5%AF%BE%E5%BF%9C-BS%EF%BD%A5110%C2%B0CS%E3%82%A2%E3%83%B3%E3%83%86%E3%83%8A%E3%82%BB%E3%83%83%E3%83%88BC-parabo-BC45RL-SET/dp/B01BR603TI/ref=sr_1_1_sspa?__mk_ja_JP=%E3%82%AB%E3%82%BF%E3%82%AB%E3%83%8A&amp;keywords=%E3%83%91%E3%83%A9%E3%83%9C%E3%83%A9%E3%82%A2%E3%83%B3%E3%83%86%E3%83%8A+60cm&amp;qid=1584076847&amp;sr=8-1-spons&amp;psc=1&amp;spLa=ZW5jcnlwdGVkUXVhbGlmaWVyPUExMDQyWlIwQzBLSE1YJmVuY3J5cHRlZElkPUEwMTk5MzAwM0VOTjZITDFKWUpKTiZlbmNyeXB0ZWRBZElkPUExNk83WlE4SFMxMUU3JndpZGdldE5hbWU9c3BfYXRmJmFjdGlvbj1jbGlja1JlZGlyZWN0JmRvTm90TG9nQ2xpY2s9dHJ1ZQ==</t>
  </si>
  <si>
    <t>アクリルパイプ</t>
  </si>
  <si>
    <t>外形19mm 1.5mm厚 1m長</t>
  </si>
  <si>
    <t>はざいや</t>
  </si>
  <si>
    <t>MM-PIPE-TM-O-19-0001</t>
  </si>
  <si>
    <t>https://www.hazaiya.co.jp/item/15000030.html</t>
  </si>
  <si>
    <t>SMA-J　４穴パネル用</t>
  </si>
  <si>
    <t>COSMTEC RESOURCES CO., LTD</t>
  </si>
  <si>
    <t>SMA-J　L型</t>
  </si>
  <si>
    <t>C-02569</t>
  </si>
  <si>
    <t>S-037-TGG</t>
  </si>
  <si>
    <t>http://akizukidenshi.com/catalog/g/gC-02569/</t>
  </si>
  <si>
    <t>プラネジ</t>
  </si>
  <si>
    <t>ポリカーボネート　M3 6mm</t>
  </si>
  <si>
    <t>PC-0306</t>
  </si>
  <si>
    <t>https://www.monotaro.com/p/1145/9534/?t.q=%83v%83%89%83l%83W</t>
  </si>
  <si>
    <t>プラナット</t>
  </si>
  <si>
    <t>大阪魂</t>
  </si>
  <si>
    <t>https://www.monotaro.com/p/3579/8682/?t.q=%83v%83%89%83l%83W</t>
  </si>
  <si>
    <t>金属皮膜抵抗</t>
  </si>
  <si>
    <t>金属皮膜　10Ω　1W</t>
  </si>
  <si>
    <t>FAITHFUL LINK INDUSTRIAL CORP.</t>
  </si>
  <si>
    <t>R-08805</t>
  </si>
  <si>
    <t>MFU100F10RB</t>
  </si>
  <si>
    <t>http://akizukidenshi.com/catalog/g/gR-08805/</t>
  </si>
  <si>
    <t>金属皮膜　15Ω　1W</t>
  </si>
  <si>
    <t>http://akizukidenshi.com/catalog/g/gR-08806/</t>
  </si>
  <si>
    <t>金属皮膜　20Ω　1W</t>
  </si>
  <si>
    <t>http://akizukidenshi.com/catalog/g/gR-08807/</t>
  </si>
  <si>
    <t>60cm Dish antenna</t>
  </si>
  <si>
    <t>60cm</t>
  </si>
  <si>
    <t>DXアンテナ</t>
  </si>
  <si>
    <t>https://www.amazon.co.jp/DX%E3%82%A2%E3%83%B3%E3%83%86%E3%83%8A-BS%E3%83%BB110%E5%BA%A6CS%E3%82%A2%E3%83%B3%E3%83%86%E3%83%8A-%E5%8F%B3%E3%83%BB%E5%B7%A6%E6%97%8B%E5%86%86%E5%81%8F%E6%B3%A2%E5%AF%BE%E5%BF%9C-2K%E3%83%BB4K%E3%83%BB8K%E5%AF%BE%E5%BF%9C-BC604S/dp/B07DWP848N/ref=sr_1_4?__mk_ja_JP=%E3%82%AB%E3%82%BF%E3%82%AB%E3%83%8A&amp;keywords=%E3%83%91%E3%83%A9%E3%83%9C%E3%83%A9%E3%82%A2%E3%83%B3%E3%83%86%E3%83%8A+60cm&amp;qid=1584503965&amp;sr=8-4</t>
  </si>
  <si>
    <t>アルミ板(0.5mm厚)</t>
  </si>
  <si>
    <t>グッデイ</t>
  </si>
  <si>
    <t>塩ビパイプ(VP30) 10cm</t>
  </si>
  <si>
    <t>塩ビパイプ(VP13) 10cm</t>
  </si>
  <si>
    <t>ウルトラ多用途接着剤</t>
  </si>
  <si>
    <t>銅テープ(0.08 x 38 x 5)</t>
  </si>
  <si>
    <t>2.5mmドリル</t>
  </si>
  <si>
    <t>2.0mmドリル</t>
  </si>
  <si>
    <t>M3　ハンドタップ</t>
  </si>
  <si>
    <t>小ねじ　皿　M2 x 6</t>
  </si>
  <si>
    <t>同軸ケーブル　N-P/SMA-P 3m 5D-SFA</t>
  </si>
  <si>
    <t>https://coax-cable.net/</t>
  </si>
  <si>
    <t>カスタムオーダ</t>
  </si>
  <si>
    <t>同軸ケーブル　N-P/SMA-P 10m 5D-SFA</t>
  </si>
  <si>
    <t>IC REG LINEAR 6V 1.5A D2PAK</t>
  </si>
  <si>
    <t>497-7258-1-ND‎</t>
  </si>
  <si>
    <t>4F Control Room</t>
  </si>
  <si>
    <t>IC REG LINEAR 9V 1.5A D2PAK</t>
  </si>
  <si>
    <t>497-1176-1-ND‎</t>
  </si>
  <si>
    <t>IC REG LINEAR 8V 1.5A D2PAK</t>
  </si>
  <si>
    <t>497-1173-1-ND‎</t>
  </si>
  <si>
    <t>CAP CER 0.33UF 50V X7R RADIAL</t>
  </si>
  <si>
    <t>‎445-181225-ND‎</t>
  </si>
  <si>
    <t>CAP CER 0.1UF 50V X7R RADIAL</t>
  </si>
  <si>
    <t>‎399-4264-ND‎</t>
  </si>
  <si>
    <t xml:space="preserve">Soldering Iron </t>
  </si>
  <si>
    <t>Weller Soldering Station</t>
  </si>
  <si>
    <t>Apex Tool Group</t>
  </si>
  <si>
    <t>B07L36ZYVX</t>
  </si>
  <si>
    <t>WSD81i</t>
  </si>
  <si>
    <t>https://www.amazon.co.jp/dp/B07L36ZYVX/ref=sr_1_34?keywords=weller&amp;qid=1585027136&amp;sr=8-34</t>
  </si>
  <si>
    <t>Cord with small clip, 5 colors, 45cm, 10 pieces</t>
  </si>
  <si>
    <t>AVVICON ELECTRONIC CORPORATION</t>
  </si>
  <si>
    <t>C-04352</t>
  </si>
  <si>
    <t>MC-762</t>
  </si>
  <si>
    <t>Main bus</t>
  </si>
  <si>
    <t>http://akizukidenshi.com/catalog/g/gC-04352/</t>
  </si>
  <si>
    <t>PIC Kit 3</t>
  </si>
  <si>
    <t>Microchip PICkit3</t>
  </si>
  <si>
    <t>M-03608</t>
  </si>
  <si>
    <t>PG164130</t>
  </si>
  <si>
    <t>http://akizukidenshi.com/catalog/g/gM-03608/</t>
  </si>
  <si>
    <t>XBee USB Interface Board Ki</t>
  </si>
  <si>
    <t>Digi</t>
  </si>
  <si>
    <t>1568-1305-ND</t>
  </si>
  <si>
    <t>WRL-11812</t>
  </si>
  <si>
    <t>https://www.digikey.jp/product-detail/en/sparkfun-electronics/WRL-11812/1568-1305-ND/5762455</t>
  </si>
  <si>
    <t>USB MICROSD CARD READER/WRITER</t>
  </si>
  <si>
    <t>canceled</t>
  </si>
  <si>
    <t>1528-2582-ND</t>
  </si>
  <si>
    <t>https://www.digikey.jp/product-detail/ja/adafruit-industries-llc/939/1528-2582-ND/6827045</t>
  </si>
  <si>
    <t>Canceled</t>
  </si>
  <si>
    <t>USB cable to mini USB</t>
  </si>
  <si>
    <t>WM14083-ND</t>
  </si>
  <si>
    <t>https://www.digikey.jp/product-detail/en/molex/0887328502/WM14083-ND/2711788</t>
  </si>
  <si>
    <t>はんだ付用ペースト　ＢＳ－１０</t>
  </si>
  <si>
    <t>Soldering paste</t>
  </si>
  <si>
    <t>太洋電機産業株式会社</t>
  </si>
  <si>
    <t>T-03640</t>
  </si>
  <si>
    <t>BS-10</t>
  </si>
  <si>
    <t>http://akizukidenshi.com/catalog/g/gT-03640/</t>
  </si>
  <si>
    <t>チップリフレッサー　ＢＳ－２</t>
  </si>
  <si>
    <t>Tip refresher</t>
  </si>
  <si>
    <t>T-03641</t>
  </si>
  <si>
    <t>BS-2</t>
  </si>
  <si>
    <t>http://akizukidenshi.com/catalog/g/gT-03641/</t>
  </si>
  <si>
    <t>はんだ吸取線</t>
  </si>
  <si>
    <t>Solder desoldering wire</t>
  </si>
  <si>
    <t>T-11554</t>
  </si>
  <si>
    <t>CP-1515</t>
  </si>
  <si>
    <t>http://akizukidenshi.com/catalog/g/gT-11554/</t>
  </si>
  <si>
    <t>日本アルミット　高性能ヤニ入りハンダ0.8mm</t>
  </si>
  <si>
    <t>日本アルミット株式会社</t>
  </si>
  <si>
    <t>T-09530</t>
  </si>
  <si>
    <t>KR-19(0.8mm/100g)</t>
  </si>
  <si>
    <t>http://akizukidenshi.com/catalog/g/gT-09530/</t>
  </si>
  <si>
    <t xml:space="preserve">金属被膜抵抗器 - スルーホール .6w 10Kohms 1% </t>
  </si>
  <si>
    <t xml:space="preserve">Vishay / Beyschlag </t>
  </si>
  <si>
    <t xml:space="preserve">594-MBB02070C1002FRP </t>
  </si>
  <si>
    <t xml:space="preserve">MBB02070C1002FRP00
</t>
  </si>
  <si>
    <t xml:space="preserve">スルーホール </t>
  </si>
  <si>
    <t>https://www.mouser.jp/ProductDetail/Vishay-Beyschlag/MBB02070C1002FRP00?qs=sGAEpiMZZMu61qfTUdNhG9wssamZmdp1FZUv0FhDwmc%3D</t>
  </si>
  <si>
    <t>Temperature sensor (NTC thermistor)</t>
  </si>
  <si>
    <t>NTC（負温度係数）サーミスタ NTC THERMISTOR GLASS, 10Kohms</t>
  </si>
  <si>
    <t>Measurement Specialties</t>
  </si>
  <si>
    <t xml:space="preserve"> 824-GAG10K3976A1 </t>
  </si>
  <si>
    <t xml:space="preserve">GAG10K3976A1
</t>
  </si>
  <si>
    <t>https://www.mouser.jp/ProductDetail/Measurement-Specialties/GAG10K3976A1?qs=%2Fha2pyFadug7%2Fjc26bz54PaupGsm3MPD%2F%252Brwx%2F20%252BNQYkApfX0t8Ig%3D%3D</t>
  </si>
  <si>
    <t>地上局　アマチュア無線電波料</t>
  </si>
  <si>
    <t>アマチュア無線　一局　１年分</t>
  </si>
  <si>
    <t>KITSUNE/BIRDS</t>
  </si>
  <si>
    <t>8F</t>
  </si>
  <si>
    <t>M12 8P connector</t>
  </si>
  <si>
    <t>Azami</t>
  </si>
  <si>
    <t>Circular Metric Connectors M12 8P Pin PCB Rear Pnl Cu Ni</t>
  </si>
  <si>
    <t>167-BNI12RPM08XPCM16</t>
  </si>
  <si>
    <t>PXMBNI12RPM08XPCM16</t>
  </si>
  <si>
    <t>https://www.mouser.jp/ProductDetail/Bulgin/PXMBNI12RPM08XPCM16?qs=%2Fha2pyFaduji3F57AxiKs4InznzC6D%2F60qE38Ku6wOKMLZX0mZbSLGiBctQbtQ7M</t>
  </si>
  <si>
    <t>Procure 1 unit only</t>
  </si>
  <si>
    <t>M8 8P connector</t>
  </si>
  <si>
    <t>Circular Metric Connectors SACC-DSI-M8MS 8CON-M8-L180</t>
  </si>
  <si>
    <t>651-1424238</t>
  </si>
  <si>
    <t>https://www.mouser.jp/ProductDetail/Phoenix-Contact/1424238?qs=5gmI94gbl02TPm1QoRntnQ==</t>
  </si>
  <si>
    <t>M12 to RJ45 CAT6A cable</t>
  </si>
  <si>
    <t>Ethernet Cables / Networking Cables CRDST DE M12 TO RJ45 CAT6A BLU 8P MtoM 3M</t>
  </si>
  <si>
    <t>538-120341-0503</t>
  </si>
  <si>
    <t>120341-0503</t>
  </si>
  <si>
    <t>Cable</t>
  </si>
  <si>
    <t>https://www.mouser.jp/ProductDetail/Molex/120341-0503?qs=%2Fha2pyFaduiCu7R5nMuV2sVbFJL%2Fd9m5GN%2F2GRxQoL9jn%2FkMkxFG5wDCBVxghudpyJnC1vwJlak%3D</t>
  </si>
  <si>
    <t>For thermal vacuum test</t>
  </si>
  <si>
    <t>Evaluation board for DC/DC converter</t>
  </si>
  <si>
    <t>TPS82130 - DC/DC, Step Down 1, Non-Isolated Outputs Evaluation Board</t>
  </si>
  <si>
    <t>595-TPS82130EVM-720</t>
  </si>
  <si>
    <t>TPS82130EVM-720</t>
  </si>
  <si>
    <t>https://www.mouser.jp/ProductDetail/Texas-Instruments/TPS82130EVM-720?qs=sGAEpiMZZMsyTxkJnMM1W4mfl57IpIBDbaYnIBc2SbMLRZP2T5VjsQ==</t>
  </si>
  <si>
    <t>Resistor 270K</t>
  </si>
  <si>
    <t>Thick Film Resistors - SMD 0603 270Kohm 1% High VoltageAEC-Q200</t>
  </si>
  <si>
    <t>ROHM Semiconductors</t>
  </si>
  <si>
    <t>755-KTR03EZPF2703</t>
  </si>
  <si>
    <t>KTR03EZPF2703</t>
  </si>
  <si>
    <t>0603/1608</t>
  </si>
  <si>
    <t>https://www.mouser.jp/ProductDetail/Panasonic/ERJ-1GNF2703C?qs=sGAEpiMZZMu61qfTUdNhG1IKPAnaLGej1kZ%2F8VN6P%2Fs%3D</t>
  </si>
  <si>
    <t>Resistor 86.6K</t>
  </si>
  <si>
    <t>Thick Film Resistors - SMD 0603 86.6Kohm 1% HalogenFree AEC-Q20</t>
  </si>
  <si>
    <t>652-CR0603FX-8662ELF</t>
  </si>
  <si>
    <t>CR0603-FX-8662ELF</t>
  </si>
  <si>
    <t>https://www.mouser.jp/ProductDetail/Bourns/CR0603-FX-8662ELF?qs=sGAEpiMZZMvdGkrng054t%252BRNGJdg958Rj5%252BTtya3Y80%3D</t>
  </si>
  <si>
    <t>Resistor 53.3K</t>
  </si>
  <si>
    <t>Thick Film Resistors - SMD 95.3K ohm 1%</t>
  </si>
  <si>
    <t>652-CR0603FX-9532ELF</t>
  </si>
  <si>
    <t>CR0603-FX-9532ELF</t>
  </si>
  <si>
    <t>https://www.mouser.jp/ProductDetail/Bourns/CR0603-FX-9532ELF?qs=sGAEpiMZZMukHu%252BjC5l7YVbCzci6v%252BkagQSxOC5rxqM%3D</t>
  </si>
  <si>
    <t>Resistor 511K</t>
  </si>
  <si>
    <t>Thick Film Resistors 1/20W 511K OHM 1% 200PPM</t>
  </si>
  <si>
    <t>660-RK73H1HTTC5113F</t>
  </si>
  <si>
    <t>RK73H1HTTC5113F</t>
  </si>
  <si>
    <t>https://www.mouser.jp/ProductDetail/KOA-Speer/RK73H1HTTC5113F?qs=sGAEpiMZZMvdGkrng054t%252B7G6pGH31YovXT8PBYEvJ8%3D</t>
  </si>
  <si>
    <t>Capacitor 390pF</t>
  </si>
  <si>
    <t>Multilayer Ceramic Capacitors MLCC - SMD/SMT 100V 390pF 0603 X8R 5%</t>
  </si>
  <si>
    <t>kemet</t>
  </si>
  <si>
    <t>80-C0603C391J1HACTU</t>
  </si>
  <si>
    <t>C0603C391J1HACTU</t>
  </si>
  <si>
    <t>https://www.mouser.jp/ProductDetail/KEMET/C0603C391J1HACTU?qs=sGAEpiMZZMs0AnBnWHyRQN7%2FAA2D2lPP4lqDDvnOuEU%252Bgte7Wt19Fg%3D%3D</t>
  </si>
  <si>
    <t>Trancend</t>
  </si>
  <si>
    <t>Amazon.jp</t>
  </si>
  <si>
    <t>TS1TSJ25H3P</t>
  </si>
  <si>
    <t>https://www.amazon.co.jp/dp/B00J0XR14Q/ref=sr_1_21?dchild=1&amp;keywords=hdd&amp;qid=1585880338&amp;sr=8-21&amp;th=1</t>
  </si>
  <si>
    <t>フロースイッチ</t>
  </si>
  <si>
    <t>最大50L/min</t>
  </si>
  <si>
    <t>日本精機</t>
  </si>
  <si>
    <t>BN-1321L-10</t>
  </si>
  <si>
    <t>https://jp.misumi-ec.com/vona2/detail/221000823839/?KWSearch=%e3%83%95%e3%83%ad%e3%83%bc%e3%82%b9%e3%82%a4%e3%83%83%e3%83%81&amp;searchFlow=results2products</t>
  </si>
  <si>
    <t>ホース継手</t>
  </si>
  <si>
    <t>3/8B φ12</t>
  </si>
  <si>
    <t>リガルジョイント</t>
  </si>
  <si>
    <t>JH12-3/8-B-C</t>
  </si>
  <si>
    <t>https://jp.misumi-ec.com/vona2/detail/221005190583/</t>
  </si>
  <si>
    <t>BNC Alligator Clip 110 cm</t>
  </si>
  <si>
    <t>BNC Alligator Clip</t>
  </si>
  <si>
    <t>zmart</t>
  </si>
  <si>
    <t>B00EVGT3WU</t>
  </si>
  <si>
    <t>Air bearing table</t>
  </si>
  <si>
    <t>https://www.amazon.co.jp/dp/B00EVGT3WU/ref=cm_sw_r_tw_dp_U_x_CjqGEbN9764JX</t>
  </si>
  <si>
    <t>STMicroelectronics, チッププログラマ</t>
  </si>
  <si>
    <t>チッププログラマ</t>
  </si>
  <si>
    <t>キーポン KYPOM リポバッテリー K6 11.1V1300mAh</t>
  </si>
  <si>
    <t>リポバッテリー K6 11.1V1300mAh</t>
  </si>
  <si>
    <t>Kypom キーポン</t>
  </si>
  <si>
    <t>little-bellanca リトルベランカ</t>
  </si>
  <si>
    <t>KT1300/35-3S</t>
  </si>
  <si>
    <t>https://www.little-bellanca.com/SHOP/19225.html</t>
  </si>
  <si>
    <t>out of stock</t>
  </si>
  <si>
    <t>XT60 Male Female Bullet Connector Plug for RC LiPo Battery (10 Pair Set)</t>
  </si>
  <si>
    <t>Female Bullet Connector Plug for RC LiPo Battery</t>
  </si>
  <si>
    <t>INIBUD</t>
  </si>
  <si>
    <t>B01GM93WCU</t>
  </si>
  <si>
    <t>XT60</t>
  </si>
  <si>
    <t>https://www.amazon.co.jp/dp/B01GM93WCU/ref=cm_sw_r_cp_ep_dp_n04lBb7JNAJ31</t>
  </si>
  <si>
    <t>Lipoバッテリーバランス充電器ディスチャージャー</t>
  </si>
  <si>
    <t>ICQUANZX</t>
  </si>
  <si>
    <t>B07TKKS9PM</t>
  </si>
  <si>
    <t>IMAX B6</t>
  </si>
  <si>
    <t>https://www.amazon.co.jp/dp/B07TKKS9PM/ref=cm_sw_r_tw_dp_U_x_7YDHEbMGZ4V46</t>
  </si>
  <si>
    <t>Cバンドパッチアンテナ</t>
  </si>
  <si>
    <t>UPD</t>
  </si>
  <si>
    <t>5.66GHz(x3枚), 5.84GHz(x3枚)</t>
  </si>
  <si>
    <t>ハイム</t>
  </si>
  <si>
    <t>ナット止ブラケット</t>
  </si>
  <si>
    <t>５シリーズ（溝幅６ｍｍ） －１列溝用－ ナット止ブラケット</t>
  </si>
  <si>
    <t>HBLFSR5-SEP</t>
  </si>
  <si>
    <t>https://jp.misumi-ec.com/vona2/detail/110302062320/</t>
  </si>
  <si>
    <t>５シリーズ（溝幅６ｍｍ） ２０・２５・４０角後入れブラインドブラケット</t>
  </si>
  <si>
    <t>HABLBS5</t>
  </si>
  <si>
    <t>https://jp.misumi-ec.com/vona2/detail/110300440240/</t>
  </si>
  <si>
    <t>アルミフレーム 80mm</t>
  </si>
  <si>
    <t>アルミフレーム ５シリーズ 正方形 ２０×２０ｍｍ １列溝 ４面溝</t>
  </si>
  <si>
    <t>HFS5-2020-80</t>
  </si>
  <si>
    <t>https://jp.misumi-ec.com/vona2/detail/110302683830</t>
  </si>
  <si>
    <t>アルミフレーム 488mm</t>
  </si>
  <si>
    <t>HFS5-2020-488</t>
  </si>
  <si>
    <t>アルミフレーム 130mm</t>
  </si>
  <si>
    <t>HFS5-2020-130</t>
  </si>
  <si>
    <t>https://jp.misumi-ec.com/vona2/detail/110302683830/?CategorySpec=00000173364%3a%3aa&amp;clkid=clkid_list_template</t>
  </si>
  <si>
    <t>ステンレス鋼 シャーリング切断薄板500x150x3mm</t>
  </si>
  <si>
    <t>SUS316 No.1材 シャーリング切断薄板</t>
  </si>
  <si>
    <t>SUS316-N1-SKQ3-500-150-3</t>
  </si>
  <si>
    <t>https://jp.misumi-ec.com/vona2/detail/110310110339/?rid=rid3</t>
  </si>
  <si>
    <t>シールカバー</t>
  </si>
  <si>
    <t>HSCKF5-B-600</t>
  </si>
  <si>
    <t>https://jp.misumi-ec.com/vona2/detail/110302695550/</t>
  </si>
  <si>
    <t>エコノミーパネルクランプ</t>
  </si>
  <si>
    <t>NSCP3H-S-6</t>
  </si>
  <si>
    <t>https://jp.misumi-ec.com/vona2/detail/110303061830/</t>
  </si>
  <si>
    <t>スリオン アルミガラスクロステープ</t>
  </si>
  <si>
    <t>981000-20-100X20</t>
  </si>
  <si>
    <t>https://jp.misumi-ec.com/vona2/detail/223004975462/?HissuCode=981000-20-100X20</t>
  </si>
  <si>
    <t>アルミフレーム用フレームキャップ</t>
  </si>
  <si>
    <t>HFC5-2020-B</t>
  </si>
  <si>
    <t>https://jp.misumi-ec.com/vona2/detail/110300440510</t>
  </si>
  <si>
    <t>ポリイミドフィルム絶縁フレキシブルヒータ</t>
  </si>
  <si>
    <t xml:space="preserve">OMEGA Engineering inc. </t>
  </si>
  <si>
    <t>KHA-408/(5)-P</t>
  </si>
  <si>
    <t>https://www.jp.omega.com/heaters/pdf/KHRA-KHLVA-KHA-SERIES.pdf</t>
  </si>
  <si>
    <t>Lambda gel</t>
  </si>
  <si>
    <t>Silicone gel, thermal conductive filler, dimension 400x400x05 mm3, heat dissipation gel sheet</t>
  </si>
  <si>
    <t>COH-4000LVC-t0.5</t>
  </si>
  <si>
    <t>box</t>
  </si>
  <si>
    <t>Battery-EPS</t>
  </si>
  <si>
    <t>SVBL-2</t>
  </si>
  <si>
    <t>https://www.monotaro.com/g/00534475/?t.q=COH-4000LVC-T0.5</t>
  </si>
  <si>
    <t>EM/FM</t>
  </si>
  <si>
    <t>Temperature Sensor Analog, Local -55 ° C ~ 150 ° C 2-CeramicFlatpack</t>
  </si>
  <si>
    <t>Analog Devices Inc</t>
  </si>
  <si>
    <t>AD 590Jf</t>
  </si>
  <si>
    <t>https://www.monotaro.com/g/04241875/?t.q=AD590JF</t>
  </si>
  <si>
    <t>Polymide heater</t>
  </si>
  <si>
    <t>Polymide film insulated flexible heater,KHLVA-205/(*)-P,2 inch(W) and 5 Inch Lenghth</t>
  </si>
  <si>
    <t>KHLVA-202/5</t>
  </si>
  <si>
    <t>Shrinkable tube 76.2 mm</t>
  </si>
  <si>
    <t>Heat Shrink Tube, Flexible 3.000 "(76.20mm) 2-1 Black 4.00 '(1.22m)</t>
  </si>
  <si>
    <t>panduit corp</t>
  </si>
  <si>
    <t>HSTT300-48-2</t>
  </si>
  <si>
    <t>298-13413-ND</t>
  </si>
  <si>
    <t>tube</t>
  </si>
  <si>
    <t>https://www.digikey.jp/products/ja?keywords=298-13413-ND</t>
  </si>
  <si>
    <t>EM</t>
  </si>
  <si>
    <t>Alpha gel</t>
  </si>
  <si>
    <t>Shock Absorption Tape 39.37 "L x 0.79" W x 0.12 "H (1000.0mm x 20.0mm x 3.0mm)</t>
  </si>
  <si>
    <t>GT-6</t>
  </si>
  <si>
    <t>Tape</t>
  </si>
  <si>
    <t>https://www.digikey.jp/product-detail/ja/taica-north-america-corporation/GT-6/1880-1103-ND/8074111</t>
  </si>
  <si>
    <t>Female 12 Pin Connector</t>
  </si>
  <si>
    <t>12 Rectangular Connector-Housing Receptacle Natural 0.079 "(2.00mm)</t>
  </si>
  <si>
    <t>JST Sales</t>
  </si>
  <si>
    <t>476-6861</t>
  </si>
  <si>
    <t>PAP-12V-S</t>
  </si>
  <si>
    <t>https://www.digikey.jp/product-detail/en/jst-sales-america-inc/B12B-PASK-1-LF-SN/455-1842-ND/926748</t>
  </si>
  <si>
    <t xml:space="preserve"> ale 4 PinPin connector</t>
  </si>
  <si>
    <t>4 Rectangular Connectors - Housings Receptacle Natural 0.079" (2.00mm)</t>
  </si>
  <si>
    <t>455-1488-ND</t>
  </si>
  <si>
    <t>PAP-04V-S</t>
  </si>
  <si>
    <t>https://www.digikey.jp/product-detail/en/jst-sales-america-inc/PAP-12V-S/455-2953-ND/759984</t>
  </si>
  <si>
    <t>crimp(connector socket)</t>
  </si>
  <si>
    <t>Socket contact tin 22-26 awg crimp</t>
  </si>
  <si>
    <t>cut tape</t>
  </si>
  <si>
    <t>https://www.digikey.jp/products/ja?keywords=455-1325-1-ND</t>
  </si>
  <si>
    <t>Dish Mount Clamp</t>
  </si>
  <si>
    <t>JSPS</t>
  </si>
  <si>
    <t>Kiruki</t>
  </si>
  <si>
    <t>330 mm long rod 160x160mm Plate</t>
  </si>
  <si>
    <t>日本アンテナ</t>
  </si>
  <si>
    <t>BK-32ZR</t>
  </si>
  <si>
    <t>30mm Bore Steel Sprocket 44 Teeth Key Groove: 8mm width &amp; 3.3mm height</t>
  </si>
  <si>
    <t>K25B44D30F</t>
  </si>
  <si>
    <t>Counter weight Holder</t>
  </si>
  <si>
    <t>200mm Long Post Stand 25mm Diameter</t>
  </si>
  <si>
    <t>MFSTN25-200</t>
  </si>
  <si>
    <t>El Main Shaft- Grooved &amp; Tapped</t>
  </si>
  <si>
    <t>600mm Long 30mm Diameter ; 3 Keyways: 8mm width, 4mm height ; Hole Tappings: 8mm bore</t>
  </si>
  <si>
    <t>SSFMKRW30-600-MD8-ND8-KA2-A40-KB200-B100-KC558-C40</t>
  </si>
  <si>
    <t>Keyways</t>
  </si>
  <si>
    <t>Parallel Keys (Round at Both Ends); 36mm Long, 8mm Width, 7mm Height</t>
  </si>
  <si>
    <t>KESF8-36</t>
  </si>
  <si>
    <t>Aluminium Plate</t>
  </si>
  <si>
    <t>3 mm by 300 mm by 200 mm</t>
  </si>
  <si>
    <t>HA3230</t>
  </si>
  <si>
    <t>Counter Weight 1 Kg</t>
  </si>
  <si>
    <t>1 kg x 2 Dumbbell set ~30mm bore</t>
  </si>
  <si>
    <t>Wout</t>
  </si>
  <si>
    <t>B07NHD8LHZ</t>
  </si>
  <si>
    <t>Counter Weight 1.5 Kgs</t>
  </si>
  <si>
    <t>1.5 kg x 2 Dumbbell set ~30mm bore</t>
  </si>
  <si>
    <t>B07NHL3P1Y</t>
  </si>
  <si>
    <t>Dumbbell Clip Lock</t>
  </si>
  <si>
    <t>2pcs 25mm Spring Color Barbell Clip Dumbbell Plate Lock Spring Shaft</t>
  </si>
  <si>
    <t>Dilwe</t>
  </si>
  <si>
    <t>B07K7M53SP</t>
  </si>
  <si>
    <t>600mm Angle Bar</t>
  </si>
  <si>
    <t>600mm long Black Angle Bar</t>
  </si>
  <si>
    <t>Nafco</t>
  </si>
  <si>
    <t>Local Nafco shop</t>
  </si>
  <si>
    <t>600mm Straight Metal Bar</t>
  </si>
  <si>
    <t>Angle Brackets</t>
  </si>
  <si>
    <t>Angle Bracket</t>
  </si>
  <si>
    <t>SAG</t>
  </si>
  <si>
    <t>M6 Bolts</t>
  </si>
  <si>
    <t>12mm Long M8 Bolts 1 pkt</t>
  </si>
  <si>
    <t>BN6</t>
  </si>
  <si>
    <t>20mm Long M8 Bolts (4 pcs)</t>
  </si>
  <si>
    <t>ノギス</t>
  </si>
  <si>
    <t>最大測定長400mm</t>
  </si>
  <si>
    <t>中村製作所</t>
  </si>
  <si>
    <t>385-7930</t>
  </si>
  <si>
    <t>E-PITA40</t>
  </si>
  <si>
    <t>SVBL-1</t>
  </si>
  <si>
    <t>https://jp.misumi-ec.com/vona2/detail/223005159906/?CategorySpec=SP468418%3a%3a201911111040074812404365&amp;clkid=clkid_list_template</t>
  </si>
  <si>
    <t>Double Balanced Mixer</t>
  </si>
  <si>
    <t>level 7 (LO Power + 7dBm) 5 to 1000MHz</t>
  </si>
  <si>
    <t>MiniCircuits</t>
  </si>
  <si>
    <t>ADE-2+</t>
  </si>
  <si>
    <t>https://www.minicircuits.com/pdfs/ADE-2+.pdf</t>
  </si>
  <si>
    <t>USB 2.0 A, M/F, 1m 1m USB A USB A Black</t>
  </si>
  <si>
    <t>1m USB 2.0 A M/F</t>
  </si>
  <si>
    <t>B00NH11R3I</t>
  </si>
  <si>
    <t>https://www.amazon.co.jp/Amazon%E3%83%99%E3%83%BC%E3%82%B7%E3%83%83%E3%82%AF-AmazonBasics-B001TH7GUU-MaParent-USB2-0%E5%BB%B6%E9%95%B7%E3%82%B1%E3%83%BC%E3%83%96%E3%83%AB-A%E3%82%AA%E3%82%B9-A%E3%83%A1%E3%82%B9/dp/B00NH136GE/ref=sr_1_4?crid=33YWGWBSYM8SS&amp;dchild=1&amp;ie=UTF8&amp;keywords=usb%2Bmale%2Bto%2Bfemale%2Bcable&amp;language=en_US&amp;qid=1589777267&amp;sprefix=usb%2Bmale%2Caps%2C263&amp;sr=8-4&amp;th=1</t>
  </si>
  <si>
    <t>LAN cable extension connector</t>
  </si>
  <si>
    <t>LAN F/F connector</t>
  </si>
  <si>
    <t>AMPCOM</t>
  </si>
  <si>
    <t>B07JBBKMRG</t>
  </si>
  <si>
    <t>https://www.amazon.co.jp/AMPCOM-LAN%E3%82%B1%E3%83%BC%E3%83%96%E3%83%AB-%E5%BB%B6%E9%95%B7%E3%82%B3%E3%83%8D%E3%82%AF%E3%82%BF-%E9%87%91%E5%B1%9E%E3%82%B7%E3%83%BC%E3%83%AB%E3%83%89-%E3%82%AE%E3%82%AC%E3%83%93%E3%83%83%E3%83%88%E5%AF%BE%E5%BF%9C/dp/B07JBBKMRG/ref=psdc_2151853051_t3_B07CVPRYDL</t>
  </si>
  <si>
    <t>DC-DC電源モジュール</t>
  </si>
  <si>
    <t>Texas Instruments DC-DC電源モジュール</t>
  </si>
  <si>
    <t>661-7972</t>
  </si>
  <si>
    <t>https://jp.rs-online.com/web/p/dc-dc-power-supply-modules/6617972/</t>
  </si>
  <si>
    <t>型抵抗</t>
  </si>
  <si>
    <t>1/4W金属皮膜抵抗 1.1kΩ</t>
  </si>
  <si>
    <t>Marutsu</t>
  </si>
  <si>
    <t>MF1/4CC1101F</t>
  </si>
  <si>
    <t>1/4WキンピR 1.1KΩ</t>
  </si>
  <si>
    <t xml:space="preserve"> スルーホール</t>
  </si>
  <si>
    <t>https://www.marutsu.co.jp/pc/i/1259/</t>
  </si>
  <si>
    <t>1/4W金属皮膜抵抗 1.2kΩ</t>
  </si>
  <si>
    <t>MF1/4CC1201F</t>
  </si>
  <si>
    <t>1/4WキンピR 1.2KΩ</t>
  </si>
  <si>
    <t>https://www.marutsu.co.jp/pc/i/1244/</t>
  </si>
  <si>
    <t>1/4W金属皮膜抵抗 100Ω</t>
  </si>
  <si>
    <t>MF1/4CC1000F</t>
  </si>
  <si>
    <t>1/4WキンピR 100Ω</t>
  </si>
  <si>
    <t>1/4W金属皮膜抵抗 130Ω</t>
  </si>
  <si>
    <t>MF1/4CC1300F</t>
  </si>
  <si>
    <t>1/4WキンピR 130Ω</t>
  </si>
  <si>
    <t>https://www.marutsu.co.jp/pc/i/14952/</t>
  </si>
  <si>
    <t xml:space="preserve"> 電解コンデンサー</t>
  </si>
  <si>
    <t>小形アルミニウム電解コンデンサー25V 220μF</t>
  </si>
  <si>
    <t>Ruby-con</t>
  </si>
  <si>
    <t>25PK220MEFC</t>
  </si>
  <si>
    <t>https://www.marutsu.co.jp/pc/i/132145/</t>
  </si>
  <si>
    <t>小形アルミニウム電解コンデンサー25V 100μF</t>
  </si>
  <si>
    <t>25PK100MEFC</t>
  </si>
  <si>
    <t>https://www.marutsu.co.jp/pc/i/132144/</t>
  </si>
  <si>
    <t xml:space="preserve"> セラミックコンデンサー</t>
  </si>
  <si>
    <t>CAP CER 22UF 16V X5R 0805</t>
  </si>
  <si>
    <t>C2012X5R1C226K</t>
  </si>
  <si>
    <t>面実装</t>
  </si>
  <si>
    <t>https://www.marutsu.co.jp/pc/i/1358922/</t>
  </si>
  <si>
    <t>CAP CER 47UF 16V X5R 1206</t>
  </si>
  <si>
    <t>C3216X5R1C476MT</t>
  </si>
  <si>
    <t>https://www.marutsu.co.jp/pc/i/1358923/</t>
  </si>
  <si>
    <t xml:space="preserve">ユニバーサル基板 </t>
  </si>
  <si>
    <t>ユニバーサル基板 両面 72x47</t>
  </si>
  <si>
    <t>Linkman</t>
  </si>
  <si>
    <t>LUPCB-7247W</t>
  </si>
  <si>
    <t>https://www.marutsu.co.jp/pc/i/144023/</t>
  </si>
  <si>
    <t>SHW電線</t>
  </si>
  <si>
    <t>SHW電線(単線) 0.65mm 2m(±2%)×10色</t>
  </si>
  <si>
    <t>SHW-S0.652X10</t>
  </si>
  <si>
    <t>https://www.marutsu.co.jp/GoodsDetail.jsp?q=&amp;salesGoodsCode=76821&amp;shopNo=3</t>
  </si>
  <si>
    <t>JST connector</t>
  </si>
  <si>
    <t>パターン転写シート</t>
  </si>
  <si>
    <t>パターン転写シート（A4）（100枚入）</t>
  </si>
  <si>
    <t>https://www.aitendo.com/product/11344</t>
  </si>
  <si>
    <t>photomos</t>
  </si>
  <si>
    <t>PhtoMOS</t>
  </si>
  <si>
    <t>panasonic</t>
  </si>
  <si>
    <t>SPST-NO (1 Form A) 4-SIP</t>
  </si>
  <si>
    <t>BIRDS-4S</t>
  </si>
  <si>
    <t>Antenna panel</t>
  </si>
  <si>
    <t>vishay dale</t>
  </si>
  <si>
    <t>チップ抵抗</t>
  </si>
  <si>
    <t>2019-RK73H1ETTP1001FCT-ND</t>
  </si>
  <si>
    <t>RK73H1ETTP1001F</t>
  </si>
  <si>
    <t>Antenna panel/Mission board 1/solar panel</t>
  </si>
  <si>
    <t>https://www.digikey.jp/product-detail/en/koa-speer-electronics-inc/RK73H1ETTP1001F/2019-RK73H1ETTP1001FCT-ND/9846199</t>
  </si>
  <si>
    <t>CONN MMCX JACK STR 50 OHM</t>
  </si>
  <si>
    <t>CONN SMA JACK R/A 50 OHM</t>
  </si>
  <si>
    <t>Cinch connectivity</t>
  </si>
  <si>
    <t>capacitor kit</t>
  </si>
  <si>
    <t>キャパシタ 18pF</t>
  </si>
  <si>
    <t>Johanson Tech</t>
  </si>
  <si>
    <t>this is a set of capacitors</t>
  </si>
  <si>
    <t>キャパシタ 82pF</t>
  </si>
  <si>
    <t>inductor kit</t>
  </si>
  <si>
    <t>インダクタ 220nH</t>
  </si>
  <si>
    <t>u.fl connector</t>
  </si>
  <si>
    <t>Hirose electric</t>
  </si>
  <si>
    <t>U.fl</t>
  </si>
  <si>
    <t>balun</t>
  </si>
  <si>
    <t>Balun 1:1</t>
  </si>
  <si>
    <t>mini-circuits</t>
  </si>
  <si>
    <t>C1S512300001903</t>
  </si>
  <si>
    <t>photodiode</t>
  </si>
  <si>
    <t>SENSOR PHOTODIODE 570NM</t>
  </si>
  <si>
    <t>OSRAM</t>
  </si>
  <si>
    <t>2SMD GW</t>
  </si>
  <si>
    <t>3kohm resistor</t>
  </si>
  <si>
    <t>2019-RK73H1JTTD3001FCT-ND</t>
  </si>
  <si>
    <t>RK73H1JTTD3001F</t>
  </si>
  <si>
    <t>https://www.digikey.jp/product-detail/en/koa-speer-electronics-inc/RK73H1JTTD3001F/2019-RK73H1JTTD3001FCT-ND/9846953</t>
  </si>
  <si>
    <t>12 pin male pin header 90</t>
  </si>
  <si>
    <t>mounting hole</t>
  </si>
  <si>
    <t>Backplane board</t>
  </si>
  <si>
    <t>50 pos female header</t>
  </si>
  <si>
    <t>female socket</t>
  </si>
  <si>
    <t>A3C-50DA-2DSA(71)</t>
  </si>
  <si>
    <t>https://www.digikey.jp/products/en?keywords=H10903-ND</t>
  </si>
  <si>
    <t>0 ohm</t>
  </si>
  <si>
    <t>2019-RK73Z2BTTDCT-ND</t>
  </si>
  <si>
    <t>RK73Z2BTTD</t>
  </si>
  <si>
    <t>https://www.digikey.jp/product-detail/en/koa-speer-electronics-inc/RK73Z2BTTD/2019-RK73Z2BTTDCT-ND/10248473</t>
  </si>
  <si>
    <t>Switch Connector</t>
  </si>
  <si>
    <t>2 pos 2mm</t>
  </si>
  <si>
    <t>445-1604-1-ND</t>
  </si>
  <si>
    <t>C1608X7R1C105K080AC</t>
  </si>
  <si>
    <t>https://www.digikey.jp/product-detail/en/tdk-corporation/C1608X7R1C105K080AC/445-1604-1-ND/634399</t>
  </si>
  <si>
    <t>2019-RK73Z2ATTDCT-ND</t>
  </si>
  <si>
    <t>RK73Z2ATTD</t>
  </si>
  <si>
    <t>Mission board 1</t>
  </si>
  <si>
    <t>https://www.digikey.jp/product-detail/en/koa-speer-electronics-inc/RK73Z2ATTD/2019-RK73Z2ATTDCT-ND/10236924</t>
  </si>
  <si>
    <t>25mohm</t>
  </si>
  <si>
    <t>https://www.digikey.jp/product-detail/en/vishay-dale/WSL0805R0250FEA/WSLA-025CT-ND/713390</t>
  </si>
  <si>
    <t>22ohm</t>
  </si>
  <si>
    <t>2019-RK73H1ETTP22R0FCT-ND</t>
  </si>
  <si>
    <t>RK73H1ETTP22R0F</t>
  </si>
  <si>
    <t>https://www.digikey.jp/product-detail/en/koa-speer-electronics-inc/RK73H1ETTP22R0F/2019-RK73H1ETTP22R0FCT-ND/9846216</t>
  </si>
  <si>
    <t>2019-RK73H2ATTD1000FCT-ND</t>
  </si>
  <si>
    <t>Mission board 1/RAB</t>
  </si>
  <si>
    <t>https://www.digikey.jp/product-detail/en/koa-speer-electronics-inc/RK73H2ATTD1000F/2019-RK73H2ATTD1000FCT-ND/10234431</t>
  </si>
  <si>
    <t>2019-RK73H1ETTP1000FCT-ND</t>
  </si>
  <si>
    <t>RK73H1ETTP1000F</t>
  </si>
  <si>
    <t>https://www.digikey.jp/product-detail/en/koa-speer-electronics-inc/RK73H1ETTP1000F/2019-RK73H1ETTP1000FCT-ND/9846201</t>
  </si>
  <si>
    <t>チップコンデンサ</t>
  </si>
  <si>
    <t>0.01uF</t>
  </si>
  <si>
    <t>MURATA</t>
  </si>
  <si>
    <t>490-4516-1-ND</t>
  </si>
  <si>
    <t>GRM155R71H103KA88D</t>
  </si>
  <si>
    <t>https://www.digikey.jp/product-detail/en/murata-electronics/GRM155R71H103KA88D/490-4516-1-ND/1033275</t>
  </si>
  <si>
    <t>10000pF</t>
  </si>
  <si>
    <t>CGA3E2NP01H103J080AA</t>
  </si>
  <si>
    <t>https://www.digikey.jp/product-detail/en/tdk-corporation/CGA3E2NP01H103J080AA/445-12383-1-ND/3954049</t>
  </si>
  <si>
    <t>0.1uf</t>
  </si>
  <si>
    <t>490-13341-1-ND</t>
  </si>
  <si>
    <t>GRM155R71E104ME14D</t>
  </si>
  <si>
    <t>https://www.digikey.jp/product-detail/en/murata-electronics/GRM155R71E104ME14D/490-13341-1-ND/5973351</t>
  </si>
  <si>
    <t>https://www.digikey.jp/product-detail/en/avx-corporation/08055F104K4T2A/478-3614-1-ND/1024967</t>
  </si>
  <si>
    <t>DIPコネクタ</t>
  </si>
  <si>
    <t>50 pin right angle</t>
  </si>
  <si>
    <t>LPC-50M2LG </t>
  </si>
  <si>
    <t>Mission board 1/2/RAB</t>
  </si>
  <si>
    <t>1000pF</t>
  </si>
  <si>
    <t>490-3244-1-ND</t>
  </si>
  <si>
    <t>GRM1555C1H102JA01D</t>
  </si>
  <si>
    <t>https://www.digikey.jp/product-detail/en/murata-electronics/GRM1555C1H102JA01D/490-3244-1-ND/702785</t>
  </si>
  <si>
    <t>885-1774</t>
  </si>
  <si>
    <t>https://jp.rs-online.com/web/p/mlccs-multilayer-ceramic-capacitors/8851774/</t>
  </si>
  <si>
    <t>2019-RK73H1ETTP1002FCT-ND</t>
  </si>
  <si>
    <t>RK73H1ETTP1002F</t>
  </si>
  <si>
    <t>https://www.digikey.jp/product-detail/en/koa-speer-electronics-inc/RK73H1ETTP1002F/2019-RK73H1ETTP1002FCT-ND/9846198</t>
  </si>
  <si>
    <t>2019-RK73B2ATTD103JCT-ND</t>
  </si>
  <si>
    <t>https://www.digikey.jp/product-detail/en/koa-speer-electronics-inc/RK73B2ATTD103J/2019-RK73B2ATTD103JCT-ND/10238101</t>
  </si>
  <si>
    <t>10pf</t>
  </si>
  <si>
    <t>https://www.digikey.jp/products/ja?keywords=1276-6456-1-ND</t>
  </si>
  <si>
    <t>チップインダクタ</t>
  </si>
  <si>
    <t>12nH, 500mohm</t>
  </si>
  <si>
    <t>15pf</t>
  </si>
  <si>
    <t>水晶発振子</t>
  </si>
  <si>
    <t>16MHz, 18pf</t>
  </si>
  <si>
    <t>2-smd</t>
  </si>
  <si>
    <t>18nH, 650mohm</t>
  </si>
  <si>
    <t>18pf, 50V</t>
  </si>
  <si>
    <t>1uF,6.3V</t>
  </si>
  <si>
    <t>490-9665-1-ND</t>
  </si>
  <si>
    <t>GRM155B30J105K</t>
  </si>
  <si>
    <t>https://www.digikey.jp/product-detail/en/murata-electronics/GRM155R70J105MA12D/490-9665-1-ND/4934770</t>
  </si>
  <si>
    <t>Mission board 1/solar panel/RAB</t>
  </si>
  <si>
    <t>200kohm</t>
  </si>
  <si>
    <t>2019-RK73B2ATTD204JCT-ND</t>
  </si>
  <si>
    <t>RK73B2ATTD204J</t>
  </si>
  <si>
    <t>https://www.digikey.jp/product-detail/en/koa-speer-electronics-inc/RK73B2ATTD204J/2019-RK73B2ATTD204JCT-ND/10238130</t>
  </si>
  <si>
    <t>22pf,50V</t>
  </si>
  <si>
    <t>490-5868-1-ND</t>
  </si>
  <si>
    <t>GRM1552C1H220J</t>
  </si>
  <si>
    <t>https://www.digikey.jp/product-detail/en/murata-electronics/GRM1555C1H220JA01D/490-5868-1-ND/3175200</t>
  </si>
  <si>
    <t>33nH, 600mohm</t>
  </si>
  <si>
    <t>https://www.digikey.jp/product-detail/en/abracon-llc/AIMC-0805-33NJ-T/535-11564-1-ND/2782805</t>
  </si>
  <si>
    <t>4.7kohm</t>
  </si>
  <si>
    <t>2019-RK73B2ATTD472JCT-ND</t>
  </si>
  <si>
    <t>https://www.digikey.jp/product-detail/en/koa-speer-electronics-inc/RK73B2ATTD472J/2019-RK73B2ATTD472JCT-ND/10237768</t>
  </si>
  <si>
    <t>4.7pf, 50V</t>
  </si>
  <si>
    <t>4.7uf, 25V</t>
  </si>
  <si>
    <t>47pf,50v</t>
  </si>
  <si>
    <t>47uf, 4V</t>
  </si>
  <si>
    <t>172-6729</t>
  </si>
  <si>
    <t>GRM188R60G476ME15D</t>
  </si>
  <si>
    <t>https://jp.rs-online.com/web/p/mlccs-multilayer-ceramic-capacitors/1726729/</t>
  </si>
  <si>
    <t>4pf, 50v</t>
  </si>
  <si>
    <t>7pf, 50v</t>
  </si>
  <si>
    <t>82nH, 500mohm</t>
  </si>
  <si>
    <t>Motor Driver DMOS Logic</t>
  </si>
  <si>
    <t>188-7014</t>
  </si>
  <si>
    <t>20-HTSSOP-B</t>
  </si>
  <si>
    <t>https://jp.rs-online.com/web/p/motor-driver-ics/1887014/</t>
  </si>
  <si>
    <t>CRYSTAL 16.0000MHZ 12PF SMD</t>
  </si>
  <si>
    <t>Kyocera International Inc</t>
  </si>
  <si>
    <t>https://www.digikey.jp/product-detail/en/kyocera-international-inc-electronic-components/CX3225SB16000H0PSTC1/1253-1687-1-ND/5977887</t>
  </si>
  <si>
    <t>NPNトランジスタ</t>
  </si>
  <si>
    <t>Transistors-Bipolar (BJT)-Single, Pre-biased NPN-Pre-biased 50V 100mA 250MHz 200mW</t>
  </si>
  <si>
    <t>Surface Mount SMT3</t>
  </si>
  <si>
    <t>https://jp.rs-online.com/web/p/digital-transistors/2461738/?sra=pstk</t>
  </si>
  <si>
    <t>3-Axis Sensor, I2C, SPI, 16-Pin LGA Gyroscope</t>
  </si>
  <si>
    <t>LGA 16</t>
  </si>
  <si>
    <t>チップLED</t>
  </si>
  <si>
    <t>LED BLUE CLEAR CHIP SMD</t>
  </si>
  <si>
    <t>LTC4361IDC-2#TRMPBF</t>
  </si>
  <si>
    <t>8-dfn (2x2)</t>
  </si>
  <si>
    <t>IC MCU 8BIT 32KB FLASH</t>
  </si>
  <si>
    <t>ATmega32U4-MUR</t>
  </si>
  <si>
    <t>44VQFN</t>
  </si>
  <si>
    <t>リニアレギュレータ</t>
  </si>
  <si>
    <t>IC REG LINEAR 3.3V 300MA</t>
  </si>
  <si>
    <t>SENSOR MR I2C</t>
  </si>
  <si>
    <t>FERAM</t>
  </si>
  <si>
    <t>FERAM / 64KBIT (8KB X 8) / SPI /</t>
  </si>
  <si>
    <t>MR45V064BMAZAATLCT</t>
  </si>
  <si>
    <t>8-sop</t>
  </si>
  <si>
    <t>CRYSTAL 32.0000MHZ 10PF SMD</t>
  </si>
  <si>
    <t>NX2520SA</t>
  </si>
  <si>
    <t>IC RF SWITCH SPDT 3GHZ</t>
  </si>
  <si>
    <t>NチャネルMOS-FET</t>
  </si>
  <si>
    <t>MOSFET 2 N-CH 20V 800MA</t>
  </si>
  <si>
    <t>Mission board 1/2</t>
  </si>
  <si>
    <t>Microcomputer STM32 32-bit</t>
  </si>
  <si>
    <t>64-Pin LQFP</t>
  </si>
  <si>
    <t>RFトランシーバ</t>
  </si>
  <si>
    <t>IC RF TXRX 802.15.4</t>
  </si>
  <si>
    <t>28VQFN</t>
  </si>
  <si>
    <t>IC MOTOR DRIVER 2.7V-5.5V</t>
  </si>
  <si>
    <t>24SSOP</t>
  </si>
  <si>
    <t>https://www.digikey.jp/product-detail/ja/toshiba-semiconductor-and-storage/TB6612FNG-C-8-EL/TB6612FNGC8ELCT-ND/1730134</t>
  </si>
  <si>
    <t>RFコネクタ</t>
  </si>
  <si>
    <t>CONN U.FL RCPT STR 50 OHM SMD</t>
  </si>
  <si>
    <t>H122041-ND</t>
  </si>
  <si>
    <t>U.FL-R-SMT-1(01)</t>
  </si>
  <si>
    <t>u.fl</t>
  </si>
  <si>
    <t>https://www.digikey.jp/products/ja?keywords=U.FL-R-SMT-1(01)</t>
  </si>
  <si>
    <t>Venus838FLPx GPS chip</t>
  </si>
  <si>
    <t>skytraq</t>
  </si>
  <si>
    <t>VENUS838FLPx</t>
  </si>
  <si>
    <t>FFCコネクタ</t>
  </si>
  <si>
    <t>CONN FFC TOP</t>
  </si>
  <si>
    <t>24POS 0.50MM R / A</t>
  </si>
  <si>
    <t>RF Balun</t>
  </si>
  <si>
    <t>BALUN 50MHZ-1GHZ 1:1</t>
  </si>
  <si>
    <t>Macom</t>
  </si>
  <si>
    <t>6SMD FLAT</t>
  </si>
  <si>
    <t>Mission board 2</t>
  </si>
  <si>
    <t>RF Transceiver</t>
  </si>
  <si>
    <t>radiometrix</t>
  </si>
  <si>
    <t>Crystal
20MHz</t>
  </si>
  <si>
    <t>CRYSTAL 20.0000MHZ 18PF SMD</t>
  </si>
  <si>
    <t>4 smd no lead</t>
  </si>
  <si>
    <t>Crystal
8MHz</t>
  </si>
  <si>
    <t>CRYSTAL 8.0000MHZ 18PF SMD</t>
  </si>
  <si>
    <t>IC FLASH 1G SPI 133MHZ</t>
  </si>
  <si>
    <t>Mission board 2/RAB</t>
  </si>
  <si>
    <t>https://www.digikey.jp/products/en?keywords=557-1789-ND</t>
  </si>
  <si>
    <t>ATMEGA644-20PU</t>
  </si>
  <si>
    <t>40-DIP</t>
  </si>
  <si>
    <t>IC MCU 32BIT 1MB FLASH</t>
  </si>
  <si>
    <t>IC MCU 8BIT 128KB FLASH</t>
  </si>
  <si>
    <t>https://www.digikey.jp/product-detail/ja/lattice-semiconductor-corporation/LC4256ZE-7TN144I/220-1030-ND/2641831</t>
  </si>
  <si>
    <t>64TQFP</t>
  </si>
  <si>
    <t>https://www.digikey.jp/products/en?keywords=%20PIC18F67J94-I%2FPT</t>
  </si>
  <si>
    <t>IC 4-BIT FET MUX/DEMUX</t>
  </si>
  <si>
    <t>16SSOP</t>
  </si>
  <si>
    <t>OPAMP</t>
  </si>
  <si>
    <t>IC OPAMP GP 2 CIRCUIT</t>
  </si>
  <si>
    <t>8SOIC</t>
  </si>
  <si>
    <t>mmcx smd</t>
  </si>
  <si>
    <t>SWITCH TACTILE SPST-NO 3VA 28V</t>
  </si>
  <si>
    <t>SPST-NO</t>
  </si>
  <si>
    <t>TCXO</t>
  </si>
  <si>
    <t>XTAL OSC TCXO 16.0000MHZ HCMOS</t>
  </si>
  <si>
    <t>Resistor
0.025</t>
  </si>
  <si>
    <t>九州計測</t>
  </si>
  <si>
    <t>Capacitor
0.1uF</t>
  </si>
  <si>
    <t>Capacitor
100uF</t>
  </si>
  <si>
    <t>Capacitor
10pF</t>
  </si>
  <si>
    <t>Capacitor
10uF</t>
  </si>
  <si>
    <t>Capacitor
18pF</t>
  </si>
  <si>
    <t>Capacitor
1uF</t>
  </si>
  <si>
    <t>184-3832</t>
  </si>
  <si>
    <t>UMK107ABJ105KAHT</t>
  </si>
  <si>
    <t>https://jp.rs-online.com/web/p/mlccs-multilayer-ceramic-capacitors/1843832/</t>
  </si>
  <si>
    <t>Capacitor
2.2uF</t>
  </si>
  <si>
    <t>Capacitor
6.8pF</t>
  </si>
  <si>
    <t>478-11823-1-ND</t>
  </si>
  <si>
    <t>LED Green</t>
  </si>
  <si>
    <t>LED Orange</t>
  </si>
  <si>
    <t>752-6868</t>
  </si>
  <si>
    <t>https://jp.rs-online.com/web/p/leds/7526868/?sra=pmpn</t>
  </si>
  <si>
    <t>LED Red</t>
  </si>
  <si>
    <t>752-6877</t>
  </si>
  <si>
    <t>https://jp.rs-online.com/web/p/leds/7526877/</t>
  </si>
  <si>
    <t>LED Yellow</t>
  </si>
  <si>
    <t>Resistor
0</t>
  </si>
  <si>
    <t>2019-RK73Z1JTTDCT-ND</t>
  </si>
  <si>
    <t>RK73Z1JTTD</t>
  </si>
  <si>
    <t>https://www.digikey.jp/product-detail/ja/koa-speer-electronics-inc/RK73Z1JTTD/2019-RK73Z1JTTDCT-ND/9847522</t>
  </si>
  <si>
    <t>Resistor
47</t>
  </si>
  <si>
    <t>2019-RK73H1JTTD47R0FCT-ND</t>
  </si>
  <si>
    <t>RK73H1JTTD47R0F</t>
  </si>
  <si>
    <t>https://www.digikey.jp/product-detail/ja/koa-speer-electronics-inc/RK73H1JTTD47R0F/2019-RK73H1JTTD47R0FCT-ND/9846959</t>
  </si>
  <si>
    <t>Resistor
100</t>
  </si>
  <si>
    <t>2019-RK73H1JTTD1000FCT-ND</t>
  </si>
  <si>
    <t>RK73H1JTTD1000F</t>
  </si>
  <si>
    <t>https://www.digikey.jp/product-detail/ja/koa-speer-electronics-inc/RK73H1JTTD1000F/2019-RK73H1JTTD1000FCT-ND/9846890</t>
  </si>
  <si>
    <t>Resistor
330</t>
  </si>
  <si>
    <t>2019-RK73H1JTTD3300FCT-ND</t>
  </si>
  <si>
    <t>RK73H1JTTD3300F</t>
  </si>
  <si>
    <t>https://www.digikey.jp/product-detail/ja/koa-speer-electronics-inc/RK73H1JTTD3300F/2019-RK73H1JTTD3300FCT-ND/9846916</t>
  </si>
  <si>
    <t>Resistor
680</t>
  </si>
  <si>
    <t>2019-RK73H1JTTD6800FCT-ND</t>
  </si>
  <si>
    <t>RK73H1JTTD6800F</t>
  </si>
  <si>
    <t>https://www.digikey.jp/product-detail/ja/koa-speer-electronics-inc/RK73H1JTTD6800F/2019-RK73H1JTTD6800FCT-ND/9847014</t>
  </si>
  <si>
    <t>Resistor
1k</t>
  </si>
  <si>
    <t>2019-RK73H1JTTD1001FCT-ND</t>
  </si>
  <si>
    <t>RK73H1JTTD1001F</t>
  </si>
  <si>
    <t>https://www.digikey.jp/product-detail/en/koa-speer-electronics-inc/RK73H1JTTD1001F/2019-RK73H1JTTD1001FCT-ND/9846888</t>
  </si>
  <si>
    <t>Resistor
2.2k</t>
  </si>
  <si>
    <t>2019-RK73H1JTTD2201FCT-ND</t>
  </si>
  <si>
    <t>RK73H1JTTD2201F</t>
  </si>
  <si>
    <t>https://www.digikey.jp/product-detail/en/koa-speer-electronics-inc/RK73H1JTTD2201F/2019-RK73H1JTTD2201FCT-ND/9846907</t>
  </si>
  <si>
    <t>Resistor
3.3k</t>
  </si>
  <si>
    <t>2019-RK73H1JTTD3301FCT-ND</t>
  </si>
  <si>
    <t>RK73H1JTTD3301F</t>
  </si>
  <si>
    <t>https://www.digikey.jp/product-detail/en/koa-speer-electronics-inc/RK73H1JTTD3301F/2019-RK73H1JTTD3301FCT-ND/9846903</t>
  </si>
  <si>
    <t>Resistor
4.3k</t>
  </si>
  <si>
    <t>2019-RK73B1JTTD432JCT-ND</t>
  </si>
  <si>
    <t>RK73B1JTTD432J</t>
  </si>
  <si>
    <t>https://www.digikey.jp/product-detail/en/koa-speer-electronics-inc/RK73B1JTTD432J/2019-RK73B1JTTD432JCT-ND/9846829</t>
  </si>
  <si>
    <t>Resistor
4.7k</t>
  </si>
  <si>
    <t>2019-RK73H1JTTD4701FCT-ND</t>
  </si>
  <si>
    <t>RK73H1JTTD4701F</t>
  </si>
  <si>
    <t>https://www.digikey.jp/product-detail/en/koa-speer-electronics-inc/RK73H1JTTD4701F/2019-RK73H1JTTD4701FCT-ND/9846898</t>
  </si>
  <si>
    <t>Resistor
5.1k</t>
  </si>
  <si>
    <t>2019-RK73H1JTTD5101FCT-ND</t>
  </si>
  <si>
    <t>RK73H1JTTD5101F</t>
  </si>
  <si>
    <t>https://www.digikey.jp/product-detail/en/koa-speer-electronics-inc/RK73H1JTTD5101F/2019-RK73H1JTTD5101FCT-ND/9846941</t>
  </si>
  <si>
    <t>Resistor
10k</t>
  </si>
  <si>
    <t>2019-RK73H1JTTD1002FCT-ND</t>
  </si>
  <si>
    <t>https://www.digikey.jp/product-detail/en/koa-speer-electronics-inc/RK73H1JTTD1002F/2019-RK73H1JTTD1002FCT-ND/9846998</t>
  </si>
  <si>
    <t>Resistor
15k</t>
  </si>
  <si>
    <t>2019-RK73H1JTTD1502FCT-ND</t>
  </si>
  <si>
    <t>RK73H1JTTD1502F</t>
  </si>
  <si>
    <t>https://www.digikey.jp/product-detail/en/koa-speer-electronics-inc/RK73H1JTTD1502F/2019-RK73H1JTTD1502FCT-ND/9846896</t>
  </si>
  <si>
    <t>Resistor
47k</t>
  </si>
  <si>
    <t>2019-RK73H1JTTD4702FCT-ND</t>
  </si>
  <si>
    <t>RK73H1JTTD4702F</t>
  </si>
  <si>
    <t>https://www.digikey.jp/product-detail/en/koa-speer-electronics-inc/RK73H1JTTD4702F/2019-RK73H1JTTD4702FCT-ND/9846902</t>
  </si>
  <si>
    <t>Resistor
100k</t>
  </si>
  <si>
    <t>2019-RK73H1JTTD1003FCT-ND</t>
  </si>
  <si>
    <t>RK73H1JTTD1003F</t>
  </si>
  <si>
    <t>https://www.digikey.jp/product-detail/en/koa-speer-electronics-inc/RK73H1JTTD1003F/2019-RK73H1JTTD1003FCT-ND/9846889</t>
  </si>
  <si>
    <t>Resistor
120k</t>
  </si>
  <si>
    <t>2019-RK73H1JTTD1203FCT-ND</t>
  </si>
  <si>
    <t>RK73H1JTTD1203F</t>
  </si>
  <si>
    <t>https://www.digikey.jp/product-detail/en/koa-speer-electronics-inc/RK73H1JTTD1203F/2019-RK73H1JTTD1203FCT-ND/9847089</t>
  </si>
  <si>
    <t>Resistor
200k</t>
  </si>
  <si>
    <t>2019-RK73H1JTTD2003FCT-ND</t>
  </si>
  <si>
    <t>RK73H1JTTD2003F</t>
  </si>
  <si>
    <t>https://www.digikey.jp/product-detail/en/koa-speer-electronics-inc/RK73H1JTTD2003F/2019-RK73H1JTTD2003FCT-ND/9846904</t>
  </si>
  <si>
    <t>スルーホール　ピンヘッダ</t>
  </si>
  <si>
    <t>Resistor
220k</t>
  </si>
  <si>
    <t>2019-RK73H1JTTD2203FCT-ND</t>
  </si>
  <si>
    <t>RK73H1JTTD2203F</t>
  </si>
  <si>
    <t>https://www.digikey.jp/product-detail/en/koa-speer-electronics-inc/RK73H1JTTD2203F/2019-RK73H1JTTD2203FCT-ND/9846933</t>
  </si>
  <si>
    <t>Inductor 22nH</t>
  </si>
  <si>
    <t>out of stock (lead time 8/14/2020</t>
  </si>
  <si>
    <t>IC CURR SENSE 1 CIRCUIT</t>
  </si>
  <si>
    <t>786-9727</t>
  </si>
  <si>
    <t>https://jp.rs-online.com/web/p/current-sensing-amplifiers/7869727/</t>
  </si>
  <si>
    <t>IC OVERVOLTAGE/CUR PROT</t>
  </si>
  <si>
    <t>LTC4361-2</t>
  </si>
  <si>
    <t>TSOT23-8</t>
  </si>
  <si>
    <t>N Channel 20V 10A (Ta) 1W (Ta) Surface Mount</t>
  </si>
  <si>
    <t>SSM6K411TU (TE85LFCT-ND</t>
  </si>
  <si>
    <t>IC OPAMP GP 1 CIRCUIT</t>
  </si>
  <si>
    <t>Micro Technology</t>
  </si>
  <si>
    <t>マイクロコントローラ</t>
  </si>
  <si>
    <t>IC MCU 8BIT 28KB FLASH</t>
  </si>
  <si>
    <t>Microchip Technology Inc.</t>
  </si>
  <si>
    <t>40UQFN</t>
  </si>
  <si>
    <t>MOSFET 2N-CH 20V</t>
  </si>
  <si>
    <t>vishay</t>
  </si>
  <si>
    <t>SQ1922EEH</t>
  </si>
  <si>
    <t>N-Channel MOSFET 200 V 5.2 A</t>
  </si>
  <si>
    <t>543-0052 </t>
  </si>
  <si>
    <t>IRF620</t>
  </si>
  <si>
    <t>TO-220AB 3 Pin</t>
  </si>
  <si>
    <t>https://jp.rs-online.com/web/p/mosfets/5430052/</t>
  </si>
  <si>
    <t>MOSFET P-CH 30V 3A</t>
  </si>
  <si>
    <t>infineon technologies</t>
  </si>
  <si>
    <t>IRLML5203TRPBFCT-ND</t>
  </si>
  <si>
    <t>IRLML5203</t>
  </si>
  <si>
    <t>https://www.digikey.jp/product-detail/en/infineon-technologies/IRLML5203TRPBF/IRLML5203TRPBFCT-ND/2441088</t>
  </si>
  <si>
    <t>IC OSC SILICON PROG</t>
  </si>
  <si>
    <t>506-2227</t>
  </si>
  <si>
    <t>LTC6906CS6#TRMPBF</t>
  </si>
  <si>
    <t>TSOT23-6</t>
  </si>
  <si>
    <t>https://jp.rs-online.com/web/p/programmable-oscillators/5062227/</t>
  </si>
  <si>
    <t>IC ADC 12BIT SAR</t>
  </si>
  <si>
    <t>523-8604</t>
  </si>
  <si>
    <t>AD7888ARZ</t>
  </si>
  <si>
    <t>16SOIC</t>
  </si>
  <si>
    <t>https://jp.rs-online.com/web/p/general-purpose-adcs/5238604/</t>
  </si>
  <si>
    <t>SOT23-6</t>
  </si>
  <si>
    <t>水晶振動子</t>
  </si>
  <si>
    <t>16MHz,</t>
  </si>
  <si>
    <t>547-6531 </t>
  </si>
  <si>
    <t>FOXSDLF-160-20</t>
  </si>
  <si>
    <t>2-pin, SMD</t>
  </si>
  <si>
    <t>RES 1K OHM 1% 1/4W</t>
  </si>
  <si>
    <t>2019-RK73H2ATTD1001FCT-ND</t>
  </si>
  <si>
    <t>RK73H2ATTD1001F</t>
  </si>
  <si>
    <t>https://www.digikey.jp/product-detail/en/koa-speer-electronics-inc/RK73H2ATTD1001F/2019-RK73H2ATTD1001FCT-ND/10235379</t>
  </si>
  <si>
    <t>RES 10K OHM 1% 1/4W</t>
  </si>
  <si>
    <t>2019-RK73H2ATTD1002FCT-ND</t>
  </si>
  <si>
    <t>RK73H2ATTD1002F</t>
  </si>
  <si>
    <t>https://www.digikey.jp/product-detail/en/koa-speer-electronics-inc/RK73H2ATTD1002F/2019-RK73H2ATTD1002FCT-ND/10235438</t>
  </si>
  <si>
    <t>RES 10 OHM 1% 1/4W</t>
  </si>
  <si>
    <t>RES 200 OHM 1% 1/4W</t>
  </si>
  <si>
    <t>2019-RK73H2ATTD2000FCT-ND</t>
  </si>
  <si>
    <t>RK73H2ATTD2000F</t>
  </si>
  <si>
    <t>https://www.digikey.jp/product-detail/en/koa-speer-electronics-inc/RK73H2ATTD2000F/2019-RK73H2ATTD2000FCT-ND/10235398</t>
  </si>
  <si>
    <t>RES 2.2K OHM 1% 1/4W</t>
  </si>
  <si>
    <t>2019-RK73H2ATTD2201FCT-ND</t>
  </si>
  <si>
    <t>RK73H2ATTD2201F</t>
  </si>
  <si>
    <t>https://www.digikey.jp/product-detail/en/koa-speer-electronics-inc/RK73H2ATTD2201F/2019-RK73H2ATTD2201FCT-ND/10235136</t>
  </si>
  <si>
    <t>RES 100K OHM 1% 1/4W</t>
  </si>
  <si>
    <t>2019-RK73H2ATTD1003FCT-ND</t>
  </si>
  <si>
    <t>RK73H2ATTD1003F</t>
  </si>
  <si>
    <t>https://www.digikey.jp/product-detail/en/koa-speer-electronics-inc/RK73H2ATTD1003F/2019-RK73H2ATTD1003FCT-ND/10235427</t>
  </si>
  <si>
    <t>RES 1M OHM 1% 1/4W</t>
  </si>
  <si>
    <t>2019-RK73H2ATTD1004FCT-ND</t>
  </si>
  <si>
    <t>RK73H2ATTD1004F</t>
  </si>
  <si>
    <t>https://www.digikey.jp/product-detail/en/koa-speer-electronics-inc/RK73H2ATTD1004F/2019-RK73H2ATTD1004FCT-ND/10235124</t>
  </si>
  <si>
    <t>RES 1 OHM 5% 1/4W</t>
  </si>
  <si>
    <t>2019-RK73B2ATTD1R0JCT-ND</t>
  </si>
  <si>
    <t>RK73B2ATTD1R0J</t>
  </si>
  <si>
    <t>https://www.digikey.jp/product-detail/en/koa-speer-electronics-inc/RK73B2ATTD1R0J/2019-RK73B2ATTD1R0JCT-ND/10237743</t>
  </si>
  <si>
    <t>CAP CER 20PF 250V C0G/NP0</t>
  </si>
  <si>
    <t>712-1381-1-ND</t>
  </si>
  <si>
    <t>251R15S200JV4E</t>
  </si>
  <si>
    <t>https://www.digikey.jp/product-detail/en/johanson-technology-inc/251R15S200JV4E/712-1381-1-ND/1833703</t>
  </si>
  <si>
    <t>CAP CER 10NF 100V X7R 10%</t>
  </si>
  <si>
    <t>399-17889-1-ND</t>
  </si>
  <si>
    <t>C0805C103K1RECAUTO</t>
  </si>
  <si>
    <t>https://www.digikey.jp/product-detail/en/kemet/C0805C103K1RECAUTO/399-17889-1-ND/8640556</t>
  </si>
  <si>
    <t>CAP CER 0.047UF 100V X7R</t>
  </si>
  <si>
    <t>RES 0.05 OHM 5% 1 / 4W</t>
  </si>
  <si>
    <t>RES 0.5 OHM 1% 1 / 3W</t>
  </si>
  <si>
    <t>RES SMD 2.55M OHM 1% 1/8W</t>
  </si>
  <si>
    <t>311-2.55MCRCT-ND</t>
  </si>
  <si>
    <t>RC0805FR-072M55L</t>
  </si>
  <si>
    <t>https://www.digikey.jp/product-detail/en/yageo/RC0805FR-072M55L/311-2-55MCRCT-ND/730646</t>
  </si>
  <si>
    <t>499k ohm</t>
  </si>
  <si>
    <t>708-6935</t>
  </si>
  <si>
    <t>ERA6AEB4993V </t>
  </si>
  <si>
    <t>https://jp.rs-online.com/web/p/surface-mount-fixed-resistors/7086935/</t>
  </si>
  <si>
    <t>diode</t>
  </si>
  <si>
    <t>DIODE SCHOTTKY 20V 1A</t>
  </si>
  <si>
    <t>SOD123</t>
  </si>
  <si>
    <t>solar panel</t>
  </si>
  <si>
    <t>https://www.digikey.jp/product-detail/en/on-semiconductor/NRVB120VLSFT1G/NRVB120VLSFT1GOSCT-ND/8538727</t>
  </si>
  <si>
    <t>12 pin connector female</t>
  </si>
  <si>
    <t>12 pin header</t>
  </si>
  <si>
    <t>antenna panel/solar panel</t>
  </si>
  <si>
    <t>https://www.monotaro.com/p/1131/7172/</t>
  </si>
  <si>
    <t>SENSOR ANALOG -50C-150C</t>
  </si>
  <si>
    <t>Texas instruments</t>
  </si>
  <si>
    <t>SC70</t>
  </si>
  <si>
    <t>https://www.digikey.jp/product-detail/en/texas-instruments/LMT84QDCKTQ1/296-36413-1-ND/4271788</t>
  </si>
  <si>
    <t>0.1µF ±5% 16V Ceramic Capacitor X7R 0402 (1005 Metric)</t>
  </si>
  <si>
    <t>490-16433-1-ND</t>
  </si>
  <si>
    <t>GCM155R71C104JA55D</t>
  </si>
  <si>
    <t>https://www.digikey.jp/products/en?keywords=490-16433-1-ND</t>
  </si>
  <si>
    <t>1µF ±10% 10V Ceramic Capacitor X7R 0603 (1608 Metric)</t>
  </si>
  <si>
    <t>311-1796-1-ND</t>
  </si>
  <si>
    <t>CC0603KRX7R6BB105</t>
  </si>
  <si>
    <t>https://www.digikey.jp/products/en?keywords=%09311-1796-1-ND</t>
  </si>
  <si>
    <t>22µF ±20% 16V Ceramic Capacitor X6S 0805 (2012 Metric)</t>
  </si>
  <si>
    <t>445-14486-1-ND</t>
  </si>
  <si>
    <t>C2012X6S1C226M125AC</t>
  </si>
  <si>
    <t>https://www.digikey.jp/products/en?keywords=%09445-14486-1-ND</t>
  </si>
  <si>
    <t>4.7µF ±10% 16V Ceramic Capacitor X7R 0805 (2012 Metric)</t>
  </si>
  <si>
    <t>https://www.digikey.jp/products/en?keywords=490-14466-1-ND</t>
  </si>
  <si>
    <t>Connector header, 2POS</t>
  </si>
  <si>
    <t>Pin header (pin) PCB mounting hole diameter Φ1.02 PSR-410153-00 (H = 1.5, h = 2.4)</t>
  </si>
  <si>
    <t>H126492-ND</t>
  </si>
  <si>
    <t>DF14-2P-1.25H(24)</t>
  </si>
  <si>
    <t>https://www.digikey.jp/products/en?keywords=DF14-2P-1.25H(24)</t>
  </si>
  <si>
    <t>Connector header, 30POS</t>
  </si>
  <si>
    <t>Connector Header Surface Mount, Right Angle 30 position 0.049" (1.25mm)</t>
  </si>
  <si>
    <t>H126494-ND</t>
  </si>
  <si>
    <t>DF14-30P-1.25H(24)</t>
  </si>
  <si>
    <t>https://www.digikey.jp/products/en?keywords=DF14-30P-1.25H(24)</t>
  </si>
  <si>
    <t>https://www.digikey.jp/products/en?keywords=220-1030-ND</t>
  </si>
  <si>
    <t>Pin header, 13 pin right angle</t>
  </si>
  <si>
    <t>PSR-410153-13 13-Pin header (pin) PCB mounting hole diameter 1.02 (H = 1.5, h = 2.4)</t>
  </si>
  <si>
    <t>PSR-410153-13</t>
  </si>
  <si>
    <t>https://www.monotaro.com/p/2635/4265/</t>
  </si>
  <si>
    <t>Pin header, 26 pin right angle</t>
  </si>
  <si>
    <t>PSR-420153-26 26-Pin header (pin) PCB mounting hole diameter 1.02 (H = 1.5, h = 2.4)</t>
  </si>
  <si>
    <t>PSR-420153-26</t>
  </si>
  <si>
    <t>https://www.monotaro.com/p/1134/3036/?t.q=PSR-420153</t>
  </si>
  <si>
    <t>Backplane EM PCB</t>
  </si>
  <si>
    <t>PCB (250mmx90mm)</t>
  </si>
  <si>
    <t>電解コンデンサー</t>
  </si>
  <si>
    <t>セラミックコンデンサー</t>
  </si>
  <si>
    <t>ナイロンコネクター</t>
  </si>
  <si>
    <t>ナイロンコネクターEH2.5</t>
  </si>
  <si>
    <t>0640-06</t>
  </si>
  <si>
    <t>ZL2506-2PS</t>
  </si>
  <si>
    <t>https://www.marutsu.co.jp/pc/i/107255/</t>
  </si>
  <si>
    <t>エッチング液</t>
  </si>
  <si>
    <t>エッチング液 1000ml</t>
  </si>
  <si>
    <t>サンハヤト</t>
  </si>
  <si>
    <t>H1000A</t>
  </si>
  <si>
    <t>https://www.marutsu.co.jp/pc/i/8622/</t>
  </si>
  <si>
    <t>現像エッチング用ピンセット</t>
  </si>
  <si>
    <t>PIN-7</t>
  </si>
  <si>
    <t>https://www.marutsu.co.jp/pc/i/1356658/</t>
  </si>
  <si>
    <t>バット</t>
  </si>
  <si>
    <t>バット 150×195mm【BUT1】</t>
  </si>
  <si>
    <t>BUT1</t>
  </si>
  <si>
    <t>https://www.marutsu.co.jp/pc/i/8619/</t>
  </si>
  <si>
    <t>耐酸性レジストペン</t>
  </si>
  <si>
    <t>耐酸性レジストペン[細字]</t>
  </si>
  <si>
    <t>RP-200</t>
  </si>
  <si>
    <t>https://www.marutsu.co.jp/pc/i/836385/</t>
  </si>
  <si>
    <t>アートワーク用インクジェットフィルム</t>
  </si>
  <si>
    <t>アートワーク用インクジェットフィルム A4 10枚入り</t>
  </si>
  <si>
    <t>PF10RA4</t>
  </si>
  <si>
    <t>https://www.marutsu.co.jp/pc/i/40780/</t>
  </si>
  <si>
    <t>カット基板 銅張積層板 片面 紙フェノール</t>
  </si>
  <si>
    <t>NO11</t>
  </si>
  <si>
    <t>https://www.marutsu.co.jp/pc/i/8444/</t>
  </si>
  <si>
    <t>ピンヘッダ</t>
  </si>
  <si>
    <t>ピンヘッダ [40ピン×1列] 2mmピッチ</t>
  </si>
  <si>
    <t>GB</t>
  </si>
  <si>
    <t>GB112-00</t>
  </si>
  <si>
    <t>GB-SPH-2040P</t>
  </si>
  <si>
    <t>https://www.marutsu.co.jp/pc/i/595796/</t>
  </si>
  <si>
    <t>チップ抵抗器</t>
  </si>
  <si>
    <t>2012角形チップ抵抗器 RK73H 470Ω 0.25W ±1%</t>
  </si>
  <si>
    <t>RK73H2ATTD471F</t>
  </si>
  <si>
    <t>https://www.marutsu.co.jp/pc/i/858054/</t>
  </si>
  <si>
    <t>2012角形チップ抵抗器 RK73H 330Ω 0.25W ±1%</t>
  </si>
  <si>
    <t>RK73H2ATTD331F</t>
  </si>
  <si>
    <t>https://www.marutsu.co.jp/pc/i/858026/</t>
  </si>
  <si>
    <t>2012角形チップ抵抗器 RK73H 220Ω 0.25W ±1%</t>
  </si>
  <si>
    <t>RK73H2ATTD221F</t>
  </si>
  <si>
    <t>https://www.marutsu.co.jp/pc/i/857998/</t>
  </si>
  <si>
    <t>2012角形チップ抵抗器 RK73H 1kΩ 0.25W ±1%</t>
  </si>
  <si>
    <t>RK73H2ATTD102F</t>
  </si>
  <si>
    <t>https://www.marutsu.co.jp/pc/i/857943/</t>
  </si>
  <si>
    <t>2012角形チップ抵抗器 RK73H 100Ω 0.25W ±1%</t>
  </si>
  <si>
    <t>RK73H2ATTD101F</t>
  </si>
  <si>
    <t>https://www.marutsu.co.jp/pc/i/857942/</t>
  </si>
  <si>
    <t>2012角形チップ抵抗器 RK73H 47kΩ 0.25W ±1%</t>
  </si>
  <si>
    <t>RK73H2ATTD473F</t>
  </si>
  <si>
    <t>https://www.marutsu.co.jp/pc/i/858056/</t>
  </si>
  <si>
    <t>ノンスリップ半月型ドリル針</t>
  </si>
  <si>
    <t>ノンスリップ半月型ドリル針 0.8mm</t>
  </si>
  <si>
    <t>DB08</t>
  </si>
  <si>
    <t>https://www.marutsu.co.jp/pc/i/7720/</t>
  </si>
  <si>
    <t>ノンスリップ半月型ドリル針 1.0mm</t>
  </si>
  <si>
    <t>DB10</t>
  </si>
  <si>
    <t>https://www.marutsu.co.jp/pc/i/7710/</t>
  </si>
  <si>
    <t>精密機器用なべ小ねじ</t>
  </si>
  <si>
    <t>SNZS-M1.6X6-VA M1.6</t>
  </si>
  <si>
    <t>SNZS-M1.6X6-VA</t>
  </si>
  <si>
    <t>https://jp.misumi-ec.com/vona2/detail/221000351082/</t>
  </si>
  <si>
    <t>六角ナット DIN規格</t>
  </si>
  <si>
    <t>HNT1-SUS-DIN1.6 M1.6</t>
  </si>
  <si>
    <t>HNT1-SUS-DIN1.6</t>
  </si>
  <si>
    <t>https://jp.misumi-ec.com/vona2/detail/221000544468/</t>
  </si>
  <si>
    <t>CBL CLIP C-TYPE SILVER SOLDER</t>
  </si>
  <si>
    <t>metal contact</t>
  </si>
  <si>
    <t>BATTERY CONTACT SPRING MULTI SMD</t>
  </si>
  <si>
    <t>BATTERY CONTACT SOLID MULTI SMD</t>
  </si>
  <si>
    <t>Kitsune Access and Deployment Board_EM</t>
  </si>
  <si>
    <t>P ban</t>
  </si>
  <si>
    <t>4 (2 unsoldered)</t>
  </si>
  <si>
    <t>3(2 unsoldered)</t>
  </si>
  <si>
    <t>Main Bus</t>
  </si>
  <si>
    <t>Kitsune Spatium2 Access Board_EM</t>
  </si>
  <si>
    <t>3 (2 unsoldered)</t>
  </si>
  <si>
    <t>Spatium 2</t>
  </si>
  <si>
    <t>VCO 464.5MHZ 0.3-4.7V 12.7X12.7</t>
  </si>
  <si>
    <t>444 ~ 485MHz</t>
  </si>
  <si>
    <t>Crystek Corporation</t>
  </si>
  <si>
    <t>744-1471-ND</t>
  </si>
  <si>
    <t>CVCO55CC-0444-0485</t>
  </si>
  <si>
    <t>16-QFN</t>
  </si>
  <si>
    <t>SPATIUM2</t>
  </si>
  <si>
    <t>https://www.digikey.jp/products/en/crystals-oscillators-resonators/vcos-voltage-controlled-oscillators/173?k=&amp;pkeyword=&amp;sv=0&amp;pv344=219962&amp;sf=0&amp;FV=-8%7C173%2C-1%7C744&amp;quantity=&amp;ColumnSort=0&amp;page=1&amp;pageSize=25</t>
  </si>
  <si>
    <t>IC REG LINEAR 1.8V 300MA SOT23-5</t>
  </si>
  <si>
    <t>1.8V</t>
  </si>
  <si>
    <t>576-4879-1-ND</t>
  </si>
  <si>
    <t>MIC5504-1.8YM5-TR</t>
  </si>
  <si>
    <t>SC-74A</t>
  </si>
  <si>
    <t>https://www.digikey.jp/product-detail/ja/microchip-technology/MIC5504-1-8YM5-TR/576-4879-1-ND/5209405</t>
  </si>
  <si>
    <t>TRIMMER 10K OHM 0.25W GW TOP ADJ</t>
  </si>
  <si>
    <t>10 kOhms</t>
  </si>
  <si>
    <t>490-6995-1-ND</t>
  </si>
  <si>
    <t>PVG3G103C01R00</t>
  </si>
  <si>
    <t>https://www.digikey.jp/product-detail/ja/bourns-inc/PVG3G103C01R00/490-6995-1-ND/3846192</t>
  </si>
  <si>
    <t>RF ATTENUATOR 20DB 50OHM 2SMD</t>
  </si>
  <si>
    <t>20dB</t>
  </si>
  <si>
    <t>Anaren</t>
  </si>
  <si>
    <t>https://www.digikey.jp/product-detail/ja/anaren/D10AA20Z4/1173-1083-1-ND/3069281</t>
  </si>
  <si>
    <t>IC OPAMP GP 1 CIRCUIT SOT23-5</t>
  </si>
  <si>
    <t>MCP6001UT-I/OTCT-ND</t>
  </si>
  <si>
    <t>MCP6001UT-I/OT</t>
  </si>
  <si>
    <t>SC-74A, SOT-753</t>
  </si>
  <si>
    <t>https://www.digikey.jp/product-detail/en/microchip-technology/MCP6001UT-I-OT/MCP6001UT-I-OTCT-ND/697159</t>
  </si>
  <si>
    <t>CAP CERAMIC 10UF 6.3V X6S 20% PA</t>
  </si>
  <si>
    <t>490-18210-1-ND</t>
  </si>
  <si>
    <t>GRM155C80J106ME11J</t>
  </si>
  <si>
    <t>1005 (0402)</t>
  </si>
  <si>
    <t>https://www.digikey.jp/product-detail/en/murata-electronics/GRM155C80J106ME11J/490-18210-1-ND/9867939</t>
  </si>
  <si>
    <t>IC RF SWITCH SPST 2.5GHZ 8MSOP</t>
  </si>
  <si>
    <t>RF SW</t>
  </si>
  <si>
    <t>584-ADG901BRMZ-R7</t>
  </si>
  <si>
    <t>ADG901BRMZ-REEL7</t>
  </si>
  <si>
    <t>https://www.mouser.jp/ProductDetail/Analog-Devices/ADG901BRMZ-REEL7?qs=BpaRKvA4VqGtXy7JBFLGiA==</t>
  </si>
  <si>
    <t>200mW</t>
  </si>
  <si>
    <t>755-DTC144EKAT146</t>
  </si>
  <si>
    <t xml:space="preserve">TO-236-3, SC-59, SOT-23-3	</t>
  </si>
  <si>
    <t>https://www.mouser.jp/ProductDetail/ROHM-Semiconductor/DTC144EKAT146?qs=4kLU8WoGk0s6Af1cWyUglg%3D%3D</t>
  </si>
  <si>
    <t>https://www.digikey.jp/product-detail/ja/amphenol-rf/908-22101T/ARF1725CT-ND/2041861</t>
  </si>
  <si>
    <t>SMA STRAIGHT PLUG TO MMCX RIGHT</t>
  </si>
  <si>
    <t>50ohm, 304.8mm</t>
  </si>
  <si>
    <t>ARF3218-ND</t>
  </si>
  <si>
    <t>095-902-485-012</t>
  </si>
  <si>
    <t>https://www.digikey.jp/product-detail/ja/amphenol-rf/095-902-485-012/ARF3218-ND/9655887</t>
  </si>
  <si>
    <t>CAP CER 4.7UF 6.3V X5R 0402</t>
  </si>
  <si>
    <t>478-10669-1-ND</t>
  </si>
  <si>
    <t>04026D475KAT2A</t>
  </si>
  <si>
    <t>0402 (1005)</t>
  </si>
  <si>
    <t>https://www.digikey.jp/product-detail/ja/avx-corporation/04026D475KAT2A/478-10669-1-ND/7536540</t>
  </si>
  <si>
    <t>CAP CER 47UF 6.3V X5R 0805</t>
  </si>
  <si>
    <t>47uF</t>
  </si>
  <si>
    <t>490-13249-1-ND</t>
  </si>
  <si>
    <t>GRM219R60J476ME44D</t>
  </si>
  <si>
    <t>0805 (2012)</t>
  </si>
  <si>
    <t>https://www.digikey.jp/product-detail/ja/murata-electronics/GRM219R60J476ME44D/490-13249-1-ND/5877457</t>
  </si>
  <si>
    <t>RES 0.025 OHM 5% 1/3W 0603</t>
  </si>
  <si>
    <t>0.025ohm</t>
  </si>
  <si>
    <t>P17482CT-ND</t>
  </si>
  <si>
    <t>ERJ-3BWJR025V</t>
  </si>
  <si>
    <t>https://www.digikey.jp/product-detail/ja/panasonic-electronic-components/ERJ-3BWJR025V/P17482CT-ND/5647966</t>
  </si>
  <si>
    <t>FERRITE BEAD 600 OHM 0603 1 LN</t>
  </si>
  <si>
    <t>600ohm @100MHz</t>
  </si>
  <si>
    <t>490-14039-1-ND</t>
  </si>
  <si>
    <t>BLM18AG601BH1D</t>
  </si>
  <si>
    <t>https://www.digikey.jp/product-detail/ja/murata-electronics/BLM18AG601BH1D/490-14039-1-ND/6156039</t>
  </si>
  <si>
    <t>FIXED IND 4.7UH 1.9A 84 MOHM SMD</t>
  </si>
  <si>
    <t>4.7uH</t>
  </si>
  <si>
    <t>SRN4018-4R7MCT-ND</t>
  </si>
  <si>
    <t>SRN4018-4R7M</t>
  </si>
  <si>
    <t>https://www.digikey.jp/product-detail/ja/bourns-inc/SRN4018-4R7M/SRN4018-4R7MCT-ND/3821520</t>
  </si>
  <si>
    <t>CRYSTAL 25.0000MHZ 18PF SMD</t>
  </si>
  <si>
    <t>25MHz</t>
  </si>
  <si>
    <t>XC2099CT-ND</t>
  </si>
  <si>
    <t>ECS-250-18-23A-JGN-TR</t>
  </si>
  <si>
    <t>https://www.digikey.jp/products/ja?keywords=XC2099CT-ND</t>
  </si>
  <si>
    <t>584-C4361IDC-2TRMPBF</t>
  </si>
  <si>
    <t>https://www.mouser.jp/ProductDetail/Analog-Devices-Linear-Technology/LTC4361IDC-2TRMPBF?qs=hVkxg5c3xu8HFOGoKycDRQ%3D%3D</t>
  </si>
  <si>
    <t>LED RED DIFFUSED 0805 SMD</t>
  </si>
  <si>
    <t>Visual Communications Company - VCC</t>
  </si>
  <si>
    <t>L62501CT-ND</t>
  </si>
  <si>
    <t>CMD17-21VRD/TR8</t>
  </si>
  <si>
    <t>https://www.digikey.jp/products/ja?keywords=L62501CT-ND</t>
  </si>
  <si>
    <t>https://www.digikey.jp/products/ja?keywords=LAN9514I-JZX</t>
  </si>
  <si>
    <t>DISCRETE ETHERNET MAGNETICS SING</t>
  </si>
  <si>
    <t>350µH</t>
  </si>
  <si>
    <t>A145148CT-ND</t>
  </si>
  <si>
    <t>2337822-1</t>
  </si>
  <si>
    <t>https://www.digikey.jp/product-detail/en/te-connectivity-amp-connectors/2337822-1/A145148CT-ND/10270262</t>
  </si>
  <si>
    <t>SMA-uFL adapter</t>
  </si>
  <si>
    <t>SMAP-uFLJ</t>
  </si>
  <si>
    <t>ADP-UFLM-SMAM-ND</t>
  </si>
  <si>
    <t>ADP-UFLM-SMAM</t>
  </si>
  <si>
    <t>https://www.digikey.jp/product-detail/ja/rf-solutions/ADP-UFLM-SMAM/ADP-UFLM-SMAM-ND/5845797</t>
  </si>
  <si>
    <t>Photo MOS</t>
  </si>
  <si>
    <t>4A 60V</t>
  </si>
  <si>
    <t>https://www.digikey.jp/product-detail/ja/panasonic-electric-works/AQZ102/255-1567-ND/570705</t>
  </si>
  <si>
    <t>Kitsune L ion Battery Construction</t>
  </si>
  <si>
    <t>Hari/Nozaki</t>
  </si>
  <si>
    <t>Li ion NCR 18650GA Battery PAck configuration with 2S3P , spot welding and soldering to harness cable</t>
  </si>
  <si>
    <t>Ao sysTem eneRg  EXploration</t>
  </si>
  <si>
    <t>astrex</t>
  </si>
  <si>
    <t>200529-01</t>
  </si>
  <si>
    <t>2 sereis connection</t>
  </si>
  <si>
    <t>EPS-battery</t>
  </si>
  <si>
    <t>ao_energy1@zeus.ennet.ne.jp</t>
  </si>
  <si>
    <t>Access connector</t>
  </si>
  <si>
    <t xml:space="preserve">26 position connector        </t>
  </si>
  <si>
    <t xml:space="preserve">MSDR26-ND </t>
  </si>
  <si>
    <t xml:space="preserve"> 12226-5150-00FR    </t>
  </si>
  <si>
    <t xml:space="preserve">through hole  </t>
  </si>
  <si>
    <t>External Programming Boards</t>
  </si>
  <si>
    <t>Pin headers</t>
  </si>
  <si>
    <t xml:space="preserve">2.54 pitch/through hole                </t>
  </si>
  <si>
    <t>OBC/EPS, ADCS,ACCESS,LORA, TEC</t>
  </si>
  <si>
    <t>電波料</t>
  </si>
  <si>
    <t>JG6YBW 1年間分</t>
  </si>
  <si>
    <t>KITSUNE/BIRDS/HR4</t>
  </si>
  <si>
    <t>//</t>
  </si>
  <si>
    <t>EPS- Solar Panel</t>
  </si>
  <si>
    <t>SVBL, 2F</t>
  </si>
  <si>
    <t>https://www.digikey.jp/product-detail/en/kemet/C0805C105K4RACTU/399-1284-1-ND/416060</t>
  </si>
  <si>
    <t>Resistor 1kohm, 0805</t>
  </si>
  <si>
    <t>311-1.0KARCT-ND</t>
  </si>
  <si>
    <t>https://www.digikey.jp/product-detail/en/yageo/RC0805JR-071KL/311-1-0KARCT-ND/731165</t>
  </si>
  <si>
    <t>4 Position Receptacle Connector  Through Hole</t>
  </si>
  <si>
    <t>CONN RCPT 4POS 0.079 GOLD PCB</t>
  </si>
  <si>
    <t xml:space="preserve">13 pin Female connector </t>
  </si>
  <si>
    <t>Pin header (socket) FSM-41075-00 (1 row)</t>
  </si>
  <si>
    <t>FSM-41075-13</t>
  </si>
  <si>
    <t>649 for 10</t>
  </si>
  <si>
    <t>https://www.monotaro.com/p/1135/0167/</t>
  </si>
  <si>
    <t>26 pin female connector</t>
  </si>
  <si>
    <t>Pin header (socket) FSM-42074-00 (2 rows)</t>
  </si>
  <si>
    <t>FSM-42074-13</t>
  </si>
  <si>
    <t>869 for 10</t>
  </si>
  <si>
    <t>https://www.monotaro.com/p/1135/0544/</t>
  </si>
  <si>
    <t>13 pin stackup connector</t>
  </si>
  <si>
    <t>Pin header (socket) PCB mounting hole diameter Φ1.02 FSS-41035-00 (1 row)</t>
  </si>
  <si>
    <t>FSS-41035-13</t>
  </si>
  <si>
    <t>659 for 10</t>
  </si>
  <si>
    <t>https://www.monotaro.com/p/1134/7717/</t>
  </si>
  <si>
    <t>2 pin right angle female connector</t>
  </si>
  <si>
    <t>Pin header (socket) PCB mounting hole diameter Φ1.02 FSR-41057-00 (1 row)</t>
  </si>
  <si>
    <t>FSR-41057-02</t>
  </si>
  <si>
    <t>https://www.monotaro.com/p/1134/8925/</t>
  </si>
  <si>
    <t>3 pin right angle female connector</t>
  </si>
  <si>
    <t>FSR-41057-03</t>
  </si>
  <si>
    <t>https://www.monotaro.com/p/1134/8934/</t>
  </si>
  <si>
    <t>KITSUNE -Xc Panel</t>
  </si>
  <si>
    <t>External panel, -X, part 1 of 3</t>
  </si>
  <si>
    <t>www.p-ban.com</t>
  </si>
  <si>
    <t>KITSUNE CCB</t>
  </si>
  <si>
    <t>Camera Controller Board</t>
  </si>
  <si>
    <t>CAM - CCB</t>
  </si>
  <si>
    <t>KITSUNE TEC</t>
  </si>
  <si>
    <t>Hoda/Kishimoto</t>
  </si>
  <si>
    <t>TEC board</t>
  </si>
  <si>
    <t>Capacitor 47uF</t>
  </si>
  <si>
    <t>SMD C3216</t>
  </si>
  <si>
    <t>DIGI-KEY</t>
  </si>
  <si>
    <t>399-5508-1-ND</t>
  </si>
  <si>
    <t>C1206C476M8PACTU</t>
  </si>
  <si>
    <t>C3216</t>
  </si>
  <si>
    <t>https://www.digikey.jp/product-detail/en/kemet/C1206C476M8PACTU/399-5508-1-ND/1950686</t>
  </si>
  <si>
    <t>SMD 0603</t>
  </si>
  <si>
    <t>399-1282-1-ND</t>
  </si>
  <si>
    <t>C0603C104J3RACTU</t>
  </si>
  <si>
    <t>https://www.digikey.jp/product-detail/en/kemet/C0603C104J3RACTU/399-1282-1-ND/416058</t>
  </si>
  <si>
    <t>Capacitor 1uF</t>
  </si>
  <si>
    <t>399-7846-1-ND</t>
  </si>
  <si>
    <t>C0603C105K3PACTU</t>
  </si>
  <si>
    <t>https://www.digikey.jp/product-detail/en/kemet/C0603C105K3PACTU/399-7846-1-ND/3471569</t>
  </si>
  <si>
    <t>Capacitor 4.7uF</t>
  </si>
  <si>
    <t>399-5503-1-ND</t>
  </si>
  <si>
    <t>C0603C475K8PACTU</t>
  </si>
  <si>
    <t>https://www.digikey.jp/product-detail/en/kemet/C0603C475K8PACTU/399-5503-1-ND/1950681</t>
  </si>
  <si>
    <t>Capacitor 15pF</t>
  </si>
  <si>
    <t>399-6858-1-ND</t>
  </si>
  <si>
    <t>C0603C150J3GACAUTO</t>
  </si>
  <si>
    <t>https://www.digikey.jp/product-detail/en/kemet/C0603C150J3GACAUTO/399-6858-1-ND/3314371</t>
  </si>
  <si>
    <t>Capacitor 22nF</t>
  </si>
  <si>
    <t>399-9043-1-ND</t>
  </si>
  <si>
    <t>C0603C223J3RACTU</t>
  </si>
  <si>
    <t>https://www.digikey.jp/product-detail/en/kemet/C0603C223J3RACTU/399-9043-1-ND/3522560</t>
  </si>
  <si>
    <t>Capacitor 33pF</t>
  </si>
  <si>
    <t>399-15390-1-ND</t>
  </si>
  <si>
    <t>C0603C330J3GAC7867</t>
  </si>
  <si>
    <t>https://www.digikey.jp/product-detail/en/kemet/C0603C330J3GAC7867/399-15390-1-ND/7386788</t>
  </si>
  <si>
    <t>399-14945-1-ND</t>
  </si>
  <si>
    <t>C0603C106M8PAC7867</t>
  </si>
  <si>
    <t>https://www.digikey.jp/product-detail/en/kemet/C0603C106M8PAC7867/399-14945-1-ND/7382494</t>
  </si>
  <si>
    <t>Capacitor 1000pF</t>
  </si>
  <si>
    <t>399-7830-1-ND</t>
  </si>
  <si>
    <t>C0603C102J3GACTU</t>
  </si>
  <si>
    <t>https://www.digikey.jp/product-detail/en/kemet/C0603C102J3GACTU/399-7830-1-ND/3471553</t>
  </si>
  <si>
    <t>Capacitor 3300pF</t>
  </si>
  <si>
    <t>399-15394-1-ND</t>
  </si>
  <si>
    <t>C0603C332J3GAC7867</t>
  </si>
  <si>
    <t>https://www.digikey.jp/product-detail/en/kemet/C0603C332J3GAC7867/399-15394-1-ND/7386792</t>
  </si>
  <si>
    <t>Capacitor 220nF</t>
  </si>
  <si>
    <t>399-9967-1-ND</t>
  </si>
  <si>
    <t>C0603C224J3RAC7867</t>
  </si>
  <si>
    <t>https://www.digikey.jp/product-detail/en/kemet/C0603C224J3RAC7867/399-9967-1-ND/3736966</t>
  </si>
  <si>
    <t>399-7929-1-ND</t>
  </si>
  <si>
    <t>C0603C473J3RACTU</t>
  </si>
  <si>
    <t>https://www.digikey.jp/product-detail/en/kemet/C0603C473J3RACTU/399-7929-1-ND/3471652</t>
  </si>
  <si>
    <t>Capacitor 22UF</t>
  </si>
  <si>
    <t>MOUSER</t>
  </si>
  <si>
    <t>81-GRM187R61A226ME5J</t>
  </si>
  <si>
    <t>GRM187R61A226ME15J</t>
  </si>
  <si>
    <t>https://www.mouser.jp/ProductDetail/Murata-Electronics/GRM187R61A226ME15J?qs=5aG0NVq1C4zp9gekqoIe8Q%3D%3D</t>
  </si>
  <si>
    <t>Capacitor 0.01UF</t>
  </si>
  <si>
    <t>399-17960-1-ND</t>
  </si>
  <si>
    <t>C0603C103KARACAUTO</t>
  </si>
  <si>
    <t>https://www.digikey.jp/product-detail/en/kemet/C0603C103KARACAUTO/399-17960-1-ND/9084030</t>
  </si>
  <si>
    <t>Resistor 100kohm</t>
  </si>
  <si>
    <t>2019-RK73B1JTTD104JCT-ND</t>
  </si>
  <si>
    <t>RK73B1JTTD104J</t>
  </si>
  <si>
    <t>https://www.digikey.jp/products/ja/resistors/chip-resistor-surface-mount/52?k=&amp;pkeyword=&amp;sv=0&amp;pv2085=u100+kOhms&amp;sf=0&amp;FV=-8%7C52%2C-5%7C70122%2C-1%7C2019%2C2%7C14064%2C3%7C2503%2C5%7C316924%2C7%7C2%2C16%7C39246%2C17%7C1925%2C46%7C7802%2C174%7C411742%2C252%7C242934%2C707%7C312105%2Cii2%7C1127%2C1291%7C39245%2C1500%7C5314%2C1531%7C1%2C1989%7C0&amp;quantity=&amp;ColumnSort=0&amp;page=1&amp;pageSize=25</t>
  </si>
  <si>
    <t>Resistor F0.025ohm</t>
  </si>
  <si>
    <t>Resistor 10kohm</t>
  </si>
  <si>
    <t>2019-RK73B1JTTD103JCT-ND</t>
  </si>
  <si>
    <t>RK73B1JTTD103J</t>
  </si>
  <si>
    <t>https://www.digikey.jp/products/ja/resistors/chip-resistor-surface-mount/52?k=&amp;pkeyword=&amp;sv=0&amp;pv2085=u10+kOhms&amp;sf=0&amp;FV=-8%7C52%2C-5%7C70122%2C-1%7C2019%2C2%7C14064%2C3%7C2503%2C5%7C316924%2C7%7C2%2C16%7C39246%2C17%7C1925%2C46%7C7802%2C174%7C411742%2C252%7C242934%2C707%7C312105%2Cii2%7C1127%2C1291%7C39245%2C1500%7C5314%2C1531%7C1%2C1989%7C0&amp;quantity=&amp;ColumnSort=0&amp;page=1&amp;pageSize=25</t>
  </si>
  <si>
    <t>Resistor 49R9ohm</t>
  </si>
  <si>
    <t>2019-RK73H1JTTD49R9FCT-ND</t>
  </si>
  <si>
    <t>RK73H1JTTD49R9F</t>
  </si>
  <si>
    <t>https://www.digikey.jp/product-detail/ja/koa-speer-electronics-inc/RK73H1JTTD49R9F/2019-RK73H1JTTD49R9FCT-ND/9846895</t>
  </si>
  <si>
    <t>Resistor 10ohm</t>
  </si>
  <si>
    <t>2019-RK73B1JTTD100JCT-ND</t>
  </si>
  <si>
    <t>RK73B1JTTD100J</t>
  </si>
  <si>
    <t>https://www.digikey.jp/product-detail/ja/koa-speer-electronics-inc/RK73B1JTTD100J/2019-RK73B1JTTD100JCT-ND/9846747</t>
  </si>
  <si>
    <t>Resistor 75ohm</t>
  </si>
  <si>
    <t>2019-RK73B1JTTD750JCT-ND</t>
  </si>
  <si>
    <t>RK73B1JTTD750J</t>
  </si>
  <si>
    <t>https://www.digikey.jp/product-detail/en/koa-speer-electronics-inc/RK73B1JTTD750J/2019-RK73B1JTTD750JCT-ND/9846793</t>
  </si>
  <si>
    <t>Resistor 0ohm</t>
  </si>
  <si>
    <t>2019-RK73Z1JRTTDCT-ND</t>
  </si>
  <si>
    <t>RK73Z1JRTTD</t>
  </si>
  <si>
    <t>https://www.digikey.jp/product-detail/en/koa-speer-electronics-inc/RK73Z1JRTTD/2019-RK73Z1JRTTDCT-ND/12156274</t>
  </si>
  <si>
    <t>Resistor 12.4kohm</t>
  </si>
  <si>
    <t>541-12.4KHCT-ND</t>
  </si>
  <si>
    <t>CRCW060312K4FKEA</t>
  </si>
  <si>
    <t>https://www.digikey.jp/product-detail/en/vishay-dale/CRCW060312K4FKEA/541-12-4KHCT-ND/1179934</t>
  </si>
  <si>
    <t>Resistor 1Mohm</t>
  </si>
  <si>
    <t>2019-RK73B1JTTD105JCT-ND</t>
  </si>
  <si>
    <t>RK73B1JTTD105J</t>
  </si>
  <si>
    <t>https://www.digikey.jp/products/ja/resistors/chip-resistor-surface-mount/52?k=&amp;pkeyword=&amp;sv=0&amp;pv2085=u1+MOhms&amp;sf=0&amp;FV=-8%7C52%2C-5%7C70122%2C-1%7C2019%2C2%7C14064%2C3%7C2503%2C5%7C316924%2C7%7C2%2C16%7C39246%2C17%7C1925%2C46%7C7802%2C174%7C411742%2C252%7C242934%2C707%7C312105%2Cii2%7C1127%2C1291%7C39245%2C1500%7C5314%2C1531%7C1%2C1989%7C0&amp;quantity=&amp;ColumnSort=0&amp;page=1&amp;pageSize=25</t>
  </si>
  <si>
    <t>Resistor 12kohm</t>
  </si>
  <si>
    <t>2019-RK73B1JTTD123JCT-ND</t>
  </si>
  <si>
    <t>RK73B1JTTD123J</t>
  </si>
  <si>
    <t>https://www.digikey.jp/products/ja/resistors/chip-resistor-surface-mount/52?k=&amp;pkeyword=&amp;sv=0&amp;pv2085=u12+kOhms&amp;sf=0&amp;FV=-8%7C52%2C-5%7C70122%2C-1%7C2019%2C2%7C14064%2C3%7C2503%2C5%7C316924%2C7%7C2%2C16%7C39246%2C17%7C1925%2C46%7C7802%2C174%7C411742%2C252%7C242934%2C707%7C312105%2Cii2%7C1127%2C1291%7C39245%2C1500%7C5314%2C1531%7C1%2C1989%7C0&amp;quantity=&amp;ColumnSort=0&amp;page=1&amp;pageSize=25</t>
  </si>
  <si>
    <t>Resistor 1kohm</t>
  </si>
  <si>
    <t>2019-RK73B1JTTD102JCT-ND</t>
  </si>
  <si>
    <t>RK73B1JTTD102J</t>
  </si>
  <si>
    <t>https://www.digikey.jp/product-detail/en/koa-speer-electronics-inc/RK73B1JTTD102J/2019-RK73B1JTTD102JCT-ND/9846742</t>
  </si>
  <si>
    <t>Resistor 47kohm</t>
  </si>
  <si>
    <t>2019-RK73B1JTTD473JCT-ND</t>
  </si>
  <si>
    <t>RK73B1JTTD473J</t>
  </si>
  <si>
    <t>https://www.digikey.jp/products/ja/resistors/chip-resistor-surface-mount/52?k=&amp;pkeyword=&amp;sv=0&amp;pv2085=u47+kOhms&amp;sf=0&amp;FV=-8%7C52%2C-5%7C70122%2C-1%7C2019%2C2%7C14064%2C3%7C2503%2C5%7C316924%2C7%7C2%2C16%7C39246%2C17%7C1925%2C46%7C7802%2C174%7C411742%2C252%7C242934%2C707%7C312105%2Cii2%7C1127%2C1291%7C39245%2C1500%7C5314%2C1531%7C1%2C1989%7C0&amp;quantity=&amp;ColumnSort=0&amp;page=1&amp;pageSize=25</t>
  </si>
  <si>
    <t>Resistor 4.7kohm</t>
  </si>
  <si>
    <t>2019-RK73B1JTTD472JCT-ND</t>
  </si>
  <si>
    <t>RK73B1JTTD472J</t>
  </si>
  <si>
    <t>https://www.digikey.jp/products/ja/resistors/chip-resistor-surface-mount/52?k=&amp;pkeyword=&amp;sv=0&amp;pv2085=u4.7+kOhms&amp;sf=0&amp;FV=-8%7C52%2C-5%7C70122%2C-1%7C2019%2C2%7C14064%2C3%7C2503%2C5%7C316924%2C7%7C2%2C16%7C39246%2C17%7C1925%2C46%7C7802%2C174%7C411742%2C252%7C242934%2C707%7C312105%2Cii2%7C1127%2C1291%7C39245%2C1500%7C5314%2C1531%7C1%2C1989%7C0&amp;quantity=&amp;ColumnSort=0&amp;page=1&amp;pageSize=25</t>
  </si>
  <si>
    <t>Resistor 150kohm</t>
  </si>
  <si>
    <t>2019-RK73B1JTTD154JCT-ND</t>
  </si>
  <si>
    <t>RK73B1JTTD154J</t>
  </si>
  <si>
    <t>https://www.digikey.jp/products/ja/resistors/chip-resistor-surface-mount/52?k=&amp;pkeyword=&amp;sv=0&amp;pv2085=u150+kOhms&amp;sf=0&amp;FV=-8%7C52%2C-5%7C70122%2C-1%7C2019%2C2%7C14064%2C3%7C2503%2C5%7C316924%2C7%7C2%2C16%7C39246%2C17%7C1925%2C46%7C7802%2C174%7C411742%2C252%7C242934%2C707%7C312105%2Cii2%7C1127%2C1291%7C39245%2C1500%7C5314%2C1531%7C1%2C1989%7C0&amp;quantity=&amp;ColumnSort=0&amp;page=1&amp;pageSize=25</t>
  </si>
  <si>
    <t>Resistor 33ohm</t>
  </si>
  <si>
    <t>2019-RK73B1JTTD330JCT-ND</t>
  </si>
  <si>
    <t>RK73B1JTTD330J</t>
  </si>
  <si>
    <t>https://www.digikey.jp/product-detail/ja/koa-speer-electronics-inc/RK73B1JTTD330J/2019-RK73B1JTTD330JCT-ND/9846754</t>
  </si>
  <si>
    <t>DDR2 SODIMM CONN</t>
  </si>
  <si>
    <t>200 position sodimm DDR2 SDRAM socket</t>
  </si>
  <si>
    <t>CAM HEATER CONN &amp; CAM TEMP SENSOR CONN</t>
  </si>
  <si>
    <t>2-PIN CONN</t>
  </si>
  <si>
    <t>MOLEX</t>
  </si>
  <si>
    <t>WM7620CT-ND</t>
  </si>
  <si>
    <t>https://www.digikey.jp/product-detail/en/molex/0532610271/WM7620CT-ND/699107</t>
  </si>
  <si>
    <t>MOSFET N-CH</t>
  </si>
  <si>
    <t>20V 10A</t>
  </si>
  <si>
    <t>Surface Mount UF6</t>
  </si>
  <si>
    <t>https://www.digikey.jp/product-detail/en/toshiba-semiconductor-and-storage/SSM6K411TU-TE85L-F/SSM6K411TU-TE85LFCT-ND/5298038</t>
  </si>
  <si>
    <t>IC LOW CUR SURGE STOPPER</t>
  </si>
  <si>
    <t>4 ~ 80V</t>
  </si>
  <si>
    <t>584-LTC4380HDD-1#PBF</t>
  </si>
  <si>
    <t>LTC4380HDD-1#PBF</t>
  </si>
  <si>
    <t>10-WFDFN</t>
  </si>
  <si>
    <t>https://www.mouser.jp/ProductDetail/Analog-Devices-Linear-Technology/LTC4380HDD-1PBF?qs=%2Fha2pyFaduhmnFRNUxLaSoZva3z4GUP0mvRp11w4G4FXKqqutuywJw79A8fbe3j3</t>
  </si>
  <si>
    <t>change from Digikey to Mouser</t>
  </si>
  <si>
    <t>IC OVERVOLTAGE PROT CONT</t>
  </si>
  <si>
    <t>2.5V ~ 80V</t>
  </si>
  <si>
    <t>8-WFDFN</t>
  </si>
  <si>
    <t>https://www.mouser.jp/ProductDetail/Analog-Devices-Linear-Technology/LTC4361IDC-2TRMPBF?qs=%2Fha2pyFaduhRHD2STwkwqrqCS4LMeLFy74nVaX1FKe4Lo55%2Foz%252BOjAtsUjBiOh5yGOUBpK5VhiA%3D</t>
  </si>
  <si>
    <t>MOLEX GPIO 2-PIN CAM SENSOR</t>
  </si>
  <si>
    <t>DISCRETE ETHERNET MAGNETICS</t>
  </si>
  <si>
    <t>1CT:1CT Audio Transformer</t>
  </si>
  <si>
    <t>RJ45 ETHERNET CONN</t>
  </si>
  <si>
    <t>90° Angle, Shielded Cat6a</t>
  </si>
  <si>
    <t>Stewart Connector</t>
  </si>
  <si>
    <t>380-1469-ND</t>
  </si>
  <si>
    <t>SS-60300-004</t>
  </si>
  <si>
    <t>https://www.digikey.jp/products/en?keywords=SS-60300-004</t>
  </si>
  <si>
    <t>INDUCTOR 600 Ohms @ 100MHz</t>
  </si>
  <si>
    <t>600 Ohms @ 100MHz</t>
  </si>
  <si>
    <t>TRANSISTOR NPN</t>
  </si>
  <si>
    <t>NPN - Pre-Biased 50V 100mA 200mW</t>
  </si>
  <si>
    <t>SC-75, SOT-416</t>
  </si>
  <si>
    <t>https://www.digikey.jp/product-detail/en/on-semiconductor/DTC144EET1G/DTC144EET1GOSCT-ND/917916</t>
  </si>
  <si>
    <t>CRYSTAL OSCILLATOR 25MHz</t>
  </si>
  <si>
    <t>25MHz ±30ppm Crystal 18pF 30 Ohms</t>
  </si>
  <si>
    <t>XC1671CT-ND</t>
  </si>
  <si>
    <t>ECS-250-18-23A-EN-TR</t>
  </si>
  <si>
    <t>https://www.digikey.jp/product-detail/en/ecs-inc/ECS-250-18-23A-EN-TR/XC1671CT-ND/2213823</t>
  </si>
  <si>
    <t>20V 630mA (Ta) 280mW (Ta)</t>
  </si>
  <si>
    <t>https://www.digikey.jp/product-detail/en/diodes-incorporated/DMG1012T-7/DMG1012T-7DICT-ND/2181232</t>
  </si>
  <si>
    <t>40V 12A (Ta) 2.5W (Ta)</t>
  </si>
  <si>
    <t>SSM6K514NULFCT-ND</t>
  </si>
  <si>
    <t>SSM6K514NU</t>
  </si>
  <si>
    <t>UDFN6B</t>
  </si>
  <si>
    <t>https://www.digikey.jp/product-detail/en/toshiba-semiconductor-and-storage/SSM6K514NU-LF/SSM6K514NULFCT-ND/6622766</t>
  </si>
  <si>
    <t>30-PIN CONN</t>
  </si>
  <si>
    <t>Right Angle 30 position</t>
  </si>
  <si>
    <t>4 x 2:1</t>
  </si>
  <si>
    <t>YELLOW LED</t>
  </si>
  <si>
    <t>Display-Discrete 2V</t>
  </si>
  <si>
    <t>Visual Communications Company-VCC</t>
  </si>
  <si>
    <t>L62507CT-ND</t>
  </si>
  <si>
    <t>CMD17-21VYD/TR8</t>
  </si>
  <si>
    <t>https://www.digikey.jp/product-detail/ja/visual-communications-company-vcc/CMD17-21VYD-TR8/L62507CT-ND/254935</t>
  </si>
  <si>
    <t>GREEN LED</t>
  </si>
  <si>
    <t>L62505CT-ND</t>
  </si>
  <si>
    <t>CMD17-21VGD/TR8</t>
  </si>
  <si>
    <t>https://www.digikey.jp/product-detail/ja/visual-communications-company-vcc/CMD17-21VGD-TR8/L62505CT-ND/254936</t>
  </si>
  <si>
    <t>ETHERNET IC</t>
  </si>
  <si>
    <t>Ethernet Bridge, USB to Ethernet USB 2.0</t>
  </si>
  <si>
    <t xml:space="preserve">Microchip Technology
</t>
  </si>
  <si>
    <t>64-VFQFN</t>
  </si>
  <si>
    <t>M12 8 PIN CONNECTOR X CODED HEADER</t>
  </si>
  <si>
    <t>8 Position Circular Connector Receptacle, Male Pins Solder Cup</t>
  </si>
  <si>
    <t>NorComp Inc.</t>
  </si>
  <si>
    <t>636-858-X08-103RLS4</t>
  </si>
  <si>
    <t>858-X08-103RLS4</t>
  </si>
  <si>
    <t>CONNECTOR</t>
  </si>
  <si>
    <t>https://www.mouser.jp/ProductDetail/NorComp/858-X08-103RLS4?qs=%2Fha2pyFaduhU3UdubYYxR3EvS0fF8DOVY0DkxljFEUQGsB22c4Ok1w%3D%3D</t>
  </si>
  <si>
    <t>out of stock in Digikey (2442yen/unit), so I will procure in Mouser (2455yen/unit)</t>
  </si>
  <si>
    <t>ETHERNET HEADER</t>
  </si>
  <si>
    <t>Plug Modular Connector 8p8c</t>
  </si>
  <si>
    <t>380-1192-ND</t>
  </si>
  <si>
    <t>940-SP-3088</t>
  </si>
  <si>
    <t>https://www.digikey.jp/product-detail/en/stewart-connector/940-SP-3088/380-1192-ND/1642361</t>
  </si>
  <si>
    <t>ETHERNET CABLE</t>
  </si>
  <si>
    <t>CAT5 FLEX 1M</t>
  </si>
  <si>
    <t>651-2744830</t>
  </si>
  <si>
    <t>CABLE</t>
  </si>
  <si>
    <t>https://www.mouser.jp/ProductDetail/Phoenix-Contact/2744830?qs=UXgszm6BlbHBFffPA5rNiw%3D%3D</t>
  </si>
  <si>
    <t>2-PIN CONNECTOR FEMALE HEATER AND TEMP SENSOR</t>
  </si>
  <si>
    <t>WM1720-ND</t>
  </si>
  <si>
    <t>https://www.digikey.jp/product-detail/en/molex/0510210200/WM1720-ND/242842</t>
  </si>
  <si>
    <t>2-PIN CONNECTOR FEMALE CAM SENSOR</t>
  </si>
  <si>
    <t>23-0510900200-ND</t>
  </si>
  <si>
    <t>https://www.digikey.jp/product-detail/en/molex/0510900200/23-0510900200-ND/1632891</t>
  </si>
  <si>
    <t>CONN RCPT USB2.0 TYPEA</t>
  </si>
  <si>
    <t>4 Position female</t>
  </si>
  <si>
    <t>609-4965-ND</t>
  </si>
  <si>
    <t>87520-1010BLF</t>
  </si>
  <si>
    <t>https://www.digikey.jp/product-detail/ja/amphenol-icc-fci/87520-1010BLF/609-4965-ND/1528160</t>
  </si>
  <si>
    <t>Capacitor 100pF</t>
  </si>
  <si>
    <t>SMD 0805</t>
  </si>
  <si>
    <t>399-9150-1-ND</t>
  </si>
  <si>
    <t>C0805C101K3GACTU</t>
  </si>
  <si>
    <t>https://www.digikey.jp/product-detail/ja/kemet/C0805C101K3GACTU/399-9150-1-ND/3522668</t>
  </si>
  <si>
    <t>Change the price/unit</t>
  </si>
  <si>
    <t>20 Position Receptacle Connector Through Hole</t>
  </si>
  <si>
    <t>CONN RCPT 20POS 0.1 TIN PCB</t>
  </si>
  <si>
    <t>SAM1086-10-ND</t>
  </si>
  <si>
    <t>CES-110-01-ND</t>
  </si>
  <si>
    <t>Backplane test bed</t>
  </si>
  <si>
    <t>https://www.digikey.jp/products/en?keywords=%09SAM1086-10-ND</t>
  </si>
  <si>
    <t>30 Position Receptacle Connector Through Hole</t>
  </si>
  <si>
    <t>CONN RCPT 30POS 0.1 TIN PCB</t>
  </si>
  <si>
    <t>SAM1086-15-ND</t>
  </si>
  <si>
    <t>CES-115-01-T-D</t>
  </si>
  <si>
    <t>https://www.digikey.jp/products/en?keywords=%09SAM1086-15-ND</t>
  </si>
  <si>
    <t>U.fl (umcc) connector receptacle</t>
  </si>
  <si>
    <t>https://www.digikey.jp/product-detail/ja/hirose-electric-co-ltd/U-FL-R-SMT-1-01/H122041-ND/3978494</t>
  </si>
  <si>
    <t>Coaxial Cable Assembly U.FL (UMCC) to U.FL (UMCC) Female to Female</t>
  </si>
  <si>
    <t>CBL ASSY U.FL PLUG-PLUG 1.969"</t>
  </si>
  <si>
    <t>H122288-ND</t>
  </si>
  <si>
    <t>U.FL-2LP-062N1D-AC-(50)</t>
  </si>
  <si>
    <t>https://www.digikey.jp/product-detail/ja/hirose-electric-co-ltd/U-FL-2LP-062N1D-AC-50/H122288-ND/4867030</t>
  </si>
  <si>
    <t>546 series dial tension gauge DTG</t>
  </si>
  <si>
    <t>Necmi</t>
  </si>
  <si>
    <t>Measurement range 0.1 ~ 1N accuracy ±0.5 scale Graduation 0.05N</t>
  </si>
  <si>
    <t>DTG</t>
  </si>
  <si>
    <t>DTG-100N</t>
  </si>
  <si>
    <t>stationary needle type</t>
  </si>
  <si>
    <t>https://www.monotaro.com/p/4058/9764/</t>
  </si>
  <si>
    <t>J-7-V22 rail switch</t>
  </si>
  <si>
    <t>Ultra-miniature basic rail switch J-7, roller and short lever type</t>
  </si>
  <si>
    <t xml:space="preserve">  Omron Electronics Inc-EMC Div</t>
  </si>
  <si>
    <t>control switch</t>
  </si>
  <si>
    <t>https://www.monotaro.com/p/3907/5452/?t.q=J-7-V22</t>
  </si>
  <si>
    <t>M8 8PIN GPIO HEADER</t>
  </si>
  <si>
    <t>M8 8 POS A CODED</t>
  </si>
  <si>
    <t>renhotecpro</t>
  </si>
  <si>
    <t xml:space="preserve">M8-08-A-P-2-S-L </t>
  </si>
  <si>
    <t>USD 31.50</t>
  </si>
  <si>
    <t>https://www.renhotecpro.com/product/m8-circular-connector-8pin-a-code-male-straight-no-shield-cable-solder-type-field-wireable-connector/#tab-id-3</t>
  </si>
  <si>
    <t>Payment by PayPal</t>
  </si>
  <si>
    <t>Kitsune Main Bus Programming Board</t>
  </si>
  <si>
    <t>MAIN BUS</t>
  </si>
  <si>
    <t>Kitsune Spatium2 Programming Board</t>
  </si>
  <si>
    <t>SPATIUM 2</t>
  </si>
  <si>
    <t>BIRDS-4 衛星局（アマチュア局）　免許申請料</t>
  </si>
  <si>
    <t>50W以下　アマチュア局　開設</t>
  </si>
  <si>
    <t>総務省（九州総合通信局）</t>
  </si>
  <si>
    <t>九州総合通信局</t>
  </si>
  <si>
    <t>GS, 8F</t>
  </si>
  <si>
    <t>https://www.tele.soumu.go.jp/j/ref/material/feestab/</t>
  </si>
  <si>
    <t>Backplane_EM2_MS</t>
  </si>
  <si>
    <t>Kitsune ADCS adapter board EM</t>
  </si>
  <si>
    <t>PCB (80mmx82mm)</t>
  </si>
  <si>
    <t>ADCS dummy  front panel</t>
  </si>
  <si>
    <t>MVBLK-ASN-JPA2ATR7L111AB</t>
  </si>
  <si>
    <t>STR analysis</t>
  </si>
  <si>
    <t>https://meviy.misumi-ec.com/</t>
  </si>
  <si>
    <t>ADCS dummy  left panel</t>
  </si>
  <si>
    <t>MVBLK-ASN-JPA2ATL0K111AB</t>
  </si>
  <si>
    <t>ADCS dummy  right panel</t>
  </si>
  <si>
    <t>MVBLK-ASN-JPA2ATN0U111AB</t>
  </si>
  <si>
    <t>ADCS dummy top plate</t>
  </si>
  <si>
    <t>MVBLK-ASN-JPA2ATK4B111AB</t>
  </si>
  <si>
    <t>ADCS dummy back plate</t>
  </si>
  <si>
    <t>MVBLK-ASN-JPA2AT8ZZ111AB</t>
  </si>
  <si>
    <t>ADCS dummy bottom plate</t>
  </si>
  <si>
    <t>MVBLK-ASN-JPA2ATX48111AB</t>
  </si>
  <si>
    <t>CPLD software license subscription</t>
  </si>
  <si>
    <t xml:space="preserve">Development Software ispLEVER Classic 12-month Subscription License
</t>
  </si>
  <si>
    <t>USD590.78</t>
  </si>
  <si>
    <t>laptop</t>
  </si>
  <si>
    <t>https://www.latticestore.com/products/tabid/417/searchid/1/searchvalue/lsc-sw-isplever/default.aspx</t>
  </si>
  <si>
    <t>KITSUNE -+Y panel (EM)</t>
  </si>
  <si>
    <t>4層基板　SMAコネクタとチップ抵抗のみ実装依頼</t>
  </si>
  <si>
    <t>KITSUNE -Y panel (EM)</t>
  </si>
  <si>
    <t>KITSUNE -+Xa panel (EM)</t>
  </si>
  <si>
    <t>KITSUNE -Xa panel (EM)</t>
  </si>
  <si>
    <t>KITSUNE -Xb panel (EM)</t>
  </si>
  <si>
    <t>2層基板　基板製造のみ</t>
  </si>
  <si>
    <t xml:space="preserve">B4S Rear access board </t>
  </si>
  <si>
    <t>5 pcs FR-4 PCB 4 layer</t>
  </si>
  <si>
    <t>BIRDS 4S</t>
  </si>
  <si>
    <t>3F SVBL</t>
  </si>
  <si>
    <t>B4S Mission board 2</t>
  </si>
  <si>
    <t>B4S Mission board 1</t>
  </si>
  <si>
    <t>B4S Backplane board</t>
  </si>
  <si>
    <t>5 pcs FR-4 PCB 6 layer</t>
  </si>
  <si>
    <t>B4S Antenna panel board</t>
  </si>
  <si>
    <t>antenna panel</t>
  </si>
  <si>
    <t>String wire</t>
  </si>
  <si>
    <t>ハンターロック　８号</t>
  </si>
  <si>
    <t>https://www.tackleberry.co.jp/shop-detail/32143751/</t>
  </si>
  <si>
    <t>PEEK材</t>
  </si>
  <si>
    <t>150mm x 100mm x 8mm</t>
  </si>
  <si>
    <t>antenna</t>
  </si>
  <si>
    <t>https://jp.misumi-ec.com/vona2/detail/110302696950/?KWSearch=PEEK&amp;searchFlow=results2products</t>
  </si>
  <si>
    <t>レギュラーサイズ</t>
  </si>
  <si>
    <t>ソロエルアリーナ</t>
  </si>
  <si>
    <t>https://solution.soloel.com/buyer/view/a910/DAD02010.html?te-uniquekey=172fea0d36e</t>
  </si>
  <si>
    <t>uFLコネクタ　同軸ケーブル</t>
  </si>
  <si>
    <t>外径0.81mm 200mm</t>
  </si>
  <si>
    <t>https://www.digikey.jp/product-detail/ja/hirose-electric-co-ltd/U-FL-2LPHF6-04N1TV-A-200/26-U-FL-2LPHF6-04N1TV-A-200-ND/11688948</t>
  </si>
  <si>
    <t>uFLコネクタ</t>
  </si>
  <si>
    <t>https://www.digikey.jp/product-detail/ja/hirose-electric-co-ltd/U.FL-R-SMT-1(10)/H11891CT-ND/2504612?utm_adgroup=Coaxial%20Connectors%20%28RF%29&amp;utm_source=google&amp;utm_medium=cpc&amp;utm_campaign=Shopping_Product_Connectors%2C%20Interconnects_NEW&amp;utm_term=&amp;productid=2504612&amp;gclid=Cj0KCQjwoub3BRC6ARIsABGhnyZpC5Sc8FxHpAadYNMI5rIQdpl28uqNmfCqIPaJSgm16WkepQyrQS4aAqOIEALw_wcB</t>
  </si>
  <si>
    <t>アルミパイプ</t>
  </si>
  <si>
    <t>Φ2.1mm 内径1.5mm</t>
  </si>
  <si>
    <t>https://www.monotaro.com/p/4035/6477/?t.q=%83A%83%8B%83%7E%83p%83C%83v</t>
  </si>
  <si>
    <t>急速硬化タイプ</t>
  </si>
  <si>
    <t>https://www.monotaro.com/g/00260582/?t.q=%83A%83%89%83%8B%83_%83C%83g</t>
  </si>
  <si>
    <t>トーションスプリング</t>
  </si>
  <si>
    <t>3x0.3mm/5巻/135°トーションバネ(左右各1)</t>
  </si>
  <si>
    <t>https://www.monotaro.com/g/02454980/?t.q=%83g%81%5B%83V%83%87%83%93%82%CE%82%CB%81%40%8D%B6%89E</t>
  </si>
  <si>
    <t>100uFセラミックコンデンサ</t>
  </si>
  <si>
    <t>100uF 6.3V 2012</t>
  </si>
  <si>
    <t>村田製作所</t>
  </si>
  <si>
    <t>antenna(TEC)</t>
  </si>
  <si>
    <t>https://jp.misumi-ec.com/vona2/detail/222005595099/?HissuCode=GRM21BR60G107ME15L</t>
  </si>
  <si>
    <t>Socket Head Cap Screw for Precison Instruments</t>
  </si>
  <si>
    <t>M1.6 L5 SUS</t>
  </si>
  <si>
    <t>STRUCTURE</t>
  </si>
  <si>
    <t>https://jp.misumi-ec.com/vona2/detail/221000348314/?CategorySpec=00000238958%3a%3amig00000002491693%0900000239159%3a%3amig00000002491674%0900000237540%3a%3aa</t>
  </si>
  <si>
    <t>Socket Head Cap Screw / Small Head</t>
  </si>
  <si>
    <t>M2 L4 SUS</t>
  </si>
  <si>
    <t>https://jp.misumi-ec.com/vona2/detail/221006493827/?HissuCode=SNSS-M2-4-SD&amp;PNSearch=SNSS-M2-4-SD&amp;KWSearch=SNSS-M2-4-SD&amp;searchFlow=results2products</t>
  </si>
  <si>
    <t>M2 L5 SUS</t>
  </si>
  <si>
    <t>SNSS-M2-5-SD</t>
  </si>
  <si>
    <t>https://jp.misumi-ec.com/vona2/detail/221006493827/?HissuCode=SNSS-M2-5-SD&amp;PNSearch=SNSS-M2-5-SD&amp;KWSearch=SNSS-M2-5-SD&amp;searchFlow=results2products</t>
  </si>
  <si>
    <t>M2 L6 SUS</t>
  </si>
  <si>
    <t>Socket Head Cap Screw / Special Low Head</t>
  </si>
  <si>
    <t>SSH-M2-6-EL</t>
  </si>
  <si>
    <t>https://jp.misumi-ec.com/vona2/detail/221000349089/?HissuCode=SSH-M2X6-EL</t>
  </si>
  <si>
    <t>Socket Head Cap Screw - Special Low Profile</t>
  </si>
  <si>
    <t>M2 L8 SUS</t>
  </si>
  <si>
    <t>M3 L12 SUS</t>
  </si>
  <si>
    <t>SNSS-M3-12-SD</t>
  </si>
  <si>
    <t>https://jp.misumi-ec.com/vona2/detail/221006451012/?PNSearch=SNSS-M3X12-SD&amp;HissuCode=SNSS-M3X12-SD&amp;searchFlow=suggest2products&amp;Keyword=SNSS-M3X12-SD&amp;isReSearch=1</t>
  </si>
  <si>
    <t>M3 L6 SUS</t>
  </si>
  <si>
    <t>SSH-M3-6-EL</t>
  </si>
  <si>
    <t>https://jp.misumi-ec.com/vona2/detail/221000349089/?HissuCode=SSH-M3X6-EL</t>
  </si>
  <si>
    <t>M3 L8 SUS</t>
  </si>
  <si>
    <t>SSH-M3-8-EL</t>
  </si>
  <si>
    <t>https://jp.misumi-ec.com/vona2/detail/221000349089/?HissuCode=SSH-M3X8-EL</t>
  </si>
  <si>
    <t>SSH-M3-6</t>
  </si>
  <si>
    <t>https://jp.misumi-ec.com/vona2/detail/221000349089/?HissuCode=SSH-M3X6&amp;PNSearch=SSH-M3X6&amp;KWSearch=SSH-M3x6&amp;searchFlow=results2products</t>
  </si>
  <si>
    <t>M3 L10 SUS</t>
  </si>
  <si>
    <t>SSHS-M3-10</t>
  </si>
  <si>
    <t>https://jp.misumi-ec.com/vona2/detail/221000349089/?HissuCode=SSHS-M3X10&amp;PNSearch=SSHS-M3X10&amp;KWSearch=SSHS-M3X10&amp;searchFlow=results2products</t>
  </si>
  <si>
    <t>Socket Head Cap Screw</t>
  </si>
  <si>
    <t>SNSL-M3-6</t>
  </si>
  <si>
    <t>https://jp.misumi-ec.com/vona2/detail/221006451056/?PNSearch=SNSL-M3X6&amp;HissuCode=SNSL-M3X6&amp;searchFlow=suggest2products&amp;Keyword=SNSL-M3X6</t>
  </si>
  <si>
    <t>SNSL-M3-10</t>
  </si>
  <si>
    <t>https://jp.misumi-ec.com/vona2/detail/221006451056/?HissuCode=SNSL-M3X10&amp;PNSearch=SNSL-M3X10&amp;KWSearch=SNSL-M3X10&amp;searchFlow=results2products</t>
  </si>
  <si>
    <t>M3 L16 SUS</t>
  </si>
  <si>
    <t>SNSL-M3-16</t>
  </si>
  <si>
    <t>https://jp.misumi-ec.com/vona2/detail/221006451056/?HissuCode=SNSL-M3X16&amp;PNSearch=SNSL-M3X16&amp;KWSearch=SNSL-M3X16&amp;searchFlow=results2products</t>
  </si>
  <si>
    <t>High Intensity Stainless Steel Socket Head Cap Screw</t>
  </si>
  <si>
    <t>M3 L15 SUS</t>
  </si>
  <si>
    <t>SNSLG-M3-15</t>
  </si>
  <si>
    <t>https://jp.misumi-ec.com/vona2/detail/221006495032/?PNSearch=SNSLG-M3-15&amp;HissuCode=SNSLG-M3-15&amp;searchFlow=suggest2products&amp;Keyword=SNSLG-M3-15</t>
  </si>
  <si>
    <t>Socket Head Cap Screw / Low Head</t>
  </si>
  <si>
    <t>SLHS-M3-10</t>
  </si>
  <si>
    <t>https://jp.misumi-ec.com/vona2/detail/221000237669/?PNSearch=SLHS-M3X10&amp;HissuCode=SLHS-M3X10&amp;searchFlow=suggest2products&amp;Keyword=SLHS-M3X10</t>
  </si>
  <si>
    <t>M1.6 SUS</t>
  </si>
  <si>
    <t>SHNS-M1.6</t>
  </si>
  <si>
    <t>https://jp.misumi-ec.com/vona2/detail/221006493726/?CategorySpec=00000217009%3a%3amig00000002613646%0900000217129%3a%3ab</t>
  </si>
  <si>
    <t>M2 SUS</t>
  </si>
  <si>
    <t>https://jp.misumi-ec.com/vona2/detail/221006493726/?rid=c14_keywsrchview_1_221006493726</t>
  </si>
  <si>
    <t>https://jp.misumi-ec.com/vona2/detail/110302280540/?HissuCode=CBSTSR2-5&amp;PNSearch=CBSTSR2-5&amp;KWSearch=CBSTSR2-5&amp;searchFlow=results2products</t>
  </si>
  <si>
    <t>M2 L10 SUS</t>
  </si>
  <si>
    <t>CBSTSR2-10</t>
  </si>
  <si>
    <t>https://jp.misumi-ec.com/vona2/detail/110302280540/?HissuCode=CBSTSR2-10&amp;PNSearch=CBSTSR2-10&amp;KWSearch=CBSTSR2-10&amp;searchFlow=results2products</t>
  </si>
  <si>
    <t>M3 L4 SUS</t>
  </si>
  <si>
    <t>CBSTSR3-4</t>
  </si>
  <si>
    <t>https://jp.misumi-ec.com/vona2/detail/110302280540/?HissuCode=CBSTSR3-4&amp;PNSearch=CBSTSR3-4&amp;KWSearch=CBSTSR3-4&amp;searchFlow=results2products</t>
  </si>
  <si>
    <t>CBSTSR3-6</t>
  </si>
  <si>
    <t>https://jp.misumi-ec.com/vona2/detail/110302280540/?HissuCode=CBSTSR3-6&amp;PNSearch=CBSTSR3-6&amp;KWSearch=CBSTSR3-6&amp;searchFlow=results2products</t>
  </si>
  <si>
    <t>CBSTSR3-8</t>
  </si>
  <si>
    <t>https://jp.misumi-ec.com/vona2/detail/110302280540/?HissuCode=CBSTSR3-8&amp;PNSearch=CBSTSR3-8&amp;KWSearch=CBSTSR3-8&amp;searchFlow=results2products</t>
  </si>
  <si>
    <t>M2 L7 SCM</t>
  </si>
  <si>
    <t>CSH-ST-M2-7</t>
  </si>
  <si>
    <t>https://jp.misumi-ec.com/vona2/detail/221000551286/?HissuCode=CSH-ST-M2-7&amp;PNSearch=CSH-ST-M2-7&amp;KWSearch=CSH-ST-M2-7&amp;searchFlow=results2products</t>
  </si>
  <si>
    <t>SCB2-8</t>
  </si>
  <si>
    <t>https://jp.misumi-ec.com/vona2/detail/110300239250/?HissuCode=SCB2-8&amp;PNSearch=SCB2-8&amp;KWSearch=SCB2-8&amp;searchFlow=results2products</t>
  </si>
  <si>
    <t>SCB3-8</t>
  </si>
  <si>
    <t>https://jp.misumi-ec.com/vona2/detail/110300239250/?HissuCode=SCB3-8&amp;PNSearch=SCB3-8&amp;KWSearch=SCB3-8&amp;searchFlow=results2products</t>
  </si>
  <si>
    <t>M3 L14 SUS</t>
  </si>
  <si>
    <t>SCB3-14</t>
  </si>
  <si>
    <t>https://jp.misumi-ec.com/vona2/detail/110300239250/?HissuCode=SCB3-14&amp;PNSearch=SCB3-14&amp;KWSearch=SCB3-14&amp;searchFlow=results2products</t>
  </si>
  <si>
    <t>Hexagon socket head set screw</t>
  </si>
  <si>
    <t>M2 L16 SUS</t>
  </si>
  <si>
    <t>SSHC-SUS-M2-16</t>
  </si>
  <si>
    <t>https://jp.misumi-ec.com/vona2/detail/221000551534/?HissuCode=SSHC-SUS-M2-16&amp;PNSearch=SSHC-SUS-M2-16&amp;KWSearch=SSHC-SUS-M2-16&amp;searchFlow=results2products</t>
  </si>
  <si>
    <t>外径6mm L3 M3タップ SUS</t>
  </si>
  <si>
    <t>TWTAS6-3-3</t>
  </si>
  <si>
    <t>https://jp.misumi-ec.com/vona2/detail/110300232520/?HissuCode=TWTAS6-3-3&amp;PNSearch=TWTAS6-3-3&amp;KWSearch=TWTAS6-3-3&amp;searchFlow=results2products</t>
  </si>
  <si>
    <t>Rod</t>
  </si>
  <si>
    <t>M3 L32 SUS</t>
  </si>
  <si>
    <t>FABS3-32</t>
  </si>
  <si>
    <t>https://jp.misumi-ec.com/vona2/detail/110302679630/?CategorySpec=00000216954%3a%3amig00000002481702%0900000216911%3a%3a32%2cmig00000002480102</t>
  </si>
  <si>
    <t>M3 L235 SUS</t>
  </si>
  <si>
    <t>HIROSUGI</t>
  </si>
  <si>
    <t>ERU-3235A</t>
  </si>
  <si>
    <t>https://jp.misumi-ec.com/vona2/detail/221006307988/?HissuCode=ERU-3235A</t>
  </si>
  <si>
    <t>内径1.7 t0.5 POM</t>
  </si>
  <si>
    <t>CC-1704-05</t>
  </si>
  <si>
    <t>https://jp.misumi-ec.com/vona2/detail/221006204759/?HissuCode=CC-1704-05&amp;PNSearch=CC-1704-05&amp;KWSearch=CC-1704-05&amp;searchFlow=results2products</t>
  </si>
  <si>
    <t>内径2.8 t0.5 POM</t>
  </si>
  <si>
    <t>CC-2605-05</t>
  </si>
  <si>
    <t>https://jp.misumi-ec.com/vona2/detail/221006204759/?HissuCode=CC-2605-05&amp;PNSearch=CC-2605-05&amp;KWSearch=CC-2605-05&amp;searchFlow=results2products</t>
  </si>
  <si>
    <t>ASU-315</t>
  </si>
  <si>
    <t>https://jp.misumi-ec.com/vona2/detail/221006202421/?CategorySpec=00000229506%3a%3aa%0900000228850%3a%3amig00000002491038%0900000228545%3a%3ab</t>
  </si>
  <si>
    <t>BSU-315H</t>
  </si>
  <si>
    <t>https://jp.misumi-ec.com/vona2/detail/221006202432/?HissuCode=BSU-315H&amp;PNSearch=BSU-315H&amp;KWSearch=BSU-315H&amp;searchFlow=results2products</t>
  </si>
  <si>
    <t>外径6mm 内径3.2mm L1 POM</t>
  </si>
  <si>
    <t>C-301</t>
  </si>
  <si>
    <t>https://jp.misumi-ec.com/vona2/detail/221006204478/?HissuCode=C-301&amp;PNSearch=C-301&amp;KWSearch=C-301&amp;searchFlow=results2products</t>
  </si>
  <si>
    <t>外径6mm 内径3.2mm L2 POM</t>
  </si>
  <si>
    <t>C-302</t>
  </si>
  <si>
    <t>https://jp.misumi-ec.com/vona2/detail/221006204478/?HissuCode=C-302&amp;PNSearch=C-302&amp;KWSearch=C-302&amp;searchFlow=results2products</t>
  </si>
  <si>
    <t>外径6mm 内径3.2mm L3 POM</t>
  </si>
  <si>
    <t>C-303</t>
  </si>
  <si>
    <t>https://jp.misumi-ec.com/vona2/detail/221006204478/?HissuCode=C-303&amp;PNSearch=C-303&amp;KWSearch=C-303&amp;searchFlow=results2products</t>
  </si>
  <si>
    <t>外径6mm 内径3.2mm L5 POM</t>
  </si>
  <si>
    <t>https://jp.misumi-ec.com/vona2/detail/221006204478/?HissuCode=C-305&amp;PNSearch=C-305&amp;KWSearch=C-305&amp;searchFlow=results2products</t>
  </si>
  <si>
    <t>外径6mm 内径3.2mm L6 POM</t>
  </si>
  <si>
    <t>C-306</t>
  </si>
  <si>
    <t>https://jp.misumi-ec.com/vona2/detail/221006204478/?HissuCode=C-306&amp;PNSearch=C-306&amp;KWSearch=C-306&amp;searchFlow=results2products</t>
  </si>
  <si>
    <t>外径6mm 内径3.2mm L7 POM</t>
  </si>
  <si>
    <t>C-307</t>
  </si>
  <si>
    <t>https://jp.misumi-ec.com/vona2/detail/221006204478/?HissuCode=C-307&amp;PNSearch=C-307&amp;KWSearch=C-307&amp;searchFlow=results2products</t>
  </si>
  <si>
    <t>外径6mm 内径3.2mm L8 POM</t>
  </si>
  <si>
    <t>C-308</t>
  </si>
  <si>
    <t>https://jp.misumi-ec.com/vona2/detail/221006204478/?HissuCode=C-308&amp;PNSearch=C-308&amp;KWSearch=C-308&amp;searchFlow=results2products</t>
  </si>
  <si>
    <t>外径6mm 内径3.2mm L12 POM</t>
  </si>
  <si>
    <t>C-312</t>
  </si>
  <si>
    <t>https://jp.misumi-ec.com/vona2/detail/221006204478/?HissuCode=C-312&amp;PNSearch=C-312&amp;KWSearch=C-312&amp;searchFlow=results2products</t>
  </si>
  <si>
    <t>外径6mm 内径3.2mm L16 POM</t>
  </si>
  <si>
    <t>C-316</t>
  </si>
  <si>
    <t>https://jp.misumi-ec.com/vona2/detail/221006204478/?HissuCode=C-316&amp;PNSearch=C-316&amp;KWSearch=C-316&amp;searchFlow=results2products</t>
  </si>
  <si>
    <t>外径6mm 内径3.2mm L17 POM</t>
  </si>
  <si>
    <t>C-317</t>
  </si>
  <si>
    <t>https://jp.misumi-ec.com/vona2/detail/221006204478/?HissuCode=C-317&amp;PNSearch=C-317&amp;KWSearch=C-317&amp;searchFlow=results2products</t>
  </si>
  <si>
    <t>外径6mm 内径3.2mm L18 POM</t>
  </si>
  <si>
    <t>C-318</t>
  </si>
  <si>
    <t>https://jp.misumi-ec.com/vona2/detail/221006204478/?HissuCode=C-318&amp;PNSearch=C-318&amp;KWSearch=C-318&amp;searchFlow=results2products</t>
  </si>
  <si>
    <t>外径6mm 内径3.2mm L23 POM</t>
  </si>
  <si>
    <t>C-323</t>
  </si>
  <si>
    <t>https://jp.misumi-ec.com/vona2/detail/221006204478/?HissuCode=C-323&amp;PNSearch=C-323&amp;KWSearch=C-323&amp;searchFlow=results2products</t>
  </si>
  <si>
    <t>外径5mm 内径2.2mm L2.5 POM</t>
  </si>
  <si>
    <t>C-2002.5</t>
  </si>
  <si>
    <t>https://jp.misumi-ec.com/vona2/detail/221006204478/?HissuCode=C-2002.5&amp;PNSearch=C-2002.5&amp;KWSearch=C-2002.5&amp;searchFlow=results2products</t>
  </si>
  <si>
    <t>外径5mm 内径2.2mm L3 POM</t>
  </si>
  <si>
    <t>C-2003</t>
  </si>
  <si>
    <t>https://jp.misumi-ec.com/vona2/detail/221006204478/?HissuCode=C-2003&amp;PNSearch=C-2003&amp;KWSearch=C-2003&amp;searchFlow=results2products</t>
  </si>
  <si>
    <t>外径5mm 内径2.2mm L6 POM</t>
  </si>
  <si>
    <t>C-2006</t>
  </si>
  <si>
    <t>https://jp.misumi-ec.com/vona2/detail/221006204478/?HissuCode=C-2006&amp;PNSearch=C-2006&amp;KWSearch=C-2006&amp;searchFlow=results2products</t>
  </si>
  <si>
    <t>CONN SOCKET 30POS 1.25MM CRIMP</t>
  </si>
  <si>
    <t>30 pos 0.049" (1.25mm)</t>
  </si>
  <si>
    <t>798-DF14-30S-1.25C</t>
  </si>
  <si>
    <t>DF14-30S-1.25C</t>
  </si>
  <si>
    <t>https://www.mouser.jp/ProductDetail/Hirose-Connector/DF14-30S-125C?qs=%2Fha2pyFadujJHDByw7DO9QMG5tWWHVHL8CI3%2FBogsmX9l5ibRyBvxQ%3D%3D</t>
  </si>
  <si>
    <t>CONN SOCKET 26-28AWG CRIMP TIN</t>
  </si>
  <si>
    <t>Tin 26-28 AWG Crimp</t>
  </si>
  <si>
    <t>798-DF14-2628SCF</t>
  </si>
  <si>
    <t>DF14-2628SCF</t>
  </si>
  <si>
    <t>Headers &amp; Wire Housings</t>
  </si>
  <si>
    <t>https://www.mouser.jp/ProductDetail/Hirose-Connector/DF14-2628SCF?qs=zOgoZG1CgI9e5169erfJug%3D%3D</t>
  </si>
  <si>
    <t>CONN SOCKET 2POS 1.25MM CRIMP</t>
  </si>
  <si>
    <t>2 pos 0.049" (1.25mm)</t>
  </si>
  <si>
    <t>798-DF14-2S-1.25C</t>
  </si>
  <si>
    <t>DF14-2S-1.25C</t>
  </si>
  <si>
    <t>BACKPLANE</t>
  </si>
  <si>
    <t>https://www.mouser.jp/ProductDetail/Hirose-Connector/DF14-2S-125C?qs=%2Fha2pyFaduiLxnqwUn7BSs1j8uBcPj0srwHg8yJlIVMrT5K9Q2DlLg%3D%3D</t>
  </si>
  <si>
    <t>HOOK-UP WIRE 26AWG 7/34 MPPE 100ft</t>
  </si>
  <si>
    <t>26AWG 7/34 MPPE 100ft</t>
  </si>
  <si>
    <t xml:space="preserve">Alpha Wire
</t>
  </si>
  <si>
    <t>602-6711-100-01</t>
  </si>
  <si>
    <t>6711 WH005</t>
  </si>
  <si>
    <t>Wire</t>
  </si>
  <si>
    <t>https://www.mouser.jp/ProductDetail/Alpha-Wire/6711-WH005?qs=%2Fha2pyFaduj3tGzlOpYRamhlDrwp3v%2FVuvpoIpcEwEk%3D</t>
  </si>
  <si>
    <t>TIP REPLACEMENT 0.25MM FOR WS</t>
  </si>
  <si>
    <t>IRON TIP 0.25MM</t>
  </si>
  <si>
    <t>T0054443599N-ND</t>
  </si>
  <si>
    <t>T0054443599N</t>
  </si>
  <si>
    <t>IRON TIP</t>
  </si>
  <si>
    <t>KITSUNE ROOM</t>
  </si>
  <si>
    <t>https://www.digikey.jp/product-detail/en/apex-tool-group/T0054443599N/T0054443599N-ND/267991</t>
  </si>
  <si>
    <t>TIP REPLACEMENT 0.8MM FOR WS</t>
  </si>
  <si>
    <t>IRON TIP 0.8MM</t>
  </si>
  <si>
    <t>T0054443799N-ND</t>
  </si>
  <si>
    <t>T0054443799N</t>
  </si>
  <si>
    <t>https://www.digikey.jp/product-detail/en/apex-tool-group/T0054443799N/T0054443799N-ND/267992</t>
  </si>
  <si>
    <t>使い切りプラスチック手袋Ｍ</t>
  </si>
  <si>
    <t>「現場のチカラ」　使いきりプラスチック手袋　M　粉なし　ホワイト　1箱（100枚入）　アスクル</t>
  </si>
  <si>
    <t xml:space="preserve">AK2123M </t>
  </si>
  <si>
    <t>KITSUME/BIRDS</t>
  </si>
  <si>
    <t>crean room</t>
  </si>
  <si>
    <t>https://www.askul.co.jp/p/9665143/</t>
  </si>
  <si>
    <t>使い切りプラスチック手袋Ｌ</t>
  </si>
  <si>
    <t>「現場のチカラ」　使いきりプラスチック手袋　L　粉なし　ホワイト　1箱（100枚入）　アスクル</t>
  </si>
  <si>
    <t>https://www.askul.co.jp/p/9665152/</t>
  </si>
  <si>
    <t>エレクトネット帽　Ｍ</t>
  </si>
  <si>
    <t>4797600エレクトネット帽（20枚入） M ホワイト EL-402W 日本メディカルプロダクツ（取寄品）</t>
  </si>
  <si>
    <t>信和</t>
  </si>
  <si>
    <t xml:space="preserve">P212709 </t>
  </si>
  <si>
    <t xml:space="preserve">EL-402W </t>
  </si>
  <si>
    <t>https://www.askul.co.jp/p/P212709/</t>
  </si>
  <si>
    <t>エレクトネット帽　Ｌ</t>
  </si>
  <si>
    <t>4797700エレクトネット帽（20枚入） L ホワイト EL-402W 日本メディカルプロダクツ（取寄品）</t>
  </si>
  <si>
    <t xml:space="preserve">P216296 </t>
  </si>
  <si>
    <t>EL-402W</t>
  </si>
  <si>
    <t>240Ω 1005size chip resistor</t>
  </si>
  <si>
    <t>RK73H1ETTP2400F</t>
  </si>
  <si>
    <t>https://jp.misumi-ec.com/vona2/detail/222005903407/?HissuCode=RK73H1ETTP2400F&amp;PNSearch=RK73H1ETTP2400F&amp;KWSearch=RK73H1ETTP2400F&amp;searchFlow=results2products</t>
  </si>
  <si>
    <t>厚さ2mm、長さ300mm、幅225mm</t>
  </si>
  <si>
    <t>光</t>
  </si>
  <si>
    <t>MU2022</t>
  </si>
  <si>
    <t>Mobile GS</t>
  </si>
  <si>
    <t>https://jp.misumi-ec.com/vona2/detail/221005172808/?HissuCode=MU2022</t>
  </si>
  <si>
    <t>ラベルシール（屋外用）</t>
  </si>
  <si>
    <t>A4 10シート</t>
  </si>
  <si>
    <t>エーワン</t>
  </si>
  <si>
    <t>https://www.askul.co.jp/p/310952/</t>
  </si>
  <si>
    <t>ニクロム線(0.2mm)</t>
  </si>
  <si>
    <t>ニクロム線(ニッケルクロム1種) 0.2mm×5m(±2%)</t>
  </si>
  <si>
    <t>NCHW1-0.2MM-L5</t>
  </si>
  <si>
    <t>https://www.marutsu.co.jp/pc/i/223384/</t>
  </si>
  <si>
    <t>ニクロム線(0.32mm)</t>
  </si>
  <si>
    <t>ニクロム線(ニッケルクロム1種) 0.32mm×5m(±2%)</t>
  </si>
  <si>
    <t>NCHW1-0.32MM-L5</t>
  </si>
  <si>
    <t>https://www.marutsu.co.jp/pc/i/223385/</t>
  </si>
  <si>
    <t>ニクロム線(0.4mm)</t>
  </si>
  <si>
    <t>ニクロム線(ニッケルクロム1種) 0.4mm×5m(±2%)</t>
  </si>
  <si>
    <t>NCHW1-0.4MM-L5</t>
  </si>
  <si>
    <t>https://www.marutsu.co.jp/pc/i/223386/</t>
  </si>
  <si>
    <t>ニクロム線(0.5mm)</t>
  </si>
  <si>
    <t>ニクロム線(ニッケルクロム1種) 0.5mm×5m(±2%)</t>
  </si>
  <si>
    <t>ニクロム線(0.6mm)</t>
  </si>
  <si>
    <t>ニクロム線(ニッケルクロム1種) 0.6mm×5m(±2%)</t>
  </si>
  <si>
    <t>NCHW1-0.6MM-L5</t>
  </si>
  <si>
    <t>https://www.marutsu.co.jp/pc/i/223388/</t>
  </si>
  <si>
    <t>240mm x 340mm (A4)</t>
  </si>
  <si>
    <t>100mm x 140mm (B7)</t>
  </si>
  <si>
    <t>https://www.askul.co.jp/p/9445589/?int_id=recom_DtTogether</t>
  </si>
  <si>
    <t>アスクル　チャック袋　0.04mm厚 B6</t>
  </si>
  <si>
    <t>140mm×200mm (B6)</t>
  </si>
  <si>
    <t>https://www.askul.co.jp/p/9445598/?int_id=recom_DtTogether</t>
  </si>
  <si>
    <t>N channel dual MOSFET</t>
  </si>
  <si>
    <t>Si7220dn, Si7232dn</t>
  </si>
  <si>
    <t>SI7220DN-T1-E3CT-ND, SI7232DN-T1-GE3CT-ND</t>
  </si>
  <si>
    <t>SI7220DN-T1-EC, SI7232DN-T1-GE3</t>
  </si>
  <si>
    <t>Powerpack 1212-8</t>
  </si>
  <si>
    <t>https://www.digikey.jp/product-detail/en/vishay-siliconix/SI7220DN-T1-E3/SI7220DN-T1-E3CT-ND/1657096
https://www.digikey.com/product-detail/en/vishay-siliconix/SI7232DN-T1-GE3/SI7232DN-T1-GE3CT-ND/2442041</t>
  </si>
  <si>
    <t>Credit card</t>
  </si>
  <si>
    <t>MMCX RIGHT ANGLE PLUG, CRIMP TYP</t>
  </si>
  <si>
    <t>MMCX Connector Plug, Male Pin 50Ohm Free Hanging (In-Line), Right Angle Crimp</t>
  </si>
  <si>
    <t>732-14162-ND</t>
  </si>
  <si>
    <t>https://www.digikey.jp/product-detail/en/w%C3%BCrth-elektronik/66036011210420/732-14162-ND/10281362</t>
  </si>
  <si>
    <t>CONN SMA PLUG STR 50 OHM SOLDER</t>
  </si>
  <si>
    <t>SMA Connector Plug, Male Pin 50Ohm Free Hanging (In-Line) Solder</t>
  </si>
  <si>
    <t>CONSMA007-R178-ND</t>
  </si>
  <si>
    <t>CONSMA007-R178</t>
  </si>
  <si>
    <t>https://www.digikey.jp/product-detail/en/linx-technologies-inc/CONSMA007-R178/CONSMA007-R178-ND/1577217</t>
  </si>
  <si>
    <t xml:space="preserve">ポリペンコアセタール(POM)丸棒 </t>
  </si>
  <si>
    <t>ナチュラル色、長さ1000mm、外径12.5mm、1本</t>
  </si>
  <si>
    <t>三菱ケミカルアドバンスドマテリアルズ</t>
  </si>
  <si>
    <t>Assembly</t>
  </si>
  <si>
    <t>https://www.monotaro.com/p/3880/5313/?t.q=POM</t>
  </si>
  <si>
    <t xml:space="preserve">ポリアセタール(TPS-POM)切板 </t>
  </si>
  <si>
    <t>ナチュラル色、ポリアセタール長さ251～500mm、厚さ20mm、幅50～150mm</t>
  </si>
  <si>
    <t>東レプラスチック精工</t>
  </si>
  <si>
    <t>https://www.monotaro.com/p/0751/0755/</t>
  </si>
  <si>
    <t xml:space="preserve">アルミ(A6061)切板 厚さ8mm </t>
  </si>
  <si>
    <t>長さ500mm、幅300mm</t>
  </si>
  <si>
    <t>https://www.monotaro.com/p/8923/3846/</t>
  </si>
  <si>
    <t>長さ350mm、幅350mm</t>
  </si>
  <si>
    <t>https://www.monotaro.com/p/8923/3855/</t>
  </si>
  <si>
    <t>ガラエポ</t>
  </si>
  <si>
    <t>50mm 50mm 20mm</t>
  </si>
  <si>
    <t>https://www.monotaro.com/g/02570299/?t.q=%83K%83%89%83G%83%7C#op_694=20&amp;op_695=50&amp;op_696=50</t>
  </si>
  <si>
    <t>六角穴付ボルト(キャップスクリュー)(SUS316L)</t>
  </si>
  <si>
    <t>M3 12mm</t>
  </si>
  <si>
    <t>https://www.monotaro.com/p/4146/3134/?t.q=%83L%83%83%83b%83v%83%7B%83%8B%83g</t>
  </si>
  <si>
    <t>六角穴突き止めねじ</t>
  </si>
  <si>
    <t>M8 L60</t>
  </si>
  <si>
    <t>FSSUS8-60</t>
  </si>
  <si>
    <t>https://jp.misumi-ec.com/vona2/detail/110302639730/?CategorySpec=00000216934%3a%3amig00000002473458%0900000216920%3a%3a80%2cmig00000002556862</t>
  </si>
  <si>
    <t>Nuts</t>
  </si>
  <si>
    <t xml:space="preserve">M2 </t>
  </si>
  <si>
    <t>https://jp.misumi-ec.com/vona2/detail/110300250540/?CategorySpec=00000217009%3a%3amig00000002488144%0900000217129%3a%3ab%0900000216949%3a%3aa%0900000216985%3a%3aa%0900000216974%3a%3aa%0900000217077%3a%3aa%0900000216929%3a%3aa&amp;rid=ec01_detail_1_110300250540</t>
  </si>
  <si>
    <t>screw</t>
  </si>
  <si>
    <t>M2 4mm flat head</t>
  </si>
  <si>
    <t>https://jp.misumi-ec.com/vona2/detail/110302280540/?searchFlow=results2products&amp;KWSearch=CBSTSR2&amp;PNSearch=CBSTSR2-4&amp;HissuCode=CBSTSR2-4</t>
  </si>
  <si>
    <t>M2 6mm flat head</t>
  </si>
  <si>
    <t>M2 8mm flat head</t>
  </si>
  <si>
    <t>CBSTSR2-8</t>
  </si>
  <si>
    <t>https://jp.misumi-ec.com/vona2/detail/110302280540/?searchFlow=results2products&amp;KWSearch=CBSTSR2&amp;PNSearch=CBSTSR2-6&amp;HissuCode=CBSTSR2-6</t>
  </si>
  <si>
    <t>M2 6mm</t>
  </si>
  <si>
    <t>CSPPN1P-SUS-M2-6</t>
  </si>
  <si>
    <t>pack(100)</t>
  </si>
  <si>
    <t>1 pack(100)</t>
  </si>
  <si>
    <t>https://jp.misumi-ec.com/vona2/detail/221000549069/</t>
  </si>
  <si>
    <t>M2 12mm washer</t>
  </si>
  <si>
    <t>CSPPNP1-SUS-M2-12</t>
  </si>
  <si>
    <t>https://jp.misumi-ec.com/vona2/detail/221000546404/?HissuCode=CSPPNP1-SUS-M2-12&amp;PNSearch=CSPPNP1-SUS-M2-12&amp;KWSearch=CSPPNP1-SUS-M2-12&amp;searchFlow=results2products</t>
  </si>
  <si>
    <t>USB 3.0 (USB 3.1 Gen 1, Superspeed) Cable A Female to A Female 1.00' (304.8mm) Shielded</t>
  </si>
  <si>
    <t>TL1079-ND</t>
  </si>
  <si>
    <t>U325-001-KPA-BK</t>
  </si>
  <si>
    <t>KItsine</t>
  </si>
  <si>
    <t>TEC Development</t>
  </si>
  <si>
    <t>https://www.digikey.jp/products/en/cable-assemblies/usb-cables/455?k=female+usb&amp;k=&amp;pkeyword=female+usb&amp;sv=0&amp;pv207=305692&amp;sf=0&amp;FV=-8%7C455&amp;quantity=&amp;ColumnSort=0&amp;page=1&amp;pageSize=25</t>
  </si>
  <si>
    <t>Memory Card microSD™ 8GB Class 6</t>
  </si>
  <si>
    <t>SD Card</t>
  </si>
  <si>
    <t>Bridgetek Pte Ltd.</t>
  </si>
  <si>
    <t>768-1288-ND</t>
  </si>
  <si>
    <t>MS-C6-8G</t>
  </si>
  <si>
    <t>https://www.digikey.jp/product-detail/en/bridgetek-pte-ltd/MS-C6-8G/768-1288-ND/6173129</t>
  </si>
  <si>
    <t>Jack Modular Connector 8p8c (RJ45, Ethernet) Vertical Shielded, EMI Finger Cat6a</t>
  </si>
  <si>
    <t>RJ45 Connector</t>
  </si>
  <si>
    <t>380-1327-ND</t>
  </si>
  <si>
    <t>SS-60300-014</t>
  </si>
  <si>
    <t>TEC Board</t>
  </si>
  <si>
    <t>https://www.digikey.jp/products/en?keywords=Ss60300014</t>
  </si>
  <si>
    <t>接地アダプター</t>
  </si>
  <si>
    <t>KTSUNE</t>
  </si>
  <si>
    <t>https://www.monotaro.com/p/6738/7784/?utm_medium=cpc&amp;utm_source=Adwords&amp;utm_campaign=246-833-4061_6466659573&amp;utm_content=77481174476&amp;utm_term=_380604181365__pla-799401264920&amp;gclid=Cj0KCQjw3ZX4BRDmARIsAFYh7ZINLp4EP9rrJBsS6c_LqdTlDAw5xZIbWeJUNZUPsP5I6K8xY2gHjP8aAttjEALw_wcB</t>
  </si>
  <si>
    <t>抜け止めマグネット雷タップ(3ピンプラグ対応)</t>
  </si>
  <si>
    <t>7個口，5m</t>
  </si>
  <si>
    <t>T-Y3A-3750WH</t>
  </si>
  <si>
    <t>https://www.monotaro.com/g/01336074/?t.q=3%83s%83%93%20%89%84%92%B7%83R%81%5B%83h</t>
  </si>
  <si>
    <t>EPS (solar cell assembly)</t>
  </si>
  <si>
    <t>Clean Room, for shipment to UPD</t>
  </si>
  <si>
    <t>WRIST STRAP</t>
  </si>
  <si>
    <t>1Mohm resistor, alligator clip</t>
  </si>
  <si>
    <t>HOZAN</t>
  </si>
  <si>
    <t>F-155</t>
  </si>
  <si>
    <t>https://www.monotaro.com/g/00689858/?t.q=F-155</t>
  </si>
  <si>
    <t>抜け止めコンセントプラグ(アース付)</t>
  </si>
  <si>
    <t>3ピン</t>
  </si>
  <si>
    <t xml:space="preserve">
DH2684</t>
  </si>
  <si>
    <t>https://www.monotaro.com/p/1041/9552/</t>
  </si>
  <si>
    <t>Reaction wheels</t>
  </si>
  <si>
    <t>DS12E-A, DC Motor</t>
  </si>
  <si>
    <t>DS12E-A</t>
  </si>
  <si>
    <t>トーションスプリング(180°)</t>
  </si>
  <si>
    <t>3x0.3mm/5巻/180°トーションバネ(左右各1)</t>
  </si>
  <si>
    <t>エスコ</t>
  </si>
  <si>
    <t xml:space="preserve"> EA952SH-312</t>
  </si>
  <si>
    <t>https://www.monotaro.com/g/02454981/?t.attr_f859=3&amp;t.q=%83g%81%5B%83V%83%87%83%93%82%CE%82%CB</t>
  </si>
  <si>
    <t>Aluminium cup</t>
  </si>
  <si>
    <t xml:space="preserve">ステンレス鋼製ハンドル 雌ねじ </t>
  </si>
  <si>
    <t>寸法P120mm、1本</t>
  </si>
  <si>
    <t>M-C-4</t>
  </si>
  <si>
    <t>https://www.monotaro.com/p/5225/3426/</t>
  </si>
  <si>
    <t>M6 L10 六角穴付皿ボルト</t>
  </si>
  <si>
    <t>六角穴付皿ボルト(SCM435/黒色酸化皮膜) M6、長さ10mm、1パック(55個)</t>
  </si>
  <si>
    <t>M6×10</t>
  </si>
  <si>
    <t>https://www.monotaro.com/p/0552/6071/</t>
  </si>
  <si>
    <t>Allen key set (inches)</t>
  </si>
  <si>
    <t>Ni-Cr-Mb steel alloy - Protenium (0.05"~5/16")</t>
  </si>
  <si>
    <t>Bondhus</t>
  </si>
  <si>
    <t>10937(BLX13)</t>
  </si>
  <si>
    <t>SVBL 2nd Floor Staff Room</t>
  </si>
  <si>
    <t>https://www.monotaro.com/g/00029800/?t.q=Bondhus%2010937</t>
  </si>
  <si>
    <t>Allen key set (metric)</t>
  </si>
  <si>
    <t>Special steel alloy (0.89~4 mm)</t>
  </si>
  <si>
    <t>EIGHT (エイト)</t>
  </si>
  <si>
    <t>MC-008D</t>
  </si>
  <si>
    <t>https://jp.misumi-ec.com/vona2/detail/223009610115/?ProductCode=MC-008D</t>
  </si>
  <si>
    <t>Order is cancelled at MISUMI.</t>
  </si>
  <si>
    <t>メカニカルファスナー(フックタイプ)</t>
  </si>
  <si>
    <t>Oshiro</t>
  </si>
  <si>
    <t>のりつきタイプ 厚さ(mm) 0.4 幅(mm)25 長さ(m)25</t>
  </si>
  <si>
    <t>スリーエム(3M)</t>
  </si>
  <si>
    <t>NC2141 25X25</t>
  </si>
  <si>
    <t>Thermal</t>
  </si>
  <si>
    <t>https://www.monotaro.com/g/00334431/</t>
  </si>
  <si>
    <t>メカニカルファスナー(ループタイプ)</t>
  </si>
  <si>
    <t>のりつきタイプ 厚さ(mm) 0.5 幅(mm)25 長さ(m)25</t>
  </si>
  <si>
    <t>NC2841 25X25</t>
  </si>
  <si>
    <t>https://www.monotaro.com/g/00334432/?t.q=NC-2841</t>
  </si>
  <si>
    <t>接地アダプタ</t>
  </si>
  <si>
    <t>2pin to 3pin</t>
  </si>
  <si>
    <t>明工社</t>
  </si>
  <si>
    <t>ME2966</t>
  </si>
  <si>
    <t>https://www.monotaro.com/g/00320029/?t.q=%90%DA%92n%83A%83_%83v%83%5E</t>
  </si>
  <si>
    <t>バナナ型チップ</t>
  </si>
  <si>
    <t>黒</t>
  </si>
  <si>
    <t>8-052-01</t>
  </si>
  <si>
    <t>https://www.monotaro.com/g/00257431/?t.q=%83o%83i%83i%83N%83%8A%83b%83v</t>
  </si>
  <si>
    <t>赤</t>
  </si>
  <si>
    <t>8-052-02</t>
  </si>
  <si>
    <t>M6 L20 六角穴付皿ボルト</t>
  </si>
  <si>
    <t>六角穴付皿ボルト(SCM435/黒色酸化皮膜) M6、長さ20mm、1パック(50個)</t>
  </si>
  <si>
    <t>M6×20</t>
  </si>
  <si>
    <t>https://www.monotaro.com/p/0552/6132/?t.q=%98Z%8Ap%20%8EM%81%40M6</t>
  </si>
  <si>
    <t>小型ボール盤</t>
  </si>
  <si>
    <t>Not orderd</t>
  </si>
  <si>
    <t>Nakai</t>
  </si>
  <si>
    <t>ワークテーブル寸法/W172×D</t>
  </si>
  <si>
    <t>レクソン(REXON)</t>
  </si>
  <si>
    <t>DP2250R</t>
  </si>
  <si>
    <t>BIRDS5</t>
  </si>
  <si>
    <t>DLP</t>
  </si>
  <si>
    <t>https://www.monotaro.com/p/5642/0716/?t.q=%8F%AC%8C%5E%83%7B%81%5B%83%8B%94%D5</t>
  </si>
  <si>
    <t xml:space="preserve">スタンダードドリル STC </t>
  </si>
  <si>
    <t xml:space="preserve">プリント配線穴あけ用ドリルビット </t>
  </si>
  <si>
    <t xml:space="preserve">ティーシーティー・ジャパン </t>
  </si>
  <si>
    <t>STC2</t>
  </si>
  <si>
    <t>https://www.monotaro.com/g/01020738/?monotaroNo=1037566</t>
  </si>
  <si>
    <t>For Maya-2 rework</t>
  </si>
  <si>
    <t>SLNBR3</t>
  </si>
  <si>
    <t>https://jp.misumi-ec.com/vona2/detail/110300250540/?PNSearch=SLBNR3&amp;HissuCode=SLBNR3&amp;searchFlow=suggest2products&amp;Keyword=SLBNR3</t>
  </si>
  <si>
    <t>Hex bit</t>
  </si>
  <si>
    <t>1.27 mm for M1.6, M2</t>
  </si>
  <si>
    <t>東日製作所</t>
  </si>
  <si>
    <t>ヘックスビットB-W1.27</t>
  </si>
  <si>
    <t>SVBL 3F (Clean Room)</t>
  </si>
  <si>
    <t>https://www.monotaro.com/g/00029003/</t>
  </si>
  <si>
    <t>For final assembly and future work</t>
  </si>
  <si>
    <t>1.5 mm for M1.6, M2</t>
  </si>
  <si>
    <t>ヘックスビットB-W1.5</t>
  </si>
  <si>
    <t>六角ナット</t>
  </si>
  <si>
    <t>M3 h=1.8 95個入り</t>
  </si>
  <si>
    <t>B570003</t>
  </si>
  <si>
    <t>https://jp.misumi-ec.com/vona2/detail/221005504346/?CategorySpec=00000217009%3a%3amig00000002465628</t>
  </si>
  <si>
    <t>ネジインサート</t>
  </si>
  <si>
    <t>M3 D2</t>
  </si>
  <si>
    <t>HLTS3-6</t>
  </si>
  <si>
    <t>https://jp.misumi-ec.com/vona2/detail/110300258940/?Tab=codeList</t>
  </si>
  <si>
    <t>アルミフレーム　６シリーズ　正方形　３０×３０ｍｍ　１列溝　４面溝　400mm</t>
  </si>
  <si>
    <t>HFS6-3030-400</t>
  </si>
  <si>
    <t>https://jp.misumi-ec.com/vona2/detail/110302686450/</t>
  </si>
  <si>
    <t>直角固定材</t>
  </si>
  <si>
    <t>６シリーズ（溝幅８ｍｍ）－１列溝用－　突起付反転ブラケット</t>
  </si>
  <si>
    <t>HBLFSN6-SEC</t>
  </si>
  <si>
    <t>https://jp.misumi-ec.com/vona2/detail/110300442340/</t>
  </si>
  <si>
    <t>アルミフレーム用ナット M3</t>
  </si>
  <si>
    <t>６シリーズ（溝幅８ｍｍ）３０・６０角アルミフレーム用先入れナット</t>
  </si>
  <si>
    <t>HNTT6-3</t>
  </si>
  <si>
    <t>https://jp.misumi-ec.com/vona2/detail/110302610850/</t>
  </si>
  <si>
    <t>Socket Contact Tin 26-28 AWG Crimp</t>
  </si>
  <si>
    <t>538-50079-8000-CT</t>
  </si>
  <si>
    <t>50079-8000</t>
  </si>
  <si>
    <t xml:space="preserve">	Headers &amp; Wire Housings</t>
  </si>
  <si>
    <t>https://www.mouser.jp/ProductDetail/Molex/50079-8000-Cut-Strip?qs=Ky1INM14uHopDqdPLPqGxQ%3D%3D</t>
  </si>
  <si>
    <t>3.2mmドリル</t>
  </si>
  <si>
    <t>Φ3.2mm</t>
  </si>
  <si>
    <t>ナフコ(予定)</t>
  </si>
  <si>
    <t>価格は概算</t>
  </si>
  <si>
    <t>Spacer, hex 10mm</t>
  </si>
  <si>
    <t>Plastic Spacer M2 x 10mm</t>
  </si>
  <si>
    <t>Kang Yang Hardware Enterprises Co., Ltd.</t>
  </si>
  <si>
    <t>P-13017</t>
  </si>
  <si>
    <t>TP2-10</t>
  </si>
  <si>
    <t>http://akizukidenshi.com/catalog/g/gP-13017/</t>
  </si>
  <si>
    <t>Spacer,hex 5mm</t>
  </si>
  <si>
    <t>Plastic Spacer M2 x 5mm</t>
  </si>
  <si>
    <t>P-13016</t>
  </si>
  <si>
    <t>TP2-5</t>
  </si>
  <si>
    <t>http://akizukidenshi.com/catalog/g/gP-13016/</t>
  </si>
  <si>
    <t>Spacer hex nut</t>
  </si>
  <si>
    <t>M2 Hex Nut Plastic M-2</t>
  </si>
  <si>
    <t>P-13019</t>
  </si>
  <si>
    <t>M-2</t>
  </si>
  <si>
    <t>http://akizukidenshi.com/catalog/g/gP-13019/</t>
  </si>
  <si>
    <t>透明アクリルパイプ(押出し)　外径(16ミリ)板厚(1.5ミリ)長さ(70ミリ)　12個</t>
  </si>
  <si>
    <t>C-band mobile GS antenna</t>
  </si>
  <si>
    <t>https://www.hazaiya.co.jp/estimate/confirmpipe.php</t>
  </si>
  <si>
    <t xml:space="preserve">ストレートドリル </t>
  </si>
  <si>
    <t>刃径2.0mm、1本</t>
  </si>
  <si>
    <t>SD-2.0</t>
  </si>
  <si>
    <t>https://www.monotaro.com/p/0757/1384/</t>
  </si>
  <si>
    <t>アルミテープブラックつやなし</t>
  </si>
  <si>
    <t>厚さ(mm) 0.4 幅(mm)25 長さ(m)25</t>
  </si>
  <si>
    <t xml:space="preserve">J3270 </t>
  </si>
  <si>
    <t>https://www.monotaro.com/g/00177883/</t>
  </si>
  <si>
    <t>六角穴付ボルト　M2 L6</t>
  </si>
  <si>
    <t>M2、ねじ長さ6mm、1パック(20個)</t>
  </si>
  <si>
    <t>M2×6</t>
  </si>
  <si>
    <t>https://www.monotaro.com/p/6891/0293/?t.q=%83L%83%83%83b%83v%83X%83N%83%8A%83%85%81%5B%20M2</t>
  </si>
  <si>
    <t>六角穴付き極低頭ボルト　M2 L6</t>
  </si>
  <si>
    <t>M2、長さ6mm、1パック(10個)</t>
  </si>
  <si>
    <t>https://www.monotaro.com/p/4927/7803/?t.q=%92%E1%93%AA%82%CB%82%B6%20M2</t>
  </si>
  <si>
    <t>六角ナット M2</t>
  </si>
  <si>
    <t>M2、1パック(60個)</t>
  </si>
  <si>
    <t>https://www.monotaro.com/p/2344/2642/?t.q=M2</t>
  </si>
  <si>
    <t>六角穴付き皿ボルト M6 L15</t>
  </si>
  <si>
    <t>M6、長さ15mm、1パック(55個)</t>
  </si>
  <si>
    <t>M6×15</t>
  </si>
  <si>
    <t>https://www.monotaro.com/p/0552/6105/?t.q=%98Z%8Ap%8C%8A%95t%82%AB%8EM%83%7B%83%8B%83g</t>
  </si>
  <si>
    <t>六角穴付きボルト　M3 L6</t>
  </si>
  <si>
    <t>寸法M3×6(mm)、1パック(20個)</t>
  </si>
  <si>
    <t>M3×6</t>
  </si>
  <si>
    <t>https://www.monotaro.com/p/3466/6667/?t.q=%92%E1%93%AA%82%CB%82%B6%81%40M3%206</t>
  </si>
  <si>
    <t>六角穴付ボルト　M2 L8</t>
  </si>
  <si>
    <t>M2、長さ8mm、1パック(10個)</t>
  </si>
  <si>
    <t>https://www.monotaro.com/p/4927/7812/?t.q=SSHS%20%98Z%8Ap%8C%8A%95t%82%AB%8B%C9%92%E1%93%AA%83%7B%83%8B%83g</t>
  </si>
  <si>
    <t>For Antenna panel rework</t>
  </si>
  <si>
    <t>DC-DC Converter</t>
  </si>
  <si>
    <t>DC DC CONVERTER -200V 1W</t>
  </si>
  <si>
    <t>XP Power</t>
  </si>
  <si>
    <t>1470-3178-ND</t>
  </si>
  <si>
    <t>A02N-5</t>
  </si>
  <si>
    <t>https://www.digikey.jp/product-detail/en/xp-power/A02N-5/1470-3178-ND/5873488</t>
  </si>
  <si>
    <t xml:space="preserve">Isolated Module DC DC Converter </t>
  </si>
  <si>
    <t xml:space="preserve">945-2656-5-ND </t>
  </si>
  <si>
    <t xml:space="preserve">R05P209D </t>
  </si>
  <si>
    <t>https://www.digikey.jp/product-detail/en/recom-power/R05P209D/945-2656-5-ND/2301255</t>
  </si>
  <si>
    <t xml:space="preserve"> Voltage Regulator</t>
  </si>
  <si>
    <t>Linear Voltage Regulator IC Positive Fixed 1 Output 200mA 8-SOIC-EP</t>
  </si>
  <si>
    <t xml:space="preserve">ADP7142ARDZ-5.0-R7CT-ND </t>
  </si>
  <si>
    <t xml:space="preserve">ADP7142ARDZ-5.0-R7 </t>
  </si>
  <si>
    <t xml:space="preserve">8-SOIC </t>
  </si>
  <si>
    <t>https://www.digikey.jp/product-detail/en/texas-instruments/LP2954AIM-NOPB/LP2954AIM-NOPB-ND/1872456</t>
  </si>
  <si>
    <t>IC OPAMP GP 2 CIRCUIT 8SOIC</t>
  </si>
  <si>
    <t>https://www.digikey.jp/product-detail/en/texas-instruments/OPA2170AIDR/296-30291-1-ND/3072334</t>
  </si>
  <si>
    <t>IC OPAMP GP 1 CIRCUIT 8SOIC</t>
  </si>
  <si>
    <t>296-46320-1-ND</t>
  </si>
  <si>
    <t xml:space="preserve">OPA170AIDR </t>
  </si>
  <si>
    <t>https://www.digikey.jp/product-detail/en/texas-instruments/OPA170AIDR/296-46320-1-ND/7033494</t>
  </si>
  <si>
    <t xml:space="preserve">General Purpose Amplifier 2 Circuit 8-MiniSO </t>
  </si>
  <si>
    <t xml:space="preserve">497-7332-1-ND </t>
  </si>
  <si>
    <t xml:space="preserve">LM358AST </t>
  </si>
  <si>
    <t>https://www.digikey.jp/product-detail/en/stmicroelectronics/LM358AST/497-7332-1-ND/1883996</t>
  </si>
  <si>
    <t>PhotoMos</t>
  </si>
  <si>
    <t xml:space="preserve">	SSR RELAY SPST-NO 4A 0-60V</t>
  </si>
  <si>
    <t>Panasonic electric work</t>
  </si>
  <si>
    <t xml:space="preserve">	255-1567-ND</t>
  </si>
  <si>
    <t>SSR RELAY SPST-NO 600MA 0-400V</t>
  </si>
  <si>
    <t xml:space="preserve">        AQZ104D-ND</t>
  </si>
  <si>
    <t>AQZ104D</t>
  </si>
  <si>
    <t>https://www.digikey.jp/product-detail/en/panasonic-electric-works/AQZ104D/AQZ104D-ND/646371</t>
  </si>
  <si>
    <t>MC</t>
  </si>
  <si>
    <t>IC MCU 16BIT 256KB FLASH 48TQFP</t>
  </si>
  <si>
    <t>DSPIC33CK256MP205-E/PT-ND</t>
  </si>
  <si>
    <t>DSPIC33CK256MP205-E/PT</t>
  </si>
  <si>
    <t>https://www.digikey.jp/product-detail/en/microchip-technology/DSPIC33CK256MP205-E-PT/DSPIC33CK256MP205-E-PT-ND/9342078</t>
  </si>
  <si>
    <t xml:space="preserve">	RES 5.00M OHM 1/2W 1% AXIAL</t>
  </si>
  <si>
    <t xml:space="preserve">	CMF5.00MHJ-ND</t>
  </si>
  <si>
    <t>CMF555M0000FKEK</t>
  </si>
  <si>
    <t>https://www.digikey.jp/product-detail/en/vishay-dale/CMF555M0000FKEK/CMF5-00MHJ-ND/3622021</t>
  </si>
  <si>
    <t xml:space="preserve">	RES 680 OHM 1/2W 2% AXIAL</t>
  </si>
  <si>
    <t>1135-1435-ND</t>
  </si>
  <si>
    <t>RL20S681GB14</t>
  </si>
  <si>
    <t>https://www.digikey.jp/product-detail/en/vishay-dale/RL20S681GB14/1135-1435-ND/3193732</t>
  </si>
  <si>
    <t xml:space="preserve">	RES 1.00K OHM 2W 10% AXIAL</t>
  </si>
  <si>
    <t>A105582-ND</t>
  </si>
  <si>
    <t>CCR21K0KB</t>
  </si>
  <si>
    <t>https://www.digikey.jp/product-detail/en/te-connectivity-passive-product/CCR21K0KB/A105582-ND/2365079</t>
  </si>
  <si>
    <t xml:space="preserve">	RES 2.2K OHM 1/4W 5% CF MINI</t>
  </si>
  <si>
    <t xml:space="preserve">	Stackpole Electronics Inc</t>
  </si>
  <si>
    <t>S2.2KQCT-ND</t>
  </si>
  <si>
    <t>CFM14JT2K20</t>
  </si>
  <si>
    <t>https://www.digikey.jp/product-detail/en/stackpole-electronics-inc/CFM14JT2K20/S2-2KQTR-ND/1742118</t>
  </si>
  <si>
    <t>RES 28K OHM 1/8W 1% AXIAL</t>
  </si>
  <si>
    <t>RN55D2802FB14-ND</t>
  </si>
  <si>
    <t>RN55D2802FB14</t>
  </si>
  <si>
    <t>https://www.digikey.jp/product-detail/en/vishay-dale/RN55D2802FB14/RN55D2802FB14-ND/3338244</t>
  </si>
  <si>
    <t>RES 10K OHM 2W 5% AXIAL</t>
  </si>
  <si>
    <t>RSF2JT10K0CT-ND</t>
  </si>
  <si>
    <t>RSF2JT10K0</t>
  </si>
  <si>
    <t>https://www.digikey.jp/product-detail/en/stackpole-electronics-inc/RSF2JT10K0/RSF2JT10K0CT-ND/2021808</t>
  </si>
  <si>
    <t>CAP CER 1UF 25V X7R RADIAL</t>
  </si>
  <si>
    <t>445-173261-1-ND</t>
  </si>
  <si>
    <t>FG18X7R1E105KRT06</t>
  </si>
  <si>
    <t>https://www.digikey.jp/product-detail/en/tdk-corporation/FG18X7R1E105KRT06/445-173261-1-ND/5811866</t>
  </si>
  <si>
    <t>CAP CER 10UF 25V X8L RADIAL</t>
  </si>
  <si>
    <t xml:space="preserve">	United Chemi-Con</t>
  </si>
  <si>
    <t>565-4718-1-ND</t>
  </si>
  <si>
    <t>KVD250L106M55A0T00</t>
  </si>
  <si>
    <t>https://www.digikey.jp/product-detail/en/united-chemi-con/KVD250L106M55A0T00/565-4718-1-ND/6210716</t>
  </si>
  <si>
    <t>CAP CER 0.1UF 25V X8R RADIAL</t>
  </si>
  <si>
    <t>445-180563-1-ND</t>
  </si>
  <si>
    <t>FA18X8R1E104KNU06</t>
  </si>
  <si>
    <t>https://www.digikey.jp/product-detail/en/tdk-corporation/FA18X8R1E104KNU06/445-180563-1-ND/9560689</t>
  </si>
  <si>
    <t>CAP CER 470PF 50V C0G RADIAL</t>
  </si>
  <si>
    <t>445-173197-1-ND</t>
  </si>
  <si>
    <t>FG18C0G1H471JNT06</t>
  </si>
  <si>
    <t>https://www.digikey.jp/product-detail/en/tdk-corporation/FG18C0G1H471JNT06/445-173197-1-ND/5811802</t>
  </si>
  <si>
    <t>CAP CER 2.2UF 50V X7R RADIAL</t>
  </si>
  <si>
    <t>445-173138-1-ND</t>
  </si>
  <si>
    <t>FG14X7R1H225KRT06</t>
  </si>
  <si>
    <t>https://www.digikey.jp/product-detail/en/tdk-corporation/FG14X7R1H225KRT06/445-173138-1-ND/5811743</t>
  </si>
  <si>
    <t>CAP CER 0.33UF 50V Z5U AXIAL</t>
  </si>
  <si>
    <t xml:space="preserve">	KEMET</t>
  </si>
  <si>
    <t xml:space="preserve">	399-4489-1-ND</t>
  </si>
  <si>
    <t>C412C334M5U5TA7200</t>
  </si>
  <si>
    <t>https://www.digikey.jp/product-detail/en/kemet/C412C334M5U5TA7200/399-4489-1-ND/818346</t>
  </si>
  <si>
    <t>CAP CER 43PF 25V NP0 0402</t>
  </si>
  <si>
    <t>399-15327-1-ND</t>
  </si>
  <si>
    <t>C0402C430J3GAC7867</t>
  </si>
  <si>
    <t>https://www.digikey.jp/product-detail/en/kemet/C0402C430J3GAC7867/399-15327-1-ND/7386725</t>
  </si>
  <si>
    <t>15CM FR4 1.5MM厚さPCBプリント銅張りプレートラミネート</t>
  </si>
  <si>
    <t>rakuten</t>
  </si>
  <si>
    <t>https://item.rakuten.co.jp/ebinoie/58012c4d3ec047daaea6d34a3e096c1f/</t>
  </si>
  <si>
    <t>ic adapter</t>
  </si>
  <si>
    <t>QFP44及びQFn44 (0.50 mmピッチ間隔)用のアダプタ基板
エポキシガラス繊維FR4 1.50 mm</t>
  </si>
  <si>
    <t>Roth Elektronik</t>
  </si>
  <si>
    <t>897-1477</t>
  </si>
  <si>
    <t>RE934-02E</t>
  </si>
  <si>
    <t>https://jp.rs-online.com/web/p/extender-boards-adapters/8971477/</t>
  </si>
  <si>
    <t>jumper kit</t>
  </si>
  <si>
    <t xml:space="preserve">	Twin Industries</t>
  </si>
  <si>
    <t xml:space="preserve">	SOIC-8 TO DIP-8 SMT ADAPTER (1.2</t>
  </si>
  <si>
    <t xml:space="preserve">	Chip Quik Inc.</t>
  </si>
  <si>
    <t>315-PA0001C-ND</t>
  </si>
  <si>
    <t xml:space="preserve">	PA0001C</t>
  </si>
  <si>
    <t>https://www.digikey.jp/product-detail/en/chip-quik-inc/PA0001C/315-PA0001C-ND/12352144?cur=JPY&amp;lang=en</t>
  </si>
  <si>
    <t>M4 Screws</t>
  </si>
  <si>
    <t>Hexagon Socket Head Cap Screws-Stainless Steel</t>
  </si>
  <si>
    <t>SCB4-8</t>
  </si>
  <si>
    <t>KITSUNE EM</t>
  </si>
  <si>
    <t>KITSUNE/Lens</t>
  </si>
  <si>
    <t>Clean Room (SVBL 2F)</t>
  </si>
  <si>
    <t>https://jp.misumi-ec.com/vona2/detail/110300239250/?CategorySpec=00000217065%3a%3amig00000002462152%0900000217017%3a%3amig00000002466048%0900000217082%3a%3aa%0900000258275%3a%3anvd00000000000003%0900000217131%3a%3ab%0900000216960%3a%3aa%0900000258260%3a%3aa%0900000217143%3a%3aa%0900000216927%3a%3aa%0900000217097%3a%3aa%0900000217026%3a%3aa</t>
  </si>
  <si>
    <t>HDMI　ディスプレイエミュレーター</t>
  </si>
  <si>
    <t>HDMI エミュレータ　3個入り</t>
  </si>
  <si>
    <t>FUERAN</t>
  </si>
  <si>
    <t>https://www.amazon.co.jp/dp/B071D2N54Q/ref=sspa_dk_detail_3?pd_rd_i=B06Y5586N6&amp;pd_rd_w=PDFna&amp;pf_rd_p=6413bd85-d494-49e7-9f81-0e63e79171a9&amp;pd_rd_wg=fsRgI&amp;pf_rd_r=1R2JS0KNV3PPN01Z7PW0&amp;pd_rd_r=44d1be6b-34b1-49d3-824d-071667e4638d&amp;spLa=ZW5jcnlwdGVkUXVhbGlmaWVyPUFERkhKNjlJSTE1V0wmZW5jcnlwdGVkSWQ9QTA5OTU1OTAzSzdBMlQ3STkzR1czJmVuY3J5cHRlZEFkSWQ9QVdOUElVQ0RaWElCQyZ3aWRnZXROYW1lPXNwX2RldGFpbCZhY3Rpb249Y2xpY2tSZWRpcmVjdCZkb05vdExvZ0NsaWNrPXRydWU&amp;th=1</t>
  </si>
  <si>
    <t>Special steel alloy (1.27~2 mm)</t>
  </si>
  <si>
    <t>MC-TMD</t>
  </si>
  <si>
    <t>https://jp.misumi-ec.com/vona2/detail/223005593795/?KWSearch=%e5%85%ad%e8%a7%92%e6%a3%92%e3%82%b9%e3%83%91%e3%83%8a%201.27%20mm&amp;searchFlow=results2products</t>
  </si>
  <si>
    <t>Ant-dep</t>
  </si>
  <si>
    <t>https://www.monotaro.com/g/00503904/?t.q=SSHS-M2-8</t>
  </si>
  <si>
    <t>BIRDS-3 衛星局　電波料</t>
  </si>
  <si>
    <t>3局</t>
  </si>
  <si>
    <t>License</t>
  </si>
  <si>
    <t>地上局　再免許申請</t>
  </si>
  <si>
    <t>1局</t>
  </si>
  <si>
    <t>BIRDS/HORYU</t>
  </si>
  <si>
    <t>Portable HDD, 1TB</t>
  </si>
  <si>
    <t>I O Data</t>
  </si>
  <si>
    <t>Coop （生協）</t>
  </si>
  <si>
    <t>Thesis documentation</t>
  </si>
  <si>
    <t xml:space="preserve">DVD-R  </t>
  </si>
  <si>
    <t xml:space="preserve"> DVD-R CPRM 120 minutes ,White printable 1 side 1 layer 1-16 times speed VHR12JP25V1</t>
  </si>
  <si>
    <t>Verbatim</t>
  </si>
  <si>
    <t>VHR12JP25V1</t>
  </si>
  <si>
    <t>https://www.amazon.co.jp/%E4%B8%89%E8%8F%B1%E3%82%B1%E3%83%9F%E3%82%AB%E3%83%AB%E3%83%A1%E3%83%87%E3%82%A3%E3%82%A2-Verbatim-1%E5%9B%9E%E9%8C%B2%E7%94%BB%E7%94%A8DVD-R-VHR12JP25V1-1-16%E5%80%8D%E9%80%9F/dp/B0041WF472?ref_=Oct_s9_apbd_oup_hd_bw_b2Lcufz&amp;pf_rd_r=R4MCHYFMCMD3D27Z4B7S&amp;pf_rd_p=fb7616fe-47a2-5380-9122-da932861bc0e&amp;pf_rd_s=merchandised-search-10&amp;pf_rd_t=BROWSE&amp;pf_rd_i=2151843051</t>
  </si>
  <si>
    <t>トランジスタ - バイポーラ（BJT） - シングル、プリバイアス NPN - プリバイアス 50V 100mA 250MHz 200mW 面実装 SMT3</t>
  </si>
  <si>
    <t>Research(TID試験)</t>
  </si>
  <si>
    <t>トランジスタ - バイポーラ（BJT） - アレイ、プリバイアス 1 NPN、1 PNP - プリバイアス（デュアル） 50V 100mA 250MHz 150mW、120mW 面実装 UMT6</t>
  </si>
  <si>
    <t>SQA403EJ-T1_GE3CT-ND</t>
  </si>
  <si>
    <t>Pチャンネル 30V 10A（Tc） 13.6W（Tc） 面実装 PowerPAK® SC-70-6シングル</t>
  </si>
  <si>
    <t>SQA403EJ-T1_GE3</t>
  </si>
  <si>
    <t>https://www.digikey.jp/product-detail/ja/vishay-siliconix/SQA403EJ-T1-GE3/SQA403EJ-T1-GE3CT-ND/9084116</t>
  </si>
  <si>
    <t>SI7106DN-T1-E3</t>
  </si>
  <si>
    <t>Nチャンネル 20V 12.5A（Ta） 1.5W（Ta） 面実装 PowerPAK® 1212-8</t>
  </si>
  <si>
    <t>SI7106DN-T1-E3CT-ND</t>
  </si>
  <si>
    <t>https://www.digikey.jp/product-detail/ja/vishay-siliconix/SI7106DN-T1-E3/SI7106DN-T1-E3CT-ND/1657079</t>
  </si>
  <si>
    <t>MUN5114DW1T1G</t>
  </si>
  <si>
    <t>トランジスタ - バイポーラ（BJT） - アレイ、プリバイアス 2 PNP - プリバイアス（デュアル） 50V 100mA 250mW 面実装 SC-88/SC70-6/SOT-363</t>
  </si>
  <si>
    <t>MUN5114DW1T1GOSCT-ND</t>
  </si>
  <si>
    <t>https://www.digikey.jp/product-detail/ja/on-semiconductor/MUN5114DW1T1G/MUN5114DW1T1GOSCT-ND/5801830</t>
  </si>
  <si>
    <t>PDTA144EU,115</t>
  </si>
  <si>
    <t>トランジスタ - バイポーラ（BJT） - シングル、プリバイアス PNP - プリバイアス 50V 100mA 200mW 面実装 SOT-323</t>
  </si>
  <si>
    <t>1727-1973-1-ND</t>
  </si>
  <si>
    <t>https://www.digikey.jp/product-detail/ja/nexperia-usa-inc/PDTA144EU-115/1727-1973-1-ND/5221916</t>
  </si>
  <si>
    <t>Nチャンネル MOSFET60 V 200 mA 表面実装 パッケージSOT-346 (SC-59)</t>
  </si>
  <si>
    <t>601-1961</t>
  </si>
  <si>
    <t>2SK1062(F)</t>
  </si>
  <si>
    <t>https://jp.rs-online.com/web/p/mosfets/6011961/?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32534B31303632267374613D32534B3130363226&amp;searchHistory=%7B%22enabled%22%3Atrue%7D</t>
  </si>
  <si>
    <t>TPCA8107-H(TE12L.Q.M)</t>
  </si>
  <si>
    <t>Pチャンネル パワーMOSFET, 40 V, 7.5 A, 8 ピン パッケージSOPアドバンスド</t>
  </si>
  <si>
    <t>https://jp.misumi-ec.com/vona2/detail/222300401958/?HissuCode=TPCA8107-H%28TE12L.Q.M%29</t>
  </si>
  <si>
    <t>SSM3J120TU(TE85L)</t>
  </si>
  <si>
    <t>Pチャンネル MOSFET20 V 2 A 表面実装 パッケージUFM 3 ピン</t>
  </si>
  <si>
    <t>695-4726</t>
  </si>
  <si>
    <t>https://jp.rs-online.com/web/p/mosfets/6954726/?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53534D334A3132305455267374613D53534D334A313230545526&amp;searchHistory=%7B%22enabled%22%3Atrue%7D</t>
  </si>
  <si>
    <t>SSM3K123TU,LF</t>
  </si>
  <si>
    <t>Nチャンネル 20V 4.2A（Ta） 500mW（Ta） 面実装 UFM</t>
  </si>
  <si>
    <t>SSM3K123TULFCT-ND</t>
  </si>
  <si>
    <t>https://www.digikey.jp/product-detail/ja/toshiba-semiconductor-and-storage/SSM3K123TU-LF/SSM3K123TULFCT-ND/2257798</t>
  </si>
  <si>
    <t>FDB8441</t>
  </si>
  <si>
    <t>Nチャンネル 40V 28A（Ta）、120A（Tc） 300W（Tc） 面実装 TO-263AB</t>
  </si>
  <si>
    <t>FDB8441CT-ND</t>
  </si>
  <si>
    <t>https://www.digikey.jp/product-detail/ja/on-semiconductor/FDB8441/FDB8441CT-ND/1245069</t>
  </si>
  <si>
    <t>https://www.digikey.jp/product-detail/ja/toshiba-semiconductor-and-storage/SSM6K411TU-TE85L-F/SSM6K411TU-TE85LFCT-ND/5298038</t>
  </si>
  <si>
    <t>Raspebrry Pi CM3+</t>
  </si>
  <si>
    <t>182-9892</t>
  </si>
  <si>
    <t>Compute Module 3+ 16GB</t>
  </si>
  <si>
    <t>Research(SEL試験)</t>
  </si>
  <si>
    <t>https://jp.rs-online.com/web/p/raspberry-pi/1829892/</t>
  </si>
  <si>
    <t>ＳＯＴ３６３－６ ＳＩＰ化基板</t>
  </si>
  <si>
    <t>P-13338</t>
  </si>
  <si>
    <t>AE-SOT-363-6-SIP6</t>
  </si>
  <si>
    <t>http://akizukidenshi.com/catalog/g/gP-13338/</t>
  </si>
  <si>
    <t>チップトランジスタ用変換基板（ＳＣ－５９／対応）</t>
  </si>
  <si>
    <t>P-07352</t>
  </si>
  <si>
    <t>AE-CHIP_TR-SIP-KM</t>
  </si>
  <si>
    <t>http://akizukidenshi.com/catalog/g/gP-07352/</t>
  </si>
  <si>
    <t>ＳＯＰ８ピンＳＩＰ化変換基板</t>
  </si>
  <si>
    <t>P-06554</t>
  </si>
  <si>
    <t>AE-SOP8SIP8</t>
  </si>
  <si>
    <t>http://akizukidenshi.com/catalog/g/gP-06554/</t>
  </si>
  <si>
    <t>ＴＯ－２６３パッケージ３ピン用変換基板</t>
  </si>
  <si>
    <t>P-08890</t>
  </si>
  <si>
    <t>AE-TO263-SIP</t>
  </si>
  <si>
    <t>http://akizukidenshi.com/catalog/g/gP-08890/</t>
  </si>
  <si>
    <t>基板用リードフレーム</t>
  </si>
  <si>
    <t>株式会社マルコ精密工業</t>
  </si>
  <si>
    <t>C-07168</t>
  </si>
  <si>
    <t>PD2.54-1.2-7-SN</t>
  </si>
  <si>
    <t>http://akizukidenshi.com/catalog/g/gC-07168/</t>
  </si>
  <si>
    <t>quartz glass size 4 inch disc, ITO membrane is 100±20 nm,surface resistivity is 20 Ω/sq</t>
  </si>
  <si>
    <t>Research(PSC)</t>
  </si>
  <si>
    <t>使い捨て手袋　M</t>
  </si>
  <si>
    <t>メーカー ： 川西工業 カラー ： ホワイト サイズ ： M パウダー ： 無し 厚さ ： 指先：約0.1mm 材質 ： 塩化ビニール 材質 ： 塩化ビニール 掌周り ： 約190mm 製造国 ： 中国 全長 ： 約230mm</t>
  </si>
  <si>
    <t xml:space="preserve">X805355 </t>
  </si>
  <si>
    <t>#2123-M</t>
  </si>
  <si>
    <t>3F Clean Room</t>
  </si>
  <si>
    <t>https://www.askul.co.jp/p/X805355/</t>
  </si>
  <si>
    <t>使い捨て手袋　L</t>
  </si>
  <si>
    <t>メーカー ： 川西工業 カラー ： ホワイト サイズ ： L パウダー ： 粉無し 厚さ ： 指先：約0.1mm 材質 ： 塩化ビニール 材質 ： 塩化ビニール 掌周り ： 約210mm 製造国 ： 中国 全長 ： 約230mm</t>
  </si>
  <si>
    <t xml:space="preserve">X805353 </t>
  </si>
  <si>
    <t>#2123-L</t>
  </si>
  <si>
    <t>BIRDS-4 落成検査　検査料</t>
  </si>
  <si>
    <t>衛星局　3機分</t>
  </si>
  <si>
    <t>郵便局購入</t>
  </si>
  <si>
    <t>Antenna/GS</t>
  </si>
  <si>
    <t>3F BIRDS room</t>
  </si>
  <si>
    <t xml:space="preserve">アルミ不等辺アングル </t>
  </si>
  <si>
    <t>10mm x 30mm t=1.5</t>
  </si>
  <si>
    <t>AF7131</t>
  </si>
  <si>
    <t>2F KITSUNE room</t>
  </si>
  <si>
    <t>https://www.monotaro.com/p/4888/9741/?t.q=%95s%93%99%20%92%B7%20%20%20%83A%83%8B%83%7E%20%20%20%83A%83%93%83O%83%8B</t>
  </si>
  <si>
    <t>回転盤</t>
  </si>
  <si>
    <t>イースタン精工</t>
  </si>
  <si>
    <t>THS70160</t>
  </si>
  <si>
    <t>https://www.monotaro.com/g/00384182/?t.q=%89%F1%93%5D%91%E4</t>
  </si>
  <si>
    <t>六角スペーサー</t>
  </si>
  <si>
    <t>M3 10mm 5個入り</t>
  </si>
  <si>
    <t>ASB-310E</t>
  </si>
  <si>
    <t>https://www.monotaro.com/p/4226/7425/?t.q=%83X%83y%81%5B%83T%81%5B</t>
  </si>
  <si>
    <t>高ナット</t>
  </si>
  <si>
    <t>M8 30mm</t>
  </si>
  <si>
    <t>M8×30</t>
  </si>
  <si>
    <t>https://www.monotaro.com/p/0995/4095/?t.q=%8D%82%83i%83b%83g</t>
  </si>
  <si>
    <t>極低頭六角穴付ボルト</t>
  </si>
  <si>
    <t>M8 12mm 6個入り</t>
  </si>
  <si>
    <t>ボザード</t>
  </si>
  <si>
    <t>M8×12</t>
  </si>
  <si>
    <t>https://www.monotaro.com/p/4144/6623/?t.q=M%208%20%20%2012%20mm%20%20%20%8B%C9%20%92%E1%93%AA</t>
  </si>
  <si>
    <t xml:space="preserve">(+)皿頭小ねじ(鉄/ユニクローム) </t>
  </si>
  <si>
    <t>M8 12mm 40個入り</t>
  </si>
  <si>
    <t>https://www.monotaro.com/p/0550/5193/?t.q=M8%20%8EM%82%CB%82%B6</t>
  </si>
  <si>
    <t>M3x10mm 皿頭小ねじ</t>
  </si>
  <si>
    <t>M3 10mm 30個入り</t>
  </si>
  <si>
    <t>EA949TF-310</t>
  </si>
  <si>
    <t>https://www.monotaro.com/g/02451792/?t.q=M3%2010mm%20%8EM%82%CB%82%B6</t>
  </si>
  <si>
    <t>M3x 6mm ナベ頭小ねじ</t>
  </si>
  <si>
    <t>M3 6mm 400個入り</t>
  </si>
  <si>
    <t>https://www.monotaro.com/p/0550/3276/?t.q=M3%206mm%20%82%CB%82%B6</t>
  </si>
  <si>
    <t>六角ナット1種(鉄/ユニクローム) パック入り</t>
  </si>
  <si>
    <t>M3 400個入り</t>
  </si>
  <si>
    <t>https://www.monotaro.com/p/0552/9167/?t.q=M3%20%83i%83b%83g</t>
  </si>
  <si>
    <t>M4x20mm 皿頭小ねじ</t>
  </si>
  <si>
    <t>M4 20mmm 12本入り</t>
  </si>
  <si>
    <t>EA949TF-420</t>
  </si>
  <si>
    <t>https://www.monotaro.com/g/02451802/?t.q=M4%2020mm%20%8EM%82%CB%82%B6</t>
  </si>
  <si>
    <t>六角ナット3種(鉄/ユニクロ)</t>
  </si>
  <si>
    <t>M8 25個入り</t>
  </si>
  <si>
    <t>M8</t>
  </si>
  <si>
    <t>https://www.monotaro.com/p/4222/0342/?t.q=M8%81%40%83i%83b%83g</t>
  </si>
  <si>
    <t>ウォーム SUS304</t>
  </si>
  <si>
    <t>協育歯車</t>
  </si>
  <si>
    <t>W50SUR1+B</t>
  </si>
  <si>
    <t>https://www.monotaro.com/g/01371214/?t.q=W50SUR</t>
  </si>
  <si>
    <t>ウォームホイール モジュール0.5 ポリアセタール(青色)</t>
  </si>
  <si>
    <t>G50BP 60-R1</t>
  </si>
  <si>
    <t>https://www.monotaro.com/g/02384991/?t.q=G50BP60</t>
  </si>
  <si>
    <t xml:space="preserve">接地アダプター </t>
  </si>
  <si>
    <t>定格15A125V</t>
  </si>
  <si>
    <t>https://www.monotaro.com/p/3709/9754/</t>
  </si>
  <si>
    <t>黒色, 10個入り</t>
  </si>
  <si>
    <t>https://www.monotaro.com/g/00257431/?t.q=%83o%83i%83i</t>
  </si>
  <si>
    <t>赤色, 10個入り</t>
  </si>
  <si>
    <t>Ａｒｄｕｉｎｏ　Ｎａｎｏ　Ｅｖｅｒｙ　（半完成品セミキット）</t>
  </si>
  <si>
    <t>・搭載マイコン：ATMega4809(ブートローダー書込済)</t>
  </si>
  <si>
    <t>Arduino Srl(アルドゥイーノエスアールエル)</t>
  </si>
  <si>
    <t>K-15200</t>
  </si>
  <si>
    <t>ABX00028</t>
  </si>
  <si>
    <t>http://akizukidenshi.com/catalog/g/gK-15200/</t>
  </si>
  <si>
    <t>片面ガラスコンポジット・ユニバーサル基板　Ｃタイプ</t>
  </si>
  <si>
    <t>７２×４７ｍｍ</t>
  </si>
  <si>
    <t>P-03229</t>
  </si>
  <si>
    <t>http://akizukidenshi.com/catalog/g/gP-03229/</t>
  </si>
  <si>
    <t>ステッピングモーター　ＳＰＧ２７－１１０１</t>
  </si>
  <si>
    <t>日本電産株式会社(Nidec)</t>
  </si>
  <si>
    <t>P-11839</t>
  </si>
  <si>
    <t>SPG27-1101</t>
  </si>
  <si>
    <t>http://akizukidenshi.com/catalog/g/gP-11839/</t>
  </si>
  <si>
    <t>ステッピング＆ＤＣモータドライバモジュール</t>
  </si>
  <si>
    <t>K-09848</t>
  </si>
  <si>
    <t>AE-DRV8835-S</t>
  </si>
  <si>
    <t>http://akizukidenshi.com/catalog/g/gK-09848/</t>
  </si>
  <si>
    <t>２．１ｍｍ標準ＤＣジャック⇔スクリュー端子台</t>
  </si>
  <si>
    <t>超小型スイッチングＡＣアダプター１２Ｖ１Ａ</t>
  </si>
  <si>
    <t>１２Ｖ１Ａ</t>
  </si>
  <si>
    <t>Go Forward Enterprise Corp.</t>
  </si>
  <si>
    <t>M-01804</t>
  </si>
  <si>
    <t>GF12-US1210</t>
  </si>
  <si>
    <t>http://akizukidenshi.com/catalog/g/gM-01804/</t>
  </si>
  <si>
    <t>ターミナルブロック　２ピン（緑）（縦）小</t>
  </si>
  <si>
    <t>2ピン　緑</t>
  </si>
  <si>
    <t>P-02333</t>
  </si>
  <si>
    <t>TB111-2-2-E-1-1</t>
  </si>
  <si>
    <t>http://akizukidenshi.com/catalog/g/gP-02333/</t>
  </si>
  <si>
    <t>USB-A　USB-Aケーブル</t>
  </si>
  <si>
    <t>3m</t>
  </si>
  <si>
    <t>サンワサプライ</t>
  </si>
  <si>
    <t>KB-USB-A3K2</t>
  </si>
  <si>
    <t>https://www.monotaro.com/p/2075/7126/?t.q=USB-A%81%40USB-A</t>
  </si>
  <si>
    <t>USB-A USB-B micro</t>
  </si>
  <si>
    <t>1.2m</t>
  </si>
  <si>
    <t>U2C-JAMB12BK</t>
  </si>
  <si>
    <t>https://www.monotaro.com/p/1798/7402/?t.q=USB%83P%81%5B%83u%83%8B%20MicroB</t>
  </si>
  <si>
    <t>3D プリンタ　フィラメント</t>
  </si>
  <si>
    <t>PLA 1kg 白</t>
  </si>
  <si>
    <t>Polymaker</t>
  </si>
  <si>
    <t>https://www.poly-maker.jp/polylite-pla.html</t>
  </si>
  <si>
    <t>MICROB USB BREAKOUT</t>
  </si>
  <si>
    <t>USB MICRO B</t>
  </si>
  <si>
    <t>1568-1194-ND</t>
  </si>
  <si>
    <t>BOB-12035</t>
  </si>
  <si>
    <t>breakout board</t>
  </si>
  <si>
    <t>https://www.digikey.jp/product-detail/ja/sparkfun-electronics/BOB-12035/1568-1194-ND/5673780</t>
  </si>
  <si>
    <t>for testing USB connection only</t>
  </si>
  <si>
    <t>CONN RCPT USB2.0 TYPEA 4POS R/A</t>
  </si>
  <si>
    <t>USB-A (USB TYPE-A) USB 2.0 Receptacle Connector 4 Position Through Hole, Right Angle</t>
  </si>
  <si>
    <t>through hole, right angle</t>
  </si>
  <si>
    <t>CONN RCPT USB2.0 MICRO B SMD R/A</t>
  </si>
  <si>
    <t>USB - micro B USB 2.0 Receptacle Connector 5 Position Surface Mount, Right Angle; Through Hole</t>
  </si>
  <si>
    <t>609-4050-1-ND</t>
  </si>
  <si>
    <t>10103594-0001LF</t>
  </si>
  <si>
    <t>Surface Mount, Right Angle; Through Hole</t>
  </si>
  <si>
    <t>https://www.digikey.jp/product-detail/en/amphenol-icc-fci/10103594-0001LF/609-4050-1-ND/2350357</t>
  </si>
  <si>
    <t>USB 2.0 A FEMALE TO USB 2.0 MICR</t>
  </si>
  <si>
    <t>USB 2.0 Cable USB-A Receptacle to Micro USB-B Plug 3.28 ft (1.00m) Shielded</t>
  </si>
  <si>
    <t>Q1117-ND</t>
  </si>
  <si>
    <t>3021069-01M</t>
  </si>
  <si>
    <t>https://www.digikey.jp/product-detail/ja/qualtek/3021069-01M/Q1117-ND/7795319</t>
  </si>
  <si>
    <t>CBL USB A RECEPT 1M</t>
  </si>
  <si>
    <t>USB 2.0 Cable A Female to Cable (Round) 3.28 Feet (1.00m) Shielded</t>
  </si>
  <si>
    <t>Tensility International Corp</t>
  </si>
  <si>
    <t>839-10-03390-ND</t>
  </si>
  <si>
    <t>10-03390</t>
  </si>
  <si>
    <t>https://www.digikey.jp/product-detail/ja/tensility-international-corp/10-03390/839-10-03390-ND/11193733</t>
  </si>
  <si>
    <t>Sanhayato Eurocard Expansion Board ICB-035</t>
  </si>
  <si>
    <t>supporting 2.0/2.5 mm pitch 160mm x 115mm</t>
  </si>
  <si>
    <t>Sun Hayato</t>
  </si>
  <si>
    <t xml:space="preserve">505-3554 </t>
  </si>
  <si>
    <t>ICB-035</t>
  </si>
  <si>
    <t>universal board</t>
  </si>
  <si>
    <t>https://jp.rs-online.com/web/p/extender-boards-adapters/5053554/?sra=pmpn</t>
  </si>
  <si>
    <t>ArcGIS Academic Pack (small)</t>
  </si>
  <si>
    <t>UPS(BIRDS4)</t>
  </si>
  <si>
    <t>ArcGIS Academic License Pack (5 licenses)</t>
  </si>
  <si>
    <t>ESRI</t>
  </si>
  <si>
    <t>Research(Remote Sensing)</t>
  </si>
  <si>
    <t>Remote Sensing</t>
  </si>
  <si>
    <t>A&amp;B Apartment</t>
  </si>
  <si>
    <t>https://www.esrij.com/products/arcgis-desktop/prices/academic/</t>
  </si>
  <si>
    <t>ディゾルビット</t>
  </si>
  <si>
    <t>シリコン性コーキング　剥がし剤，油汚れ落とし，オレンジオイル</t>
  </si>
  <si>
    <t>Breakout board</t>
  </si>
  <si>
    <t>LCMXO2-7000HE MachXO2 Evaluation Board</t>
  </si>
  <si>
    <t>220-2625-ND</t>
  </si>
  <si>
    <t>LCMXO2-7000HE-B-EVN</t>
  </si>
  <si>
    <t>https://www.digikey.jp/product-detail/en/lattice-semiconductor-corporation/LCMXO2-7000HE-B-EVN/220-2625-ND/3906092</t>
  </si>
  <si>
    <t>Receptacle connector 2x20</t>
  </si>
  <si>
    <t>SAM1212-10-ND</t>
  </si>
  <si>
    <t>SSW-110-01-T-D</t>
  </si>
  <si>
    <t>https://www.digikey.jp/product-detail/en/samtec-inc/SSW-110-01-T-D/SAM1212-10-ND/1112246</t>
  </si>
  <si>
    <t>Receptacle connector 2x15</t>
  </si>
  <si>
    <t>SAM1212-15-ND</t>
  </si>
  <si>
    <t>SSW-115-01-T-D</t>
  </si>
  <si>
    <t>https://www.digikey.jp/product-detail/en/samtec-inc/SSW-115-01-T-D/SAM1212-15-ND/1112241</t>
  </si>
  <si>
    <t>返信用切手</t>
  </si>
  <si>
    <t>82円切手, 地上局代表者変更申請</t>
  </si>
  <si>
    <t>M3 20mm 皿ねじ</t>
  </si>
  <si>
    <t>M3 20mm 黒色 20本入り</t>
  </si>
  <si>
    <t>EA949TF-320</t>
  </si>
  <si>
    <t>https://www.monotaro.com/g/02451795/?t.q=M3%20%8EM%2020mm</t>
  </si>
  <si>
    <t>M2.6 3mm長　イモネジ</t>
  </si>
  <si>
    <t>M2.6 3mm 平先 13個入り</t>
  </si>
  <si>
    <t>2.6×3</t>
  </si>
  <si>
    <t>https://www.monotaro.com/p/4154/7581/?t.q=%83C%83%82%83l%83W</t>
  </si>
  <si>
    <t>ラズパイ用　I/O BOARD</t>
  </si>
  <si>
    <t>７２ｘ４７ｍｍ ユニバーサル基板</t>
  </si>
  <si>
    <t>両面スルーホール　Ｃタイプ　７２ｘ４７ｍｍ</t>
  </si>
  <si>
    <t>両面スルーホール　Ｃタイプ</t>
  </si>
  <si>
    <t>９５×７２ｍｍ ユニバーサル基板</t>
  </si>
  <si>
    <t>両面スルーホール　Ｂタイプ　９５×７２ｍｍ</t>
  </si>
  <si>
    <t>P-07465</t>
  </si>
  <si>
    <t>AE-B3</t>
  </si>
  <si>
    <t>両面スルーホール　Bタイプ</t>
  </si>
  <si>
    <t>https://akizukidenshi.com/catalog/g/gP-07465/</t>
  </si>
  <si>
    <t>３.３Ｖ レギュレーター</t>
  </si>
  <si>
    <t>出力電圧3.3V　最大出力電流1A　表面実装(SOT-223)</t>
  </si>
  <si>
    <t>I-12635</t>
  </si>
  <si>
    <t>ADP3338AKCZ-3.3</t>
  </si>
  <si>
    <t>表面実装(SOT-223)</t>
  </si>
  <si>
    <t>https://akizukidenshi.com/catalog/g/gI-12635/</t>
  </si>
  <si>
    <t>カーボン抵抗　１ｋΩ</t>
  </si>
  <si>
    <t>誤差：±５％　定格電力：１／４Ｗ　１ｋΩ</t>
  </si>
  <si>
    <t>CF25J1KB</t>
  </si>
  <si>
    <t>R-25102</t>
  </si>
  <si>
    <t>カーボン抵抗</t>
  </si>
  <si>
    <t>https://akizukidenshi.com/catalog/g/gR-25102/</t>
  </si>
  <si>
    <t>カーボン抵抗　100Ω</t>
  </si>
  <si>
    <t>誤差：±５％　定格電力：１／４Ｗ　100Ω</t>
  </si>
  <si>
    <t>CF25J100RB</t>
  </si>
  <si>
    <t>R-25101</t>
  </si>
  <si>
    <t>https://akizukidenshi.com/catalog/g/gR-25101/</t>
  </si>
  <si>
    <t>カーボン抵抗　３30Ω</t>
  </si>
  <si>
    <t>誤差：±５％　定格電力：１／４Ｗ　３30Ω</t>
  </si>
  <si>
    <t>CF25J330RB</t>
  </si>
  <si>
    <t>R-25331</t>
  </si>
  <si>
    <t>https://akizukidenshi.com/catalog/g/gR-25331/</t>
  </si>
  <si>
    <t>1/2 inch VCR female-male elbow</t>
  </si>
  <si>
    <t>Joseph A. OFOSU</t>
  </si>
  <si>
    <t>1/2 inch VCR female-1/2 inch VCR male, 90 deg. elbow</t>
  </si>
  <si>
    <t>SPLEAD/ Swagelok</t>
  </si>
  <si>
    <t>SPLEAD</t>
  </si>
  <si>
    <t>https://www.splead.jp/company.html</t>
  </si>
  <si>
    <t>1/2 inch VCR gasket</t>
  </si>
  <si>
    <t>1/2 inch VCR gasket with retainer assembly</t>
  </si>
  <si>
    <t>31.5inch Monitor</t>
  </si>
  <si>
    <t>MEXT2020(OPERA)</t>
  </si>
  <si>
    <t>LG 32UL950-W</t>
  </si>
  <si>
    <t>32UL950-W</t>
  </si>
  <si>
    <t>OPERA</t>
  </si>
  <si>
    <t>HIL</t>
  </si>
  <si>
    <t>4F Chamber Room</t>
  </si>
  <si>
    <t>https://www.amazon.co.jp/LG-32UL950-W-DisplayHDR600-Thunderbolt3%C3%972%E3%80%81HDMI%E3%80%81DP-%E3%83%94%E3%83%9C%E3%83%83%E3%83%88%E3%80%81%E9%AB%98%E3%81%95%E8%AA%BF%E7%AF%80/dp/B07HRZJ73M/ref=sr_1_1?__mk_ja_JP=%E3%82%AB%E3%82%BF%E3%82%AB%E3%83%8A&amp;dchild=1&amp;keywords=32UL950-W&amp;qid=1599812191&amp;sr=8-1</t>
  </si>
  <si>
    <t>M12ワッシャ 材質：SUS304</t>
  </si>
  <si>
    <t>M4ボルト</t>
  </si>
  <si>
    <t>M4 L22 材質：ステンレス</t>
  </si>
  <si>
    <t>CSHHA-SUS-M4-22</t>
  </si>
  <si>
    <t>https://jp.misumi-ec.com/vona2/detail/221005681443/?CategorySpec=00000217065%3a%3amig00000002462152%0900000217017%3a%3a22%2cmig00000002466061%0900000217082%3a%3aa%0900000217131%3a%3ab</t>
  </si>
  <si>
    <t>M4 L12 材質：ステンレス</t>
  </si>
  <si>
    <t>CSHHA-SUS-M4-12</t>
  </si>
  <si>
    <t>https://jp.misumi-ec.com/vona2/detail/221005681443/?CategorySpec=00000217065%3a%3amig00000002462152%0900000217017%3a%3a12%2cmig00000002466051%0900000217082%3a%3aa%0900000217131%3a%3ab%0900000217143%3a%3aa</t>
  </si>
  <si>
    <t>クリップライト</t>
  </si>
  <si>
    <t>クリップライト 38 LED AC電源アダプタ付属 3段調色 暖色 昼光色 白色 10段調光 1000ルーメン</t>
  </si>
  <si>
    <t>Semlos</t>
  </si>
  <si>
    <t>B086Y8PJSC</t>
  </si>
  <si>
    <t>https://www.amazon.co.jp/gp/product/B086Y8PJSC/ref=ox_sc_act_title_1?smid=A343ZHB67WZLQ2&amp;psc=1</t>
  </si>
  <si>
    <t>USBコネクタ</t>
  </si>
  <si>
    <t>USBコネクタ, メス TE Connectivity, ポート数:1</t>
  </si>
  <si>
    <t>718-7224</t>
  </si>
  <si>
    <t>1734366-1</t>
  </si>
  <si>
    <t>https://jp.rs-online.com/web/p/usb-connectors/7187224/</t>
  </si>
  <si>
    <t>USBコネクタ, オス</t>
  </si>
  <si>
    <t>USBコネクタ, オス Lumberg</t>
  </si>
  <si>
    <t>737-8805</t>
  </si>
  <si>
    <t>https://jp.rs-online.com/web/p/usb-connectors/7378805/</t>
  </si>
  <si>
    <t>リテルヒューズ管ヒューズ 2A (速断型) 6.3 x 32mm 250V ac</t>
  </si>
  <si>
    <t>Littelfuse</t>
  </si>
  <si>
    <t>262-699</t>
  </si>
  <si>
    <t>312002P</t>
  </si>
  <si>
    <t>https://jp.rs-online.com/web/p/cartridge-fuses/0262699/</t>
  </si>
  <si>
    <t>ヒューズホルダ</t>
  </si>
  <si>
    <t>基板取り付けヒューズホルダ 10A 5 x 20 mm, 6.3 x 32 mm用 カートリッジヒューズ 600V ac 0751.0056</t>
  </si>
  <si>
    <t>167-6951</t>
  </si>
  <si>
    <t>https://jp.rs-online.com/web/p/pcb-mounts/1676951/</t>
  </si>
  <si>
    <t>DC-DCコンバータ</t>
  </si>
  <si>
    <t>DC-DCコンバータ,定格：4.95W</t>
  </si>
  <si>
    <t>Murata Power Solutions</t>
  </si>
  <si>
    <t>173-7061P</t>
  </si>
  <si>
    <t>OKI-78SR-3.3/1.5-W36H-C</t>
  </si>
  <si>
    <t>https://jp.rs-online.com/web/p/switching-regulators/1737061P/</t>
  </si>
  <si>
    <t>スイッチングレギュレータ,定格：7.5W</t>
  </si>
  <si>
    <t>796-2138</t>
  </si>
  <si>
    <t>OKI-78SR-5/1.5-W36H-C</t>
  </si>
  <si>
    <t>https://jp.rs-online.com/web/p/switching-regulators/7962138/</t>
  </si>
  <si>
    <t>ショットキー</t>
  </si>
  <si>
    <t>オンセミ, 整流ダイオード, 1A, 20V 表面実装, 2-Pin POWERMITE ショットキー 530mV</t>
  </si>
  <si>
    <t>781-5818</t>
  </si>
  <si>
    <t>MBRM120ET3G</t>
  </si>
  <si>
    <t>https://jp.rs-online.com/web/p/rectifier-diodes-schottky-diodes/7815818/</t>
  </si>
  <si>
    <t>セラミックコンデンサ</t>
  </si>
  <si>
    <t>セラミックコンデンサ(MLCC) 47μF 16V dc ±10%</t>
  </si>
  <si>
    <t>846-7369</t>
  </si>
  <si>
    <t>GRM32EC81C476KE15L</t>
  </si>
  <si>
    <t>https://jp.rs-online.com/web/p/mlccs-multilayer-ceramic-capacitors/8467369/</t>
  </si>
  <si>
    <t>コネクタハウジング メス</t>
  </si>
  <si>
    <t>JST コネクタハウジング メス 2極 1列 2.5mm EHシリーズ</t>
  </si>
  <si>
    <t>https://jp.rs-online.com/web/p/wire-housings-plugs/3116209/</t>
  </si>
  <si>
    <t>JST 基板接続用ピンヘッダ EHシリーズ 2極 2.5mm 1列 ライトアングル</t>
  </si>
  <si>
    <t>https://jp.rs-online.com/web/p/pcb-headers/5151305/</t>
  </si>
  <si>
    <t>トグルスイッチ</t>
  </si>
  <si>
    <t>RS PRO トグルスイッチ On-Off-On SPDT パネルマウント 5 A @ 250 V ac</t>
  </si>
  <si>
    <t>734-7123</t>
  </si>
  <si>
    <t>https://jp.rs-online.com/web/p/toggle-switches/7347123/</t>
  </si>
  <si>
    <t>シリーズLED色: 黄 スルーホール実装 2.05 V</t>
  </si>
  <si>
    <t>Kingbright</t>
  </si>
  <si>
    <t>229-2504</t>
  </si>
  <si>
    <t>L-424YDT</t>
  </si>
  <si>
    <t>https://jp.rs-online.com/web/p/leds/2292504/</t>
  </si>
  <si>
    <t>オレンジ スルーホール実装 2 V</t>
  </si>
  <si>
    <t>262-2933</t>
  </si>
  <si>
    <t>L-934SED</t>
  </si>
  <si>
    <t>https://jp.rs-online.com/web/p/leds/2622933/</t>
  </si>
  <si>
    <t>GPS Receiver</t>
  </si>
  <si>
    <t>Fury</t>
  </si>
  <si>
    <t>Jackson Labs Technologies</t>
  </si>
  <si>
    <t>DS Technology</t>
  </si>
  <si>
    <t>FURY-10M double oven</t>
  </si>
  <si>
    <t>http://www.jackson-labs.com/index.php/products/fury</t>
  </si>
  <si>
    <t>CPLD 評価基板</t>
  </si>
  <si>
    <t>Yukihisa Otani</t>
  </si>
  <si>
    <t>LC4256ZE-5TN144C ispMACH®4000ZE CPLD 評価ボード</t>
  </si>
  <si>
    <t xml:space="preserve">	Lattice Semiconductor Corporation</t>
  </si>
  <si>
    <t>220-1146-ND</t>
  </si>
  <si>
    <t>LC4256ZE-B-EVN</t>
  </si>
  <si>
    <t>https://www.digikey.jp/product-detail/ja/lattice-semiconductor-corporation/LC4256ZE-B-EVN/220-1146-ND/2641947</t>
  </si>
  <si>
    <t>CPLD プログラマ</t>
  </si>
  <si>
    <t>Lattice Semiconductor Flywire ケーブルプログラマ</t>
  </si>
  <si>
    <t>Lattice Semiconductor</t>
  </si>
  <si>
    <t>863-3526</t>
  </si>
  <si>
    <t>HW-USBN-2B</t>
  </si>
  <si>
    <t>https://jp.rs-online.com/web/p/debuggers-programmers-in-circuit-emulators/8633526/?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48572D5553424E2D3242267365617263685F6B6579776F72645F6170703D48572D5553424E2D3242267365617263685F636F6E6669673D3126&amp;searchHistory=%7B%22enabled%22%3Atrue%7D</t>
  </si>
  <si>
    <t>Reaction wheel holder material</t>
  </si>
  <si>
    <t>POM-NC1.5-500-1000</t>
  </si>
  <si>
    <t>camera module (OV 5642)</t>
  </si>
  <si>
    <t>MSN BRD 2</t>
  </si>
  <si>
    <t>camera lens (Lensagon B5M2916C)</t>
  </si>
  <si>
    <t>Camera Lens, 5 Mega M12 Lens, f=2.9mm, F2.0, 1/2.5", 
image height 7.30mm, with IR cut filter</t>
  </si>
  <si>
    <t>updated quote: 331.77 euros
conversion 15/10/2020  1 eur = 123.55 jpy
equivalent price: 40,988.86 yen</t>
  </si>
  <si>
    <t>araldite (Monotaro AR-RT30)</t>
  </si>
  <si>
    <t>393-9448</t>
  </si>
  <si>
    <t>RTV-691-S A (RTV-A &amp;B glue)</t>
  </si>
  <si>
    <t>Dotite 550 conductive glue</t>
  </si>
  <si>
    <t>Ufl-Ufl connector (HNT)</t>
  </si>
  <si>
    <t>Ufl-MMCX connector (GPS)</t>
  </si>
  <si>
    <t>uFL-MMCX</t>
  </si>
  <si>
    <t>MMCX to SMA (VHF)</t>
  </si>
  <si>
    <t>MMCX-SMA</t>
  </si>
  <si>
    <t>Deployment string</t>
  </si>
  <si>
    <t>Deployment switch (bottom) - C&amp;K SDS002R</t>
  </si>
  <si>
    <t>https://www.digikey.jp/product-detail/ja/c-k/SDS002R/CKN10231CT-ND/2218821</t>
  </si>
  <si>
    <t>Rail switch (Omron J-7-V22)</t>
  </si>
  <si>
    <t>Loctite ２６３</t>
  </si>
  <si>
    <t>Liquid color red, Viscosity (mPa · s) 400 ~ 600, 10mL</t>
  </si>
  <si>
    <t xml:space="preserve">
NCHW1-0.5MM-L5</t>
  </si>
  <si>
    <t>Antenna holder (POM)</t>
  </si>
  <si>
    <t>Pickit-4 programmer</t>
  </si>
  <si>
    <t>Microchip PICkit4</t>
  </si>
  <si>
    <t>M-13337</t>
  </si>
  <si>
    <t>https://akizukidenshi.com/catalog/g/gM-13337/</t>
  </si>
  <si>
    <t>Programming board RAB connector</t>
  </si>
  <si>
    <t>CONN HEADER SMD 24POS 1.27MM (male)</t>
  </si>
  <si>
    <t>main bus</t>
  </si>
  <si>
    <t>RAB connector</t>
  </si>
  <si>
    <t>CONN HDR 24POS 0.05 GOLD SMD</t>
  </si>
  <si>
    <t>S9007E-12-ND</t>
  </si>
  <si>
    <t>LPPB122NFSP-RC</t>
  </si>
  <si>
    <t>https://www.digikey.jp/products/en?keywords=S9007E-12-ND</t>
  </si>
  <si>
    <t>Programming board connector to RAB</t>
  </si>
  <si>
    <t>CONN HEADER VERT 10POS 2.54MM</t>
  </si>
  <si>
    <t>Adam Tech</t>
  </si>
  <si>
    <t>2057-PH1-10-UA-ND</t>
  </si>
  <si>
    <t>PH1-10-UA</t>
  </si>
  <si>
    <t>https://www.digikey.jp/product-detail/en/adam-tech/PH1-10-UA/2057-PH1-10-UA-ND/9830653</t>
  </si>
  <si>
    <t>connector for FAB charging, UART and voltage reading</t>
  </si>
  <si>
    <t>CONN HEADER SMD 24POS 1.27MM</t>
  </si>
  <si>
    <t>609-3733-ND</t>
  </si>
  <si>
    <t>20021121-00024T4LF</t>
  </si>
  <si>
    <t>https://www.digikey.jp/product-detail/en/amphenol-icc-fci/20021121-00024T4LF/609-3733-ND/2209095</t>
  </si>
  <si>
    <t>ST-LINK/V2 (ADCS programmer)</t>
  </si>
  <si>
    <t>akizuki denshi</t>
  </si>
  <si>
    <t>M-04012</t>
  </si>
  <si>
    <t>https://akizukidenshi.com/catalog/g/gM-04012/</t>
  </si>
  <si>
    <t>CAM MCU programmer (ADCS programmer)</t>
  </si>
  <si>
    <t>At AVRISP MKII Fit AVR ISP MK2 USB MCU AVR XMEGA insisutemupurogurama- Studio 4/5/6 ISP/PDI Interface Atmega/ATtiny/ATXMega/ATtiny/Other Models</t>
  </si>
  <si>
    <t>Wal frontch3davwqx7</t>
  </si>
  <si>
    <t>https://www.amazon.co.jp/-/en/AVRISP-MK2-USB-insisutemupurogurama-Interface-ATXMega/dp/B07GTJC2CW/ref=sr_1_3?dchild=1&amp;keywords=Atmel+AVR+ISP+MK2+MKII+ATMEL+AVR&amp;qid=1600356492&amp;s=industrial&amp;sr=1-3</t>
  </si>
  <si>
    <t>FTDI cable (CAM programming)</t>
  </si>
  <si>
    <t>Antenna material</t>
  </si>
  <si>
    <t>http://www.onk-phnx.co.jp/steel/index.html</t>
  </si>
  <si>
    <t>Spacer C-317-5</t>
  </si>
  <si>
    <t>https://hirosugi.co.jp/products/POM/C.html#bx3</t>
  </si>
  <si>
    <t>Spacer C-302.5-5</t>
  </si>
  <si>
    <t>Spacer C-305-0</t>
  </si>
  <si>
    <t>Spacer C-305-5</t>
  </si>
  <si>
    <t>5.5 mm Spacer</t>
  </si>
  <si>
    <t>C-305-5</t>
  </si>
  <si>
    <t>Spacer C-306-0</t>
  </si>
  <si>
    <t>6 mm Spacer</t>
  </si>
  <si>
    <t>Spacer C-308-0</t>
  </si>
  <si>
    <t>8 mm Spacer</t>
  </si>
  <si>
    <t>Spacer C-309-0</t>
  </si>
  <si>
    <t>Spacer C-309-5</t>
  </si>
  <si>
    <t>Spacer C-315-0</t>
  </si>
  <si>
    <t>15 mm Spacer</t>
  </si>
  <si>
    <t>C-315</t>
  </si>
  <si>
    <t>Spacer CU-305PH D3-L5</t>
  </si>
  <si>
    <t>Coil insert ES-M2-0.4-2D-SUS</t>
  </si>
  <si>
    <t>Screw CBSTSR2-4</t>
  </si>
  <si>
    <t>Screw CBSTSR2-5</t>
  </si>
  <si>
    <t>Screw CBSTSR2-6</t>
  </si>
  <si>
    <t>Screw CBSTSR3-10</t>
  </si>
  <si>
    <t>Screw SLHS-M2-8</t>
  </si>
  <si>
    <t>Screw SNSS-M2-5</t>
  </si>
  <si>
    <t>Screw SNSS-M2-6-SD</t>
  </si>
  <si>
    <t>Screw SNSS-M1.6-5</t>
  </si>
  <si>
    <t>Screw SNSS-M2-4</t>
  </si>
  <si>
    <t>Screw SNSS-M2-4-SD</t>
  </si>
  <si>
    <t>Screw SNSS-M3-6-FC</t>
  </si>
  <si>
    <t>Screw SSHS-M2-6</t>
  </si>
  <si>
    <t>https://jp.misumi-ec.com/vona2/detail/221000349089/?PNSearch=SSHS-M2X6&amp;HissuCode=SSHS-M2X6&amp;searchFlow=suggest2products&amp;Keyword=SSHS-M2X6</t>
  </si>
  <si>
    <t>Screw SSHS-M2-8</t>
  </si>
  <si>
    <t>Nut SHNS-M2</t>
  </si>
  <si>
    <t>Nut SLBNR3</t>
  </si>
  <si>
    <t>battery</t>
  </si>
  <si>
    <t>BIRDS-4S/BIRDS5</t>
  </si>
  <si>
    <t>battery heater</t>
  </si>
  <si>
    <t>lambda gel insulator</t>
  </si>
  <si>
    <t>223-1557-ND</t>
  </si>
  <si>
    <t>connector A (battery)</t>
  </si>
  <si>
    <t>connector B( heater and sensor)</t>
  </si>
  <si>
    <t>Female socket</t>
  </si>
  <si>
    <t>https://www.digikey.jp/product-detail/en/jst-sales-america-inc/PAP-04V-S/455-1488-ND/759976</t>
  </si>
  <si>
    <t>crimp socket</t>
  </si>
  <si>
    <t>https://www.digikey.jp/product-detail/en/jst-sales-america-inc/SPHD-001T-P0-5/455-1325-1-ND/608808</t>
  </si>
  <si>
    <t>M4 2.5D SUS304</t>
  </si>
  <si>
    <t>MISUIMI</t>
  </si>
  <si>
    <t>https://jp.misumi-ec.com/vona2/detail/221000768107/?CategorySpec=00000217160%3a%3aa%0900000217157%3a%3aa%0900000217161%3a%3aa%0900000217156%3a%3amig00000002477241%0900000217153%3a%3ad</t>
  </si>
  <si>
    <t>M3ヘリサット</t>
  </si>
  <si>
    <t>M3 3D SUS304</t>
  </si>
  <si>
    <t>https://jp.misumi-ec.com/vona2/detail/221000768107/?CategorySpec=00000217160%3a%3aa%0900000217157%3a%3aa%0900000217161%3a%3aa%0900000217156%3a%3amig00000002477238%0900000217153%3a%3ae</t>
  </si>
  <si>
    <t>50:50 Non-Polarizing Beamsplitter Cube</t>
  </si>
  <si>
    <t xml:space="preserve"> 400 - 700 nm, 1"</t>
  </si>
  <si>
    <t>BS013</t>
  </si>
  <si>
    <t>￥29,260</t>
  </si>
  <si>
    <t>Platform Mount  Beamsplitters and Right-Angle Prisms</t>
  </si>
  <si>
    <t>for 1" or 25.0 mm, M4 Tap</t>
  </si>
  <si>
    <t>BSH1/M</t>
  </si>
  <si>
    <t>￥6,471</t>
  </si>
  <si>
    <t>N-BK7 Plano-Convex Lens Uncoated</t>
  </si>
  <si>
    <t>Ø1.5", f = 50 mm</t>
  </si>
  <si>
    <t>LA1385</t>
  </si>
  <si>
    <t>￥3,991</t>
  </si>
  <si>
    <t>Lens Mount with Retaining Ring for Ø1.5" Optics, M4 Tap</t>
  </si>
  <si>
    <t>Ø1.5" Optics, M4 Tap</t>
  </si>
  <si>
    <t>LMR1.5/M</t>
  </si>
  <si>
    <t>￥3,376</t>
  </si>
  <si>
    <t>Mini-Series Adapter with External M4 Threads and Internal M3 Threads</t>
  </si>
  <si>
    <t>M4 Threads and Internal M3 Threads</t>
  </si>
  <si>
    <t>MSA4/M</t>
  </si>
  <si>
    <t>￥703</t>
  </si>
  <si>
    <t>￥1,406</t>
  </si>
  <si>
    <t>Mini-Series Optical Post, Ø6 mm, L = 75 mm</t>
  </si>
  <si>
    <t>Ø6 mm, L = 75 mm</t>
  </si>
  <si>
    <t>￥1,099</t>
  </si>
  <si>
    <t>￥2,198</t>
  </si>
  <si>
    <t>Swivel-Base Mini-Series Post Holder, 2" (51 mm) Tall, 1/4" (M6) Slot</t>
  </si>
  <si>
    <t>2" (51 mm) Tall, 1/4" (M6) Slot</t>
  </si>
  <si>
    <t>￥5,100</t>
  </si>
  <si>
    <t>￥10,200</t>
  </si>
  <si>
    <t>SMA Coaxial Cable, SMA Male to SMA Male</t>
  </si>
  <si>
    <t>12" (304 mm)</t>
  </si>
  <si>
    <t>CA2912</t>
  </si>
  <si>
    <t>￥2,040</t>
  </si>
  <si>
    <t>￥4,080</t>
  </si>
  <si>
    <t>64-element Si photodiode array</t>
  </si>
  <si>
    <t>S13620-02</t>
  </si>
  <si>
    <t>￥44.990</t>
  </si>
  <si>
    <t>￥1027</t>
  </si>
  <si>
    <t>￥5135</t>
  </si>
  <si>
    <t>Bluetooth Mate Silver</t>
  </si>
  <si>
    <t>WRL-12576</t>
  </si>
  <si>
    <t>￥1466</t>
  </si>
  <si>
    <t>￥2932</t>
  </si>
  <si>
    <t>Lithium Ion Battery - 1Ah</t>
  </si>
  <si>
    <t>PRT-13813</t>
  </si>
  <si>
    <t>￥522</t>
  </si>
  <si>
    <t>￥1044</t>
  </si>
  <si>
    <t>Qwiic Shield for Arduino</t>
  </si>
  <si>
    <t>￥364.5</t>
  </si>
  <si>
    <t>￥729</t>
  </si>
  <si>
    <t>￥15.7</t>
  </si>
  <si>
    <t>￥157</t>
  </si>
  <si>
    <t>Triple Axis Accelerometer Breakout - MMA8452Q (Qwiic)</t>
  </si>
  <si>
    <t>SEN-14587</t>
  </si>
  <si>
    <t>￥1253</t>
  </si>
  <si>
    <t>￥1254</t>
  </si>
  <si>
    <t>USB 3.1 Cable A to C - 3 Foot</t>
  </si>
  <si>
    <t>CAB-14743</t>
  </si>
  <si>
    <t>￥519</t>
  </si>
  <si>
    <t>microSD Card with Adapter - 32GB (Class 10)</t>
  </si>
  <si>
    <t>COM-14832</t>
  </si>
  <si>
    <t>￥1309</t>
  </si>
  <si>
    <t>￥2618</t>
  </si>
  <si>
    <t>SparkFun Qwiic Cable Kit</t>
  </si>
  <si>
    <t>KIT-15081</t>
  </si>
  <si>
    <t>￥838</t>
  </si>
  <si>
    <t>microSD Card - 1GB (Class 4)</t>
  </si>
  <si>
    <t>COM-15107</t>
  </si>
  <si>
    <t>SparkFun RTK2 Board - ZED-F9P (Qwiic)</t>
  </si>
  <si>
    <t>￥23079</t>
  </si>
  <si>
    <t>SparkFun Qwiic OpenLog</t>
  </si>
  <si>
    <t>DEV-15164</t>
  </si>
  <si>
    <t>￥889</t>
  </si>
  <si>
    <t>￥1778</t>
  </si>
  <si>
    <t>Wall Adapter Power Supply - 9VDC, 650mA (Barrel Jack)</t>
  </si>
  <si>
    <t>￥624</t>
  </si>
  <si>
    <t xml:space="preserve"> 9DoF IMU Breakout - ICM-20948 (Qwiic)</t>
  </si>
  <si>
    <t>SEN-15335</t>
  </si>
  <si>
    <t>Real Time Clock Module - RV-8803 (Qwiic)</t>
  </si>
  <si>
    <t>BOB-16281</t>
  </si>
  <si>
    <t>￥784</t>
  </si>
  <si>
    <t>￥1568</t>
  </si>
  <si>
    <t xml:space="preserve"> 20x4 SerLCD - RGB Backlight (Qwiic)</t>
  </si>
  <si>
    <t>LCD-16398</t>
  </si>
  <si>
    <t>Qwiic Mux Breakout - 8 Channel (TCA9548A)</t>
  </si>
  <si>
    <t>BOB-16784</t>
  </si>
  <si>
    <t>￥627</t>
  </si>
  <si>
    <t>OpenLog Artemis</t>
  </si>
  <si>
    <t>DEV-16832</t>
  </si>
  <si>
    <t>￥5241</t>
  </si>
  <si>
    <t>Analog/Digital MUX Breakout - CD74HC4067</t>
  </si>
  <si>
    <t xml:space="preserve">16  to 1 Demultiplexer </t>
  </si>
  <si>
    <t>BOB-09056</t>
  </si>
  <si>
    <t>￥579.25</t>
  </si>
  <si>
    <t>￥4634</t>
  </si>
  <si>
    <t>サーミスタ</t>
  </si>
  <si>
    <t>大城</t>
  </si>
  <si>
    <t>NTC（負温度係数）サーミスタ</t>
  </si>
  <si>
    <t>824-GAG10K3976A1</t>
  </si>
  <si>
    <t>GAG10K3976A1</t>
  </si>
  <si>
    <t>SVBL 2F STAFFROOM</t>
  </si>
  <si>
    <t>https://www.mouser.jp/ProductDetail/Measurement-Specialties/GAG10K3976A1?qs=%2Fha2pyFadug7%2Fjc26bz54PaupGsm3MPD%2F%252Brwx%2F20%252BNQYkApfX0t8Ig==</t>
  </si>
  <si>
    <t>GPIB-USB Cable</t>
  </si>
  <si>
    <t>GPIB-USB-HS+ Windows Version</t>
  </si>
  <si>
    <t>NI</t>
  </si>
  <si>
    <t>783368-01</t>
  </si>
  <si>
    <t>4F control room</t>
  </si>
  <si>
    <t>https://www.ni.com/ja-jp/support/model.gpib-usb-hs-.html</t>
  </si>
  <si>
    <t>収入印紙（BIRDS-4検査料）</t>
  </si>
  <si>
    <t>通信装置２つ追加分　3機</t>
  </si>
  <si>
    <t>USRP B205mini-i</t>
  </si>
  <si>
    <t>Board Only</t>
  </si>
  <si>
    <t>USRP</t>
  </si>
  <si>
    <t>ファインドアウト</t>
  </si>
  <si>
    <t>B205mini-i</t>
  </si>
  <si>
    <t>USRP B210</t>
  </si>
  <si>
    <t>B210</t>
  </si>
  <si>
    <t>VA10820</t>
  </si>
  <si>
    <t>紙谷</t>
  </si>
  <si>
    <t>耐放射線マイクロコントローラ</t>
  </si>
  <si>
    <t>VORAGO TECHNOLOGIES</t>
  </si>
  <si>
    <t xml:space="preserve">VA10820-D0000F0PCA </t>
  </si>
  <si>
    <t>Birds room</t>
  </si>
  <si>
    <t>https://www.mouser.jp/ProductDetail/VORAGO/VA10820-D0000F0PCA?qs=%2Fha2pyFadui%252BWqur9W7BfEY6xGu1atg%252B162MQWUhm0BmXs2MRxutt492x8WSl2x3</t>
  </si>
  <si>
    <t>https://www.digikey.jp/products/en?keywords=%09NCV1117ST18T3GOSCT-ND</t>
  </si>
  <si>
    <t>https://jp.rs-online.com/web/p/pcb-sockets/7793068/</t>
  </si>
  <si>
    <t>ispLEVER Classic License</t>
  </si>
  <si>
    <t>Development Software ispLEVER Classic 12-month Subscription License</t>
  </si>
  <si>
    <t>LSC-SW-ISPLEVER</t>
  </si>
  <si>
    <t>Raspebrry Pi CM3+のパッケージの厚さ測定</t>
  </si>
  <si>
    <t>Kohei Kamitani</t>
  </si>
  <si>
    <t>Raspebrry Pi CM3+のSoCとメモリのパッケージの厚さ測定</t>
  </si>
  <si>
    <t>株式会社デンケン</t>
  </si>
  <si>
    <t>PTFE block (50 mm X 50 mm X 30 mm)</t>
  </si>
  <si>
    <t>3-4924-05</t>
  </si>
  <si>
    <t>https://jp.misumi-ec.com/vona2/detail/223007929767/?HissuCode=3-4924-05</t>
  </si>
  <si>
    <t>KITSUNE, BIRDS-5</t>
  </si>
  <si>
    <t>EPS, Solar Panel Assemby</t>
  </si>
  <si>
    <t>3F Clean room, SVBL</t>
  </si>
  <si>
    <t>crimp interconnect</t>
  </si>
  <si>
    <t>Conn socket 24-30 AWG crimp tin</t>
  </si>
  <si>
    <t>2 Rectangular Connector-Housing Receptacle Natural Color 0.079 inch (2.00 mm)</t>
  </si>
  <si>
    <t xml:space="preserve">	23-0510900200-ND</t>
  </si>
  <si>
    <t>https://www.digikey.jp/products/ja?keywords=Wm8287-ND</t>
  </si>
  <si>
    <t>Temperature sensor-NTC thermosistor</t>
  </si>
  <si>
    <t xml:space="preserve"> NTC thermistor 10k beads, Thermisistor NTC 10K ohm 3976K bead</t>
  </si>
  <si>
    <t>TE connectivity</t>
  </si>
  <si>
    <t xml:space="preserve">	GAG10K3976B1</t>
  </si>
  <si>
    <t>https://www.digikey.jp/products/ja?keywords=GAG%2010K3976B1</t>
  </si>
  <si>
    <t>Shock Absorption Tape 39.37 "L x 0.79" W x 0.04 "H (1000.0mm x 20.0mm x 1.0mm)</t>
  </si>
  <si>
    <t>1880-1099-ND</t>
  </si>
  <si>
    <t>GT-2</t>
  </si>
  <si>
    <t>shock absortiopn tape</t>
  </si>
  <si>
    <t>https://www.digikey.jp/product-detail/ja/taica-north-america-corporation/GT-2/1880-1099-ND/8074107</t>
  </si>
  <si>
    <t>Panduit Corp</t>
  </si>
  <si>
    <t xml:space="preserve">	298-13413-ND</t>
  </si>
  <si>
    <t>https://www.digikey.jp/products/ja?keywords=RNF003K-ND</t>
  </si>
  <si>
    <t>40 pin stackup connector</t>
  </si>
  <si>
    <t>Samtec Board Connection Socket BCS Series 40 Pole 2.54mm 1 Row Through Hole</t>
  </si>
  <si>
    <t>Samtec</t>
  </si>
  <si>
    <t>766-6593</t>
  </si>
  <si>
    <t>BCS-140-LS-TE</t>
  </si>
  <si>
    <t>https://jp.rs-online.com/web/p/pcb-sockets/7666593/</t>
  </si>
  <si>
    <t>https://www.digikey.jp/products/ja?keywords=455-1606-1-ND</t>
  </si>
  <si>
    <t>NCP1117ST33T3GOSCT-ND</t>
  </si>
  <si>
    <t>NCP1117ST33T3G</t>
  </si>
  <si>
    <t>https://www.digikey.jp/products/en?keywords=%09NCP1117ST33T3GOSCT-ND</t>
  </si>
  <si>
    <t>10µF ±20% 6.3V Ceramic Capacitor X5R 0603 (1608 Metric)</t>
  </si>
  <si>
    <t>311-1448-1-ND</t>
  </si>
  <si>
    <t>CC0603MRX5R5BB106</t>
  </si>
  <si>
    <t>https://www.digikey.jp/products/en?keywords=311-1448-1-ND</t>
  </si>
  <si>
    <t>AWG26, PTFE, -75C -&gt; +200C, 0.12mm2</t>
  </si>
  <si>
    <t>841-7175</t>
  </si>
  <si>
    <t>2m</t>
  </si>
  <si>
    <t>25m</t>
  </si>
  <si>
    <t>23m</t>
  </si>
  <si>
    <t>GPS, TEC</t>
  </si>
  <si>
    <t>https://jp.rs-online.com/web/p/harsh-environment-wire/8417175/</t>
  </si>
  <si>
    <t>84513-101LF Amphenol ICC (FCI)</t>
  </si>
  <si>
    <t xml:space="preserve">	CONN ARRAY RCPT 100POS SMD GOLD</t>
  </si>
  <si>
    <t>609-84513-101LFCT-ND</t>
  </si>
  <si>
    <t>84513-101LF</t>
  </si>
  <si>
    <t>Ball Grid Array</t>
  </si>
  <si>
    <t>https://www.digikey.jp/product-detail/ja/amphenol-icc-fci/84513-101LF/609-84513-101LFCT-ND/10521394</t>
  </si>
  <si>
    <t>M</t>
  </si>
  <si>
    <t>メディコムジャパン</t>
  </si>
  <si>
    <t>L</t>
  </si>
  <si>
    <t>Kitsune FM  Li Ion Battery Construction</t>
  </si>
  <si>
    <t>Hari/Makiko</t>
  </si>
  <si>
    <t>Li ion NCR 18650GA Battery PAck configuration with 2 S3P , spot welding and soldering to harness cable</t>
  </si>
  <si>
    <t>201007-01</t>
  </si>
  <si>
    <t>RTL8153-VB-CG</t>
  </si>
  <si>
    <t>LAN chip</t>
  </si>
  <si>
    <t>Realtek</t>
  </si>
  <si>
    <t>Ebay</t>
  </si>
  <si>
    <t>QFN48</t>
  </si>
  <si>
    <t>https://www.ebay.com/itm/1PCS-RTL8153-VB-CG-RTL8153-QFN48-new/392366740701?_trkparms=ispr%3D1&amp;hash=item5b5ae154dd:g:jLMAAOSwIPZdRSzV&amp;amdata=enc%3AAQAFAAACYBaobrjLl8XobRIiIML1V4Imu%252Fn%252BzU5L90Z278x5ickkyMJZWL%252BqFSgQ3TOOe%252FNr7j77xgTz2LsBmssEmXsdpOn%252BH%252BoPoonC%252FxLaG22y3rgbvUbyUJp0nUiX4o9ccNjS4q9aylFkyHuqoXkIS9aLG8f0v%252FbX4SX8s%252FC35PvgXKwItjZBRd4Zb6pvLrdwJGeznRbs5ZWX0YsYsiUDG%252BGN0xmqwCBnSlgfHtaYRRW00i4F%252B23WUAcjUvKv5CxEZiS01LLgKVX7MsODf73%252B56DQ17i%252B%252F9VritpwFCN4P4shNhCUcGjKgSIp9uW0GK3aMMSYq%252F2RGBqdNaNt0Ji9XmmDsnzG4%252BXUCYWSPDXNTq42la7I7W4KZCVJ6LULgKvpIFkXPHLylThgXol%252Bh3i4RPbef8xrwn3fo%252FzU0P%252FKQzqFifWVq56c69xEShuUlpOuEooFOGu2%252FCjbuFsK80xnOZGxVk3GAf4%252B3FLYjHZLXw8HOaVqjb0muT9PDkfs6M62OLqRBWF36joHEpa9pskcv9387zdWi7DV2c%252BvVMCu38CmzYgFONoom2n2BWq9j6GXkQuHwAii5apZF7lMmqgfDPfhhxHCEdXZv1QEY6WD15JRr40BNJRjL9Av0WmGWx0jmVLHq5oi9r3lGrKEpjt8QoVIteMZstXbUgcbnOSBEPn%252FR4HpoZJ1v%252Bmh8qvnD8Pf5I9tJMi2HkSH1iIxAFT4a6ZeyhLYWf1rL0KgMlb8VHlA6hsvv7YsGfpqGXR9OlPzZURxuxscUkJnI9itVHDk5%252FFi5PR82%252Bnh2l09vYzmT%252BOoFv%252F%252B%7Ccksum%3A39236674070179eb1c75dff24377abc02344bf4023f5%7Campid%3APL_CLK%7Cclp%3A2334524</t>
  </si>
  <si>
    <t>Headers &amp; Wire Housings RECEPTACLE 2P</t>
  </si>
  <si>
    <t xml:space="preserve">	2 Position 1.25 mm pitch</t>
  </si>
  <si>
    <t>538-51021-0200</t>
  </si>
  <si>
    <t>51021-0200</t>
  </si>
  <si>
    <t>Receptacle Housing</t>
  </si>
  <si>
    <t>https://www.mouser.jp/ProductDetail/Molex/51021-0200?qs=pAYFZ4D%2FDKsBYwQVx44wuA==</t>
  </si>
  <si>
    <t xml:space="preserve">        2 Position 2 mm pitch</t>
  </si>
  <si>
    <t>538-51090-0200</t>
  </si>
  <si>
    <t>https://www.mouser.jp/ProductDetail/Molex/51090-0200?qs=%2Fha2pyFaduiIJB7HQllyVGJiZeRQ7%252BFhu0zeatcnmMM%3D</t>
  </si>
  <si>
    <t>Hook-up Wire 26AWG 7/34 MPPE 100ft SPOOL WHT</t>
  </si>
  <si>
    <t>26 AWG</t>
  </si>
  <si>
    <t>Hook-up Wire</t>
  </si>
  <si>
    <t>Qixk Electronics Co., Limited</t>
  </si>
  <si>
    <t>received quotation</t>
  </si>
  <si>
    <t>Raspberry Pi 3</t>
  </si>
  <si>
    <t>Raspberry Pi 3 Model B</t>
  </si>
  <si>
    <t>https://akizukidenshi.com/catalog/g/gM-11425/</t>
  </si>
  <si>
    <t>ライト付きWebカメラ</t>
  </si>
  <si>
    <t>https://www.amazon.co.jp/Vitade-windows10-%E3%82%B5%E3%83%9D%E3%83%BC%E3%83%88Windows-H-264%E3%82%A8%E3%83%B3%E3%82%B3%E3%83%BC%E3%83%87%E3%82%A3%E3%83%B3%E3%82%B0-45%E6%97%A5%E9%96%93%E8%BF%94%E9%87%91%E8%BF%94%E5%93%81%E5%AF%BE%E5%BF%9C/dp/B07VMMVQMD/ref=sr_1_3?__mk_ja_JP=%E3%82%AB%E3%82%BF%E3%82%AB%E3%83%8A&amp;dchild=1&amp;keywords=Web%E3%82%AB%E3%83%A1%E3%83%A9+%E3%83%A9%E3%82%A4%E3%83%88&amp;qid=1602833167&amp;s=computers&amp;sr=1-3</t>
  </si>
  <si>
    <t>ＲａｓｐｂｅｒｒｙＰｉ用ケース（クリア）　３Ｂ＋／３Ｂ／２Ｂ</t>
  </si>
  <si>
    <t>P-14069</t>
  </si>
  <si>
    <t>https://akizukidenshi.com/catalog/g/gP-14069/</t>
  </si>
  <si>
    <t>スイッチングＡＣアダプター（ＵＳＢ ＡＣアダプター） ＭｉｃｒｏＢオス ５Ｖ３Ａ</t>
  </si>
  <si>
    <t>AD-K50P300</t>
  </si>
  <si>
    <t>https://akizukidenshi.com/catalog/g/gM-12001/</t>
  </si>
  <si>
    <t>Ｒａｓｐｂｅｒｒｙ　Ｐｉ　キャラクタ液晶ディスプレイモジュールキット　バックライト付</t>
  </si>
  <si>
    <t>AE-AQM0802+PCA9515</t>
  </si>
  <si>
    <t>https://akizukidenshi.com/catalog/g/gK-11354/</t>
  </si>
  <si>
    <t>ＲａｓｐｂｅｒｒｙＰｉ　Ｂ＋用ヒートシンクセット</t>
  </si>
  <si>
    <t>https://akizukidenshi.com/catalog/g/gP-09282/</t>
  </si>
  <si>
    <t>計測用目盛り（100均メジャーから加工）</t>
  </si>
  <si>
    <t>100均一</t>
  </si>
  <si>
    <t>MicroSD 32GB</t>
  </si>
  <si>
    <t>https://www.amazon.co.jp/%E8%AA%AD%E5%8F%96%E3%82%8A%E6%9C%80%E5%A4%A7100MB-%E3%80%90Nintendo-%E3%83%A1%E3%83%BC%E3%82%AB%E3%83%BC%E5%8B%95%E4%BD%9C%E7%A2%BA%E8%AA%8D%E6%B8%88%E3%80%91-SanDisk-SDSQUAR-128G-EPK/dp/B07YLT3ML9/ref=sr_1_4_sspa?__mk_ja_JP=%E3%82%AB%E3%82%BF%E3%82%AB%E3%83%8A&amp;dchild=1&amp;keywords=MicroSD&amp;qid=1602908961&amp;sr=8-4-spons&amp;spLa=ZW5jcnlwdGVkUXVhbGlmaWVyPUExRFhWOThJODBDOFhOJmVuY3J5cHRlZElkPUEwNDAzNzUxMkVNMzRNQkFXQzBNRCZlbmNyeXB0ZWRBZElkPUEySDBVMzJKMlZWWDRMJndpZGdldE5hbWU9c3BfYXRmJmFjdGlvbj1jbGlja1JlZGlyZWN0JmRvTm90TG9nQ2xpY2s9dHJ1ZQ&amp;th=1</t>
  </si>
  <si>
    <t>RasPi用</t>
  </si>
  <si>
    <t>5.1Ω　金属皮膜抵抗</t>
  </si>
  <si>
    <t>1W　アキシャル</t>
  </si>
  <si>
    <t>MFU100F5R1B</t>
  </si>
  <si>
    <t>R-08804</t>
  </si>
  <si>
    <t>https://akizukidenshi.com/catalog/g/gR-08804/</t>
  </si>
  <si>
    <t>モノポールアンテナ　バーナー用</t>
  </si>
  <si>
    <t>4.7Ω　金属皮膜抵抗</t>
  </si>
  <si>
    <t>MFU100F5R7B</t>
  </si>
  <si>
    <t>R-08803</t>
  </si>
  <si>
    <t>https://akizukidenshi.com/catalog/g/gR-08803/</t>
  </si>
  <si>
    <t>2.2Ω　金属皮膜抵抗</t>
  </si>
  <si>
    <t>MFU100F2R2B</t>
  </si>
  <si>
    <t>R-08802</t>
  </si>
  <si>
    <t>https://akizukidenshi.com/catalog/g/gR-08802/</t>
  </si>
  <si>
    <t>1Ω　金属皮膜抵抗</t>
  </si>
  <si>
    <t>MFU100F1RB</t>
  </si>
  <si>
    <t>R-08801</t>
  </si>
  <si>
    <t>https://akizukidenshi.com/catalog/g/gR-08801/</t>
  </si>
  <si>
    <t>ヘリサット#10-32</t>
  </si>
  <si>
    <t>#10-32 1.5D SUS304</t>
  </si>
  <si>
    <t>https://jp.misumi-ec.com/vona2/detail/221000768073/?CategorySpec=00000217157%3a%3aa%0900000257495%3a%3amig00000002498015</t>
  </si>
  <si>
    <t>30 pin cables</t>
  </si>
  <si>
    <t>Nakayama/Azami</t>
  </si>
  <si>
    <t>custom made cables connecting CCB - backplane</t>
  </si>
  <si>
    <t>Haisen</t>
  </si>
  <si>
    <t>quotation</t>
  </si>
  <si>
    <t>衝撃試験用センサー</t>
  </si>
  <si>
    <t>Endevco2225</t>
  </si>
  <si>
    <t>Endevco</t>
  </si>
  <si>
    <t>丸文</t>
  </si>
  <si>
    <t>https://buy.endevco.com/accelerometer/2225-pe-shock-accelerometer</t>
  </si>
  <si>
    <t>Epoxy Glue</t>
  </si>
  <si>
    <t>SCOTCH-WELD EPOXY ADHESIVE E</t>
  </si>
  <si>
    <t>3M156895-ND</t>
  </si>
  <si>
    <t>Dp2216</t>
  </si>
  <si>
    <t>https://www.digikey.jp/product-detail/ja/3m/DP2216/3M156895-ND/7066677?utm_adgroup=Glue%2C%20Adhesives%2C%20Applicators&amp;utm_source=google&amp;utm_medium=cpc&amp;utm_campaign=Shopping_Product_Tapes%2C%20Adhesives%2C%20Materials&amp;utm_term=&amp;productid=7066677&amp;gclid=CjwKCAjwlbr8BRA0EiwAnt4MTgRrSUisriyRvMlAxhKRfmm56W8Qf-Jv2zQGaxcv9Ct5bR2o8ENSQRoComsQAvD_BwE</t>
  </si>
  <si>
    <t>ADCS MCU</t>
  </si>
  <si>
    <t>Timothy</t>
  </si>
  <si>
    <t>ARM® Cortex®-M4 STM32F4 Microcontroller IC 32-bit 180MHz 512KB (512K x 8) Flash 64-LQFP (10x10)</t>
  </si>
  <si>
    <t>497-15376-ND</t>
  </si>
  <si>
    <t>64-LQFP</t>
  </si>
  <si>
    <t>https://www.digikey.jp/product-detail/ja/stmicroelectronics/STM32F446RET6/497-15376-ND/5175962</t>
  </si>
  <si>
    <t>Magnetometer</t>
  </si>
  <si>
    <t>Reluctance sensor X, Y, Z axis 16-LGA (3x3)</t>
  </si>
  <si>
    <t>16-VFLGA</t>
  </si>
  <si>
    <t>https://www.digikey.jp/product-detail/ja/memsic-inc/MMC5883MA/1267-1072-1-ND/7063085</t>
  </si>
  <si>
    <t>Gyroscope</t>
  </si>
  <si>
    <t>ALNICO 5</t>
  </si>
  <si>
    <t>Magnet Alnico 5 (AlNiCo) 0.126 inch square x 0.748 inch height (3.20 mm x 19.0 mm)</t>
  </si>
  <si>
    <t>374-1130-ND</t>
  </si>
  <si>
    <t>ALNICO500</t>
  </si>
  <si>
    <t>Q1971023A</t>
  </si>
  <si>
    <t>ネットワークカメラ</t>
  </si>
  <si>
    <t>https://www.amazon.co.jp/%E3%80%90Amazon-Alexa-%E8%AA%8D%E5%AE%9A%E5%8F%96%E5%BE%97%E3%80%91%E3%83%8D%E3%83%83%E3%83%88%E3%83%AF%E3%83%BC%E3%82%AF%E3%82%AB%E3%83%A1%E3%83%A9-ATOM-%E3%82%A2%E3%83%88%E3%83%A0%E3%82%AB%E3%83%A0/dp/B08554HDDT/ref=pd_ybh_a_4?_encoding=UTF8&amp;psc=1&amp;refRID=7JVEQG927MES94Z41KFF</t>
  </si>
  <si>
    <t>Pelican case (Big)</t>
  </si>
  <si>
    <t>Connector header 2pos</t>
  </si>
  <si>
    <t xml:space="preserve">2-PIN CONNECTOR FEMALE </t>
  </si>
  <si>
    <t>crimp connector socket</t>
  </si>
  <si>
    <t>CONN SOCKET 24-30AWG CRIMP TIN</t>
  </si>
  <si>
    <t>WM4561CT-ND</t>
  </si>
  <si>
    <t>https://www.digikey.jp/product-detail/en/molex/0502128000/WM4561CT-ND/2524899</t>
  </si>
  <si>
    <t>antenna washer material</t>
  </si>
  <si>
    <t>Stainless steel (SUS304) 100x100x0.5mm</t>
  </si>
  <si>
    <t>Iwata seisakusho</t>
  </si>
  <si>
    <t>antenna deployment</t>
  </si>
  <si>
    <t>https://www.monotaro.com/p/3481/1086/?t.q=TS100-100-05</t>
  </si>
  <si>
    <t>#10-32タップ</t>
  </si>
  <si>
    <t>#10-32</t>
  </si>
  <si>
    <t>彌満和製作所</t>
  </si>
  <si>
    <t>OLRZM7UNAJP</t>
  </si>
  <si>
    <t>https://jp.misumi-ec.com/vona2/detail/223005236250/?CategorySpec=00000018242%3a%3amig00000002469747%0900000018243%3a%3amig00000002463011%0900000018249%3a%3ae</t>
  </si>
  <si>
    <t>Access board connector</t>
  </si>
  <si>
    <t>20 pos, 2.54mm, female</t>
  </si>
  <si>
    <t>Sullins connector solutions</t>
  </si>
  <si>
    <t>S9205-ND</t>
  </si>
  <si>
    <t>SFH11-PBPC-D10-RA-BK</t>
  </si>
  <si>
    <t>Access</t>
  </si>
  <si>
    <t>https://www.digikey.jp/product-detail/en/sullins-connector-solutions/SFH11-PBPC-D10-RA-BK/S9205-ND/1990098</t>
  </si>
  <si>
    <t>Connector header 20 pos</t>
  </si>
  <si>
    <t>20 pos, 2.54mm, male</t>
  </si>
  <si>
    <t>609-3221-ND</t>
  </si>
  <si>
    <t>67996-420HLF</t>
  </si>
  <si>
    <t>https://www.digikey.jp/product-detail/en/amphenol-icc-fci/67996-420HLF/609-3221-ND/1878553</t>
  </si>
  <si>
    <t>CONN GH HOUSING 4POS 1.25MM</t>
  </si>
  <si>
    <t>1.25mm</t>
  </si>
  <si>
    <t>455-1594-ND</t>
  </si>
  <si>
    <t>GHR-04V-S</t>
  </si>
  <si>
    <t>https://www.digikey.jp/product-detail/ja/jst-sales-america-inc/GHR-04V-S/455-1594-ND/807816</t>
  </si>
  <si>
    <t>CONN HEADER SMD 4POS 1.25MM</t>
  </si>
  <si>
    <t>BM04B-GHS-TBT(LF)(SN)(N)</t>
  </si>
  <si>
    <t>https://jp.misumi-ec.com/vona2/detail/222000496982/?HissuCode=BM04B-GHS-TBT%28LF%29%28SN%29</t>
  </si>
  <si>
    <t>4.7uF 6.3V</t>
  </si>
  <si>
    <t>uFL RF cable</t>
  </si>
  <si>
    <t>CAP CER 10UF 6.3V X6S 0402</t>
  </si>
  <si>
    <t>10uF, 6.3V</t>
  </si>
  <si>
    <t>https://www.digikey.jp/product-detail/ja/murata-electronics/GRM155C80J106ME11J/490-18210-1-ND/9867939</t>
  </si>
  <si>
    <t>47uF, 6.3V</t>
  </si>
  <si>
    <t>SMA 50hm</t>
  </si>
  <si>
    <t>CAT6A SHIELDED VERTICAL JACK</t>
  </si>
  <si>
    <t>RJ45</t>
  </si>
  <si>
    <t>https://www.digikey.jp/product-detail/ja/stewart-connector/SS-60300-014/380-1327-ND/5824511?utm_adgroup=Modular%20Connectors&amp;utm_source=google&amp;utm_medium=cpc&amp;utm_campaign=Shopping_Product_Connectors%2C%20Interconnects_NEW&amp;utm_term=&amp;productid=5824511&amp;gclid=Cj0KCQjwxNT8BRD9ARIsAJ8S5xbeZXjTkZAhMOOiEvYqtufI-StZctpg4Ey7Sk-NeCH9ybzXPVUYaQwaAh1EEALw_wcB</t>
  </si>
  <si>
    <t>350uH LAN</t>
  </si>
  <si>
    <t>https://www.digikey.jp/product-detail/ja/te-connectivity-amp-connectors/2337822-1/A145148CT-ND/10270262?cur=JPY&amp;lang=ja</t>
  </si>
  <si>
    <t>RES 12.4K OHM 0.1% 1/10W 0402</t>
  </si>
  <si>
    <t>12.4K, 0.1W</t>
  </si>
  <si>
    <t>TE Connectivity Passive Product</t>
  </si>
  <si>
    <t>A127424CT-ND</t>
  </si>
  <si>
    <t>RP73PF1E12K4BTD</t>
  </si>
  <si>
    <t>https://www.digikey.jp/product-detail/ja/te-connectivity-passive-product/RP73PF1E12K4BTD/A127424CT-ND/8261390</t>
  </si>
  <si>
    <t>4.7uF, 1.9A</t>
  </si>
  <si>
    <t>RPi Socket</t>
  </si>
  <si>
    <t>25.0000MHz, 18pF</t>
  </si>
  <si>
    <t>https://www.digikey.jp/product-detail/ja/ecs-inc/ECS-250-18-23A-JGN-TR/XC2099CT-ND/5875583?enterprise=44</t>
  </si>
  <si>
    <t>2.5GHz 50ohm</t>
  </si>
  <si>
    <t>ADG901BRMZ-REEL7CT-ND</t>
  </si>
  <si>
    <t>https://www.digikey.jp/product-detail/ja/analog-devices-inc/ADG901BRMZ-REEL7/ADG901BRMZ-REEL7CT-ND/4909828</t>
  </si>
  <si>
    <t>KITSUNE +Xc Panel</t>
  </si>
  <si>
    <t>External panel, +X, part 1 of 3</t>
  </si>
  <si>
    <t>KITSUNE -Xb Panel</t>
  </si>
  <si>
    <t>External panel, -X, part 2 of 3</t>
  </si>
  <si>
    <t>KITSUNE +Xb Panel</t>
  </si>
  <si>
    <t>External panel, +X, part 2 of 3</t>
  </si>
  <si>
    <t>KITSUNE +Z Panel</t>
  </si>
  <si>
    <t>External panel, +Z</t>
  </si>
  <si>
    <t>Backplane_FM_MS</t>
  </si>
  <si>
    <t>PCB (250.5mmx90mm)</t>
  </si>
  <si>
    <t>CONN HEADER SMD R/A 2POS 1.25MM</t>
  </si>
  <si>
    <t>https://www.digikey.jp/product-detail/ja/hirose-electric-co-ltd/DF14-2P-1-25H-24/H126492-ND/9170740?cur=JPY&amp;lang=ja</t>
  </si>
  <si>
    <t>https://www.digikey.jp/product-detail/ja/hirose-electric-co-ltd/U-FL-2LP-068N2-A-35/H125216-ND/3978492</t>
  </si>
  <si>
    <t>Sensors for Dummy OBC</t>
  </si>
  <si>
    <t>1/8W resister, 25mOhm, 1.5kOhm, 4.7kOhm</t>
  </si>
  <si>
    <t>124-9281</t>
  </si>
  <si>
    <t>12FR025E</t>
  </si>
  <si>
    <t>Axial</t>
  </si>
  <si>
    <t>https://jp.rs-online.com/web/p/through-hole-fixed-resistors/1249281/</t>
  </si>
  <si>
    <t>uFL connector</t>
  </si>
  <si>
    <t>Nakayama/Pooja</t>
  </si>
  <si>
    <t>U.FL-R-SMT-1(10)</t>
  </si>
  <si>
    <t>H11891CT-ND</t>
  </si>
  <si>
    <t>uFL cable</t>
  </si>
  <si>
    <t>U.FL-2LPHF6-04N1TV-A-200</t>
  </si>
  <si>
    <t>26-U.FL-2LPHF6-04N1TV-A-200-ND</t>
  </si>
  <si>
    <t>Linx</t>
  </si>
  <si>
    <t>SMA connector Lshape</t>
  </si>
  <si>
    <t>343-CONSMA002-SMD-G-TTR-ND</t>
  </si>
  <si>
    <t>CONSMA002-SMD-G-T</t>
  </si>
  <si>
    <t>https://www.digikey.jp/product-detail/en/linx-technologies-inc/CONSMA002-SMD-G-T/343-CONSMA002-SMD-G-TCT-ND/10524521</t>
  </si>
  <si>
    <t>Pin header 1.27mm</t>
  </si>
  <si>
    <t>1.27mm pitch</t>
  </si>
  <si>
    <t>SAM15176-ND</t>
  </si>
  <si>
    <t>FTS-102-01-F-S</t>
  </si>
  <si>
    <t>https://www.digikey.jp/product-detail/ja/samtec-inc/FTS-102-01-F-S/SAM15176-ND/6691704</t>
  </si>
  <si>
    <t>Pin jumper 1.27mm</t>
  </si>
  <si>
    <t>952-1730-ND</t>
  </si>
  <si>
    <t>M50-1900005</t>
  </si>
  <si>
    <t>https://www.digikey.jp/product-detail/ja/harwin-inc/M50-1900005/952-1730-ND/2890862</t>
  </si>
  <si>
    <t>Pin header 2.0mm right angle</t>
  </si>
  <si>
    <t>2.0mm pitch</t>
  </si>
  <si>
    <t>952-2849-ND</t>
  </si>
  <si>
    <t>M22-2030205</t>
  </si>
  <si>
    <t>https://www.digikey.jp/product-detail/ja/harwin-inc/M22-2030205/952-2849-ND/3921394</t>
  </si>
  <si>
    <t>Pin jumpber 2.0mm</t>
  </si>
  <si>
    <t>https://www.digikey.jp/product-detail/ja/sullins-connector-solutions/SPN02SXCN-RC/S9339-ND/2618264</t>
  </si>
  <si>
    <t>Makiko/Pooja</t>
  </si>
  <si>
    <t>両面銅張基板　Ｒ－５７７５ＫＨ　１５０×１００×０．３ｍｍ　（５枚入）</t>
  </si>
  <si>
    <t>R-5775 150x100x0.8mm　両面　5枚入り</t>
  </si>
  <si>
    <t>P-15758</t>
  </si>
  <si>
    <t>MEGTRON6</t>
  </si>
  <si>
    <t>4F student room</t>
  </si>
  <si>
    <t>https://akizukidenshi.com/catalog/g/gP-15758/</t>
  </si>
  <si>
    <t>SMA(F)2H 2-1.8</t>
  </si>
  <si>
    <t>https://akizukidenshi.com/catalog/g/gC-12821/</t>
  </si>
  <si>
    <t>Portable External Drive</t>
  </si>
  <si>
    <t>Toshiba HD-TPA4U3-B/N Canvio 4TB USB 3.2 (Gen1) Compatible, Portable HDD PC/TV Compatible, Buffalo Support, Domestic Manufacturer, Fault Prediction, External Installation, Mac, Black</t>
  </si>
  <si>
    <t xml:space="preserve">        バッファローダイレクトバッファローダイレクト
though Amazon</t>
  </si>
  <si>
    <t>B07SJXHS8P</t>
  </si>
  <si>
    <t>HD-TPA4U3-B/N</t>
  </si>
  <si>
    <t>https://www.amazon.co.jp/HD-TPA4U3-B-Compatible-Manufacturer-Prediction-Installation/dp/B07SJXHS8P/ref=sr_1_1_sspa?dchild=1&amp;keywords=4tb%E3%83%9D%E3%83%BC%E3%82%BF%E3%83%96%E3%83%AB&amp;qid=1604035123&amp;sr=8-1-spons&amp;psc=1&amp;spLa=ZW5jcnlwdGVkUXVhbGlmaWVyPUExUlhXUjNEMjRHU0dKJmVuY3J5cHRlZElkPUEwOTY5OTQ5MVQ1REo3WFJWTlM4SyZlbmNyeXB0ZWRBZElkPUEzUkhFQTBLV0YxSkFWJndpZGdldE5hbWU9c3BfYXRmJmFjdGlvbj1jbGlja1JlZGlyZWN0JmRvTm90TG9nQ2xpY2s9dHJ1ZQ==</t>
  </si>
  <si>
    <t>KITSUNE SPATIUM-2 LoRa EM-2(FM) Board</t>
  </si>
  <si>
    <t>LoRa Mission</t>
  </si>
  <si>
    <t>KITSUNE +Xa(FM)</t>
  </si>
  <si>
    <t>84.1mm x 202.3mm, 5 boards, 2 soldered boards</t>
  </si>
  <si>
    <t>KITSUNE +Xb(FM)</t>
  </si>
  <si>
    <t>82.5mm x 202.3mm, 5 boards, 2 soldered boards</t>
  </si>
  <si>
    <t>KITSUNE +Y(FM)</t>
  </si>
  <si>
    <t>82mm x 320mm, 5 boards, 2 soldered boards</t>
  </si>
  <si>
    <t>KITSUNE -Xa(FM)</t>
  </si>
  <si>
    <t>KITSUNE -Xb(FM)</t>
  </si>
  <si>
    <t>KITSUNE -Y(FM)</t>
  </si>
  <si>
    <t>18pF 1608 capasitor</t>
  </si>
  <si>
    <t>18pF 1608</t>
  </si>
  <si>
    <t>Johanson</t>
  </si>
  <si>
    <t>Degikey</t>
  </si>
  <si>
    <t>https://www.digikey.jp/product-detail/ja/johanson-technology-inc/251R14S180JV4T/712-1322-1-ND/1786784</t>
  </si>
  <si>
    <t>SSHS-M3-6</t>
  </si>
  <si>
    <t>https://jp.misumi-ec.com/vona2/detail/221000349089/?CategorySpec=00000217040%3a%3amig00000002457491%0900000217056%3a%3amig00000002456996%0900000217074%3a%3ac%2cd%0900000216906%3a%3aa%0900000217098%3a%3ab%0900000217091%3a%3aa</t>
  </si>
  <si>
    <t>M3 SUS</t>
  </si>
  <si>
    <t>UMNT-03</t>
  </si>
  <si>
    <t>https://jp.misumi-ec.com/vona2/detail/221006205479/?CategorySpec=00000217009%3a%3amig00000002465628%0900000217129%3a%3ab%0900000216985%3a%3aa</t>
  </si>
  <si>
    <t>PCB TEC</t>
  </si>
  <si>
    <t>https://www.p-ban.com/kiban/com/csComDocPrint:exec.do?receiptNo=20110400031&amp;doc=1</t>
  </si>
  <si>
    <t>Fixed wheel Caster</t>
  </si>
  <si>
    <t>Eyoas</t>
  </si>
  <si>
    <t>Mounting height: 113mm; Wheel diameter: 75 mm; Load capacity: 75 kg ; Type: with brake</t>
  </si>
  <si>
    <t>B08LYLSXGX</t>
  </si>
  <si>
    <t>BGSFF</t>
  </si>
  <si>
    <t>Mobile Ground station</t>
  </si>
  <si>
    <t>2F-SVBL</t>
  </si>
  <si>
    <t>https://www.amazon.co.jp/-/en/dp/B08LYLSXGX/ref=sr_1_15?dchild=1&amp;keywords=fixed%2Bcaster%2Bwith%2Bshock%2Babsorber&amp;qid=1604402016&amp;sr=8-15&amp;th=1</t>
  </si>
  <si>
    <t>Aluminum profile</t>
  </si>
  <si>
    <t>30x30 Square type aluminum extrusion profile; L=640; Load=175N</t>
  </si>
  <si>
    <t>GFS series</t>
  </si>
  <si>
    <t>GFS6-3030-640</t>
  </si>
  <si>
    <t>_</t>
  </si>
  <si>
    <t>https://jp.misumi-ec.com/vona2/detail/110302686450/?HissuCode=GFS6-3030-440&amp;PNSearch=GFS6-3030-440&amp;KWSearch=GFS6-3030-440&amp;searchFlow=results2products</t>
  </si>
  <si>
    <t>Aluminum Extrusion profile</t>
  </si>
  <si>
    <t>30x30 Square type aluminum extrusion profile; Length=460; Load=175N</t>
  </si>
  <si>
    <t>GFS6-3030-460</t>
  </si>
  <si>
    <t>30x30 Square type aluminum extrusion profile; Length=400; Load=175N</t>
  </si>
  <si>
    <t>GFS6-3030-400</t>
  </si>
  <si>
    <t>30x30 Square type aluminum extrusion profile; Length=160; Load=175N</t>
  </si>
  <si>
    <t>GFS6-3030-160</t>
  </si>
  <si>
    <t>30x30 Square type aluminum extrusion profile; Length=440; Load=175N</t>
  </si>
  <si>
    <t>GFS6-3030-440</t>
  </si>
  <si>
    <t>WxL: 704x524; thickness: 5 mm</t>
  </si>
  <si>
    <t>PAAL6H-704-524-5-F200-G490-N6</t>
  </si>
  <si>
    <t>https://jp.misumi-ec.com/vona2/detail/110300498770/?HissuCode=PAAL6H-704-524-5-F200-G490-N6&amp;PNSearch=PAAL6H-704-524-5-F200-G490-N6&amp;KWSearch=PAAL6H-704-524-5-F200-G490-N6&amp;searchFlow=results2products</t>
  </si>
  <si>
    <t>WxL: 700x520; thickness: 5 mm</t>
  </si>
  <si>
    <t>PAAL6H-700-520-5-F200-G490-N6</t>
  </si>
  <si>
    <t>https://jp.misumi-ec.com/vona2/detail/110300498770/?HissuCode=PAAL6H-700-520-5-F200-G490-N6&amp;PNSearch=PAAL6H-700-520-5-F200-G490-N6&amp;KWSearch=PAAL6H-700-520-5-F200-G490-N6&amp;searchFlow=results2products</t>
  </si>
  <si>
    <t>Size: 700mmx405mm, thickness=1.5</t>
  </si>
  <si>
    <t>PAAL6H-700-520-1.5-F200-G490-N6</t>
  </si>
  <si>
    <t>https://jp.misumi-ec.com/vona2/detail/110300498770/?HissuCode=PAAL6H-700-520-1.5-F200-G490-N6&amp;PNSearch=PAAL6H-700-520-1.5-F200-G490-N6&amp;KWSearch=PAAL6H-700-520-1.5-F200-G490-N6&amp;searchFlow=results2products</t>
  </si>
  <si>
    <t>Size:520x405mm, thickness=1.5</t>
  </si>
  <si>
    <t>PAAL6H-520-405-1.5-F150-G375-N6</t>
  </si>
  <si>
    <t>https://jp.misumi-ec.com/vona2/detail/110300498770/?HissuCode=PAAL6H-520-405-1.5-F150-G375-N6&amp;PNSearch=PAAL6H-520-405-1.5-F150-G375-N6&amp;KWSearch=PAAL6H-520-405-1.5-F150-G375-N6&amp;searchFlow=results2products</t>
  </si>
  <si>
    <t>Size:464x224mm, thickness=3</t>
  </si>
  <si>
    <t>PAAL6H-464-224-1.5-F150-G194-N6</t>
  </si>
  <si>
    <t>https://jp.misumi-ec.com/vona2/detail/110300498770/?HissuCode=PAAL6H-464-224-1.5-F150-G194-N6&amp;PNSearch=PAAL6H-464-224-1.5-F150-G194-N6&amp;KWSearch=PAAL6H-464-224-1.5-F150-G194-N6&amp;searchFlow=results2products</t>
  </si>
  <si>
    <t>Size:464x445mm, thickness=1.5</t>
  </si>
  <si>
    <t>PAAL6H-464-445-1.5-F150-G415-N6</t>
  </si>
  <si>
    <t>https://jp.misumi-ec.com/vona2/detail/110300498770/?HissuCode=PAAL6H-464-445-1.5-F150-G415-N6&amp;PNSearch=PAAL6H-464-445-1.5-F150-G415-N6&amp;KWSearch=PAAL6H-464-445-1.5-F150-G415-N6&amp;searchFlow=results2products</t>
  </si>
  <si>
    <t>Size:224x445mm, thickness=1.5</t>
  </si>
  <si>
    <t>PAAL4H-445-224-1.5-F415-G104-N6</t>
  </si>
  <si>
    <t>https://jp.misumi-ec.com/vona2/detail/110300498770/?HissuCode=PAAL4H-445-224-1.5-F415-G104-N6&amp;PNSearch=PAAL4H-445-224-1.5-F415-G104-N6&amp;KWSearch=PAAL4H-445-224-1.5-F415-G104-N6&amp;searchFlow=results2products</t>
  </si>
  <si>
    <t>Raspberry Pi zero</t>
  </si>
  <si>
    <t>Zimbabwe</t>
  </si>
  <si>
    <t>Bonny</t>
  </si>
  <si>
    <t>1GHz 1GHz 512MB of RAM  and 40-pin GPIO connectivity</t>
  </si>
  <si>
    <t>Raspizero13</t>
  </si>
  <si>
    <t>https://www.amazon.co.jp/Raspberry-Pi-Zero-%E3%83%A9%E3%82%BA%E3%83%99%E3%83%AA%E3%83%BC%E3%83%BB%E3%83%91%E3%82%A4-SRPJ1900/dp/B076BHY12Y/ref=pd_rhf_schuc_p_img_2?_encoding=UTF8&amp;psc=1&amp;refRID=QH4H1AQ2MHSAB9VGWMPE</t>
  </si>
  <si>
    <t>Camera Module</t>
  </si>
  <si>
    <t>Sensor: Global Shutter OV2311 Monochrome, Pixel size: 3 µm x 3 µm, Optical Format size: 1/2.9″</t>
  </si>
  <si>
    <t>UCTRONIC</t>
  </si>
  <si>
    <t>https://www.uctronics.com/camera-modules/camera-for-raspberry-pi/https-www-uctronics-com-index-php-arducam-ov2311-mipi-2mp-global-shutter-mono-camera-module-html-2268.html</t>
  </si>
  <si>
    <t>Lens</t>
  </si>
  <si>
    <t>8.0mm FL f/8 Rugged Blue Series M12 Imaging Lens</t>
  </si>
  <si>
    <t>Edmund Optics</t>
  </si>
  <si>
    <t xml:space="preserve">https://www.edmundoptics.com/p/80mm-f-8-rugged-blue-series-m12-imaging-lens/38861/
</t>
  </si>
  <si>
    <t>Filters</t>
  </si>
  <si>
    <t>790nm CWL, 10nm FWHM, 12.5mm Mounted Diameter</t>
  </si>
  <si>
    <t>#36-367</t>
  </si>
  <si>
    <t xml:space="preserve">https://www.edmundoptics.com/p/790nm-cwl-10nm-fwhm-125mm-mounted-diameter/22446/
</t>
  </si>
  <si>
    <t>720nm CWL, 10nm FWHM, 12.5mm Mounted Diameter</t>
  </si>
  <si>
    <t>#36-368</t>
  </si>
  <si>
    <t xml:space="preserve">https://www.edmundoptics.com/p/720nm-cwl-10nm-fwhm-125mm-mounted-diameter/22440/
</t>
  </si>
  <si>
    <t>Multi-plexer</t>
  </si>
  <si>
    <t>Fit Raspberry Pi zero to connect 2 cameras</t>
  </si>
  <si>
    <t>B0166</t>
  </si>
  <si>
    <t xml:space="preserve">https://www.uctronics.com/camera-modules/camera-multiplexer/arducam-multi-camera-adapter-doubleplexer-stereo-module-v2-for-raspberry-pi-zero-pi-3-3-b-4b.html
</t>
  </si>
  <si>
    <t>Memory Cards</t>
  </si>
  <si>
    <t>SanDisk 16GB Ultra microSDHC UHS-I Memory Card with Adapter - 98MB/s, C10, U1, Full HD, A1, Micro SD Card - SDSQUAR-016G-GN6MA</t>
  </si>
  <si>
    <t>https://www.amazon.co.jp/SanDisk-microSDHC-SDSQUNS-016G-Class10-%E3%82%B5%E3%83%B3%E3%83%87%E3%82%A3%E3%82%B9%E3%82%AF/dp/B074B4P7KD/ref=pd_sbs_147_42?_encoding=UTF8&amp;pd_rd_i=B074B4P7KD&amp;pd_rd_r=bfea37b2-2f81-4dd9-82a6-dbea2cea493d&amp;pd_rd_w=OGEIP&amp;pd_rd_wg=mE2Sn&amp;pf_rd_p=c295905f-82f9-4d73-8142-c393a4211258&amp;pf_rd_r=ME0GAE6HC5MS6HENEQTZ&amp;psc=1&amp;refRID=ME0GAE6HC5MS6HENEQTZ</t>
  </si>
  <si>
    <t>Power Adapter</t>
  </si>
  <si>
    <t xml:space="preserve">5V 2.5A Micro USB AC Charger Power Supply Adapter for Raspberry Pi 3, Pi 2 Model B, Pi Zero, Pi Model A A+, Model B B+ with On/Off Switch Cable Cord (3.3 feet)
</t>
  </si>
  <si>
    <t>https://www.amazon.co.jp/ABOX-Raspberry-USB%E9%9B%BB%E6%BA%90%E3%82%B1%E3%83%BC%E3%83%96%E3%83%AB-PSE%E5%8F%96%E5%BE%97%EF%BC%88Raspberry-2%E3%80%81%E3%82%BF%E3%83%96%E3%83%AC%E3%83%83%E3%83%88%E3%80%81%E3%82%B9%E3%83%9E%E3%83%9B%E3%81%AB%E3%82%82%E5%AF%BE%E5%BF%9C%E3%81%97%E3%81%BE%E3%81%99%EF%BC%89/dp/B07J1Y966M/ref=sr_1_7?__mk_ja_JP=%E3%82%AB%E3%82%BF%E3%82%AB%E3%83%8A&amp;dchild=1&amp;keywords=Raspberry+pi+zero+power+adapter&amp;s=computers&amp;sr=1-7</t>
  </si>
  <si>
    <t>Power Hub</t>
  </si>
  <si>
    <t>Powered HUB OTG Micro USB Ethernet Network Adapter for Raspberry Pi Zero</t>
  </si>
  <si>
    <t>https://www.amazon.co.jp/Smays-GAZEWALL19810006-1-USB-rj45%E3%82%A4%E3%83%BC%E3%82%B5%E3%83%8D%E3%83%83%E3%83%88%E3%82%A2%E3%83%80%E3%83%97%E3%82%BF/dp/B00L32UUJK/ref=sr_1_3?__mk_ja_JP=%E3%82%AB%E3%82%BF%E3%82%AB%E3%83%8A&amp;dchild=1&amp;keywords=OTG+for+raspberry+pi+zero&amp;s=computers&amp;sr=1-3</t>
  </si>
  <si>
    <t>iMac and MacPro</t>
  </si>
  <si>
    <t>27inch iMac, MacPro</t>
  </si>
  <si>
    <t>Apple</t>
  </si>
  <si>
    <t>Richo</t>
  </si>
  <si>
    <t>抵抗</t>
  </si>
  <si>
    <t>49.4ohm</t>
  </si>
  <si>
    <t>901-3361</t>
  </si>
  <si>
    <t>MCR01MZPF49R9</t>
  </si>
  <si>
    <t>https://jp.rs-online.com/web/p/surface-mount-fixed-resistors/9013361/</t>
  </si>
  <si>
    <t>フェライトビーズ</t>
  </si>
  <si>
    <t>724-1299</t>
  </si>
  <si>
    <t>CAM/TEC</t>
  </si>
  <si>
    <t>https://jp.rs-online.com/web/p/ferrite-beads/7241299/</t>
  </si>
  <si>
    <t>19inch Rack for Hardware in the Loop simulator</t>
  </si>
  <si>
    <t>36U, 600 x 1100 x 1795mm</t>
  </si>
  <si>
    <t>Sanwa</t>
  </si>
  <si>
    <t>A784662</t>
  </si>
  <si>
    <t>CP-SVCKAN36U</t>
  </si>
  <si>
    <t>https://www.askul.co.jp/p/A784662/</t>
  </si>
  <si>
    <t>Locker for device storage, Key type</t>
  </si>
  <si>
    <t>900 x 400, 1050mm, with Key</t>
  </si>
  <si>
    <t>Netforce</t>
  </si>
  <si>
    <t>X393096</t>
  </si>
  <si>
    <t>FH-9-AW</t>
  </si>
  <si>
    <t>https://www.askul.co.jp/p/X393096/</t>
  </si>
  <si>
    <t>Clear box of stack type</t>
  </si>
  <si>
    <t>39.4L</t>
  </si>
  <si>
    <t>IrisOyama</t>
  </si>
  <si>
    <t>BL-43-C</t>
  </si>
  <si>
    <t>https://www.monotaro.com/p/2370/2823/</t>
  </si>
  <si>
    <t>Mouse pad</t>
  </si>
  <si>
    <t>Elecom</t>
  </si>
  <si>
    <t>A600130</t>
  </si>
  <si>
    <t>MP-113BK</t>
  </si>
  <si>
    <t>https://www.askul.co.jp/p/A600130/</t>
  </si>
  <si>
    <t>SPIアイソレータ</t>
  </si>
  <si>
    <t>3750Vrms 7 チャンネル 34Mbps 25kV/µs CMTI 20-SSOP</t>
  </si>
  <si>
    <t xml:space="preserve">ADUM3151BRSZ-RL7CT-ND </t>
  </si>
  <si>
    <t>ADUM3151BRSZ-RL7</t>
  </si>
  <si>
    <t>https://www.digikey.jp/product-detail/ja/analog-devices-inc/ADUM3151BRSZ-RL7/ADUM3151BRSZ-RL7CT-ND/6596507</t>
  </si>
  <si>
    <t>DAコンバータ</t>
  </si>
  <si>
    <t>16 ビットD/Aコンバータ 2 10-VSSOP</t>
  </si>
  <si>
    <t>296-29032-1-ND</t>
  </si>
  <si>
    <t xml:space="preserve">DAC8563SDGSR </t>
  </si>
  <si>
    <t>https://www.digikey.jp/product-detail/ja/texas-instruments/DAC8563SDGSR/296-29032-1-ND/2687116</t>
  </si>
  <si>
    <t>OP-Amp</t>
  </si>
  <si>
    <t>汎用 アンプ 2 回路 8-SOIC</t>
  </si>
  <si>
    <t>296-1014-1-ND</t>
  </si>
  <si>
    <t>LM358DR</t>
  </si>
  <si>
    <t>https://www.digikey.jp/product-detail/ja/texas-instruments/LM358DR/296-1014-1-ND/404838</t>
  </si>
  <si>
    <t>アイソレータ</t>
  </si>
  <si>
    <t>誤差アンプ IC シャント整流器</t>
  </si>
  <si>
    <t>ADUM4190BRIZ-ND</t>
  </si>
  <si>
    <t xml:space="preserve">ADUM4190BRIZ </t>
  </si>
  <si>
    <t>https://www.digikey.jp/product-detail/ja/analog-devices-inc/ADUM4190BRIZ/ADUM4190BRIZ-ND/3882157</t>
  </si>
  <si>
    <t>16 ビットA/Dコンバータ 2 入力 2 SAR 16-TSSOP</t>
  </si>
  <si>
    <t xml:space="preserve">296-38533-6-ND </t>
  </si>
  <si>
    <t>ADS8353IPWR</t>
  </si>
  <si>
    <t>https://www.digikey.jp/product-detail/ja/texas-instruments/ADS8353IPWR/296-38533-6-ND/5033934</t>
  </si>
  <si>
    <t>DCDCコンバータ</t>
  </si>
  <si>
    <t xml:space="preserve">絶縁モジュール DC/DCコンバータ </t>
  </si>
  <si>
    <t>https://www.digikey.jp/product-detail/ja/recom-power/R05P209D/945-2656-5-ND/2301255</t>
  </si>
  <si>
    <t>電圧レギュレータ</t>
  </si>
  <si>
    <t>16 ビットA/Dコンバータ</t>
  </si>
  <si>
    <t>296-38533-6-ND</t>
  </si>
  <si>
    <t xml:space="preserve">ADS8353IPWR </t>
  </si>
  <si>
    <t>https://www.digikey.jp/product-detail/ja/analog-devices-inc/ADP7142AUJZ-5-0-R7/ADP7142AUJZ-5-0-R7CT-ND/6568649</t>
  </si>
  <si>
    <t>ラズベリーパイ０</t>
  </si>
  <si>
    <t xml:space="preserve"> Raspberry Pi Zero</t>
  </si>
  <si>
    <t>Pi Supply</t>
  </si>
  <si>
    <t>1910-1001-ND</t>
  </si>
  <si>
    <t xml:space="preserve">RPI-030 </t>
  </si>
  <si>
    <t>https://www.digikey.jp/product-detail/ja/pi-supply/RPI-030/1910-1001-ND/8136034</t>
  </si>
  <si>
    <t>USB変換ハブ</t>
  </si>
  <si>
    <t>インターフェイス USB2.0、ポート数 4</t>
  </si>
  <si>
    <t>U2HS-MB02-4BBK</t>
  </si>
  <si>
    <t>https://www.monotaro.com/p/7592/5534/?t.q=usb%20%95%CF%8A%B7%83n%83u</t>
  </si>
  <si>
    <t>電源アダプタ</t>
  </si>
  <si>
    <t xml:space="preserve">マイクロUSB用電源アダプタ 5V 2A </t>
  </si>
  <si>
    <t>KSY</t>
  </si>
  <si>
    <t>UB310-0520</t>
  </si>
  <si>
    <t>https://www.monotaro.com/p/2688/1338/?t.q=%83%7D%83C%83N%83%8Dusb%20ac%83A%83_%83v%83%5E%81%5B</t>
  </si>
  <si>
    <t>HDMI変換ケーブル</t>
  </si>
  <si>
    <t>タイプA-タイプD変換</t>
  </si>
  <si>
    <t>AD-HDADBK</t>
  </si>
  <si>
    <t>https://www.monotaro.com/p/7590/8646/?t.q=%83%7D%83C%83N%83%8DHDMI%95%CF%8A%B7</t>
  </si>
  <si>
    <t>GST PCB for both mobile and fixed implemented in one board</t>
  </si>
  <si>
    <t>https://www.p-ban.com</t>
  </si>
  <si>
    <t>PTFE-insulated Type K thermocouple extension cable</t>
  </si>
  <si>
    <t>7 strands/ core, 0.2 mm dia/ strand, 25 m/ reel</t>
  </si>
  <si>
    <t>236-3858</t>
  </si>
  <si>
    <t>Thermal vacuum chambers</t>
  </si>
  <si>
    <t>https://jp.rs-online.com/web/p/thermocouple-extension-wire/2363858/?sra=pstk</t>
  </si>
  <si>
    <t>1 strand/ core, 0.315 mm dia/ strand, 50 m/ reel</t>
  </si>
  <si>
    <t>827-6047</t>
  </si>
  <si>
    <t>https://jp.rs-online.com/web/p/thermocouple-extension-wire/8276047/?sra=pstk</t>
  </si>
  <si>
    <t>Miniature Type K thermocouple male connector</t>
  </si>
  <si>
    <t>polarised contact, 220 deg. C max operating temperature</t>
  </si>
  <si>
    <t>455-9764</t>
  </si>
  <si>
    <t>https://jp.rs-online.com/web/p/sensor-accessories/4559764/?sra=pstk</t>
  </si>
  <si>
    <t>Miniature Type K thermocouple female connector</t>
  </si>
  <si>
    <t>455-9758</t>
  </si>
  <si>
    <t>https://jp.rs-online.com/web/p/sensor-accessories/4559758/?sra=pstk</t>
  </si>
  <si>
    <t>両面銅張基板［ＣＥＭ－３］　１５０×１００×１．６ｍｍ　（１０枚入）</t>
  </si>
  <si>
    <t>CEM-3 150x100x1.6mm</t>
  </si>
  <si>
    <t>矢島製作所</t>
  </si>
  <si>
    <t>P-10282</t>
  </si>
  <si>
    <t>AE-2side-CEM-3_1.6t</t>
  </si>
  <si>
    <t>https://akizukidenshi.com/catalog/g/gP-10282/</t>
  </si>
  <si>
    <t>両面銅張基板［ＦＲ－４］　１５０×１００×０．３ｍｍ　（１０枚入）</t>
  </si>
  <si>
    <t>FR-4 150x100x1.6mm</t>
  </si>
  <si>
    <t>ニッカン工業株式会社</t>
  </si>
  <si>
    <t>P-13648</t>
  </si>
  <si>
    <t>https://akizukidenshi.com/catalog/g/gP-13648/</t>
  </si>
  <si>
    <t>ＳＭＡコネクタ　ＳＭＡ－Ｊ　基板用エッジマウント</t>
  </si>
  <si>
    <t>SMA-J エッジマウント</t>
  </si>
  <si>
    <t>C-13195</t>
  </si>
  <si>
    <t>https://akizukidenshi.com/catalog/g/gC-13195/</t>
  </si>
  <si>
    <t>パターン転写シート（A4）（100枚入） [PA4-100]</t>
  </si>
  <si>
    <t>A4 100枚</t>
  </si>
  <si>
    <t>aitendo</t>
  </si>
  <si>
    <t>PA4-100</t>
  </si>
  <si>
    <t>腐食液 塩化第二鉄液 500ml</t>
  </si>
  <si>
    <t>塩化第二鉄液 500ml</t>
  </si>
  <si>
    <t>https://www.amazon.co.jp/%E3%82%86%E3%82%81%E7%94%BB%E6%9D%90-%E8%85%90%E9%A3%9F%E6%B6%B2-%E5%A1%A9%E5%8C%96%E7%AC%AC%E4%BA%8C%E9%89%84%E6%B6%B2-500ml/dp/B0020VFJ8K/ref=pd_sbs_328_1/355-8816136-3862929?_encoding=UTF8&amp;pd_rd_i=B0020VFJ8K&amp;pd_rd_r=dd5f5e3d-aaac-40a3-b32c-3004dcdc1baf&amp;pd_rd_w=HmEbZ&amp;pd_rd_wg=IfxgE&amp;pf_rd_p=c295905f-82f9-4d73-8142-c393a4211258&amp;pf_rd_r=PVGH7SGEDDX21WWHDFB4&amp;psc=1&amp;refRID=PVGH7SGEDDX21WWHDFB4</t>
  </si>
  <si>
    <t>ジップ袋</t>
  </si>
  <si>
    <t>スワン 透明袋 チャック付き ポリ F-4 横型 100枚入</t>
  </si>
  <si>
    <t>https://www.amazon.co.jp/%E3%82%B9%E3%83%AF%E3%83%B3-%E9%80%8F%E6%98%8E%E8%A2%8B-%E3%83%81%E3%83%A3%E3%83%83%E3%82%AF%E4%BB%98%E3%81%8D-200%E6%9E%9A%E5%85%A5-006656042/dp/B075C7TTN3/ref=sr_1_14?__mk_ja_JP=%E3%82%AB%E3%82%BF%E3%82%AB%E3%83%8A&amp;dchild=1&amp;keywords=%E3%82%B8%E3%83%83%E3%83%97%2B%E8%A2%8B&amp;qid=1604987878&amp;sr=8-14&amp;th=1</t>
  </si>
  <si>
    <t>自己融着テープ</t>
  </si>
  <si>
    <t>19mm幅　0.5mm厚 10m長さ</t>
  </si>
  <si>
    <t>No.15</t>
  </si>
  <si>
    <t>https://www.monotaro.com/p/3954/0137/?utm_medium=cpc&amp;utm_source=Adwords&amp;utm_campaign=246-833-4061_6466659573&amp;utm_content=96539050723&amp;utm_term=_419857551518__pla-878327211808&amp;gclid=CjwKCAiAkan9BRAqEiwAP9X6UalaLBTqHtoeiw305ipue37dqpoPWC1_uhvynKXtIyHu0gluXc8AsBoCUNgQAvD_BwE</t>
  </si>
  <si>
    <t>399-11163-2-ND</t>
  </si>
  <si>
    <t>ADCS/ADB</t>
  </si>
  <si>
    <t>https://www.digikey.jp/product-detail/en/kemet/C0805C104J4RACTU/399-11163-6-ND/4357876</t>
  </si>
  <si>
    <t>100K</t>
  </si>
  <si>
    <t>100 Ohm</t>
  </si>
  <si>
    <t>10K</t>
  </si>
  <si>
    <t>4.7K</t>
  </si>
  <si>
    <t>https://www.digikey.jp/products/ja?keywords=DTC144EET1GOSCT-ND</t>
  </si>
  <si>
    <t xml:space="preserve">Crystal </t>
  </si>
  <si>
    <t>16 MHZ</t>
  </si>
  <si>
    <t>IC dual FET</t>
  </si>
  <si>
    <t xml:space="preserve">IC dual FET </t>
  </si>
  <si>
    <t>buffer</t>
  </si>
  <si>
    <t>Mosfet</t>
  </si>
  <si>
    <t>Charging connetor</t>
  </si>
  <si>
    <t>Memory IC</t>
  </si>
  <si>
    <t>Micro crystal AG</t>
  </si>
  <si>
    <t>Con D sub</t>
  </si>
  <si>
    <t>4 POS connector</t>
  </si>
  <si>
    <t>https://www.digikey.jp/product-detail/en/hirose-electric-co-ltd/A3C-4DA-2DSA-71/H10891-ND/1033019</t>
  </si>
  <si>
    <t>Conn Header</t>
  </si>
  <si>
    <t>micro-USB-B connector</t>
  </si>
  <si>
    <t xml:space="preserve"> Amphenol ICC</t>
  </si>
  <si>
    <t>714-2347</t>
  </si>
  <si>
    <t>TEC/CAM/AB</t>
  </si>
  <si>
    <t>https://jp.rs-online.com/web/p/usb-connectors/7142347/</t>
  </si>
  <si>
    <t>BCR</t>
  </si>
  <si>
    <t>IC SOLAR BATTERY CHARGER 8TSSOP</t>
  </si>
  <si>
    <t>497-11288-1-ND</t>
  </si>
  <si>
    <t>SPV1040TTR</t>
  </si>
  <si>
    <t>8TSSOP</t>
  </si>
  <si>
    <t>https://www.digikey.jp/product-detail/en/stmicroelectronics/SPV1040TTR/497-11288-1-ND/2672709</t>
  </si>
  <si>
    <t>https://www.digikey.jp/product-detail/en/analog-devices-inc/LT6106CS5-TRMPBF/LT6106CS5-TRMPBFCT-ND/1590293</t>
  </si>
  <si>
    <t>BATTERY HOLDER 18650 PC PIN</t>
  </si>
  <si>
    <t>36-1043-ND</t>
  </si>
  <si>
    <t>https://www.digikey.jp/product-detail/en/keystone-electronics/1043/36-1043-ND/2745669</t>
  </si>
  <si>
    <t>N-MOSFET</t>
  </si>
  <si>
    <t>MOSFET N-CH 30V 3.9A SOT-363</t>
  </si>
  <si>
    <t>SI1416EDH-T1-GE3CT-ND</t>
  </si>
  <si>
    <t>SI1416EDH-T1-GE3</t>
  </si>
  <si>
    <t>https://www.digikey.jp/product-detail/en/vishay-siliconix/SI1416EDH-T1-GE3/SI1416EDH-T1-GE3CT-ND/5805416</t>
  </si>
  <si>
    <t>Battery protection IC</t>
  </si>
  <si>
    <t>IC BATT PROT LI-ION 1-CELL SOT26</t>
  </si>
  <si>
    <t>diodes incorporated</t>
  </si>
  <si>
    <t>AP9101CK6-AETRG1DICT-ND</t>
  </si>
  <si>
    <t>AP9101CK6-AETRG1</t>
  </si>
  <si>
    <t>https://www.digikey.jp/product-detail/en/diodes-incorporated/AP9101CK6-AETRG1/AP9101CK6-AETRG1DICT-ND/8545970</t>
  </si>
  <si>
    <t>Capacitor 22uF</t>
  </si>
  <si>
    <t>22µF ± 20% 6.3V Ceramic Capacitor X5R 0805 (2012 metric system)</t>
  </si>
  <si>
    <t>399-4696-1-ND</t>
  </si>
  <si>
    <t>C0805C226M9PACTU</t>
  </si>
  <si>
    <t>https://www.digikey.jp/product-detail/ja/kemet/C0805C226M9PACTU/399-4696-1-ND/992221</t>
  </si>
  <si>
    <t>Capacitor 2.2uF</t>
  </si>
  <si>
    <t>2.2µF ± 10% 25V Ceramic Capacitor X7R 0805 (2012 metric system)</t>
  </si>
  <si>
    <t>490-14467-1-ND</t>
  </si>
  <si>
    <t>GRM21BR71E225KE11L</t>
  </si>
  <si>
    <t>https://www.digikey.jp/product-detail/ja/murata-electronics/GRM21BR71E225KE11L/490-14467-1-ND/6606928</t>
  </si>
  <si>
    <t>Back Boost Switching Regulator IC Positive Variable 1V 1 Output 600mA 16-TFSOP (0.118inch, 3.00mm Width) Exposed Pad</t>
  </si>
  <si>
    <t>LTC3130EMSE # PBF-ND</t>
  </si>
  <si>
    <t>LTC3130EMSE # PBF</t>
  </si>
  <si>
    <t>https://www.digikey.jp/product-detail/ja/analog-devices-inc/LTC3130EMSE-PBF/LTC3130EMSE-PBF-ND/6174042</t>
  </si>
  <si>
    <t>Back Switching Regulator IC Positive Variable 0.6V 1 Output 1A SC-74A, SOT-753</t>
  </si>
  <si>
    <t>LM2830XMF / NOPBCT-ND</t>
  </si>
  <si>
    <t>LM2830XMF / NOPB</t>
  </si>
  <si>
    <t>https://www.digikey.jp/product-detail/ja/texas-instruments/LM2830XMF-NOPB/LM2830XMF-NOPBCT-ND/1206386</t>
  </si>
  <si>
    <t>Inductor 10uH</t>
  </si>
  <si>
    <t>10µH Shielded Winding Inductor 2A 38 milliohms Maximum Non-Standard</t>
  </si>
  <si>
    <t>SRR6038-100YCT-ND</t>
  </si>
  <si>
    <t>SRR6038-100Y</t>
  </si>
  <si>
    <t>https://www.digikey.jp/product-detail/ja/bourns-inc/SRR6038-100Y/SRR6038-100YCT-ND/2127571</t>
  </si>
  <si>
    <t>Inductor 1.5uH</t>
  </si>
  <si>
    <t>1.5µH semi-shielded winding inductor 2A 40 milliohm non-standard</t>
  </si>
  <si>
    <t>Wurth Elektronik</t>
  </si>
  <si>
    <t>732-5492-1-ND</t>
  </si>
  <si>
    <t>https://www.digikey.jp/product-detail/ja/w%C3%BCrth-elektronik/74404032015/732-5492-1-ND/4865386</t>
  </si>
  <si>
    <t>Inductor 3.3uH</t>
  </si>
  <si>
    <t>FIXED IND 3.3UH 2A 55 MOHM SMD</t>
  </si>
  <si>
    <t>SRN4018TA-3R3MCT-ND</t>
  </si>
  <si>
    <t>SRN4018TA-3R3M</t>
  </si>
  <si>
    <t>https://www.digikey.jp/product-detail/ja/bourns-inc/SRN4018TA-3R3M/SRN4018TA-3R3MCT-ND/6565083</t>
  </si>
  <si>
    <t>MCU (Atmega32u4)</t>
  </si>
  <si>
    <t>44TQFP</t>
  </si>
  <si>
    <t>https://www.digikey.jp/product-detail/ja/microchip-technology/ATMEGA32U4-AUR/ATMEGA32U4-AURCT-ND/3440960</t>
  </si>
  <si>
    <t>Resistor 45.3K</t>
  </si>
  <si>
    <t>Resisor 0.05 Ohm</t>
  </si>
  <si>
    <t>0.05 ohm</t>
  </si>
  <si>
    <t>FCSL20R050FERCT-ND</t>
  </si>
  <si>
    <t>FCSL20R050FER</t>
  </si>
  <si>
    <t>https://www.digikey.jp/product-detail/ja/ohmite/FCSL20R050FER/FCSL20R050FERCT-ND/9599188</t>
  </si>
  <si>
    <t>4 pos connector</t>
  </si>
  <si>
    <t>4 Position Header Connector Through Hole</t>
  </si>
  <si>
    <t>S7070-ND</t>
  </si>
  <si>
    <t>PPTC022LFBN-RC</t>
  </si>
  <si>
    <t>https://www.digikey.jp/product-detail/en/sullins-connector-solutions/PPTC022LFBN-RC/S7070-ND/810209</t>
  </si>
  <si>
    <t>6 pos connector</t>
  </si>
  <si>
    <t>6 Position Header Connector Through Hole</t>
  </si>
  <si>
    <t>S7071-ND</t>
  </si>
  <si>
    <t>PPTC032LFBN-RC</t>
  </si>
  <si>
    <t>https://www.digikey.jp/product-detail/en/sullins-connector-solutions/PPTC032LFBN-RC/S7071-ND/810210</t>
  </si>
  <si>
    <t>LAN7500I-ABZJ</t>
  </si>
  <si>
    <t>IC USB-10 / 100 / 1K ETH CTRL 56QFN</t>
  </si>
  <si>
    <t>56-VFQFN</t>
  </si>
  <si>
    <t>https://www.marutsu.co.jp/pc/i/13024386/</t>
  </si>
  <si>
    <t>330mm, 50ohm, SMA, SMA-L, RG-316</t>
  </si>
  <si>
    <t>Raspberry Pi Zero Kit</t>
  </si>
  <si>
    <t>ZIM</t>
  </si>
  <si>
    <t>Keenan</t>
  </si>
  <si>
    <t>RasPi Zero, HDMI &amp; USB hub, AC adapter, USB mouse &amp; keyboard</t>
  </si>
  <si>
    <t>IO Data</t>
  </si>
  <si>
    <t>UD-RPZPKR</t>
  </si>
  <si>
    <t>IMG-CLS</t>
  </si>
  <si>
    <t>https://biccamera.rakuten.co.jp/item/4957180134987/</t>
  </si>
  <si>
    <t>Raspberry Pi Zero Camera</t>
  </si>
  <si>
    <t>OV5647 5MP, CCD Size: 1/4inch, FOV 72.4deg, Resolution: 1080p</t>
  </si>
  <si>
    <t>RB-WAV-88</t>
  </si>
  <si>
    <t>B006604</t>
  </si>
  <si>
    <t>https://item.rakuten.co.jp/robotshopjapan/rb-wav-88/</t>
  </si>
  <si>
    <t>FM ADB PCB Kitsune</t>
  </si>
  <si>
    <t>4(2 unslodered)</t>
  </si>
  <si>
    <t>最大耐熱温度150℃
エッチング箔設計
厚み（最大）0.26mm
2.5, 5, or 10 ワット/インチ2
115、230および28V
オプションの感圧接着剤 (PSA)</t>
  </si>
  <si>
    <t>OMEGA</t>
  </si>
  <si>
    <t>KHLVA-105/2-P</t>
  </si>
  <si>
    <t>3F Clean room</t>
  </si>
  <si>
    <t xml:space="preserve">Screw Ultra low head bolt Hexagon socket type </t>
  </si>
  <si>
    <t>CBSTSR2.5-6</t>
  </si>
  <si>
    <t>MiSUNI-VONA</t>
  </si>
  <si>
    <t>Kitsune FM battery box</t>
  </si>
  <si>
    <t>3F clean room</t>
  </si>
  <si>
    <t>https://jp.misumi-ec.com/vona2/detail/110302280540/?HissuCode=CBSTSR2.5-6&amp;PNSearch=CBSTSR2.5-6&amp;KWSearch=CBSTSR2.5-6&amp;searchFlow=results2products</t>
  </si>
  <si>
    <t>Kitsunne Spatium2 Access Board</t>
  </si>
  <si>
    <t>4(2 unsoldered)</t>
  </si>
  <si>
    <t>3( 2 unsoldered)</t>
  </si>
  <si>
    <t>Kitsune spatium2</t>
  </si>
  <si>
    <t>Kitsune Main Bus programming Board</t>
  </si>
  <si>
    <t>50 pin connectors</t>
  </si>
  <si>
    <t>2mm pitch /DIP/1A</t>
  </si>
  <si>
    <t>Mainbus/Spatium2</t>
  </si>
  <si>
    <t>pin headers</t>
  </si>
  <si>
    <t>https://akizukidenshi.com/catalog/g/gC-00167/</t>
  </si>
  <si>
    <t>FPGA Board</t>
  </si>
  <si>
    <t>Artix7 35T</t>
  </si>
  <si>
    <t>1286-1130-ND</t>
  </si>
  <si>
    <t>410-328-35</t>
  </si>
  <si>
    <t>4F Chmber room</t>
  </si>
  <si>
    <t>https://www.digikey.jp/products/ja?keywords=410-328-35</t>
  </si>
  <si>
    <t>Hot air station</t>
  </si>
  <si>
    <t>SMD chip desoldering</t>
  </si>
  <si>
    <t>SRA</t>
  </si>
  <si>
    <t>2260-AO888A-ND</t>
  </si>
  <si>
    <t>AO888A</t>
  </si>
  <si>
    <t>https://www.digikey.jp/product-detail/ja/sra-soldering-products/AO888A/2260-AO888A-ND/10709792</t>
  </si>
  <si>
    <t>LAN Cable</t>
  </si>
  <si>
    <t>30m, CAT7</t>
  </si>
  <si>
    <t>KB-T7-30NVN</t>
  </si>
  <si>
    <t>https://www.monotaro.com/p/1955/7642/?t.q=KB-T7-30NVN</t>
  </si>
  <si>
    <t>Power extension cable</t>
  </si>
  <si>
    <t>Power cable of Multitap 5m</t>
  </si>
  <si>
    <t>T-Y055NDA</t>
  </si>
  <si>
    <t>https://www.monotaro.com/p/3469/3714/?t.attr_f568=7%8C%C2%8C%FB&amp;t.q=%83%7D%83%8B%83%60%83%5E%83b%83v</t>
  </si>
  <si>
    <t>2P/3P Adapter</t>
  </si>
  <si>
    <t>System grounding for safety</t>
  </si>
  <si>
    <t>TAP-AD1RN</t>
  </si>
  <si>
    <t>https://www.monotaro.com/p/7604/0772/?t.q=TAP-AD1RN</t>
  </si>
  <si>
    <t>USB HDD for Backup</t>
  </si>
  <si>
    <t>6TB USB-C</t>
  </si>
  <si>
    <t>LaCie</t>
  </si>
  <si>
    <t>STHA6000800</t>
  </si>
  <si>
    <t>https://www.monotaro.com/p/3366/0297/?t.attr_f10059=%83Z%83%8B%83t%83p%83%8F%81%5B&amp;t.attr_f4744=USB%203.1%28Type-C%29&amp;t.q=HDD</t>
  </si>
  <si>
    <t>7port USB-C</t>
  </si>
  <si>
    <t>StarTech</t>
  </si>
  <si>
    <t>HB30C5A2CST</t>
  </si>
  <si>
    <t>https://www.monotaro.com/p/3943/2768/?t.q=HB30C5A2CST</t>
  </si>
  <si>
    <t>1.5m USB-A to USB-B</t>
  </si>
  <si>
    <t>PSS-410256-25</t>
  </si>
  <si>
    <t>https://www.monotaro.com/p/2489/8247/?t.attr_f1719=USB%28A%29%28%83I%83X%29%20-%20USB%28B%29%28%83I%83X%29&amp;t.attr_f2778=1%81%602%96%A2%96%9E&amp;t.attr_f8886=USB3.0&amp;t.q=usb%83P%81%5B%83u%83%8B</t>
  </si>
  <si>
    <t>Pin header, Straight</t>
  </si>
  <si>
    <t>2.54mm pitch</t>
  </si>
  <si>
    <t>Yokohama</t>
  </si>
  <si>
    <t>https://www.monotaro.com/p/1132/6473/?t.q=%83s%83%93%83w%83b%83_%202.54</t>
  </si>
  <si>
    <t>Pin header, Right angle</t>
  </si>
  <si>
    <t>PSR-410156-25</t>
  </si>
  <si>
    <t>https://www.monotaro.com/p/1134/4323/</t>
  </si>
  <si>
    <t>Spacer, Bolt</t>
  </si>
  <si>
    <t>BS-2009E</t>
  </si>
  <si>
    <t>https://www.monotaro.com/p/4226/3015/?t.attr_f1=%8E%F7%8E%89&amp;t.attr_f2=M2&amp;t.q=%83X%83y%81%5B%83T%81%5B%81%40m2</t>
  </si>
  <si>
    <t>Spacer, Socket</t>
  </si>
  <si>
    <t>AS-2015.5</t>
  </si>
  <si>
    <t>https://www.monotaro.com/p/5714/4378/?t.attr_f1=%8E%F7%8E%89&amp;t.attr_f2=M2&amp;t.q=%83X%83y%81%5B%83T%81%5B%81%40m2</t>
  </si>
  <si>
    <t>Cable tie</t>
  </si>
  <si>
    <t>Max Pi 37mm</t>
  </si>
  <si>
    <t>https://www.monotaro.com/p/2739/9338/?t.q=%83P%81%5B%83u%83%8B%83%5E%83C</t>
  </si>
  <si>
    <t>KITSUNE CCB FM</t>
  </si>
  <si>
    <t>KITSUNE / CAM - CCB</t>
  </si>
  <si>
    <t>KITSUNE ADCS FM</t>
  </si>
  <si>
    <t>KITSUNE / ADCS</t>
  </si>
  <si>
    <t>MOSFET 試験基板</t>
  </si>
  <si>
    <t>PCB, 68mm×33mm</t>
  </si>
  <si>
    <t>１</t>
  </si>
  <si>
    <t>TID試験</t>
  </si>
  <si>
    <t>80-C1206C476M8P</t>
  </si>
  <si>
    <t>https://www.mouser.jp/ProductDetail/KEMET/C1206C476M8PACTU?qs=%2Fha2pyFadugJ%252BGm75WbhsyZUUOBJY3yVapyuVf2lclQ1Jqb9xQ1%252Bcg%3D%3D</t>
  </si>
  <si>
    <t>80-C0603C104J3R</t>
  </si>
  <si>
    <t>https://www.mouser.jp/ProductDetail/KEMET/C0603C104J3RACTU?qs=%2Fha2pyFadugh8U7pV%252BrBGm4J%2FFCrZM3dsd8y0ECC0emdYSNm5UGziA%3D%3D</t>
  </si>
  <si>
    <t>80-C0603C105K3P</t>
  </si>
  <si>
    <t>https://www.mouser.jp/ProductDetail/KEMET/C0603C105K3PACTU?qs=%2Fha2pyFadugh8U7pV%252BrBGvWOrr9nSxqZxusxrSA%2F%2FXCGJIbPbdg8HQ%3D%3D</t>
  </si>
  <si>
    <t>80-C0603C475K8P</t>
  </si>
  <si>
    <t>https://www.mouser.jp/ProductDetail/KEMET/C0603C475K8PACTU?qs=%2Fha2pyFadug%252BqPfG%252BHQTueOgfLuE6agFbjHKLabT3NoyK%2FACTa3x1Q%3D%3D</t>
  </si>
  <si>
    <t>80-C0603C150J3GAUTO</t>
  </si>
  <si>
    <t>https://www.mouser.jp/ProductDetail/KEMET/C0603C150J3GACAUTO?qs=%2Fha2pyFaduibydODpRo1e12maIitxmctOITk0mLRE4wr3ueR1jFqyZ%2FKCWTFTJew</t>
  </si>
  <si>
    <t>80-C0603C223J3R</t>
  </si>
  <si>
    <t>https://www.mouser.jp/ProductDetail/KEMET/C0603C223J3RACTU?qs=%2Fha2pyFaduiOBgIIGlJ8ReA18VGxp2ntaplOFgY%2F8EAZXf6Pmxpx5A%3D%3D</t>
  </si>
  <si>
    <t>80-C0603C102J3G</t>
  </si>
  <si>
    <t>https://www.mouser.jp/ProductDetail/KEMET/C0603C102J3GACTU?qs=%2Fha2pyFadugh8U7pV%252BrBGsPwj7C57jvQ4yiudaKpXN22JEGYigSgGA%3D%3D</t>
  </si>
  <si>
    <t>80-C0603C473J3R</t>
  </si>
  <si>
    <t>https://www.mouser.jp/ProductDetail/KEMET/C0603C473J3RACTU?qs=%2Fha2pyFadug%252BqPfG%252BHQTublS4hjFljNz39VKU1WAsKAPpiXxVpLAfQ%3D%3D</t>
  </si>
  <si>
    <t>Capacitor 0.01uF</t>
  </si>
  <si>
    <t>80-C0603C103KARAUTO</t>
  </si>
  <si>
    <t>https://www.mouser.jp/ProductDetail/KEMET/C0603C103KARACAUTO?qs=%2Fha2pyFadugh8U7pV%252BrBGv4FGzdE68AArIhWnmj8%252B659Rb0nsmivr9PrUZg7Snvx</t>
  </si>
  <si>
    <t>660-RK73B1JTTD104J</t>
  </si>
  <si>
    <t>https://www.mouser.jp/ProductDetail/KOA-Speer/RK73B1JTTD104J?qs=%2Fha2pyFadugsLOWdTaAvHpWfy6ZtA5Z1rvA8TPd2gCNIJoJ18v8ayw%3D%3D</t>
  </si>
  <si>
    <t>660-UR73VD2ATTD25L0F</t>
  </si>
  <si>
    <t>https://www.mouser.jp/ProductDetail/KOA-Speer/UR73VD2ATTD25L0F?qs=%2Fha2pyFaduiA4xDvqPDJincceTgwtwSjElf61IF1ZK1AsA0Sec50PA%3D%3D</t>
  </si>
  <si>
    <t>660-RK73B1JTTD103J</t>
  </si>
  <si>
    <t>https://www.mouser.jp/ProductDetail/KOA-Speer/RK73B1JTTD103J?qs=%2Fha2pyFadugsLOWdTaAvHnkGICu6mNQR1NdgrIUELcFuDtYxeOFIHQ%3D%3D</t>
  </si>
  <si>
    <t>Resistor 470ohm</t>
  </si>
  <si>
    <t>660-RK73H1JTTD4700F</t>
  </si>
  <si>
    <t>RK73H1JTTD4700F</t>
  </si>
  <si>
    <t>https://www.mouser.jp/ProductDetail/KOA-Speer/RK73H1JTTD4700F?qs=%2Fha2pyFadujzle8xjALcvAyBKVZV%252BG08Te4TgvbU68OutT7tDCb4SA%3D%3D</t>
  </si>
  <si>
    <t>Resistor 49.9ohm</t>
  </si>
  <si>
    <t>660-RK73H1JTTD49R9F</t>
  </si>
  <si>
    <t>https://www.mouser.jp/ProductDetail/KOA-Speer/RK73H1JTTD49R9F?qs=dA6digunydY3hFjfaq7OOw%3D%3D</t>
  </si>
  <si>
    <t>660-RK73B1JTTD100J</t>
  </si>
  <si>
    <t>https://www.mouser.jp/ProductDetail/KOA-Speer/RK73B1JTTD100J?qs=%2Fha2pyFadugsLOWdTaAvHoafTlUqhgCn4svzkGleB7asMR4wj26ytw%3D%3D</t>
  </si>
  <si>
    <t>660-RK73B1JTTD750J</t>
  </si>
  <si>
    <t>https://www.mouser.jp/ProductDetail/KOA-Speer/RK73B1JTTD750J?qs=%2Fha2pyFadugsLOWdTaAvHrRKYiFYT%2FL5R3iENR0DiJ5OR4ie3VvXxw%3D%3D</t>
  </si>
  <si>
    <t>660-RK73Z1JRTTD</t>
  </si>
  <si>
    <t>https://www.mouser.jp/ProductDetail/KOA-Speer/RK73Z1JRTTD?qs=%2Fha2pyFadujCVJww8tI4XVZ%252B5YkzVejh1hM9RBGVtM0d35fk%2FwORFw%3D%3D</t>
  </si>
  <si>
    <t>71-CRCW0603-12.4K-E3</t>
  </si>
  <si>
    <t>https://www.mouser.jp/ProductDetail/Vishay-Dale/CRCW060312K4FKEA?qs=8tsW7z%2Fc78of4VB3wUPkkg%3D%3D</t>
  </si>
  <si>
    <t>660-RK73B1JTTD105J</t>
  </si>
  <si>
    <t>https://www.mouser.jp/ProductDetail/KOA-Speer/RK73B1JTTD105J?qs=%2Fha2pyFadugsLOWdTaAvHln3NHXM5SsqKeyD4JrRgwe0jBVXVjcrOg%3D%3D</t>
  </si>
  <si>
    <t>660-RK73B1JTTD123J</t>
  </si>
  <si>
    <t>https://www.mouser.jp/ProductDetail/KOA-Speer/RK73B1JTTD123J?qs=%2Fha2pyFadugsLOWdTaAvHtpumARLFlCgB9KAn63jd1v29qD701%2FUtQ%3D%3D</t>
  </si>
  <si>
    <t>660-RK73B1JTTD102J</t>
  </si>
  <si>
    <t>https://www.mouser.jp/ProductDetail/KOA-Speer/RK73B1JTTD102J?qs=ySlnPdhAnF0vPhOsRGbH%252BQ%3D%3D</t>
  </si>
  <si>
    <t>Resistor 2.4kohm</t>
  </si>
  <si>
    <t>660-RK73H1JTTD2401F</t>
  </si>
  <si>
    <t>RK73H1JTTD2401F</t>
  </si>
  <si>
    <t>https://www.mouser.jp/ProductDetail/KOA-Speer/RK73H1JTTD2401F?qs=sEK9FFFUU9XYznUriODOzw%3D%3D</t>
  </si>
  <si>
    <t>660-RK73B1JTTD473J</t>
  </si>
  <si>
    <t>https://www.mouser.jp/ProductDetail/KOA-Speer/RK73B1JTTD473J?qs=%2Fha2pyFadugsLOWdTaAvHiLq%2FYVaUgAoNiCSlhlnVbzsKSX%2FmEmGQg%3D%3D</t>
  </si>
  <si>
    <t>660-RK73H1JTTD4701F</t>
  </si>
  <si>
    <t>https://www.mouser.jp/ProductDetail/KOA-Speer/RK73H1JTTD4701F?qs=67CtzMuHUrshZAiyyrY8yQ%3D%3D</t>
  </si>
  <si>
    <t>660-RK73B1JTTD330J</t>
  </si>
  <si>
    <t>https://www.mouser.jp/ProductDetail/KOA-Speer/RK73B1JTTD330J?qs=auxgSZmE2KzYtUkyrgB%2FLg%3D%3D</t>
  </si>
  <si>
    <t>DDR2 Sodimm conn</t>
  </si>
  <si>
    <t>571-1473005-4</t>
  </si>
  <si>
    <t>https://www.mouser.jp/ProductDetail/TE-Connectivity/1473005-4?qs=%2Fha2pyFaduj4jrCFAAG9UIJ464iuMiV5zJQqjmhKcQo%3D</t>
  </si>
  <si>
    <t>CAM heater conn, temp. sensor conn, &amp; GPIO 2-pin CAM conn</t>
  </si>
  <si>
    <t>538-55460-0272</t>
  </si>
  <si>
    <t>55460-0272</t>
  </si>
  <si>
    <t>https://www.mouser.jp/ProductDetail/Molex/55460-0272?qs=z57USrEQgt05txr3Jqq%2FhA%3D%3D</t>
  </si>
  <si>
    <t>IC LOW CURRENT SURGE STOPPER</t>
  </si>
  <si>
    <t>https://www.mouser.jp/ProductDetail/Analog-Devices/LTC4380HDD-1PBF?qs=oahfZPh6IAK6vXT%252BHggvpA%3D%3D</t>
  </si>
  <si>
    <t>IC OVERVOLTAGE PROTECTION</t>
  </si>
  <si>
    <t>https://www.mouser.jp/ProductDetail/Analog-Devices/LTC4361IDC-2TRMPBF?qs=hVkxg5c3xu8HFOGoKycDRQ%3D%3D</t>
  </si>
  <si>
    <t>571-2337822-1</t>
  </si>
  <si>
    <t>https://www.mouser.jp/ProductDetail/TE-Connectivity-PB/2337822-1?qs=PzGy0jfpSMuGdKmoWZnXBA%3D%3D</t>
  </si>
  <si>
    <t>RJ45 ETHERNER CONN</t>
  </si>
  <si>
    <t>530-SS-60300-014</t>
  </si>
  <si>
    <t>https://www.mouser.jp/ProductDetail/Stewart-Connector-Bel/SS-60300-014?qs=%2Fha2pyFaduiVzBd%252Bj9cQQlZROIjR7eSyquSmp8vHPJ3fsta1UEy%2FuA%3D%3D</t>
  </si>
  <si>
    <t>Inductor 600 Ohms @ 100MHz</t>
  </si>
  <si>
    <t>81-BLM11A601S</t>
  </si>
  <si>
    <t>https://www.mouser.jp/ProductDetail/Murata-Electronics/BLM18AG601SN1D?qs=%2Fha2pyFadugaXrdTm9z6ujoHK9ziqVaZDl9lDPSbK0ptDeQWgq1exg%3D%3D</t>
  </si>
  <si>
    <t>Inductor 4.7uH</t>
  </si>
  <si>
    <t>4.7µH</t>
  </si>
  <si>
    <t>963-NRS5020T4R7MMGJ</t>
  </si>
  <si>
    <t>https://www.mouser.jp/ProductDetail/Taiyo-Yuden/NRS5020T4R7MMGJ?qs=PzICbMaShUf1vyqPZzn0eg%3D%3D</t>
  </si>
  <si>
    <t>Transistor NPN</t>
  </si>
  <si>
    <t>863-DTC144EET1G</t>
  </si>
  <si>
    <t>https://www.mouser.jp/ProductDetail/ON-Semiconductor/DTC144EET1G?qs=2OtswVQKCOGzUGumeHaiRw%3D%3D</t>
  </si>
  <si>
    <t>520-250-18-23A-EN</t>
  </si>
  <si>
    <t>https://www.mouser.jp/ProductDetail/ECS/ECS-250-18-23A-EN-TR?qs=%2Fha2pyFaduhoo%252BoiIKL8w21UOwF1Oa9mg6nca199qeYeco71xfVAyhSli9GdRz84</t>
  </si>
  <si>
    <t>621-DMG1012T-7</t>
  </si>
  <si>
    <t>https://www.mouser.jp/ProductDetail/Diodes-Incorporated/DMG1012T-7?qs=%2Fha2pyFaduh14jVn8x%252Bx%252BBRPM3aZgQ1HqCANf0fPEKl3Cl4R3fPxQw%3D%3D</t>
  </si>
  <si>
    <t>757-SSM6K514NULF</t>
  </si>
  <si>
    <t>SSM6K514NU,LF</t>
  </si>
  <si>
    <t>https://www.mouser.jp/ProductDetail/Toshiba/SSM6K514NULF?qs=%2Fha2pyFadugPZabIf%252BUtmC21pD47W7GgElRqNb%2FB80OpRqZXqYJ%2FrA%3D%3D</t>
  </si>
  <si>
    <t>30-pin conn</t>
  </si>
  <si>
    <t>798-DF14-30P-1.25H24</t>
  </si>
  <si>
    <t>https://www.mouser.jp/ProductDetail/Hirose-Connector/DF14-30P-125H24?qs=%2Fha2pyFaduiY39LNBoKfOWfNT6fkQMBT7dpZLE3s3GuaBtxIHdUeCr3slEPgAMX9</t>
  </si>
  <si>
    <t>595-SN74CB3Q3257DBQR</t>
  </si>
  <si>
    <t>https://www.mouser.jp/ProductDetail/Texas-Instruments/SN74CB3Q3257DBQR?qs=mE33ZKBHyE7nUNkzi4gkbQ%3D%3D</t>
  </si>
  <si>
    <t>606-CMD17-21VYD/TR8</t>
  </si>
  <si>
    <t>https://www.mouser.jp/ProductDetail/VCC/CMD17-21VYD-TR8?qs=%2Fha2pyFadujK5pGAVS%252BdLgzqy5FV2TE5655iC1mwda619SPaox4WWQ%3D%3D</t>
  </si>
  <si>
    <t>606-CMD17-21VGD</t>
  </si>
  <si>
    <t xml:space="preserve">https://www.mouser.jp/ProductDetail/VCC/CMD17-21VGD-TR8?qs=%2Fha2pyFadujK5pGAVS%252BdLuVaZNVMOBUmnLaBiILp9bMbhVvV2lBbGA%3D%3D
</t>
  </si>
  <si>
    <t>886-LAN9514I-JZX</t>
  </si>
  <si>
    <t>https://www.mouser.jp/ProductDetail/Microchip-Technology/LAN9514I-JZX?qs=%2Fha2pyFaduiAmoaJ1BUlgDi3cyNOKVPPMWWYjeXWA5amlZNZW1AGpA%3D%3D</t>
  </si>
  <si>
    <t>IC USB SWITCH</t>
  </si>
  <si>
    <t>USB Switch IC 1 Channel</t>
  </si>
  <si>
    <t>512-FSUSB42UMX</t>
  </si>
  <si>
    <t>10-UMLP</t>
  </si>
  <si>
    <t>https://www.mouser.jp/ProductDetail/ON-Semiconductor-Fairchild/FSUSB42UMX?qs=eJLAyKFqilUl3553fx9DLQ%3D%3D</t>
  </si>
  <si>
    <t>530-940-SP-3088</t>
  </si>
  <si>
    <t xml:space="preserve">https://www.mouser.jp/ProductDetail/Stewart-Connector-Bel/940-SP-3088?qs=SRYZG9HaIQ0x5ZLF0K6Jlg%3D%3D
</t>
  </si>
  <si>
    <t>m</t>
  </si>
  <si>
    <t xml:space="preserve">https://www.mouser.jp/ProductDetail/Molex/51090-0200?qs=VKrXD49J9Eo1%252BjZhRFfe%252BQ%3D%3D
</t>
  </si>
  <si>
    <t>Tin 24-30 AWG Crimp</t>
  </si>
  <si>
    <t>538-50212-8000-CT</t>
  </si>
  <si>
    <t>50212-8000 (Cut Strip)</t>
  </si>
  <si>
    <t xml:space="preserve">https://www.mouser.jp/ProductDetail/Molex/50212-8000-Cut-Strip?qs=LVm7ROZMjqNrWakD077n9Q%3D%3D
</t>
  </si>
  <si>
    <t>超極低頭ボルト　六角穴タイプ</t>
  </si>
  <si>
    <t>M2, 10mm</t>
  </si>
  <si>
    <t>TEC SDR</t>
  </si>
  <si>
    <t xml:space="preserve">POM-NCシート（ナチュラル）
</t>
  </si>
  <si>
    <t>ポリペンコアセタール，2mm厚，500mm x 1000mm</t>
  </si>
  <si>
    <t>POM-NC2.0-500-1000</t>
  </si>
  <si>
    <t>https://jp.misumi-ec.com/vona2/detail/221000579174/?HissuCode=POM-NC2.0-500-1000&amp;PNSearch=POM-NC2.0-500-1000&amp;KWSearch=POM-NC2.0-500-1000&amp;searchFlow=results2products</t>
  </si>
  <si>
    <t>Arduino UNO</t>
  </si>
  <si>
    <t>Aruduino UNO, 8KB</t>
  </si>
  <si>
    <t>Aruduino</t>
  </si>
  <si>
    <t>宇宙工学PBL</t>
  </si>
  <si>
    <t>TA</t>
  </si>
  <si>
    <t>SVBL3F カンサット部屋</t>
  </si>
  <si>
    <t>https://www.amazon.co.jp/Arduino-Rev3-ATmega328-%E3%83%9E%E3%82%A4%E3%82%B3%E3%83%B3%E3%83%9C%E3%83%BC%E3%83%89-A000066/dp/B008GRTSV6</t>
  </si>
  <si>
    <t>K型熱電対</t>
  </si>
  <si>
    <t>80cm</t>
  </si>
  <si>
    <t>P-00306</t>
  </si>
  <si>
    <t>https://akizukidenshi.com/catalog/g/gP-00306</t>
  </si>
  <si>
    <t>熱電対アンプ</t>
  </si>
  <si>
    <t>M-08218</t>
  </si>
  <si>
    <t>https://akizukidenshi.com/catalog/g/gM-08218/</t>
  </si>
  <si>
    <t>抵抗セット</t>
  </si>
  <si>
    <t>1-1Mohm</t>
  </si>
  <si>
    <t>https://www.amazon.co.jp/1000pcs-%E7%82%AD%E7%B4%A0%E7%9A%AE%E8%86%9C%E6%8A%B5%E6%8A%97%E5%99%A8-%E6%8A%B5%E6%8A%97%E5%99%A8%E3%82%AD%E3%83%83%E3%83%88-1%CE%A9%E3%80%9C1M%CE%A9%E8%A9%B0%E3%82%81%E5%90%88%E3%82%8F%E3%81%9B-%E9%9B%BB%E5%AD%90%E9%83%A8%E5%93%81/dp/B07RB5BP9D/ref=asc_df_B07RB5BP9D/?tag=jpgo-22&amp;linkCode=df0&amp;hvadid=342480885359&amp;hvpos=&amp;hvnetw=g&amp;hvrand=12523011584631172927&amp;hvpone=&amp;hvptwo=&amp;hvqmt=&amp;hvdev=c&amp;hvdvcmdl=&amp;hvlocint=&amp;hvlocphy=1009721&amp;hvtargid=pla-809439694558&amp;psc=1</t>
  </si>
  <si>
    <t>コンデンサセット</t>
  </si>
  <si>
    <t>10pF - 10uF</t>
  </si>
  <si>
    <t>https://www.amazon.co.jp/Wifehelper%E3%80%9024%E7%A8%AE%E9%A1%9E-1200%E5%80%8B%E3%82%BB%E3%83%83%E3%83%88%E3%80%91%E7%A9%8D%E5%B1%A4%E3%82%BB%E3%83%A9%E3%83%9F%E3%83%83%E3%82%AF%E3%82%B3%E3%83%B3%E3%83%87%E3%83%B3%E3%82%B5-%E3%83%81%E3%83%83%E3%83%97%E3%82%B3%E3%83%B3%E3%83%87%E3%83%B3%E3%82%B5-%E3%82%BB%E3%83%83%E3%83%88-10pF/dp/B07P6GDHWM/ref=sr_1_2_sspa?__mk_ja_JP=%E3%82%AB%E3%82%BF%E3%82%AB%E3%83%8A&amp;dchild=1&amp;keywords=%E3%82%B3%E3%83%B3%E3%83%87%E3%83%B3%E3%82%B5%E3%83%BC+%E3%82%BB%E3%83%83%E3%83%88&amp;qid=1604974477&amp;s=industrial&amp;sr=1-2-spons&amp;psc=1&amp;smid=A3DCM9V66CX10N&amp;spLa=ZW5jcnlwdGVkUXVhbGlmaWVyPUFKM1oyWEVWTUIxTzMmZW5jcnlwdGVkSWQ9QTA1OTkwMjIzVjNIT0dKVVVVR1BOJmVuY3J5cHRlZEFkSWQ9QTNQRjc4WEYxTko1OUsmd2lkZ2V0TmFtZT1zcF9hdGYmYWN0aW9uPWNsaWNrUmVkaXJlY3QmZG9Ob3RMb2dDbGljaz10cnVl</t>
  </si>
  <si>
    <t>ブレッドボード</t>
  </si>
  <si>
    <t>SRH-32</t>
  </si>
  <si>
    <t>https://www.amazon.co.jp/%E3%82%B5%E3%83%B3%E3%83%8F%E3%83%A4%E3%83%88-SRH-32-%E3%83%96%E3%83%AC%E3%83%83%E3%83%89%E3%83%9C%E3%83%BC%E3%83%89/dp/B00J2QO2X4/ref=sr_1_11?__mk_ja_JP=%E3%82%AB%E3%82%BF%E3%82%AB%E3%83%8A&amp;crid=1R87NX41CHJJC&amp;dchild=1&amp;keywords=%E3%83%96%E3%83%AC%E3%83%83%E3%83%89%E3%83%9C%E3%83%BC%E3%83%89&amp;qid=1604974524&amp;s=industrial&amp;sprefix=%E3%83%96%E3%83%AC%E3%83%83%E3%83%89%2Cindustrial%2C297&amp;sr=1-11</t>
  </si>
  <si>
    <t>ジャンパピンセット</t>
  </si>
  <si>
    <t>https://www.amazon.co.jp/Kuman-%E3%82%B8%E3%83%A3%E3%83%B3%E3%83%91%E3%83%BC%E3%83%AF%E3%82%A4%E3%83%A4%E3%83%BC-%E5%A4%9A%E8%89%B2%E3%83%87%E3%83%A5%E3%83%9D%E3%83%B3%E3%83%AF%E3%82%A4%E3%83%A4%E3%83%BC-%E3%83%96%E3%83%AC%E3%83%83%E3%83%89%E3%83%9C%E3%83%BC%E3%83%89-Arduino%E7%94%A8-Arduino%E3%81%A8Raspberry/dp/B07P64GK35/ref=pd_sbs_328_6/356-3919563-2062657?_encoding=UTF8&amp;pd_rd_i=B07P64GK35&amp;pd_rd_r=ae16bfd6-0e6c-451d-ac00-26619607b5f0&amp;pd_rd_w=yqyRx&amp;pd_rd_wg=NEAzk&amp;pf_rd_p=c295905f-82f9-4d73-8142-c393a4211258&amp;pf_rd_r=7094FJYKM3NXVEM64F9V&amp;psc=1&amp;refRID=7094FJYKM3NXVEM64F9V</t>
  </si>
  <si>
    <t>ガイガーカウンター（RS232C出力）</t>
  </si>
  <si>
    <t>K-05489</t>
  </si>
  <si>
    <t>AE-RADIATIONDOSIMETER</t>
  </si>
  <si>
    <t>https://akizukidenshi.com/catalog/g/gK-05489/</t>
  </si>
  <si>
    <t>RS232C-CMOS変換IC ADM3202ANZ</t>
  </si>
  <si>
    <t>I-09001</t>
  </si>
  <si>
    <t>ADM3202ANZ</t>
  </si>
  <si>
    <t>https://akizukidenshi.com/catalog/g/gI-09001/</t>
  </si>
  <si>
    <t>ACC</t>
  </si>
  <si>
    <t>K-07234</t>
  </si>
  <si>
    <t>AE-ADXL335</t>
  </si>
  <si>
    <t>https://akizukidenshi.com/catalog/g/gK-07234/</t>
  </si>
  <si>
    <t>磁気センサ（ADA4479）</t>
  </si>
  <si>
    <t>3軸磁気センサ</t>
  </si>
  <si>
    <t>Switch Science</t>
  </si>
  <si>
    <t>ADA-4479</t>
  </si>
  <si>
    <t>https://www.switch-science.com/catalog/6266/</t>
  </si>
  <si>
    <t>ラズパイ4B</t>
  </si>
  <si>
    <t>RPi4 4GB</t>
  </si>
  <si>
    <t>https://www.amazon.co.jp/%E3%83%A9%E3%82%BA%E3%83%99%E3%83%AA%E3%83%BC%E3%83%91%E3%82%A44-%E3%82%B3%E3%83%B3%E3%83%94%E3%83%A5%E3%83%BC%E3%82%BF%E3%83%BC%E3%83%A2%E3%83%87%E3%83%ABB-Raspberry-Computer-Model/dp/B07WR5W2D6</t>
  </si>
  <si>
    <t>ラズパイカメラ</t>
  </si>
  <si>
    <t>RPi CAM</t>
  </si>
  <si>
    <t>https://www.amazon.co.jp/Raspberry-Pi-%E3%82%AB%E3%83%A1%E3%83%A9%E3%83%A2%E3%82%B8%E3%83%A5%E3%83%BC%E3%83%AB%E3%80%90Raspberry-Camera-V2%E3%80%91/dp/B01F1SWTZE/ref=asc_df_B01F1SWTZE/?tag=jpgo-22&amp;linkCode=df0&amp;hvadid=342446474080&amp;hvpos=&amp;hvnetw=g&amp;hvrand=6402110472140879659&amp;hvpone=&amp;hvptwo=&amp;hvqmt=&amp;hvdev=c&amp;hvdvcmdl=&amp;hvlocint=&amp;hvlocphy=1009721&amp;hvtargid=pla-913874880132&amp;psc=1&amp;tag=&amp;ref=&amp;adgrpid=70566202682&amp;hvpone=&amp;hvptwo=&amp;hvadid=342446474080&amp;hvpos=&amp;hvnetw=g&amp;hvrand=6402110472140879659&amp;hvqmt=&amp;hvdev=c&amp;hvdvcmdl=&amp;hvlocint=&amp;hvlocphy=1009721&amp;hvtargid=pla-913874880132</t>
  </si>
  <si>
    <t>はんだごて１</t>
  </si>
  <si>
    <t>30W</t>
  </si>
  <si>
    <t>CXR-41</t>
  </si>
  <si>
    <t>https://item.rakuten.co.jp/fujino-netshop/12478503/?scid=af_pc_etc&amp;sc2id=af_117_0_10002089</t>
  </si>
  <si>
    <t>はんだごて2</t>
  </si>
  <si>
    <t>SK11</t>
  </si>
  <si>
    <t>KF-40S</t>
  </si>
  <si>
    <t>https://www.amazon.co.jp/dp/B00J7BNP5U?tag=mybest_presses_3036-22</t>
  </si>
  <si>
    <t>はんだごて台</t>
  </si>
  <si>
    <t>ST-11</t>
  </si>
  <si>
    <t>https://www.amazon.co.jp/%E5%A4%AA%E6%B4%8B%E9%9B%BB%E6%A9%9F%E7%94%A3%E6%A5%AD-goot-ST-11-%E3%81%AF%E3%82%93%E3%81%A0%E3%81%93%E3%81%A6%E5%8F%B0/dp/B0016V7JOC/ref=sr_1_4?__mk_ja_JP=%E3%82%AB%E3%82%BF%E3%82%AB%E3%83%8A&amp;dchild=1&amp;keywords=%E3%81%AF%E3%82%93%E3%81%A0+%E5%8F%B0&amp;qid=1605090855&amp;s=diy&amp;sr=1-4</t>
  </si>
  <si>
    <t>ツールクリッパー</t>
  </si>
  <si>
    <t>TSK</t>
  </si>
  <si>
    <t>TX303</t>
  </si>
  <si>
    <t>https://www.amazon.co.jp/%E3%83%86%E3%82%A3%E3%83%BB%E3%82%A8%E3%82%B9%E3%83%BB%E3%82%B1%E3%82%A4-TX303-TSK-%E3%83%84%E3%83%BC%E3%83%AB%E3%82%AF%E3%83%AA%E3%83%83%E3%83%91%E3%83%BC/dp/B003SBS4EM/ref=pd_sbs_421_44?_encoding=UTF8&amp;pd_rd_i=B003SBS4EM&amp;pd_rd_r=f26736f8-0ad0-4f7b-9be1-11ec1371a5d9&amp;pd_rd_w=5YKOK&amp;pd_rd_wg=QrUh8&amp;pf_rd_p=c295905f-82f9-4d73-8142-c393a4211258&amp;pf_rd_r=2RXH1J0G5QDG98F0QY1X&amp;psc=1&amp;refRID=2RXH1J0G5QDG98F0QY1X</t>
  </si>
  <si>
    <t>ピンセット</t>
  </si>
  <si>
    <t>Kingsdun</t>
  </si>
  <si>
    <t>https://www.amazon.co.jp/Kingsdun-%E7%B2%BE%E5%AF%86%E3%83%94%E3%83%B3%E3%82%BB%E3%83%83%E3%83%88-%E6%A5%B5%E7%B4%B0%E3%83%94%E3%83%B3%E3%82%BB%E3%83%83%E3%83%88-%E7%B4%B0%E3%81%84%E3%83%94%E3%83%B3%E3%82%BB%E3%83%83%E3%83%88-%E3%81%BE%E3%81%A4%E3%81%92%E3%82%A8%E3%82%AF%E3%82%B9%E3%83%86/dp/B077MH3R3J/ref=sr_1_1_sspa?__mk_ja_JP=%E3%82%AB%E3%82%BF%E3%82%AB%E3%83%8A&amp;crid=T3HEM5W2ZLYC&amp;dchild=1&amp;keywords=%E6%A5%B5%E7%B4%B0%E3%83%94%E3%83%B3%E3%82%BB%E3%83%83%E3%83%88&amp;qid=1605091667&amp;s=diy&amp;sprefix=%E6%A5%B5%E7%B4%B0%2Cdiy%2C290&amp;sr=1-1-spons&amp;psc=1&amp;spLa=ZW5jcnlwdGVkUXVhbGlmaWVyPUExUk9TSkxTSlBNTDBWJmVuY3J5cHRlZElkPUEwODI3MjE2M1BQQ1BJT0w4Q0JLRiZlbmNyeXB0ZWRBZElkPUExVDFEMjhFTEFZSzZFJndpZGdldE5hbWU9c3BfYXRmJmFjdGlvbj1jbGlja1JlZGlyZWN0JmRvTm90TG9nQ2xpY2s9dHJ1ZQ==</t>
  </si>
  <si>
    <t>ラジオペンチ</t>
  </si>
  <si>
    <t>KENOH</t>
  </si>
  <si>
    <t>https://www.amazon.co.jp/%E3%82%B1%E3%83%B3%E3%82%AA%E3%83%BC-KENOH-24022-%E3%83%9F%E3%83%8B-%E5%85%88%E7%B4%B0%E3%83%A9%E3%82%B8%E3%82%AA%E3%83%9A%E3%83%B3%E3%83%81/dp/B00FB92PJE/ref=sr_1_6?__mk_ja_JP=%E3%82%AB%E3%82%BF%E3%82%AB%E3%83%8A&amp;crid=2ACEEIDXI6WT6&amp;dchild=1&amp;keywords=%E3%83%A9%E3%82%B8%E3%82%AA%E3%83%9A%E3%83%B3%E3%83%81&amp;qid=1605091723&amp;s=diy&amp;sprefix=%E3%83%A9%E3%82%B8%E3%82%AA%2Cdiy%2C303&amp;sr=1-6</t>
  </si>
  <si>
    <t>バナナケーブル（ワニ口）</t>
  </si>
  <si>
    <t>白，赤，黄，緑，黒 x2</t>
  </si>
  <si>
    <t>https://www.amazon.co.jp/%E3%82%AA%E3%83%BC%E3%83%87%E3%82%A3%E3%82%AA%E3%83%95%E3%82%A1%E3%83%B3-%E3%83%AF%E3%83%8B%E3%82%B0%E3%83%81%E3%82%AF%E3%83%AA%E3%83%83%E3%83%97%E3%82%B3%E3%83%BC%E3%83%89-micro-%EF%BC%88%E3%83%9B%E3%83%AF%E3%82%A4%E3%83%88%E3%83%BB%E3%83%AC%E3%83%83%E3%83%89%E3%83%BB%E3%82%A4%E3%82%A8%E3%83%AD%E3%83%BC%E3%83%BB%E3%82%B0%E3%83%AA%E3%83%BC%E3%83%B3%E3%83%BB%E3%83%96%E3%83%A9%E3%83%83%E3%82%AF-%E6%97%A5%E6%9C%AC%E5%9B%BD%E5%86%85%E3%82%88%E3%82%8A%E7%99%BA%E9%80%81/dp/B07F8T7WYN/ref=sr_1_14?dchild=1&amp;keywords=%E9%9B%BB%E5%AD%90%E9%83%A8%E5%93%81+%E3%82%BB%E3%83%83%E3%83%88&amp;qid=1605091896&amp;sr=8-14</t>
  </si>
  <si>
    <t>デジタルマルチメーター</t>
  </si>
  <si>
    <t>BEVA</t>
  </si>
  <si>
    <t>WYB-002</t>
  </si>
  <si>
    <t>https://www.amazon.co.jp/BEVA-%E3%83%87%E3%82%B8%E3%82%BF%E3%83%AB%E3%83%86%E3%82%B9%E3%82%BF%E3%83%BC-%E5%B0%8F%E5%9E%8B%E9%9B%BB%E5%AD%90%E8%A8%88%E6%B8%AC%E6%A9%9F%E5%99%A8-%E3%83%80%E3%82%A4%E3%82%AA%E3%83%BC%E3%83%89%E3%81%AA%E3%81%A9%E3%81%AE%E6%B8%AC%E5%AE%9A-NCV%E9%9D%9E%E6%8E%A5%E7%B6%9A%E9%9B%BB%E5%9C%A7%E6%B8%AC%E5%AE%9A/dp/B07H55N66N/ref=sr_1_11?__mk_ja_JP=%E3%82%AB%E3%82%BF%E3%82%AB%E3%83%8A&amp;dchild=1&amp;keywords=%E3%83%86%E3%82%B9%E3%82%BF%E3%83%BC&amp;qid=1605092016&amp;sr=8-11</t>
  </si>
  <si>
    <t>電子工作初心者セット</t>
  </si>
  <si>
    <t>スタートキット</t>
  </si>
  <si>
    <t>https://www.amazon.co.jp/KeeYees-%E3%82%A8%E3%83%AC%E3%82%AF%E3%83%88%E3%83%AD%E3%83%8B%E3%82%AF%E3%82%B9%E5%85%A5%E9%96%80%E3%82%AD%E3%83%83%E3%83%88-Electronics-Raspberry-%E3%83%81%E3%83%A5%E3%83%BC%E3%83%88%E3%83%AA%E3%82%A2%E3%83%AB%E3%81%82%E3%82%8A/dp/B081F7FNR7/ref=sr_1_26_sspa?dchild=1&amp;keywords=%E9%9B%BB%E5%AD%90%E9%83%A8%E5%93%81+%E3%82%BB%E3%83%83%E3%83%88&amp;qid=1605092109&amp;sr=8-26-spons&amp;psc=1&amp;spLa=ZW5jcnlwdGVkUXVhbGlmaWVyPUExUEZRVUpNMlhYUlJOJmVuY3J5cHRlZElkPUEwODI3NTY1M0RLQ01OQkw2M1gxMyZlbmNyeXB0ZWRBZElkPUExUUVQRlZDNU9FRUYzJndpZGdldE5hbWU9c3BfbXRmJmFjdGlvbj1jbGlja1JlZGlyZWN0JmRvTm90TG9nQ2xpY2s9dHJ1ZQ==</t>
  </si>
  <si>
    <t>はんだ吸い取り線</t>
  </si>
  <si>
    <t>3.0mm</t>
  </si>
  <si>
    <t>goot</t>
  </si>
  <si>
    <t>CP-30Y</t>
  </si>
  <si>
    <t>https://www.amazon.co.jp/%E5%A4%AA%E6%B4%8B%E9%9B%BB%E6%A9%9F%E7%94%A3%E6%A5%AD-goot-CP-30Y-%E3%81%AF%E3%82%93%E3%81%A0%E5%90%B8%E5%8F%96%E3%82%8A%E7%B7%9A/dp/B0016V5KH0/ref=sr_1_5?__mk_ja_JP=%E3%82%AB%E3%82%BF%E3%82%AB%E3%83%8A&amp;crid=31OBGSW5FOJTJ&amp;dchild=1&amp;keywords=%E3%81%AF%E3%82%93%E3%81%A0%E5%90%B8%E3%81%84%E5%8F%96%E3%82%8A%E7%B7%9A&amp;qid=1605092254&amp;sprefix=%E3%81%AF%E3%82%93%E3%81%A0%E5%90%B8%E3%81%84%E5%8F%96%E3%82%8A%2Caps%2C287&amp;sr=8-5</t>
  </si>
  <si>
    <t>フラックスペン</t>
  </si>
  <si>
    <t>HAKKO</t>
  </si>
  <si>
    <t>FS210-81</t>
  </si>
  <si>
    <t>https://www.amazon.co.jp/%E7%99%BD%E5%85%89-HAKKO-%E3%83%8F%E3%83%83%E3%82%B3%E3%83%BC%E3%83%95%E3%83%A9%E3%83%83%E3%82%AF%E3%82%B9%E3%83%9A%E3%83%B3-4ml-%E7%AD%86%E3%83%9A%E3%83%B3%E3%82%BF%E3%82%A4%E3%83%97%EF%BC%89-FS210-81/dp/B00SKSJFZA/ref=sr_1_16?__mk_ja_JP=%E3%82%AB%E3%82%BF%E3%82%AB%E3%83%8A&amp;dchild=1&amp;keywords=%E3%83%95%E3%83%A9%E3%83%83%E3%82%AF%E3%82%B9+%E3%81%AF%E3%82%93%E3%81%A0%E7%94%A8+%E3%83%9A%E3%83%B3&amp;qid=1605092386&amp;sr=8-16</t>
  </si>
  <si>
    <t>はんだ</t>
  </si>
  <si>
    <t>SE-06010</t>
  </si>
  <si>
    <t>https://www.amazon.co.jp/%E5%A4%AA%E6%B4%8B%E9%9B%BB%E6%A9%9F%E7%94%A3%E6%A5%AD-goot-SE-06010-%E3%83%AA%E3%83%BC%E3%83%AB%E5%B7%BB%E3%81%AF%E3%82%93%E3%81%A0-100%EF%BD%87/dp/B001PR1L32/ref=sr_1_5?__mk_ja_JP=%E3%82%AB%E3%82%BF%E3%82%AB%E3%83%8A&amp;dchild=1&amp;keywords=%E3%81%AF%E3%82%93%E3%81%A0&amp;qid=1605092486&amp;sr=8-5</t>
  </si>
  <si>
    <t>Hexagon socket head cap screw-stainless steel</t>
  </si>
  <si>
    <t>SCB3-6</t>
  </si>
  <si>
    <t>https://jp.misumi-ec.com/vona2/detail/110300239250/?CategorySpec=00000217065%3a%3amig00000002462151%0900000217017%3a%3amig00000002466046%0900000217131%3a%3ab%0900000217026%3a%3aa</t>
  </si>
  <si>
    <t>https://jp.misumi-ec.com/vona2/detail/110300239250/?CategorySpec=00000217065%3a%3amig00000002462151%0900000217017%3a%3amig00000002466048%0900000217131%3a%3ab%0900000217026%3a%3aa</t>
  </si>
  <si>
    <t>Butterfly bolt-single item, small box</t>
  </si>
  <si>
    <t>BOX-CHBS3-8</t>
  </si>
  <si>
    <t>500 pieces per package</t>
  </si>
  <si>
    <t>https://jp.misumi-ec.com/vona2/detail/110302681370/?CategorySpec=00000216936%3a%3amig00000002462621%0900000216922%3a%3amig00000002457393%0900000217004%3a%3aq</t>
  </si>
  <si>
    <t>Screw insert</t>
  </si>
  <si>
    <t>HLTS3-4.5</t>
  </si>
  <si>
    <t>https://jp.misumi-ec.com/vona2/detail/110300258940/?CategorySpec=00000217156%3a%3amig00000002477238</t>
  </si>
  <si>
    <t>HLTS3-3</t>
  </si>
  <si>
    <t>Aluminum frame 15mm square aluminum frame</t>
  </si>
  <si>
    <t>KHFS3-1515-2000</t>
  </si>
  <si>
    <t>https://jp.misumi-ec.com/vona2/detail/110300465870/?CategorySpec=00000173432%3a%3amig00000002495279</t>
  </si>
  <si>
    <t>Square nut for 15mm square aluminum frame</t>
  </si>
  <si>
    <t>HNSQ3-3</t>
  </si>
  <si>
    <t>100 pieces per Package</t>
  </si>
  <si>
    <t>https://jp.misumi-ec.com/vona2/detail/110300465710/?rid=c23-series_detail_1_110300465710</t>
  </si>
  <si>
    <t>Bracket for 15mm square aluminum frame</t>
  </si>
  <si>
    <t>HPTBS3</t>
  </si>
  <si>
    <t>https://jp.misumi-ec.com/vona2/detail/110302755570/?rid=c23-series_c_cart_3_110302755570</t>
  </si>
  <si>
    <t>Ultra low head bolt Hexagon socket type</t>
  </si>
  <si>
    <t>https://jp.misumi-ec.com/vona2/detail/110302280540/?CategorySpec=00000217040%3a%3amig00000002457491%0900000217074%3a%3ad</t>
  </si>
  <si>
    <t>Knurled screw with pickpocket</t>
  </si>
  <si>
    <t>CSMKN-SUSTBS-M3-6</t>
  </si>
  <si>
    <t>https://jp.misumi-ec.com/vona2/detail/221000545975/?CategorySpec=00000216936%3a%3amig00000002462621%0900000216922%3a%3a6%2cmig00000002480569</t>
  </si>
  <si>
    <t>Round washer 1.0T (polyacetal) (small box)</t>
  </si>
  <si>
    <t>3 × 10 × 1.0</t>
  </si>
  <si>
    <t>41982543</t>
  </si>
  <si>
    <t>https://www.monotaro.com/g/00452765/?t.attr_f1=%8E%F7%8E%89&amp;t.attr_f2=M3&amp;t.attr_f2553=1&amp;t.attr_f2600=%95%BD%8D%C0%8B%E0%28%83%8F%83b%83V%83%83%81%5B%29&amp;t.attr_f860=10</t>
  </si>
  <si>
    <t>Aluminum flat plate</t>
  </si>
  <si>
    <t>HA2046</t>
  </si>
  <si>
    <t>35767094</t>
  </si>
  <si>
    <t>https://www.monotaro.com/p/3576/7094/</t>
  </si>
  <si>
    <t>Polypencoacetal (POM) Cut Plate</t>
  </si>
  <si>
    <t>Thickness 6mm, Width 295mm, Length 295mm, POM-NC</t>
  </si>
  <si>
    <t>三菱ケミカルアドバンスドマテリアルズ(旧ポリペンコ)</t>
  </si>
  <si>
    <t>07064075</t>
  </si>
  <si>
    <t>https://www.monotaro.com/p/0706/4075/?t.q=POM</t>
  </si>
  <si>
    <t>Thickness 12mm, Width 295mm, Length 295mm, POM-NC</t>
  </si>
  <si>
    <t>07064102</t>
  </si>
  <si>
    <t>https://www.monotaro.com/p/0706/4102/</t>
  </si>
  <si>
    <t>Hexagon socket set screw Kubomi (stainless steel)</t>
  </si>
  <si>
    <t>M3 × 4</t>
  </si>
  <si>
    <t>05524145</t>
  </si>
  <si>
    <t>60 pieces per package</t>
  </si>
  <si>
    <t>https://www.monotaro.com/g/00010578/?t.attr_f2=M3&amp;t.attr_f3=4</t>
  </si>
  <si>
    <t>デジタルノギス</t>
  </si>
  <si>
    <t>Caliper 0-150mm</t>
  </si>
  <si>
    <t>08469308</t>
  </si>
  <si>
    <t>https://www.monotaro.com/g/01139074/?es=1</t>
  </si>
  <si>
    <t>50pin female connector</t>
  </si>
  <si>
    <t>Otani</t>
  </si>
  <si>
    <t>50 極 レセプタクル コネクタ  スルーホール</t>
  </si>
  <si>
    <t>トレイ</t>
  </si>
  <si>
    <t>50pin male connector</t>
  </si>
  <si>
    <t>SMA SMPM ケーブル</t>
  </si>
  <si>
    <t>同軸ケーブルアセンブリ SMA～SMPM 雌～雄 TFlex-405 12.00インチ（304.80mm）</t>
  </si>
  <si>
    <t>7032-7241-ND</t>
  </si>
  <si>
    <t>7032-7241</t>
  </si>
  <si>
    <t>SMPM-SMA</t>
  </si>
  <si>
    <t>https://www.digikey.jp/product-detail/ja/amphenol-sv-microwave/7032-7241/7032-7241-ND/8278707</t>
  </si>
  <si>
    <t>水差し</t>
  </si>
  <si>
    <t>250ml</t>
  </si>
  <si>
    <t>サンプラスチック</t>
  </si>
  <si>
    <t>250ML</t>
  </si>
  <si>
    <t>4th floor</t>
  </si>
  <si>
    <t>基板製造用</t>
  </si>
  <si>
    <t>0.8mm ドリル</t>
  </si>
  <si>
    <t>φ0.8</t>
  </si>
  <si>
    <t>NACHI</t>
  </si>
  <si>
    <t>Reserach</t>
  </si>
  <si>
    <t>Raspberry Pi 4 B 4GB Starter Kit</t>
  </si>
  <si>
    <t>Ramson</t>
  </si>
  <si>
    <t>Quad core Cortex-A72 (ARM v8) 64-bit SoC @ 1.5GHz, 4 GB LPDDR4 SDRAM, USB 3.0 Ports, Dual Micro HDMI, Bluetooth5.0, 0 to 50 deg cel, onboard wifi and Gigabit Ethernet</t>
  </si>
  <si>
    <t>Okdo</t>
  </si>
  <si>
    <t>206-7510</t>
  </si>
  <si>
    <t>4B</t>
  </si>
  <si>
    <t>Starter Kit</t>
  </si>
  <si>
    <t xml:space="preserve">OPERA </t>
  </si>
  <si>
    <t>OPERA-SDR</t>
  </si>
  <si>
    <t>https://jp.rs-online.com/web/p/raspberry-pi/2067510/</t>
  </si>
  <si>
    <t>JSTコネクタ メス 2ピン</t>
  </si>
  <si>
    <t>2.5mm EHシリーズ</t>
  </si>
  <si>
    <t>455-1000-ND</t>
  </si>
  <si>
    <t>https://www.digikey.jp/product-detail/ja/jst-sales-america-inc/EHR-2/455-1000-ND/527224</t>
  </si>
  <si>
    <t>JSTコネクタ メス 3ピン</t>
  </si>
  <si>
    <t>455-1001-ND</t>
  </si>
  <si>
    <t>https://www.digikey.jp/product-detail/ja/jst-sales-america-inc/EHR-3/455-1001-ND/527225</t>
  </si>
  <si>
    <t>JSTコネクタ オス 2ピン</t>
  </si>
  <si>
    <t>455-1625-ND</t>
  </si>
  <si>
    <t>S2B-EH(LF)(SN)</t>
  </si>
  <si>
    <t>https://www.digikey.jp/product-detail/ja/jst-sales-america-inc/S2B-EH-LF-SN/455-1625-ND/926533</t>
  </si>
  <si>
    <t>JSTコネクタ オス 3ピン</t>
  </si>
  <si>
    <t>455-1626-ND</t>
  </si>
  <si>
    <t>S3B-EH (LF) (SN)</t>
  </si>
  <si>
    <t>https://www.digikey.jp/product-detail/ja/jst-sales-america-inc/S3B-EH-LF-SN/455-1626-ND/926534</t>
  </si>
  <si>
    <t>JSTコネクタ 端子</t>
  </si>
  <si>
    <t>EHシリーズ</t>
  </si>
  <si>
    <t>455-1042-1-ND</t>
  </si>
  <si>
    <t>BEH-001T-P0.6</t>
  </si>
  <si>
    <t>https://www.digikey.jp/product-detail/ja/jst-sales-america-inc/SEH-001T-P0-6/455-1042-1-ND/527266</t>
  </si>
  <si>
    <t>ジャンパーピン青</t>
  </si>
  <si>
    <t>（２．５４ｍｍピッチ）（２５個入）</t>
  </si>
  <si>
    <t>P-03690</t>
  </si>
  <si>
    <t>MJ-254-6BU</t>
  </si>
  <si>
    <t>25個入り</t>
  </si>
  <si>
    <t>https://akizukidenshi.com/catalog/g/gP-03690/</t>
  </si>
  <si>
    <t>ビニル電線（ワイヤー）</t>
  </si>
  <si>
    <t>２ｍ×１０色 導体径０．６５ｍｍ 単芯</t>
  </si>
  <si>
    <t>協和ハーモネット株式会社</t>
  </si>
  <si>
    <t>P-08996</t>
  </si>
  <si>
    <t>H-PVC 0.65mm</t>
  </si>
  <si>
    <t>https://akizukidenshi.com/catalog/g/gP-08996/</t>
  </si>
  <si>
    <t>SI7228DN-T1-GE3</t>
  </si>
  <si>
    <t>VISHAY</t>
  </si>
  <si>
    <t>YIC international</t>
  </si>
  <si>
    <t>MOSFET 2N-CH 30V 26A PPAK 1212-8</t>
  </si>
  <si>
    <t>https://www.y-ic.com/pdf/Vishay%20-%20Siliconix/SI7228DN-T1-GE3.html</t>
  </si>
  <si>
    <t>LT1357CS8#PBF-ND</t>
  </si>
  <si>
    <t>Ibukun Adebolu</t>
  </si>
  <si>
    <t>Voltage Feedback Amplifier 1 Circuit  8-SO</t>
  </si>
  <si>
    <t xml:space="preserve">        LT1357CS8#PBF-ND</t>
  </si>
  <si>
    <t xml:space="preserve">	LT1357CS8#PBF</t>
  </si>
  <si>
    <t>Research (Pyroshock)</t>
  </si>
  <si>
    <t>https://www.digikey.jp/product-detail/en/analog-devices-inc/LT1357CS8-PBF/LT1357CS8-PBF-ND/889980</t>
  </si>
  <si>
    <t>Portable logic analyzer</t>
  </si>
  <si>
    <t>Logic Analyzers Digital Discovery High Speed Adapter Bundle</t>
  </si>
  <si>
    <t>Digilent</t>
  </si>
  <si>
    <t>424-240-127</t>
  </si>
  <si>
    <t>240-127</t>
  </si>
  <si>
    <t>Research (CubeSat Interface)</t>
  </si>
  <si>
    <t>https://www.mouser.jp/ProductDetail/Digilent/240-127?qs=sPbYRqrBIVnapytz9HQPcw==</t>
  </si>
  <si>
    <t>HYmu80 Hystersis damper</t>
  </si>
  <si>
    <t xml:space="preserve">Timothy </t>
  </si>
  <si>
    <t>length 4cm diameter 0.2cm radius 0.1cm</t>
  </si>
  <si>
    <t>Changzhou DLX Alloy Co., Ltd</t>
  </si>
  <si>
    <t>Alibaba</t>
  </si>
  <si>
    <t>: DLX20201124M</t>
  </si>
  <si>
    <t>USD 148.00</t>
  </si>
  <si>
    <t>BIRD5</t>
  </si>
  <si>
    <t xml:space="preserve">ADCS </t>
  </si>
  <si>
    <t>https://message.alibaba.com/msgsend/contact.htm?action=contact_action&amp;appForm=s_en&amp;chkProductIds=1600089246511&amp;chkProductIds_f=IDX1PrtqW0atGrEw4Juzh37nHDTkmPyeE0ZYMS4IMXLk0TcPGVvmA-cwEfY8xaJWFfh0&amp;tracelog=contactOrg&amp;mloca=main_en_search_list</t>
  </si>
  <si>
    <t>ＵＳＢｔｙｐｅ－ＣコネクタＤＩＰ化キット</t>
  </si>
  <si>
    <t>K-13471</t>
  </si>
  <si>
    <t>AE-USB-TYPE-C-DIP24</t>
  </si>
  <si>
    <t>https://akizukidenshi.com/catalog/g/gK-13471/</t>
  </si>
  <si>
    <t xml:space="preserve">        ＣＨ３４０Ｅ　ＵＳＢシリアル変換モジュール</t>
  </si>
  <si>
    <t>CH340Eを使用したUSBシリアル変換モジュール</t>
  </si>
  <si>
    <t>K-14745</t>
  </si>
  <si>
    <t>AE-CH340E-TYPEC</t>
  </si>
  <si>
    <t>https://akizukidenshi.com/catalog/g/gK-14745/</t>
  </si>
  <si>
    <t>ピンソケット　（メス）　２×２０　（４０Ｐ）</t>
  </si>
  <si>
    <t>2.54mmピッチ ピンフレーム</t>
  </si>
  <si>
    <t>C-00085</t>
  </si>
  <si>
    <t>FH-2x20SG</t>
  </si>
  <si>
    <t>https://akizukidenshi.com/catalog/g/gC-00085/</t>
  </si>
  <si>
    <t>ピンソケット（メス）　１×１５（１５Ｐ）</t>
  </si>
  <si>
    <t>基板取付用、2.54mmピッチ、1列のピンフレーム(ピンソケット)</t>
  </si>
  <si>
    <t>C-10102</t>
  </si>
  <si>
    <t>FH-1x15SG/RH</t>
  </si>
  <si>
    <t>https://akizukidenshi.com/catalog/g/gC-10102/</t>
  </si>
  <si>
    <t>銅張積層板（カット基板）</t>
  </si>
  <si>
    <t>Iwase</t>
  </si>
  <si>
    <t>片面，ガラスエポキシ，寸法(mm)200×250，板厚(mm)1.6</t>
  </si>
  <si>
    <t>￥1,690</t>
  </si>
  <si>
    <t>https://www.monotaro.com/p/3759/7061/</t>
  </si>
  <si>
    <t>Derrick</t>
  </si>
  <si>
    <t>Crimp socket</t>
  </si>
  <si>
    <t>Battery heater</t>
  </si>
  <si>
    <t>Edgar</t>
  </si>
  <si>
    <t>10µF ± 20% 25V Ceramic Capacitor X7R 1206</t>
  </si>
  <si>
    <t>399-15731-1-ND</t>
  </si>
  <si>
    <t xml:space="preserve">	C1206C106M3RACAUTO</t>
  </si>
  <si>
    <t>Surface Mount, MLCC
  0603/1608</t>
  </si>
  <si>
    <t>https://www.digikey.jp/product-detail/ja/kemet/C1206C106M3RACAUTO/399-15731-1-ND/</t>
  </si>
  <si>
    <t>Resistor
 220</t>
  </si>
  <si>
    <t xml:space="preserve">10-ERJ-U02J221XCT-ND
</t>
  </si>
  <si>
    <t>ERJ-U02J221X</t>
  </si>
  <si>
    <t>https://www.digikey.jp/product-detail/ja/panasonic-electronic-components/ERJ-U02J221X/10-ERJ-U02J221XCT-ND/</t>
  </si>
  <si>
    <t>Resistor
 330</t>
  </si>
  <si>
    <t>10-ERJ-U03F3300VCT-ND</t>
  </si>
  <si>
    <t>ERJ-U03F3300V</t>
  </si>
  <si>
    <t xml:space="preserve">https://www.digikey.jp/product-detail/ja/panasonic-electronic-components/ERJ-U02J221X/10-ERJ-U02J221XCT-ND/
</t>
  </si>
  <si>
    <t>Resistor
 5.1k</t>
  </si>
  <si>
    <t xml:space="preserve">Resistor </t>
  </si>
  <si>
    <t>ry</t>
  </si>
  <si>
    <t>Resistor
 15k</t>
  </si>
  <si>
    <t>Resistor
 4.3k</t>
  </si>
  <si>
    <t>Resistor
 2.2k</t>
  </si>
  <si>
    <t>Resistor
 3.3k</t>
  </si>
  <si>
    <t>Resistor
 120k</t>
  </si>
  <si>
    <t xml:space="preserve">2019-RK73H1JTTD1203FCT-ND
</t>
  </si>
  <si>
    <t xml:space="preserve">RK73H1JTTD1203F
</t>
  </si>
  <si>
    <t xml:space="preserve">https://www.digikey.jp/product-detail/en/koa-speer-electronics-inc/RK73H1JTTD1203F/2019-RK73H1JTTD1203FCT-ND/9847089
</t>
  </si>
  <si>
    <t>Resistor
 1k</t>
  </si>
  <si>
    <t>Surface Mount, MLCC
  0805/2012</t>
  </si>
  <si>
    <t>OP-amp</t>
  </si>
  <si>
    <t>General type surface mount</t>
  </si>
  <si>
    <t>MCP6021-E / SN-ND</t>
  </si>
  <si>
    <t>MCP6021-E / SN</t>
  </si>
  <si>
    <t>https://www.digikey.jp/product-detail/ja/microchip-technology/MCP6021-E-SN/MCP6021-E-SN-ND/683215</t>
  </si>
  <si>
    <t>PTFE spacer (hollow type)</t>
  </si>
  <si>
    <t>size_M3, outer diameter_7 mm, length_14 mm</t>
  </si>
  <si>
    <t>CT-314</t>
  </si>
  <si>
    <t>PeTT vacuum chambers</t>
  </si>
  <si>
    <t>https://jp.misumi-ec.com/vona2/detail/221006204603/?ProductCode=CT-314</t>
  </si>
  <si>
    <t>Stainless steel nuts</t>
  </si>
  <si>
    <t>size_M3, thickness_2.4 mm, pitch_0.5</t>
  </si>
  <si>
    <t>https://jp.misumi-ec.com/vona2/detail/110300250540/?ProductCode=SLBNR3</t>
  </si>
  <si>
    <t>Hex head cap screws</t>
  </si>
  <si>
    <t>stainless steel, size_M3, length_40 mm, pitch_0.5</t>
  </si>
  <si>
    <t>SCB3-40</t>
  </si>
  <si>
    <t>https://jp.misumi-ec.com/vona2/detail/110300239250/?ProductCode=SCB3-40</t>
  </si>
  <si>
    <t>Signal Generator</t>
  </si>
  <si>
    <t>TGR2053-U01</t>
  </si>
  <si>
    <t>TTi</t>
  </si>
  <si>
    <t>TechnoScience</t>
  </si>
  <si>
    <t>4F Test Room</t>
  </si>
  <si>
    <t>AWG28, PTFE, -75C -&gt; +200C, 0.12mm2</t>
  </si>
  <si>
    <t>841-7153</t>
  </si>
  <si>
    <t>98m</t>
  </si>
  <si>
    <t>https://jp.rs-online.com/web/p/harsh-environment-wire/8417153/</t>
  </si>
  <si>
    <t>RBF Pins</t>
  </si>
  <si>
    <t>C &amp; K Detector Switch Plunger Surface Mount</t>
  </si>
  <si>
    <t>Male N - Male SMA RF cable</t>
  </si>
  <si>
    <t>R284C0351050</t>
  </si>
  <si>
    <t>215-441</t>
  </si>
  <si>
    <t>https://jp.rs-online.com/web/p/coaxial-cable/0215441/</t>
  </si>
  <si>
    <t>Male SMA - Male SMA RF cable</t>
  </si>
  <si>
    <t>R284C0351054</t>
  </si>
  <si>
    <t>498-7585</t>
  </si>
  <si>
    <t>https://jp.rs-online.com/web/p/coaxial-cable/4987585/</t>
  </si>
  <si>
    <t>BNC - SMA Adapter</t>
  </si>
  <si>
    <t>J01008A0017</t>
  </si>
  <si>
    <t>Telegartner</t>
  </si>
  <si>
    <t>112-3788</t>
  </si>
  <si>
    <t>https://jp.rs-online.com/web/p/coaxial-adapters/1123788/</t>
  </si>
  <si>
    <t>1/4W Resistor Kit Book</t>
  </si>
  <si>
    <t>RSKT-CFS1/4</t>
  </si>
  <si>
    <t>502-1210</t>
  </si>
  <si>
    <t>https://jp.rs-online.com/web/p/resistor-sample-kits/5021210/</t>
  </si>
  <si>
    <t>Power cable tap</t>
  </si>
  <si>
    <t>1m, 6slot</t>
  </si>
  <si>
    <t>TAP-K6-1</t>
  </si>
  <si>
    <t>https://www.monotaro.com/p/7606/6952/?t.attr_f4647=3P%28%90%DA%92n2P%29&amp;t.attr_f4648=3P%28%90%DA%92n2P%29%94%B2%8E%7E&amp;t.attr_f566=1&amp;t.attr_f568=6%8C%C2%8C%FB</t>
  </si>
  <si>
    <t>HDMI Cable, MacPro to Monitor</t>
  </si>
  <si>
    <t>CAC-HD14EL30BK</t>
  </si>
  <si>
    <t>https://www.monotaro.com/p/2011/1498/?t.attr_f2778=3%81%605%96%A2%96%9E&amp;t.q=HDMI</t>
  </si>
  <si>
    <t>丸ワッシャー</t>
  </si>
  <si>
    <t>M3.2 外形φ12mm 厚さ0.5mm</t>
  </si>
  <si>
    <t>UUW-0312-05H</t>
  </si>
  <si>
    <t>UUW-312-05H</t>
  </si>
  <si>
    <t>clean room/BIRDS部屋</t>
  </si>
  <si>
    <t>https://hirosugi.co.jp/products/U/UUW-H_UW.html</t>
  </si>
  <si>
    <t>C-band Patch antenna</t>
  </si>
  <si>
    <t>5.66GHz/5.85GHz</t>
  </si>
  <si>
    <t>0/0</t>
  </si>
  <si>
    <t>ＳＭＡコネクタ ＳＭＡ－Ｊ（横向き）</t>
  </si>
  <si>
    <t>https://akizukidenshi.com/catalog/g/gC-02569/</t>
  </si>
  <si>
    <t>アラルダイト（赤）</t>
  </si>
  <si>
    <t>KITSUE</t>
  </si>
  <si>
    <t xml:space="preserve">8 Position Circular Connector Receptacle, Male Pins Solder Cup
</t>
  </si>
  <si>
    <t xml:space="preserve">NorComp Inc.
</t>
  </si>
  <si>
    <t xml:space="preserve">NOR1709-ND
</t>
  </si>
  <si>
    <t xml:space="preserve">858-X08-103RLS4
</t>
  </si>
  <si>
    <t>https://www.digikey.jp/product-detail/en/norcomp-inc/858-X08-103RLS4/NOR1709-ND/6834299</t>
  </si>
  <si>
    <t>I ordered before from Hong Kong company (refer to parts ID 2868), but they sent wrong components and no email reply until now. Tsukinari-san said the company did not charge the lab credit card</t>
  </si>
  <si>
    <t>Rail switch</t>
  </si>
  <si>
    <t>ヒンジ・ローラ・短レバー形</t>
  </si>
  <si>
    <t>KITSUNE / Structure</t>
  </si>
  <si>
    <t>https://www.monotaro.com/p/3907/5452/</t>
  </si>
  <si>
    <t>太陽電池</t>
  </si>
  <si>
    <t>Kamitani</t>
  </si>
  <si>
    <t>宇宙用TJ GaAs太陽電池3G30A</t>
  </si>
  <si>
    <t>Azur</t>
  </si>
  <si>
    <t>先端技術研究所</t>
  </si>
  <si>
    <t>Azur社製宇宙用TJ GaAs太陽電池アセンブリ(SCA)</t>
  </si>
  <si>
    <t>HNR 0003401-01-01</t>
  </si>
  <si>
    <t>BIRDS4S,BIRDS5</t>
  </si>
  <si>
    <t>http://www.azurspace.com/images/products/0003401-01-01_DB_3G30A.pdf</t>
  </si>
  <si>
    <t>Duracon spacer (hexagon) AS / AS-B / AS-BU</t>
  </si>
  <si>
    <t>hexagon POM threaded spacer</t>
  </si>
  <si>
    <t>hirosugi</t>
  </si>
  <si>
    <t>AS-303</t>
  </si>
  <si>
    <t>https://jp.misumi-ec.com/vona2/detail/221006202207/?PNSearch=AS-303&amp;HissuCode=AS-303&amp;searchFlow=suggest2products&amp;Keyword=AS-303</t>
  </si>
  <si>
    <t xml:space="preserve">基板接続用ピンヘッダ </t>
  </si>
  <si>
    <t>科研</t>
  </si>
  <si>
    <t>Fukudome</t>
  </si>
  <si>
    <t>PAシリーズ 14極 2.0mm 1列 ライトアングル</t>
  </si>
  <si>
    <t>546-9482</t>
  </si>
  <si>
    <t>S14B-PASK-2 (LF)(SN)</t>
  </si>
  <si>
    <t>￥98.1</t>
  </si>
  <si>
    <t>￥1431</t>
  </si>
  <si>
    <t>https://jp.rs-online.com/web/p/pcb-headers/5469482/</t>
  </si>
  <si>
    <t>Azimuth Worm gear</t>
  </si>
  <si>
    <t>Module:2.5; I.diameter:16mm; No.of start:2;right; with keyway</t>
  </si>
  <si>
    <t>W2.5S R2＝C</t>
  </si>
  <si>
    <t>https://jp.misumi-ec.com/vona2/detail/221000120367/?HissuCode=W2.5SR2%3dC</t>
  </si>
  <si>
    <t>Altitude worm gear</t>
  </si>
  <si>
    <t>Module:3; I.diameter: 20mm; No.of start:1; with Keyway</t>
  </si>
  <si>
    <t>W3SR1 = C</t>
  </si>
  <si>
    <t>https://jp.misumi-ec.com/vona2/detail/221000120367/?HissuCode=W3SR1%3dC&amp;PNSearch=W3SR1%3dC&amp;KWSearch=W3SR1%3dC&amp;searchFlow=results2products</t>
  </si>
  <si>
    <t>Azimuth worm wheel</t>
  </si>
  <si>
    <t>Module:2.5; N:15; In.D:20mm; N.start:2; No.of tooth:30; right</t>
  </si>
  <si>
    <t>G2.5A 30R2＝20</t>
  </si>
  <si>
    <t>https://jp.misumi-ec.com/vona2/detail/221004937446/?PNSearch=CG2.5-30R2J20&amp;HissuCode=CG2.5-30R2J20&amp;searchFlow=suggest2products&amp;Keyword=CG2.5-30R2J20&amp;isReSearch=1</t>
  </si>
  <si>
    <t>Altitude worm wheel</t>
  </si>
  <si>
    <t>Module:3; N:20; In.D:30mm; No.of tooth:20; right; with keyway</t>
  </si>
  <si>
    <t>CG3-20R1J30</t>
  </si>
  <si>
    <t>https://jp.misumi-ec.com/vona2/detail/221004937446/?HissuCode=CG3-20R1J30&amp;PNSearch=CG3-20R1J30&amp;KWSearch=CG3-20R1J30&amp;searchFlow=results2products</t>
  </si>
  <si>
    <t>Azimuth main shaft</t>
  </si>
  <si>
    <t>Hollow shaft; bore.diameter:14mm;O.diameter: 20mm; Length:500mm; LeftHole@60mm;</t>
  </si>
  <si>
    <t>SSPJ20-500-LH60</t>
  </si>
  <si>
    <t>https://jp.misumi-ec.com/vona2/detail/110302635960/?PNSearch=SSPJ20-500-LH60&amp;HissuCode=SSPJ20-500-LH60&amp;searchFlow=suggest2products&amp;Keyword=SSPJ20-500-LH60</t>
  </si>
  <si>
    <t>Altitude motor shaft</t>
  </si>
  <si>
    <t>Both side Stepped shaft; diameter:20mm;Length: 155mm</t>
  </si>
  <si>
    <t>FSSFJEE-D20-L100-F17-M5-T30-N6-P12-Q12</t>
  </si>
  <si>
    <t>https://jp.misumi-ec.com/vona2/detail/110300007370/?PNSearch=FSSFJEE-D20-L100-F17-M5-T30-N6-P12-Q12&amp;HissuCode=FSSFJEE-D20-L100-F17-M5-T30-N6-P12-Q12&amp;searchFlow=suggest2products&amp;Keyword=FSSFJEE-D20-L100-F17-M5-T30-N6-P12-Q12&amp;isReSearch=1</t>
  </si>
  <si>
    <t>Azimuth main shaft bearing</t>
  </si>
  <si>
    <t>Ball bearing; B.diameter:20mm</t>
  </si>
  <si>
    <t>UCF204JC</t>
  </si>
  <si>
    <t>https://jp.misumi-ec.com/vona2/detail/221000347548/?PNSearch=UCF204JC&amp;HissuCode=UCF204JC&amp;searchFlow=suggest2products&amp;Keyword=UCF204JC</t>
  </si>
  <si>
    <t>Azimuth motor shaft bearing</t>
  </si>
  <si>
    <t>15mm</t>
  </si>
  <si>
    <t>UCF202J</t>
  </si>
  <si>
    <t>Azimuth main shaft holder</t>
  </si>
  <si>
    <t>diameter:20 mm</t>
  </si>
  <si>
    <t>SSTHWR20</t>
  </si>
  <si>
    <t>https://jp.misumi-ec.com/vona2/detail/110300009220/?HissuCode=SSTHWR20&amp;PNSearch=SSTHWR20&amp;KWSearch=SSTHWR20&amp;searchFlow=results2products</t>
  </si>
  <si>
    <t>Altitude motor shaft bearing</t>
  </si>
  <si>
    <t>bore diameter: 12mm</t>
  </si>
  <si>
    <t>UCF201JL2E4</t>
  </si>
  <si>
    <t>https://jp.misumi-ec.com/vona2/detail/221000347548/?PNSearch=UCF201JL2E4&amp;HissuCode=UCF201JL2E4&amp;searchFlow=suggest2products&amp;Keyword=UCF201JL2E4</t>
  </si>
  <si>
    <t>Shaft rigid coupling</t>
  </si>
  <si>
    <t>8mm to 12 mm</t>
  </si>
  <si>
    <t>MRG-25-8-12</t>
  </si>
  <si>
    <t>https://jp.misumi-ec.com/vona2/detail/221000130100/?HissuCode=MRG-25-8-12&amp;PNSearch=MRG-25-8-12&amp;KWSearch=MRG-25-8-12&amp;searchFlow=results2products</t>
  </si>
  <si>
    <t>Hexagonal bolt, Nut, bracket Set</t>
  </si>
  <si>
    <t>MISUMI 6 series (groove width 8 mm); M6; Thread length:12mm</t>
  </si>
  <si>
    <t>HBLFS6-SET</t>
  </si>
  <si>
    <t>https://jp.misumi-ec.com/vona2/detail/110300442860/?CategorySpec=00000191181%3a%3aa</t>
  </si>
  <si>
    <t>Fixed caster wheel</t>
  </si>
  <si>
    <t>115 mm height with suspension</t>
  </si>
  <si>
    <t>B08LYKHG8L</t>
  </si>
  <si>
    <t>https://www.amazon.co.jp/gp/product/B08LYKHG8L/ref=crt_ewc_title_dp_1?ie=UTF8&amp;smid=AZTB6VHB6RZU3&amp;th=1</t>
  </si>
  <si>
    <t>Stereo Camera</t>
  </si>
  <si>
    <t>Sensor: Dual Monochrome global shutter OV2311, Pixel Size: 3 μm x 3 μm,Optical Size: 1/2.9 inch</t>
  </si>
  <si>
    <t>B0264</t>
  </si>
  <si>
    <t>Camera Subsystem</t>
  </si>
  <si>
    <t>https://www.uctronics.com/arducam-2mp-stereo-camera-for-raspberry-pi-nvidia-jetson-nano-xavier-nx-dual-ov2311-monochrome-global-shutter-camera-module.html</t>
  </si>
  <si>
    <t>2.2mm ドリル</t>
  </si>
  <si>
    <t>刃径D 2.2Φmm、シャンク径d 3Φmm、溝長FL 27mm、Vコーティング、1本</t>
  </si>
  <si>
    <t>VP-GDR 2.2</t>
  </si>
  <si>
    <t>https://www.monotaro.com/p/0809/8921/</t>
  </si>
  <si>
    <t>工場へ支給</t>
  </si>
  <si>
    <t>150x150x35mm</t>
  </si>
  <si>
    <t xml:space="preserve">PNFNN-150-150-35 </t>
  </si>
  <si>
    <t>1F-SVBL</t>
  </si>
  <si>
    <t>https://jp.misumi-ec.com/vona2/detail/110300538670/?HissuCode=PNFNN-150-150-35</t>
  </si>
  <si>
    <t>30x30x520</t>
  </si>
  <si>
    <t>A5052P-6F-HXA-NNN-520-30-30</t>
  </si>
  <si>
    <t>https://jp.misumi-ec.com/vona2/detail/110310113219/?HissuCode=A5052P-6F-HXA-NNN-520-30-30</t>
  </si>
  <si>
    <t>10x10x2</t>
  </si>
  <si>
    <t>A5052P-4F-BSXA-NNL-10-10-2</t>
  </si>
  <si>
    <t>https://jp.misumi-ec.com/vona2/detail/110310113219/?HissuCode=A5052P-4F-BSXA-NNL-10-10-2</t>
  </si>
  <si>
    <t>160x160x10</t>
  </si>
  <si>
    <t xml:space="preserve">PNFNN-160-160-10 </t>
  </si>
  <si>
    <t>https://jp.misumi-ec.com/vona2/detail/110300538670/?HissuCode=PNFNN-160-160-10</t>
  </si>
  <si>
    <t>トレードシリーズリコイルキット</t>
  </si>
  <si>
    <t>ねじ径 M3、ねじピッチ 0.5、1セット</t>
  </si>
  <si>
    <t>リコイルジャパン</t>
  </si>
  <si>
    <t>https://www.monotaro.com/p/3857/7007/</t>
  </si>
  <si>
    <t>HOOK-UP STRND 28AWG WHITE 100</t>
  </si>
  <si>
    <t>6710WH005-ND</t>
  </si>
  <si>
    <t>6710 WH005</t>
  </si>
  <si>
    <t>Spool</t>
  </si>
  <si>
    <t>30.5m</t>
  </si>
  <si>
    <t>28.5m</t>
  </si>
  <si>
    <t>https://www.digikey.jp/product-detail/en/alpha-wire/6710-WH005/6710WH005-ND/2192800</t>
  </si>
  <si>
    <t>Aluminium block</t>
  </si>
  <si>
    <t>A2017P-KQ6-400-350-6</t>
  </si>
  <si>
    <t>4F laboratory</t>
  </si>
  <si>
    <t>https://jp.misumi-ec.com/vona2/detail/110310113399/?ProductCode=A2017P-KQ6-400-350-6</t>
  </si>
  <si>
    <t>Epoxy glass block</t>
  </si>
  <si>
    <t>EPXA-160-120-20</t>
  </si>
  <si>
    <t>https://jp.misumi-ec.com/vona2/detail/110302696610/?ProductCode=EPXA-160-120-20</t>
  </si>
  <si>
    <t>RTL SDR</t>
  </si>
  <si>
    <t>https://www.amazon.co.jp/RTL-SDR-COM-RTL2832U-Sampling-%E3%82%A2%E3%83%AB%E3%83%9F%E3%83%80%E3%82%A4%E3%82%AD%E3%83%A3%E3%82%B9%E3%83%88%E3%82%B1%E3%83%BC%E3%82%B9-RTL-SDR-COM%E6%AD%A3%E8%A6%8F%E5%93%81/dp/B0722LZFWN/ref=sr_1_2?__mk_ja_JP=%E3%82%AB%E3%82%BF%E3%82%AB%E3%83%8A&amp;dchild=1&amp;keywords=RTL&amp;qid=1606985152&amp;sr=8-2</t>
  </si>
  <si>
    <t>Flat LAN cable (3 m in length)</t>
  </si>
  <si>
    <t>CAT6; straight wiring; PVC sheath; 3 m in length</t>
  </si>
  <si>
    <t>ELECOM</t>
  </si>
  <si>
    <t>LD-GFT / BU30</t>
  </si>
  <si>
    <t>Large vacuum chamber</t>
  </si>
  <si>
    <t>https://jp.misumi-ec.com/vona2/detail/222302221387/?ProductCode=LD-GFT%2FBU30</t>
  </si>
  <si>
    <t>Flat LAN cable (1 m in length)</t>
  </si>
  <si>
    <t>CAT6; straight wiring; PVC sheath; 1 m in length</t>
  </si>
  <si>
    <t>LD-GFT / BU10</t>
  </si>
  <si>
    <t>https://jp.misumi-ec.com/vona2/detail/222302221387/?ProductCode=LD-GFT%2FBU10</t>
  </si>
  <si>
    <t>SSD 1TB</t>
  </si>
  <si>
    <t>SATA III 6 Gb/s 2.5インチ</t>
  </si>
  <si>
    <t>Western Digital</t>
  </si>
  <si>
    <t>AMAZON</t>
  </si>
  <si>
    <t>WDS100T2B0A-EC</t>
  </si>
  <si>
    <t>12,791(税込)</t>
  </si>
  <si>
    <t>SVBL3F</t>
  </si>
  <si>
    <t>https://www.amazon.co.jp/%E3%80%90%E5%9B%BD%E5%86%85%E6%AD%A3%E8%A6%8F%E4%BB%A3%E7%90%86%E5%BA%97%E5%93%81%E3%80%91Western-Digital-2-5%E3%82%A4%E3%83%B3%E3%83%81-PS4%E3%83%A1%E3%83%BC%E3%82%AB%E3%83%BC%E5%8B%95%E4%BD%9C%E7%A2%BA%E8%AA%8D%E6%B8%88-WDS100T2B0A-EC/dp/B07SPVR762/ref=sr_1_8?__mk_ja_JP=%E3%82%AB%E3%82%BF%E3%82%AB%E3%83%8A&amp;dchild=1&amp;keywords=sata+ssd+1tb+desktop&amp;qid=1607076547&amp;sr=8-8</t>
  </si>
  <si>
    <t>HDD 2TB</t>
  </si>
  <si>
    <t>SATA 6Gb/S 3.5インチ</t>
  </si>
  <si>
    <t>SEAGATE</t>
  </si>
  <si>
    <t>ST2000DM008</t>
  </si>
  <si>
    <t>6,644 (税込)</t>
  </si>
  <si>
    <t>https://www.amazon.co.jp/-/en/Seagate-ST2000DM008-BarraCuda-Internal-Authorized/dp/B07K39VRBG/ref=sr_1_6?dchild=1&amp;keywords=2+tb+hdd&amp;qid=1607319808&amp;sr=8-6</t>
  </si>
  <si>
    <t>ADD1442</t>
  </si>
  <si>
    <t>UHF-SS transmitter</t>
  </si>
  <si>
    <t>ADD1397C</t>
  </si>
  <si>
    <t>UHF Transciever</t>
  </si>
  <si>
    <t>Low head screw M4-10</t>
  </si>
  <si>
    <t>CBSSTH4-10</t>
  </si>
  <si>
    <t>https://jp.misumi-ec.com/vona2/detail/110300244510/?HissuCode=CBSSTH4-10</t>
  </si>
  <si>
    <t>3Dプリンタ用　フィラメント</t>
  </si>
  <si>
    <t>1巻(300g)</t>
  </si>
  <si>
    <t>KYORAKU</t>
  </si>
  <si>
    <t>NCIS3DF-SMP300N</t>
  </si>
  <si>
    <t>https://www.monotaro.com/g/04911417/?t.q=%8C%60%8F%F3%8BL%89%AF%81%40%83t%83B%83%89%83%81%83%93%83g</t>
  </si>
  <si>
    <t>形状記憶合金</t>
  </si>
  <si>
    <t>Φ0.75×250</t>
  </si>
  <si>
    <t xml:space="preserve"> ナリカ</t>
  </si>
  <si>
    <t>P70-3800</t>
  </si>
  <si>
    <t>https://www.monotaro.com/g/04472281/?t.q=%8C%60%8F%F3%8BL%89%AF%83%8F%83C%83%84%81%5B</t>
  </si>
  <si>
    <t>アルミシート</t>
  </si>
  <si>
    <t>アルミ蒸着ポリエステル</t>
  </si>
  <si>
    <t>角利</t>
  </si>
  <si>
    <t>7-2528-0701</t>
  </si>
  <si>
    <t>https://www.monotaro.com/g/01379307/?t.q=%83A%83%8B%83%7E%81%40%83u%83%89%83%93%83P%83b%83g</t>
  </si>
  <si>
    <t>CAT6 10m</t>
  </si>
  <si>
    <t>生協</t>
  </si>
  <si>
    <t>KITEUNE</t>
  </si>
  <si>
    <t>CAM sensor LAN cable KITSUNE FM</t>
  </si>
  <si>
    <t>custom made LAN cable for FM</t>
  </si>
  <si>
    <t>HSK</t>
  </si>
  <si>
    <t>from Nakayama-san email</t>
  </si>
  <si>
    <t>Duracon spacer (hollow) C / CB / C-BU</t>
  </si>
  <si>
    <t>Duracon spacer (hollow) M3 length 19mm</t>
  </si>
  <si>
    <t>C-319</t>
  </si>
  <si>
    <t>https://jp.misumi-ec.com/vona2/detail/221006204478/?HissuCode=C-319</t>
  </si>
  <si>
    <t>L12565 Dueterium lamp</t>
  </si>
  <si>
    <t>Deuterium lamp for VUV</t>
  </si>
  <si>
    <t>L12565</t>
  </si>
  <si>
    <t>UVE-1001S Xenon lamp</t>
  </si>
  <si>
    <t>Xenon lamp for NUV</t>
  </si>
  <si>
    <t>San-Ei</t>
  </si>
  <si>
    <t>UVE-1001S</t>
  </si>
  <si>
    <t>SMA -SMA cable for S and C-band</t>
  </si>
  <si>
    <t>RG-316 SMA-P-SMA-P</t>
  </si>
  <si>
    <t>J10284-ND</t>
  </si>
  <si>
    <t>415-0029-MM150</t>
  </si>
  <si>
    <t>https://www.digikey.jp/product-detail/ja/cinch-connectivity-solutions-johnson/415-0029-MM150/J10284-ND/6579656</t>
  </si>
  <si>
    <t>Correction of FM ADCS adapter board</t>
  </si>
  <si>
    <t>Correction of FM ADCS adapter board through P-ban</t>
  </si>
  <si>
    <t>Quotation received in 2020/12/08</t>
  </si>
  <si>
    <t>ハンディクランプ</t>
  </si>
  <si>
    <t>最大開き 50mm</t>
  </si>
  <si>
    <t>M50</t>
  </si>
  <si>
    <t>https://www.monotaro.com/g/02795467/?monotaroNo=62927174&amp;displayId=15</t>
  </si>
  <si>
    <t>レーザー距離計</t>
  </si>
  <si>
    <t>0.05-40m</t>
  </si>
  <si>
    <t>https://www.monotaro.com/p/3839/5404/</t>
  </si>
  <si>
    <t>ステンレススペーサー（六角） ASU-H</t>
  </si>
  <si>
    <t>ASU-303H</t>
  </si>
  <si>
    <t>https://jp.misumi-ec.com/vona2/detail/221006202421/?HissuCode=ASU-303H</t>
  </si>
  <si>
    <t>TEC Board FM/ communication test</t>
  </si>
  <si>
    <t>clean room/ KITSUNE room</t>
  </si>
  <si>
    <t>https://www.mouser.jp/ProductDetail/Lime-Microsystems/cs-lime-05?qs=TiOZkKH1s2RNd%252B0xy7toNQ%3D%3D</t>
  </si>
  <si>
    <t>パワーグローブ　パウダーフリー　M</t>
  </si>
  <si>
    <t xml:space="preserve">材質 天然ゴム(ラテックス) </t>
  </si>
  <si>
    <t>ファーストレイト</t>
  </si>
  <si>
    <t>https://www.askul.co.jp/p/836464/</t>
  </si>
  <si>
    <t>在庫が5個だけだったので注文数を減らしました。</t>
  </si>
  <si>
    <t>パワーグローブ　パウダーフリー　L</t>
  </si>
  <si>
    <t>https://www.askul.co.jp/p/836491/</t>
  </si>
  <si>
    <t>こて台</t>
  </si>
  <si>
    <t>HS-88</t>
  </si>
  <si>
    <t>カンサット部屋</t>
  </si>
  <si>
    <t>https://www.monotaro.com/g/00178190/?t.q=%83n%83%93%83_%82%B1%82%C4%91%E4</t>
  </si>
  <si>
    <t>強力ニッパー（JIS）</t>
  </si>
  <si>
    <t>MNJ-160</t>
  </si>
  <si>
    <t>https://www.monotaro.com/g/01868633/</t>
  </si>
  <si>
    <t>サンハヤト ジャンパーワイヤ SPP-150</t>
  </si>
  <si>
    <t>505-3380</t>
  </si>
  <si>
    <t>SPP-150</t>
  </si>
  <si>
    <t>https://jp.rs-online.com/web/p/breadboard-jumper-wire/5053380/</t>
  </si>
  <si>
    <t>Arducam Miniモジュール（5メガピクセル）</t>
  </si>
  <si>
    <t>スイッチサイエンス</t>
  </si>
  <si>
    <t>UCTRONICS-B0068</t>
  </si>
  <si>
    <t>https://www.switch-science.com/catalog/3781/</t>
  </si>
  <si>
    <t>USB2.0ケーブル（A-Bタイプ）50cm</t>
  </si>
  <si>
    <t>SSCI-010337</t>
  </si>
  <si>
    <t>https://www.switch-science.com/catalog/1033/</t>
  </si>
  <si>
    <t>50ピン　ピンヘッダー　2.54mmピッチ</t>
  </si>
  <si>
    <t>50ピン、2.54mmピッチ</t>
  </si>
  <si>
    <t>martsu</t>
  </si>
  <si>
    <t xml:space="preserve">        GB-DPH-2550P</t>
  </si>
  <si>
    <t>https://www.marutsu.co.jp/pc/i/595659/</t>
  </si>
  <si>
    <t>2.54mmピッチ、155mm x 114mm</t>
  </si>
  <si>
    <t>P-00185</t>
  </si>
  <si>
    <t>https://akizukidenshi.com/catalog/g/gP-00185/</t>
  </si>
  <si>
    <t>50ピン、ピンヘッダー</t>
  </si>
  <si>
    <t>IC Microcontroller (ATMEGA644P-20U)</t>
  </si>
  <si>
    <t>byonics</t>
  </si>
  <si>
    <t>DIP40 through hole</t>
  </si>
  <si>
    <t>APRS-DP/SF</t>
  </si>
  <si>
    <t>Birdsroom</t>
  </si>
  <si>
    <t>http://byonics.com/add_to_cart?cost=35&amp;name=TinyTrak4+Chip</t>
  </si>
  <si>
    <t>LM19CIZNOPB</t>
  </si>
  <si>
    <t>LM19CIZ/NOPB</t>
  </si>
  <si>
    <t>https://www.monotaro.com/g/01618539/?t.q=LM19CIZNOPB</t>
  </si>
  <si>
    <t>MCP9700-E/TO</t>
  </si>
  <si>
    <t>https://www.monotaro.com/g/02114739/?t.q=%82l%82b%82o%82X%82V%82O%82O%81%7C%82d%81%5E%82s%82n</t>
  </si>
  <si>
    <t>LCQT-SOIC16</t>
  </si>
  <si>
    <t>A886AR-ND</t>
  </si>
  <si>
    <t>https://www.digikey.jp/product-detail/ja/aries-electronics/LCQT-SOIC16/A886AR-ND/4754594?utm_adgroup=Adapter%2C%20Breakout%20Boards&amp;utm_source=google&amp;utm_medium=cpc&amp;utm_campaign=Shopping_Product_Prototyping%2C%20Fabrication%20Products&amp;utm_term=&amp;productid=4754594&amp;gclid=EAIaIQobChMI7JfM7MLS7QIVKMEWBR1lEA6gEAQYASABEgIPzvD_BwE</t>
  </si>
  <si>
    <t>PCB 変換基板</t>
  </si>
  <si>
    <t>2mmピッチ＜＝＞ 2.54mm, 50pin</t>
  </si>
  <si>
    <t>Elecrow</t>
  </si>
  <si>
    <t>https://www.elecrow.com/pcb-manufacturing.html?l=jp</t>
  </si>
  <si>
    <t>Optical Format: 1/2.5”
Effective Focal Length: 8mm, Mount: M12, NoIR</t>
  </si>
  <si>
    <t>LN002</t>
  </si>
  <si>
    <t>Lens M2508ZH02</t>
  </si>
  <si>
    <t>https://www.uctronics.com/m2508zh02.html</t>
  </si>
  <si>
    <t>Rasperrypi Zero W</t>
  </si>
  <si>
    <t>Memory: 512MB RAM
USB 2.0 port: microB (OTG connection)
Video output: miniHDMI (one size smaller HDMI !!)
Storage: microSD memory card slot (SDIO compatible)
Low-level peripherals: 27 x GPIO, UART, I 2 C, SPI and two chip select, + 3.3 V, + 5 V, GND</t>
  </si>
  <si>
    <t>switch-science</t>
  </si>
  <si>
    <t>SKU: 3200</t>
  </si>
  <si>
    <t>BIRDS6</t>
  </si>
  <si>
    <t>https://www.switch-science.com/catalog/3200/</t>
  </si>
  <si>
    <t>Pin socket</t>
  </si>
  <si>
    <t>2 x 20 (40P) standard 2.54mm pitch pin socket. It is RoHS compliant.</t>
  </si>
  <si>
    <t>SKU:2020</t>
  </si>
  <si>
    <t>SSCI-020206</t>
  </si>
  <si>
    <t>BIRDS7</t>
  </si>
  <si>
    <t>https://www.switch-science.com/catalog/2020/</t>
  </si>
  <si>
    <t>2x20 pin header</t>
  </si>
  <si>
    <t>2x20 (40P) standard 2.54mm pitch pin header</t>
  </si>
  <si>
    <t>SKU: 2387</t>
  </si>
  <si>
    <t>SSCI-032872</t>
  </si>
  <si>
    <t>BIRDS8</t>
  </si>
  <si>
    <t>https://www.switch-science.com/catalog/3287/</t>
  </si>
  <si>
    <t>Arduino UNO PCB</t>
  </si>
  <si>
    <t>69mm x 54mm</t>
  </si>
  <si>
    <t>レンタカー</t>
  </si>
  <si>
    <t>午前８時から午後８時</t>
  </si>
  <si>
    <t>トヨタレンタカー</t>
  </si>
  <si>
    <t>1ケース（14400枚：200枚入×72箱）</t>
  </si>
  <si>
    <t xml:space="preserve"> All satellite project</t>
  </si>
  <si>
    <t>Control room/クリーンルーム/BIRDSroom</t>
  </si>
  <si>
    <t>https://www.askul.co.jp/p/519734/?int_id=recom_DtBalk</t>
  </si>
  <si>
    <t>クリーンルーム用帽子</t>
  </si>
  <si>
    <t>内容量 1箱(50枚)</t>
  </si>
  <si>
    <t>東京メディカル</t>
  </si>
  <si>
    <t>CA-104</t>
  </si>
  <si>
    <t>10(個)</t>
  </si>
  <si>
    <t>60個</t>
  </si>
  <si>
    <t>３F クリーンルーム</t>
  </si>
  <si>
    <t>https://www.monotaro.com/g/00404991/</t>
  </si>
  <si>
    <t>クリーンルーム用帽子　使い捨て</t>
  </si>
  <si>
    <t>1箱(1000枚) 白</t>
  </si>
  <si>
    <t>https://www.monotaro.com/g/00026428/?t.q=%83N%83%8A%81%5B%83%93%83%8B%81%5B%83%80%81%40%96X%8Eq</t>
  </si>
  <si>
    <t>https://jp.rs-online.com/web/p/pcb-sockets/7793068/?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4133432D353044412D3244534128373129267365617263685F6B6579776F72645F6170703D4133432D353044412D324453413731267365617263685F636F6E6669673D3126&amp;searchHistory=%7B%22enabled%22%3Atrue%7D</t>
  </si>
  <si>
    <t>RS PRO トグルスイッチ SPDT PCB ラッチ</t>
  </si>
  <si>
    <t>734-7067</t>
  </si>
  <si>
    <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true%7D</t>
  </si>
  <si>
    <t>分割ロングピンソケット 1×42 (42P)</t>
  </si>
  <si>
    <t>Useconn Electronics</t>
  </si>
  <si>
    <t>https://akizukidenshi.com/catalog/g/gC-05779/</t>
  </si>
  <si>
    <t>スペーサー</t>
  </si>
  <si>
    <t>プラスチックナット+連結スペーサーセット</t>
  </si>
  <si>
    <t>p-01864</t>
  </si>
  <si>
    <t>https://akizukidenshi.com/catalog/g/gP-01864/</t>
  </si>
  <si>
    <t>BIRDS3 Test Board</t>
  </si>
  <si>
    <t>p板</t>
  </si>
  <si>
    <t>AD 6x1F-H8.5 PINHD-1X6 1X06 SmartPrj 1</t>
  </si>
  <si>
    <t>C-10073</t>
  </si>
  <si>
    <t>FHU-1x40SGN5-B</t>
  </si>
  <si>
    <t>https://akizukidenshi.com/catalog/g/gC-10073/</t>
  </si>
  <si>
    <t>C1 100n C-EU0603-RND C0603-ROUND SmartPrj 1</t>
  </si>
  <si>
    <t>株式会社村田製作所</t>
  </si>
  <si>
    <t>P-13374</t>
  </si>
  <si>
    <t>GRM188F11H104ZA01</t>
  </si>
  <si>
    <t>https://akizukidenshi.com/catalog/g/gP-13374/</t>
  </si>
  <si>
    <t>C3 1u C-EU0603-RND C0603-ROUND SmartPrj 1</t>
  </si>
  <si>
    <t>P-14526</t>
  </si>
  <si>
    <t>GRM188R71E105KA12</t>
  </si>
  <si>
    <t>https://akizukidenshi.com/catalog/g/gP-14526/</t>
  </si>
  <si>
    <t>C9 22p C-EU0603-RND C0603-ROUND SmartPrj 1</t>
  </si>
  <si>
    <t>P-11626</t>
  </si>
  <si>
    <t>GRM1882C1H220JA01</t>
  </si>
  <si>
    <t>https://akizukidenshi.com/catalog/g/gP-11626/</t>
  </si>
  <si>
    <t>D1 M7 DIODE-SMB SMB diode 1</t>
  </si>
  <si>
    <t>digi key</t>
  </si>
  <si>
    <t>MBRS360BT3GOSCT-ND</t>
  </si>
  <si>
    <t>MBRS360BT3G</t>
  </si>
  <si>
    <t>https://www.digikey.jp/product-detail/ja/on-semiconductor/MBRS360BT3G/MBRS360BT3GOSCT-ND/2623453</t>
  </si>
  <si>
    <t>D2 CD1206-S01575 DIODE-MINIMELF MINIMELF diode 1</t>
  </si>
  <si>
    <t>773-4514</t>
  </si>
  <si>
    <t>CD1206-S01575</t>
  </si>
  <si>
    <t>https://jp.rs-online.com/web/p/switching-diodes/7734514/</t>
  </si>
  <si>
    <t>F1 MF-MSMF050-2 500mA L-EUL1812 L1812 rcl 1</t>
  </si>
  <si>
    <t>MF-MSMF050-2CT-ND</t>
  </si>
  <si>
    <t>MF-MSMF050-2</t>
  </si>
  <si>
    <t>https://www.digikey.jp/product-detail/ja/bourns-inc/MF-MSMF050-2/MF-MSMF050-2CT-ND/662842</t>
  </si>
  <si>
    <t>ICSP 3x2 M PINHD-2X3 2X03 SmartPrj 1</t>
  </si>
  <si>
    <t>C-00080</t>
  </si>
  <si>
    <t>PH-2x20SG/RH</t>
  </si>
  <si>
    <t>https://akizukidenshi.com/catalog/g/gC-00080/</t>
  </si>
  <si>
    <t>JP2 2x2 M - NM PINHD-2X2 2X02 SmartPrj 1</t>
  </si>
  <si>
    <t>C-08337</t>
  </si>
  <si>
    <t>FH-2x2SG</t>
  </si>
  <si>
    <t>https://akizukidenshi.com/catalog/g/gC-08337/</t>
  </si>
  <si>
    <t>L YELLOW LEDCHIP-LED0805 CHIP-LED0805 led 1</t>
  </si>
  <si>
    <t>I-06420</t>
  </si>
  <si>
    <t>OSY50805C1C</t>
  </si>
  <si>
    <t>https://akizukidenshi.com/catalog/g/gI-06420/</t>
  </si>
  <si>
    <t>L1 BLM21 WE-CBF_0805 0805 wuerth-elektronik 1</t>
  </si>
  <si>
    <t>732-1620-1-ND</t>
  </si>
  <si>
    <t>https://www.digikey.jp/product-detail/ja/w%C3%BCrth-elektronik/742792040/732-1620-1-ND/1639564</t>
  </si>
  <si>
    <t>ON GREEN LEDCHIP-LED0805 CHIP-LED0805 led 1</t>
  </si>
  <si>
    <t>I-06423</t>
  </si>
  <si>
    <t>OSG50805C1C</t>
  </si>
  <si>
    <t>https://akizukidenshi.com/catalog/g/gI-06423/</t>
  </si>
  <si>
    <t>R1 1M R-EU_R0603 R0603-ROUND SmartPrj 1</t>
  </si>
  <si>
    <t>YAG4498CT-ND</t>
  </si>
  <si>
    <t>RT0603BRD071ML</t>
  </si>
  <si>
    <t>https://www.digikey.jp/product-detail/ja/yageo/RT0603BRD071ML/YAG4498CT-ND/6616654</t>
  </si>
  <si>
    <t>RN1 10K 4R-NCAY16 CAY16 resistor-dil 1</t>
  </si>
  <si>
    <t>740-8767</t>
  </si>
  <si>
    <t>CAY16-1002F4LF</t>
  </si>
  <si>
    <t>https://jp.rs-online.com/web/p/resistor-networks-resistor-arrays/7408767/</t>
  </si>
  <si>
    <t>RN2 1K 4R-NCAY16 CAY16 resistor-dil 1</t>
  </si>
  <si>
    <t>522-5579</t>
  </si>
  <si>
    <t>CAY16-102J4LF</t>
  </si>
  <si>
    <t>https://jp.rs-online.com/web/p/resistor-networks-resistor-arrays/5225579/</t>
  </si>
  <si>
    <t>RN3 22R 4R-NCAY16 CAY16 resistor-dil 1</t>
  </si>
  <si>
    <t>522-5620</t>
  </si>
  <si>
    <t>CAY16-220J4LF</t>
  </si>
  <si>
    <t>https://jp.rs-online.com/web/p/resistor-networks-resistor-arrays/5225620/</t>
  </si>
  <si>
    <t>T1 FDN340P PMOSSOT23 SOT-23 zetex 1</t>
  </si>
  <si>
    <t>671-0435</t>
  </si>
  <si>
    <t>FDN340P</t>
  </si>
  <si>
    <t>https://jp.rs-online.com/web/p/mosfets/6710435/</t>
  </si>
  <si>
    <t>U1 NCP1117ST50T3G MC33269ST-3.3T3 SOT223 linear 1</t>
  </si>
  <si>
    <t>802-2130</t>
  </si>
  <si>
    <t>NCP1117ST50T3G</t>
  </si>
  <si>
    <t>https://jp.rs-online.com/web/p/low-dropout-voltage-regulators/8022130/</t>
  </si>
  <si>
    <t>U2 LP2985-33DBVR LP2985-XXDBVR33 SOT23-DBV SmartPrj 1</t>
  </si>
  <si>
    <t>660-6733</t>
  </si>
  <si>
    <t>LP2985-33DBVT</t>
  </si>
  <si>
    <t>https://jp.rs-online.com/web/p/low-dropout-voltage-regulators/6606733/</t>
  </si>
  <si>
    <t>U3 ATMEGA16U2-MU(R) ATMEGA16U2-MU MLF32 SmartPrj 1</t>
  </si>
  <si>
    <t>171-7834</t>
  </si>
  <si>
    <t>ATMEGA16U2-MU</t>
  </si>
  <si>
    <t>https://jp.rs-online.com/web/p/microcontrollers/1717834/</t>
  </si>
  <si>
    <t>U5 LMV358IDGKR LMV358MMX MSOP08 linear 1</t>
  </si>
  <si>
    <t>296-13455-1-ND</t>
  </si>
  <si>
    <t>LMV358IDGKR</t>
  </si>
  <si>
    <t>https://www.digikey.jp/product-detail/ja/texas-instruments/LMV358IDGKR/296-13455-1-ND/486370</t>
  </si>
  <si>
    <t>X1 POWERSUPPLY_DC21MMX POWERSUPPLY_DC21MMX POWERSUPPLY_DC-21MM SmartPrj 1</t>
  </si>
  <si>
    <t>マル信無線電機株式会社</t>
  </si>
  <si>
    <t>C-06568</t>
  </si>
  <si>
    <t>MJ-179PH</t>
  </si>
  <si>
    <t>https://akizukidenshi.com/catalog/g/gC-06568/</t>
  </si>
  <si>
    <t>X2 USB-B_TH PN61729 PN61729 SmartPrj 1</t>
  </si>
  <si>
    <t>C-00161</t>
  </si>
  <si>
    <t>5075BR-04-WH</t>
  </si>
  <si>
    <t>https://akizukidenshi.com/catalog/g/gC-00161/</t>
  </si>
  <si>
    <t>Y1 16MHz XTAL/S QS SmartPrj 1</t>
  </si>
  <si>
    <t>Mercury Electronic Industrial co., Ltd.</t>
  </si>
  <si>
    <t>P-08671</t>
  </si>
  <si>
    <t>HUSG-16.000-20</t>
  </si>
  <si>
    <t>https://akizukidenshi.com/catalog/g/gP-08671/</t>
  </si>
  <si>
    <t>Y2 CSTCE16M0V53-R0 16MHZ RESONATORMU RESONATOR SmartPrj 1</t>
  </si>
  <si>
    <t>P-09679</t>
  </si>
  <si>
    <t>CSTCE16M0V53-R0</t>
  </si>
  <si>
    <t>https://akizukidenshi.com/catalog/g/gP-09679/</t>
  </si>
  <si>
    <t>Z1 CG0603MLC-05E VARISTORCN0603 CT/CN0603 varistor 1</t>
  </si>
  <si>
    <t>CG0603MLC-05ECT-ND</t>
  </si>
  <si>
    <t>CG0603MLC-05E</t>
  </si>
  <si>
    <t>https://www.digikey.jp/product-detail/ja/bourns-inc/CG0603MLC-05E/CG0603MLC-05ECT-ND/3438061</t>
  </si>
  <si>
    <t>ZU4 ATMEGA328P-PU ATMEGA328P-PU DIL28-3 SmartPrj 1</t>
  </si>
  <si>
    <t>I-03142</t>
  </si>
  <si>
    <t>ATMEGA328P-PU</t>
  </si>
  <si>
    <t>https://akizukidenshi.com/catalog/g/gI-03142/</t>
  </si>
  <si>
    <t>ICソケット 28P DIP28</t>
  </si>
  <si>
    <t>P-00013</t>
  </si>
  <si>
    <t>2227-28-03</t>
  </si>
  <si>
    <t>https://akizukidenshi.com/catalog/g/gP-00013/</t>
  </si>
  <si>
    <t>タクタイルスイッチ SPST-NO 上部作動式 面実装</t>
  </si>
  <si>
    <t>SWITCH TACTILE SPST-NO 0.05A 12V</t>
  </si>
  <si>
    <t>E-Switch</t>
  </si>
  <si>
    <t>EG1868CT-ND</t>
  </si>
  <si>
    <t>TL3301NF260QG</t>
  </si>
  <si>
    <t>https://www.digikey.jp/product-detail/ja/e-switch/TL3301NF260QG/EG1868CT-ND/271603</t>
  </si>
  <si>
    <t>Panasonic コンデンサ 47μF, ,25V dc</t>
  </si>
  <si>
    <t>47uF, 25V</t>
  </si>
  <si>
    <t>747-2869</t>
  </si>
  <si>
    <t>EEEHA1E470WP</t>
  </si>
  <si>
    <t>https://jp.rs-online.com/web/p/aluminium-capacitors/7472869/</t>
  </si>
  <si>
    <t>Flat frame without brim Groove width 8mm 1 groove type　</t>
  </si>
  <si>
    <t>Victor Mukungunugwa</t>
  </si>
  <si>
    <t>No brim type, Frame number 5,Frame size width 20mm,Frame size thickness 10mm,Total length L 365</t>
  </si>
  <si>
    <t>HFSFIN5－1020-1500</t>
  </si>
  <si>
    <t>https://jp.misumi-ec.com/vona2/detail/110302374340/?HissuCode=HFSFIN5-1020&amp;PNSearch=HFSFIN5-1020&amp;KWSearch=HFSFIN5%ef%bc%8d1020&amp;searchFlow=results2products</t>
  </si>
  <si>
    <t>Frame flat bar</t>
  </si>
  <si>
    <t>Flat bar, Thickness 5mm,Width 30 10mm,Total length L 255</t>
  </si>
  <si>
    <t>HFHF30-5-255</t>
  </si>
  <si>
    <t>https://jp.misumi-ec.com/vona2/detail/110300467110/?PNSearch=HFHF50-5-%5b50-2000%2f1%5d&amp;HissuCode=HFHF50-5-%5b50-2000%2f1%5d&amp;searchFlow=suggest2products&amp;Keyword=HFHF50-5-%5b50-2000%2f1%5d</t>
  </si>
  <si>
    <t>4-stage thermoelectric module</t>
  </si>
  <si>
    <t>4-stage; 23.6 Vmax; 6.7 Amax; -50 - +80 deg. C</t>
  </si>
  <si>
    <t>TB-4-(199-97-49-17)-1.5</t>
  </si>
  <si>
    <t>USD 224.60</t>
  </si>
  <si>
    <t>USD 449.20</t>
  </si>
  <si>
    <t>Peltier chamber</t>
  </si>
  <si>
    <t>https://kryothermtec.com/four-stage-thermoelectric-coolers.html</t>
  </si>
  <si>
    <t>coolant/ antifreeze</t>
  </si>
  <si>
    <t>ethylene glycol; green colour</t>
  </si>
  <si>
    <t>IC-R30</t>
  </si>
  <si>
    <t>0.1M~3304.99MHz 受信機</t>
  </si>
  <si>
    <t>ICOM</t>
  </si>
  <si>
    <t>CQオーム/ファインドアウト</t>
  </si>
  <si>
    <t>GS 8F</t>
  </si>
  <si>
    <t>https://www.cqcqde.com/fs/cqohm/ICR30</t>
  </si>
  <si>
    <t xml:space="preserve">2極小型単頭プラグ Φ3.5 </t>
  </si>
  <si>
    <t>3.5mmプラグ　2極　アングル</t>
  </si>
  <si>
    <t>マルシン無線電機</t>
  </si>
  <si>
    <t>MC-35MNL</t>
  </si>
  <si>
    <t>https://www.monotaro.com/p/7592/9917/?t.q=3.5mm%20%83v%83%89%83O%81%40L%8C%5E</t>
  </si>
  <si>
    <t>PEEK</t>
  </si>
  <si>
    <t>100mm X 100mm X10mm</t>
  </si>
  <si>
    <t>PEEK-10-100-100</t>
  </si>
  <si>
    <t>SVL3F</t>
  </si>
  <si>
    <t>PEEK(ピーク) ノーブランド PEEK樹脂型材 【通販モノタロウ】 PEEK (monotaro.com)</t>
  </si>
  <si>
    <t>ポータブルHDD</t>
  </si>
  <si>
    <t>1TB USB 3.2</t>
  </si>
  <si>
    <t>TOSHIBA</t>
  </si>
  <si>
    <t>HD-TPA1U3-B/N</t>
  </si>
  <si>
    <t>https://www.amazon.co.jp/-/en/HD-TPA1U3-B-Compatible-Portable-Domestic-Manufacturer/dp/B07SKSVB84/ref=sr_1_8?dchild=1&amp;keywords=%E3%83%9D%E3%83%BC%E3%82%BF%E3%83%96%E3%83%ABHDD&amp;qid=1609139934&amp;sr=8-8</t>
  </si>
  <si>
    <t>外付けDVDRW</t>
  </si>
  <si>
    <t>USB 3.1 (Gen1) / 3.0 External DVD/CD Drive Bus Power W Cable</t>
  </si>
  <si>
    <t>BUFFALO</t>
  </si>
  <si>
    <t>DVSM-PTV8U3-BK/N</t>
  </si>
  <si>
    <t>https://www.amazon.co.jp/-/en/DVSM-PTV8U3-WH-External-Included-Portable-Manufacturer/dp/B07X41PNSM/ref=sr_1_1?dchild=1&amp;keywords=%E5%A4%96%E4%BB%98%E3%81%91dvdrw&amp;qid=1609139355&amp;sr=8-1&amp;th=1</t>
  </si>
  <si>
    <t>DVD</t>
  </si>
  <si>
    <t>Single-Recording DVD-R DL, Single-Sided, Double-Layer</t>
  </si>
  <si>
    <t>バーベイタムジャパン</t>
  </si>
  <si>
    <t>VHR21HDSP10</t>
  </si>
  <si>
    <t>Set of 10</t>
  </si>
  <si>
    <t>https://www.amazon.co.jp/-/en/Mitsubishi-VHR21HDSP10-Single-Recording-Single-Sided-Double-Layer/dp/B000W3UUAU/ref=sr_1_6?dchild=1&amp;keywords=dvd&amp;qid=1609139547&amp;sr=8-6</t>
  </si>
  <si>
    <t>CPLD</t>
  </si>
  <si>
    <t>PIC PIC® XLP™ 18J マイクロコントローラ IC 8ビット 64MHz 128KB（64K x 16） フラッシュ 64-TQFP（10x10）</t>
  </si>
  <si>
    <t>六角ニップル ねじ込み式管継手</t>
  </si>
  <si>
    <t>Rc3/8</t>
  </si>
  <si>
    <t>KITZ</t>
  </si>
  <si>
    <t>4F Maintenance</t>
  </si>
  <si>
    <t>4F Maintenanace</t>
  </si>
  <si>
    <t>https://www.monotaro.com/p/3769/6531/?utm_medium=cpc&amp;utm_source=Adwords&amp;utm_campaign=246-833-4061_6466659573&amp;utm_content=77481174396&amp;utm_term=_380615463259__pla-798797411482&amp;gclid=Cj0KCQiAoab_BRCxARIsANMx4S6_Hs4Ecp2ZonIvciU7an_zpqtrAw1YXgRwBVPiAvSPs_8zkMPqxT4aAi9YEALw_wcB</t>
  </si>
  <si>
    <t>Bare crimp terminal-Type Y</t>
  </si>
  <si>
    <t>Inner dia: 3.7 mm; Outer dia: 6.6 mm; AWG: 16-14</t>
  </si>
  <si>
    <t>F2-3.5</t>
  </si>
  <si>
    <t>https://jp.misumi-ec.com/vona2/detail/110500058060/?HissuCode=F2-3.5</t>
  </si>
  <si>
    <t>BGA-100 SMT Adapter &amp; 84513-101LF Assembly</t>
  </si>
  <si>
    <t>(1.27 mm pitch, 10 x 10 grid)</t>
  </si>
  <si>
    <t>ProtoAdvantage</t>
  </si>
  <si>
    <t>BGA0007</t>
  </si>
  <si>
    <t>https://www.proto-advantage.com/store/product_info.php?products_id=4000007{1}11</t>
  </si>
  <si>
    <t xml:space="preserve">IC OPAMP ZERO-DRIFT </t>
  </si>
  <si>
    <t>4 CIRC 14DIP</t>
  </si>
  <si>
    <t>‎LTC1053CN#PBF-ND‎</t>
  </si>
  <si>
    <t>14DIP</t>
  </si>
  <si>
    <t>https://www.digikey.jp/product-detail/en/LTC1053CN%23PBF/LTC1053CN%23PBF-ND/891819/?itemSeq=349430002</t>
  </si>
  <si>
    <t>CONN IC DIP SOCKET</t>
  </si>
  <si>
    <t>14POS TIN</t>
  </si>
  <si>
    <t>‎AE9989-ND‎</t>
  </si>
  <si>
    <t>A 14-LC-TT‎</t>
  </si>
  <si>
    <t>https://www.digikey.jp/product-detail/en/A+14-LC-TT/AE9989-ND/821743/?itemSeq=349430836</t>
  </si>
  <si>
    <t>RES 22K</t>
  </si>
  <si>
    <t>1/4W 5% AXIAL</t>
  </si>
  <si>
    <t>CF14JT22K0CT-ND‎</t>
  </si>
  <si>
    <t>CF14JT22K0‎</t>
  </si>
  <si>
    <t>1/4W</t>
  </si>
  <si>
    <t>https://www.digikey.jp/product-detail/en/CF14JT22K0/CF14JT22K0CT-ND/1830383/?itemSeq=349430602</t>
  </si>
  <si>
    <t>RES 10K</t>
  </si>
  <si>
    <t>‎CF14JT10K0CT-ND‎</t>
  </si>
  <si>
    <t>https://www.digikey.jp/product-detail/en/CF14JT10K0/CF14JT10K0CT-ND/1830374/?itemSeq=349430649</t>
  </si>
  <si>
    <t xml:space="preserve">ARDUINO DUE ATSAM3X8E </t>
  </si>
  <si>
    <t>EVAL BRD</t>
  </si>
  <si>
    <t>1050-1049-ND‎</t>
  </si>
  <si>
    <t>A000062‎</t>
  </si>
  <si>
    <t>https://www.digikey.jp/product-detail/en/A000062/1050-1049-ND/3712582/?itemSeq=349431735</t>
  </si>
  <si>
    <t>ラテックス手袋 M</t>
  </si>
  <si>
    <t>パウダーフリー 1箱（100枚入）</t>
  </si>
  <si>
    <t>リーブル</t>
  </si>
  <si>
    <t>https://www.askul.co.jp/p/8435579/?int_id=recom_DtVar</t>
  </si>
  <si>
    <t>ラテックス手袋 S</t>
  </si>
  <si>
    <t>https://www.askul.co.jp/p/8435560/?int_id=recom_DtVar</t>
  </si>
  <si>
    <t>ハンダ吸い取り線</t>
  </si>
  <si>
    <t>Thermally conductive gap filler</t>
  </si>
  <si>
    <t>6 W/m.K; -45 - +200 deg. C; BN with silicone; 1 mm thick</t>
  </si>
  <si>
    <t>739-A10096-02</t>
  </si>
  <si>
    <t>A10096-02</t>
  </si>
  <si>
    <t>https://www.mouser.jp/ProductDetail/Laird-Performance-Materials/A10096-02?qs=%2Fha2pyFadujobulY8zqeM7XphajS7sOPDO0etcSTnwkW5iJ4ymhx0Q==&amp;utm_source=octopart&amp;utm_medium=aggregator&amp;utm_campaign=739-A10096-02&amp;utm_content=Laird+Performance+Materials</t>
  </si>
  <si>
    <t>SF-ward</t>
  </si>
  <si>
    <t>NFX-OC Filter Catridge</t>
  </si>
  <si>
    <t>Meisei</t>
  </si>
  <si>
    <t>Square chamber</t>
  </si>
  <si>
    <t>Cooling water filter</t>
  </si>
  <si>
    <t>4F test room</t>
  </si>
  <si>
    <t xml:space="preserve">BIRDS-5 BBM </t>
  </si>
  <si>
    <t>4(2 Unsoldered)</t>
  </si>
  <si>
    <t>3(2 Unsoldered)</t>
  </si>
  <si>
    <t>0.1µF ± 10% 50V Ceramic Capacitor X7R 0603 (1608 metric system)</t>
  </si>
  <si>
    <t>478-5052-1-ND</t>
  </si>
  <si>
    <t>06035C104KAT2A</t>
  </si>
  <si>
    <t>50pcs package</t>
  </si>
  <si>
    <t>BBM Boards</t>
  </si>
  <si>
    <t>Birds Room</t>
  </si>
  <si>
    <t>https://www.digikey.jp/product-detail/ja/avx-corporation/06035C104KAT2A/478-5052-1-ND/1888263</t>
  </si>
  <si>
    <t>1µF ±10% 50V Ceramic Capacitor X5R 0603 (1608 Metric)</t>
  </si>
  <si>
    <t>587-3501-2-ND</t>
  </si>
  <si>
    <t>10pcs Package</t>
  </si>
  <si>
    <t>https://www.digikey.com/en/products/detail/taiyo-yuden/UMK107ABJ105KAHT/4157347</t>
  </si>
  <si>
    <t>18pF ±5% 50V Ceramic Capacitor C0G, NP0 0805 (2012 Metric)</t>
  </si>
  <si>
    <t>https://www.digikey.at/product-detail/en/yageo/CC0805JRNPO9BN180/311-1102-1-ND/303012</t>
  </si>
  <si>
    <t>10µF ±20% 6.3V Ceramic Capacitor X7S 0603 (1608 Metric)</t>
  </si>
  <si>
    <t>10µF ±20% 10V Ceramic Capacitor X7R 0805 (2012 Metric)</t>
  </si>
  <si>
    <t>445-7592-2-ND</t>
  </si>
  <si>
    <t>C2012X7R1A106M125AC</t>
  </si>
  <si>
    <t>https://www.digikey.com/en/products/detail/tdk-corporation/C2012X7R1A106M125AC/2733027</t>
  </si>
  <si>
    <t>2200pF ± 10% 16V Ceramic Capacitor X7R 0603 (1608 metric system)</t>
  </si>
  <si>
    <t>399-C0603C222K4REC AUTOCT-ND</t>
  </si>
  <si>
    <t>C0603C222K4RECAUTO</t>
  </si>
  <si>
    <t>https://www.digikey.jp/product-detail/ja/kemet/C0603C222K4RECAUTO/399-C0603C222K4RECAUTOCT-ND/13229442</t>
  </si>
  <si>
    <t>10pF ±0.5pF 50V Ceramic Capacitor C0G, NP0 0603 (1608 Metric)</t>
  </si>
  <si>
    <t>https://www.digikey.jp/product-detail/en/CGA3E2NP01H100D080AA/445-12387-1-ND/3954053</t>
  </si>
  <si>
    <t>Buffer, non-inverting 1 element 1 bit (per element) 3 state Output 5-TSSOP</t>
  </si>
  <si>
    <t>NXP USA Inc.</t>
  </si>
  <si>
    <t>568-7973-1-ND</t>
  </si>
  <si>
    <t>74LVC1G125GW / DG, 12</t>
  </si>
  <si>
    <t>1pc</t>
  </si>
  <si>
    <t>https://www.digikey.jp/product-detail/ja/nxp-usa-inc/74LVC1G125GW-DG12/568-7973-1-ND/2762663</t>
  </si>
  <si>
    <t>Transceiver Chip (AX5243)</t>
  </si>
  <si>
    <t>IC RF TxRx Only General ISM &lt; 1GHz 27MHz ~ 1.05GHz 20-VFQFN Exposed Pad</t>
  </si>
  <si>
    <t>488-AX5243-1-TW30CT-ND</t>
  </si>
  <si>
    <t>AX5243-1-TW30</t>
  </si>
  <si>
    <t>https://www.digikey.jp/product-detail/en/on-semiconductor/AX5243-1-TW30/488-AX5243-1-TW30CT-ND/10445419</t>
  </si>
  <si>
    <t>MOSFET-Array 2 N Channel (Dual) 20V 840mA (Tc) 1.5W Surface Mount SC-70-6</t>
  </si>
  <si>
    <t>OCP chip</t>
  </si>
  <si>
    <t>Handheld / Portable Device PMIC 8-DFN (2x2)</t>
  </si>
  <si>
    <t>LTC4361HDC-2 # TRMPBFCT-ND</t>
  </si>
  <si>
    <t>LTC4361HDC-2 # TRMPBF</t>
  </si>
  <si>
    <t>https://www.digikey.jp/product-detail/ja/analog-devices-inc/LTC4361HDC-2-TRMPBF/LTC4361HDC-2-TRMPBFCT-ND/5114546</t>
  </si>
  <si>
    <t>ARF1725TR-ND</t>
  </si>
  <si>
    <t xml:space="preserve">https://www.digikey.jp/en/products/detail/amphenol-rf/908-22101T/2041851 </t>
  </si>
  <si>
    <t>Oscillator TCXO</t>
  </si>
  <si>
    <t>12MHz HCMOS TCXO oscillator 3.3V 4-SMD, no read</t>
  </si>
  <si>
    <t>631-1068-1-ND</t>
  </si>
  <si>
    <t>FT5HNBPK12.0-T1</t>
  </si>
  <si>
    <t>https://www.digikey.jp/product-detail/ja/fox-electronics/FT5HNBPK12.0-T1/631-1068-1-ND/1024773</t>
  </si>
  <si>
    <t>SENSOR ANALOG -55C-130C TO92-3</t>
  </si>
  <si>
    <t>温度センサ アナログ、ローカル -55°C～130°C 11.77mV/°C TO-92-3</t>
  </si>
  <si>
    <t>LM19CIZ/NOPB-ND</t>
  </si>
  <si>
    <t>https://www.digikey.jp/product-detail/ja/texas-instruments/LM19CIZ-NOPB/LM19CIZ-NOPB-ND/562175</t>
  </si>
  <si>
    <t>Filter</t>
  </si>
  <si>
    <t>Bandpass Filter 550nm 12.5mm</t>
  </si>
  <si>
    <t># 65-098</t>
  </si>
  <si>
    <t>https://www.edmundoptics.com/p/550nm-cwl-125mm-dia-hard-coated-od-4-10nm-bandpass-filter/19753/</t>
  </si>
  <si>
    <t>Bandpass Filter 680nm 12.5mm</t>
  </si>
  <si>
    <t># 88-568</t>
  </si>
  <si>
    <t>https://www.edmundoptics.com/p/680nm-cwl-125mm-dia-hard-coated-od-4-10nm-bandpass-filter/30827/</t>
  </si>
  <si>
    <t>Lens Holder</t>
  </si>
  <si>
    <t>12mm Height M12xP0.5 Plastic Lens Mount</t>
  </si>
  <si>
    <t>SKU: LH003</t>
  </si>
  <si>
    <t>https://www.uctronics.com/m12x-p05-small-camera-lens-plastic-mount-for-raspberry-pi-12mm.html</t>
  </si>
  <si>
    <t xml:space="preserve">Socket Head Cap Screw </t>
  </si>
  <si>
    <t xml:space="preserve">Hexagon Socket Head Cap Screws-Stainless Steel M4 </t>
  </si>
  <si>
    <t>SCB4-50</t>
  </si>
  <si>
    <t>10pcs</t>
  </si>
  <si>
    <t xml:space="preserve">BIRDS-5 </t>
  </si>
  <si>
    <t>https://jp.misumi-ec.com/vona2/detail/110300239250/?CategorySpec=00000217065%3a%3amig00000002462152%0900000217017%3a%3a50%2cmig00000002462112%0900000217131%3a%3ab</t>
  </si>
  <si>
    <t>Discount of 87% for orders of 10 and above.</t>
  </si>
  <si>
    <t>Pure/ deionised water</t>
  </si>
  <si>
    <t>100% pure water; pH value: 5-7; conductivity: &lt;1 micro S/ cm</t>
  </si>
  <si>
    <t>box (20 L)</t>
  </si>
  <si>
    <t>https://www.monotaro.com/p/1940/2048/?t.q=19402048</t>
  </si>
  <si>
    <t>C0603C154K5RACTU</t>
  </si>
  <si>
    <t>SQ1922EEH-T1_GE3 Vishay Siliconix | ディスクリート半導体製品 | DigiKey</t>
  </si>
  <si>
    <t>バイポーラトランジスタ</t>
  </si>
  <si>
    <t>IC OVERVOLTAGE/CUR PROT 8-DFN</t>
  </si>
  <si>
    <t>LTC4361CDC-1#TRMPBFCT-ND</t>
  </si>
  <si>
    <t>LTC4361CDC-1#TRMPBF</t>
  </si>
  <si>
    <t>LTC4361CDC-1#TRMPBF Analog Devices Inc. | 集積回路（IC） | DigiKey</t>
  </si>
  <si>
    <t>オペアンプアイソレータ</t>
  </si>
  <si>
    <t>IC ISOLATOR 16SOIC</t>
  </si>
  <si>
    <t>ADUM4190ARIZ-ND</t>
  </si>
  <si>
    <t>ADUM4190ARIZ</t>
  </si>
  <si>
    <t xml:space="preserve">ADUM4190ARIZ Analog Devices Inc. | Integrated </t>
  </si>
  <si>
    <t>R05P209D Recom Power | 電源 - 基板実装 | DigiKey</t>
  </si>
  <si>
    <t>IC REG LINEAR 5V 200MA TSOT23-5</t>
  </si>
  <si>
    <t>ADP7142AUJZ-5.0-R7 Analog Devices Inc. | 集積回路（IC） | DigiKey</t>
  </si>
  <si>
    <t>0.1uFコンデンサ</t>
  </si>
  <si>
    <t>CAP CER 0.1UF 50V X7R 0603</t>
  </si>
  <si>
    <t>06035C104KAT2A AVX Corporation | コンデンサ | DigiKey</t>
  </si>
  <si>
    <t>150nFコンデンサ</t>
  </si>
  <si>
    <t>CAP CER 0.15UF 50V X7R 0603</t>
  </si>
  <si>
    <t>399-9015-1-ND</t>
  </si>
  <si>
    <t>https://www.digikey.jp/product-detail/ja/kemet/C0603C154K5RACTU/399-9015-1-ND/3522532</t>
  </si>
  <si>
    <t>1uFコンデンサ</t>
  </si>
  <si>
    <t>CAP CER 1UF 50V X5R 0603</t>
  </si>
  <si>
    <t>587-3501-1-ND</t>
  </si>
  <si>
    <t>UMK107ABJ105KAHT Taiyo Yuden | コンデンサ | DigiKey</t>
  </si>
  <si>
    <t>0.33uFコンデンサ</t>
  </si>
  <si>
    <t>CAP CER 0.33UF 16V X5R 0603</t>
  </si>
  <si>
    <t>478-1247-1-ND</t>
  </si>
  <si>
    <t>0603YD334KAT2A</t>
  </si>
  <si>
    <t>0603YD334KAT2A AVX Corporation | コンデンサ | DigiKey</t>
  </si>
  <si>
    <t>43pFコンデンサ</t>
  </si>
  <si>
    <t>CAP CER 43PF 50V NPO 0603</t>
  </si>
  <si>
    <t>311-3970-1-ND</t>
  </si>
  <si>
    <t>CC0603JRNPO9BN430</t>
  </si>
  <si>
    <t>CC0603JRNPO9BN430 Yageo | コンデンサ | DigiKey</t>
  </si>
  <si>
    <t>470pFコンデンサ</t>
  </si>
  <si>
    <t>CAP CER 470PF 50V C0G/NP0 0603</t>
  </si>
  <si>
    <t>399-7922-1-ND</t>
  </si>
  <si>
    <t>C0603C471J5GACTU</t>
  </si>
  <si>
    <t>C0603C471J5GACTU KEMET | コンデンサ | DigiKey</t>
  </si>
  <si>
    <t>10uFコンデンサ</t>
  </si>
  <si>
    <t>CAP CER 10UF 6.3V X7S 0603</t>
  </si>
  <si>
    <t>C1608X7S0J106M080AC TDK Corporation | コンデンサ | DigiKey</t>
  </si>
  <si>
    <t>2.2uFコンデンサ</t>
  </si>
  <si>
    <t>CAP CER 2.2UF 6.3V X5R 0603</t>
  </si>
  <si>
    <t xml:space="preserve">399-3362-1-ND
</t>
  </si>
  <si>
    <t>C0603C225K9PACTU</t>
  </si>
  <si>
    <t>C0603C225K9PACTU KEMET | コンデンサ | DigiKey</t>
  </si>
  <si>
    <t>100nFコンデンサ</t>
  </si>
  <si>
    <t>CAP CER 10000PF 16V X7R 0402</t>
  </si>
  <si>
    <t>311-3822-1-ND</t>
  </si>
  <si>
    <t>CC0402MRX7R7BB103</t>
  </si>
  <si>
    <t>CC0402MRX7R7BB103 Yageo | コンデンサ | DigiKey</t>
  </si>
  <si>
    <t>WSL0805R0250FEA18 Vishay Dale | 抵抗器 | DigiKey</t>
  </si>
  <si>
    <t>28KΩ抵抗</t>
  </si>
  <si>
    <t>1 μF ± 10 %、50 V、X5R、0603 / 1608</t>
  </si>
  <si>
    <t>太陽誘電</t>
  </si>
  <si>
    <t>5MΩ抵抗</t>
  </si>
  <si>
    <t>RES SMD 5M OHM 5% 1/8W 0805</t>
  </si>
  <si>
    <t>HVC0805T5004JETCT-ND</t>
  </si>
  <si>
    <t>HVC0805T5004JET</t>
  </si>
  <si>
    <t>HVC0805T5004JET Ohmite | 抵抗器 | DigiKey</t>
  </si>
  <si>
    <t>ゲージコントローラ</t>
  </si>
  <si>
    <t>科研費</t>
  </si>
  <si>
    <t xml:space="preserve">Fahd </t>
  </si>
  <si>
    <t>5x10-9~1000hPa(真空ゲージPKR 251使用時)</t>
  </si>
  <si>
    <t xml:space="preserve">Pfeiffer </t>
  </si>
  <si>
    <t>ASKindex</t>
  </si>
  <si>
    <t>J70652</t>
  </si>
  <si>
    <t>TPG256A</t>
  </si>
  <si>
    <t>岩田研究室</t>
  </si>
  <si>
    <t>https://www.askindex.co.jp/stock/detail/?stock_id=78359</t>
  </si>
  <si>
    <t>SMA-J SMA-J 中継アダプタ</t>
  </si>
  <si>
    <t>SMA-J SMA-J 18GHzまで</t>
  </si>
  <si>
    <t>S-005-18HP</t>
  </si>
  <si>
    <t>https://akizukidenshi.com/catalog/g/gC-14344/</t>
  </si>
  <si>
    <t>SMA-P SMA-P 中継アダプタ</t>
  </si>
  <si>
    <t>SMA-P SMA-P 18GHzまで</t>
  </si>
  <si>
    <t>https://akizukidenshi.com/catalog/g/gC-08430/</t>
  </si>
  <si>
    <t>Hand siphon pump</t>
  </si>
  <si>
    <t>AS ONE</t>
  </si>
  <si>
    <t>19993323, 19993339</t>
  </si>
  <si>
    <t>BL-2</t>
  </si>
  <si>
    <r>
      <rPr>
        <u/>
        <sz val="10"/>
        <color rgb="FF1155CC"/>
        <rFont val="Arial, sans-serif"/>
      </rPr>
      <t>https://www.monotaro.com/p/1999/3323/</t>
    </r>
    <r>
      <rPr>
        <u/>
        <sz val="10"/>
        <color rgb="FF0563C1"/>
        <rFont val="Arial, sans-serif"/>
      </rPr>
      <t xml:space="preserve">, </t>
    </r>
    <r>
      <rPr>
        <u/>
        <sz val="10"/>
        <color rgb="FF1155CC"/>
        <rFont val="Arial, sans-serif"/>
      </rPr>
      <t>https://www.monotaro.com/p/1999/3339/</t>
    </r>
  </si>
  <si>
    <t>PIC PIC® XLP ™ 18J Microcontroller IC 8-bit 64MHz 128KB (64K x 16) Flash 64-TQFP (10x10)</t>
  </si>
  <si>
    <t>QFP</t>
  </si>
  <si>
    <t>Transisitor</t>
  </si>
  <si>
    <t>Transistor-Bipolar (BJT)-Single, pre-bias NPN-Pre-bias 50V 100mA 250MHz 200mW Surface mount SOT-23-3L</t>
  </si>
  <si>
    <t>RS service</t>
  </si>
  <si>
    <t>0805 CRCWシリーズ表面実装抵抗器</t>
  </si>
  <si>
    <t>679-1190</t>
  </si>
  <si>
    <t>CRCW080528K0FKEA</t>
  </si>
  <si>
    <t>CRCW080528K0FKEA | Vishay SMDレジスタ, 28kΩ, 0805 (2012M), 0.125W, ±1% | RS Components (rs-online.com)</t>
  </si>
  <si>
    <t>100uFコンデンサ</t>
  </si>
  <si>
    <t>100µF 成形 タンタルコンデンサ 6.3V 0603</t>
  </si>
  <si>
    <t>478-9836-1-ND</t>
  </si>
  <si>
    <t>F980J107MMAAXE</t>
  </si>
  <si>
    <t>F980J107MMAAXE AVX Corporation | コンデンサ | DigiKey</t>
  </si>
  <si>
    <t>15 nos GST PCB Fabrication from China</t>
  </si>
  <si>
    <t>JLC PCB</t>
  </si>
  <si>
    <t>GST</t>
  </si>
  <si>
    <t>https://jlcpcb.com/</t>
  </si>
  <si>
    <t>RFM98 lora module</t>
  </si>
  <si>
    <t>Buck-Boost Switching Regulator IC Positive Adjustable 0.8V 1 Output 5A 28-TSSOP (0.173", 4.40mm Width) Exposed Pad</t>
  </si>
  <si>
    <t>LTC3119HFE#PBF-ND</t>
  </si>
  <si>
    <t>LTC3119HFE#PBF</t>
  </si>
  <si>
    <t>28TSSOP</t>
  </si>
  <si>
    <t>https://www.digikey.jp/product-detail/en/LTC3119HFE%23PBF/LTC3119HFE%23PBF-ND/6419502/?itemSeq=351524675</t>
  </si>
  <si>
    <t>Atmega32u4</t>
  </si>
  <si>
    <t>AVR AVR® ATmega Microcontroller IC 8-Bit 16MHz 32KB (16K x 16) FLASH 44-TQFP (10x10)</t>
  </si>
  <si>
    <t>ATMEGA32U4-AU-ND</t>
  </si>
  <si>
    <t>ATMEGA32U4-AU</t>
  </si>
  <si>
    <t>https://www.digikey.jp/product-detail/en/ATMEGA32U4-AU/ATMEGA32U4-AU-ND/1914602/?itemSeq=351524762</t>
  </si>
  <si>
    <t>4 Position Header Connector  Through Hole</t>
  </si>
  <si>
    <t>6 Position Header Connector  Through Hole</t>
  </si>
  <si>
    <t>CAP CER 620PF 50V NPO 0805</t>
  </si>
  <si>
    <t>311-4242-1-ND</t>
  </si>
  <si>
    <t>CC0805JRNPO9BN621</t>
  </si>
  <si>
    <t>https://www.digikey.jp/product-detail/en/CC0805JRNPO9BN621/311-4242-1-ND/8025331/?itemSeq=351552382</t>
  </si>
  <si>
    <t>PCF8523 Real Time Clock (RTC) Timing Evaluation Board</t>
  </si>
  <si>
    <t>https://www.digikey.jp/product-detail/en/3295/1528-1787-ND/6238007/?itemSeq=351552713</t>
  </si>
  <si>
    <t>Soldering Paste</t>
  </si>
  <si>
    <t>Thermal silicone compound 20g syringe</t>
  </si>
  <si>
    <t>TC1-20G-ND</t>
  </si>
  <si>
    <t>TC1-20G</t>
  </si>
  <si>
    <t>https://www.digikey.jp/product-detail/ja/TC1-20G/TC1-20G-ND/9681981/?itemSeq=351588959</t>
  </si>
  <si>
    <t>IP66 enclosure</t>
  </si>
  <si>
    <t>Box Plastic, Polycarbonate Gray Cover Included 4.724" L x 2.559" W (120.00mm x 65.00mm) X 2.362" (60.00mm)</t>
  </si>
  <si>
    <t>Hammond Manufacturing</t>
  </si>
  <si>
    <t>HM1790-ND</t>
  </si>
  <si>
    <t>1554D2GY</t>
  </si>
  <si>
    <t>https://www.digikey.jp/product-detail/en/hammond-manufacturing/1554D2GY/HM1790-ND/2359934</t>
  </si>
  <si>
    <t>https://www.digikey.jp/products/ja?keywords=A3C-50DA-2DSA(71)</t>
  </si>
  <si>
    <t>https://www.digikey.jp/products/ja?keywords=LC4256ZE-7TN144I</t>
  </si>
  <si>
    <t>https://www.digikey.jp/products/ja?keywords=PIC18F67J94-I%2FPT</t>
  </si>
  <si>
    <t>PMIC - 電圧レギュレータ - リニア  1 出力  1A SOT-223</t>
  </si>
  <si>
    <t>カットテープ</t>
  </si>
  <si>
    <t>https://www.digikey.jp/product-detail/ja/on-semiconductor/NCV1117ST18T3G/NCV1117ST18T3GOSCT-ND/3487436</t>
  </si>
  <si>
    <t>Industrial MicroSD Card</t>
  </si>
  <si>
    <t>Memory Cards 16GB Industrial MicroSD -40C to 85C</t>
  </si>
  <si>
    <t>San Disk</t>
  </si>
  <si>
    <t>467-SDSDQAF3-016G-XI</t>
  </si>
  <si>
    <t>SDSDQAF3-016G-XI</t>
  </si>
  <si>
    <t>https://www.mouser.jp/ProductDetail/SanDisk/SDSDQAF3-032G-XI/?qs=F5EMLAvA7IDuINqXQWsrSg%3D%3D</t>
  </si>
  <si>
    <t>Raspberry Pi Zero W (WiFi)</t>
  </si>
  <si>
    <t>BCM2835 Raspberry Pi Zero W --ARM11 MPU Evaluation Board --Built-in</t>
  </si>
  <si>
    <t>1910-1000-ND</t>
  </si>
  <si>
    <t>RPI-029</t>
  </si>
  <si>
    <t>https://www.digikey.jp/product-detail/ja/pi-supply/RPI-029/1910-1000-ND/8136033</t>
  </si>
  <si>
    <t>Pi Power Supply</t>
  </si>
  <si>
    <t>Raspberry Pi AC Adapter 5V</t>
  </si>
  <si>
    <t>Pi3AC</t>
  </si>
  <si>
    <t>B0875S9F66</t>
  </si>
  <si>
    <t>pi3AC</t>
  </si>
  <si>
    <t>https://www.amazon.co.jp/dp/B01N8ZIJL8/ref=sspa_dk_hqp_detail_aax_0?psc=1&amp;spLa=ZW5jcnlwdGVkUXVhbGlmaWVyPUFTS1hYWU9VTVE3U08mZW5jcnlwdGVkSWQ9QTAzNTEzMjEzTllLSjhIT1NXQkhBJmVuY3J5cHRlZEFkSWQ9QTI2NkdET0JHUTJDWVcmd2lkZ2V0TmFtZT1zcF9ocXBfc2hhcmVkJmFjdGlvbj1jbGlja1JlZGlyZWN0JmRvTm90TG9nQ2xpY2s9dHJ1ZQ==</t>
  </si>
  <si>
    <t>USB Power Meter</t>
  </si>
  <si>
    <t>USB Current Voltage Tester Checker, 3-30V/0-5.1A</t>
  </si>
  <si>
    <t>COOWOO</t>
  </si>
  <si>
    <t>B01J74UUD6</t>
  </si>
  <si>
    <t>USB-QC</t>
  </si>
  <si>
    <t>https://www.amazon.co.jp/-/en/Current-Voltage-Checker-Charging-Compatible/dp/B01J74UUD6/ref=sr_1_1?dchild=1&amp;keywords=usb%E9%9B%BB%E5%9C%A7%E8%A8%88&amp;qid=1611548442&amp;sr=8-1</t>
  </si>
  <si>
    <t>stainless steel, size_M3, length_32 mm, pitch_0.5</t>
  </si>
  <si>
    <t>CSH-SUS-M3-32</t>
  </si>
  <si>
    <t>Shock Machine</t>
  </si>
  <si>
    <t>https://jp.misumi-ec.com/vona2/detail/221000551286/?rid=hs_221000551309_221000551286</t>
  </si>
  <si>
    <t>Curtis</t>
  </si>
  <si>
    <t>https://www.digikey.jp/products/en?keywords=A3C-50DA-2DSA%20(71)</t>
  </si>
  <si>
    <t>SLBNR3 | ナット－単品販売－ | ミスミ | MISUMI-VONA【ミスミ】 (misumi-ec.com)</t>
  </si>
  <si>
    <t>82pF 50V</t>
  </si>
  <si>
    <t>0.3pF ~ 82pF</t>
  </si>
  <si>
    <t>Coaxial connector</t>
  </si>
  <si>
    <t>50Ohms</t>
  </si>
  <si>
    <t>220nH 50V</t>
  </si>
  <si>
    <t>445-6387-1-ND</t>
  </si>
  <si>
    <t>1nH ~ 220nH</t>
  </si>
  <si>
    <t>10hm</t>
  </si>
  <si>
    <t>Tempretaure sensor</t>
  </si>
  <si>
    <t>MABA-010245-CT1160 MACOM Technology Solutions | RF/IF and RFID | DigiKey</t>
  </si>
  <si>
    <t>stainless steel, size_M3, length_90 mm, pitch_0.5</t>
  </si>
  <si>
    <t>CSHZ-SUS-M3-90</t>
  </si>
  <si>
    <t>https://jp.misumi-ec.com/vona2/detail/221000551310/?ProductCode=CSHZ-SUS-M3-90</t>
  </si>
  <si>
    <t>BA33DD0T</t>
  </si>
  <si>
    <t>IC REG LINEAR 3.3V 2A TO220FP</t>
  </si>
  <si>
    <t>BA33DD0T-ND</t>
  </si>
  <si>
    <t>チューブ</t>
  </si>
  <si>
    <t>https://www.digikey.jp/products/ja?keywords=BA33DD0T</t>
  </si>
  <si>
    <t xml:space="preserve">BA50DD0T
</t>
  </si>
  <si>
    <t>IC REG LINEAR 5V 2A TO220FP</t>
  </si>
  <si>
    <t>BA50DD0T-ND</t>
  </si>
  <si>
    <t>BA50DD0T</t>
  </si>
  <si>
    <t>https://www.digikey.jp/products/ja?keywords=BA50DD0T</t>
  </si>
  <si>
    <t>FERRITE BEAD 600 OHM 0603 1LN</t>
  </si>
  <si>
    <t>カット テープ</t>
  </si>
  <si>
    <t>https://www.digikey.jp/product-detail/ja/murata-electronics/BLM18AG601SN1D/490-1014-1-ND/584462</t>
  </si>
  <si>
    <t>SN74LVC2G34DBVR</t>
  </si>
  <si>
    <t>IC BUF NON-INVERT 5.5V SOT23-6</t>
  </si>
  <si>
    <t>296-13496-1-ND</t>
  </si>
  <si>
    <t>https://www.digikey.jp/product-detail/ja/texas-instruments/SN74LVC2G34DBVR/296-13496-1-ND/486431</t>
  </si>
  <si>
    <t xml:space="preserve">BAJ2DD0T
</t>
  </si>
  <si>
    <t>IC REG LINEAR 12V 2A TO220FP-3</t>
  </si>
  <si>
    <t xml:space="preserve">	Rohm Semiconductor</t>
  </si>
  <si>
    <t>BAJ2DD0T-ND</t>
  </si>
  <si>
    <t>BAJ2DD0T</t>
  </si>
  <si>
    <t>https://www.digikey.jp/products/ja?keywords=BAJ2DD0T</t>
  </si>
  <si>
    <t>SLI-343U8RC3F</t>
  </si>
  <si>
    <t>LED RED CLEAR T-1 T/H</t>
  </si>
  <si>
    <t>SLI-343U8RC3F-ND</t>
  </si>
  <si>
    <t>バルク</t>
  </si>
  <si>
    <t>https://www.digikey.jp/products/ja?keywords=SLI-343U8RC3F</t>
  </si>
  <si>
    <t>ブレッドボード用ＤＣジャックＤＩＰ化キット</t>
  </si>
  <si>
    <t>ACアダプタ用DCジャックと、ピンピッチ変換基板のセット</t>
  </si>
  <si>
    <t>K-05148</t>
  </si>
  <si>
    <t>AE-DC-POWER-JACK-DIP</t>
  </si>
  <si>
    <t>袋</t>
  </si>
  <si>
    <t>https://akizukidenshi.com/catalog/g/gK-05148/</t>
  </si>
  <si>
    <t>CRYSTAL 16.0000MHZ 18PF SMD</t>
  </si>
  <si>
    <t>16MHz ±30ppm 水晶振動子 18pF 50 Ohms 2-SMD、リードなし</t>
  </si>
  <si>
    <t>https://www.digikey.jp/product-detail/ja/abracon-llc/ABLS-16-000MHZ-B4-T/535-10226-1-ND/2184261?cur=JPY&amp;lang=ja</t>
  </si>
  <si>
    <t>BPB(佐賀県高校+BIRDS5)</t>
  </si>
  <si>
    <t>PTFE washers</t>
  </si>
  <si>
    <t>3M PTFE washer, dia_10 mm, thickness_2 mm</t>
  </si>
  <si>
    <t>TT-0310-20</t>
  </si>
  <si>
    <t>https://jp.misumi-ec.com/vona2/detail/221006205109/?ProductCode=TT-0310-20</t>
  </si>
  <si>
    <t>stainless steel, size_M3, length_12 mm, pitch_0.5</t>
  </si>
  <si>
    <t>CSH-SUSTAL-M3-12</t>
  </si>
  <si>
    <t>https://jp.misumi-ec.com/vona2/detail/221000551286/?ProductCode=CSH-SUSTAL-M3-12</t>
  </si>
  <si>
    <t>Epoxy glass washers</t>
  </si>
  <si>
    <t>4 mm thru hole washer, dia_20 mm, thickness_3 mm</t>
  </si>
  <si>
    <t>WSJE20-4-3</t>
  </si>
  <si>
    <t>https://jp.misumi-ec.com/vona2/detail/110300235320/?ProductCode=WSJE20-4-3</t>
  </si>
  <si>
    <t>6 mm thru hole washer, dia_20 mm, thickness_3 mm</t>
  </si>
  <si>
    <t>WSJE20-6-3</t>
  </si>
  <si>
    <t>https://jp.misumi-ec.com/vona2/detail/110300235320/?ProductCode=WSJE20-6-3</t>
  </si>
  <si>
    <t>チップコンデンサ 22uF</t>
  </si>
  <si>
    <t>22µF ±20% 6.3V セラミックコンデンサ X5R 0805（2012メートル法）</t>
  </si>
  <si>
    <t xml:space="preserve">	Taiyo Yuden</t>
  </si>
  <si>
    <t>587-1305-1-ND</t>
  </si>
  <si>
    <t>JMK212BJ226MG-T</t>
  </si>
  <si>
    <t>https://www.digikey.jp/product-detail/ja/taiyo-yuden/JMK212BJ226MG-T/587-1305-1-ND/931082</t>
  </si>
  <si>
    <t>チップコンデンサ 4.7uF</t>
  </si>
  <si>
    <t>4.7µF ±10% 10V セラミックコンデンサ X7R 0805（2012メートル法）</t>
  </si>
  <si>
    <t>587-1442-1-ND</t>
  </si>
  <si>
    <t>LMK212B7475KG-T</t>
  </si>
  <si>
    <t>https://www.digikey.jp/product-detail/ja/taiyo-yuden/LMK212B7475KG-T/587-1442-1-ND/1004073</t>
  </si>
  <si>
    <t>チップコンデンサ 10uF</t>
  </si>
  <si>
    <t>10µF ±10% 6.3V セラミックコンデンサ X5R 0805（2012メートル法）</t>
  </si>
  <si>
    <t>587-1304-1-ND</t>
  </si>
  <si>
    <t>JMK212BJ106KD-T</t>
  </si>
  <si>
    <t>https://www.digikey.jp/product-detail/ja/taiyo-yuden/JMK212BJ106KD-T/587-1304-1-ND/931081</t>
  </si>
  <si>
    <t>BIRDS Dummy devices</t>
  </si>
  <si>
    <t>PIC18F67J94 and others</t>
  </si>
  <si>
    <t>Microchip and others</t>
  </si>
  <si>
    <t>PBL room</t>
  </si>
  <si>
    <t>BIRDS Dummy PCB Boards</t>
  </si>
  <si>
    <t>科学館</t>
  </si>
  <si>
    <t>BIRDS dummy</t>
  </si>
  <si>
    <t>DummyBoardRevB</t>
  </si>
  <si>
    <t>M2 screw</t>
  </si>
  <si>
    <t>M2xL4; Material: SUS306; High head type</t>
  </si>
  <si>
    <t>CSH-SUS-M2-4</t>
  </si>
  <si>
    <t>CURTIS</t>
  </si>
  <si>
    <t>https://jp.misumi-ec.com/vona2/detail/221000551286/?PNSearch=CSH-SUS-M2-4&amp;HissuCode=CSH-SUS-M2-4&amp;searchFlow=suggest2products&amp;Keyword=CSH-SUS-M2-4</t>
  </si>
  <si>
    <t>M2 Screw</t>
  </si>
  <si>
    <t>M2xL5; Material: SUS306; Dish type</t>
  </si>
  <si>
    <t>SFB2-5</t>
  </si>
  <si>
    <t>https://jp.misumi-ec.com/vona2/detail/110300241010/?PNSearch=SFB2-5&amp;HissuCode=SFB2-5&amp;searchFlow=suggest2products&amp;Keyword=SFB2-5</t>
  </si>
  <si>
    <t>M2xL6; Material: SUS306; Dish type</t>
  </si>
  <si>
    <t>SFB2-6</t>
  </si>
  <si>
    <t>https://jp.misumi-ec.com/vona2/detail/110300241010/?CategorySpec=00000238225%3a%3amig00000002556729%0900000238303%3a%3amig00000002465334%0900000237991%3a%3ab%0900000238035%3a%3aa&amp;HyjnNoki=0</t>
  </si>
  <si>
    <t>M2xL6; Material: SUS306; High head type</t>
  </si>
  <si>
    <t>CSH-SUS-M2-6</t>
  </si>
  <si>
    <t>https://jp.misumi-ec.com/vona2/detail/221000551286/?PNSearch=CSH-SUS-M2-6&amp;HissuCode=CSH-SUS-M2-6&amp;searchFlow=suggest2products&amp;Keyword=CSH-SUS-M2-6</t>
  </si>
  <si>
    <t>M2xL6; Material: SUS306; Ultra Low head type</t>
  </si>
  <si>
    <t>https://jp.misumi-ec.com/vona2/detail/110302280540/?CategorySpec=00000217040%3a%3amig00000002457000%0900000217056%3a%3amig00000002456996%0900000217074%3a%3ad%0900000216906%3a%3aa%0900000217098%3a%3ab</t>
  </si>
  <si>
    <t>M2.5 screw</t>
  </si>
  <si>
    <t>M2.5xL4; Material: SUS306; Dish head type</t>
  </si>
  <si>
    <t>SNFXS-M2.5-4</t>
  </si>
  <si>
    <t>https://www.nbk1560.com/products/specialscrew/nedzicom/hexalobularscrew/SNFXS/SNFXS-M2.5/</t>
  </si>
  <si>
    <t>M2.5xL5; Material: SUS306; High head type</t>
  </si>
  <si>
    <t>CSH-SUS-M2.5-5</t>
  </si>
  <si>
    <t>https://jp.misumi-ec.com/vona2/detail/221000551286/?HissuCode=CSH-SUS-M2.5-5&amp;PNSearch=CSH-SUS-M2.5-5&amp;KWSearch=CSH-SUS-M2.5-5&amp;searchFlow=results2products</t>
  </si>
  <si>
    <t>M2.5xL6; Material: SUS306; High head type</t>
  </si>
  <si>
    <t>CSH-SUS-M2.5-6</t>
  </si>
  <si>
    <t>https://jp.misumi-ec.com/vona2/detail/221000551286/?HissuCode=CSH-SUS-M2.5-6&amp;PNSearch=CSH-SUS-M2.5-6&amp;KWSearch=CSH-SUS-M2.5-6&amp;searchFlow=results2products</t>
  </si>
  <si>
    <t>M2.5xL8; Material: SUS306; High head type</t>
  </si>
  <si>
    <t>CSH-SUS-M2.5-8</t>
  </si>
  <si>
    <t>https://jp.misumi-ec.com/vona2/detail/221000551286/?HissuCode=CSH-SUS-M2.5-8&amp;PNSearch=CSH-SUS-M2.5-8&amp;KWSearch=CSH-SUS-M2.5-8&amp;searchFlow=results2products</t>
  </si>
  <si>
    <t>M2.5xL12; Material: SUS306; Dish head type</t>
  </si>
  <si>
    <t>SNFXS-M2.5-12</t>
  </si>
  <si>
    <t>M2.5-3 screw</t>
  </si>
  <si>
    <t>M2.5 Female Thread; M3 male thread; Length:L6; Material: SUS306; Hexagonal</t>
  </si>
  <si>
    <t>SLCG5.5-6</t>
  </si>
  <si>
    <t>https://jp.misumi-ec.com/vona2/detail/110302672270/?HissuCode=SLCG5.5-6&amp;PNSearch=SLCG5.5-6&amp;KWSearch=SLCG5.5-6&amp;searchFlow=results2products</t>
  </si>
  <si>
    <t>High Precision Magnetometer</t>
  </si>
  <si>
    <t>WITMOTION PNI RM3100 High Precision Magnetometer</t>
  </si>
  <si>
    <t>PNI</t>
  </si>
  <si>
    <t>B07RZZ9SBR</t>
  </si>
  <si>
    <t>https://www.amazon.co.jp/-/en/Magnetometer-Geomagnetism-Compensation-Professional-Development/dp/B07RZZ9SBR</t>
  </si>
  <si>
    <t>Backplane BBM PCB, 6-layer (205mm x 82mm)</t>
  </si>
  <si>
    <t>Intel Neural Compute Stick 2 - NCS 2</t>
  </si>
  <si>
    <t>Intel Movidius Myriad X Vision Processing Unit (VPU)</t>
  </si>
  <si>
    <t>Intel</t>
  </si>
  <si>
    <t>NCSM2485</t>
  </si>
  <si>
    <t>https://www.amazon.co.jp/Intel-Neural-Compute-Stick-%E3%83%87%E3%82%A3%E3%83%BC%E3%83%97%E3%83%A9%E3%83%BC%E3%83%8B%E3%83%B3%E3%82%B0/dp/B07KT6361R/ref=asc_df_B07KT6361R/?tag=jpgo-22&amp;linkCode=df0&amp;hvadid=280454830493&amp;hvpos=&amp;hvnetw=g&amp;hvrand=14116785203870472872&amp;hvpone=&amp;hvptwo=&amp;hvqmt=&amp;hvdev=c&amp;hvdvcmdl=&amp;hvlocint=&amp;hvlocphy=1009721&amp;hvtargid=pla-628439506973&amp;psc=1</t>
  </si>
  <si>
    <t>Resistor for Dummy board</t>
  </si>
  <si>
    <t>0.025Ohm, 1.5kOhm,  4.7kOhm</t>
  </si>
  <si>
    <t>Vishay, Alcol</t>
  </si>
  <si>
    <t>3Dプリンター　フィラメント</t>
  </si>
  <si>
    <t>PLA, 1kg</t>
  </si>
  <si>
    <t>TINMORRY</t>
  </si>
  <si>
    <t>https://www.amazon.co.jp/%E3%83%95%E3%82%A3%E3%83%A9%E3%83%A1%E3%83%B3%E3%83%88-%E3%80%90TINMORRY%E3%80%913d%E3%83%97%E3%83%AA%E3%83%B3%E3%82%BF%E7%94%A8%E9%80%A0%E5%BD%A2%E6%9D%90%E6%96%99-1-75mm-Printer-Filament/dp/B083Y5G2GJ/ref=sr_1_2_sspa?__mk_ja_JP=%E3%82%AB%E3%82%BF%E3%82%AB%E3%83%8A&amp;crid=1GSDBBTH79L1M&amp;dchild=1&amp;keywords=pla+%E3%83%95%E3%82%A3%E3%83%A9%E3%83%A1%E3%83%B3%E3%83%88&amp;qid=1612424121&amp;s=industrial&amp;sprefix=pla+%2Cindustrial%2C269&amp;sr=1-2-spons&amp;psc=1&amp;spLa=ZW5jcnlwdGVkUXVhbGlmaWVyPUEyVFdWWVpJQVpTWUE3JmVuY3J5cHRlZElkPUEwMTExNDEyMzRFQkUxV1dGSldZTyZlbmNyeXB0ZWRBZElkPUExS044Slo3WFlRTEYmd2lkZ2V0TmFtZT1zcF9hdGYmYWN0aW9uPWNsaWNrUmVkaXJlY3QmZG9Ob3RMb2dDbGljaz10cnVl</t>
  </si>
  <si>
    <t>ルミラーフィルム</t>
  </si>
  <si>
    <t>PET, 250μm</t>
  </si>
  <si>
    <t>東レ</t>
  </si>
  <si>
    <t>3-2160-08</t>
  </si>
  <si>
    <t>https://www.monotaro.com/g/01361089/?t.q=PET%20%81%400.25</t>
  </si>
  <si>
    <t>形状記憶合金ワイヤ</t>
  </si>
  <si>
    <t>Lead ingots</t>
  </si>
  <si>
    <t>20X45X295 mm; 2.3 kg; 99.99% lead</t>
  </si>
  <si>
    <t>テインアロイ</t>
  </si>
  <si>
    <t>PB-0001</t>
  </si>
  <si>
    <t>https://item.rakuten.co.jp/tin-alloy/pb-0001/</t>
  </si>
  <si>
    <t>Spacer (Stainless Steel 304 Spacer) CU-300PH Series (for M = 3)</t>
  </si>
  <si>
    <t>NRI/UPD(BIRDS4)</t>
  </si>
  <si>
    <t>Fahd</t>
  </si>
  <si>
    <t>Thread Diameter for M3 Dimensions L 5 mm, 1 Bag (50 Pieces)</t>
  </si>
  <si>
    <t>1 Bag (50 Pieces)</t>
  </si>
  <si>
    <t>https://www.monotaro.com/p/1120/0577/</t>
  </si>
  <si>
    <t>Shim Plate Dimension Cut Material Stainless Steel (SUS304)</t>
  </si>
  <si>
    <t>300 x 300 x 0.5 mm</t>
  </si>
  <si>
    <t>IWATA</t>
  </si>
  <si>
    <t>TS300-300-05</t>
  </si>
  <si>
    <t>TS300-300-06</t>
  </si>
  <si>
    <t>sheet</t>
  </si>
  <si>
    <t>シムプレート寸法カット品 材質ステンレス(SUS304) 岩田製作所 シムプレート 【通販モノタロウ】 TS300-300-05 (monotaro.com)</t>
  </si>
  <si>
    <t>Ultra-low head bolt hex hole type</t>
  </si>
  <si>
    <t>M2 L3</t>
  </si>
  <si>
    <t>CBSTSR2-3</t>
  </si>
  <si>
    <t>バラ(1個から購入可能)</t>
  </si>
  <si>
    <t>超極低頭ボルト 六角穴タイプ | ミスミ | MISUMI-VONA【ミスミ】 (misumi-ec.com)</t>
  </si>
  <si>
    <t>M2 L5</t>
  </si>
  <si>
    <t>https://jp.misumi-ec.com/vona2/detail/110302280540/?ProductCode=CBSTSR2-5</t>
  </si>
  <si>
    <t>M2 L6</t>
  </si>
  <si>
    <t>M3 L10</t>
  </si>
  <si>
    <t>https://jp.misumi-ec.com/vona2/detail/110302280540/?ProductCode=CBSTSR3-10</t>
  </si>
  <si>
    <t>Jura Spacer (Hollow) C/C-B/C-BU</t>
  </si>
  <si>
    <t>2.5mm thick color milky</t>
  </si>
  <si>
    <t>ジュラコンスペーサー（中空） C/C-B/C-BU | 廣杉計器 | MISUMI-VONA【ミスミ】 (misumi-ec.com)</t>
  </si>
  <si>
    <t>1mm thick color milky</t>
  </si>
  <si>
    <t>C-301-5</t>
  </si>
  <si>
    <t>1.5 mm thick color milky</t>
  </si>
  <si>
    <t>C-301.5-5</t>
  </si>
  <si>
    <t>5 mm thick color milky</t>
  </si>
  <si>
    <t>6.5 mm thick color milky</t>
  </si>
  <si>
    <t>C-306.5-5</t>
  </si>
  <si>
    <t>7.5 mm thick color milky</t>
  </si>
  <si>
    <t>C-307.5-5</t>
  </si>
  <si>
    <t>17.5 mm thick color milky</t>
  </si>
  <si>
    <t>C-317.5-5</t>
  </si>
  <si>
    <t>Juracon Washer CC/CC-B</t>
  </si>
  <si>
    <t>0.5 mm thick color milky</t>
  </si>
  <si>
    <t>ジュラコンワッシャー CC/CC-B | 廣杉計器 | MISUMI-VONA【ミスミ】 (misumi-ec.com)</t>
  </si>
  <si>
    <t>Full length specified screws</t>
  </si>
  <si>
    <t>M3 L96</t>
  </si>
  <si>
    <t>全長指定ねじ 全ねじ | ミスミ | MISUMI-VONA【ミスミ】 (misumi-ec.com)</t>
  </si>
  <si>
    <t>SHNS Hex Nut</t>
  </si>
  <si>
    <t>NRI（消耗品）</t>
  </si>
  <si>
    <t>M2 SUS304</t>
  </si>
  <si>
    <t>Nabeya Vitec</t>
  </si>
  <si>
    <t>SHNS-M2-VA</t>
  </si>
  <si>
    <t>SHNS 六角ナット（微細ねじ用） | 鍋屋バイテック | MISUMI-VONA【ミスミ】 (misumi-ec.com)</t>
  </si>
  <si>
    <t>M1.6 SUS304</t>
  </si>
  <si>
    <t>SHNS-M1.6-VA</t>
  </si>
  <si>
    <t>ナット－単品販売－ | ミスミ | MISUMI-VONA【ミスミ】 (misumi-ec.com)</t>
  </si>
  <si>
    <t>Low head bolt SLH with hexagonal hole</t>
  </si>
  <si>
    <t>M2 L10</t>
  </si>
  <si>
    <t>SLHS-M2-10-VA</t>
  </si>
  <si>
    <t>六角穴付き低頭ボルト SLH | 鍋屋バイテック | MISUMI-VONA【ミスミ】 (misumi-ec.com)</t>
  </si>
  <si>
    <t>Small head bolt with SNSS-SD Hexagonal Hole</t>
  </si>
  <si>
    <t>SNSS-M2-3-SD-VA</t>
  </si>
  <si>
    <t>SNSS-SD 六角穴付き小頭ボルト | 鍋屋バイテック | MISUMI-VONA【ミスミ】 (misumi-ec.com)</t>
  </si>
  <si>
    <t>Bolts with Hexagonal Holes for Precision Instruments (Fine Screws) SNSS</t>
  </si>
  <si>
    <t>M2 L4</t>
  </si>
  <si>
    <t>SNSS-M2-4-VA</t>
  </si>
  <si>
    <t>精密機器用六角穴付きボルト（微細ねじ） SNSS | 鍋屋バイテック | MISUMI-VONA【ミスミ】 (misumi-ec.com)</t>
  </si>
  <si>
    <t>M1.6 L6</t>
  </si>
  <si>
    <t>SNSS-M1.6-6-VA</t>
  </si>
  <si>
    <t>M1.6 L5</t>
  </si>
  <si>
    <t>SNSS-M1.6-5-VA</t>
  </si>
  <si>
    <t>SNSS-M2-5-VA</t>
  </si>
  <si>
    <t>SNSS-M2-6-SD-VA</t>
  </si>
  <si>
    <t>Extremely low head bolt SSH with hexagonal hole</t>
  </si>
  <si>
    <t>SSHS-M2-6-VA</t>
  </si>
  <si>
    <t>六角穴付き極低頭ボルト SSH | 鍋屋バイテック | MISUMI-VONA【ミスミ】 (misumi-ec.com)</t>
  </si>
  <si>
    <t>M2 L8</t>
  </si>
  <si>
    <t>SSHS-M2-8-VA</t>
  </si>
  <si>
    <t>Analog-Digital Converter</t>
  </si>
  <si>
    <t>ADS1015 - 12 Bit 3.3k Samples per Second Analog to Digital Converter (ADC) Evaluation Board</t>
  </si>
  <si>
    <t>1528-1014-ND</t>
  </si>
  <si>
    <t>SF-ward GST</t>
  </si>
  <si>
    <t>https://www.digikey.jp/product-detail/en/adafruit-industries-llc/1083/1528-1014-ND/4990763</t>
  </si>
  <si>
    <t>20 Ohms 0.25W, 1/4W J  Potentiometer Cermet 1 Turn Top Adjustment</t>
  </si>
  <si>
    <t>490-2647-1-ND</t>
  </si>
  <si>
    <t>PVG3A200C01R00</t>
  </si>
  <si>
    <t>https://www.digikey.jp/product-detail/en/bourns-inc/PVG3A200C01R00/490-2647-1-ND/666223</t>
  </si>
  <si>
    <t xml:space="preserve">16MHz ±15ppm Crystal 8pF 80 Ohms </t>
  </si>
  <si>
    <t>1253-1698-1-ND</t>
  </si>
  <si>
    <t>CX3225SB16000D0GZJC1</t>
  </si>
  <si>
    <t>https://www.digikey.com/en/products/detail/kyocera-international-inc-electronic-components/CX3225SB16000D0GZJC1/5995241</t>
  </si>
  <si>
    <t>アマチュア局電波料</t>
  </si>
  <si>
    <t>一局　JG6YBW</t>
  </si>
  <si>
    <t>HORYU</t>
  </si>
  <si>
    <t>student room</t>
  </si>
  <si>
    <t>ガラエポ板</t>
  </si>
  <si>
    <t>10 x 100 x 100</t>
  </si>
  <si>
    <t>https://www.monotaro.com/g/02570299/?t.q=%83K%83%89%83G%83%7C#op_694=10&amp;op_695=100&amp;op_696=70</t>
  </si>
  <si>
    <t>アンテナ半田付け用</t>
  </si>
  <si>
    <t>Shipping to Taiwan</t>
  </si>
  <si>
    <t>GST PCB shipping along with antenna materials</t>
  </si>
  <si>
    <t>Shipping to Malaysia</t>
  </si>
  <si>
    <t>Shipping to Philippines</t>
  </si>
  <si>
    <t>Shipping to Bhutan</t>
  </si>
  <si>
    <t>Shipping to Nepal</t>
  </si>
  <si>
    <t>Shipping to Mongolia</t>
  </si>
  <si>
    <t>Shipping to Costa Rica</t>
  </si>
  <si>
    <t>PICKIT-4</t>
  </si>
  <si>
    <t>‎PG164140-ND‎</t>
  </si>
  <si>
    <t>‎PG164140‎</t>
  </si>
  <si>
    <t>https://www.digikey.jp/product-detail/ja/PG164140/PG164140-ND/8536593/?itemSeq=354853070</t>
  </si>
  <si>
    <t>100Ohm 0402 Chip Resistor</t>
  </si>
  <si>
    <t>100Ohm SMD 0402</t>
  </si>
  <si>
    <t>YAG2301CT-ND‎</t>
  </si>
  <si>
    <t>RT0402BRD07100RL‎</t>
  </si>
  <si>
    <t>https://www.digikey.jp/product-detail/ja/RT0402BRD07100RL/YAG2301CT-ND/5252415/?itemSeq=354853117</t>
  </si>
  <si>
    <t>半田付け練習キット</t>
  </si>
  <si>
    <t>NE555 + CD4017</t>
  </si>
  <si>
    <t>Soldering training</t>
  </si>
  <si>
    <t>https://www.amazon.co.jp/HiLetgo®-CD4017-ライトLEDモジュール-DIYキット-電子プロダクションスイート/dp/B01N59NP8D/ref=pd_lpo_21_t_0/357-5332583-8864368?_encoding=UTF8&amp;pd_rd_i=B01N59NP8D&amp;pd_rd_r=814e5565-f06f-4cfe-951e-1b612c751110&amp;pd_rd_w=TkinM&amp;pd_rd_wg=fpAYv&amp;pf_rd_p=cb2cef9d-b0a3-4b58-a575-45abfc5e07e8&amp;pf_rd_r=GJZAA4KM81DD4N2PR01Y&amp;psc=1&amp;refRID=GJZAA4KM81DD4N2PR01Y</t>
  </si>
  <si>
    <t>9V電池</t>
  </si>
  <si>
    <t>8個セット</t>
  </si>
  <si>
    <t>9V形</t>
  </si>
  <si>
    <t>https://www.amazon.co.jp/Amazonベーシック-AmazonBasics-6LR16-8PK-アルカリ乾電池-9V形8個パック/dp/B00MH4QM1S/ref=sr_1_17?__mk_ja_JP=カタカナ&amp;dchild=1&amp;keywords=9V+電池ボックス&amp;qid=1613563790&amp;sr=8-17</t>
  </si>
  <si>
    <t>9V電池ボックス</t>
  </si>
  <si>
    <t>スイッチ＆カバー付き</t>
  </si>
  <si>
    <t>ELPA</t>
  </si>
  <si>
    <t>https://www.amazon.co.jp/ELPA-スイッチ-カバー付電池ボックス9V形-1本-UM-SC006NH/dp/B00FIXN8TY/ref=sr_1_6?__mk_ja_JP=カタカナ&amp;dchild=1&amp;keywords=9V+電池ボックス&amp;qid=1613563790&amp;sr=8-6</t>
  </si>
  <si>
    <t>3mm幅 1.5m</t>
  </si>
  <si>
    <t>https://www.amazon.co.jp/太洋電機産業-goot-CP-3015-はんだ吸取り線/dp/B001PR1KPQ/ref=sr_1_5?__mk_ja_JP=カタカナ&amp;dchild=1&amp;keywords=ハンダ吸い取り線&amp;qid=1613564198&amp;sr=8-5</t>
  </si>
  <si>
    <t>JICA</t>
  </si>
  <si>
    <t>100pF</t>
  </si>
  <si>
    <t>C0402C101K3GACTU</t>
  </si>
  <si>
    <t>ADCS research</t>
  </si>
  <si>
    <t>4F LaSEINE</t>
  </si>
  <si>
    <t>https://www.digikey.jp/product-detail/en/kemet/C0402C101K3GACTU/399-7748-1-ND/3471471</t>
  </si>
  <si>
    <t>C0603C474K3RAC7867</t>
  </si>
  <si>
    <t>https://www.digikey.jp/product-detail/en/kemet/C0603C474K3RAC7867/399-11934-1-ND/5267654</t>
  </si>
  <si>
    <t>CL10B332KB8NNNC</t>
  </si>
  <si>
    <t>https://www.digikey.jp/product-detail/en/samsung-electro-mechanics/CL10B332KB8NNNC/1276-1758-1-ND/3889844</t>
  </si>
  <si>
    <t>GRM21BR71A106KE51L</t>
  </si>
  <si>
    <t>https://www.digikey.jp/product-detail/en/murata-electronics/GRM21BR71A106KA73L/490-10516-1-ND/5026447</t>
  </si>
  <si>
    <t>C0603C104J4RACTU</t>
  </si>
  <si>
    <t>https://www.digikey.jp/product-detail/en/kemet/C0603C104J4RACTU/399-1097-1-ND/411372</t>
  </si>
  <si>
    <t>CL21B106KOQNNNE</t>
  </si>
  <si>
    <t>https://www.digikey.jp/product-detail/en/samsung-electro-mechanics/CL21B106KOQNNNE/1276-2872-1-ND/3890958</t>
  </si>
  <si>
    <t>LINEARTECHNOLOGY</t>
  </si>
  <si>
    <t>8ピンDFN</t>
  </si>
  <si>
    <t>https://www.digikey.jp/product-detail/en/analog-devices-inc/LTC4361IDC-2-TRMPBF/LTC4361IDC-2-TRMPBFCT-ND/2351620</t>
  </si>
  <si>
    <t>MOSFET N-CH 20V 4.2A UF6</t>
  </si>
  <si>
    <t>SSM6K403TU</t>
  </si>
  <si>
    <t>https://www.digikey.jp/product-detail/en/toshiba-semiconductor-and-storage/SSM6K403TU-LF/SSM6K403TULFCT-ND/5298037</t>
  </si>
  <si>
    <t>5ピンTSOT-23</t>
  </si>
  <si>
    <t>https://www.digikey.jp/product-detail/en/analog-devices-inc/LT6106HS5-TRMPBF/LT6106HS5-TRMPBFCT-ND/1590294</t>
  </si>
  <si>
    <t xml:space="preserve">	TRANS PREBIAS NPN 50V 100MA SC75</t>
  </si>
  <si>
    <t>DTC144E</t>
  </si>
  <si>
    <t>https://www.digikey.jp/product-detail/en/koa-speer-electronics-inc/RK73B1JTTD103J/2019-RK73B1JTTD103JCT-ND/9846741</t>
  </si>
  <si>
    <t>F511K</t>
  </si>
  <si>
    <t>RC0603FR-07511KL</t>
  </si>
  <si>
    <t>https://www.digikey.jp/product-detail/en/yageo/RC0603FR-07511KL/311-511KHRCT-ND/730235</t>
  </si>
  <si>
    <t>F95.3K</t>
  </si>
  <si>
    <t>RC0603FR-0795K3L</t>
  </si>
  <si>
    <t>https://www.digikey.jp/product-detail/en/yageo/RC0603FR-0795K3L/311-95-3KHRCT-ND/730383</t>
  </si>
  <si>
    <t>https://www.digikey.jp/product-detail/en/koa-speer-electronics-inc/RK73B1JTTD104J/2019-RK73B1JTTD104JCT-ND/9846744</t>
  </si>
  <si>
    <t>F0.15</t>
  </si>
  <si>
    <t>ERJ-3RSFR15V</t>
  </si>
  <si>
    <t>https://www.digikey.jp/product-detail/en/panasonic-electronic-components/ERJ-3RSFR15V/P-15AJCT-ND/308100</t>
  </si>
  <si>
    <t>F0.025</t>
  </si>
  <si>
    <t>UCR03EWPFSR024</t>
  </si>
  <si>
    <t>https://www.digikey.jp/product-detail/en/rohm-semiconductor/UCR03EWPFSR024/RHM1266CT-ND/4056144</t>
  </si>
  <si>
    <t>F0.025(2012) 1/2W</t>
  </si>
  <si>
    <t>ERJ-6BWFR025V</t>
  </si>
  <si>
    <t>https://www.digikey.jp/product-detail/en/panasonic-electronic-components/ERJ-6BWFR025V/P17580CT-ND/5648064</t>
  </si>
  <si>
    <t>CANCELLED</t>
  </si>
  <si>
    <t>F0.033</t>
  </si>
  <si>
    <t>UCR03EWPFSR033</t>
  </si>
  <si>
    <t>https://www.digikey.jp/product-detail/en/rohm-semiconductor/UCR03EWPFSR033/RHM1269CT-ND/4056147</t>
  </si>
  <si>
    <t>F270K</t>
  </si>
  <si>
    <t>RC0603FR-07270KL</t>
  </si>
  <si>
    <t>https://www.digikey.jp/product-detail/en/yageo/RC0603FR-07270KL/311-270KHRCT-ND/730051</t>
  </si>
  <si>
    <t>F200</t>
  </si>
  <si>
    <t>ESR03EZPF2000</t>
  </si>
  <si>
    <t>https://www.digikey.jp/product-detail/en/rohm-semiconductor/ESR03EZPF2000/RHM200ADCT-ND/1983760</t>
  </si>
  <si>
    <t>F100</t>
  </si>
  <si>
    <t>https://www.digikey.jp/product-detail/en/koa-speer-electronics-inc/RK73H1JTTD1000F/2019-RK73H1JTTD1000FCT-ND/9846890</t>
  </si>
  <si>
    <t>1K</t>
  </si>
  <si>
    <t>RK73H1JTTD1001D</t>
  </si>
  <si>
    <t>https://www.digikey.jp/product-detail/en/koa-speer-electronics-inc/RK73H1JTTD1001D/2019-RK73H1JTTD1001DCT-ND/9847503</t>
  </si>
  <si>
    <t>F4.99K</t>
  </si>
  <si>
    <t>ERA-3AEB4991V</t>
  </si>
  <si>
    <t>https://www.digikey.jp/product-detail/en/panasonic-electronic-components/ERA-3AEB4991V/P4-99KDBCT-ND/3075985</t>
  </si>
  <si>
    <t>F86.6K</t>
  </si>
  <si>
    <t>RC0603FR-0786K6L</t>
  </si>
  <si>
    <t>https://www.digikey.jp/product-detail/en/yageo/RC0603FR-0786K6L/311-86-6KHRCT-ND/730358</t>
  </si>
  <si>
    <t>VCDB1112H-5AY3B-TR blue led</t>
  </si>
  <si>
    <t>Stanley Electric Co</t>
  </si>
  <si>
    <t>VCDB1112H-5AY3B-TR</t>
  </si>
  <si>
    <t>https://www.digikey.jp/product-detail/en/stanley-electric-co/VCDB1112H-5AY3B-TR/404-1289-1-ND/9477294</t>
  </si>
  <si>
    <t>VCDG1112H-4BY3C-TR green led</t>
  </si>
  <si>
    <t>VCDG1112H-4BY3C-TR</t>
  </si>
  <si>
    <t>https://www.digikey.jp/product-detail/en/stanley-electric-co/VCDG1112H-4BY3C-TR/404-1291-1-ND/9477296</t>
  </si>
  <si>
    <t>VFHR1112H-3BY2A-TR red led</t>
  </si>
  <si>
    <t>VFHR1112H-3BY2A-TR</t>
  </si>
  <si>
    <t>IC TRNSLTR BIDIRECTIONAL 20DQFN</t>
  </si>
  <si>
    <t>FXMA108</t>
  </si>
  <si>
    <t>DQFN, 20-Lead, JEDEC MO-241, 2.5x4.5mm</t>
  </si>
  <si>
    <t>https://www.digikey.jp/product-detail/en/on-semiconductor/FXMA108BQX/FXMA108BQXFSCT-ND/2287325</t>
  </si>
  <si>
    <t>Header connector</t>
  </si>
  <si>
    <t>10 Position Header Connector 0.079" (2.00mm) Through Hole Gold</t>
  </si>
  <si>
    <t>NPPN101BFCN-RC</t>
  </si>
  <si>
    <t>https://www.digikey.jp/product-detail/en/sullins-connector-solutions/NPPN101BFCN-RC/S5751-10-ND/804812</t>
  </si>
  <si>
    <t>https://www.digikey.jp/product-detail/en/stmicroelectronics/STM32F446RET6/497-15376-ND/5175962</t>
  </si>
  <si>
    <t>CONN HEADER R/A 3POS 1.25MM</t>
  </si>
  <si>
    <t>https://www.digikey.jp/product-detail/en/molex/0530480310/WM1743-ND/242865</t>
  </si>
  <si>
    <t>CONN HEADER R/A 2POS 1.25MM</t>
  </si>
  <si>
    <t>https://www.digikey.jp/product-detail/en/molex/0530480210/WM1742-ND/242864</t>
  </si>
  <si>
    <t>CONN HEADER R/A 4POS 1.25MM</t>
  </si>
  <si>
    <t>https://www.digikey.jp/product-detail/en/molex/0530480410/WM1744-ND/242866</t>
  </si>
  <si>
    <t>CONN HEADER R/A 5POS 1.25MM</t>
  </si>
  <si>
    <t>https://www.digikey.jp/product-detail/en/molex/0530480510/WM1745-ND/242867</t>
  </si>
  <si>
    <t xml:space="preserve">	DC DC CONVERTER 0.9-5V</t>
  </si>
  <si>
    <t>TPS82130SILT</t>
  </si>
  <si>
    <t>3.0mm x 2.8mm x 1.5mm</t>
  </si>
  <si>
    <t>https://www.digikey.jp/product-detail/en/texas-instruments/TPS82130SILT/296-43922-1-ND/5960953</t>
  </si>
  <si>
    <t>AMP Connector</t>
  </si>
  <si>
    <t>TERM BLK 4P SIDE ENT 5.08MM PCB</t>
  </si>
  <si>
    <t xml:space="preserve">	TE Connectivity</t>
  </si>
  <si>
    <t>282837-4</t>
  </si>
  <si>
    <t>https://www.digikey.jp/product-detail/en/te-connectivity-amp-connectors/282837-4/A124423-ND/2187975</t>
  </si>
  <si>
    <t>Switch toogle</t>
  </si>
  <si>
    <t>SWITCH TOGGLE SPDT 5A 120V</t>
  </si>
  <si>
    <t xml:space="preserve">	E-Switch</t>
  </si>
  <si>
    <t>100SP1T2B4M6QE</t>
  </si>
  <si>
    <t>https://www.digikey.jp/products/en?keywords=100SP1T2B4M6QE</t>
  </si>
  <si>
    <t>Connector housing</t>
  </si>
  <si>
    <t>CONN HOUSING 3POS 1.25MM NATURAL</t>
  </si>
  <si>
    <t>https://www.digikey.jp/product-detail/en/molex/0510210300/WM1721-ND/242843</t>
  </si>
  <si>
    <t>CONN HOUSING 2POS 1.25MM NATURAL</t>
  </si>
  <si>
    <t>CONN HOUSING 4POS 1.25MM NATURAL</t>
  </si>
  <si>
    <t>https://www.digikey.jp/product-detail/en/molex/0510210400/WM1722-ND/242844</t>
  </si>
  <si>
    <t>CONN HOUSING 5POS 1.25MM NATURAL</t>
  </si>
  <si>
    <t>https://www.digikey.jp/product-detail/en/molex/0510210500/WM1723-ND/242845</t>
  </si>
  <si>
    <t>Connector socket</t>
  </si>
  <si>
    <t>https://www.digikey.jp/product-detail/en/molex/0500798000/WM1142CT-ND/467835</t>
  </si>
  <si>
    <t>BOSCH IMU</t>
  </si>
  <si>
    <t>ＢＭＸ０５５使用９軸センサーモジュール</t>
  </si>
  <si>
    <t>Akizuki Denshi Tsusho Co., Ltd.</t>
  </si>
  <si>
    <t>AE-BMX055</t>
  </si>
  <si>
    <t>https://akizukidenshi.com/catalog/g/gK-13010/</t>
  </si>
  <si>
    <t>PIN 2.54mm</t>
  </si>
  <si>
    <t>CONN HEADER VERT 16POS 2.54MM</t>
  </si>
  <si>
    <t>PH1-16-UA</t>
  </si>
  <si>
    <t>https://www.digikey.jp/product-detail/en/adam-tech/PH1-16-UA/2057-PH1-16-UA-ND/9830344</t>
  </si>
  <si>
    <t>PIN 2mm</t>
  </si>
  <si>
    <t xml:space="preserve">	CONN HEADER VERT 13POS 2MM</t>
  </si>
  <si>
    <t>2PH1-13-UA</t>
  </si>
  <si>
    <t>https://www.digikey.jp/product-detail/en/adam-tech/2PH1-13-UA/2057-2PH1-13-UA-ND/9830399</t>
  </si>
  <si>
    <t>Xsens IMU</t>
  </si>
  <si>
    <t>MTI-3-T 	IMU ACCEL/GYRO/MAG I2C/SPI</t>
  </si>
  <si>
    <t>Xsens</t>
  </si>
  <si>
    <t>MTI-3-T</t>
  </si>
  <si>
    <t>ADCS air bearing table</t>
  </si>
  <si>
    <t>2F SVBL Control room</t>
  </si>
  <si>
    <t>https://www.digikey.jp/product-detail/en/xsens-technologies-bv/MTI-3-T/MTI-3-T-ND/9607411</t>
  </si>
  <si>
    <t>PCB carrier</t>
  </si>
  <si>
    <t xml:space="preserve">	CONN SOCKET PLCC 28POS TIN</t>
  </si>
  <si>
    <t>8428-21B1-RK-TP</t>
  </si>
  <si>
    <t>https://www.digikey.jp/product-detail/en/3m/8428-21B1-RK-TP/3M2821B1-ND/1026478</t>
  </si>
  <si>
    <t>DC motor</t>
  </si>
  <si>
    <t>DC Motor Maxon Brushless EC-max 12 Vdc, 4360 rpm, 54.3 mNm max</t>
  </si>
  <si>
    <t>MAXON</t>
  </si>
  <si>
    <t>ADCS RW project</t>
  </si>
  <si>
    <t>https://www.monotaro.com/p/5023/8013/</t>
  </si>
  <si>
    <t>Evaluation board</t>
  </si>
  <si>
    <t>Power Management IC Development Tools 16/32-BITS MICROS</t>
  </si>
  <si>
    <t>ST</t>
  </si>
  <si>
    <t>P-NUCLEO-IHM03</t>
  </si>
  <si>
    <t>https://www.mouser.jp/ProductDetail/STMicroelectronics/P-NUCLEO-IHM03/?qs=%2Fha2pyFadujq%2FclLwJmBlMudZqgZ13tu4METfE%252BEf5LgxmnQxyvxJQ%3D%3D</t>
  </si>
  <si>
    <t>Power supply</t>
  </si>
  <si>
    <t>RS PRO bench power supply, number of outputs: 1, 0 → 30V, 3A</t>
  </si>
  <si>
    <t>123-3564</t>
  </si>
  <si>
    <t>https://jp.rs-online.com/web/p/bench-power-supplies/1233564/</t>
  </si>
  <si>
    <t>トルクレンチ</t>
  </si>
  <si>
    <t>40-200Nm</t>
  </si>
  <si>
    <t>QL200N4</t>
  </si>
  <si>
    <t>1F SVBL</t>
  </si>
  <si>
    <t>https://jp.misumi-ec.com/vona2/detail/223005035134/?PNSearch=QL200N4&amp;HissuCode=QL200N4&amp;searchFlow=suggest2products&amp;Keyword=QL200N4</t>
  </si>
  <si>
    <t>30-140Nm</t>
  </si>
  <si>
    <t>QL140N</t>
  </si>
  <si>
    <t>https://jp.misumi-ec.com/vona2/detail/223005035134/?HissuCode=QL140N&amp;PNSearch=QL140N&amp;KWSearch=QL140N&amp;searchFlow=results2products</t>
  </si>
  <si>
    <t>1-5Nm</t>
  </si>
  <si>
    <t>QL5N</t>
  </si>
  <si>
    <t>https://jp.misumi-ec.com/vona2/detail/223005035134/?PNSearch=QL5N&amp;HissuCode=QL5N&amp;searchFlow=suggesthistory&amp;Keyword=QL5N&amp;isReSearch=1</t>
  </si>
  <si>
    <t>RF Cable, SMA-SMA, 0.5m</t>
  </si>
  <si>
    <t>MEXT(OPERA)</t>
  </si>
  <si>
    <t>ACX2408-ND</t>
  </si>
  <si>
    <t>135101-01-M0.50</t>
  </si>
  <si>
    <t>https://www.digikey.jp/product-detail/ja/amphenol-rf/135101-01-M0-50/ACX2408-ND/4865154</t>
  </si>
  <si>
    <t>Attenuator, 6dB, 2W, SMA</t>
  </si>
  <si>
    <t>Cinch Connectivity Solutions Midwest Microwave</t>
  </si>
  <si>
    <t>652-CGA-1040-06-SMA-02-ND</t>
  </si>
  <si>
    <t>CGA-1040-06-SMA-02</t>
  </si>
  <si>
    <t>https://www.digikey.jp/product-detail/ja/cinch-connectivity-solutions-midwest-microwave/CGA-1040-06-SMA-02/652-CGA-1040-06-SMA-02-ND/11696831</t>
  </si>
  <si>
    <t>Attenuator, 12dB, 2W, SMA</t>
  </si>
  <si>
    <t>SVM3933/25-80N-ND</t>
  </si>
  <si>
    <t>M3933/25-80N</t>
  </si>
  <si>
    <t>https://www.digikey.jp/product-detail/ja/amphenol-sv-microwave/M3933-25-80N/SVM3933-25-80N-ND/7682494</t>
  </si>
  <si>
    <t>Attenuator, 18dB, 2W, SMA</t>
  </si>
  <si>
    <t>SVM3933/25-86N-ND</t>
  </si>
  <si>
    <t>M3933/25-86N</t>
  </si>
  <si>
    <t>https://www.digikey.jp/products/ja/rf-if-and-rfid/attenuators/852?k=&amp;pkeyword=&amp;sv=0&amp;pv1989=0&amp;pv331=116007&amp;sf=0&amp;FV=-8%7C852&amp;quantity=&amp;ColumnSort=0&amp;page=1&amp;stock=1&amp;pageSize=25</t>
  </si>
  <si>
    <t>Attenuator, 30dB, 50W, N</t>
  </si>
  <si>
    <t>L3 Narda-MITEQ</t>
  </si>
  <si>
    <t>1949-1093-ND</t>
  </si>
  <si>
    <t>765A-30</t>
  </si>
  <si>
    <t>https://www.digikey.jp/product-detail/ja/l3-narda-miteq/765A-30/1949-1093-ND/9092998</t>
  </si>
  <si>
    <t>S-Band Antenna, SMA</t>
  </si>
  <si>
    <t>1917-1029-ND</t>
  </si>
  <si>
    <t>AMB1926</t>
  </si>
  <si>
    <t>https://www.digikey.jp/product-detail/ja/w%C3%BCrth-elektronik/AMB1926/1917-1029-ND/8258139</t>
  </si>
  <si>
    <t>A7-35T FPGA board</t>
  </si>
  <si>
    <t>Digilent, Inc.</t>
  </si>
  <si>
    <t>https://www.digikey.jp/product-detail/ja/digilent-inc/410-328-35/1286-1130-ND/6133793</t>
  </si>
  <si>
    <t>UHF Antenna, SMA</t>
  </si>
  <si>
    <t>Industrial Shields</t>
  </si>
  <si>
    <t>2198-IS.ACIOTANT868WRA-ND</t>
  </si>
  <si>
    <t>IS.ACIOTANT868WRA</t>
  </si>
  <si>
    <t>https://www.digikey.jp/product-detail/ja/industrial-shields/IS-ACIOTANT868WRA/2198-IS-ACIOTANT868WRA-ND/11192398</t>
  </si>
  <si>
    <t>Bench power supply</t>
  </si>
  <si>
    <t>テクシオ</t>
  </si>
  <si>
    <t>663-7780</t>
  </si>
  <si>
    <t>PA36-3B</t>
  </si>
  <si>
    <t>https://jp.rs-online.com/web/p/bench-power-supplies/6637780/</t>
  </si>
  <si>
    <t>171-7762</t>
  </si>
  <si>
    <t>https://jp.rs-online.com/web/p/debuggers-in-circuit-emulators/1717762/?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2E2A24267365617263685F7061747465726E5F6F726465723D313133267365617263685F73745F6E6F726D616C697365643D59267365617263685F726573706F6E73655F616374696F6E3D267365617263685F747970653D43415443485F414C4C5F44454641554C54267365617263685F77696C645F63617264696E675F6D6F64653D4E4F4E45267365617263685F6B6579776F72643D7069636B69742034267365617263685F6B6579776F72645F6170703D7069636B69742034267365617263685F636F6E6669673D3126&amp;searchHistory=%7B%22enabled%22%3Atrue%7D</t>
  </si>
  <si>
    <t>Raspberry Pi 4</t>
  </si>
  <si>
    <t xml:space="preserve">Pi-4gb-StarterKit </t>
  </si>
  <si>
    <t>70MHz OSC with 16Ch digital</t>
  </si>
  <si>
    <t>RIGOL</t>
  </si>
  <si>
    <t>202-5951</t>
  </si>
  <si>
    <t xml:space="preserve">DS1074Z Plus </t>
  </si>
  <si>
    <t>https://jp.rs-online.com/web/p/oscilloscopes/2025951/?intcmp=JP-WEB-_-CP-FP9-_-MCC__0121_APAC-_-rigol-2025951</t>
  </si>
  <si>
    <t>200MHz OSC 2Ch</t>
  </si>
  <si>
    <t>202-5955</t>
  </si>
  <si>
    <t xml:space="preserve">DS1202Z-E </t>
  </si>
  <si>
    <t>https://jp.rs-online.com/web/p/products/2025955/</t>
  </si>
  <si>
    <t>OSC Probe, 200MHz</t>
  </si>
  <si>
    <t>Tektronix</t>
  </si>
  <si>
    <t>715-8743</t>
  </si>
  <si>
    <t>TPP0201-PK10</t>
  </si>
  <si>
    <t>https://jp.rs-online.com/web/p/oscilloscope-probes/7158743/?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3731352D38373433267365617263685F6B6579776F72645F6170703D37313538373433267365617263685F636F6E6669673D3126&amp;searchHistory=%7B%22enabled%22%3Atrue%7D</t>
  </si>
  <si>
    <t>Driver set</t>
  </si>
  <si>
    <t>537-883</t>
  </si>
  <si>
    <t>https://jp.rs-online.com/web/p/screwdriver-sets/0537883/</t>
  </si>
  <si>
    <t>Nipper</t>
  </si>
  <si>
    <t>クニペックス(KNIPEX)</t>
  </si>
  <si>
    <t>7942-125ZESD</t>
  </si>
  <si>
    <t>https://www.monotaro.com/g/02774768/</t>
  </si>
  <si>
    <t>Capton tape, 10mm</t>
  </si>
  <si>
    <t>寺岡製作所</t>
  </si>
  <si>
    <t>No.650S</t>
  </si>
  <si>
    <t>https://www.monotaro.com/p/0639/3606/?t.q=capton%20tape</t>
  </si>
  <si>
    <t>Power tap</t>
  </si>
  <si>
    <t>https://www.monotaro.com/p/3469/3714/</t>
  </si>
  <si>
    <t>Memory card reader</t>
  </si>
  <si>
    <t>MR3-K012BK</t>
  </si>
  <si>
    <t>https://www.monotaro.com/p/3133/8965/?t.q=usb%83%81%83%82%83%8A</t>
  </si>
  <si>
    <t>2-Ch Power supply</t>
  </si>
  <si>
    <t>テクシオ・テクノロジー(旧インステックジャパン)</t>
  </si>
  <si>
    <t>PW18-3AD</t>
  </si>
  <si>
    <t>https://www.monotaro.com/p/2034/5465/</t>
  </si>
  <si>
    <t>M1.6 wrench</t>
  </si>
  <si>
    <t>W-91-0.71</t>
  </si>
  <si>
    <t>https://www.monotaro.com/p/3989/5109/</t>
  </si>
  <si>
    <t>M2 wrench</t>
  </si>
  <si>
    <t>W-91-1.27</t>
  </si>
  <si>
    <t>https://www.monotaro.com/p/3989/5118/</t>
  </si>
  <si>
    <t>M2.5 wrench</t>
  </si>
  <si>
    <t>W-91-1.5</t>
  </si>
  <si>
    <t>https://www.monotaro.com/p/3989/5127/</t>
  </si>
  <si>
    <t>M3 wrench</t>
  </si>
  <si>
    <t>W-91-1.6</t>
  </si>
  <si>
    <t>https://www.monotaro.com/p/3989/5136/</t>
  </si>
  <si>
    <t>#10-32止めネジ</t>
  </si>
  <si>
    <t>#10-32 3/8inch</t>
  </si>
  <si>
    <t>サイマコーポレーション</t>
  </si>
  <si>
    <t>IN15.01032.030</t>
  </si>
  <si>
    <t>Shock</t>
  </si>
  <si>
    <t>https://jp.misumi-ec.com/vona2/detail/221005546331/?CategorySpec=00000217067%3a%3aa%0900000216977%3a%3af</t>
  </si>
  <si>
    <t>9V電池ケース</t>
  </si>
  <si>
    <t>9V電池　スイッチ付き電池ボックス</t>
  </si>
  <si>
    <t>UM-SC006NH</t>
  </si>
  <si>
    <t>training</t>
  </si>
  <si>
    <t>https://www.monotaro.com/g/00959160/?t.q=ELPA%209V</t>
  </si>
  <si>
    <t>オペアンプ</t>
  </si>
  <si>
    <t>OPA170</t>
  </si>
  <si>
    <t>296-39103-1-ND</t>
  </si>
  <si>
    <t>OPA170AIDBVR</t>
  </si>
  <si>
    <t>SOT-753</t>
  </si>
  <si>
    <t>OPA170AIDBVR Texas Instruments | 集積回路（IC） | DigiKey</t>
  </si>
  <si>
    <t>ジャンパーピン</t>
  </si>
  <si>
    <t>2.54mmピッチ</t>
  </si>
  <si>
    <t>https://www.digikey.jp/product-detail/ja/sullins-connector-solutions/QPC02SXGN-RC/S9337-ND/2618262?utm_adgroup=Shunts%2C%20Jumpers&amp;utm_source=google&amp;utm_medium=cpc&amp;utm_campaign=Shopping_Product_Connectors%2C%20Interconnects_NEW&amp;utm_term=&amp;productid=2618262&amp;gclid=Cj0KCQiAst2BBhDJARIsAGo2ldUMfFLJ9oMQ8rfGfoiJ7hQDqenZ_ule6jETeOh5hqbOK8iHULOS6coaAur4EALw_wcB</t>
  </si>
  <si>
    <t>ばね付き蝶番</t>
  </si>
  <si>
    <t>スガツネ(LAMP)</t>
  </si>
  <si>
    <t>HG-SH-20C</t>
  </si>
  <si>
    <t>HG-SH-20C スプリング丁番 HG-SH型 1個 スガツネ(LAMP) 【通販モノタロウ】 07181781 (monotaro.com)</t>
  </si>
  <si>
    <t>銅板</t>
  </si>
  <si>
    <t>厚さ0.5mm</t>
  </si>
  <si>
    <t>久宝金属製作所</t>
  </si>
  <si>
    <t>M9551</t>
  </si>
  <si>
    <t>https://www.monotaro.com/p/3563/3841/?t.q=%93%BA%94%C20.5mm</t>
  </si>
  <si>
    <t>FTDI Chip ケーブル TTL-232RG-VREG3V3-WE</t>
  </si>
  <si>
    <t>FTDI Chip USB-UART ケーブル</t>
  </si>
  <si>
    <t>TTL-232RG-VSW3V3-WE</t>
  </si>
  <si>
    <t>768-1072-ND</t>
  </si>
  <si>
    <t>箱</t>
  </si>
  <si>
    <t>PC-104</t>
  </si>
  <si>
    <t>https://www.digikey.jp/products/ja?keywords=TTL-232RG-VSW3V3-WE</t>
  </si>
  <si>
    <t>ラズベリーパイ ZERO W</t>
  </si>
  <si>
    <t>RASPBERRY PI ZERO W BCM2835</t>
  </si>
  <si>
    <t>ラズベリーパイ ZERO W用ACアダプター</t>
  </si>
  <si>
    <t>AC/DC WALL MNT ADAPTER 5.1V 15W</t>
  </si>
  <si>
    <t>1690-RPIUSB-CPOWERSUPPLYBLACKUS-ND</t>
  </si>
  <si>
    <t>RPI USB-C POWER SUPPLY BLACK US</t>
  </si>
  <si>
    <t>https://www.digikey.jp/product-detail/ja/raspberry-pi-(trading)-ltd/RPI%2520USB-C%2520POWER%2520SUPPLY%2520BLACK%2520US/1690-RPIUSB-CPOWERSUPPLYBLACKUS-ND/10258759?utm_adgroup=AC%20DC%20Desktop%2C%20Wall%20Adapters&amp;utm_source=google&amp;utm_medium=cpc&amp;utm_campaign=Shopping_Product_Power%20Supplies_External%2FInternal%20%28Off-Board%29&amp;utm_term=&amp;productid=10258759&amp;gclid=Cj0KCQiAhP2BBhDdARIsAJEzXlEFQ-_43Gbod4-3957jJMQewcu9_V4nga5ADhqlxtvFnZ_d5bP2q6caAqtFEALw_wcB</t>
  </si>
  <si>
    <t>JSTコネクタ　端子</t>
  </si>
  <si>
    <t>SDカード16GB</t>
  </si>
  <si>
    <t>16GB MicroSD -25C to 85C</t>
  </si>
  <si>
    <t>KIOXIA</t>
  </si>
  <si>
    <t>S-15845</t>
  </si>
  <si>
    <t>LMEX1L016GG4</t>
  </si>
  <si>
    <t>https://akizukidenshi.com/catalog/g/gS-15845/</t>
  </si>
  <si>
    <t>スペーサー/ナットセット, ポリアセタート, M3, 10mm</t>
  </si>
  <si>
    <t>両面スルーホール Ｂタイプ ９５×７２ｍｍ</t>
  </si>
  <si>
    <t>両面スルーホール Bタイプ</t>
  </si>
  <si>
    <t>メス 2×20 2.54mmピッチ ピンフレーム</t>
  </si>
  <si>
    <t>ブレッドボード・ジャンパーワイヤ</t>
  </si>
  <si>
    <t>１４種類×１０本</t>
  </si>
  <si>
    <t>E-CALL ENTERPRISE CO., LTD.</t>
  </si>
  <si>
    <t>P-00288</t>
  </si>
  <si>
    <t>165-012-000(EIC-J-L)</t>
  </si>
  <si>
    <t>https://akizukidenshi.com/catalog/g/gP-00288/</t>
  </si>
  <si>
    <t>耐熱電子ワイヤー 赤色</t>
  </si>
  <si>
    <t>赤色 ２０ｍ 導体外径０．５４ｍｍ（ＡＷＧ２４相当）</t>
  </si>
  <si>
    <t>住友電気工業株式会社</t>
  </si>
  <si>
    <t>P-11090</t>
  </si>
  <si>
    <t>0.2sq (7/0.18) AWG24-R</t>
  </si>
  <si>
    <t>https://akizukidenshi.com/catalog/g/gP-11090/</t>
  </si>
  <si>
    <t>耐熱電子ワイヤー 黒色</t>
  </si>
  <si>
    <t>黒色 ２０ｍ 導体外径０．５４ｍｍ</t>
  </si>
  <si>
    <t>P-11091</t>
  </si>
  <si>
    <t>0.2sq (7/0.18) AWG24-BK</t>
  </si>
  <si>
    <t>https://akizukidenshi.com/catalog/g/gP-11091/</t>
  </si>
  <si>
    <t>ICOM Radio IC-9100</t>
  </si>
  <si>
    <t>Icom ic-9100 hf + hz + hz + hz + hz &lt;ssb ・ cw ・ rtty ・ am ・ fm ・ dv&gt; 100w transceiver</t>
  </si>
  <si>
    <t>Icom</t>
  </si>
  <si>
    <t xml:space="preserve">IC-9100
</t>
  </si>
  <si>
    <t>IC-9100</t>
  </si>
  <si>
    <t>GS Uganda</t>
  </si>
  <si>
    <t>https://product.rakuten.co.jp/product/-/1c33f5396f22402710e1bc922b79d02a/spec/?l2-id=pdt_spec#price_compare</t>
  </si>
  <si>
    <t>ホールセンサー</t>
  </si>
  <si>
    <t>Magnetic switch latch TO92UA</t>
  </si>
  <si>
    <t>Melexis Technologies</t>
  </si>
  <si>
    <t>US1881EUA-AAA-000-BU-ND</t>
  </si>
  <si>
    <t>US1881EUA-AAA-000-BU</t>
  </si>
  <si>
    <t>KITSUNE/BIRDS-4/BIRDS-3</t>
  </si>
  <si>
    <t>4ピンコネクタヘッダ</t>
  </si>
  <si>
    <t>垂直抜き差し　PCBコネクタ 2mmピッチ</t>
  </si>
  <si>
    <t>H3923-ND</t>
  </si>
  <si>
    <t>KITSUNE/BIRDS-4/BIRDS-4</t>
  </si>
  <si>
    <t>４ピンコネクタハウジング</t>
  </si>
  <si>
    <t>PCBコネクタ 2mmピッチ</t>
  </si>
  <si>
    <t>H2085-ND</t>
  </si>
  <si>
    <t>DF3-4S-2C</t>
  </si>
  <si>
    <t>KITSUNE/BIRDS-4/BIRDS-5</t>
  </si>
  <si>
    <t>バッテリー溶接</t>
  </si>
  <si>
    <t>10パック(単三電池30個)</t>
  </si>
  <si>
    <t>阿尾システムエナジー研究所</t>
  </si>
  <si>
    <t>ＡＣアダプター</t>
  </si>
  <si>
    <t>ＡＣアダプター ＭｉｃｒｏＢオス ５Ｖ３Ａ</t>
  </si>
  <si>
    <t>M-12001</t>
  </si>
  <si>
    <t>HDMIメス-miniHDMIオス変換コネクタ</t>
  </si>
  <si>
    <t>コネクタ：Type-Aメス、Type-Cオス</t>
  </si>
  <si>
    <t>C-13431</t>
  </si>
  <si>
    <t>https://akizukidenshi.com/catalog/g/gC-13431/</t>
  </si>
  <si>
    <t>Raspberry Pi4 B 4GB Starter Kit</t>
  </si>
  <si>
    <t>Pi-4gb-StarterKit</t>
  </si>
  <si>
    <t>BTECH RF Amplifier</t>
  </si>
  <si>
    <t>BTECH RF Amplifier 20-40W</t>
  </si>
  <si>
    <t>Baofeng</t>
  </si>
  <si>
    <t>AMP-V25 Analog</t>
  </si>
  <si>
    <t>BTECH AMP-V25</t>
  </si>
  <si>
    <t>https://www.amazon.com/BTECH-AMP-V25-Amplifier-136-174MHz-Compatible/dp/B076H972DH</t>
  </si>
  <si>
    <t>乾燥剤</t>
  </si>
  <si>
    <t>7.5g 10個</t>
  </si>
  <si>
    <t>ダイソー</t>
  </si>
  <si>
    <t>C029</t>
  </si>
  <si>
    <t>屋上</t>
  </si>
  <si>
    <t>Flat Bar</t>
  </si>
  <si>
    <t>Victor Mukunugwa</t>
  </si>
  <si>
    <t>Flat frame No brim Groove width 8mm 1 groove type　 HFSFIN6-1530-365</t>
  </si>
  <si>
    <t>HFSFIN6-1530-365</t>
  </si>
  <si>
    <t>https://jp.misumi-ec.com/vona2/detail/110302374430/?PNSearch=HFSFIN6-1530&amp;HissuCode=HFSFIN6-1530&amp;searchFlow=suggest2products&amp;Keyword=HFSFIN6-1530</t>
  </si>
  <si>
    <t>Screws</t>
  </si>
  <si>
    <t>Hexagon socket head cap screw (stainless steel) Full screw</t>
  </si>
  <si>
    <t>https://www.monotaro.com/p/2901/7723/</t>
  </si>
  <si>
    <t>BPB(PIC16F_BBM)</t>
  </si>
  <si>
    <t>DCジャック</t>
  </si>
  <si>
    <t>コーキングガン</t>
  </si>
  <si>
    <t>330mL用</t>
  </si>
  <si>
    <t>Center</t>
  </si>
  <si>
    <t>https://www.monotaro.com/s/?c=&amp;q=%83R%81%5B%83L%83%93%83O%83K%83%93</t>
  </si>
  <si>
    <t>URLは参考情報</t>
  </si>
  <si>
    <t>Black aluminium tape</t>
  </si>
  <si>
    <t>black Al tape; width_50 mm; thickness_0.05 mm; length_10 m</t>
  </si>
  <si>
    <t>J3270</t>
  </si>
  <si>
    <t>https://www.monotaro.com/g/00177883/?monotaroNo=9206154</t>
  </si>
  <si>
    <t>Polyimide/ Kapton tape (19 mm in width)</t>
  </si>
  <si>
    <t>kapton tape; width_19 mm; thickness_0.05 mm; length_33 m</t>
  </si>
  <si>
    <t>スリーエム</t>
  </si>
  <si>
    <t>PIA220 19</t>
  </si>
  <si>
    <t>https://www.monotaro.com/g/02774233/?monotaroNo=60789426</t>
  </si>
  <si>
    <t>Polyimide/ Kapton tape (50 mm in width)</t>
  </si>
  <si>
    <t>kapton tape; width_50 mm; thickness_0.05 mm; length_33 m</t>
  </si>
  <si>
    <t>PIA220 50</t>
  </si>
  <si>
    <t>https://www.monotaro.com/g/02774233/?monotaroNo=60789444</t>
  </si>
  <si>
    <t>Tape cutter (12~24 mm width)</t>
  </si>
  <si>
    <t>tape cutter; compatible for 12-24 mm width</t>
  </si>
  <si>
    <t>https://www.monotaro.com/g/01278016/?monotaroNo=18370485</t>
  </si>
  <si>
    <t>Tape cutter (24 mm width)</t>
  </si>
  <si>
    <t>24 mm width tape cutter</t>
  </si>
  <si>
    <t>プラス(文具)</t>
  </si>
  <si>
    <t>TC-201(31242)</t>
  </si>
  <si>
    <t>https://www.monotaro.com/g/01877425/?monotaroNo=31513073</t>
  </si>
  <si>
    <t>Tape cutter (50 mm width)</t>
  </si>
  <si>
    <t>50 mm width tape cutter</t>
  </si>
  <si>
    <t>https://www.monotaro.com/g/00020929/?monotaroNo=6846061</t>
  </si>
  <si>
    <t>Antenna for mobile GST</t>
  </si>
  <si>
    <t>430 MHz band handy flexible antenna</t>
  </si>
  <si>
    <t>Diamond Antenna</t>
  </si>
  <si>
    <t>SRH815S</t>
  </si>
  <si>
    <t>https://www.amazon.co.jp/%E3%83%80%E3%82%A4%E3%83%A4%E3%83%A2%E3%83%B3%E3%83%89-SRH815S-144-1200%EF%BC%8B%E3%82%A8%E3%82%A2%E3%83%BC-%E4%BB%96%E3%83%90%E3%83%B3%E3%83%89/dp/B003MLXB0U</t>
  </si>
  <si>
    <t>Memory card</t>
  </si>
  <si>
    <t>Memory card 64GB Industrial MicroSD -40C to 85C</t>
  </si>
  <si>
    <t>467-SDSDQAF3-064G-XI</t>
  </si>
  <si>
    <t>SDSDQAF3-064G-XI</t>
  </si>
  <si>
    <t>https://www.mouser.jp/ProductDetail/SanDisk/SDSDQAF3-064G-XI?qs=F5EMLAvA7ID%2Fx3Z%252BZWB28g==</t>
  </si>
  <si>
    <t>Oxygen sensor</t>
  </si>
  <si>
    <t>Galvanic cell type oxygen sensor</t>
  </si>
  <si>
    <t>New Cosmos Electric Co. Ltd.</t>
  </si>
  <si>
    <t>九州計測器（株）</t>
  </si>
  <si>
    <t>OS-3M</t>
  </si>
  <si>
    <t>https://www.newcosmos-global.com/product/2150/</t>
  </si>
  <si>
    <t>Shrinkable tube</t>
  </si>
  <si>
    <t>black shrinkable tube_6 mm in diameter</t>
  </si>
  <si>
    <t>オーム電機</t>
  </si>
  <si>
    <t>DZ-TR60/K</t>
  </si>
  <si>
    <t>https://www.monotaro.com/p/8698/9865/</t>
  </si>
  <si>
    <t>black shrinkable tube_8 mm in diameter</t>
  </si>
  <si>
    <t>DZ-TR80/K</t>
  </si>
  <si>
    <t>https://www.monotaro.com/p/8698/9874/</t>
  </si>
  <si>
    <t>ADCS air bearing control board</t>
  </si>
  <si>
    <t>Air bearing balancing controller and integrated IMU PCB</t>
  </si>
  <si>
    <t>Soldering paste SMD291</t>
  </si>
  <si>
    <t>Chip Quik</t>
  </si>
  <si>
    <t>910-SMD291</t>
  </si>
  <si>
    <t>SMD291</t>
  </si>
  <si>
    <t>https://www.mouser.jp/ProductDetail/Chip-Quik/SMD291?qs=8BX3xQzFIvmwkympZqnNNA%3D%3D</t>
  </si>
  <si>
    <t xml:space="preserve">MCU STMicroelectronics </t>
  </si>
  <si>
    <t>STM32F446VET6</t>
  </si>
  <si>
    <t>511-STM32F446VET6TR</t>
  </si>
  <si>
    <t>STM32F446VET6TR</t>
  </si>
  <si>
    <t>LQFP100</t>
  </si>
  <si>
    <t>https://www.mouser.com/ProductDetail/STMicroelectronics/STM32F446VET6TR?qs=5aG0NVq1C4zWtLYRX9crCw%3D%3D</t>
  </si>
  <si>
    <t>Resistor  0.025 ohms</t>
  </si>
  <si>
    <t>https://www.mouser.jp/ProductDetail/KOA-Speer/UR73VD2ATTD25L0F?qs=5aG0NVq1C4z5HmsT%2Fj0Ezw%3D%3D</t>
  </si>
  <si>
    <t>Resistor 27 ohms</t>
  </si>
  <si>
    <t>660-RN73R1JTD27R0B25</t>
  </si>
  <si>
    <t>RN73R1JTTD27R0B25</t>
  </si>
  <si>
    <t>https://www.mouser.jp/ProductDetail/Yageo/RT0603BRD0727RL?qs=%2Ff7pOCXLR5edaD1Sb56XGQ%3D%3D</t>
  </si>
  <si>
    <t>BNC cable</t>
  </si>
  <si>
    <t>BNC cable 2m</t>
  </si>
  <si>
    <t>Cal Test</t>
  </si>
  <si>
    <t>510-CT2942-200</t>
  </si>
  <si>
    <t>CT2942-200</t>
  </si>
  <si>
    <t>https://www.mouser.jp/ProductDetail/Cal-Test/CT2942-200?qs=vgjKjNJexTj1ovQem7GxCg%3D%3D</t>
  </si>
  <si>
    <t>FFC cable</t>
  </si>
  <si>
    <t>FFC Jumper Cable 200mm, Pitch 0.5mm</t>
  </si>
  <si>
    <t>163-3985</t>
  </si>
  <si>
    <t>https://jp.rs-online.com/web/p/ffc-cables/1633985/</t>
  </si>
  <si>
    <t>FFC adapter</t>
  </si>
  <si>
    <t>FPC / FFC (10 pin) Flat cable to pin header Conversion board 0.5mm / 1.0mm</t>
  </si>
  <si>
    <t>UXCEL</t>
  </si>
  <si>
    <t>B07H2FTQJM</t>
  </si>
  <si>
    <t>https://www.amazon.co.jp/dp/B07SR864Y2/ref=cm_sw_r_li_dp_CGHVF96AAEV5HJDS3M0P?_encoding=UTF8&amp;psc=1</t>
  </si>
  <si>
    <t>USBシリアル変換ケーブル</t>
  </si>
  <si>
    <t>1m D-sub 9pin</t>
  </si>
  <si>
    <t>UGREEN</t>
  </si>
  <si>
    <t>8F GS</t>
  </si>
  <si>
    <t>https://www.amazon.co.jp/UGREEN-シリアル変換ケーブル-シリアルケーブル-D-sub9ピン-Windows/dp/B00QUZY4UG/ref=sr_1_5?__mk_ja_JP=カタカナ&amp;crid=1XN7V7T0YVNAY&amp;dchild=1&amp;keywords=rs-232c+usb+変換&amp;qid=1615886455&amp;sprefix=RS-232X%2Caps%2C-1&amp;sr=8-5</t>
  </si>
  <si>
    <t>BIRDS-5 Antenna BBM</t>
  </si>
  <si>
    <t>Programmable Key board</t>
  </si>
  <si>
    <t>23 key White</t>
  </si>
  <si>
    <t>Koolertron</t>
  </si>
  <si>
    <t>https://www.amazon.co.jp/フルプログラム可能-メカニカルキーボード-左手ゲーミングキーボード-RGBバックライト-ショットカットキー/dp/B07KYFXCND/ref=sr_1_53?__mk_ja_JP=カタカナ&amp;dchild=1&amp;keywords=テンキー%2B割り当て&amp;qid=1616461729&amp;sr=8-53&amp;th=1</t>
  </si>
  <si>
    <t>オーディオケーブル</t>
  </si>
  <si>
    <t>Monoatro</t>
  </si>
  <si>
    <t>AV-352</t>
  </si>
  <si>
    <t>https://www.monotaro.com/p/7590/9206/?t.q=%89%B9%90%BA%83P%81%5B%83u%83%8B</t>
  </si>
  <si>
    <t>Stamps for BIRDS-3 QSL Card</t>
  </si>
  <si>
    <t>Stamps for BIRDS-3 QSL Cards</t>
  </si>
  <si>
    <t>DC Battery power supply</t>
  </si>
  <si>
    <t>24V; Rechargeble; 1.6kg; 15.49 x 14.48 x 12.45 cm</t>
  </si>
  <si>
    <t>Creabest</t>
  </si>
  <si>
    <t>B078MFF2W7</t>
  </si>
  <si>
    <t>Amazon.com</t>
  </si>
  <si>
    <t>Shaft collar_Alt</t>
  </si>
  <si>
    <t>Inner Diameter 20Φmm, Width L 10mm, Dimensions W 1.5mm</t>
  </si>
  <si>
    <t>Iwata</t>
  </si>
  <si>
    <t>SCSS 2010C</t>
  </si>
  <si>
    <t>Shaft collar-Az</t>
  </si>
  <si>
    <t>Inner Diameter B 15Φmm, Width L 10mm, Dimensions W 1.5mm</t>
  </si>
  <si>
    <t>SCSS 1510C</t>
  </si>
  <si>
    <t>Thrust bearing_Az</t>
  </si>
  <si>
    <t>ID:15mm; 28mm OD; 9mm Thichness</t>
  </si>
  <si>
    <t>N.N. (NTN)</t>
  </si>
  <si>
    <t>Thrust bearing_Alt</t>
  </si>
  <si>
    <t>Inner diameter d 30Φmm, Outer diameter D 47Φmm, Width T 11mm</t>
  </si>
  <si>
    <t>Motor shaft_Az</t>
  </si>
  <si>
    <t>L: 245; D1:15x82; D2:16x75;D3:15x88mm</t>
  </si>
  <si>
    <t>YSK Co., Ltd.</t>
  </si>
  <si>
    <t>YSAA-16-250</t>
  </si>
  <si>
    <t>Flexible shaft coupling</t>
  </si>
  <si>
    <t>D1:8mm; D2:15mm; OD:35mm;L:27</t>
  </si>
  <si>
    <t>Sakia Man.</t>
  </si>
  <si>
    <t>Misumu</t>
  </si>
  <si>
    <t>LAS-35C-8X15</t>
  </si>
  <si>
    <t>Aluminum sheet</t>
  </si>
  <si>
    <t>200x200mm; T:3mm</t>
  </si>
  <si>
    <t>PAAL-200-200-3</t>
  </si>
  <si>
    <t>Aluminum extrusion</t>
  </si>
  <si>
    <t>L:480; 30x30; Standard strength</t>
  </si>
  <si>
    <t>CAF6-3030-460</t>
  </si>
  <si>
    <t>Optical End Stop_Limit Control Switch</t>
  </si>
  <si>
    <t>----</t>
  </si>
  <si>
    <t>F Fityle</t>
  </si>
  <si>
    <t>Set Screw</t>
  </si>
  <si>
    <t>M2.5-M8 Hex Socket Screw Set, Stainless Steel</t>
  </si>
  <si>
    <t>WUUDI</t>
  </si>
  <si>
    <t>B08K6RF8XS</t>
  </si>
  <si>
    <t>USB typeA - typeB</t>
  </si>
  <si>
    <t>KU20-SL20BK</t>
  </si>
  <si>
    <t>Uganda</t>
  </si>
  <si>
    <t>EM MB2(SF-Ward &amp; Multi Spec)</t>
  </si>
  <si>
    <t>10µH Unshielded Winding Inductor 100mA 500m ohm 0805 (2012 metric system)</t>
  </si>
  <si>
    <t>399-9588-1-ND</t>
  </si>
  <si>
    <t>L0805R100KPWST</t>
  </si>
  <si>
    <t>https://www.digikey.jp/product-detail/ja/kemet/L0805R100KPWST/399-9588-1-ND/3674050</t>
  </si>
  <si>
    <t>CMOS Amplifier 2 Circuit Rail-to-Rail 8-SOIC</t>
  </si>
  <si>
    <t>microchip Technology</t>
  </si>
  <si>
    <t>579-MCP602T-I/SN</t>
  </si>
  <si>
    <t>https://www.mouser.jp/ProductDetail/Microchip-Technology/MCP602T-I-SN/?qs=TQnwojwsYvjO8LpVbD0MHw==</t>
  </si>
  <si>
    <t>Connector header surface mount 12 poles 0.031 inch (0.80 mm)</t>
  </si>
  <si>
    <t>Adam tech</t>
  </si>
  <si>
    <t>2057-SPH2-12-U-SMT-ND</t>
  </si>
  <si>
    <t>SPH2-12-U-SMT</t>
  </si>
  <si>
    <t>https://www.digikey.jp/products/ja?keywords=SPH2-12-U-SMT</t>
  </si>
  <si>
    <t>Surface Mount
  SMT3</t>
  </si>
  <si>
    <t>Buffer, non-inverted 1 element 1 bit (per element) 3 state Output 5-TSSOP</t>
  </si>
  <si>
    <t>RS components</t>
  </si>
  <si>
    <t>152-6490</t>
  </si>
  <si>
    <t>74LVC1G125GW-Q100</t>
  </si>
  <si>
    <t>Surface Mount
  SMT4</t>
  </si>
  <si>
    <t>https://jp.rs-online.com/web/p/line-interface-ics/1526490/</t>
  </si>
  <si>
    <t>QANTEK Crystal Oscillator, 20MHz, Surface Mount, 2-pin, HC-49 / US SMD</t>
  </si>
  <si>
    <t>814-9541</t>
  </si>
  <si>
    <t>QCS20.0000F18B23R</t>
  </si>
  <si>
    <t>Surface Mount
  SMT5</t>
  </si>
  <si>
    <t>https://jp.rs-online.com/web/p/crystal-units/8149541/</t>
  </si>
  <si>
    <t>Fox Electronics Crystal Oscillator, 8MHz, Surface Mount, 2-pin, SMD</t>
  </si>
  <si>
    <t>Surface Mount
  SMT6</t>
  </si>
  <si>
    <t>20K 0.25W, 1/4W J Potentiometer Cermet 1 Turn Top Adjustment</t>
  </si>
  <si>
    <t>490-2650-1-ND</t>
  </si>
  <si>
    <t>PVG3A203C01R00</t>
  </si>
  <si>
    <t>https://www.digikey.jp/product-detail/en/bourns-inc/PVG3A203C01R00/490-2650-1-ND/666226</t>
  </si>
  <si>
    <t>1uF Capacitor</t>
  </si>
  <si>
    <t>1µF ± 20% 6.3V Ceramic Capacitor X5R 0201 (0603 metric system)</t>
  </si>
  <si>
    <t>murata electronics</t>
  </si>
  <si>
    <t>https://www.digikey.jp/product-detail/ja/yageo/CC0201MRX5R5BB105/311-1613-1-ND/5195515</t>
  </si>
  <si>
    <t>18pF Capacitor</t>
  </si>
  <si>
    <t>https://www.digikey.jp/product-detail/ja/yageo/CC0805JRNPO0BN180/311-4219-1-ND/8025308</t>
  </si>
  <si>
    <t>10µF ± 20% 6.3V Ceramic Capacitor X7S 0603 (1608 metric system)</t>
  </si>
  <si>
    <t>https://www.digikey.jp/product-detail/ja/tdk-corporation/C1608X7S0J106M080AC/445-9104-1-ND/3661624</t>
  </si>
  <si>
    <t>Chip LED</t>
  </si>
  <si>
    <t>Surface Mount
  0603/1608</t>
  </si>
  <si>
    <t>Magnetometor</t>
  </si>
  <si>
    <t>福留詳麻</t>
  </si>
  <si>
    <t>基板取付型ホール効果/磁気センサー AMR Magnetic Sensor 3 Axis</t>
  </si>
  <si>
    <t>MEMSIC</t>
  </si>
  <si>
    <t>438-MMC5883MA</t>
  </si>
  <si>
    <t>LGA-16 SMD/SMT</t>
  </si>
  <si>
    <t>BIRDS-5/ADCS</t>
  </si>
  <si>
    <t>https://www.mouser.jp/ProductDetail/MEMSIC/MMC5883MA?qs=iuLH8FrUFAsG35KkrO6uSA==</t>
  </si>
  <si>
    <t>BIRDS4 QSL Card</t>
  </si>
  <si>
    <t>はがき100枚×3か国</t>
  </si>
  <si>
    <t>https://raksul.com/</t>
  </si>
  <si>
    <t>BO219</t>
  </si>
  <si>
    <t>uganda</t>
  </si>
  <si>
    <t>550nm CWL, 10nm FWHM, 12.5mm Mounted Diameter</t>
  </si>
  <si>
    <t>680nm CWL, 10nm FWHM, 12.5mm Mounted Diameter</t>
  </si>
  <si>
    <t>399-3362-1-ND</t>
  </si>
  <si>
    <t>https://www.digikey.jp/product-detail/ja/vishay-dale/WSL0805R0250FEA18/WSLB-025CT-ND/713391</t>
  </si>
  <si>
    <t>A/Dコンバータ</t>
  </si>
  <si>
    <t>296-38533-1-ND</t>
  </si>
  <si>
    <t>https://www.digikey.jp/product-detail/ja/texas-instruments/ADS8353IPWR/296-38533-1-ND/5033929</t>
  </si>
  <si>
    <t>デジタルアイソレーター 7 Ch.,Isolator for SPI Interface</t>
  </si>
  <si>
    <t>584-ADUM3151ARSZ</t>
  </si>
  <si>
    <t>ADUM3151ARSZ</t>
  </si>
  <si>
    <t>https://www.mouser.jp/ProductDetail/Analog-Devices/ADUM3151ARSZ/?qs=hpwIUhX6lWxF%2FGelC1MM3Q==</t>
  </si>
  <si>
    <t>アイソレータ、 誤差アンプ IC シャント整流器、リニア電源、インバータ、UPS 16-SOIC-IC</t>
  </si>
  <si>
    <t>https://www.digikey.jp/product-detail/ja/analog-devices-inc/ADUM4190ARIZ/ADUM4190ARIZ-ND/3882156</t>
  </si>
  <si>
    <t>フォトMOSFET</t>
  </si>
  <si>
    <t>ソリッドステート SPST-NO（1フォームA） 4-SIP</t>
  </si>
  <si>
    <t>https://www.digikey.jp/product-detail/ja/panasonic-electric-works/AQZ104/255-3395-ND/646370</t>
  </si>
  <si>
    <t>D/Aコンバータ</t>
  </si>
  <si>
    <t>296-32089-1-ND</t>
  </si>
  <si>
    <t>DAC8563SDGST</t>
  </si>
  <si>
    <t>https://www.digikey.jp/product-detail/ja/texas-instruments/DAC8563SDGST/296-32089-1-ND/3505458</t>
  </si>
  <si>
    <t>オペレーショナル・アンプ：オプ・アンプ Dual Operational Amplifier</t>
  </si>
  <si>
    <t>595-LM358ADGKRG4</t>
  </si>
  <si>
    <t>LM358ADGKRG4</t>
  </si>
  <si>
    <t>https://www.mouser.jp/ProductDetail/Texas-Instruments/LM358ADGKRG4?qs=VBduBm9rCJREkxZGX3ccDQ%3D%3D</t>
  </si>
  <si>
    <t>汎用 アンプ 1 回路 レール ツー レール SOT-23-5</t>
  </si>
  <si>
    <t>296-29496-1-ND</t>
  </si>
  <si>
    <t>OPA170AIDBVT</t>
  </si>
  <si>
    <t>https://www.digikey.jp/product-detail/ja/texas-instruments/OPA170AIDBVT/296-29496-1-ND/2748511</t>
  </si>
  <si>
    <t>汎用 アンプ 2 回路 レール ツー レール 8-SOIC</t>
  </si>
  <si>
    <t>https://www.digikey.jp/product-detail/ja/texas-instruments/OPA2170AIDR/296-30291-1-ND/3072334</t>
  </si>
  <si>
    <t>MOSFET - アレイ 2 Nチャンネル（デュアル） 20V 840mA（Tc） 1.5W 面実装 SC-70-6</t>
  </si>
  <si>
    <t>ハンドヘルド/携帯デバイス PMIC 8-DFN（2x2</t>
  </si>
  <si>
    <t>LTC4361HDC-2#TRMPBFCT-ND</t>
  </si>
  <si>
    <t>LTC4361HDC-2#TRMPBF</t>
  </si>
  <si>
    <t>Monochrome Camera</t>
  </si>
  <si>
    <t>pc</t>
  </si>
  <si>
    <t>#67-779</t>
  </si>
  <si>
    <t>#67-773</t>
  </si>
  <si>
    <t>Raspberry Pi W H Case Kit</t>
  </si>
  <si>
    <t>Memory: 512MB RAM
USB 2.0 port: microB (OTG connection)
Low-level peripherals: 27 x GPIO, UART, I 2 C, SPI and two chip select, + 3.3 V, + 5 V, GND</t>
  </si>
  <si>
    <t>SKU: 3201</t>
  </si>
  <si>
    <t>https://www.switch-science.com/catalog/3201/</t>
  </si>
  <si>
    <t>Raspberry Pi W H Starter Kit</t>
  </si>
  <si>
    <t>SKU: 3561</t>
  </si>
  <si>
    <t>https://www.switch-science.com/catalog/3561/</t>
  </si>
  <si>
    <t>Industrial Micro SD card</t>
  </si>
  <si>
    <t>Coaxial Connector</t>
  </si>
  <si>
    <t>Temperture Sensor</t>
  </si>
  <si>
    <t>Colab Pro</t>
  </si>
  <si>
    <t>Deep learning training</t>
  </si>
  <si>
    <t>Google</t>
  </si>
  <si>
    <t>https://colab.research.google.com/signup</t>
  </si>
  <si>
    <t>recurring billing per month</t>
  </si>
  <si>
    <t>PIC PIC® XLP™ 18J マイクロコントローラ IC 8ビット 64MHz 128KB（64K x 16） フラッシュ 64-QFN（9x9）</t>
  </si>
  <si>
    <t>ADRF6650-EVALZ</t>
  </si>
  <si>
    <t>文科省</t>
  </si>
  <si>
    <t>RF Development Tools ADRF6650 Eval Board</t>
  </si>
  <si>
    <t>Analog Device</t>
  </si>
  <si>
    <t>584-ADRF6650-EVALZ</t>
  </si>
  <si>
    <t>4F Control room</t>
  </si>
  <si>
    <t>https://www.mouser.jp/ProductDetail/Analog-Devices/ADRF6650-EVALZ?qs=wnTfsH77Xs4Cn7OIzo4Oow%3D%3D</t>
  </si>
  <si>
    <t>50 極 レセプタクル コネクタ 0.079インチ（2.00mm） スルーホール 金</t>
  </si>
  <si>
    <t xml:space="preserve">JMK212BJ226MG-T
</t>
  </si>
  <si>
    <t xml:space="preserve">LMK212B7475KG-T
</t>
  </si>
  <si>
    <t>バッファ、非反転 2 素子 1 ビット（素子あたり） プッシュプル Output SOT-23-6</t>
  </si>
  <si>
    <t>PMIC - 電圧レギュレータ - リニア ポジティブ 固定 1 出力  1A SOT-223</t>
  </si>
  <si>
    <t>600 Ohms @ 100MHz 1  フェライトビーズおよびチップ 0603（1608メートル法） 500mA 380ミリオーム</t>
  </si>
  <si>
    <t>GRT188C81A106ME13D</t>
  </si>
  <si>
    <t>10µF ±20% 10V セラミックコンデンサ X6S 0603（1608メートル法）</t>
  </si>
  <si>
    <t>490-12283-1-ND</t>
  </si>
  <si>
    <t>https://www.digikey.jp/product-detail/ja/murata-electronics/GRT188C81A106ME13D/490-12283-1-ND/5416984</t>
  </si>
  <si>
    <t>TXC 水晶振動子, 16MHz, 表面実装, 2-pin, SMD</t>
  </si>
  <si>
    <t>753-7067</t>
  </si>
  <si>
    <t xml:space="preserve">7A-16.000MAHE-T
</t>
  </si>
  <si>
    <t>https://jp.rs-online.com/web/p/crystal-units/7537067/</t>
  </si>
  <si>
    <t>Active USB hub</t>
  </si>
  <si>
    <t>Elecom USB 3.0 hub with 7 ports</t>
  </si>
  <si>
    <t>U3H-T706SBK</t>
  </si>
  <si>
    <t>small &amp; PeTT vacuum chambers</t>
  </si>
  <si>
    <t>https://www.amazon.co.jp/-/en/gp/product/B00FZTNX8W/ref=ox_sc_act_title_1?smid=AN1VRQENFRJN5&amp;psc=1</t>
  </si>
  <si>
    <t>3-pin outlet power tap</t>
  </si>
  <si>
    <t>Elecom 3-pin outlet power tap; 3 m long</t>
  </si>
  <si>
    <t>T-Y053NDA</t>
  </si>
  <si>
    <t>https://www.amazon.co.jp/-/en/gp/product/B000G1T6FS/ref=ox_sc_act_title_2?smid=AN1VRQENFRJN5&amp;psc=1</t>
  </si>
  <si>
    <t>Micro-D connector with cable (M83513/04-B03N)</t>
  </si>
  <si>
    <t>Victor Schulz</t>
  </si>
  <si>
    <t>D-Sub Cable Assembly D-Type, Micro-D Multiple, Individual 1.50' (457.20mm) Receptacle, Female Sockets to Individual Wire Leads</t>
  </si>
  <si>
    <t>116-M83513/04-B03N-ND</t>
  </si>
  <si>
    <t>M83513/04-B03N</t>
  </si>
  <si>
    <t>Bag</t>
  </si>
  <si>
    <t>Communication</t>
  </si>
  <si>
    <t>SVBL 3F Staff Room</t>
  </si>
  <si>
    <t>https://www.digikey.jp/product-detail/en/cinch-connectivity-solutions/M83513-04-B03N/116-M83513-04-B03N-ND/12471315</t>
  </si>
  <si>
    <t>ADCS-Dummy</t>
  </si>
  <si>
    <t>Size[XYZ]: 95x90x22mm; Aluminum</t>
  </si>
  <si>
    <t>A6061FMM-95-90-22</t>
  </si>
  <si>
    <t>Link</t>
  </si>
  <si>
    <t>Battery-Top&amp;Bottom_Plate</t>
  </si>
  <si>
    <t>Size[XYZ]: 89x75x4mm; Aluminum</t>
  </si>
  <si>
    <t>PAAL-89-75-5</t>
  </si>
  <si>
    <t>Battery-Middle_block</t>
  </si>
  <si>
    <t>Size[XYZ]: 70x75x36mm; Aluminum</t>
  </si>
  <si>
    <t>A6061FMM-75-70-36</t>
  </si>
  <si>
    <t>Ka-Top&amp;Bot_plate</t>
  </si>
  <si>
    <t>Size[XYZ]: 91x80x6mm; Aluminum</t>
  </si>
  <si>
    <t>A6061FMM-91-80-6</t>
  </si>
  <si>
    <t>Ka-Front&amp;back_plate</t>
  </si>
  <si>
    <t>Size[XYZ]: 75x67x12mm; Aluminum</t>
  </si>
  <si>
    <t>A6061FMM-75-67-12</t>
  </si>
  <si>
    <t>Ka-Lef&amp;Rig_plate</t>
  </si>
  <si>
    <t>Size[XYZ]: 80x75x12mm; Aluminum</t>
  </si>
  <si>
    <t>A6061FMM-80-75-12</t>
  </si>
  <si>
    <t>S-Top&amp;Bottom_block</t>
  </si>
  <si>
    <t>Size[XYZ]: 80x80x15mm; Aluminum</t>
  </si>
  <si>
    <t>A6061FMM-80-80-15</t>
  </si>
  <si>
    <t>PCB-panel</t>
  </si>
  <si>
    <t>Size[XYZ]: 90x86x1.6mm; Aluminum</t>
  </si>
  <si>
    <t>PAAL-90-86-1.5</t>
  </si>
  <si>
    <t>UH-Middle_block</t>
  </si>
  <si>
    <t>Size[XYZ]: 36x20x10mm; Steel</t>
  </si>
  <si>
    <t>S50C-CUT-36-20-10</t>
  </si>
  <si>
    <t>Hot Air Gun Hot Air Welder</t>
  </si>
  <si>
    <t>TXINLEI 858D SMD Hot Air Gun Hot Air Welder</t>
  </si>
  <si>
    <t>TXINLEI</t>
  </si>
  <si>
    <t>B088WYMSKH</t>
  </si>
  <si>
    <t>TXINLEI 858D</t>
  </si>
  <si>
    <t>https://www.amazon.co.jp/-/en/TXINLEI-Reworkstation-Soldering-Station-Nozzles/dp/B088WYMSKH/ref=psdc_2459364051_t3_B0759CB9QH#HLCXComparisonWidget_feature_div</t>
  </si>
  <si>
    <t>Special Cream Solder (Lead Free)</t>
  </si>
  <si>
    <t>Sunhayato SMX-B05 Special Cream Solder (Lead Free)</t>
  </si>
  <si>
    <t>B0748B2H51</t>
  </si>
  <si>
    <t>SMX-B05</t>
  </si>
  <si>
    <t>https://www.amazon.co.jp/-/en/sanhayato-Resistance-Replacement-Nozzle-SMX-%E2%80%93-HN5/dp/B011IJR92I/ref=sr_1_1?dchild=1&amp;keywords=%E3%82%B5%E3%83%B3%E3%83%8F%E3%83%A4%E3%83%88%E3%82%AF%E3%83%AA%E3%83%BC%E3%83%A0&amp;qid=1617877755&amp;sr=8-1#descriptionAndDetails</t>
  </si>
  <si>
    <t>Cream Resistance Replacement Nozzle</t>
  </si>
  <si>
    <t>Cream Resistance Replacement Nozzle SMX – HN5</t>
  </si>
  <si>
    <t>B011IJR92I</t>
  </si>
  <si>
    <t>SMX – HN5</t>
  </si>
  <si>
    <t>https://www.amazon.co.jp/-/en/Sunhayato-SMX-B05-Special-Cream-Solder/dp/B0748B2H51/ref=sr_1_2?dchild=1&amp;keywords=%E3%82%B5%E3%83%B3%E3%83%8F%E3%83%A4%E3%83%88%E3%82%AF%E3%83%AA%E3%83%BC%E3%83%A0&amp;qid=1617877755&amp;sr=8-2</t>
  </si>
  <si>
    <t>BIRDS3 QSL Card for Sri Lanka</t>
  </si>
  <si>
    <t>100 pieces QSL card for Sri Lanka</t>
  </si>
  <si>
    <t>Outreach</t>
  </si>
  <si>
    <t>SDP-S Controller Board</t>
  </si>
  <si>
    <t>BOARD EVAL SDP-S</t>
  </si>
  <si>
    <t>EVAL-SDP-CS1Z-ND</t>
  </si>
  <si>
    <t>EVAL-SDP-CS1Z</t>
  </si>
  <si>
    <t>https://www.digikey.jp/product-detail/ja/analog-devices-inc/EVAL-SDP-CS1Z/EVAL-SDP-CS1Z-ND/2773677?utm_adgroup=Development%20Boards%20and%20Kits&amp;utm_source=google&amp;utm_medium=cpc&amp;utm_campaign=Shopping_Supplier_Analog%20Devices_8100_Co-Op&amp;utm_term=&amp;productid=2773677&amp;gclid=Cj0KCQjw38-DBhDpARIsADJ3kjlx4hBsIU5eVwW1H1Fy07B_YEgpmNAljsvuB5lmYucicatrxnuHDJAaAt1kEALw_wcB</t>
  </si>
  <si>
    <t>Arrow Antenna</t>
  </si>
  <si>
    <t>JSPS(2020)</t>
  </si>
  <si>
    <t>ARROW ANTENNA 146/437-10BP</t>
  </si>
  <si>
    <t>Arrow Antennas</t>
  </si>
  <si>
    <t>Ham Radio Outlet</t>
  </si>
  <si>
    <t>146/437-10BP</t>
  </si>
  <si>
    <t>APRS/SF-WARD</t>
  </si>
  <si>
    <t>https://www.hamradio.com/detail.cfm?pid=H0-010582</t>
  </si>
  <si>
    <t>アルコールタオル</t>
  </si>
  <si>
    <t>400枚入り</t>
  </si>
  <si>
    <t>エリエール</t>
  </si>
  <si>
    <t>宇宙工学実験</t>
  </si>
  <si>
    <t>https://www.askul.co.jp/p/015068/</t>
  </si>
  <si>
    <t>EPS- Battery</t>
  </si>
  <si>
    <t xml:space="preserve">12 pin header </t>
  </si>
  <si>
    <t>Texus Instruments</t>
  </si>
  <si>
    <t xml:space="preserve">Mouser </t>
  </si>
  <si>
    <t>863-NRVB120VLSFT1G</t>
  </si>
  <si>
    <t>SOD-123-2</t>
  </si>
  <si>
    <t>https://www.mouser.jp/ProductDetail/ON-Semiconductor/NRVB120VLSFT1G?qs=tCMd4XlZ%2FiDc2vkUzw3hig==&amp;gclid=Cj0KCQjwse-DBhC7ARIsAI8YcWJhfRYPbcSJpxhRYJG2zS4ncjg8_RsFjP0Azcn8uQkhbDnKn6U0KhgaAmRuEALw_wcB</t>
  </si>
  <si>
    <t>PEEK material</t>
  </si>
  <si>
    <t>16×1000 TECAPEEK Round Bar</t>
  </si>
  <si>
    <t>https://www.monotaro.com/p/1719/1938/</t>
  </si>
  <si>
    <t>80 × 40 mm 厚さ 0.25mm</t>
  </si>
  <si>
    <t>Post stamp for sending QSL cards</t>
  </si>
  <si>
    <t>70円切手</t>
  </si>
  <si>
    <t>https://www.shop.post.japanpost.jp/shop/g/gKT79856</t>
  </si>
  <si>
    <t>Fatima/Pooja</t>
  </si>
  <si>
    <t>LoRa receiver</t>
  </si>
  <si>
    <t>Male Header 6 POS</t>
  </si>
  <si>
    <t>609-3234-ND</t>
  </si>
  <si>
    <t>67997-206HLF</t>
  </si>
  <si>
    <t>https://www.digikey.jp/product-detail/en/amphenol-icc-fci/67997-206HLF/609-3234-ND/1878491</t>
  </si>
  <si>
    <t>Atmeha32u4</t>
  </si>
  <si>
    <t>https://www.digikey.jp/product-detail/en/microchip-technology/ATMEGA32U4RC-AU/ATMEGA32U4RC-AU-ND/2507982?cur=JPY&amp;lang=en</t>
  </si>
  <si>
    <t>https://www.digikey.jp/product-detail/en/analog-devices-inc/LTC4361CTS8-1-TRMPBF/LTC4361CTS8-1-TRMPBFCT-ND/2297163</t>
  </si>
  <si>
    <t>535-9103-1-ND</t>
  </si>
  <si>
    <t>ABM3-16.000MHZ-B2-T</t>
  </si>
  <si>
    <t>https://www.digikey.jp/product-detail/en/abracon-llc/ABM3-16-000MHZ-B2-T/535-9103-1-ND/675620</t>
  </si>
  <si>
    <t>USB Connector</t>
  </si>
  <si>
    <t>USB - mini B USB 2.0 Receptacle Connector 5 Position Surface Mount, Right Angle</t>
  </si>
  <si>
    <t>EDAC Inc.</t>
  </si>
  <si>
    <t>151-1206-1-ND</t>
  </si>
  <si>
    <t>690-005-299-043</t>
  </si>
  <si>
    <t>https://www.digikey.jp/product-detail/en/edac-inc/690-005-299-043/151-1206-1-ND/4312192</t>
  </si>
  <si>
    <t>LoRa Module</t>
  </si>
  <si>
    <t>Linear Regulator</t>
  </si>
  <si>
    <t>Linear Voltage Regulator IC Positive Fixed 1 Output 500mA 5-SSOP</t>
  </si>
  <si>
    <t>BU33SD5WG-TRCT-ND</t>
  </si>
  <si>
    <t>BU33SD5WG-TR</t>
  </si>
  <si>
    <t>https://www.digikey.jp/product-detail/en/rohm-semiconductor/BU33SD5WG-TR/BU33SD5WG-TRCT-ND/5720185</t>
  </si>
  <si>
    <t>SMA connecor 90 degree</t>
  </si>
  <si>
    <t>Male Header 50 POS</t>
  </si>
  <si>
    <t>Connector Header Through Hole 50 position 0.100" (2.54mm)</t>
  </si>
  <si>
    <t>SAM1035-50-ND</t>
  </si>
  <si>
    <t>TSW-150-07-T-S</t>
  </si>
  <si>
    <t>https://www.digikey.jp/product-detail/en/samtec-inc/TSW-150-07-T-S/SAM1035-50-ND/1101574</t>
  </si>
  <si>
    <t>LoRa Receiver Fabrication</t>
  </si>
  <si>
    <t>15 no of LoRa Receiver boards</t>
  </si>
  <si>
    <t>FTM-300D</t>
  </si>
  <si>
    <t>144/430MHz tranceiver</t>
  </si>
  <si>
    <t>YAESU</t>
  </si>
  <si>
    <t>CQ NET</t>
  </si>
  <si>
    <t>GS Japan</t>
  </si>
  <si>
    <t>https://www.cqnet.co.jp/musen2/72_7059.html</t>
  </si>
  <si>
    <t>データケーブルCT-163</t>
  </si>
  <si>
    <t>MDIN 10pin - MDIN 6pin &amp; Dsub 9pin</t>
  </si>
  <si>
    <t>CT-163</t>
  </si>
  <si>
    <t>https://www.cqnet.co.jp/musen2/1645_7055.html</t>
  </si>
  <si>
    <t>Capacitor 100uF 1210</t>
  </si>
  <si>
    <t xml:space="preserve">100uF, 1210 </t>
  </si>
  <si>
    <t xml:space="preserve">RS </t>
  </si>
  <si>
    <t>766-1166</t>
  </si>
  <si>
    <t>CL32A107MQVNNNE</t>
  </si>
  <si>
    <t>https://jp.rs-online.com/web/p/mlccs-multilayer-ceramic-capacitors/7661166/</t>
  </si>
  <si>
    <t>DCケーブル DCオス-ミノムシ【EM-DCCABLEP-CLIPS】</t>
  </si>
  <si>
    <t xml:space="preserve">        EM-DCCABLEP-CLIPS</t>
  </si>
  <si>
    <t>https://www.marutsu.co.jp/pc/i/594183/</t>
  </si>
  <si>
    <t>FTM-104-02-L-DV</t>
  </si>
  <si>
    <t>コネクタヘッダ 面実装 8 極 0.039インチ（1.00mm）</t>
  </si>
  <si>
    <t>FTM</t>
  </si>
  <si>
    <t>SAM15174-ND</t>
  </si>
  <si>
    <t>https://www.digikey.jp/product-detail/ja/samtec-inc/FTM-104-02-L-DV/SAM15174-ND/6692460</t>
  </si>
  <si>
    <t xml:space="preserve">FTM-102-02-L-DV
</t>
  </si>
  <si>
    <t>コネクタヘッダ 面実装 4 極 0.039インチ（1.00mm）</t>
  </si>
  <si>
    <t>SAM15173-ND</t>
  </si>
  <si>
    <t>FTM-102-02-L-DV</t>
  </si>
  <si>
    <t>https://www.digikey.jp/product-detail/ja/samtec-inc/FTM-102-02-L-DV/SAM15173-ND/7327831</t>
  </si>
  <si>
    <t>コネクタヘッダ 面実装 6 極 0.039インチ（1.00mm）</t>
  </si>
  <si>
    <t>https://www.digikey.jp/products/ja?keywords=SAM12591-ND</t>
  </si>
  <si>
    <t xml:space="preserve">FTM-105-02-F-DV
</t>
  </si>
  <si>
    <t>コネクタヘッダ 面実装 10 極 0.039インチ（1.00mm）</t>
  </si>
  <si>
    <t>SAM15621-ND</t>
  </si>
  <si>
    <t>FTM-105-02-F-DV</t>
  </si>
  <si>
    <t>https://www.digikey.jp/product-detail/ja/samtec-inc/FTM-105-02-F-DV/SAM15621-ND/6692276</t>
  </si>
  <si>
    <t>ＳＯＴ２３変換基板　裏面パターン付　金フラッシュ</t>
  </si>
  <si>
    <t>SOT-23をDIPに変換する基板</t>
  </si>
  <si>
    <t>P-12674</t>
  </si>
  <si>
    <t>https://akizukidenshi.com/catalog/g/gP-12674/</t>
  </si>
  <si>
    <t>ＭＳＯＰ（１０ピン　０．５ｍｍピッチ）－ＤＩＰ化変換基板　金フラッシュ　（５枚入）</t>
  </si>
  <si>
    <t>MSOPから2.54mmピッチのDIPに変換する基板</t>
  </si>
  <si>
    <t>https://akizukidenshi.com/catalog/g/gP-06863/</t>
  </si>
  <si>
    <t>ＳＯＰ１６ピンＤＩＰ変換基板</t>
  </si>
  <si>
    <t>表面実装SOP(1.27mmピッチ)16ピンICをDIP化する基板</t>
  </si>
  <si>
    <t>P-06541</t>
  </si>
  <si>
    <t>AE-SOP16</t>
  </si>
  <si>
    <t>https://akizukidenshi.com/catalog/g/gP-06541/</t>
  </si>
  <si>
    <t>ブレッドボードに最適な接続ワイヤ</t>
  </si>
  <si>
    <t>https://akizukidenshi.com/catalog/g/gC-05159/</t>
  </si>
  <si>
    <t xml:space="preserve"> three-axis digital output gyroscope</t>
  </si>
  <si>
    <t>Fukudome Shoma</t>
  </si>
  <si>
    <t>IC MEMS MOTION SENSOR 16-LGA</t>
  </si>
  <si>
    <t>JAK ELECTRONICS</t>
  </si>
  <si>
    <t>761-800-L3GD20TR</t>
  </si>
  <si>
    <t>￥503.7</t>
  </si>
  <si>
    <t>￥3526</t>
  </si>
  <si>
    <t>https://www.jakelectronics.com/productdetail/stmicroelectronics-l3gd20tr-3687563</t>
  </si>
  <si>
    <t>kamitani</t>
  </si>
  <si>
    <t>0805</t>
  </si>
  <si>
    <t>43pF ±5% 50V セラミックコンデンサ C0G、NP0 0603（1608メートル法）</t>
  </si>
  <si>
    <t>490-1418-1-ND</t>
  </si>
  <si>
    <t>GRM1885C1H430JA01D</t>
  </si>
  <si>
    <t>https://www.digikey.jp/product-detail/ja/murata-electronics/GRM1885C1H430JA01D/490-1418-1-ND/587617?utm_adgroup=Ceramic%20Capacitor&amp;utm_source=google&amp;utm_medium=cpc&amp;utm_campaign=Shopping_Product_Capacitors_NEW&amp;utm_term=&amp;productid=587617&amp;gclid=Cj0KCQjwsqmEBhDiARIsANV8H3Z7NzXgrmBF3ILrNrJ43WsFOzMsGFxwsPJ20CwvEVyLxOr9D3zrAgQaAgUGEALw_wcB</t>
  </si>
  <si>
    <t>786-3158</t>
  </si>
  <si>
    <t>https://jp.rs-online.com/web/p/isolation-amplifiers/7863158/</t>
  </si>
  <si>
    <t>296-18455-1-ND</t>
  </si>
  <si>
    <t>LM358ADGKR</t>
  </si>
  <si>
    <t>https://www.digikey.jp/product-detail/ja/texas-instruments/LM358ADGKR/296-18455-1-ND/809890</t>
  </si>
  <si>
    <t>PチャネルMOSFET</t>
  </si>
  <si>
    <t>812-3120</t>
  </si>
  <si>
    <t>SI2343CDS-T1-GE3</t>
  </si>
  <si>
    <t>https://jp.rs-online.com/web/p/mosfets/8123120/</t>
  </si>
  <si>
    <t>CONN RCPT 24POS 0.05 GOLD PCB</t>
  </si>
  <si>
    <t>952-1722-ND</t>
  </si>
  <si>
    <t>M50-3001245</t>
  </si>
  <si>
    <t>https://www.digikey.jp/product-detail/ja/harwin-inc/M50-3001245/952-1722-ND/2762090</t>
  </si>
  <si>
    <t>コネクタヘッダ 面実装 2 極 0.087インチ（2.20mm）</t>
  </si>
  <si>
    <t>H121972DKR-ND</t>
  </si>
  <si>
    <t>DF61-2P-2.2V(21)</t>
  </si>
  <si>
    <t>https://www.digikey.jp/product-detail/ja/hirose-electric-co-ltd/DF61-2P-2-2V-21/H121972DKR-ND/4040844</t>
  </si>
  <si>
    <t>2 長方形コネクタ - ハウジング ソケット 赤 0.087インチ（2.20mm）</t>
  </si>
  <si>
    <t>H121977-ND</t>
  </si>
  <si>
    <t>DF61-2S-2.2C(11)</t>
  </si>
  <si>
    <t>https://www.digikey.jp/product-detail/ja/hirose-electric-co-ltd/DF61-2S-2-2C-11/H121977-ND/4040854</t>
  </si>
  <si>
    <t>圧着金具</t>
  </si>
  <si>
    <t>H121973CT-ND</t>
  </si>
  <si>
    <t>DF61-2628SCF</t>
  </si>
  <si>
    <t>https://www.digikey.jp/product-detail/ja/hirose-electric-co-ltd/DF61-2628SCF/H121973CT-ND/4040850</t>
  </si>
  <si>
    <t>コード</t>
  </si>
  <si>
    <t>ジグ・工具製品ジュンフロンETFE電線</t>
  </si>
  <si>
    <t>monotarou</t>
  </si>
  <si>
    <t>AWG28-100m:白</t>
  </si>
  <si>
    <t>https://www.monotaro.com/p/8922/9856/?utm_id=g_pla&amp;utm_medium=cpc&amp;utm_source=Adwords&amp;utm_campaign=246-833-4061_6466659573&amp;utm_content=77481174476&amp;utm_term=_380604181365__aud-299700299220:pla-799401265600&amp;gclid=Cj0KCQjwsqmEBhDiARIsANV8H3aevSRt5QJCsvrOnAc-qf73u39wrx-vYz0CEAGAGWugI8evLRrstN4aAqsTEALw_wcB</t>
  </si>
  <si>
    <t>温度センサ</t>
  </si>
  <si>
    <t>SENSOR ANALOG -40C-125C 8SOIC</t>
  </si>
  <si>
    <t>TMP36FSZ-ND</t>
  </si>
  <si>
    <t>https://www.digikey.jp/product-detail/ja/analog-devices-inc/TMP36FSZ/TMP36FSZ-ND/936747</t>
  </si>
  <si>
    <t>フォトモス</t>
  </si>
  <si>
    <t>SSR RELAY SPST-NO 4A 0-60V</t>
  </si>
  <si>
    <t>Thermocouple cable_type K</t>
  </si>
  <si>
    <t>PTFE insulated; -75-+260 deg. C;single strand;dia_0.315 mm</t>
  </si>
  <si>
    <t>827-6038</t>
  </si>
  <si>
    <t>cable reel</t>
  </si>
  <si>
    <t>https://jp.rs-online.com/web/p/thermocouple-extension-wire/8276038/</t>
  </si>
  <si>
    <t>Thermocouple connector_type K</t>
  </si>
  <si>
    <t>Male connector</t>
  </si>
  <si>
    <t>https://jp.rs-online.com/web/p/sensor-accessories/4559764/</t>
  </si>
  <si>
    <t>Kim wipe</t>
  </si>
  <si>
    <t>Paper tissue</t>
  </si>
  <si>
    <t>3-6137-0</t>
  </si>
  <si>
    <t>S-200</t>
  </si>
  <si>
    <t>https://www.monotaro.com/p/1998/2848/?t.q=%83L%83%80%83%8F%83C%83v%20s-200</t>
  </si>
  <si>
    <t>VHF Transciever</t>
  </si>
  <si>
    <t>BiM1H 145.825MHz VHF Transciever</t>
  </si>
  <si>
    <t>SF-ward/APRS</t>
  </si>
  <si>
    <t>APRS MCU Tiny Trak Chip</t>
  </si>
  <si>
    <t>Atmega644P-20U</t>
  </si>
  <si>
    <t>ATMEGA644P-20U</t>
  </si>
  <si>
    <t>http://byonics.com/cart</t>
  </si>
  <si>
    <t>Bord Screw</t>
  </si>
  <si>
    <t>M3x16; Low head</t>
  </si>
  <si>
    <t>Monotoro</t>
  </si>
  <si>
    <t>B089-0316</t>
  </si>
  <si>
    <t>S-band Bolt</t>
  </si>
  <si>
    <t>Hex Bolt; M3-28</t>
  </si>
  <si>
    <t>M3×30</t>
  </si>
  <si>
    <t>Nuts for M3 bolts</t>
  </si>
  <si>
    <t>M3 Nut</t>
  </si>
  <si>
    <t>ADCS long screw&amp;Nut</t>
  </si>
  <si>
    <t>Small Diameter Hex Posts: M2.6-M3</t>
  </si>
  <si>
    <t>NLSBG5-8-M3-N2.6</t>
  </si>
  <si>
    <t>Desktop PC</t>
  </si>
  <si>
    <t>i5 RAM8GB 4TB HDD</t>
  </si>
  <si>
    <t>4TB HDD</t>
  </si>
  <si>
    <t>SATA 4TB 5400rpm</t>
  </si>
  <si>
    <t>Seagate</t>
  </si>
  <si>
    <t>ST4000DM004</t>
  </si>
  <si>
    <t>SATA cable</t>
  </si>
  <si>
    <t>30cm　片側Lコネクタ</t>
  </si>
  <si>
    <t>Ainex</t>
  </si>
  <si>
    <t>SAT -3103LBL</t>
  </si>
  <si>
    <t>TNC (KPC-9612 XE USB)</t>
  </si>
  <si>
    <t>GMSK 4800bps .etc</t>
  </si>
  <si>
    <t>KANTRONICS</t>
  </si>
  <si>
    <t>KPC-9612 XE USB</t>
  </si>
  <si>
    <t>BIRDS-4/5</t>
  </si>
  <si>
    <t>https://www.hamradio.com/detail.cfm?pid=H0-017155</t>
  </si>
  <si>
    <t>MD-60</t>
  </si>
  <si>
    <t>Mini DIN 6</t>
  </si>
  <si>
    <t>CP-2060-ND</t>
  </si>
  <si>
    <t>https://www.digikey.jp/product-detail/en/cui-inc/MD-60/CP-2060-ND/96916</t>
  </si>
  <si>
    <t>24AWG Shielded 6 wires cable</t>
  </si>
  <si>
    <t>6 Conductor Multi-Conductor Cable Black 24 AWG Foil, Braid 3.28' (1.00m)</t>
  </si>
  <si>
    <t>T1395-1-ND</t>
  </si>
  <si>
    <t>30-01055</t>
  </si>
  <si>
    <t>https://www.digikey.jp/product-detail/en/tensility-international-corp/30-01055/T1395-1-ND/9607987</t>
  </si>
  <si>
    <t>12V AC adapter</t>
  </si>
  <si>
    <t>12V 24W</t>
  </si>
  <si>
    <t>Kaga Electronics USA</t>
  </si>
  <si>
    <t>62-1249-ND</t>
  </si>
  <si>
    <t>KTPS24-12020MP-VI-P1</t>
  </si>
  <si>
    <t>https://www.digikey.jp/product-detail/en/kaga-electronics-usa/KTPS24-12020MP-VI-P1/62-1249-ND/5820214</t>
  </si>
  <si>
    <t>12V AC adapter for Japan</t>
  </si>
  <si>
    <t>12V 6W</t>
  </si>
  <si>
    <t>Tri-Mag, LLC</t>
  </si>
  <si>
    <t>364-1254-ND</t>
  </si>
  <si>
    <t>L6R06H-120</t>
  </si>
  <si>
    <t>https://www.digikey.jp/product-detail/ja/tri-mag-llc/L6R06H-120/364-1254-ND/7682617</t>
  </si>
  <si>
    <t>D-sub15pin</t>
  </si>
  <si>
    <t>15 Position D-Sub Plug, Male Pins Connector</t>
  </si>
  <si>
    <t>215ME-ND</t>
  </si>
  <si>
    <t>171-015-103L001</t>
  </si>
  <si>
    <t>https://www.digikey.jp/product-detail/en/norcomp-inc/171-015-103L001/215ME-ND/858117</t>
  </si>
  <si>
    <t>D-sub 15pn housing</t>
  </si>
  <si>
    <t>15 Position Two Piece Backshell Connector Gray 180° Unshielded</t>
  </si>
  <si>
    <t>915GPE-ND</t>
  </si>
  <si>
    <t>977-015-010R031</t>
  </si>
  <si>
    <t>https://www.digikey.jp/product-detail/en/norcomp-inc/977-015-010R031/915GPE-ND/858499</t>
  </si>
  <si>
    <t>D-sub 9pin</t>
  </si>
  <si>
    <t>9 Position D-Sub Plug, Male Pins Connector</t>
  </si>
  <si>
    <t>AE10972-ND</t>
  </si>
  <si>
    <t>A-DS 09 LL/Z</t>
  </si>
  <si>
    <t>https://www.digikey.jp/product-detail/en/assmann-wsw-components/A-DS-09-LL-Z/AE10972-ND/1241781</t>
  </si>
  <si>
    <t>D-sub 9pin housing</t>
  </si>
  <si>
    <t>9 Position Two Piece Backshell Connector  180° Unshielded</t>
  </si>
  <si>
    <t>367-1139-ND</t>
  </si>
  <si>
    <t>40-9709H</t>
  </si>
  <si>
    <t>https://www.digikey.jp/product-detail/en/cinch-connectivity-solutions-aim-cambridge/40-9709H/367-1139-ND/3830261</t>
  </si>
  <si>
    <t>MIC connector</t>
  </si>
  <si>
    <t>8ピン MICプラグ</t>
  </si>
  <si>
    <t>APEX</t>
  </si>
  <si>
    <t>PLT-168-P-R</t>
  </si>
  <si>
    <t>https://www.marutsu.co.jp/pc/i/225456/</t>
  </si>
  <si>
    <t>2U-Structure</t>
  </si>
  <si>
    <t>https://jp.misumi-ec.com/vona2/detail/110302280540/?ProductCode=CBSTSR2-3</t>
  </si>
  <si>
    <t>https://jp.misumi-ec.com/vona2/detail/110302280540/?ProductCode=CBSTSR2-6</t>
  </si>
  <si>
    <t>https://www.monotaro.com/g/01213256/?monotaroNo=11169192</t>
  </si>
  <si>
    <t>5.5 mm thick color milky</t>
  </si>
  <si>
    <t>C-305.5-5</t>
  </si>
  <si>
    <t>https://jp.misumi-ec.com/vona2/detail/221006204478/?ProductCode=C-305.5-5</t>
  </si>
  <si>
    <t>https://jp.misumi-ec.com/vona2/detail/221006204478/?ProductCode=C-306.5-5</t>
  </si>
  <si>
    <t>19 mm thick color milky</t>
  </si>
  <si>
    <t>C-319-5</t>
  </si>
  <si>
    <t>https://jp.misumi-ec.com/vona2/detail/221006204478/?ProductCode=C-319-5</t>
  </si>
  <si>
    <t>rod M3 Length 96</t>
  </si>
  <si>
    <t>https://jp.misumi-ec.com/vona2/detail/110302679630/?ProductCode=FABS3-96</t>
  </si>
  <si>
    <t>nut M2</t>
  </si>
  <si>
    <t>nut M1.6</t>
  </si>
  <si>
    <t>screw M2 length8</t>
  </si>
  <si>
    <t>SLHS-M2-8(SLHS-M2x8)</t>
  </si>
  <si>
    <t>screw M2 length10</t>
  </si>
  <si>
    <t>SLHS-M2-10(SLHS-M2x10)</t>
  </si>
  <si>
    <t>screw M2 length3</t>
  </si>
  <si>
    <t>SNSS-M2-3-SD</t>
  </si>
  <si>
    <t>screw M2 length4</t>
  </si>
  <si>
    <t>https://jp.misumi-ec.com/vona2/detail/221000348314/?ProductCode=SNSS-M2X4</t>
  </si>
  <si>
    <t>https://jp.misumi-ec.com/vona2/detail/221006493827/?ProductCode=SNSS-M2-4-SD-VA</t>
  </si>
  <si>
    <t>screw M1.6 length6</t>
  </si>
  <si>
    <t>https://jp.misumi-ec.com/vona2/detail/221000348314/?ProductCode=SNSS-M1.6X6</t>
  </si>
  <si>
    <t>screw M1.6 length5</t>
  </si>
  <si>
    <t>screw M2 length5</t>
  </si>
  <si>
    <t>https://jp.misumi-ec.com/vona2/detail/221000348314/?ProductCode=SNSS-M2X5</t>
  </si>
  <si>
    <t>screw M2 length6</t>
  </si>
  <si>
    <t>https://jp.misumi-ec.com/vona2/detail/221006493827/?ProductCode=SNSS-M2-6-SD</t>
  </si>
  <si>
    <t>SSHS-M2-4</t>
  </si>
  <si>
    <t>SSHS-M2-5</t>
  </si>
  <si>
    <t>Flat wire terminal_female type</t>
  </si>
  <si>
    <t>voltage rating_12-24 VDC; power_200-400 W; cable size_0.5-2 sq</t>
  </si>
  <si>
    <t>Amon</t>
  </si>
  <si>
    <t>pack</t>
  </si>
  <si>
    <t>30 pieces</t>
  </si>
  <si>
    <t>&lt;20 pieces</t>
  </si>
  <si>
    <t>50 pieces</t>
  </si>
  <si>
    <t>https://www.monotaro.com/p/0993/9614/</t>
  </si>
  <si>
    <t>Flat wire terminal_male type</t>
  </si>
  <si>
    <t>&lt;10 pieces</t>
  </si>
  <si>
    <t>40 pieces</t>
  </si>
  <si>
    <t>https://www.monotaro.com/p/0993/9605/</t>
  </si>
  <si>
    <t>Solderless terminals</t>
  </si>
  <si>
    <t>bare crimp terminal; R2-3.5</t>
  </si>
  <si>
    <t>ニチフ</t>
  </si>
  <si>
    <t>R2-3.5</t>
  </si>
  <si>
    <t>&lt;40 pieces</t>
  </si>
  <si>
    <t>&gt;100 pieces</t>
  </si>
  <si>
    <t>https://www.monotaro.com/p/0250/0443/</t>
  </si>
  <si>
    <t>Stainless steel M3 hex nuts</t>
  </si>
  <si>
    <t>Stainless steel M3 hex nuts; pitch_0.5 mm</t>
  </si>
  <si>
    <t>20 pieces</t>
  </si>
  <si>
    <t>10 pieces</t>
  </si>
  <si>
    <t>https://www.monotaro.com/p/0552/8704/</t>
  </si>
  <si>
    <t>Nut M2</t>
  </si>
  <si>
    <t>https://www.nbk1560.com/products/specialscrew/nedzicom/miniaturescrew/SHNS/SHNS-M2</t>
  </si>
  <si>
    <t>Nut M3</t>
  </si>
  <si>
    <t>https://jp.misumi-ec.com/vona2/detail/110300250540/</t>
  </si>
  <si>
    <t>photoMOS</t>
  </si>
  <si>
    <t>https://www.digikey.jp/products/ja?keywords=255-1567-ND</t>
  </si>
  <si>
    <t>2mm pitch 1 row 12 pin</t>
  </si>
  <si>
    <t>https://jp.misumi-ec.com/vona2/detail/221006308653/?HissuCode=FSM-21045-12</t>
  </si>
  <si>
    <t>Screw M2 x 4</t>
  </si>
  <si>
    <t>https://www.nbk1560.com/products/specialscrew/nedzicom/lowsmallheadscrew/SNSS-SD/SNSS-M2-SD</t>
  </si>
  <si>
    <t>Screw M2 x 6</t>
  </si>
  <si>
    <t>Screw M2 x 8</t>
  </si>
  <si>
    <t>Screw M3 x 10</t>
  </si>
  <si>
    <t>https://jp.misumi-ec.com/vona2/detail/110302280540/</t>
  </si>
  <si>
    <t>https://www.digikey.jp/products/ja?keywords=J717-ND</t>
  </si>
  <si>
    <t>Temperture sensor</t>
  </si>
  <si>
    <t>-40 to 150 degree</t>
  </si>
  <si>
    <t>https://www.digikey.jp/product-detail/ja/analog-devices-inc/TMP36FSZ/TMP36FSZ-ND</t>
  </si>
  <si>
    <t>VFH balun</t>
  </si>
  <si>
    <t>1:1 ratio</t>
  </si>
  <si>
    <t>https://www.digikey.jp/products/ja?keywords=1465-1309-1-ND</t>
  </si>
  <si>
    <t>cancelled on Sep. 6</t>
  </si>
  <si>
    <t>IC MCU 32BIT 512KB FLASH 64LQFP</t>
  </si>
  <si>
    <t xml:space="preserve">	STMicroelectronics</t>
  </si>
  <si>
    <t>￥942.00</t>
  </si>
  <si>
    <t>￥6,594</t>
  </si>
  <si>
    <t>https://jp.rs-online.com/web/p/microcontrollers/1106621/?cm_mmc=JP-PPC-DS3A-_-google-_-3_JP_JP_%E5%8D%8A%E5%B0%8E%E4%BD%93_%E3%83%9E%E3%82%A4%E3%82%AF%E3%83%AD%E3%82%B3%E3%83%B3%E3%83%88%E3%83%AD%E3%83%BC%E3%83%A9_Exact-_-STMicroelectronics+-+1106621+-+STM32F446RET6-_-stm32f446ret6&amp;matchtype=e&amp;aud-828197004210:kwd-302941886796&amp;gclid=CjwKCAjwqIiFBhAHEiwANg9szpROjPQko574JAfwK6JlrbhIl96xg5nWvkdqQ5x8a1WhiJwmRW3VwxoCaWQQAvD_BwE&amp;gclsrc=aw.ds</t>
  </si>
  <si>
    <t>Spot Welding Machine</t>
  </si>
  <si>
    <t>Battery Tabs, 0.002 - 0.01 inch (0.05 - 0.25 mm), Nickel Welding, 2.8 kw Pulse Welder,
For Charging and Welding, Pressure Current Adjustable, 18650 Lithium Battery, 4 Lines, Foot Pedal Included, For Home DIY</t>
  </si>
  <si>
    <t>CGOLDENWALL</t>
  </si>
  <si>
    <t>Set</t>
  </si>
  <si>
    <t>LaSEINE</t>
  </si>
  <si>
    <t>https://www.amazon.co.jp/dp/B01HCKIFHU/ref=sspa_dk_detail_2?psc=1&amp;pd_rd_i=B01HCKIFHU&amp;pd_rd_w=gFsWw&amp;pf_rd_p=827fc23f-f65d-4f45-827e-1118401362c4&amp;pd_rd_wg=v9ENS&amp;pf_rd_r=EAKKF6N3C3RZR0ZNEC4H&amp;pd_rd_r=9df42740-6201-4959-a023-1eb70cb0cec6&amp;spLa=ZW5jcnlwdGVkUXVhbGlmaWVyPUFISTBUVTRXRk5FVkYmZW5jcnlwdGVkSWQ9QTAzNTMxMzdYTlBUODlUQzgzUUMmZW5jcnlwdGVkQWRJZD1BMTFDUUUzV1pISTRJSSZ3aWRnZXROYW1lPXNwX2RldGFpbCZhY3Rpb249Y2xpY2tSZWRpcmVjdCZkb05vdExvZ0NsaWNrPXRydWU=</t>
  </si>
  <si>
    <t>Bracket</t>
  </si>
  <si>
    <t>Battery Holder Brackets Model: 18650 Black Size: 4 x 2 cm
Inner Diameter: 0.7 inches (1.8 cm).</t>
  </si>
  <si>
    <t>Uxcell</t>
  </si>
  <si>
    <t>A15042200ux0193</t>
  </si>
  <si>
    <t>1 pack 50 pcs</t>
  </si>
  <si>
    <t>56 pcs</t>
  </si>
  <si>
    <t>https://www.amazon.co.jp/-/en/uxcell-Double-Bracket-Lithium-Battery/dp/B011HFLFEG/ref=sr_1_40?dchild=1&amp;keywords=battery+holder+for+li+ion+18650+cyclinder&amp;qid=1621240167&amp;sr=8-40</t>
  </si>
  <si>
    <t>Nickel Strip Nickel Plate</t>
  </si>
  <si>
    <t xml:space="preserve">0.15X8mm Nickel Plate Strap Strip Sheet High Purity Metal Plate </t>
  </si>
  <si>
    <t>Leloo</t>
  </si>
  <si>
    <t>1 pack 60 pcs</t>
  </si>
  <si>
    <t>60 pcs</t>
  </si>
  <si>
    <t>https://www.amazon.co.jp/-/en/Lcuihong-Metal-Battery-Machine-Welding-Specifications/dp/B08T8XJRWQ/ref=sr_1_10?dchild=1&amp;keywords=nickel%2Bmetal%2Bstrip%2Bfor%2Bbattery%2Bspot%2Bwelding&amp;qid=1621242505&amp;sr=8-10&amp;th=1</t>
  </si>
  <si>
    <t>コネクタヘッダ 面実装 2 極 0.079インチ（2.00mm）</t>
  </si>
  <si>
    <t>https://www.digikey.jp/product-detail/ja/molex/0554600272/WM8301CT-ND/1632945</t>
  </si>
  <si>
    <t>AMK105ABJ475MV-F</t>
  </si>
  <si>
    <t>4.7µF ±20% 4V セラミックコンデンサ X5R 0402（1005メートル法）</t>
  </si>
  <si>
    <t>587-5397-1-ND</t>
  </si>
  <si>
    <t>https://www.digikey.jp/product-detail/ja/taiyo-yuden/AMK105ABJ475MV-F/587-5397-1-ND/7067073</t>
  </si>
  <si>
    <t>ピンヘッダー</t>
  </si>
  <si>
    <t>ピンヘッダー(ピン) PCB取付穴径Φ0.8 PSS-210204-00(H=2)</t>
  </si>
  <si>
    <t>PSS-210204-12</t>
  </si>
  <si>
    <t>https://www.monotaro.com/g/01213789/?t.q=26340378</t>
  </si>
  <si>
    <t>ラテックス手袋</t>
  </si>
  <si>
    <t>パウダーフリー　Sサイズ</t>
  </si>
  <si>
    <t>https://www.askul.co.jp/p/8435560/</t>
  </si>
  <si>
    <t>ラテックス手袋 ハイグリップ</t>
  </si>
  <si>
    <t>パウダーフリー　Mサイズ</t>
  </si>
  <si>
    <t>https://www.askul.co.jp/p/1260069/</t>
  </si>
  <si>
    <t>パウダーフリー　Lサイズ</t>
  </si>
  <si>
    <t>https://www.askul.co.jp/p/8435597/</t>
  </si>
  <si>
    <t>プラスチック手袋</t>
  </si>
  <si>
    <t>粉なし M クリア</t>
  </si>
  <si>
    <t>X805355</t>
  </si>
  <si>
    <t>基板製造（FAB・EPS_OBC セット）</t>
  </si>
  <si>
    <t>BIRDS-5 FAB/OBC基板</t>
  </si>
  <si>
    <t>相模通信工業</t>
  </si>
  <si>
    <t>佐賀県</t>
  </si>
  <si>
    <t>BIRDS-5_EM_+Y_1U</t>
  </si>
  <si>
    <t>BIRDS-5 EM</t>
  </si>
  <si>
    <t>BIRDS-5_EM_+Y_2U</t>
  </si>
  <si>
    <t>BIRDS-5_EM_+Z</t>
  </si>
  <si>
    <t>BIRDS-5_EM_BPB</t>
  </si>
  <si>
    <t>BIRDS-5_EM_MB1</t>
  </si>
  <si>
    <t>BIRDS-5_EM_MB2</t>
  </si>
  <si>
    <t>BIRDS-5_EM_RAB_1U</t>
  </si>
  <si>
    <t>BIRDS-5_EM_RAB_2U</t>
  </si>
  <si>
    <t>BIRDS-5_EM_-X_1U</t>
  </si>
  <si>
    <t>BIRDS-5_EM_-X_2U</t>
  </si>
  <si>
    <t>BIRDS-5_EM_-Y_1U</t>
  </si>
  <si>
    <t>BIRDS-5_EM_-Y_2U</t>
  </si>
  <si>
    <t>BIRDS-5_EM_-Z</t>
  </si>
  <si>
    <t>SMA 50 ohms load for RF tests</t>
  </si>
  <si>
    <t xml:space="preserve">	CONN TERMINATOR PLUG SMA 50OHM</t>
  </si>
  <si>
    <t>SVBL 2F Integration Room</t>
  </si>
  <si>
    <t>Antenna Element</t>
  </si>
  <si>
    <t>SK-85</t>
  </si>
  <si>
    <t>大阪熱処理</t>
  </si>
  <si>
    <t>chp1stop</t>
  </si>
  <si>
    <t>C1S803605394464-1</t>
  </si>
  <si>
    <t>https://www.chip1stop.com/product/detail?partId=VISH-0539446</t>
  </si>
  <si>
    <t>Raspberry Pi CM 3+</t>
  </si>
  <si>
    <t>Raspberry Pi Compute Module 3+ 32GB eMMC Memory</t>
  </si>
  <si>
    <t>B0951RXNJ1</t>
  </si>
  <si>
    <t>CURTIS EM PCIB</t>
  </si>
  <si>
    <t>https://www.amazon.co.jp/-/en/dp/B0951RXNJ1/ref=sr_1_7?dchild=1&amp;keywords=raspberry+pi+compute+module+3&amp;qid=1621485714&amp;sr=8-7</t>
  </si>
  <si>
    <t>TTL-232R-3V</t>
  </si>
  <si>
    <t xml:space="preserve">        FTDI</t>
  </si>
  <si>
    <t>USB Hub (Ethernet + USB)</t>
  </si>
  <si>
    <t>Raspberry Pi Power Cable</t>
  </si>
  <si>
    <t>5V adapter</t>
  </si>
  <si>
    <t>https://www.mouser.jp/ProductDetail/Raspberry-Pi/1101001000045?qs=sGAEpiMZZMve4%2FbfQkoj%252BMUp9oD6Abn1MSY4MW8Pkys=</t>
  </si>
  <si>
    <t>Relay PIC PIC® XLP™ 18J</t>
  </si>
  <si>
    <t>64-VFQFN Exposed Pad</t>
  </si>
  <si>
    <t>RM3100 High Precision Magnetometer</t>
  </si>
  <si>
    <t>Magnetometer with SPI interface</t>
  </si>
  <si>
    <t>WITMOTION</t>
  </si>
  <si>
    <t>https://www.amazon.co.jp/WITMOTION-RM3100-%E5%9C%B0%E7%A3%81%E6%B0%97%E3%80%81%E3%83%9F%E3%83%AA%E3%82%BF%E3%83%AA%E3%83%BC-%E3%82%BB%E3%83%B3%E3%82%B5%E3%80%81%E9%AB%98%E9%80%9F-%E3%83%A2%E3%82%B8%E3%83%A5%E3%83%BC%E3%83%AB%E3%80%81%E7%A3%81%E5%8A%9B%E8%A8%88/dp/B07RZZ9SBR/ref=asc_df_B07RZZ9SBR/?tag=jpgo-22&amp;linkCode=df0&amp;hvadid=342436761245&amp;hvpos=&amp;hvnetw=g&amp;hvrand=1580026373453074989&amp;hvpone=&amp;hvptwo=&amp;hvqmt=&amp;hvdev=c&amp;hvdvcmdl=&amp;hvlocint=&amp;hvlocphy=1009721&amp;hvtargid=pla-768825831824&amp;psc=1</t>
  </si>
  <si>
    <t>BREADBOARD KIT SOLDERLESS LARGE</t>
  </si>
  <si>
    <t>Breadboard</t>
  </si>
  <si>
    <t>1286-1220-ND</t>
  </si>
  <si>
    <t>340-002-1</t>
  </si>
  <si>
    <t>https://www.digikey.jp/product-detail/ja/digilent-inc/340-002-1/1286-1220-ND/9556131</t>
  </si>
  <si>
    <t>M/M Jumper</t>
  </si>
  <si>
    <t>1568-1512-ND</t>
  </si>
  <si>
    <t>https://www.digikey.jp/product-detail/ja/sparkfun-electronics/PRT-12795/1568-1512-ND/5993860</t>
  </si>
  <si>
    <t>F/F Jumper</t>
  </si>
  <si>
    <t>1568-1513-ND</t>
  </si>
  <si>
    <t>https://www.digikey.jp/product-detail/ja/sparkfun-electronics/PRT-12796/1568-1513-ND/5993861</t>
  </si>
  <si>
    <t>80-3-5 Soldering Item</t>
  </si>
  <si>
    <t>DESOLDER BRAID ROSIN 0.08 "5'</t>
  </si>
  <si>
    <t>Chemtronics</t>
  </si>
  <si>
    <t>80-3-5-ND</t>
  </si>
  <si>
    <t>https://www.digikey.jp/product-detail/ja/chemtronics/80-3-5/80-3-5-ND/306982</t>
  </si>
  <si>
    <t>Antenna Rotator</t>
  </si>
  <si>
    <t>PST2051pro+PST2051E combo system</t>
  </si>
  <si>
    <t>PRO.SIS.TEL</t>
  </si>
  <si>
    <t>Prosistelshop</t>
  </si>
  <si>
    <t>PST2051pro</t>
  </si>
  <si>
    <t>Uganda &amp; Zimbabwe</t>
  </si>
  <si>
    <t>For shipping</t>
  </si>
  <si>
    <t>https://www.prosistelshop.com/en/pst2051d-propst2051e-combo-78.html?fbclid=IwAR1_UPwERSklF2Bk5C20DdNwuGV4hRYMiyoslR2IsJO9AKgX_lHUTCT69SM</t>
  </si>
  <si>
    <t>Lightning Protector</t>
  </si>
  <si>
    <t>ALPHA-DELTA ATT3G50</t>
  </si>
  <si>
    <t>Alpha Delta Radio Communications</t>
  </si>
  <si>
    <t>HamRadio outlet</t>
  </si>
  <si>
    <t xml:space="preserve">https://www.hamradio.com/detail.cfm?pid=H0-012362
</t>
  </si>
  <si>
    <t>Copper Ground Bus Wall Mount</t>
  </si>
  <si>
    <t xml:space="preserve">ALPHA-DELTA GBWM
</t>
  </si>
  <si>
    <t xml:space="preserve">https://www.hamradio.com/detail.cfm?pid=H0-012783
</t>
  </si>
  <si>
    <t>Crimp pin adaptor</t>
  </si>
  <si>
    <t xml:space="preserve">6 Position Circular Connector Plug, Male Pins Solder, Crimp Pin Adapter
</t>
  </si>
  <si>
    <t>Multi-conductor Cable</t>
  </si>
  <si>
    <t>Tensility intrenational Corp</t>
  </si>
  <si>
    <t>9 position D-sub Plug pin connector</t>
  </si>
  <si>
    <t>9 position Backshell connector</t>
  </si>
  <si>
    <t>9 Position Two Piece Backshell Connector 180° Unshielded</t>
  </si>
  <si>
    <t xml:space="preserve">	Cinch Connectivity Solutions AIM-Cambridge</t>
  </si>
  <si>
    <t>15 position D-sub Plug pin connector</t>
  </si>
  <si>
    <t>15 position Backshell connector</t>
  </si>
  <si>
    <t>MIC 8P Connector</t>
  </si>
  <si>
    <t>MIC 8P connector</t>
  </si>
  <si>
    <t>Apex</t>
  </si>
  <si>
    <t>Axel</t>
  </si>
  <si>
    <t>63-3109-34</t>
  </si>
  <si>
    <t>https://axel.as-1.co.jp/asone/d/63-3109-34/</t>
  </si>
  <si>
    <t>Air quality Sensor</t>
  </si>
  <si>
    <t>HPM SERIES PM2.5 PARTICLE SENSOR</t>
  </si>
  <si>
    <t>Honeywell Sensing and Productivity Solutions</t>
  </si>
  <si>
    <t>480-7035-ND</t>
  </si>
  <si>
    <t>HPMA115S0-XXX</t>
  </si>
  <si>
    <t xml:space="preserve">Uganda </t>
  </si>
  <si>
    <t>https://www.digikey.jp/product-detail/ja/honeywell-sensing-and-productivity-solutions/HPMA115S0-XXX/480-7035-ND/7202204?utm_adgroup=General&amp;utm_source=google&amp;utm_medium=cpc&amp;utm_campaign=Smart%20Shopping_Product_Zombie%20SKUs&amp;utm_term=&amp;productid=7202204&amp;gclid=CjwKCAjwnPOEBhA0EiwA609Red1k52TQ7Slco_HKnSjA0ZJocTFZ8k0Ah5xdlJs8OcQX4-cki1hcShoCinAQAvD_BwE</t>
  </si>
  <si>
    <t>Humidity Sensor</t>
  </si>
  <si>
    <t>SENSOR HUMID / TEMP 5V I2C 2% MOD</t>
  </si>
  <si>
    <t>1528-1311-ND</t>
  </si>
  <si>
    <t>https://www.digikey.jp/product-detail/ja/adafruit-industries-llc/1293/1528-1311-ND/5356796</t>
  </si>
  <si>
    <t>Power Adaptor</t>
  </si>
  <si>
    <t>AC/DC WALL MOUNT ADAPTER 12V 24W</t>
  </si>
  <si>
    <t>XP power</t>
  </si>
  <si>
    <t>1470-3173-ND</t>
  </si>
  <si>
    <t>VER24US120-JA</t>
  </si>
  <si>
    <t>https://www.digikey.jp/product-detail/ja/xp-power/VER24US120-JA/1470-3173-ND/5864683</t>
  </si>
  <si>
    <t xml:space="preserve">Copper clad laminate </t>
  </si>
  <si>
    <t>Plain Copper clad laminate; Size: 200mm x 350mmx1.6mm</t>
  </si>
  <si>
    <t>Plain Copper clad laminate; Size: 100mm x 100mmx1.6mm</t>
  </si>
  <si>
    <t>1m ブルー</t>
  </si>
  <si>
    <t>https://www.askul.co.jp/p/8438928/</t>
  </si>
  <si>
    <t>HDMIケーブル</t>
  </si>
  <si>
    <t>1m ブラック</t>
  </si>
  <si>
    <t>山善</t>
  </si>
  <si>
    <t>https://www.askul.co.jp/p/9529080/</t>
  </si>
  <si>
    <t>shrinkable tube (Φ8 mm)</t>
  </si>
  <si>
    <t>shrinkable tube_Φ8 mm_2 m long</t>
  </si>
  <si>
    <t>NST-80B</t>
  </si>
  <si>
    <t>reel</t>
  </si>
  <si>
    <t>shrinkable tube (Φ10 mm)</t>
  </si>
  <si>
    <t>shrinkable tube_Φ10 mm_2 m long</t>
  </si>
  <si>
    <t>NST-100B</t>
  </si>
  <si>
    <t>APRS Radio</t>
  </si>
  <si>
    <t>Baofeng UV-5R APRS Radio</t>
  </si>
  <si>
    <t>https://item.rakuten.co.jp/gshop-r/uv5r/?iasid=07rpp_10095___ey-kp3oxhgp-kua-7d51a8d1-b3da-433e-b74c-16a6a1bf104b</t>
  </si>
  <si>
    <t>PVC junction box</t>
  </si>
  <si>
    <t>Spelsberg Junction Box, Polycarbonate, Gray, 254 x 180 x 90mm IP66</t>
  </si>
  <si>
    <t>Spelsberg</t>
  </si>
  <si>
    <t>263-0388</t>
  </si>
  <si>
    <t>https://jp.rs-online.com/web/p/junction-boxes/2630388/</t>
  </si>
  <si>
    <t>Hand tap General-purpose HT</t>
  </si>
  <si>
    <t>Hand tap General-purpose HT # 2 Screw type: M</t>
  </si>
  <si>
    <t>https://www.monotaro.com/g/04964208/?t.q=m12%200.5%20%83%5E%83b%83v</t>
  </si>
  <si>
    <t>POM Material</t>
  </si>
  <si>
    <t>30×1000 POM Round Bar</t>
  </si>
  <si>
    <t>https://www.monotaro.com/p/3880/5812/</t>
  </si>
  <si>
    <t>Ｋ型熱電対プローブ</t>
  </si>
  <si>
    <t>shinozaki kaito</t>
  </si>
  <si>
    <t>クロメル・アルメル　起電力約40.7μV/℃　長さ：約80cm　-200℃~+1250℃　</t>
  </si>
  <si>
    <t>Sagansat</t>
  </si>
  <si>
    <t>高校生のサポート係</t>
  </si>
  <si>
    <t>https://akizukidenshi.com/catalog/g/gP-00306/</t>
  </si>
  <si>
    <t>Ｋ型熱電対アンプモジュール</t>
  </si>
  <si>
    <t xml:space="preserve">電源電圧：3.3V~5V  計測温度範囲：ー270℃~+1372℃(±2℃~±6℃) </t>
  </si>
  <si>
    <t>adafruit PRODUCT</t>
  </si>
  <si>
    <t>マイクロＳＤカード</t>
  </si>
  <si>
    <t>形状：microSd 容量：16GB</t>
  </si>
  <si>
    <t>キオクシア株式会社(東芝メモリ)</t>
  </si>
  <si>
    <t>OpenLog</t>
  </si>
  <si>
    <t>消費電流:アイドル2 mA、記録時最大6 mA</t>
  </si>
  <si>
    <t>SWITCHSCIENCE</t>
  </si>
  <si>
    <t>SFE-DEV-13712</t>
  </si>
  <si>
    <t>DEV-13712ROHS</t>
  </si>
  <si>
    <t>https://www.switch-science.com/catalog/2716/</t>
  </si>
  <si>
    <t>半固定ボリューム　１０ｋΩ　</t>
  </si>
  <si>
    <t>つまみ付半固定抵抗器</t>
  </si>
  <si>
    <t>SUNTAN TECHNOLOGY CO LTD</t>
  </si>
  <si>
    <t>P-08012</t>
  </si>
  <si>
    <t>TSR-3386T-EY5-103TR</t>
  </si>
  <si>
    <t>https://akizukidenshi.com/catalog/g/gP-08012/</t>
  </si>
  <si>
    <t>Solar Cells</t>
  </si>
  <si>
    <t>Kanatta</t>
  </si>
  <si>
    <t>Space TJ GaAs solar cell 3G30A</t>
  </si>
  <si>
    <t>Advanced Technology Research Institute</t>
  </si>
  <si>
    <t>small solar cell</t>
  </si>
  <si>
    <t xml:space="preserve">BIRDS5,COSMO </t>
  </si>
  <si>
    <t>ICOM power Supply Units</t>
  </si>
  <si>
    <t>ICOM PS-126 DC Power Supply Unit</t>
  </si>
  <si>
    <t>KIATSRIMAPATTHANA Company Limited</t>
  </si>
  <si>
    <t>Uganda &amp; Zimbabwe Ground Station</t>
  </si>
  <si>
    <t>PICkit4</t>
  </si>
  <si>
    <t>Akihiro Oboshi</t>
  </si>
  <si>
    <t>https://jp.rs-online.com/web/p/debuggers-in-circuit-emulators/1717762/</t>
  </si>
  <si>
    <t>　Uganda</t>
  </si>
  <si>
    <t xml:space="preserve"> Digikey</t>
  </si>
  <si>
    <t>https://www.digikey.jp/product-detail/ja/jst-sales-america-inc/SPHD-001T-P0-5/455-1325-1-ND/608808?utm_adgroup=Connectors%20%26%20Interconnects&amp;utm_source=google&amp;utm_medium=cpc&amp;utm_campaign=Dynamic%20Search_JP_RLSA_Cart&amp;utm_term=&amp;productid=&amp;gclid=CjwKCAjwtdeFBhBAEiwAKOIy52LxeEhShl4w5Qual6qyBy5PcuUq_VUaOaq0G9n3r86NF5kO0W94NRoCPkMQAvD_BwE</t>
  </si>
  <si>
    <t>Crimp for Dep.Switch</t>
  </si>
  <si>
    <t>Kapton tape, 15mm</t>
  </si>
  <si>
    <t>https://www.monotaro.com/p/0639/3615/</t>
  </si>
  <si>
    <t>Kapton tape, 20mm</t>
  </si>
  <si>
    <t>https://www.monotaro.com/p/0639/3624/</t>
  </si>
  <si>
    <t>Mixer, SMD</t>
  </si>
  <si>
    <t>RF Downconverter with VCO</t>
  </si>
  <si>
    <t>505-ADRF6650ACPZ-ND</t>
  </si>
  <si>
    <t>ADRF6650ACPZ</t>
  </si>
  <si>
    <t>https://www.digikey.jp/product-detail/ja/ADRF6650ACPZ/505-ADRF6650ACPZ-ND/13978949?itemSeq=366287484</t>
  </si>
  <si>
    <t>Low Noise Regulator</t>
  </si>
  <si>
    <t>1127-2920-ND</t>
  </si>
  <si>
    <t>HMC1060LP3E</t>
  </si>
  <si>
    <t>https://www.digikey.jp/product-detail/ja/analog-devices-inc/HMC1060LP3E/1127-2920-ND/5359900</t>
  </si>
  <si>
    <t>5V Regulator</t>
  </si>
  <si>
    <t>ADM7170ACPZ-5.0-R7CT-ND</t>
  </si>
  <si>
    <t>ADM7170ACPZ-5.0-R7</t>
  </si>
  <si>
    <t>https://www.digikey.jp/product-detail/ja/analog-devices-inc/ADM7170ACPZ-5-0-R7/ADM7170ACPZ-5-0-R7CT-ND/6568635</t>
  </si>
  <si>
    <t>RF Connector</t>
  </si>
  <si>
    <t>SMA RF Connector</t>
  </si>
  <si>
    <t>J658-ND</t>
  </si>
  <si>
    <t>142-0701-851</t>
  </si>
  <si>
    <t>https://www.digikey.jp/products/ja/connectors-interconnects/coaxial-connectors-rf/437?k=142-0701-851&amp;k=&amp;pkeyword=142-0701-851&amp;sv=0&amp;pv-9=24&amp;sf=0&amp;quantity=&amp;ColumnSort=0&amp;page=1&amp;pageSize=25</t>
  </si>
  <si>
    <t>3.3V Regulator</t>
  </si>
  <si>
    <t>584-ADM7171ACPZ3.3R7</t>
  </si>
  <si>
    <t>ADM7171ACPZ-3.3-R7</t>
  </si>
  <si>
    <t>https://www.mouser.jp/ProductDetail/Analog-Devices/ADM7171ACPZ-33-R7?qs=%2Fha2pyFadugYl7auZr11NABM%2FXNiEBA%252BEnO1IVkjyCBLvr5eNkjlR6nNc738ZuHw</t>
  </si>
  <si>
    <t>Isolator</t>
  </si>
  <si>
    <t>Quad Digital Isoloator</t>
  </si>
  <si>
    <t>584-ADUM140E0BRZ</t>
  </si>
  <si>
    <t>ADUM140E0BRZ</t>
  </si>
  <si>
    <t>https://www.mouser.jp/ProductDetail/Analog-Devices/ADUM140E0BRZ?qs=pyvxRoUzNN%2FV1iSSwXFd3A%3D%3D</t>
  </si>
  <si>
    <t>RF Transformer</t>
  </si>
  <si>
    <t>Trans 1:1</t>
  </si>
  <si>
    <t>Mini Circuits</t>
  </si>
  <si>
    <t>TC1-1-13MX+</t>
  </si>
  <si>
    <t>Trans 1:1.6</t>
  </si>
  <si>
    <t>TCM1-83X+</t>
  </si>
  <si>
    <t>Mixer</t>
  </si>
  <si>
    <t>RF Mixer Module</t>
  </si>
  <si>
    <t>ZEM-M2TMH+</t>
  </si>
  <si>
    <t>Xtal Oscillator</t>
  </si>
  <si>
    <t>XTAL OSC TCXO 12.0000MHZ HCMOS</t>
  </si>
  <si>
    <t xml:space="preserve">	ECS Inc.</t>
  </si>
  <si>
    <t xml:space="preserve">	XC2065CT-ND</t>
  </si>
  <si>
    <t xml:space="preserve">	ECS-TXO-5032-120-TR</t>
  </si>
  <si>
    <t>￥323.3</t>
  </si>
  <si>
    <t>￥4850</t>
  </si>
  <si>
    <t>https://www.digikey.jp/product-detail/ja/ecs-inc/ECS-TXO-5032-120-TR/XC2065CT-ND/5357898</t>
  </si>
  <si>
    <t>KEMET 積層セラミックコンデンサ(MLCC) 10nF 25V dc ±10 %</t>
  </si>
  <si>
    <t xml:space="preserve">210-7038 </t>
  </si>
  <si>
    <t xml:space="preserve">C0603C103K3TACAUTO </t>
  </si>
  <si>
    <t>￥51.50</t>
  </si>
  <si>
    <t>￥1,030</t>
  </si>
  <si>
    <t>https://jp.rs-online.com/web/p/mlccs-multilayer-ceramic-capacitors/2107038/</t>
  </si>
  <si>
    <t>AVX 積層セラミックコンデンサ(MLCC) 100nF 50V dc ±10%</t>
  </si>
  <si>
    <t>698-3263</t>
  </si>
  <si>
    <t>06035C104KAZ2A</t>
  </si>
  <si>
    <t>￥12.40</t>
  </si>
  <si>
    <t>￥620</t>
  </si>
  <si>
    <t>https://jp.rs-online.com/web/p/mlccs-multilayer-ceramic-capacitors/6983263/</t>
  </si>
  <si>
    <t>KEMET 積層セラミックコンデンサ(MLCC) 100nF 100V dc ±10%</t>
  </si>
  <si>
    <t>802-9951</t>
  </si>
  <si>
    <t>C0805C104K1RACTU</t>
  </si>
  <si>
    <t>￥22.08</t>
  </si>
  <si>
    <t>￥1,104</t>
  </si>
  <si>
    <t>https://jp.rs-online.com/web/p/mlccs-multilayer-ceramic-capacitors/8029951/</t>
  </si>
  <si>
    <t>太陽誘電 MLCC 4.7μF 25V dc ±20%</t>
  </si>
  <si>
    <t>184-3179</t>
  </si>
  <si>
    <t>TMK107BBJ475MA-T</t>
  </si>
  <si>
    <t>￥12.50</t>
  </si>
  <si>
    <t>￥1,250</t>
  </si>
  <si>
    <t>https://jp.rs-online.com/web/p/mlccs-multilayer-ceramic-capacitors/1843402/</t>
  </si>
  <si>
    <t>BIRDS5 Test board(BBM)</t>
  </si>
  <si>
    <t>16MHz ±30ppm 水晶振動子 18pF 50 Ohms 4-SMD、リードなし</t>
  </si>
  <si>
    <t>535-11288-1-ND</t>
  </si>
  <si>
    <t>ABM3C-16.000MHZ-D4Y-T</t>
  </si>
  <si>
    <t>https://www.digikey.jp/product-detail/ja/abracon-llc/ABM3C-16-000MHZ-D4Y-T/535-11288-1-ND/2639919</t>
  </si>
  <si>
    <t>CPLD ispMACHR 4000ZE Family 256 Macro Cells 172MHz 1.8V 144-Pin TQFP Tray</t>
  </si>
  <si>
    <t>Lattice</t>
  </si>
  <si>
    <t>chip one stop</t>
  </si>
  <si>
    <t>C1S419900101449</t>
  </si>
  <si>
    <t>https://www.chip1stop.com/view/dispDetail/DispDetail?partId=LATT-0010144&amp;keyword=C1S419900101449</t>
  </si>
  <si>
    <t>アクリル、750x600mm</t>
  </si>
  <si>
    <t>ACAE-750-600-3</t>
  </si>
  <si>
    <t xml:space="preserve">ACAE-750-600-3 </t>
  </si>
  <si>
    <t>SVBL Control room</t>
  </si>
  <si>
    <t>https://jp.misumi-ec.com/vona2/detail/110302460960/?HissuCode=ACAE-750-600-3&amp;list=PageCategory</t>
  </si>
  <si>
    <t>Inductor, 精密抵抗</t>
  </si>
  <si>
    <t>Inductor, RF用精密抵抗</t>
  </si>
  <si>
    <t>Coilcraft, Vishay</t>
  </si>
  <si>
    <t>RF用コンデンサ、精密抵抗</t>
  </si>
  <si>
    <t>温度特性がいいRF用コンデンサ、RF用精密抵抗</t>
  </si>
  <si>
    <t>Murata, Vishay</t>
  </si>
  <si>
    <t>Blues-chip Company Limited</t>
  </si>
  <si>
    <t>https://www.blueschip-store.com/parts/NRVB120VLSFT1G/6029475.html</t>
  </si>
  <si>
    <t>80-C0805C105K8R</t>
  </si>
  <si>
    <t>EPS-Solar Panel</t>
  </si>
  <si>
    <t>https://www.mouser.com/ProductDetail/KEMET/C0805C105K8RACTU?qs=Nnkldhwoc37vJEa%2FkGSWlQ%3D%3D</t>
  </si>
  <si>
    <t>BIRDS-room</t>
  </si>
  <si>
    <t>30 AWG Hook-Up Wire 7/38 Yellow 250V 100.0' (30.5m)</t>
  </si>
  <si>
    <t>2841/7YL005-ND</t>
  </si>
  <si>
    <t>2841/7 YL005</t>
  </si>
  <si>
    <t>https://www.digikey.jp/product-detail/en/alpha-wire/2841-7-YL005/2841-7YL005-ND/3708251</t>
  </si>
  <si>
    <t>Handheld radio</t>
  </si>
  <si>
    <t>Arducam Mini Module Camera Shield 5MP Plus OV5642 Camera Module</t>
  </si>
  <si>
    <t>Arducam Mini Module Camera Shield 5MP Plus OV5642 Camera Module for Arduino UNO Mega2560 Board &amp; Raspberry Pi Pico</t>
  </si>
  <si>
    <t>Micro-orbiter</t>
  </si>
  <si>
    <t>Camera Mission</t>
  </si>
  <si>
    <t>4F Student Room</t>
  </si>
  <si>
    <t>https://akizukidenshi.com/catalog/g/gM-13200/</t>
  </si>
  <si>
    <t>UART USB Cable</t>
  </si>
  <si>
    <t>Camera Mission Programming</t>
  </si>
  <si>
    <t>有線キーボード</t>
  </si>
  <si>
    <t>有線キーボード/メンブレン式/フルサイズ</t>
  </si>
  <si>
    <t>TK-FCM104BK</t>
  </si>
  <si>
    <t>https://www.monotaro.com/g/04232116/?t.attr_f7447=%97L%90%FC&amp;t.attr_f87=%83u%83%89%83b%83N&amp;t.pt=1500&amp;t.q=%83L%81%5B%83%7B%81%5B%83h</t>
  </si>
  <si>
    <t>マウス</t>
  </si>
  <si>
    <t>有線光学式マウス</t>
  </si>
  <si>
    <t>MA-130HUBK</t>
  </si>
  <si>
    <t>https://www.monotaro.com/g/02374478/?t.attr_f7447=%97L%90%FC&amp;t.attr_f7451=3%83%7B%83%5E%83%93%0A4%83%7B%83%5E%83%93&amp;t.q=%83%7D%83E%83X</t>
  </si>
  <si>
    <t>3dプリンタ　ノズル</t>
  </si>
  <si>
    <t>0.4mm 12V 40W</t>
  </si>
  <si>
    <t>MUXAM</t>
  </si>
  <si>
    <t>SZ010010140382RK</t>
  </si>
  <si>
    <t>https://www.amazon.co.jp/dp/B074K74KZP/ref=cm_sw_r_cp_api_fabc_Ffg4Fb58W0JMC?_encoding=UTF8&amp;psc=1</t>
  </si>
  <si>
    <t>3dプリンタ　プラットフォームシート</t>
  </si>
  <si>
    <t>210mmx180mm(3枚入り)</t>
  </si>
  <si>
    <t>3099AB-3 KF</t>
  </si>
  <si>
    <t>https://www.monotaro.com/g/03484486/?t.q=3d%83v%83%8A%83%93%83%5E%81%5B%81%40%83v%83%89%83b%83g%83t%83H%81%5B%83%80%83V%81%5B%83g</t>
  </si>
  <si>
    <t>Ariel</t>
  </si>
  <si>
    <t>MLCC - SMD 0805, 50V, 12pF, C0G, 5%</t>
  </si>
  <si>
    <t>80-C0805X120J5GAUTO</t>
  </si>
  <si>
    <t>C0805X120J5GACAUTO</t>
  </si>
  <si>
    <t>ADCS-Adapter Board</t>
  </si>
  <si>
    <t>https://www.mouser.jp/ProductDetail/KEMET/C0805X120J5GACAUTO?qs=PqoDHHvF64%2FG1xFjMXSvqA%3D%3D</t>
  </si>
  <si>
    <t>MLCC - SMD 0805, 50V, 0.1uF, X8R, 10%</t>
  </si>
  <si>
    <t>81-GCM21BR91H104KA7L</t>
  </si>
  <si>
    <t>GCM21BR91H104KA37L</t>
  </si>
  <si>
    <t>https://www.mouser.jp/ProductDetail/Murata-Electronics/GCM21BR91H104KA37L?qs=AgWb9queBCgEvfdz8pGcnQ%3D%3D</t>
  </si>
  <si>
    <t>MLCC - SMD 0805, 10V, 10uF, X8L, 10%</t>
  </si>
  <si>
    <t>810-CGA4J1X8L1A125AC</t>
  </si>
  <si>
    <t>CGA4J1X8L1A106K125AC</t>
  </si>
  <si>
    <t>https://www.mouser.jp/ProductDetail/TDK/CGA4J1X8L1A106K125AC?qs=gZXFycFWdANzH%252B2UvJJjtQ%3D%3D</t>
  </si>
  <si>
    <t>Price increased, 61.2 yen</t>
  </si>
  <si>
    <t>MLCC - SMD 0805, 25V, 4.7uF, X8L, 10%</t>
  </si>
  <si>
    <t>810-CGA4J1X8L1E125AC</t>
  </si>
  <si>
    <t>https://www.mouser.jp/ProductDetail/TDK/CGA4J1X8L1E475K125AC?qs=gZXFycFWdANxpKJOMQuJTA%3D%3D</t>
  </si>
  <si>
    <t>MLCC - SMD 0805, 10V, 3900pF, X8R, 1%</t>
  </si>
  <si>
    <t>80-C0805C392F8HAUTO</t>
  </si>
  <si>
    <t>C0805C392F8HACAUTO</t>
  </si>
  <si>
    <t>https://www.mouser.jp/ProductDetail/KEMET/C0805C392F8HACAUTO?qs=j%252B1pi9TdxUZfpDAQPghdHA%3D%3D</t>
  </si>
  <si>
    <t>MLCC - SMD 1210, 16V, 47uF, X6S, 10%</t>
  </si>
  <si>
    <t>81-GRT32EC81C476KE3L</t>
  </si>
  <si>
    <t>GRT32EC81C476KE13L</t>
  </si>
  <si>
    <t>SMD 1210</t>
  </si>
  <si>
    <t>https://www.mouser.jp/ProductDetail/Murata-Electronics/GRT32EC81C476KE13L?qs=drgMNd%252BkGPPtGpVNHqAHBg%3D%3D</t>
  </si>
  <si>
    <t>MLCC - SMD 0805, 25V, 0.1uF, X8R 10%</t>
  </si>
  <si>
    <t>581-08053F104K4T2A</t>
  </si>
  <si>
    <t>08053F104K4T2A</t>
  </si>
  <si>
    <t>https://www.mouser.jp/ProductDetail/AVX/08053F104K4T2A?qs=1X9trZCrWl1SCz9oX5iyQA%3D%3D</t>
  </si>
  <si>
    <t>cancelled</t>
  </si>
  <si>
    <t>MLCC - SMD 0805, 50V, 0.01uF, X8R, 5%</t>
  </si>
  <si>
    <t>80-C0805C103J5HAUTO</t>
  </si>
  <si>
    <t>C0805C103J5HACAUTO</t>
  </si>
  <si>
    <t>https://www.mouser.jp/ProductDetail/KEMET/C0805C103J5HACAUTO?qs=ds50AKTGxA9dM54VcsSd8w%3D%3D</t>
  </si>
  <si>
    <t>MLCC - SMD 0805, 25V, 0.47uF, X8R 10%</t>
  </si>
  <si>
    <t>810-CGA4J3X8R1E474KB</t>
  </si>
  <si>
    <t>CGA4J3X8R1E474K125AB</t>
  </si>
  <si>
    <t>https://www.mouser.jp/ProductDetail/TDK/CGA4J3X8R1E474K125AB?qs=xLDY6iXSiQZ1Udk5lH7wgA%3D%3D</t>
  </si>
  <si>
    <t>SMD 0805, 25mohms, 1% AEC-Q200, 0.5 W</t>
  </si>
  <si>
    <t>71-WSLP0805R0250FEA</t>
  </si>
  <si>
    <t>WSLP0805R0250FEA</t>
  </si>
  <si>
    <t>https://www.mouser.jp/ProductDetail/Vishay-Dale/WSLP0805R0250FEA?qs=l%252BoLuM8chxpEU%252BvdILwPrA%3D%3D</t>
  </si>
  <si>
    <t>SMD 0805 200ohms 5% AEC-Q200</t>
  </si>
  <si>
    <t>667-ERJ-6GEYJ201V</t>
  </si>
  <si>
    <t>ERJ-6GEYJ201V</t>
  </si>
  <si>
    <t>https://www.mouser.jp/ProductDetail/Panasonic/ERJ-6GEYJ201V?qs=gybxhQrZOyE5aV2UuZiNdQ%3D%3D</t>
  </si>
  <si>
    <t>SMD 0805 2Kohms 5% AEC-Q200</t>
  </si>
  <si>
    <t>667-ERJ-6GEYJ202V</t>
  </si>
  <si>
    <t>ERJ-6GEYJ202V</t>
  </si>
  <si>
    <t>https://www.mouser.jp/ProductDetail/Panasonic/ERJ-6GEYJ202V?qs=tQNqqtTOejIIQ7OKxiM92w%3D%3D</t>
  </si>
  <si>
    <t>SMD 0805, 4.7Kohms, 0.5% Automotive grade</t>
  </si>
  <si>
    <t>667-ERJ-U6RD4701V</t>
  </si>
  <si>
    <t>ERJ-U6RD4701V</t>
  </si>
  <si>
    <t>https://www.mouser.jp/ProductDetail/Panasonic/ERJ-U6RD4701V?qs=sGAEpiMZZMtlubZbdhIBIIPWN1VQSu3wPxunuVB7oN8%3D</t>
  </si>
  <si>
    <t>SMD 0805, 45.3Kohms, 1% AEC-Q200</t>
  </si>
  <si>
    <t>667-ERJ-6ENF4532V</t>
  </si>
  <si>
    <t>ERJ-6ENF4532V</t>
  </si>
  <si>
    <t>https://www.mouser.jp/ProductDetail/Panasonic/ERJ-6ENF4532V?qs=JjxTDIFmKPQwVK3sM442Iw%3D%3D</t>
  </si>
  <si>
    <t>SMD 0805, 100ohms, 5% AEC-Q200</t>
  </si>
  <si>
    <t>667-ERJ-S06J101V</t>
  </si>
  <si>
    <t>ERJ-S06J101V</t>
  </si>
  <si>
    <t>https://www.mouser.jp/ProductDetail/Panasonic/ERJ-S06J101V?qs=Zyl8A9hlmJqshrwxn1wW6g%3D%3D</t>
  </si>
  <si>
    <t>SMD 0805, 10Kohms, 5% AEC-Q200</t>
  </si>
  <si>
    <t>667-ERJ-S06J103V</t>
  </si>
  <si>
    <t>ERJ-S06J103V</t>
  </si>
  <si>
    <t>https://www.mouser.jp/ProductDetail/Panasonic/ERJ-S06J103V?qs=Zyl8A9hlmJqKI11OB00qpA%3D%3D</t>
  </si>
  <si>
    <t>SMD 0805, 100Kohms 5% AEC-Q200</t>
  </si>
  <si>
    <t>667-ERJ-6GEYJ104V</t>
  </si>
  <si>
    <t>ERJ-6GEYJ104V</t>
  </si>
  <si>
    <t>https://www.mouser.jp/ProductDetail/Panasonic/ERJ-6GEYJ104V?qs=tQNqqtTOejL5eczyE2lY8g%3D%3D</t>
  </si>
  <si>
    <t>Schottky, 1A, 20 V, 1.8W, AEC-Q101</t>
  </si>
  <si>
    <t>Nexperia</t>
  </si>
  <si>
    <t>771-PMEG2010ER115</t>
  </si>
  <si>
    <t>PMEG2010ER,115</t>
  </si>
  <si>
    <t>SOD-123W-2</t>
  </si>
  <si>
    <t>https://www.mouser.jp/ProductDetail/Nexperia/PMEG2010ER115?qs=%2Fha2pyFadujp3dcHNPxbXRc0to8rNi1zAJyCRgSrARKx1if86CV9yw%3D%3D</t>
  </si>
  <si>
    <t>Bipolar Transistor</t>
  </si>
  <si>
    <t>100mA, 50V, NPN</t>
  </si>
  <si>
    <t>SC-75-3</t>
  </si>
  <si>
    <t xml:space="preserve">heater </t>
  </si>
  <si>
    <t>8-bit MCU, 64 pins, 128KB, Flash 4KB RAM, 16MIPS</t>
  </si>
  <si>
    <t>579-PIC18F67J94-I/MR</t>
  </si>
  <si>
    <t>QFN-64</t>
  </si>
  <si>
    <t>https://www.mouser.jp/ProductDetail/Microchip-Technology/PIC18F67J94-I-MR?qs=X98pPdo4Mrtoz2bAc5J%252B2Q%3D%3D</t>
  </si>
  <si>
    <t>Crystal ECX-64A</t>
  </si>
  <si>
    <t>16 MHz, +/-50ppm,+/-30ppm,20pF,60 Ohm</t>
  </si>
  <si>
    <t>ECS</t>
  </si>
  <si>
    <t>520-160-20-23A-TR</t>
  </si>
  <si>
    <t>ECS-160-20-23A-TR</t>
  </si>
  <si>
    <t>DFN, LLC</t>
  </si>
  <si>
    <t>https://www.mouser.jp/ProductDetail/ECS/ECS-160-20-23A-TR?qs=gmcn8Ik9O3Hh%252BetsovxP4A%3D%3D</t>
  </si>
  <si>
    <t>Clock Oscillator</t>
  </si>
  <si>
    <t>32.768 kHz +/-10 PPM -40/+125C AEC-Q200</t>
  </si>
  <si>
    <t>428-202834-MG01</t>
  </si>
  <si>
    <t>OV-7604-C7-32.768k-10PPM-TB-QA</t>
  </si>
  <si>
    <t>-----</t>
  </si>
  <si>
    <t>https://www.mouser.jp/ProductDetail/Micro-Crystal/OV-7604-C7-32768k-10PPM-TB-QA?qs=7bTaA%2FLYtSaIPRV8dgEc5Q%3D%3D</t>
  </si>
  <si>
    <t>Digital Bus Switch - SN74CB3Q3305PWRE4</t>
  </si>
  <si>
    <t>9 Ohms, 150 ps, 2 bit</t>
  </si>
  <si>
    <t>595-SN74CB3Q3305PWRE</t>
  </si>
  <si>
    <t>SN74CB3Q3305PWRE4</t>
  </si>
  <si>
    <t>TSSOP-8</t>
  </si>
  <si>
    <t>https://www.mouser.jp/ProductDetail/Texas-Instruments/SN74CB3Q3305PWRE4?qs=PVVDbbWpW3L24959x0v%252BLQ%3D%3D</t>
  </si>
  <si>
    <t>Buffer SN74LVC2G34DCK3</t>
  </si>
  <si>
    <t>Dual 1.65-V to 5.5-V buffers, -40 to 85 C</t>
  </si>
  <si>
    <t>595-SN74LVC2G34DCK3</t>
  </si>
  <si>
    <t>SN74LVC2G34DCK3</t>
  </si>
  <si>
    <t>https://www.mouser.jp/ProductDetail/Texas-Instruments/SN74LVC2G34DCK3?qs=sGAEpiMZZMutXGli8Ay4kJCrMScpRZEi7SiCxwx5uDg%3D</t>
  </si>
  <si>
    <t>NOR Flash SPI, 1 Gbit</t>
  </si>
  <si>
    <t>Micron</t>
  </si>
  <si>
    <t>340-287463-TRAY</t>
  </si>
  <si>
    <t>MT25QL01GBBB8ESF-0AAT</t>
  </si>
  <si>
    <t>SOP2-16</t>
  </si>
  <si>
    <t>https://www.mouser.jp/ProductDetail/Micron/MT25QL01GBBB8ESF-0AAT?qs=rrS6PyfT74cvqiYCIFe86w%3D%3D</t>
  </si>
  <si>
    <t>Power Management LTC4361-1</t>
  </si>
  <si>
    <t>Overvoltage/Overcurrent Protection Controller with Auto-Retry</t>
  </si>
  <si>
    <t>584-C4361CDC-2TRMPBF</t>
  </si>
  <si>
    <t>LTC4361CDC-2#TRMPBF</t>
  </si>
  <si>
    <t>DFN-8</t>
  </si>
  <si>
    <t>https://www.mouser.jp/ProductDetail/Analog-Devices/LTC4361CDC-2TRMPBF?qs=hVkxg5c3xu%2FJMWfT0rrc%252Bw%3D%3D</t>
  </si>
  <si>
    <t>XBee Dongle</t>
  </si>
  <si>
    <t>RF Development Tools Xbee Explorer Dongle</t>
  </si>
  <si>
    <t>474-WRL-11697</t>
  </si>
  <si>
    <t>WRL-11697</t>
  </si>
  <si>
    <t>https://www.mouser.jp/ProductDetail/SparkFun/WRL-11697?qs=WyAARYrbSnatN4p%252Buf7q5Q%3D%3D</t>
  </si>
  <si>
    <t>Analog to Digital Converter</t>
  </si>
  <si>
    <t>12-bit ADC I2C Single Channel - Address A0</t>
  </si>
  <si>
    <t>579-MCP3221A0T-E/OT</t>
  </si>
  <si>
    <t>MCP3221A0T-E/OT</t>
  </si>
  <si>
    <t>https://www.mouser.jp/ProductDetail/Microchip-Technology/MCP3221A0T-E-OT?qs=%2Fha2pyFaduj%2FJxr8oEGHBlqS1fyS8o5gkZrtFPFFhfjkTU3H89psbOVKL%252B9UnHRI</t>
  </si>
  <si>
    <t>12-bit ADC I2C Single Channel - Address A1</t>
  </si>
  <si>
    <t>579-MCP3221A1T-E/OT</t>
  </si>
  <si>
    <t>MCP3221A1T-E/OT</t>
  </si>
  <si>
    <t>https://www.mouser.jp/ProductDetail/Microchip-Technology/MCP3221A1T-E-OT?qs=%2Fha2pyFaduiyCfB0dE34TziMUsFLQYdGhnzATAKdlkIy%2FWIsFlQCtw%3D%3D</t>
  </si>
  <si>
    <t>12-bit ADC I2C Single Channel - Address A4</t>
  </si>
  <si>
    <t>579-MCP3221A4T-E/OT</t>
  </si>
  <si>
    <t>MCP3221A4T-E/OT</t>
  </si>
  <si>
    <t>https://www.mouser.jp/ProductDetail/Microchip-Technology/MCP3221A4T-E-OT?qs=%2Fha2pyFaduiyCfB0dE34T7oEL8xqwYeTmxqMomQlhRhgSQbxch49hQ%3D%3D</t>
  </si>
  <si>
    <t>Ordered only 1</t>
  </si>
  <si>
    <t>12-bit ADC I2C Single Channel - Address A5</t>
  </si>
  <si>
    <r>
      <rPr>
        <strike/>
        <sz val="10"/>
        <color rgb="FF000000"/>
        <rFont val="Arial, sans-serif"/>
      </rPr>
      <t>Mouser</t>
    </r>
    <r>
      <rPr>
        <sz val="10"/>
        <color rgb="FF000000"/>
        <rFont val="Arial, sans-serif"/>
      </rPr>
      <t xml:space="preserve"> (DigiKey)</t>
    </r>
  </si>
  <si>
    <t>579-MCP3221A5T-E/OT</t>
  </si>
  <si>
    <t>MCP3221A5T-E/OT</t>
  </si>
  <si>
    <t>https://www.mouser.jp/ProductDetail/Microchip-Technology/MCP3221A5T-E-OT?qs=%2Fha2pyFaduiyCfB0dE34T1%252BY4nlp3wEJ0YyKE4Hi8DDk9ursYHynXw%3D%3D</t>
  </si>
  <si>
    <t>Ordered In Digikey instead of Mouser</t>
  </si>
  <si>
    <t>12-bit ADC I2C Single Channel - Address A6</t>
  </si>
  <si>
    <t>579-MCP3221A6T-E/OT</t>
  </si>
  <si>
    <t>MCP3221A6T-E/OT</t>
  </si>
  <si>
    <t>https://www.mouser.jp/ProductDetail/Microchip-Technology/MCP3221A6T-E-OT?qs=uHi2%2FQoPa5AeHZNU7T59xQ%3D%3D</t>
  </si>
  <si>
    <t>12-bit ADC I2C Single Channel - Address A7</t>
  </si>
  <si>
    <t>579-MCP3221A7T-E/OT</t>
  </si>
  <si>
    <t>MCP3221A7T-E/OT</t>
  </si>
  <si>
    <t>https://www.mouser.jp/ProductDetail/Microchip-Technology/MCP3221A7T-E-OT?qs=%2Fha2pyFaduj%2FJxr8oEGHBmScmNd2E7L6WUwLA7t4eo6wdm4dbBkEo4s9cMwhR6kO</t>
  </si>
  <si>
    <t>Magnetometer Development Board</t>
  </si>
  <si>
    <t>MMC560x-B - Hall Effect, Evaluation Board</t>
  </si>
  <si>
    <t>438-MMC5603-B</t>
  </si>
  <si>
    <t>MMC5603NJ-B</t>
  </si>
  <si>
    <t>https://www.mouser.jp/ProductDetail/MEMSIC/MMC5603NJ-B?qs=wnTfsH77Xs6niCTtzeyRkw%3D%3D</t>
  </si>
  <si>
    <t>Hirose Connector DF14-4P-1.25H(24)</t>
  </si>
  <si>
    <t>Connector header face mount, right angle 4 poles 0.049" (1.25mm)</t>
  </si>
  <si>
    <t>798-DF14-4P-1.25H24</t>
  </si>
  <si>
    <t>DF14-4P-1.25H(24)</t>
  </si>
  <si>
    <t>https://www.mouser.jp/ProductDetail/Hirose-Connector/DF14-4P-125H24?qs=%2Fha2pyFaduhuSP%252ByOjB3dxqP7iQuTL43Gv1e8Mb64wOCcDUNJg7LbLCcuQO%252B6jS%2F</t>
  </si>
  <si>
    <t>Hirose Connector DF14-4S-1.25C</t>
  </si>
  <si>
    <t>Wire Housings 1.25MM single row 4 poles</t>
  </si>
  <si>
    <t>798-DF14-4S-1.25C</t>
  </si>
  <si>
    <t>DF14-4S-1.25C</t>
  </si>
  <si>
    <t>https://www.mouser.jp/ProductDetail/Hirose-Connector/DF14-4S-125C?qs=%2Fha2pyFadug%252B8pmd3HiP6kQV6s1%252BzC0a%2F2CFMA25kNDx6b6YogN%2F5Q%3D%3D</t>
  </si>
  <si>
    <t>Hirose Connector Contact Female Pin</t>
  </si>
  <si>
    <t>26-28 AWG SOCKET GOLD CONTACTS</t>
  </si>
  <si>
    <t>798-DF14-2628SCFA</t>
  </si>
  <si>
    <t>DF14-2628SCFA</t>
  </si>
  <si>
    <t>https://www.mouser.jp/ProductDetail/Hirose-Connector/DF14-2628SCFA?qs=zOgoZG1CgI%2FlU9yUnyxQOQ%3D%3D</t>
  </si>
  <si>
    <t>Female Header Socket (2mm)</t>
  </si>
  <si>
    <t>Single Row, 10 Positions, 2 mm pitch</t>
  </si>
  <si>
    <t>200-MMS11001LSV</t>
  </si>
  <si>
    <t>MMS-110-01-L-SV</t>
  </si>
  <si>
    <t>https://www.mouser.jp/ProductDetail/Samtec/MMS-110-01-L-SV?qs=%2Fha2pyFaduibr1eae4uMWCm1EsU5IadkrgtR0F2Q5w2hd4dopCv7gg%3D%3D</t>
  </si>
  <si>
    <t>Male Header Socket (2mm)</t>
  </si>
  <si>
    <t>Double Row, 50 Positions, 2 mm pitch</t>
  </si>
  <si>
    <t>538-87760-5016</t>
  </si>
  <si>
    <t>87760-5016</t>
  </si>
  <si>
    <t>https://www.mouser.jp/ProductDetail/Molex/87760-5016?qs=W6FIH8d5%2F%2F0sUr9EjlpfrA%3D%3D</t>
  </si>
  <si>
    <t>Male Header Socket (2.54 mm)</t>
  </si>
  <si>
    <t>Single Row, 22 Positions, 2.54 mm pitch</t>
  </si>
  <si>
    <t>Wurth Electronic</t>
  </si>
  <si>
    <t>710-61302211021</t>
  </si>
  <si>
    <t>https://www.mouser.jp/ProductDetail/Wurth-Elektronik/61302211021?qs=PhR8RmCirEZxdHAo9a5ENQ%3D%3D</t>
  </si>
  <si>
    <t>Male Header MTSW</t>
  </si>
  <si>
    <t>Double Row, 52 Positions, 2.54 pitch</t>
  </si>
  <si>
    <t>200-MTSW12608GD340</t>
  </si>
  <si>
    <t>MTSW-126-08-G-D-340</t>
  </si>
  <si>
    <t>https://www.mouser.jp/ProductDetail/Samtec/MTSW-126-08-G-D-340?qs=%2Fha2pyFaduhPnpKZm7qeLBYzPbDAW7pS%2FactvKEZsKevQo91oRxs%2FKzsBX8By%252BUO</t>
  </si>
  <si>
    <t>Just 2 units ordered</t>
  </si>
  <si>
    <t>Gyroscope X (Pitch), Y (Roll) Z (Yaw) ±245 4.45Hz to 483Hz I²C</t>
  </si>
  <si>
    <t>497-13200-1-ND</t>
  </si>
  <si>
    <t>A3G4250DTR</t>
  </si>
  <si>
    <t>TFLGA-16</t>
  </si>
  <si>
    <t>https://www.digikey.jp/product-detail/ja/stmicroelectronics/A3G4250DTR/497-13200-1-ND/3594324</t>
  </si>
  <si>
    <t>Inverter TC74HC04APF</t>
  </si>
  <si>
    <t>IC INVERTER 6CH, 14DIP</t>
  </si>
  <si>
    <t>TC74HC04APF-ND</t>
  </si>
  <si>
    <t>TC74HC04APF</t>
  </si>
  <si>
    <t>14-DIP</t>
  </si>
  <si>
    <t>https://www.digikey.jp/product-detail/ja/toshiba-semiconductor-and-storage/TC74HC04APF/TC74HC04APF-ND/870457</t>
  </si>
  <si>
    <t>Photodiode S1087</t>
  </si>
  <si>
    <t>Si Photodiode 320 to 730 nm</t>
  </si>
  <si>
    <t>Hamamatsu Photonics</t>
  </si>
  <si>
    <t>Si photodiode S1087 | Hamamatsu Photonics</t>
  </si>
  <si>
    <t>HDMI to VGA adapter</t>
  </si>
  <si>
    <t>HDMI to VGA adapter, 1.8 m</t>
  </si>
  <si>
    <t>GST PCB for Uganda</t>
  </si>
  <si>
    <t>100x100mm GST PCB with 5V line</t>
  </si>
  <si>
    <t>JLCPCB</t>
  </si>
  <si>
    <t>Y7-3392505A</t>
  </si>
  <si>
    <t>Antenna materials</t>
  </si>
  <si>
    <t>Aluminum rod, PVC pipes, screws</t>
  </si>
  <si>
    <t>Commercial LoRa Module</t>
  </si>
  <si>
    <t>LHT65 LORAWAN TEMPERATURE &amp; HUMI</t>
  </si>
  <si>
    <t>1597-113990755-ND</t>
  </si>
  <si>
    <t>https://www.digikey.jp/product-detail/ja/seeed-technology-co-ltd/113990755/1597-113990755-ND/10492213</t>
  </si>
  <si>
    <t>Commercial LoRa Gateway</t>
  </si>
  <si>
    <t>LG01-N 1CH LORA GATEWAY 915MHZ</t>
  </si>
  <si>
    <t>1597-1750-ND</t>
  </si>
  <si>
    <t>https://www.digikey.jp/product-detail/ja/seeed-technology-co-ltd/113990662/1597-1750-ND/10060370</t>
  </si>
  <si>
    <t>LoRa GPS Tracker</t>
  </si>
  <si>
    <t>LILYGO® TTGOT-Beamv1.0ESP32 LoRa 433/868 / 915Mhz WiFi GPS NEO-6M 18650 WiFi Bluetooth Board Module --923MHz</t>
  </si>
  <si>
    <t>LilyGo</t>
  </si>
  <si>
    <t>Banggood</t>
  </si>
  <si>
    <r>
      <rPr>
        <u/>
        <sz val="10"/>
        <color rgb="FF1155CC"/>
        <rFont val="Arial, sans-serif"/>
      </rPr>
      <t>https://www.banggood.com/ja/LILYGO-TTGO-T-Beam-v1_0-ESP32-LoRa-433-or-868-or-915Mhz-WiFi-GPS-NEO-6M-18650-WiFi-bluetooth-Board-Module-p-1609523.html?gmcCountry=JP&amp;currency=JPY&amp;cur_warehouse=CN&amp;createTmp=1&amp;ID=6269370</t>
    </r>
    <r>
      <rPr>
        <u/>
        <sz val="10"/>
        <color rgb="FF0563C1"/>
        <rFont val="Arial, sans-serif"/>
      </rPr>
      <t>0</t>
    </r>
  </si>
  <si>
    <t>Connector header through hole 8 poles 0.049 inch (1.25 mm)</t>
  </si>
  <si>
    <t>WM1737-ND</t>
  </si>
  <si>
    <t>https://www.digikey.jp/products/ja?keywords=530470810</t>
  </si>
  <si>
    <t>LTO50 series 50 W thick film type power resistor</t>
  </si>
  <si>
    <t>Farnell</t>
  </si>
  <si>
    <t>LTO050FR4700JTE3</t>
  </si>
  <si>
    <t>TO-220 package</t>
  </si>
  <si>
    <t>https://www.transistor-mosfet.com/transistor?search=LTO050FR4700JTE3</t>
  </si>
  <si>
    <t>ジュラルミンプレート</t>
  </si>
  <si>
    <t>A2017 150mm*100mm T=5mm</t>
  </si>
  <si>
    <t>ALDH-150-100-5</t>
  </si>
  <si>
    <t>https://jp.misumi-ec.com/vona2/detail/110300539120/?KWSearch=A2017%20%e3%83%97%e3%83%ac%e3%83%bc%e3%83%88&amp;searchFlow=results2products&amp;list=PageSearchResult</t>
  </si>
  <si>
    <t>Dep SW Cable</t>
  </si>
  <si>
    <t>32 AWG Hook-Up Wire Solid Green 250V 100.0' (30.5m)</t>
  </si>
  <si>
    <t>33201GR005-ND</t>
  </si>
  <si>
    <t>33201 GR005</t>
  </si>
  <si>
    <t>https://www.digikey.jp/product-detail/en/alpha-wire/33201-GR005/33201GR005-ND/4928045</t>
  </si>
  <si>
    <t>RF- Amplifier</t>
  </si>
  <si>
    <t>BTECH AMP-V25 Amplifier for VHF (136-174MHz), 20-40W Output (2-6W Input)</t>
  </si>
  <si>
    <t>Amp-V25</t>
  </si>
  <si>
    <t>Amp-V26</t>
  </si>
  <si>
    <t>HAM Antenna</t>
  </si>
  <si>
    <t xml:space="preserve">UV yagi antenna 430-440 143-146MHZ 10dbi </t>
  </si>
  <si>
    <t>HYS</t>
  </si>
  <si>
    <t>https://www.amazon.com/HYS-Dual-Band-11-5dBi-Repeater-TC-YG08UV/dp/B086YTJLSH</t>
  </si>
  <si>
    <t>DC-DC converter</t>
  </si>
  <si>
    <t>20W ADJUSTABLE DC-DC BUCK CONVERTER</t>
  </si>
  <si>
    <t>DFRobot</t>
  </si>
  <si>
    <t>1738-1293-ND</t>
  </si>
  <si>
    <t>DFR0379</t>
  </si>
  <si>
    <t>https://www.digikey.jp/product-detail/ja/dfrobot/DFR0379/1738-1293-ND/7087190?utm_adgroup=IoT&amp;utm_source=google&amp;utm_medium=cpc&amp;utm_campaign=Smart%20Shopping_Product_IoT&amp;utm_term=&amp;productid=7087190&amp;gclid=CjwKCAjw47eFBhA9EiwAy8kzNIk2umIp_TINebcQqJ240KrdLaZcsZPoBZpaKord2yVKcSjVZMpelhoCHTEQAvD_BwE</t>
  </si>
  <si>
    <t xml:space="preserve">12V, 7AH VRLA </t>
  </si>
  <si>
    <t>BB Battery</t>
  </si>
  <si>
    <t>522-BC7-12-T2-ND</t>
  </si>
  <si>
    <t>BC7-12-T2</t>
  </si>
  <si>
    <t>https://www.digikey.jp/product-detail/ja/b-b-battery/BC7-12-T2/522-BC7-12-T2-ND/10478930?utm_adgroup=Batteries%20Rechargeable%20%28Secondary%29&amp;utm_source=google&amp;utm_medium=cpc&amp;utm_campaign=Shopping_Product_Battery%20Products&amp;utm_term=&amp;productid=10478930&amp;gclid=CjwKCAjwiLGGBhAqEiwAgq3q_pqo4KHhgnw3gn6EtI4sMDK7kmcpRWertzpSlzsuTw84ErBVhZveuRoCMTUQAvD_BwE</t>
  </si>
  <si>
    <t>Front End Board</t>
  </si>
  <si>
    <t>S-band to 100MHz Downconverter</t>
  </si>
  <si>
    <t>BIRDS-5 +X board EM</t>
  </si>
  <si>
    <t>Arduino nano</t>
  </si>
  <si>
    <t>1050-1001-ND</t>
  </si>
  <si>
    <t>A000005</t>
  </si>
  <si>
    <t>https://www.digikey.jp/product-detail/ja/arduino---bcmi-us-llc/A000005/1050-1001-ND/2638989</t>
  </si>
  <si>
    <t>バッテリ</t>
  </si>
  <si>
    <t xml:space="preserve">Kamitani </t>
  </si>
  <si>
    <t>eneloop</t>
  </si>
  <si>
    <t>BK-3MCC/4C</t>
  </si>
  <si>
    <t>https://www.monotaro.com/g/04137277/?displayId=20</t>
  </si>
  <si>
    <t>USRP SDR for OPERA EM</t>
  </si>
  <si>
    <t>ＵＳＲＰ　Ｂ２０５ＭＩＮＩ－Ｉ　１×１　ボード単体</t>
  </si>
  <si>
    <t>Ettus</t>
  </si>
  <si>
    <t>M-15855</t>
  </si>
  <si>
    <t>784417-01</t>
  </si>
  <si>
    <t>https://akizukidenshi.com/catalog/g/gM-15855/</t>
  </si>
  <si>
    <t>shipped out on Jul. 26</t>
  </si>
  <si>
    <t>LoRa Receiver PCB shipping</t>
  </si>
  <si>
    <t>Shipping to Sri Lanka</t>
  </si>
  <si>
    <t>レンチソケット</t>
  </si>
  <si>
    <t>差込角6.35 ニ面幅9/16 ディープソケット</t>
  </si>
  <si>
    <t>KOKEN</t>
  </si>
  <si>
    <t>2305A-9-16</t>
  </si>
  <si>
    <t>https://jp.misumi-ec.com/vona2/detail/223006836550/?CategorySpec=00000019223%3a%3aa%0900000019224%3a%3amig00000002463732%0900000019228%3a%3amig00000002492375&amp;list=PageCategory</t>
  </si>
  <si>
    <t>ショートヘキサゴンソケット</t>
  </si>
  <si>
    <t xml:space="preserve">差込角6.35 ニ面幅6 </t>
  </si>
  <si>
    <t>スエカゲツール</t>
  </si>
  <si>
    <t>HS060</t>
  </si>
  <si>
    <t>https://jp.misumi-ec.com/vona2/detail/223004991831/?CategorySpec=00000019223%3a%3aa%0900000019224%3a%3amig00000002463732%0900000019228%3a%3anvd00000000000026%0900000112089%3a%3ab&amp;list=PageCategory</t>
  </si>
  <si>
    <t>差込角6.35 ニ面幅5</t>
  </si>
  <si>
    <t>HS050</t>
  </si>
  <si>
    <t>https://jp.misumi-ec.com/vona2/detail/223004991831/?CategorySpec=00000019223%3a%3aa%0900000019224%3a%3amig00000002463732%0900000019228%3a%3anvd00000000000022%0900000112089%3a%3ab&amp;list=PageCategory</t>
  </si>
  <si>
    <t>ソケットアダプタ</t>
  </si>
  <si>
    <t>差込角6.35 9.5</t>
  </si>
  <si>
    <t>TONE</t>
  </si>
  <si>
    <t>https://jp.misumi-ec.com/vona2/detail/223000325108/</t>
  </si>
  <si>
    <t>差込角9.5 6.35</t>
  </si>
  <si>
    <t>https://jp.misumi-ec.com/vona2/detail/223000329719/</t>
  </si>
  <si>
    <t>Shipping to Paraguay</t>
  </si>
  <si>
    <t>BIRDS-5 FAB基板 修理</t>
  </si>
  <si>
    <t xml:space="preserve">Antenna for LoRa Receiver </t>
  </si>
  <si>
    <t>RF ANT 433MHZ WHIP RA SMA MALE</t>
  </si>
  <si>
    <t>931-1069-ND</t>
  </si>
  <si>
    <t>TI.10.0112</t>
  </si>
  <si>
    <t>https://www.digikey.jp/product-detail/en/taoglas-limited/TI-10-0112/931-1069-ND/2332696</t>
  </si>
  <si>
    <t>Alluminum tape</t>
  </si>
  <si>
    <t>運営費に変更</t>
  </si>
  <si>
    <t>Daiso</t>
  </si>
  <si>
    <t>Alluminum foil</t>
  </si>
  <si>
    <t>Styrofoam block</t>
  </si>
  <si>
    <t>536-1350</t>
  </si>
  <si>
    <t>LM358M/NOPB</t>
  </si>
  <si>
    <t>https://jp.rs-online.com/web/p/op-amps/5361350</t>
  </si>
  <si>
    <t>---</t>
  </si>
  <si>
    <t>812-2543</t>
  </si>
  <si>
    <t>OPA2170AID</t>
  </si>
  <si>
    <t>https://jp.rs-online.com/web/p/op-amps/8122543</t>
  </si>
  <si>
    <t>ADUM3151ARSZ-RL7CT-ND</t>
  </si>
  <si>
    <t>ADUM3151ARSZ-RL7</t>
  </si>
  <si>
    <t>https://www.digikey.jp/product-detail/ja/analog-devices-inc/ADUM3151ARSZ-RL7/ADUM3151ARSZ-RL7CT-ND/5012041</t>
  </si>
  <si>
    <t>高電圧 - 絶縁モジュール DC/DCコンバータ 1 出力 -200V 5mA 0.7V - 5V 入力</t>
  </si>
  <si>
    <t>https://www.digikey.jp/product-detail/ja/xp-power/A02N-5/1470-3178-ND/5873488</t>
  </si>
  <si>
    <t>絶縁モジュール DC/DCコンバータ 2 出力 9V -9V 111mA、111mA 4.5V - 5.5V 入力</t>
  </si>
  <si>
    <t>BPB/OBC</t>
  </si>
  <si>
    <t>https://www.digikey.jp/products/ja?keywords=PIC18F67J94-IMR</t>
  </si>
  <si>
    <t>ATMEGA32U4-MU</t>
  </si>
  <si>
    <t>16 MHz, QFN/MLF, Ind Temp, Green</t>
  </si>
  <si>
    <t xml:space="preserve">ATMEGA32U4RC-MU
</t>
  </si>
  <si>
    <t>VQFN</t>
  </si>
  <si>
    <t>Micro-Orbiter</t>
  </si>
  <si>
    <t>LoRA Mission board</t>
  </si>
  <si>
    <t>https://www.microchipdirect.com/product/ATMEGA32U4RC-MU</t>
  </si>
  <si>
    <t>BLUESCHIP</t>
  </si>
  <si>
    <t>https://www.blueschip-store.com/parts/MT25QL01GBBB8ESF-0SIT/102061.html</t>
  </si>
  <si>
    <t>Tin snip</t>
  </si>
  <si>
    <t>https://www.monotaro.com/g/04175885/?displayId=103</t>
  </si>
  <si>
    <t>Antenna 700-2600MHz</t>
  </si>
  <si>
    <t>4G LTE Antenna Full Band SMA Male Connector 25dBi 4G LTE 700-2600MHz</t>
  </si>
  <si>
    <t>Mugast</t>
  </si>
  <si>
    <t>B07PDJVSQZ</t>
  </si>
  <si>
    <t>Mugastg0zuhkf765</t>
  </si>
  <si>
    <t>SVBL 2F Control Room</t>
  </si>
  <si>
    <t>https://www.amazon.co.jp/-/en/Antenna-Connector-Durable-Amplifier-700-2600MHz/dp/B07PDJVSQZ/ref=sr_1_9?dchild=1&amp;keywords=%E3%82%A2%E3%83%B3%E3%83%86%E3%83%8A4+g&amp;qid=1625643212&amp;sr=8-9</t>
  </si>
  <si>
    <t>Antenna 400-470mhz</t>
  </si>
  <si>
    <t>SMA Male Connector UHF Antenna Telescope 16cm TH-G71A Kenwood</t>
  </si>
  <si>
    <t xml:space="preserve">	B017NIK3CG</t>
  </si>
  <si>
    <t>a13111400ux0469jp</t>
  </si>
  <si>
    <t>https://www.amazon.co.jp/-/en/Connector-Antenna-Telescope-TH-G71A-Kenwood/dp/B017NIK3CG/ref=sr_1_2?dchild=1&amp;keywords=antenna+uhf+sma&amp;qid=1625643301&amp;sr=8-2</t>
  </si>
  <si>
    <t>SSD 500GB SATA 2.5in</t>
  </si>
  <si>
    <t>Crucial Solid State Drive (SSD)</t>
  </si>
  <si>
    <t>Crucial</t>
  </si>
  <si>
    <t xml:space="preserve">	B077PPN5NN</t>
  </si>
  <si>
    <t xml:space="preserve">	‎CT500MX500SSD1/JP</t>
  </si>
  <si>
    <t>https://www.amazon.co.jp/-/en/Crucial-Solid-State-Drive-SSD/dp/B077PPN5NN/ref=sr_1_5?dchild=1&amp;keywords=ssd&amp;qid=1625731299&amp;sr=8-5&amp;th=1</t>
  </si>
  <si>
    <t>50pin Female connctor</t>
  </si>
  <si>
    <t>https://www.digikey.jp/products/ja?keywords=H10903-ND</t>
  </si>
  <si>
    <t>コンデンサ 22μF</t>
  </si>
  <si>
    <t>22µF ±20% 10V セラミックコンデンサ X5R 0805（2012メートル法）</t>
  </si>
  <si>
    <t>587-5464-1-ND</t>
  </si>
  <si>
    <t xml:space="preserve">LMK212BBJ226MG-T
</t>
  </si>
  <si>
    <t>https://www.digikey.jp/products/ja?keywords=587-5464-1-ND</t>
  </si>
  <si>
    <t>コンデンサ 4.7uF</t>
  </si>
  <si>
    <t>4.7µF ±20% 10V セラミックコンデンサ X7R 0805（2012メートル法）</t>
  </si>
  <si>
    <t>587-4917-1-ND</t>
  </si>
  <si>
    <t xml:space="preserve">LMK212B7475MG-T
</t>
  </si>
  <si>
    <t>バッファ</t>
  </si>
  <si>
    <t>662-8963</t>
  </si>
  <si>
    <t xml:space="preserve">SN74LVC2G34DBVR
</t>
  </si>
  <si>
    <t>https://jp.rs-online.com/web/p/buffers/6628963/?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534E37344C56433247333444425652267365617263685F6B6579776F72645F6170703D534E37344C56433247333444425652267365617263685F636F6E6669673D3126&amp;searchHistory=%7B%22enabled%22%3Atrue%7D</t>
  </si>
  <si>
    <t>レギュレーター</t>
  </si>
  <si>
    <t xml:space="preserve">	ON Semiconductor</t>
  </si>
  <si>
    <t>リアクタンス</t>
  </si>
  <si>
    <t xml:space="preserve">BLM18AG601SN1D
</t>
  </si>
  <si>
    <t>https://www.digikey.jp/products/ja?keywords=490-1014-1-ND</t>
  </si>
  <si>
    <t>コンデンサ10uF</t>
  </si>
  <si>
    <t>https://www.digikey.jp/products/ja?keywords=490-12283-1-ND</t>
  </si>
  <si>
    <t>抵抗 150mΩ</t>
  </si>
  <si>
    <t>150 mOhms ±1% 0.167W、1/6W チップ抵抗 0402（1005メートル法） 車載用AEC-Q200、電流センス 厚膜</t>
  </si>
  <si>
    <t>P.15AKCT-ND</t>
  </si>
  <si>
    <t>ERJ-2BSFR15X</t>
  </si>
  <si>
    <t>https://www.digikey.jp/product-detail/ja/panasonic-electronic-components/ERJ-2BSFR15X/P-15AKCT-ND/671275</t>
  </si>
  <si>
    <t>ピンヘッダー(ピン) PCB取付穴径Φ0.8 PSR-210154-00(H=1.5)</t>
  </si>
  <si>
    <t>https://www.monotaro.com/g/01213824/?t.q=PSR-210154-12</t>
  </si>
  <si>
    <t>12 pin male pin header</t>
  </si>
  <si>
    <t>https://www.monotaro.com/g/01213789/?t.q=PSS-210204-12</t>
  </si>
  <si>
    <t>±2電源, 単一電源 オペアンプ, 2.7 → 36 V,1 表面実装, 5-Pin SOT-23 レール to レール出力</t>
  </si>
  <si>
    <t>812-2527</t>
  </si>
  <si>
    <t>https://jp.rs-online.com/web/p/op-amps/8122527</t>
  </si>
  <si>
    <t>7チャンネル デジタルアイソレーター, 3750 V ac, 20-Pin SSOP PCB SMT</t>
  </si>
  <si>
    <t>840-6689</t>
  </si>
  <si>
    <t>ADUM3151BRSZ</t>
  </si>
  <si>
    <t>https://jp.rs-online.com/web/p/digital-isolators/8406689</t>
  </si>
  <si>
    <t>温度センサ IC, ±2°C, 電圧, 8-Pin SOIC</t>
  </si>
  <si>
    <t>412-973</t>
  </si>
  <si>
    <t>https://jp.rs-online.com/web/p/temperature-humidity-sensor-ics/0412973/?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544D50333646535A267365617263685F6B6579776F72645F6170703D544D50333646535A267365617263685F636F6E6669673D3126&amp;searchHistory=%7B%22enabled%22%3Atrue%7D</t>
  </si>
  <si>
    <t>ソリッドステートリレー 最大負荷電圧:60 V 最大負荷電流:4 A 基板実装</t>
  </si>
  <si>
    <t>パナソニック</t>
  </si>
  <si>
    <t>699-6632</t>
  </si>
  <si>
    <t>https://jp.rs-online.com/web/p/solid-state-relays/6996632</t>
  </si>
  <si>
    <t>Alluminum foil with Silicone Resin</t>
  </si>
  <si>
    <t>Titanium Cutter</t>
  </si>
  <si>
    <t>644-1192-1-ND</t>
  </si>
  <si>
    <t>NX5032GB-16MHZ-STD-CSK-5</t>
  </si>
  <si>
    <t>https://www.digikey.jp/product-detail/en/ndk-america-inc/NX5032GB-16MHZ-STD-CSK-5/644-1192-1-ND/3125581</t>
  </si>
  <si>
    <t>SX1276</t>
  </si>
  <si>
    <t>IC RF TxRx Only 802.15.4 LoRa™ 137MHz ~ 1.02GHz 28-VQFN Exposed Pad</t>
  </si>
  <si>
    <t>SX1276IMLTRTDKR-ND</t>
  </si>
  <si>
    <t>SX1276IMLTRT</t>
  </si>
  <si>
    <t>https://www.digikey.jp/product-detail/en/semtech-corporation/SX1276IMLTRT/SX1276IMLTRTDKR-ND/4259552</t>
  </si>
  <si>
    <t>Female Header 6 POS</t>
  </si>
  <si>
    <t>CONN HEADER VERT 6POS 1MM</t>
  </si>
  <si>
    <t>Samtec Inc</t>
  </si>
  <si>
    <t>CLM-103-02-F-D-TR</t>
  </si>
  <si>
    <t>https://www.digikey.jp/product-detail/en/samtec-inc/CLM-103-02-F-D-TR/SAM13368CT-ND/9593662</t>
  </si>
  <si>
    <t>Capacitor 2400pF</t>
  </si>
  <si>
    <t>CAP CER 2400PF 50V 0805</t>
  </si>
  <si>
    <t>Knowles Novacap</t>
  </si>
  <si>
    <t>1761-1078-ND</t>
  </si>
  <si>
    <t>C08BL242X-5UN-X0B</t>
  </si>
  <si>
    <t>https://www.digikey.jp/product-detail/en/knowles-novacap/C08BL242X-5UN-X0T/1761-1076-1-ND/7596239</t>
  </si>
  <si>
    <t>Capacitor 3.3pF</t>
  </si>
  <si>
    <t>CAP CER 3.3PF 50V C0G/NP0 0402</t>
  </si>
  <si>
    <t>490-3095-1-ND</t>
  </si>
  <si>
    <t>GJM1555C1H3R3CB01D</t>
  </si>
  <si>
    <t>https://www.digikey.jp/product-detail/en/murata-electronics/GJM1555C1H3R3CB01D/490-3095-1-ND/702361</t>
  </si>
  <si>
    <t>Capacitor 100uF</t>
  </si>
  <si>
    <t>100µF ±20% 6.3V Ceramic Capacitor X5R 1210 (3225 Metric)</t>
  </si>
  <si>
    <t>1276-1092-1-ND</t>
  </si>
  <si>
    <t>https://www.digikey.jp/product-detail/en/samsung-electro-mechanics/CL32A107MQVNNNE/1276-1092-1-ND/3889178</t>
  </si>
  <si>
    <t>Inductor 10nH</t>
  </si>
  <si>
    <t>10nH Unshielded Multilayer Inductor 250mA 450mOhm Max 0402 (1005 Metric)</t>
  </si>
  <si>
    <t>Johanson Technology Inc</t>
  </si>
  <si>
    <t>712-1407-1-ND</t>
  </si>
  <si>
    <t>L-07C10NJV6T</t>
  </si>
  <si>
    <t>https://www.digikey.jp/product-detail/en/johanson-technology-inc/L-07C10NJV6T/712-1407-1-ND/1840085</t>
  </si>
  <si>
    <t>SMT Low Noise Amplifier</t>
  </si>
  <si>
    <t>SMT Low Noise Amplifier, DC - 2000 MHz, 50Ω</t>
  </si>
  <si>
    <t>32MHz ±10ppm Crystal 10pF 40 Ohms 4-SMD, No Lead</t>
  </si>
  <si>
    <t>50-ECS-320-10-36B-CKM-CT-ND</t>
  </si>
  <si>
    <t>ECS-320-10-36B-CKM-TR</t>
  </si>
  <si>
    <t>https://www.digikey.jp/product-detail/en/ecs-inc/ECS-320-10-36B-CKM-TR/50-ECS-320-10-36B-CKM-CT-ND/12349503</t>
  </si>
  <si>
    <t>IC FRAM 64KBIT SPI 40MHZ 8SOP</t>
  </si>
  <si>
    <t>Capacitor 0.1uF</t>
  </si>
  <si>
    <t>1276-CL10B104KB8NNNLCT-ND</t>
  </si>
  <si>
    <t>CL10B104KB8NNNL</t>
  </si>
  <si>
    <t>1608/0603</t>
  </si>
  <si>
    <t>https://www.digikey.jp/product-detail/ja/samsung-electro-mechanics/CL10B104KB8NNNL/1276-CL10B104KB8NNNLCT-ND/10320686</t>
  </si>
  <si>
    <t>MMCX Connector Jack, Female Socket 50Ohm Through Hole, Right Angle Solder</t>
  </si>
  <si>
    <t>SAM10615-ND</t>
  </si>
  <si>
    <t>MMCX-J-P-H-RA-TH1</t>
  </si>
  <si>
    <t>https://www.digikey.jp/product-detail/en/samtec-inc/MMCX-J-P-H-RA-TH1/SAM10615-ND/6561608</t>
  </si>
  <si>
    <t>NPN Transistor</t>
  </si>
  <si>
    <t>Splitter 2 way</t>
  </si>
  <si>
    <t>運営費 (SpaceBDへ変更)</t>
  </si>
  <si>
    <t>2 Ways MMIC DC Pass Power Splitter, 810 - 960 MHz, 50Ω</t>
  </si>
  <si>
    <t>BP2C+</t>
  </si>
  <si>
    <t>https://www.minicircuits.com/WebStore/dashboard.html?model=BP2C%2B</t>
  </si>
  <si>
    <t>Splitter 4 way</t>
  </si>
  <si>
    <t>4 Ways MMIC Power Splitter, 810 - 960 MHz, 50Ω</t>
  </si>
  <si>
    <t>BP4C+</t>
  </si>
  <si>
    <t>https://www.minicircuits.com/WebStore/dashboard.html?model=BP4C%2B</t>
  </si>
  <si>
    <t>RF Choke</t>
  </si>
  <si>
    <t>Molex connecter cable</t>
  </si>
  <si>
    <t>8 Rectangular Cable Assembly Socket-Socket 0.984 ft (300.00 mm, 11.81 inch)</t>
  </si>
  <si>
    <t>WM15275-ND</t>
  </si>
  <si>
    <t>LoRa Mision</t>
  </si>
  <si>
    <t>https://www.digikey.jp/product-detail/ja/molex/0151340803/WM15275-ND/6198165</t>
  </si>
  <si>
    <t>920MHz LoRa Receiver Board</t>
  </si>
  <si>
    <t>90mm x 86mm LoRa Reciever PCB</t>
  </si>
  <si>
    <t>1.25mm Molex connector</t>
  </si>
  <si>
    <t>Molex Connector Housing 8 Pole Pitch: 1.25mm 1 Row 51021-0800</t>
  </si>
  <si>
    <t>279-9184</t>
  </si>
  <si>
    <t>51021-0800</t>
  </si>
  <si>
    <t>https://jp.rs-online.com/web/p/wire-housings-plugs/2799184/?sra=pmpn</t>
  </si>
  <si>
    <t>Power feedthrough</t>
  </si>
  <si>
    <t>8 pins, 1 kVDC, 25 A, ICF34 flange with  ICF34/70 flange adapter</t>
  </si>
  <si>
    <t>PeTT chamber</t>
  </si>
  <si>
    <t>USB feedthrough</t>
  </si>
  <si>
    <t>USB 3.0 port, hermetic connector &amp; seal with ICF70 flange</t>
  </si>
  <si>
    <t>LAN feedthrough</t>
  </si>
  <si>
    <t>LAN port, hermetic connector &amp; seal with ICF70 flange</t>
  </si>
  <si>
    <t>VG125 to ICF70 flange adapter</t>
  </si>
  <si>
    <t>VG125/ICF70 flange adapter</t>
  </si>
  <si>
    <t>ICF cross flange nipple/ adapter</t>
  </si>
  <si>
    <t>ICF114X1, ICF70X4</t>
  </si>
  <si>
    <t>ICF34 copper gasket</t>
  </si>
  <si>
    <t>ICF34 copper gasket; 10^-10 Pa ultimate vacuum</t>
  </si>
  <si>
    <t>CeNT&amp; LaSEINE</t>
  </si>
  <si>
    <t>ICF70 copper gasket</t>
  </si>
  <si>
    <t>ICF70 copper gasket; 10^-10 Pa ultimate vacuum</t>
  </si>
  <si>
    <t>Dottite</t>
  </si>
  <si>
    <t>Connector housing for Deployment Swicthes</t>
  </si>
  <si>
    <t>https://jp.rs-online.com/web/p/wire-housings-plugs/6322081/</t>
  </si>
  <si>
    <t>Cable USB-UART 3.3V</t>
  </si>
  <si>
    <t>USB cable for 3.3V level UART</t>
  </si>
  <si>
    <t>FTDI</t>
  </si>
  <si>
    <t>751-1172</t>
  </si>
  <si>
    <t>C232HD-DDHSP-0</t>
  </si>
  <si>
    <t>https://jp.rs-online.com/web/p/development-tool-accessories/7511172/?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4332333248442D44444853502D30267365617263685F6B6579776F72645F6170703D4332333248442D44444853502D30267365617263685F636F6E6669673D3126&amp;searchHistory=%7B%22enabled%22%3Atrue%7D</t>
  </si>
  <si>
    <t>Mechanical Stopwatch</t>
  </si>
  <si>
    <t>Brand: Ultrak, Dimensions: 9.9x7.4x2.8cm (LxWxH), Weight: 0.3 lbs</t>
  </si>
  <si>
    <t>Ultrak</t>
  </si>
  <si>
    <t>B002YRZTAS</t>
  </si>
  <si>
    <t>https://www.amazon.co.jp/Ultrak-Mechanical-Stopwatch-by/dp/B002YRZTAS/ref=sr_1_35?__mk_ja_JP=%E3%82%AB%E3%82%BF%E3%82%AB%E3%83%8A&amp;dchild=1&amp;keywords=Mechanical+stopwatch&amp;qid=1626178395&amp;sr=8-35</t>
  </si>
  <si>
    <t>Receptacle Connector, 4 pin</t>
  </si>
  <si>
    <t>Testbed and EM Backplane</t>
  </si>
  <si>
    <t>Connector Header, 16POS 2mm</t>
  </si>
  <si>
    <t>Connector Header Surface Mount 2x8 position 0.079" (2.00mm)</t>
  </si>
  <si>
    <t>H124552TR-ND</t>
  </si>
  <si>
    <t>DF11CZ-16DP-2V(27</t>
  </si>
  <si>
    <t xml:space="preserve">Testbed </t>
  </si>
  <si>
    <t>https://www.digikey.jp/product-detail/en/hirose-electric-co-ltd/DF11CZ-16DP-2V-27/H124552CT-ND/5155855</t>
  </si>
  <si>
    <t>https://www.digikey.jp/products/en?keywords=%20490-1014-1-ND</t>
  </si>
  <si>
    <t>2 Position Wire to Board Terminal Block Horizontal with Board 0.200" (5.08mm)</t>
  </si>
  <si>
    <t>Altech Corporation</t>
  </si>
  <si>
    <t>1920-1323-ND</t>
  </si>
  <si>
    <t>https://www.digikey.jp/product-detail/en/altech-corporation/34-102/1920-1323-ND/8547113</t>
  </si>
  <si>
    <t>Red 630nm LED Indication - Discrete 1.9V 0603 (1608 Metric)</t>
  </si>
  <si>
    <t>732-4979-1-ND</t>
  </si>
  <si>
    <t>150060SS75000</t>
  </si>
  <si>
    <t>https://www.digikey.jp/product-detail/en/w%C3%BCrth-elektronik/150060SS75000/732-4979-1-ND/4489902</t>
  </si>
  <si>
    <t>Receptacle Connector, 18 pin</t>
  </si>
  <si>
    <t>18 Position Receptacle Connector 0.100" (2.54mm)</t>
  </si>
  <si>
    <t>A32940-ND</t>
  </si>
  <si>
    <t>5-534206-9</t>
  </si>
  <si>
    <t>https://www.digikey.jp/product-detail/en/te-connectivity-amp-connectors/5-534206-9/A32940-ND/1093011</t>
  </si>
  <si>
    <t>Receptacle Connector, 16 pin</t>
  </si>
  <si>
    <t>16 Position Receptacle Connector 0.100" (2.54mm)</t>
  </si>
  <si>
    <t>A32958-ND</t>
  </si>
  <si>
    <t>5-534998-8</t>
  </si>
  <si>
    <t>https://www.digikey.jp/product-detail/en/te-connectivity-amp-connectors/5-534998-8/A32958-ND/1093029</t>
  </si>
  <si>
    <t>Receptacle Connector, 12 pin</t>
  </si>
  <si>
    <t>12 Position Receptacle Connector 0.100" (2.54mm)</t>
  </si>
  <si>
    <t>A26487-ND</t>
  </si>
  <si>
    <t>534998-6</t>
  </si>
  <si>
    <t>https://www.digikey.jp/product-detail/en/te-connectivity-amp-connectors/534998-6/A26487-ND/352963</t>
  </si>
  <si>
    <t>Stranded cable, red</t>
  </si>
  <si>
    <t>22 AWG Hook-Up Wire 19/34 Red 600V</t>
  </si>
  <si>
    <t>A132446-DS-ND</t>
  </si>
  <si>
    <t>FLTWC0311-22-2</t>
  </si>
  <si>
    <t>https://www.digikey.jp/products/en?keywords=A132446-DS-ND</t>
  </si>
  <si>
    <t>Stranded cable, black</t>
  </si>
  <si>
    <t>22 AWG Hook-Up Wire 19/34 Black 600V</t>
  </si>
  <si>
    <t>A132445-DS-ND</t>
  </si>
  <si>
    <t>FLTWC0311-22-0</t>
  </si>
  <si>
    <t>https://www.digikey.jp/products/en?keywords=A132445-DS-ND</t>
  </si>
  <si>
    <t>0.1µF ± 10% 25V Ceramic Capacitor X7R 0603 (1608 metric system) 3</t>
  </si>
  <si>
    <t>Murata electronics</t>
  </si>
  <si>
    <t>Mouser electronics</t>
  </si>
  <si>
    <t>81-GCM188R71E104KA7D</t>
  </si>
  <si>
    <t>GCM188R71E104KA57D</t>
  </si>
  <si>
    <t>https://www.mouser.jp/ProductDetail/Murata-Electronics/GCM188R71E104KA57D?qs=%2Fha2pyFadujk%252BFlUnTffCVnZTfOX0qwJLsfZfnrqYOoPPge%2FKYSVIIAGAH25lSPW</t>
  </si>
  <si>
    <t>4.7µF ± 10% 16V Ceramic Capacitor X7R 0603 (1608 metric system)</t>
  </si>
  <si>
    <t>GRM188Z71C475KE21D</t>
  </si>
  <si>
    <t>https://www.mouser.jp/ProductDetail/Murata-Electronics/GRM188Z71C475KE21D?qs=%2Fha2pyFaduhv%2F%252BvqdTaCXwJ%252BeePASa6iZuQ%252BTdPxXrUcgqgAPx%2FvIp0bf%252BUZsAJW</t>
  </si>
  <si>
    <t>22µF ± 20% 10V Ceramic Capacitor X5R 0603 (1608 metric system) 1</t>
  </si>
  <si>
    <t>81-GRM187R61A226ME5D</t>
  </si>
  <si>
    <t>GRM187R61A226ME15D</t>
  </si>
  <si>
    <t>https://www.mouser.jp/ProductDetail/Murata-Electronics/GRM187R61A226ME15D?qs=%2Fha2pyFadujm05%252Be9PjYIEYPKl5l9VlVFthICQLKWTrFTyyM%2FAgb56b3bFMfQdW6</t>
  </si>
  <si>
    <t>Operational Amplifiers - Op Amps Dual 2.7V</t>
  </si>
  <si>
    <t>https://www.mouser.jp/ProductDetail/Microchip-Technology/MCP602T-I-SN?qs=TQnwojwsYvjO8LpVbD0MHw%3D%3D</t>
  </si>
  <si>
    <t xml:space="preserve">MMCX-SMA cable </t>
  </si>
  <si>
    <t>Coaxial cable assembly SMA-MMCX RG-316 12.00 inches (304.80mm)</t>
  </si>
  <si>
    <t>FT-991AM</t>
  </si>
  <si>
    <t>50W UHF/VHF amateur radio</t>
  </si>
  <si>
    <t>CQNET</t>
  </si>
  <si>
    <t>https://www.cqnet.co.jp/musen2/62_6808.html</t>
  </si>
  <si>
    <t>Back Plane Board (B5)</t>
  </si>
  <si>
    <t>BIRDS Rom</t>
  </si>
  <si>
    <t>Button battery</t>
  </si>
  <si>
    <t>Derrick/Hari</t>
  </si>
  <si>
    <t>LR44 Alkaline Button Coin Cell Battery</t>
  </si>
  <si>
    <t>Golden power</t>
  </si>
  <si>
    <t>LR44</t>
  </si>
  <si>
    <t>Charger/Discharger V5.0</t>
  </si>
  <si>
    <t>https://www.monotaro.com/g/03487810/?monotaroNo=89848456</t>
  </si>
  <si>
    <t>Non-polarized capacitor-1μF</t>
  </si>
  <si>
    <t>TDK Multilayer Ceramic Capacitor (MLCC) 1 μF 50V dc ± 10%</t>
  </si>
  <si>
    <r>
      <rPr>
        <u/>
        <sz val="10"/>
        <color rgb="FF1155CC"/>
        <rFont val="Arial, sans-serif"/>
      </rPr>
      <t>https://jp.rs-online.com/web/p/mlccs-multilayer-ceramic-capacitors/9038720/?cm_mmc=JP-PPC-DS3A-_-google-_-3_JP_JP_%E5%8F%97%E5%8B%95%E9%83%A8%E5%93%81_%E7%A9%8D%E5%B1%A4%E3%82%BB%E3%83%A9%E3%83%9F%E3%83%83%E3%82%AF%E3%82%B3%E3%83%B3%E3%83%87%E3%83%B3%E3%82%B5(MLCC)_TDK_Exact-_-TDK+-+9038720+-+CGA4J3X7R1H105K125AB-_-cga4j3x7r1h105k125ab&amp;matchtype=e&amp;aud-772940708119:kwd-337173734281&amp;gclid=CjwKCAjw3MSHBhB3EiwAxcaEu6jyohBu6qAFJnDvKeQmHwA4BfnhgH18u2TQOaB4uxD5Z64MstpRnRoCHW8QAvD_BwE&amp;gclsrc=aw.ds</t>
    </r>
    <r>
      <rPr>
        <u/>
        <sz val="10"/>
        <color rgb="FF0563C1"/>
        <rFont val="Arial, sans-serif"/>
      </rPr>
      <t>s</t>
    </r>
  </si>
  <si>
    <t>Non-polarized capacitor-10μF</t>
  </si>
  <si>
    <t>CAP CER 10UF 25V X5R 0603</t>
  </si>
  <si>
    <t>Utsource</t>
  </si>
  <si>
    <t>https://www.utsource.net/itm/p/8348765.html</t>
  </si>
  <si>
    <t>TDK Multilayer Ceramic Capacitor (MLCC) 10μF 50V dc ± 10%</t>
  </si>
  <si>
    <t>Polarized capacitor-33μF</t>
  </si>
  <si>
    <t>KEMET Tantalum Capacitor, 25V dc, 33μF, ± 20%</t>
  </si>
  <si>
    <t>Non-polarized capacitor-0.1µF</t>
  </si>
  <si>
    <t>0.1µF ± 10% 50V Ceramic Capacitor X8R 0603 (1608 metric system)</t>
  </si>
  <si>
    <t>445-9693-1-ND</t>
  </si>
  <si>
    <t>https://www.digikey.jp/product-detail/ja/tdk-corporation/C1608X8R1H104K080AB/445-8818-1-ND/3248223</t>
  </si>
  <si>
    <t>Non-polarized capacitor-100µF</t>
  </si>
  <si>
    <t>Aluminum Electrolytic Capacitor 100µF 16V Radial, CAN-SMD 1000 Hours @ 105 ° C</t>
  </si>
  <si>
    <t>739-2826</t>
  </si>
  <si>
    <t>https://jp.rs-online.com/web/p/aluminium-capacitors/7392826/?cm_mmc=JP-PPC-DS3A-_-google-_-3_JP_JP_%E5%8F%97%E5%8B%95%E9%83%A8%E5%93%81_%E3%82%A2%E3%83%AB%E3%83%9F%E9%9B%BB%E8%A7%A3%E3%82%B3%E3%83%B3%E3%83%87%E3%83%B3%E3%82%B5_Nichicon_Exact-_-Nichicon+-+7392826+-+UWT1C101MCL1GB-_-uwt1c101mcl1gb&amp;matchtype=e&amp;aud-827186183886:kwd-346706096565&amp;gclid=CjwKCAjw3MSHBhB3EiwAxcaEu0VRc-1gTrr4E_d24aK1qJwjtUUHHayU7V7didlb5d6mo89tGCWF-RoCjkgQAvD_BwE&amp;gclsrc=aw.ds</t>
  </si>
  <si>
    <t>Connector 6-poles</t>
  </si>
  <si>
    <t>JST board connection pin header EH series 6 poles 2.5mm 1 row straight</t>
  </si>
  <si>
    <t>Connector 20-pole</t>
  </si>
  <si>
    <t>Samtec Board Connection Socket SQT Series 20 Pole 2mm 2 Row Through Hole</t>
  </si>
  <si>
    <t>Microchip MOSFET Gate Driver 8-Pin</t>
  </si>
  <si>
    <t>https://jp.rs-online.com/web/p/gate-drivers/6684219/</t>
  </si>
  <si>
    <t>Relay General Purpose SPDT 10A 5V</t>
  </si>
  <si>
    <t>TE Connectivity Potter &amp; Brumfield</t>
  </si>
  <si>
    <t>ORWH-SH-105D1F,000</t>
  </si>
  <si>
    <t>https://www.avnet.com/shop/japan/products/te-connectivity/orwh-sh-105d1f000-3074457345644087374?CMP=JAPAN_FindChips_inventoryfeed_VSE</t>
  </si>
  <si>
    <t>Murata Power Solutions Wind Inductors (Surface Mounted), 68 μH, 9A, 27 x 19.5 x 20mm</t>
  </si>
  <si>
    <t>OSRAM Opto Semiconductors LED CHIPLED 0805 Series LED Color: Green Surface Mount 2.2 V</t>
  </si>
  <si>
    <t>654-5773</t>
  </si>
  <si>
    <t>LG R971</t>
  </si>
  <si>
    <t>https://jp.rs-online.com/web/p/leds/6545773/</t>
  </si>
  <si>
    <t>N-Ch MOSFET SO-8 BWL 40V 3.3mohm @ 10V-</t>
  </si>
  <si>
    <t>Winsource Electronics</t>
  </si>
  <si>
    <t>https://www.win-source.net/hot-sales-and-eol-components-si4154dy-t1-ge3.html</t>
  </si>
  <si>
    <t>Vishay Thick film resistor 50W ± 5% 1Ω LTO50 series</t>
  </si>
  <si>
    <t>LTO050F1R000JTE3</t>
  </si>
  <si>
    <t xml:space="preserve">https://jp.rs-online.com/web/p/through-hole-fixed-resistors/5328369/
</t>
  </si>
  <si>
    <t>Resistor 0Ω</t>
  </si>
  <si>
    <t>Vishay SMD register, 0Ω, 0603 (1608M), 0.1W, ± 1%</t>
  </si>
  <si>
    <t xml:space="preserve">https://jp.rs-online.com/web/p/surface-mount-fixed-resistors/6789670/
</t>
  </si>
  <si>
    <t>Resistor 510Ω</t>
  </si>
  <si>
    <t>Vishay SMD register, 510Ω, 0603 (1608M), 0.1W, ± 1%</t>
  </si>
  <si>
    <t>CRCW0603510RFKEA</t>
  </si>
  <si>
    <t xml:space="preserve">https://jp.rs-online.com/web/p/surface-mount-fixed-resistors/6790504/
</t>
  </si>
  <si>
    <t>Voltage Regulator</t>
  </si>
  <si>
    <t>Linear Voltage Regulators 5V 1A Positive Extended Temp</t>
  </si>
  <si>
    <t>863-NCV7805BD2TG</t>
  </si>
  <si>
    <t xml:space="preserve">https://www.mouser.jp/ProductDetail/ON-Semiconductor/NCV7805BD2TG?qs=8sOby8ZxZLFGeln66Q%252BkNw%3D%3D
</t>
  </si>
  <si>
    <t>Voltage References mCROPOWER 5V REF IC</t>
  </si>
  <si>
    <t>https://www.utsource.net/sch/REF195GSZ.html</t>
  </si>
  <si>
    <t>Heat Sink</t>
  </si>
  <si>
    <t>RS PRO heat sink 20 x 35 x 20mm</t>
  </si>
  <si>
    <t>Non-polarized capacitor-1uF</t>
  </si>
  <si>
    <t>DK Multilayer Ceramic Capacitor (MLCC) 1 μF 50V dc ± 10%</t>
  </si>
  <si>
    <t>Cell-Swicther V6.0</t>
  </si>
  <si>
    <t>https://jp.rs-online.com/web/p/mlccs-multilayer-ceramic-capacitors/9038720/?cm_mmc=JP-PPC-DS3A-_-google-_-3_JP_JP_%E5%8F%97%E5%8B%95%E9%83%A8%E5%93%81_%E7%A9%8D%E5%B1%A4%E3%82%BB%E3%83%A9%E3%83%9F%E3%83%83%E3%82%AF%E3%82%B3%E3%83%B3%E3%83%87%E3%83%B3%E3%82%B5(MLCC)_TDK_Exact-_-TDK+-+9038720+-+CGA4J3X7R1H105K125AB-_-cga4j3x7r1h105k125ab&amp;matchtype=e&amp;aud-772940708119:kwd-337173734281&amp;gclid=CjwKCAjw3MSHBhB3EiwAxcaEu6jyohBu6qAFJnDvKeQmHwA4BfnhgH18u2TQOaB4uxD5Z64MstpRnRoCHW8QAvD_BwE&amp;gclsrc=aw.ds</t>
  </si>
  <si>
    <t>Li-ion cell holder</t>
  </si>
  <si>
    <t>Batt Holder 18650 2 Cell PC PIN</t>
  </si>
  <si>
    <t>36-1049P-ND</t>
  </si>
  <si>
    <t>1049P</t>
  </si>
  <si>
    <t>https://www.digikey.jp/product-detail/ja/keystone-electronics/1049P/36-1049P-ND/4499390</t>
  </si>
  <si>
    <t>Bulgin Battery Holder BX0035 1 PCB</t>
  </si>
  <si>
    <t>Connector header through hole, right angle 20 poles 0.079 inch (2.00 mm)</t>
  </si>
  <si>
    <t>Toby</t>
  </si>
  <si>
    <t>TMM-110-01-F-D-RA</t>
  </si>
  <si>
    <t>https://www.toby.co.uk/board-to-board-pcb-connectors/200mm-headers/tmm-samtec-2mm-low-profile-right-angle-header/TMM-110-01-F-D-RA/</t>
  </si>
  <si>
    <t>Connectivity Relay 5V dc, 2c Contact Board Mount Type</t>
  </si>
  <si>
    <t>https://jp.rs-online.com/web/p/non-latching-relays/7821261/?cm_mmc=JP-PLA-DS3A-_-google-_-PLA_JP_JP_%E3%83%AA%E3%83%AC%E3%83%BC_Whoop-_-(JP:Whoop!)+%E3%83%AA%E3%83%AC%E3%83%BC:+%E3%83%8E%E3%83%B3%E3%83%A9%E3%83%83%E3%83%81%E3%83%B3%E3%82%B0-_-7821261&amp;matchtype=&amp;aud-827186183926:pla-413507610922&amp;gclid=CjwKCAjw3MSHBhB3EiwAxcaEu1UUc5AE4xaT5MXeCaPtVUL-MU-GThEU3VGZKB6JYyVl-GPUHY1SgRoCMowQAvD_BwE&amp;gclsrc=aw.ds</t>
  </si>
  <si>
    <t>STMicroelectronics Temperature Sensor IC, ± 1.5 ° C, Analog, 4-Pin UDFN</t>
  </si>
  <si>
    <t xml:space="preserve">               STMicroelectronics</t>
  </si>
  <si>
    <t xml:space="preserve">https://jp.rs-online.com/web/p/temperature-humidity-sensor-ics/6864973/
</t>
  </si>
  <si>
    <t>Littelfuse Tube Fuse 4A (Time Lag) 5 x 20mm 125V ac</t>
  </si>
  <si>
    <t>Littelfuses</t>
  </si>
  <si>
    <t xml:space="preserve">https://jp.rs-online.com/web/p/cartridge-fuses/5234725/
</t>
  </si>
  <si>
    <t>Ilisert M2x2.5</t>
  </si>
  <si>
    <t>M2x2.5</t>
  </si>
  <si>
    <t>廣杉精機</t>
  </si>
  <si>
    <t>M2x2.5-SUS303</t>
  </si>
  <si>
    <t>http://www.hirosugi.com/product/standard.html</t>
  </si>
  <si>
    <t>Ilisert M2x3</t>
  </si>
  <si>
    <t>M2x3</t>
  </si>
  <si>
    <t>M2x3-SUS303</t>
  </si>
  <si>
    <t>Ilisert driver M2</t>
  </si>
  <si>
    <t>Driver for M2 Ilisert</t>
  </si>
  <si>
    <t xml:space="preserve">M2xP0.4 </t>
  </si>
  <si>
    <r>
      <rPr>
        <u/>
        <sz val="10"/>
        <color rgb="FF1155CC"/>
        <rFont val="Arial, sans-serif"/>
      </rPr>
      <t>http://www.hirosugi.com/product/standard.html</t>
    </r>
    <r>
      <rPr>
        <u/>
        <sz val="10"/>
        <color rgb="FF0563C1"/>
        <rFont val="Arial, sans-serif"/>
      </rPr>
      <t>l</t>
    </r>
  </si>
  <si>
    <t>LoRa Discovery Kit</t>
  </si>
  <si>
    <t>MO</t>
  </si>
  <si>
    <t>STM32L0 Transceiver; LoRa® (LoRaWAN ™) For Use With STM32L072</t>
  </si>
  <si>
    <t>497-17068-ND</t>
  </si>
  <si>
    <t>B-L072Z-LRWAN1</t>
  </si>
  <si>
    <t>https://www.digikey.jp/product-detail/ja/stmicroelectronics/B-L072Z-LRWAN1/497-17068-ND/6616000</t>
  </si>
  <si>
    <t>Small rectangular monocrystaline solar cell</t>
  </si>
  <si>
    <t>Monocrystalline Solar Cell 26.3mW 5.53V</t>
  </si>
  <si>
    <t xml:space="preserve">	ANYSOLAR Ltd</t>
  </si>
  <si>
    <t xml:space="preserve">	KXOB25-02X8FCT-ND</t>
  </si>
  <si>
    <t xml:space="preserve">	KXOB25-02X8F-TR</t>
  </si>
  <si>
    <t>External panels</t>
  </si>
  <si>
    <t>https://www.digikey.jp/product-detail/en/anysolar-ltd/KXOB25-02X8F-TR/KXOB25-02X8FCT-ND/9990480</t>
  </si>
  <si>
    <t>SMPM 90-degree to SMA 90-degree cable</t>
  </si>
  <si>
    <t>RF Cable Assemblies SMPM F R/A to SMA M for .085 Cbl OAL 12"</t>
  </si>
  <si>
    <t>Amphenol / SV Microwave</t>
  </si>
  <si>
    <t>523-7032-7241</t>
  </si>
  <si>
    <t>COMM / C-band</t>
  </si>
  <si>
    <t>SVBL 3F Clean Room</t>
  </si>
  <si>
    <t>https://www.mouser.jp/ProductDetail/Amphenol-SV-Microwave/7032-7241?qs=j%252B1pi9TdxUbWWTv%252BygiApw%3D%3D</t>
  </si>
  <si>
    <t>Battery Charger-Discharger</t>
  </si>
  <si>
    <t>Battery Charger-Discharger V6</t>
  </si>
  <si>
    <t>Charger/Discharger V6.0</t>
  </si>
  <si>
    <t>Ni-MH Battery Cell-Switcher</t>
  </si>
  <si>
    <t>Ni-MH Battery Cell-Swicther V6</t>
  </si>
  <si>
    <t>Li-ion Battery Cell-Switcher</t>
  </si>
  <si>
    <t>Li-ion Battery Cell-Swicther V6</t>
  </si>
  <si>
    <t>7mm thick color milky</t>
  </si>
  <si>
    <t>https://jp.misumi-ec.com/vona2/detail/221006204478/?PNSearch=C-307&amp;HissuCode=C-307&amp;searchFlow=suggest2products&amp;Keyword=C-307&amp;list=SuggestPreview</t>
  </si>
  <si>
    <t>2mm thick color milky</t>
  </si>
  <si>
    <t>https://jp.misumi-ec.com/vona2/detail/221006204478/?PNSearch=C-302&amp;HissuCode=C-302&amp;searchFlow=suggest2products&amp;Keyword=C-302&amp;list=SuggestPreview</t>
  </si>
  <si>
    <t>TDK Common Mode Noise Filter ACM 700 Ω</t>
  </si>
  <si>
    <t xml:space="preserve">ACM9070-701-2PL-TL01
</t>
  </si>
  <si>
    <t>https://jp.rs-online.com/web/p/common-mode-chokes/9164144/</t>
  </si>
  <si>
    <t xml:space="preserve">	ADAPTER, SMA PLUG TO SMPM PLUG</t>
  </si>
  <si>
    <t xml:space="preserve">	Cinch Connectivity Solutions Johnson</t>
  </si>
  <si>
    <t>24-134-1001-001-ND</t>
  </si>
  <si>
    <t xml:space="preserve">	134-1001-001</t>
  </si>
  <si>
    <t>https://www.digikey.jp/product-detail/en/cinch-connectivity-solutions-johnson/134-1001-001/24-134-1001-001-ND/13905800?cur=JPY&amp;lang=en</t>
  </si>
  <si>
    <t>Space BD(運営費に変更)</t>
  </si>
  <si>
    <t>ポリイミドテープPIA220</t>
  </si>
  <si>
    <t xml:space="preserve"> アクリル系　幅10mm</t>
  </si>
  <si>
    <t>https://www.monotaro.com/g/01366222/?t.q=%83J%83v%83g%83%93%83e%81%5B%83v</t>
  </si>
  <si>
    <t>アクリル系  幅19mm</t>
  </si>
  <si>
    <r>
      <rPr>
        <u/>
        <sz val="10"/>
        <color rgb="FF1155CC"/>
        <rFont val="Arial, sans-serif"/>
      </rPr>
      <t>https://www.monotaro.com/g/01366222/?t.q=%83J%83v%83g%83%93%83e%81%5B%83v</t>
    </r>
    <r>
      <rPr>
        <u/>
        <sz val="10"/>
        <color rgb="FF1155CC"/>
        <rFont val="Arial, sans-serif"/>
      </rPr>
      <t>v</t>
    </r>
  </si>
  <si>
    <t>テープカッター 卓上用</t>
  </si>
  <si>
    <t>幅24mm、長さ70m巻テープまで対応可能</t>
  </si>
  <si>
    <t>BIRDS-6</t>
  </si>
  <si>
    <t>https://www.monotaro.com/g/01278016/?t.q=%83e%81%5B%83v%83J%83b%83%5E%81%5B</t>
  </si>
  <si>
    <t>丸ワッシャー特寸/ washer</t>
  </si>
  <si>
    <t>BIRDS-5（Tsukinari）</t>
  </si>
  <si>
    <t>2.2ｘ6ｘ0.8</t>
  </si>
  <si>
    <t>六角穴付き極低頭小頭ボルト/ bolt</t>
  </si>
  <si>
    <t>Panasonic NiMh battery (packet with 4)</t>
  </si>
  <si>
    <t xml:space="preserve"> Nickel-Metal Hydride Battery</t>
  </si>
  <si>
    <t>MO-1</t>
  </si>
  <si>
    <t>Curtis_Testbed PCB,4-layer (200mm x 130mm)</t>
  </si>
  <si>
    <t>BPB_TESTBED</t>
  </si>
  <si>
    <t>UHF board for MO-1 satellite</t>
  </si>
  <si>
    <t>Bus voltage 2.7-4.5V; 400.960MHz DL; 450.000MHz UL</t>
  </si>
  <si>
    <t>20mW development KIT</t>
  </si>
  <si>
    <t>JSPS(2021)</t>
  </si>
  <si>
    <t>20mW development KIT -920MHz</t>
  </si>
  <si>
    <t>RF Links</t>
  </si>
  <si>
    <t>RM-92AS-SDK-SD</t>
  </si>
  <si>
    <t>IoT</t>
  </si>
  <si>
    <t>http://www.rflink.co.jp/lev1-sdk.html</t>
  </si>
  <si>
    <t>250mW LoRa Modules</t>
  </si>
  <si>
    <t>250mW LoRa Modules -920MHz</t>
  </si>
  <si>
    <t>RM-92CS</t>
  </si>
  <si>
    <t>Antenna -920MHz</t>
  </si>
  <si>
    <t>1019-008</t>
  </si>
  <si>
    <t>SMA connector with cable</t>
  </si>
  <si>
    <t>SMA-UGL10</t>
  </si>
  <si>
    <t>Programming tool</t>
  </si>
  <si>
    <t>ST-Links</t>
  </si>
  <si>
    <t>mini DIN コネクタ</t>
  </si>
  <si>
    <t>TNC cable assembly</t>
  </si>
  <si>
    <t>2057-MDP-003-ND</t>
  </si>
  <si>
    <t>MDP-003</t>
  </si>
  <si>
    <t>https://www.digikey.jp/product-detail/ja/adam-tech/MDP-003/2057-MDP-003-ND/9831874</t>
  </si>
  <si>
    <t>D-SUB 15pin オス</t>
  </si>
  <si>
    <t>D-SUB connector 15P</t>
  </si>
  <si>
    <t>G17S1510110EU-ND</t>
  </si>
  <si>
    <t>G17S150110EU</t>
  </si>
  <si>
    <t>https://www.digikey.jp/product-detail/ja/amphenol-icc-commercial-products/G17S1510110EU/G17S1510110EU-ND/1242623</t>
  </si>
  <si>
    <t>D-SUB 15pin バックシェル</t>
  </si>
  <si>
    <t>シールド</t>
  </si>
  <si>
    <t>17E-1725-2-ND</t>
  </si>
  <si>
    <t>17E-1725-2</t>
  </si>
  <si>
    <t>https://www.digikey.jp/product-detail/ja/amphenol-icc-commercial-products/17E-1725-2/17E-1725-2-ND/1242541</t>
  </si>
  <si>
    <t>シールドケーブル</t>
  </si>
  <si>
    <t>4芯　ツイストペア</t>
  </si>
  <si>
    <t>839-30-01639-1-ND</t>
  </si>
  <si>
    <t>30-01639</t>
  </si>
  <si>
    <t>https://www.digikey.jp/product-detail/ja/tensility-international-corp/30-01639/839-30-01639-1-ND/14319964</t>
  </si>
  <si>
    <t xml:space="preserve">MCP4725 DAC </t>
  </si>
  <si>
    <t>1568-1047-ND‎ BOB-12918‎</t>
  </si>
  <si>
    <t>1568-1047-ND‎</t>
  </si>
  <si>
    <t>BOB-12918‎</t>
  </si>
  <si>
    <t>CubeSat Lasercom Experiment</t>
  </si>
  <si>
    <t xml:space="preserve">4F </t>
  </si>
  <si>
    <t>https://www.digikey.jp/product-detail/en/BOB-12918/1568-1047-ND/5140812?itemSeq=372569454</t>
  </si>
  <si>
    <t>‎LM2904BTQDGKRQ1</t>
  </si>
  <si>
    <t>INDUSTRY-STANDARD DUAL OPERATION OPAMP</t>
  </si>
  <si>
    <t>296-LM2904BTQDGKRQ1CT-ND‎</t>
  </si>
  <si>
    <t>LM2904BTQDGKRQ1‎</t>
  </si>
  <si>
    <t>https://www.digikey.jp/product-detail/en/LM2904BTQDGKRQ1/296-LM2904BTQDGKRQ1CT-ND/14634115?itemSeq=372569841</t>
  </si>
  <si>
    <t xml:space="preserve">SOIC TO DIP ADAPTER </t>
  </si>
  <si>
    <t>8PIN 1=4 PCS</t>
  </si>
  <si>
    <t>1568-1123-ND‎</t>
  </si>
  <si>
    <t>BOB-13655‎</t>
  </si>
  <si>
    <t>https://www.digikey.jp/product-detail/en/BOB-13655/1568-1123-ND/5528943?itemSeq=372569991</t>
  </si>
  <si>
    <t>SPI DATA LOGGING SHIELD</t>
  </si>
  <si>
    <t>DATA LOGGING SHIELD</t>
  </si>
  <si>
    <t>‎1528-1044-ND‎</t>
  </si>
  <si>
    <t>https://www.digikey.jp/product-detail/en/1141/1528-1044-ND/5011060?itemSeq=372570252</t>
  </si>
  <si>
    <t>RESISTOR</t>
  </si>
  <si>
    <t>RES 220 OHM 5% 1/4W AXIAL</t>
  </si>
  <si>
    <t>‎S220QCT-ND‎</t>
  </si>
  <si>
    <t>CFM14JT220R‎</t>
  </si>
  <si>
    <t>https://www.digikey.jp/product-detail/en/CFM14JT220R/S220QCT-ND/2617711?itemSeq=372570380</t>
  </si>
  <si>
    <t>EVAL MODULE FOR DDC264</t>
  </si>
  <si>
    <t xml:space="preserve">DDC264EVM‎ IC ADC 20BIT SIG-DELTA </t>
  </si>
  <si>
    <t>296-30897-ND‎</t>
  </si>
  <si>
    <t>DDC264EVM‎</t>
  </si>
  <si>
    <t>https://www.digikey.jp/product-detail/en/DDC264EVM/296-30897-ND/2696237?itemSeq=372570500</t>
  </si>
  <si>
    <t>BGA-100 SMT Adapter + DDC264CKZAW Assembled</t>
  </si>
  <si>
    <t>BGA-100 SMT Adapter (0.8 mm pitch, 10 x 10 grid), DDC264CKZAW</t>
  </si>
  <si>
    <t>Proto Advantage, Texas Instruments</t>
  </si>
  <si>
    <t>Proto Advantage</t>
  </si>
  <si>
    <t>Quote Number: 36804</t>
  </si>
  <si>
    <t>https://www.proto-advantage.com/store/product_info.php?products_id=4000001</t>
  </si>
  <si>
    <t>OPA350PA‎</t>
  </si>
  <si>
    <t>IC OPAMP GP 1 CIRCUIT 8DIP</t>
  </si>
  <si>
    <t>‎OPA350PA-ND‎</t>
  </si>
  <si>
    <t>‎OPA350PA‎</t>
  </si>
  <si>
    <t>https://www.digikey.jp/product-detail/en/OPA350PA/OPA350PA-ND/275862?itemSeq=373417785</t>
  </si>
  <si>
    <t>REF3040AIDBZR‎</t>
  </si>
  <si>
    <t>IC VREF SERIES 0.2% SOT23-3</t>
  </si>
  <si>
    <t>‎296-35920-1-ND‎</t>
  </si>
  <si>
    <t>‎REF3040AIDBZR‎</t>
  </si>
  <si>
    <t>https://www.digikey.jp/product-detail/en/REF3040AIDBZR/296-35920-1-ND/4135041?itemSeq=373417845</t>
  </si>
  <si>
    <t>‎450BXC10MEFC10X20‎</t>
  </si>
  <si>
    <t>CAP ALUM 10UF 20% 450V RADIAL</t>
  </si>
  <si>
    <t>Rubycon</t>
  </si>
  <si>
    <t>1189-1894-ND‎</t>
  </si>
  <si>
    <t>450BXC10MEFC10X20‎</t>
  </si>
  <si>
    <t>https://www.digikey.jp/product-detail/en/450BXC10MEFC10X20/1189-1894-ND/3563744?itemSeq=373417864</t>
  </si>
  <si>
    <t>‎35ZLH100MEFC6.3X11‎</t>
  </si>
  <si>
    <t>CAP ALUM 100UF 20% 35V RADIAL</t>
  </si>
  <si>
    <t>‎1189-1300-ND‎</t>
  </si>
  <si>
    <t>https://www.digikey.jp/product-detail/en/35ZLH100MEFC6.3X11/1189-1300-ND/3134256?itemSeq=373417929</t>
  </si>
  <si>
    <t>ECA-1CM470I‎</t>
  </si>
  <si>
    <t>CAP ALUM 47UF 20% 16V RADIAL</t>
  </si>
  <si>
    <t>‎P19515CT-ND‎</t>
  </si>
  <si>
    <t>‎ECA-1CM470I‎</t>
  </si>
  <si>
    <t>https://www.digikey.jp/product-detail/en/ECA-1CM470I/P19515CT-ND/6109413?itemSeq=373417945</t>
  </si>
  <si>
    <t>B32529C1104J189‎</t>
  </si>
  <si>
    <t>CAP FILM 0.1UF 5% 100VDC RADIAL</t>
  </si>
  <si>
    <t>EPCOS - TDK Electronics</t>
  </si>
  <si>
    <t>495-5055-1-ND‎</t>
  </si>
  <si>
    <t>https://www.digikey.jp/product-detail/en/B32529C1104J189/495-5055-1-ND/3913355?itemSeq=373417957</t>
  </si>
  <si>
    <t>RES 1K OHM 5% 1/4W AXIAL</t>
  </si>
  <si>
    <t>https://www.digikey.jp/product-detail/en/CF14JT1K00/CF14JT1K00CT-ND/1830350?itemSeq=373417983</t>
  </si>
  <si>
    <t>RES 0.68 OHM 1% 1/8W 0805</t>
  </si>
  <si>
    <t>‎P.68DCT-ND‎</t>
  </si>
  <si>
    <t>‎ERJ-6RQFR68V‎</t>
  </si>
  <si>
    <t>https://www.digikey.jp/product-detail/en/ERJ-6RQFR68V/P.68DCT-ND/250308?itemSeq=373417992</t>
  </si>
  <si>
    <t>LMK212BJ106KG-T‎</t>
  </si>
  <si>
    <t>CAP CER 10UF 10V X5R 0805</t>
  </si>
  <si>
    <t>587-1300-1-ND‎</t>
  </si>
  <si>
    <t>https://www.digikey.jp/product-detail/en/LMK212BJ106KG-T/587-1300-1-ND/931077?itemSeq=373418003</t>
  </si>
  <si>
    <t>‎LMK325BJ107MM-T‎</t>
  </si>
  <si>
    <t>CAP CER 100UF 10V X5R 1210</t>
  </si>
  <si>
    <t>587-1965-1-ND‎</t>
  </si>
  <si>
    <t>https://www.digikey.jp/product-detail/en/LMK325BJ107MM-T/587-1965-1-ND/1646628?itemSeq=373418009</t>
  </si>
  <si>
    <t>USB DEBUGGING CABLE</t>
  </si>
  <si>
    <t>CABLE USB A MALE-B MICRO MALE 2M</t>
  </si>
  <si>
    <t>CNC Tech</t>
  </si>
  <si>
    <t>‎1175-1129-ND‎</t>
  </si>
  <si>
    <t>102-1092-BL-00200‎</t>
  </si>
  <si>
    <t>https://www.digikey.jp/product-detail/en/102-1092-BL-00200/1175-1129-ND/3064860?itemSeq=373418021</t>
  </si>
  <si>
    <t>PROTOTYPING BOARD</t>
  </si>
  <si>
    <t>BREADBOARD GENERAL PURPOSE PTH</t>
  </si>
  <si>
    <t>‎1738-1005-ND‎</t>
  </si>
  <si>
    <t>‎FIT0193‎</t>
  </si>
  <si>
    <t>https://www.digikey.jp/product-detail/en/FIT0193/1738-1005-ND/6588427?itemSeq=373418030</t>
  </si>
  <si>
    <t>ATSAM3X8E DUE BOARD</t>
  </si>
  <si>
    <t>ARDUINO DUE W/OUT HDRS ATSAM3X8E</t>
  </si>
  <si>
    <t>‎1050-1020-ND‎</t>
  </si>
  <si>
    <t>A000056‎</t>
  </si>
  <si>
    <t>https://www.digikey.jp/product-detail/en/A000056/1050-1020-ND/2639008?itemSeq=373418038</t>
  </si>
  <si>
    <t>CONN SOCKET</t>
  </si>
  <si>
    <t>CONN SOCKET 16POS 2MM DUAL CRIMP</t>
  </si>
  <si>
    <t>H2025-ND</t>
  </si>
  <si>
    <t>DF11-16DS-2C</t>
  </si>
  <si>
    <t>https://jp.rs-online.com/web/p/wire-housings-plugs/6889058</t>
  </si>
  <si>
    <t>Temperature sensor Analog, local -50 ° C to 150 ° C 5.5 mV / ° C SC-70-5</t>
  </si>
  <si>
    <t>Mouser elect</t>
  </si>
  <si>
    <t>595-LMT84QDCKTQ1</t>
  </si>
  <si>
    <t>Testbed/EM</t>
  </si>
  <si>
    <t>https://www.mouser.jp/ProductDetail/Texas-Instruments/LMT84QDCKTQ1?qs=xopfAcLiCQSWoRXSolG3dw%3D%3D</t>
  </si>
  <si>
    <t>SP3485 TRANSCEIVER BREAKOUT</t>
  </si>
  <si>
    <t>RS485 CHIP BREAKOUT</t>
  </si>
  <si>
    <t>‎1568-1589-ND‎</t>
  </si>
  <si>
    <t>‎BOB-10124‎</t>
  </si>
  <si>
    <t>https://www.digikey.jp/product-detail/en/BOB-10124/1568-1589-ND/6006043?itemSeq=373422160</t>
  </si>
  <si>
    <t>CONN HEADER VERT 40POS 2.54MM</t>
  </si>
  <si>
    <t>S1131EC-40-ND‎</t>
  </si>
  <si>
    <t>PRPC040SACN-RC‎</t>
  </si>
  <si>
    <t>https://www.digikey.jp/product-detail/en/PRPC040SACN-RC/S1131EC-40-ND/2776066?itemSeq=373423685</t>
  </si>
  <si>
    <t>RJ45 CABLE</t>
  </si>
  <si>
    <t>CABLE MOD 8P8C PLUG-PLUG 16.4'</t>
  </si>
  <si>
    <t>AE9969-ND‎</t>
  </si>
  <si>
    <t>‎A-MCSP-80050/R‎</t>
  </si>
  <si>
    <t>https://www.digikey.jp/product-detail/en/A-MCSP-80050%2fR/AE9969-ND/821723?itemSeq=373424201</t>
  </si>
  <si>
    <t>RJ45 PCB JACK</t>
  </si>
  <si>
    <t>CONN MOD JACK 8P8C VERT UNSHLD</t>
  </si>
  <si>
    <t>AE10396-ND‎</t>
  </si>
  <si>
    <t>‎A-2014-2-4-N-T-R‎</t>
  </si>
  <si>
    <t>https://www.digikey.jp/product-detail/en/A-2014-2-4-N-T-R/AE10396-ND/2183647?itemSeq=373424816</t>
  </si>
  <si>
    <t>ACHROMATIC DOUBLET LENS</t>
  </si>
  <si>
    <t xml:space="preserve">AC254-040-A - f = 40 mm, Ø1" Achromatic Doublet, ARC: 400 - 700 nm </t>
  </si>
  <si>
    <t>THORLABS</t>
  </si>
  <si>
    <t xml:space="preserve">AC254-040-A </t>
  </si>
  <si>
    <t>https://www.thorlabs.com/thorproduct.cfm?partnumber=AC254-040-A</t>
  </si>
  <si>
    <t>LENS MOUNT</t>
  </si>
  <si>
    <t>LMR1 / M --Ø25 mm to Ø25.4 mm Lens mount for optical element, 1 fixing ring included, M4 tap hole (millimeter standard)</t>
  </si>
  <si>
    <t>LMR1 / M</t>
  </si>
  <si>
    <t>https://www.thorlabs.com/thorproduct.cfm?partnumber=LMR1/M#ad-image-0</t>
  </si>
  <si>
    <t>LENS TUBE</t>
  </si>
  <si>
    <t>SM1L05 --SM1 lens tube, screw depth 12.7 mm, 1 fixing ring included</t>
  </si>
  <si>
    <t>SM1L05</t>
  </si>
  <si>
    <t>https://www.thorlabs.com/thorproduct.cfm?partnumber=SM1L05</t>
  </si>
  <si>
    <t>MINI-SERIES POST</t>
  </si>
  <si>
    <t xml:space="preserve">MS2R / M-Miniseries Ø6 mm post, length 50 mm (millimeter standard) </t>
  </si>
  <si>
    <t>MS2R / M</t>
  </si>
  <si>
    <t>https://www.thorlabs.com/thorproduct.cfm?partnumber=MS2R/M</t>
  </si>
  <si>
    <t>MINI-SERIES SCREW ADAPTER</t>
  </si>
  <si>
    <t xml:space="preserve">MSA4 / M-Mini Series Screw Adapter, External Thread-Internal Thread, M4-M3 (Milli Standard) </t>
  </si>
  <si>
    <t>MSA4 / M</t>
  </si>
  <si>
    <t>https://www.thorlabs.com/thorproduct.cfm?partnumber=MSA4/M#ad-image-0</t>
  </si>
  <si>
    <t>Femtet (Magnetic Field simulation software )</t>
  </si>
  <si>
    <t>Academic licence 1 user</t>
  </si>
  <si>
    <t>Murata Software</t>
  </si>
  <si>
    <t xml:space="preserve">BIRDS5 </t>
  </si>
  <si>
    <t>https://www.muratasoftware.com/en/purchase/charge/</t>
  </si>
  <si>
    <t>ABS フィラメント</t>
  </si>
  <si>
    <t>1kg, φ1.75mm</t>
  </si>
  <si>
    <t>MUTOH</t>
  </si>
  <si>
    <t>MAGIX-ABS-17RD</t>
  </si>
  <si>
    <t>https://www.monotaro.com/g/01253341/?monotaroNo=17060505</t>
  </si>
  <si>
    <t>シリカゲル</t>
  </si>
  <si>
    <t>2g</t>
  </si>
  <si>
    <t>鳥繁産業</t>
  </si>
  <si>
    <t>2G</t>
  </si>
  <si>
    <t>https://www.monotaro.com/g/00346922/?t.q=%83V%83%8A%83J%83Q%83%8B</t>
  </si>
  <si>
    <t xml:space="preserve">ADCS Adapter Board - Curtis </t>
  </si>
  <si>
    <t>ADCS Adapter Board for CURTIS Project, 2 layers, 90 mm x 88.5 mm</t>
  </si>
  <si>
    <t>PBAN</t>
  </si>
  <si>
    <t>8518,75</t>
  </si>
  <si>
    <t>‎HD-TPA1U3-B/N</t>
  </si>
  <si>
    <t>HEX STANDOFF</t>
  </si>
  <si>
    <t>HEX SPACER M3X0.5 STEEL 1-1/16"</t>
  </si>
  <si>
    <t>732-10620-ND</t>
  </si>
  <si>
    <t>https://www.digikey.jp/product-detail/en/w%C3%BCrth-elektronik/970270321/732-10620-ND/6174840</t>
  </si>
  <si>
    <t>MACHINE SCREW</t>
  </si>
  <si>
    <t xml:space="preserve">	CHEESE HEAD SLOTTED SCREW, NATUR</t>
  </si>
  <si>
    <t>Essentra Components</t>
  </si>
  <si>
    <t xml:space="preserve">        RPC7026-ND</t>
  </si>
  <si>
    <t>50M030050D012</t>
  </si>
  <si>
    <t>https://www.digikey.jp/product-detail/en/essentra-components/50M030050D012/RPC7026-ND/9677040</t>
  </si>
  <si>
    <t>ポリイミドテープ 絶縁 耐熱</t>
  </si>
  <si>
    <t>シリコン  幅10mm</t>
  </si>
  <si>
    <t>https://www.monotaro.com/g/02608625/?t.q=%83J%83v%83g%83%93%83e%81%5B%83v</t>
  </si>
  <si>
    <t>シリコン  幅20mm</t>
  </si>
  <si>
    <t>ポリイミドテープ PIA220</t>
  </si>
  <si>
    <t>アクリル系  幅50mm</t>
  </si>
  <si>
    <t>養生テープ 弱粘着</t>
  </si>
  <si>
    <t>アクリル系  幅50mm 緑</t>
  </si>
  <si>
    <t>https://www.monotaro.com/g/01299627/?t.q=%97%7B%90%B6%83e%81%5B%83v</t>
  </si>
  <si>
    <t>フランジ付きプランジャ</t>
  </si>
  <si>
    <t>M5 L20</t>
  </si>
  <si>
    <t>FPJL5-3</t>
  </si>
  <si>
    <t>https://jp.misumi-ec.com/vona2/detail/110100150760/?list=PageCategory</t>
  </si>
  <si>
    <t>Electric cable</t>
  </si>
  <si>
    <t>UL1330; AWG 20; 600 V; FEP insulated; -60 - +200 ℃ operating temp; white</t>
  </si>
  <si>
    <t>日星電気</t>
  </si>
  <si>
    <t>UL1330-20-W-100</t>
  </si>
  <si>
    <t>coiled/ reel</t>
  </si>
  <si>
    <t>https://jp.misumi-ec.com/vona2/detail/222302353383/?ProductCode=UL1330-20-W-100</t>
  </si>
  <si>
    <t>UL1330; AWG 20; 600 V; FEP insulated; -60 - +200 ℃ operating temp; red</t>
  </si>
  <si>
    <t>UL1330-20-R-100</t>
  </si>
  <si>
    <t>https://jp.misumi-ec.com/vona2/detail/222302353383/?ProductCode=UL1330-20-R-100</t>
  </si>
  <si>
    <t>Standard D-sub25 pin female connector</t>
  </si>
  <si>
    <t>500 V; 5 A; straight</t>
  </si>
  <si>
    <t>544-3834</t>
  </si>
  <si>
    <t>https://jp.rs-online.com/web/p/products/5443834/</t>
  </si>
  <si>
    <t>D-sub9F to D-sub25M adapter</t>
  </si>
  <si>
    <t>9 pins (female) to 25 pins (male)</t>
  </si>
  <si>
    <t>210-1004</t>
  </si>
  <si>
    <t>PeTT &amp; big chamber</t>
  </si>
  <si>
    <t>https://jp.rs-online.com/web/p/products/2101004/</t>
  </si>
  <si>
    <t>D-sub9F to D-sub25F adapter</t>
  </si>
  <si>
    <t>9 pins (female) to 25 pins (female)</t>
  </si>
  <si>
    <t>210-1010</t>
  </si>
  <si>
    <t>https://jp.rs-online.com/web/p/products/2101010/</t>
  </si>
  <si>
    <t>D-sub9 M-M adapter</t>
  </si>
  <si>
    <t xml:space="preserve">9 pins male to male </t>
  </si>
  <si>
    <t>Roline</t>
  </si>
  <si>
    <t>116-4773</t>
  </si>
  <si>
    <t>12.03.2025R</t>
  </si>
  <si>
    <t>https://jp.rs-online.com/web/p/products/1164773/</t>
  </si>
  <si>
    <t>Jumper M to M</t>
  </si>
  <si>
    <t>BIRDS5(ZIM)</t>
  </si>
  <si>
    <t>15cm</t>
  </si>
  <si>
    <t>0116-71905-02-015</t>
  </si>
  <si>
    <t>https://akizukidenshi.com/catalog/g/gP-02932/</t>
  </si>
  <si>
    <t>Jumper F to M</t>
  </si>
  <si>
    <t>https://akizukidenshi.com/catalog/g/gP-03472/</t>
  </si>
  <si>
    <t>Jumper F to F</t>
  </si>
  <si>
    <t>P-03476</t>
  </si>
  <si>
    <t>0116-719-01-015</t>
  </si>
  <si>
    <t>https://akizukidenshi.com/catalog/g/gP-03476/</t>
  </si>
  <si>
    <t>Precision screwdriver</t>
  </si>
  <si>
    <t>‎NESHEXST</t>
  </si>
  <si>
    <t>B08FMMPL2L</t>
  </si>
  <si>
    <t>https://www.amazon.co.jp/gp/product/B08FMMPL2L</t>
  </si>
  <si>
    <t>Mechanical file</t>
  </si>
  <si>
    <t>50x5.7x1.7mm #200</t>
  </si>
  <si>
    <t>https://www.monotaro.com/p/1982/1866/</t>
  </si>
  <si>
    <t>Tweezers</t>
  </si>
  <si>
    <t>SUS430</t>
  </si>
  <si>
    <t>270-9180</t>
  </si>
  <si>
    <t>https://www.monotaro.com/g/00146808/</t>
  </si>
  <si>
    <t>Square</t>
  </si>
  <si>
    <t>73x168x63mm</t>
  </si>
  <si>
    <t>シンワ測定</t>
  </si>
  <si>
    <t>421-9554</t>
  </si>
  <si>
    <t>https://www.monotaro.com/g/00317061/</t>
  </si>
  <si>
    <t>Glue gun</t>
  </si>
  <si>
    <t>AC100V</t>
  </si>
  <si>
    <t>https://www.monotaro.com/g/00350142/</t>
  </si>
  <si>
    <t>Digital multimeter</t>
  </si>
  <si>
    <t>FLUKE</t>
  </si>
  <si>
    <t>FLUKE-101</t>
  </si>
  <si>
    <t>https://www.monotaro.com/g/01363512/</t>
  </si>
  <si>
    <t>Scissors</t>
  </si>
  <si>
    <t>90mm SUS4201J</t>
  </si>
  <si>
    <t>https://www.monotaro.com/g/04582469/</t>
  </si>
  <si>
    <t>Kim wipes</t>
  </si>
  <si>
    <t>96x215mm</t>
  </si>
  <si>
    <t>https://www.monotaro.com/p/0569/7536/</t>
  </si>
  <si>
    <t>Cellophane tape</t>
  </si>
  <si>
    <t>18mm</t>
  </si>
  <si>
    <t>ニチバン</t>
  </si>
  <si>
    <t>CT1835-5P</t>
  </si>
  <si>
    <t>https://www.monotaro.com/p/0641/9673/</t>
  </si>
  <si>
    <t>Paper tape</t>
  </si>
  <si>
    <t>50mm</t>
  </si>
  <si>
    <t>50mmx50m</t>
  </si>
  <si>
    <t>https://www.monotaro.com/p/0807/1707/</t>
  </si>
  <si>
    <t>Paper clips 15mm</t>
  </si>
  <si>
    <t>https://www.monotaro.com/p/1706/7907/</t>
  </si>
  <si>
    <t>Paper clips 19mm</t>
  </si>
  <si>
    <t>https://www.monotaro.com/p/1706/7916/</t>
  </si>
  <si>
    <t>Marker</t>
  </si>
  <si>
    <t>black</t>
  </si>
  <si>
    <t>ゼブラ</t>
  </si>
  <si>
    <t>MO-120-MC-BKX10 クロ</t>
  </si>
  <si>
    <t>https://www.monotaro.com/p/2410/9033/</t>
  </si>
  <si>
    <t>Araldite glue</t>
  </si>
  <si>
    <t>https://www.monotaro.com/p/3466/5565</t>
  </si>
  <si>
    <t>Crocodile clips (Red)</t>
  </si>
  <si>
    <t>ACT-202</t>
  </si>
  <si>
    <t>https://www.monotaro.com/p/3484/5072</t>
  </si>
  <si>
    <t>Crocodile clips (Black)</t>
  </si>
  <si>
    <t>https://www.monotaro.com/p/3484/5081</t>
  </si>
  <si>
    <t>Lotite 263 glue</t>
  </si>
  <si>
    <t>10ml</t>
  </si>
  <si>
    <t>https://www.monotaro.com/p/3493/3543/</t>
  </si>
  <si>
    <t>Air duster</t>
  </si>
  <si>
    <t>elecom</t>
  </si>
  <si>
    <t>AD-ECOMT</t>
  </si>
  <si>
    <t>https://www.monotaro.com/p/7590/5392/</t>
  </si>
  <si>
    <t>SPS (Stabilized power supply)</t>
  </si>
  <si>
    <t>菊水電子工業</t>
  </si>
  <si>
    <t>https://www.monotaro.com/g/04039644/</t>
  </si>
  <si>
    <t>not allowed to place an order</t>
  </si>
  <si>
    <t>DER EE Electrical Instrument Co., Ltd</t>
  </si>
  <si>
    <t>M-10747</t>
  </si>
  <si>
    <t>DE-5103</t>
  </si>
  <si>
    <t>https://jp.misumi-ec.com/vona2/detail/223300279323/?HissuCode=2230GJ-30-1/</t>
  </si>
  <si>
    <t>ADCS unit</t>
  </si>
  <si>
    <t>ISISpace ADCS iMTQ board</t>
  </si>
  <si>
    <t>ISISpace</t>
  </si>
  <si>
    <t>n/a</t>
  </si>
  <si>
    <t>2F SBVL room</t>
  </si>
  <si>
    <t>https://www.isispace.nl/product/isis-magnetorquer-board/</t>
  </si>
  <si>
    <t>BIRDS dipole antenna board</t>
  </si>
  <si>
    <t>82.6 x 100.7 mm</t>
  </si>
  <si>
    <t>https://www.p-ban.com/kiban/com/csComShwOrd.do?summaryOrderNo=21082700152</t>
  </si>
  <si>
    <t>FLASH - NOR メモリ IC 1Gb（128M x 8） SPI 133MHz  16-SO</t>
  </si>
  <si>
    <t>General</t>
  </si>
  <si>
    <t>安全帯</t>
  </si>
  <si>
    <t>ステンレス　バネ座金　M6</t>
  </si>
  <si>
    <t>MP-NJ 変換コネクタ</t>
  </si>
  <si>
    <t>MP-NJ</t>
  </si>
  <si>
    <t>U-016</t>
  </si>
  <si>
    <t>https://akizukidenshi.com/catalog/g/gC-00365/</t>
  </si>
  <si>
    <t>shinozaki</t>
  </si>
  <si>
    <t>sagansat</t>
  </si>
  <si>
    <t>衛星構造</t>
  </si>
  <si>
    <t>nut</t>
  </si>
  <si>
    <t>https://jp.misumi-ec.com/vona2/detail/221000348314/?PNSearch=SNSS-M1.6X6&amp;HissuCode=SNSS-M1.6X6&amp;searchFlow=suggest2products&amp;Keyword=SNSS-M1.6X6</t>
  </si>
  <si>
    <t>https://jp.misumi-ec.com/vona2/detail/110302280540/?PNSearch=CBSTSR3-10&amp;HissuCode=CBSTSR3-10&amp;searchFlow=suggesthistory&amp;Keyword=CBSTSR3-10&amp;isReSearch=1</t>
  </si>
  <si>
    <t>シムプレート寸法カット品 材質ステンレス(SUS304)</t>
  </si>
  <si>
    <t>iwata</t>
  </si>
  <si>
    <t>spacer</t>
  </si>
  <si>
    <t>wilco</t>
  </si>
  <si>
    <t>WILCO.jp</t>
  </si>
  <si>
    <t>https://wilco.jp/products/U/CU-PH.html#page3</t>
  </si>
  <si>
    <t>screws</t>
  </si>
  <si>
    <t>https://jp.misumi-ec.com/vona2/detail/221000348314/?searchFlow=combo2products&amp;KWSearch=SNSS-M2-4&amp;HissuCode=SNSS-M2X4&amp;PNSearch=SNSS-M2X4</t>
  </si>
  <si>
    <t>https://jp.misumi-ec.com/vona2/detail/221000348314/?searchFlow=combo2products&amp;KWSearch=SNSS-M2-5&amp;HissuCode=SNSS-M2X5&amp;PNSearch=SNSS-M2X5</t>
  </si>
  <si>
    <t>rod</t>
  </si>
  <si>
    <t>https://jp.misumi-ec.com/vona2/detail/110302679630/?searchFlow=combo2products&amp;KWSearch=FABS-M3-L96&amp;HissuCode=FABS3-%5b20-150%2f1%5d&amp;PNSearch=FABS3-%5b20-150%2f1%5d</t>
  </si>
  <si>
    <t>https://jp.misumi-ec.com/vona2/detail/221006204478/?PNSearch=C-319-5&amp;HissuCode=C-319-5&amp;searchFlow=suggest2products&amp;Keyword=C-319-5&amp;isReSearch=1</t>
  </si>
  <si>
    <t>https://jp.misumi-ec.com/vona2/detail/221006204478/?PNSearch=C-305-5&amp;HissuCode=C-305-5&amp;searchFlow=suggesthistory&amp;Keyword=C-305-5</t>
  </si>
  <si>
    <t>C-317.5-5(C-317-5)</t>
  </si>
  <si>
    <t>https://jp.misumi-ec.com/vona2/detail/221006204478/?HissuCode=C-317-5&amp;PNSearch=C-317-5&amp;KWSearch=C-317-5&amp;searchFlow=results2products</t>
  </si>
  <si>
    <t>https://jp.misumi-ec.com/vona2/detail/221006204478/?PNSearch=C-305.5-5&amp;HissuCode=C-305.5-5&amp;searchFlow=suggest2products&amp;Keyword=C-305.5-5</t>
  </si>
  <si>
    <t>SLHS-M2-10</t>
  </si>
  <si>
    <t>C-302-5</t>
  </si>
  <si>
    <t>https://jp.misumi-ec.com/vona2/detail/221006204478/?HissuCode=C-302-5&amp;PNSearch=C-302-5&amp;KWSearch=C-302-5&amp;searchFlow=results2products</t>
  </si>
  <si>
    <t>https://jp.misumi-ec.com/vona2/detail/221006493827/?PNSearch=SNSS-M2-4-SD&amp;HissuCode=SNSS-M2-4-SD&amp;searchFlow=suggest2products&amp;Keyword=SNSS-M2-4-SD&amp;isReSearch=1</t>
  </si>
  <si>
    <t>https://jp.misumi-ec.com/vona2/detail/221000348314/?searchFlow=combo2products&amp;KWSearch=SNSS-M1.6-5&amp;HissuCode=SNSS-M1.6X5&amp;PNSearch=SNSS-M1.6X5</t>
  </si>
  <si>
    <t>https://jp.misumi-ec.com/vona2/detail/221006204759/?PNSearch=CC-0306-05&amp;HissuCode=CC-0306-05&amp;searchFlow=suggest2products&amp;Keyword=CC-0306-05&amp;isReSearch=1</t>
  </si>
  <si>
    <t>C-307-5</t>
  </si>
  <si>
    <t>https://jp.misumi-ec.com/vona2/detail/221006204478/?HissuCode=C-307-5&amp;PNSearch=C-307-5&amp;KWSearch=C-307-5&amp;searchFlow=results2products</t>
  </si>
  <si>
    <t>C-308-5</t>
  </si>
  <si>
    <t>https://jp.misumi-ec.com/vona2/detail/221006204478/?PNSearch=C-308-5&amp;HissuCode=C-308-5&amp;searchFlow=suggest2products&amp;Keyword=C-308-5</t>
  </si>
  <si>
    <t>商品情報未掲載のため、ページはありません。MISUMIのサイトで型番を検索するとこの商品の数量確認にいきなり飛びます</t>
  </si>
  <si>
    <t>ZImbabwe</t>
  </si>
  <si>
    <t>JAK electronics</t>
  </si>
  <si>
    <t>761-488-STM32F446RET6</t>
  </si>
  <si>
    <t>￥3914</t>
  </si>
  <si>
    <t>￥35564</t>
  </si>
  <si>
    <t>BRIDS Room</t>
  </si>
  <si>
    <t>https://www.jakelectronics.com/productdetail/stmicroelectronics-stm32f446ret6-4812562</t>
  </si>
  <si>
    <t>ラテックスグローブ</t>
  </si>
  <si>
    <t>共和</t>
  </si>
  <si>
    <t xml:space="preserve">J487012 </t>
  </si>
  <si>
    <t>LH-N652-M</t>
  </si>
  <si>
    <t>https://www.askul.co.jp/p/J487012/</t>
  </si>
  <si>
    <t>3Dプリンタ用　交換ノズル＆スロート</t>
  </si>
  <si>
    <t>M6-30mm ,  1.75mmフィラメント専用, 14.8 x 9 x 1.8 cm; 140 g</t>
  </si>
  <si>
    <t>FULARR</t>
  </si>
  <si>
    <t>B08H163Q5G</t>
  </si>
  <si>
    <t>https://www.amazon.co.jp/FULARR%C2%AE-3D%E3%83%97%E3%83%AA%E3%83%B3%E3%82%BF%E3%83%BC%E7%94%A8%E5%8A%A0%E7%86%B1%E3%83%96%E3%83%AD%E3%83%83%E3%82%AF%E3%80%816%E5%80%8B-1-75mm%E3%83%86%E3%83%95%E3%83%AD%E3%83%B3%E3%82%B9%E3%83%AD%E3%83%BC%E3%83%88%E3%83%81%E3%83%A5%E3%83%BC%E3%83%96%E3%80%816%E5%80%8B-0-4mm%E6%8A%BC%E5%87%BA%E6%A9%9F%E3%83%8E%E3%82%BA%E3%83%AB%E3%83%97%E3%83%AA%E3%83%B3%E3%83%88%E3%83%98%E3%83%83%E3%83%89%E3%80%81%E3%82%A2%E3%83%AC%E3%83%B3%E3%83%AC%E3%83%B3%E3%83%81-%E3%80%813%E5%80%8B%E3%82%AF%E3%83%AA%E3%83%BC%E3%83%8B%E3%83%B3%E3%82%B0%E3%83%8B%E3%83%BC%E3%83%89%E3%83%AB/dp/B08H163Q5G/ref=sr_1_1_sspa?__mk_ja_JP=%E3%82%AB%E3%82%BF%E3%82%AB%E3%83%8A&amp;dchild=1&amp;keywords=D%E3%83%97%E3%83%AA%E3%83%B3%E3%82%BF%E3%83%BC+%E3%83%8E%E3%82%BA%E3%83%AB+%E3%82%B9%E3%83%AD%E3%83%BC%E3%83%88+%E3%83%81%E3%83%A5%E3%83%BC%E3%83%96&amp;qid=1630290969&amp;s=industrial&amp;sr=1-1-spons&amp;psc=1&amp;smid=AOIR09OL6FIAR&amp;spLa=ZW5jcnlwdGVkUXVhbGlmaWVyPUFJODY4REcxVDAwQ1gmZW5jcnlwdGVkSWQ9QTAwNDE5NTYzS0dHVkI4NloyWUJQJmVuY3J5cHRlZEFkSWQ9QTNVT1lNUFVDQjZWTDQmd2lkZ2V0TmFtZT1zcF9hdGYmYWN0aW9uPWNsaWNrUmVkaXJlY3QmZG9Ob3RMb2dDbGljaz10cnVl</t>
  </si>
  <si>
    <t>Front End Board RevB</t>
  </si>
  <si>
    <t>S-band to IF downconvert board</t>
  </si>
  <si>
    <t>SMD 0805 1.8Kohms 1% AEC-Q200</t>
  </si>
  <si>
    <t>667-ERJ-6ENF1801V</t>
  </si>
  <si>
    <t>ERJ-6ENF1801V</t>
  </si>
  <si>
    <t>https://www.mouser.jp/ProductDetail/Panasonic/ERJ-6ENF1801V?qs=%2Fha2pyFaduiE7JbCgDNWt3j%2F4WupAyOU9kQmJECcL0RABARWmCNtXw%3D%3D</t>
  </si>
  <si>
    <t>MLCC - SMD 0805, 50V, 22pF, C0G, 10% , AECQ-200</t>
  </si>
  <si>
    <t>80-C0805C220K5GAUTO</t>
  </si>
  <si>
    <t>C0805C220K5GACAUTO</t>
  </si>
  <si>
    <t>https://www.mouser.jp/ProductDetail/KEMET/C0805C220K5GACAUTO?qs=2FIyTMJ0hNn9t4xY4mAJ1g%3D%3D</t>
  </si>
  <si>
    <t>MLCC - SMD 0805, 50V, 820pF, C0G, 5% , AECQ-200</t>
  </si>
  <si>
    <t>80-C0805C821J5GAUTO</t>
  </si>
  <si>
    <t>C0805C821J5GACAUTO</t>
  </si>
  <si>
    <t>https://www.mouser.jp/ProductDetail/KEMET/C0805C821J5GACAUTO?qs=2FIyTMJ0hNlfxj9XmdZioA%3D%3D</t>
  </si>
  <si>
    <t>Universal Breadboards SMT</t>
  </si>
  <si>
    <t>Board 80 x 50 mm, pads 50x50 mils</t>
  </si>
  <si>
    <t>BPS</t>
  </si>
  <si>
    <t>854-SP1-50X50-G</t>
  </si>
  <si>
    <t>SP1-50x50-G</t>
  </si>
  <si>
    <t>https://www.mouser.jp/ProductDetail/BusBoard-Prototype-Systems/SP1-50x50-G?qs=NGErKr1RxMDD3GIS2t7UcQ==</t>
  </si>
  <si>
    <t>3 Pos PCB Mount Connector</t>
  </si>
  <si>
    <t>3 POS Terminal Block PCB, 30 AWG to 12 AWG</t>
  </si>
  <si>
    <t>571-796911-3</t>
  </si>
  <si>
    <t>796911-3</t>
  </si>
  <si>
    <t>https://www.mouser.jp/ProductDetail/TE-Connectivity/796911-3?qs=F3nc1lPKfV7k0F3wgUq4Iw==</t>
  </si>
  <si>
    <t>Zigbee Module - 802.15.4 Digi XBee3</t>
  </si>
  <si>
    <t>Zigbee Module - 802.15.4 Digi XBee3 PCB ANT</t>
  </si>
  <si>
    <t>DIGI</t>
  </si>
  <si>
    <t>888-XB3-24APT-J</t>
  </si>
  <si>
    <t>XB3-24APT-J</t>
  </si>
  <si>
    <t>https://www.mouser.jp/ProductDetail/DIGI/XB3-24APT-J?qs=sGAEpiMZZMu3sxpa5v1qrnYAbuEa5EdP4d0tlpX788M%3D</t>
  </si>
  <si>
    <t>OPA380 Transimpedance Amplifier</t>
  </si>
  <si>
    <t>Transimpedance Amplifier 5.5 V, 7.5 mA</t>
  </si>
  <si>
    <t>595-OPA380AIDGKR</t>
  </si>
  <si>
    <t>OPA380AIDGKR</t>
  </si>
  <si>
    <t>VSSOP-8</t>
  </si>
  <si>
    <t>https://www.mouser.jp/ProductDetail/Texas-Instruments/OPA380AIDGKR?qs=7nS3%252BbEUL6se7xvHvUhv0w%3D%3D</t>
  </si>
  <si>
    <t>LM2904 Operational Amplifier</t>
  </si>
  <si>
    <t>Automotive operational amplifier -40 to 125, 5.5 V</t>
  </si>
  <si>
    <t>595-LM2904LVQDGKRQ1</t>
  </si>
  <si>
    <t>LM2904LVQDGKRQ1</t>
  </si>
  <si>
    <t>https://www.mouser.jp/ProductDetail/Texas-Instruments/LM2904LVQDGKRQ1?qs=sGAEpiMZZMv0NwlthflBi%252BLdEViitgumyGmSpWmdlAc%3D</t>
  </si>
  <si>
    <t>Mosfet SSM6K403TU</t>
  </si>
  <si>
    <t>MOSFET Small-signal MOSFET, 20 V, 4.2 A</t>
  </si>
  <si>
    <t>757-SSM6K403TULF</t>
  </si>
  <si>
    <t>SSM6K403TU,LF</t>
  </si>
  <si>
    <t>UDFN-6</t>
  </si>
  <si>
    <t>https://www.mouser.jp/ProductDetail/Toshiba/SSM6K403TULF?qs=%2Fha2pyFadujmkw7934ewz1LrNmabTgSH0qboFKxKLdYV0vhBMEKO9g%3D%3D</t>
  </si>
  <si>
    <t>Microcontroller STM32F446VET6</t>
  </si>
  <si>
    <t>IC MCU 32BIT 512KB FLASH 100LQFP</t>
  </si>
  <si>
    <t>JAK Electronics</t>
  </si>
  <si>
    <t>761-488-STM32F446VET6</t>
  </si>
  <si>
    <t>100-LQFP</t>
  </si>
  <si>
    <t>https://www.jakelectronics.com/productdetail/stmicroelectronics-stm32f446vet6-4812717</t>
  </si>
  <si>
    <t>Crystal ECS-160-9-33B-CKY-TR</t>
  </si>
  <si>
    <t>16MHZ 9pF +/-10ppm +/-10ppm -30C 85C</t>
  </si>
  <si>
    <t>520-ECS160933BCKY-TR</t>
  </si>
  <si>
    <t>ECS-160-9-33B-CKY-TR</t>
  </si>
  <si>
    <t>https://www.mouser.jp/ProductDetail/ECS/ECS-160-9-33B-CKY-TR?qs=7MVldsJ5Uay8FRiBpnN1iw%3D%3D</t>
  </si>
  <si>
    <t>Shunt Connector</t>
  </si>
  <si>
    <t>Headers &amp; Wire Housings AMP SHUNT Pitch 2.54 mm</t>
  </si>
  <si>
    <t>571-1-881545-1</t>
  </si>
  <si>
    <t>1-881545-1</t>
  </si>
  <si>
    <t>https://www.mouser.jp/ProductDetail/TE-Connectivity/1-881545-1?qs=sGAEpiMZZMsyYdr3R27aV9acAOlmvVgm</t>
  </si>
  <si>
    <t>Male Header Socket (2.54mm)</t>
  </si>
  <si>
    <t>Esteban/Ariel</t>
  </si>
  <si>
    <t>Single Row, 20 position, 2.54 mm pitch, Straight</t>
  </si>
  <si>
    <t>571-2-825433-0</t>
  </si>
  <si>
    <t>2-825433-0</t>
  </si>
  <si>
    <t>https://www.mouser.jp/ProductDetail/TE-Connectivity/2-825433-0?qs=Yxch5oR%2FTsPyWO6AE6CpEQ%3D%3D</t>
  </si>
  <si>
    <t>Female Header Socket (2.54mm)</t>
  </si>
  <si>
    <t>Single Row, 4 position, 2.54 mm pitch</t>
  </si>
  <si>
    <t>517-9601046303AR</t>
  </si>
  <si>
    <t>960104-6303-AR</t>
  </si>
  <si>
    <t>https://www.mouser.jp/ProductDetail/3M-Electronic-Solutions-Division/960104-6303-AR?qs=A%252BtsDZJT%252Bi8oD6q1TL3f0Q%3D%3D</t>
  </si>
  <si>
    <t>Fixed Terminal Block (5 mm)</t>
  </si>
  <si>
    <t>2 position, 5 mm pitch</t>
  </si>
  <si>
    <t>490-TB002-500-02BE</t>
  </si>
  <si>
    <t>TB002-500-02BE</t>
  </si>
  <si>
    <t>https://www.mouser.jp/ProductDetail/CUI-Devices/TB002-500-02BE?qs=vLWxofP3U2x9716kcgva%2Fw==</t>
  </si>
  <si>
    <t>Low Signal Relay</t>
  </si>
  <si>
    <t>4.5 VDC, 1A Contact current</t>
  </si>
  <si>
    <t>769-AGQ20T4H</t>
  </si>
  <si>
    <t>AGQ20T4H</t>
  </si>
  <si>
    <t>https://www.mouser.jp/ProductDetail/Panasonic-Industrial-Devices/AGQ20T4H?qs=%2Fha2pyFaduj58FMjpu%2FoFqYI4k6fubWLMflPT3cCZZ0%3D</t>
  </si>
  <si>
    <t>Jumper Wires Male- Male (20 cm)</t>
  </si>
  <si>
    <t>Jumper Cable, 20 cm length, 40 pcs, 24 AWG</t>
  </si>
  <si>
    <t>Adafruit</t>
  </si>
  <si>
    <t>485-4482</t>
  </si>
  <si>
    <t>https://www.mouser.jp/ProductDetail/Adafruit/4482?qs=CUBnOrq4ZJzhDKaBhomrSA%3D%3D</t>
  </si>
  <si>
    <t>UHF board for CURTIS satellite</t>
  </si>
  <si>
    <t>Bus voltage 8.4V; 400MHz DL; 450.000MHz UL</t>
  </si>
  <si>
    <t>TB6612FNG Driver Motor</t>
  </si>
  <si>
    <t>DC Motor Driver 3V 24-Pin SSOP T/R</t>
  </si>
  <si>
    <t>770-3797</t>
  </si>
  <si>
    <t>TB6612FNG,C,8,EL</t>
  </si>
  <si>
    <t>24-LSSOP</t>
  </si>
  <si>
    <t>https://jp.rs-online.com/web/p/motor-driver-ics/7703797//?cm_mmc=aff2-_-jp-_-octopart-_-Instock7703797</t>
  </si>
  <si>
    <t>標準形ダイヤルゲージ</t>
  </si>
  <si>
    <t>NRI(消耗品）</t>
  </si>
  <si>
    <t>2044A(校正企業実施校正書・トレーサビリティ体系図付)</t>
  </si>
  <si>
    <t>ミツトヨ</t>
  </si>
  <si>
    <t>https://www.monotaro.com/g/04970822/?t.q=%83%7E%83c%83g%83%88%20%83_%83C%83%84%83%8B%83Q%81%5B%83W</t>
  </si>
  <si>
    <t>スキマゲージ</t>
  </si>
  <si>
    <t>0.04、0.05、0.06、0.07、0.08、0.10、0.15、0.20、0.30</t>
  </si>
  <si>
    <t>https://www.monotaro.com/g/00031009/?t.q=%83X%83L%83%7D%83Q%81%5B%83W</t>
  </si>
  <si>
    <t>台付スコヤ 目盛付</t>
  </si>
  <si>
    <t>(表裏)外側20cm/内側18cm</t>
  </si>
  <si>
    <t>https://www.monotaro.com/g/00030156/?t.q=%91%E4%95t%82%AB%83X%83R%83%84</t>
  </si>
  <si>
    <t>Raspberry Pi CM4</t>
  </si>
  <si>
    <t>eMMC: 32GB, RAM: 8GB, without wireless, with CM4 IO board</t>
  </si>
  <si>
    <t>ebay</t>
  </si>
  <si>
    <t>CM4008032</t>
  </si>
  <si>
    <t>https://www.ebay.com/itm/284413108865?hash=item423857a281:g:dfkAAOSwrh1hGyle</t>
  </si>
  <si>
    <t>Raspberry Pi コンピュートモジュール 4 （ CM4 ） 8 GB 、 32 GB フラッシュ</t>
  </si>
  <si>
    <t>*</t>
  </si>
  <si>
    <t>206-4859</t>
  </si>
  <si>
    <t>SC0298</t>
  </si>
  <si>
    <t>https://jp.rs-online.com/web/p/raspberry-pi/2064859/</t>
  </si>
  <si>
    <t>Raspberry Pi CM4 IO board</t>
  </si>
  <si>
    <t>Raspberry Pi Compute Module 4 （ CM4 ） IO ボード</t>
  </si>
  <si>
    <t>206-4868</t>
  </si>
  <si>
    <t>SC0326</t>
  </si>
  <si>
    <t>https://jp.rs-online.com/web/p/raspberry-pi/2064868</t>
  </si>
  <si>
    <t>FitcheckCase追加工</t>
  </si>
  <si>
    <t>NRI（外注費）</t>
  </si>
  <si>
    <t>角のレーザー加工</t>
  </si>
  <si>
    <t>SVBL3F Clean room</t>
  </si>
  <si>
    <t xml:space="preserve">Battery </t>
  </si>
  <si>
    <t>単三形、電圧1.2V、 min.19000mAh</t>
  </si>
  <si>
    <t>amazon</t>
  </si>
  <si>
    <t>BK-3MCC/8</t>
  </si>
  <si>
    <t>構造系</t>
  </si>
  <si>
    <t>https://www.amazon.co.jp/%E3%83%91%E3%83%8A%E3%82%BD%E3%83%8B%E3%83%83%E3%82%AF-eneloop-%E5%8D%983%E5%BD%A2%E5%85%85%E9%9B%BB%E6%B1%A0-%E3%82%B9%E3%82%BF%E3%83%B3%E3%83%80%E3%83%BC%E3%83%89%E3%83%A2%E3%83%87%E3%83%AB-BK-3MCC/dp/B00C48U2N6?th=1</t>
  </si>
  <si>
    <t>PTFEシート</t>
  </si>
  <si>
    <t>耐熱性、耐薬品性、耐酸、耐アルカリ、電気絶縁性　有</t>
  </si>
  <si>
    <t>https://www.monotaro.com/g/02476958/</t>
  </si>
  <si>
    <t>NTCサーミスタ</t>
  </si>
  <si>
    <t>25℃での抵抗10KΩ</t>
  </si>
  <si>
    <t>digi-key</t>
  </si>
  <si>
    <t>https://www.digikey.jp/products/ja?keywords=GAG10K3976B1</t>
  </si>
  <si>
    <t>厚さ0.5mm  半径6mm  内径3.2mm</t>
  </si>
  <si>
    <t>20メートル 幅20mm</t>
  </si>
  <si>
    <t>https://www.monotaro.com/g/00009445/?t.q=%83J%83v%83g%83%93%83e%81%5B%83v</t>
  </si>
  <si>
    <t>ハンドタップ 中#2</t>
  </si>
  <si>
    <t>M2.6xP0.45</t>
  </si>
  <si>
    <t>M2.6×0.45#2</t>
  </si>
  <si>
    <t>https://www.monotaro.com/g/04150179/?t.q=M2.6%200.45</t>
  </si>
  <si>
    <t>ilisert M1.6x3</t>
  </si>
  <si>
    <t xml:space="preserve"> M1.6x3</t>
  </si>
  <si>
    <t>M1.6x3-SUS303</t>
  </si>
  <si>
    <t>http://www.hirosugi.com/catalogue/index.html</t>
  </si>
  <si>
    <t>ilisert用　ドライバー</t>
  </si>
  <si>
    <t>M1.6用</t>
  </si>
  <si>
    <t>M1.6xP0.35</t>
  </si>
  <si>
    <r>
      <rPr>
        <u/>
        <sz val="10"/>
        <color rgb="FF1155CC"/>
        <rFont val="Arial, sans-serif"/>
      </rPr>
      <t>http://www.hirosugi.com/catalogue/index.html</t>
    </r>
    <r>
      <rPr>
        <u/>
        <sz val="10"/>
        <color rgb="FF0563C1"/>
        <rFont val="Arial, sans-serif"/>
      </rPr>
      <t>l</t>
    </r>
  </si>
  <si>
    <t>Radius gauge</t>
  </si>
  <si>
    <t>0.5- 7.0mm ラディアスゲージ</t>
  </si>
  <si>
    <t>EA725SC-31</t>
  </si>
  <si>
    <t>https://www.monotaro.com/g/04994270/?t.q=%83%89%83f%83B%83A%83X%83Q%81%5B%83W%81%400.5</t>
  </si>
  <si>
    <t>BPB-testboard</t>
  </si>
  <si>
    <t>https://www.digikey.jp/product-detail/ja/hirose-electric-co-ltd/DF11-16DS-2C/H2025-ND/141271</t>
  </si>
  <si>
    <t>Crimp</t>
  </si>
  <si>
    <t>Socket Terminal Tin 24-28 AWG Crimping</t>
  </si>
  <si>
    <t>H1504-ND</t>
  </si>
  <si>
    <t>DF11-2428SC</t>
  </si>
  <si>
    <t>https://www.digikey.jp/product-detail/ja/hirose-electric-co-ltd/DF11-2428SC/H1504-ND/141470</t>
  </si>
  <si>
    <t>電波利用料</t>
  </si>
  <si>
    <t>アマチュア局　１局</t>
  </si>
  <si>
    <t>再免許申請手数料</t>
  </si>
  <si>
    <t>アマチュア局　１局（地上局）</t>
  </si>
  <si>
    <t>Micro USB connector</t>
  </si>
  <si>
    <t>microorbiter</t>
  </si>
  <si>
    <t>USB Connector B Type, Female Surface Mount 10103594-0001LF</t>
  </si>
  <si>
    <t>Micro orbiter</t>
  </si>
  <si>
    <t>LoRa Board</t>
  </si>
  <si>
    <t>Stainless steel washer</t>
  </si>
  <si>
    <t>SUS; M8; t_1.2 mm</t>
  </si>
  <si>
    <t>WSJS-SUS-M8</t>
  </si>
  <si>
    <t>https://jp.misumi-ec.com/vona2/detail/221000552007/?ProductCode=WSJS-SUS-M8</t>
  </si>
  <si>
    <t>SUS; M6; t_0.8 mm</t>
  </si>
  <si>
    <t>WSJS-SUS-M6</t>
  </si>
  <si>
    <t>https://jp.misumi-ec.com/vona2/detail/221000552007/?ProductCode=WSJS-SUS-M6</t>
  </si>
  <si>
    <t>SUS; M4; t_0.5 mm</t>
  </si>
  <si>
    <t>WSJS-SUS-M4</t>
  </si>
  <si>
    <t>https://jp.misumi-ec.com/vona2/detail/221000552007/?ProductCode=WSJS-SUS-M4</t>
  </si>
  <si>
    <t>Stainless steel spring washer</t>
  </si>
  <si>
    <t>SUS; M8; t_2.0 mm</t>
  </si>
  <si>
    <t>WSP2-SUS-M8</t>
  </si>
  <si>
    <t>https://jp.misumi-ec.com/vona2/detail/221000551859/?ProductCode=WSP2-SUS-M8</t>
  </si>
  <si>
    <t>SUS; M6; t_1.5 mm</t>
  </si>
  <si>
    <t>WSP2-SUS-M6</t>
  </si>
  <si>
    <t>https://jp.misumi-ec.com/vona2/detail/221000551859/?ProductCode=WSP2-SUS-M6</t>
  </si>
  <si>
    <t>SUS; M4; t_1.0 mm</t>
  </si>
  <si>
    <t>WSP2-SUS-M4</t>
  </si>
  <si>
    <t>https://jp.misumi-ec.com/vona2/detail/221000551859/?ProductCode=WSP2-SUS-M4</t>
  </si>
  <si>
    <t>stainless steel, size_M4, length_13 mm, pitch_0.7</t>
  </si>
  <si>
    <t>CSH-SUS-M4-13</t>
  </si>
  <si>
    <t>https://jp.misumi-ec.com/vona2/detail/221000551286/?ProductCode=CSH-SUS-M4-13</t>
  </si>
  <si>
    <t>Hex bolts</t>
  </si>
  <si>
    <t>stainless steel, size_M6, length_40 mm, pitch_1.0</t>
  </si>
  <si>
    <t>HXN-SUS-M6-40</t>
  </si>
  <si>
    <t>https://jp.misumi-ec.com/vona2/detail/221000550533/?ProductCode=HXN-SUS-M6-40</t>
  </si>
  <si>
    <t>stainless steel, size_M8, length_500 mm, pitch_1.25</t>
  </si>
  <si>
    <t>HXN-SUS-M8-50</t>
  </si>
  <si>
    <t>https://jp.misumi-ec.com/vona2/detail/221000550533/?ProductCode=HXN-SUS-M8-50</t>
  </si>
  <si>
    <t>Hex nuts</t>
  </si>
  <si>
    <t>stainless steel, size_M6</t>
  </si>
  <si>
    <t>HNT3-SUS-M6</t>
  </si>
  <si>
    <t>https://jp.misumi-ec.com/vona2/detail/221000544514/?ProductCode=HNT3-SUS-M6</t>
  </si>
  <si>
    <t>HNT3-SUS-M8</t>
  </si>
  <si>
    <t>https://jp.misumi-ec.com/vona2/detail/221000544514/?ProductCode=HNT3-SUS-M8</t>
  </si>
  <si>
    <t>Flat LAN cable (2 m in length)</t>
  </si>
  <si>
    <t>CAT6; straight wiring; PVC sheath; 2 m in length</t>
  </si>
  <si>
    <t>LD-GFT / BU20</t>
  </si>
  <si>
    <t>PeTT &amp; small chambers</t>
  </si>
  <si>
    <t>https://jp.misumi-ec.com/vona2/detail/222302221387/?ProductCode=LD-GFT%2FBU20</t>
  </si>
  <si>
    <t>USB 3.0 extension cable</t>
  </si>
  <si>
    <t>Male to female USB extension cable</t>
  </si>
  <si>
    <t>USB3-E20BK</t>
  </si>
  <si>
    <t>https://jp.misumi-ec.com/vona2/detail/222302223110/?ProductCode=USB3-E20BK</t>
  </si>
  <si>
    <t>Parts case/ box</t>
  </si>
  <si>
    <t>354 X 256 X 65 mm; 15 partitions: gray</t>
  </si>
  <si>
    <t>TAKAGI</t>
  </si>
  <si>
    <t>https://jp.misumi-ec.com/vona2/detail/223013388527/?ProductCode=1173040</t>
  </si>
  <si>
    <t>ユニバーサル基板2.54mmピッチ</t>
  </si>
  <si>
    <t>95mm x 72mm</t>
  </si>
  <si>
    <t>八嶋製作所</t>
  </si>
  <si>
    <t>P-03230</t>
  </si>
  <si>
    <t>AE-B2-CEM3</t>
  </si>
  <si>
    <t>YOMOGI/COM</t>
  </si>
  <si>
    <t>https://akizukidenshi.com/catalog/g/gP-03230/</t>
  </si>
  <si>
    <t>ユニバーサル基板2.00mmピッチ</t>
  </si>
  <si>
    <t>72mm x 48mm</t>
  </si>
  <si>
    <t>Picotec International Co.,Ltd</t>
  </si>
  <si>
    <t>P-04022</t>
  </si>
  <si>
    <t>Universal Board A-1L</t>
  </si>
  <si>
    <t>https://akizukidenshi.com/catalog/g/gP-04022/</t>
  </si>
  <si>
    <t>1回路2接点</t>
  </si>
  <si>
    <t>Cosland Co,.Ltd.</t>
  </si>
  <si>
    <t>P-00300</t>
  </si>
  <si>
    <t>2MS1-T1-B4-VS2-Q-E-S</t>
  </si>
  <si>
    <t>https://akizukidenshi.com/catalog/g/gP-00300/</t>
  </si>
  <si>
    <t>タクトスイッチ</t>
  </si>
  <si>
    <t>タクトスイッチ　12mm</t>
  </si>
  <si>
    <t>Zhejiang Jianfu Electronics Co., Ltd</t>
  </si>
  <si>
    <t>P-09828</t>
  </si>
  <si>
    <t>TVGP01-G73BB with Gray cap</t>
  </si>
  <si>
    <t>https://akizukidenshi.com/catalog/g/gP-09828/</t>
  </si>
  <si>
    <t>ピンヘッダL型　1x60</t>
  </si>
  <si>
    <t>L型 1x6 2.54mmピッチ</t>
  </si>
  <si>
    <t>C-05336</t>
  </si>
  <si>
    <t>PH-1X6RG(2)</t>
  </si>
  <si>
    <t>https://akizukidenshi.com/catalog/g/gC-05336/</t>
  </si>
  <si>
    <t>ＵＳＢシリアル変換ケーブル（３．３Ｖ）</t>
  </si>
  <si>
    <t>3.3V FTDI</t>
  </si>
  <si>
    <t>M-05840</t>
  </si>
  <si>
    <t>https://akizukidenshi.com/catalog/g/gM-05840/</t>
  </si>
  <si>
    <t>2.1mm DCジャック</t>
  </si>
  <si>
    <t>φ2.1mm x φ5.5mm　20V 4A</t>
  </si>
  <si>
    <t>4UCON TECHNOLOGY INC.</t>
  </si>
  <si>
    <t>C-09408</t>
  </si>
  <si>
    <t>https://akizukidenshi.com/catalog/g/gC-09408/</t>
  </si>
  <si>
    <t>ＤＣジャックＤＩＰ化基板</t>
  </si>
  <si>
    <t>P-05407</t>
  </si>
  <si>
    <t>https://akizukidenshi.com/catalog/g/gP-05407/</t>
  </si>
  <si>
    <t>細ピンヘッダ　１×４</t>
  </si>
  <si>
    <t>C-04392</t>
  </si>
  <si>
    <t>PHA-1x4SG</t>
  </si>
  <si>
    <t>https://akizukidenshi.com/catalog/g/gC-04392/</t>
  </si>
  <si>
    <t>スイッチングＡＣアダプター</t>
  </si>
  <si>
    <t>スイッチングＡＣアダプター　３．３Ｖ２．２Ａ</t>
  </si>
  <si>
    <t>AD-A33P220</t>
  </si>
  <si>
    <t>https://akizukidenshi.com/catalog/g/gM-11995/</t>
  </si>
  <si>
    <t>ターミナルブロック　２Ｐ　青　縦　小</t>
  </si>
  <si>
    <t>https://akizukidenshi.com/catalog/g/gP-01306/</t>
  </si>
  <si>
    <t>スペーサー　ねじセット</t>
  </si>
  <si>
    <t>３ｍｍプラネジ（７ｍｍ）＋六角スペーサー（１４ｍｍ）セット</t>
  </si>
  <si>
    <t>P-01861</t>
  </si>
  <si>
    <t>https://akizukidenshi.com/catalog/g/gP-01861/</t>
  </si>
  <si>
    <t>ミニカードスペーサー　ＭＰＳ－０４－０</t>
  </si>
  <si>
    <t>北川工業株式会社</t>
  </si>
  <si>
    <t>P-10089</t>
  </si>
  <si>
    <t>MPS-04-0</t>
  </si>
  <si>
    <t>https://akizukidenshi.com/catalog/g/gP-10089/</t>
  </si>
  <si>
    <t xml:space="preserve"> 抵抗器 30W 1Ω ±1%, MP930-1.00-1%</t>
  </si>
  <si>
    <t>oboshi</t>
  </si>
  <si>
    <t>抵抗器 30W 1Ω ±1%, -55°C～ +150°C</t>
  </si>
  <si>
    <t>Caddock</t>
  </si>
  <si>
    <t>320-4946</t>
  </si>
  <si>
    <t>MP930-1.00-1%</t>
  </si>
  <si>
    <t>ラッチングリレー DPDT 5V dc</t>
  </si>
  <si>
    <t>Omron</t>
  </si>
  <si>
    <t>319-6592</t>
  </si>
  <si>
    <t>G6AK-274P DC5V</t>
  </si>
  <si>
    <t>CSR0805FK25L0TR-ND</t>
  </si>
  <si>
    <t>CSR0805FK25L0</t>
  </si>
  <si>
    <t>Tape &amp; Reel</t>
  </si>
  <si>
    <t>MB2 FM</t>
  </si>
  <si>
    <t>https://www.digikey.com/en/products/detail/stackpole-electronics-inc/CSR0805FK25L0/1742412</t>
  </si>
  <si>
    <t>0.1µF ± 10% 25V Ceramic Capacitor X7R 0603 (1608 metric system)</t>
  </si>
  <si>
    <t>399-1281-1-ND</t>
  </si>
  <si>
    <t>C0603C104K3RACTU</t>
  </si>
  <si>
    <t>https://www.digikey.jp/product-detail/ja/kemet/C0603C104K3RACTU/399-1281-1-ND/416057</t>
  </si>
  <si>
    <t>Multilayer Ceramic Capacitors MLCC - SMD/SMT 0805 100uF 4volts *Derate Voltage/Temp</t>
  </si>
  <si>
    <t>81-GRM21BR60G107ME5L</t>
  </si>
  <si>
    <t>https://www.mouser.com/Passive-Components/Capacitors/Ceramic-Capacitors/MLCCs-Multilayer-Ceramic-Capacitors/Multilayer-Ceramic-Capacitors-MLCC-SMD-SMT/_/N-bkrdv?P=1z0wrkmZ1yzmou0</t>
  </si>
  <si>
    <t>18pF ± 5% 100V Ceramic Capacitor C0G, NP0 0805 (2012 metric system)</t>
  </si>
  <si>
    <t>YAGEO</t>
  </si>
  <si>
    <t>311-4219-1-ND</t>
  </si>
  <si>
    <t>CC0805JRNPO0BN180</t>
  </si>
  <si>
    <t>Multilayer Ceramic Capacitors MLCC - SMD/SMT 100V 2200pF X8R 0603 10%</t>
  </si>
  <si>
    <t>80-C0603C222K1HAUTO</t>
  </si>
  <si>
    <t>C0603C222K1HACAUTO</t>
  </si>
  <si>
    <t>https://www.mouser.com/Passive-Components/Capacitors/Ceramic-Capacitors/MLCCs-Multilayer-Ceramic-Capacitors/Multilayer-Ceramic-Capacitors-MLCC-SMD-SMT/_/N-bkrdv?keyword=2.2NF</t>
  </si>
  <si>
    <t>12 Pin Male Connector PSS-210204-00</t>
  </si>
  <si>
    <t>Javier or Tasuku</t>
  </si>
  <si>
    <t>Hirosugi Instrument</t>
  </si>
  <si>
    <t>PSS-210204-00</t>
  </si>
  <si>
    <t>BIRDS-X</t>
  </si>
  <si>
    <t>SVBL-3F/BIRDS-X</t>
  </si>
  <si>
    <t>Bipolar Transistors - Pre-Biased DIGIT NPN 50V 100MA</t>
  </si>
  <si>
    <t>https://www.mouser.com/ProductDetail/ROHM-Semiconductor/DTC144EKAT146?qs=4kLU8WoGk0s6Af1cWyUglg%3D%3D&amp;utm_source=digipart&amp;utm_medium=aggregator&amp;utm_campaign=DTC144EKAT146&amp;utm_term=DTC144EKA&amp;utm_content=ROHM%20Semiconductor</t>
  </si>
  <si>
    <t>TRIMMER 20K OHM 0.25W J LEAD TOP</t>
  </si>
  <si>
    <t>https://www.digikey.jp/product-detail/ja/bourns-inc/PVG3A203C01R00/490-2650-1-ND/666226</t>
  </si>
  <si>
    <t>Optical Format: 1/2.5”
 Effective Focal Length: 8mm, Mount: M12, NoIR</t>
  </si>
  <si>
    <t>Optical Format: 1/2.5”
 Effective Focal Length: 12mm, Mount: M12, NoIR</t>
  </si>
  <si>
    <t>https://www.uctronics.com/lens/m12-mount-lens/arducam-12mm-m12-lens-m2512zh03-for-usb-camera.html</t>
  </si>
  <si>
    <t>https://www.edmundoptics.com/p/790nm-cwl-10nm-fwhm-125mm-mounted-diameter/22446/</t>
  </si>
  <si>
    <t>https://www.edmundoptics.com/p/720nm-cwl-10nm-fwhm-125mm-mounted-diameter/22440/</t>
  </si>
  <si>
    <t>Memory: 512MB RAM
 USB 2.0 port: microB (OTG connection)
 Low-level peripherals: 27 x GPIO, UART, I 2 C, SPI and two chip select, + 3.3 V, + 5 V, GND</t>
  </si>
  <si>
    <t>https://www.mouser.jp/ProductDetail/Adafruit/3410?qs=sGAEpiMZZMv0NwlthflBi30MadZJl2T0VXvNkSTInVA%3D</t>
  </si>
  <si>
    <t>Memory card 64GB Industrial MicroSD -25C to 85C</t>
  </si>
  <si>
    <t>　　　　　　　　　</t>
  </si>
  <si>
    <t>https://www.mouser.jp/ProductDetail/SanDisk/SDSDQAF3-064G-I?qs=1mbolxNpo8dCRthbXxAq3w%3D%3D</t>
  </si>
  <si>
    <t>ARDUCAM</t>
  </si>
  <si>
    <t>https://www.uctronics.com/arducam-for-raspberry-pi-zero-camera-module-wide-angle-120-1-4-inch-5mp-ov5647-spy-camera-with-flex-cable-for-pi-zero-and-pi-compute-module.html</t>
  </si>
  <si>
    <t>10nF capacitor</t>
  </si>
  <si>
    <t xml:space="preserve">	CAP CER 0603 10NF 25VDC X8G</t>
  </si>
  <si>
    <t xml:space="preserve">	399-C0603C103K3TACAUTOCT-ND</t>
  </si>
  <si>
    <t>C0603C103K3TACAUTO</t>
  </si>
  <si>
    <t>CT</t>
  </si>
  <si>
    <t>https://www.digikey.jp/product-detail/ja/kemet/C0603C103K3TACAUTO/399-C0603C103K3TACAUTOCT-ND/13546797</t>
  </si>
  <si>
    <t>0.025Ω resister</t>
  </si>
  <si>
    <t xml:space="preserve">	Vishay Dale</t>
  </si>
  <si>
    <t xml:space="preserve">	WSLB-.025CT-ND</t>
  </si>
  <si>
    <t xml:space="preserve">	WSL0805R0250FEA18</t>
  </si>
  <si>
    <t>100μF capacitor</t>
  </si>
  <si>
    <t xml:space="preserve">        CAP CER 100UF 4V X6S 0805</t>
  </si>
  <si>
    <t xml:space="preserve">	Murata Electronics</t>
  </si>
  <si>
    <t xml:space="preserve">	490-13978-1-ND</t>
  </si>
  <si>
    <t xml:space="preserve">	GRM21BC80G107ME15L</t>
  </si>
  <si>
    <t>https://www.digikey.jp/product-detail/ja/murata-electronics/GRM21BC80G107ME15L/490-13978-1-ND/6155808</t>
  </si>
  <si>
    <t>10μF capacitor</t>
  </si>
  <si>
    <t xml:space="preserve">        CAP CER 10UF 10V X7R 0805</t>
  </si>
  <si>
    <t xml:space="preserve">	445-7592-1-ND</t>
  </si>
  <si>
    <t xml:space="preserve">	C2012X7R1A106M125AC</t>
  </si>
  <si>
    <t>https://www.digikey.jp/product-detail/ja/tdk-corporation/C2012X7R1A106M125AC/445-7592-1-ND/2733664</t>
  </si>
  <si>
    <t>18pF capacitor</t>
  </si>
  <si>
    <t xml:space="preserve">	CAP CER 18PF 50V C0G/NPO 0805</t>
  </si>
  <si>
    <t xml:space="preserve">	YAGEO</t>
  </si>
  <si>
    <t xml:space="preserve">	311-1102-1-ND</t>
  </si>
  <si>
    <t xml:space="preserve">	CC0805JRNPO9BN180</t>
  </si>
  <si>
    <t>M2 Length=6</t>
  </si>
  <si>
    <t>https://jp.misumi-ec.com/vona2/detail/221006493827/?PNSearch=SNSS-M2-6-SD&amp;HissuCode=SNSS-M2-6-SD&amp;searchFlow=suggest2products&amp;Keyword=SNSS-M2-6-SD&amp;list=SuggestPreview</t>
  </si>
  <si>
    <t>M2 Nut</t>
  </si>
  <si>
    <t>M1.6 Length=6</t>
  </si>
  <si>
    <t>SNSS-M1.6X6</t>
  </si>
  <si>
    <t>https://jp.misumi-ec.com/vona2/detail/221000348314/?PNSearch=SNSS-M1.6X6&amp;HissuCode=SNSS-M1.6X6&amp;searchFlow=suggesthistory&amp;Keyword=SNSS-M1.6X6</t>
  </si>
  <si>
    <t>M2 Length=8</t>
  </si>
  <si>
    <t>SSHS-M2x8</t>
  </si>
  <si>
    <t>SSHS-M2x6</t>
  </si>
  <si>
    <t>https://jp.misumi-ec.com/vona2/detail/110300250540/?PNSearch=SLBNR3&amp;HissuCode=SLBNR3&amp;searchFlow=suggesthistory&amp;Keyword=SLBNR3&amp;list=SuggestPreview</t>
  </si>
  <si>
    <t>M2 Length=5 Low head</t>
  </si>
  <si>
    <t>https://jp.misumi-ec.com/vona2/detail/110302280540/?PNSearch=CBSTSR2-5&amp;HissuCode=CBSTSR2-5&amp;searchFlow=suggest2products&amp;Keyword=CBSTSR2-5&amp;list=SuggestPreview</t>
  </si>
  <si>
    <t>Out of stock</t>
  </si>
  <si>
    <t>M2 Length=4</t>
  </si>
  <si>
    <t>SNSS-M2x4</t>
  </si>
  <si>
    <t>https://jp.misumi-ec.com/vona2/detail/221000348314/?PNSearch=SNSS-M2X4&amp;HissuCode=SNSS-M2X4&amp;searchFlow=suggesthistory&amp;Keyword=SNSS-M2X4&amp;list=SuggestPreview</t>
  </si>
  <si>
    <t>M2 Length=5</t>
  </si>
  <si>
    <t>SNSS-M2x5</t>
  </si>
  <si>
    <t>https://jp.misumi-ec.com/vona2/detail/221000348314/?PNSearch=SNSS-M2X5&amp;HissuCode=SNSS-M2X5&amp;searchFlow=suggest2products&amp;Keyword=SNSS-M2X5&amp;list=SuggestPreview</t>
  </si>
  <si>
    <t>M3 Rod</t>
  </si>
  <si>
    <t>https://jp.misumi-ec.com/vona2/detail/110302679630/?PNSearch=FABS&amp;HissuCode=FABS&amp;searchFlow=suggesthistory&amp;Keyword=FABS&amp;list=SuggestPreview</t>
  </si>
  <si>
    <t>Spacer Length=19</t>
  </si>
  <si>
    <t>https://jp.misumi-ec.com/vona2/detail/221006204478/?PNSearch=C-319-5&amp;HissuCode=C-319-5&amp;searchFlow=suggesthistory&amp;Keyword=C-319-5&amp;list=SuggestPreview</t>
  </si>
  <si>
    <t>Spacer Length=17.5</t>
  </si>
  <si>
    <t>https://jp.misumi-ec.com/vona2/detail/221006204478/?PNSearch=C-317.5&amp;HissuCode=C-317.5&amp;searchFlow=suggesthistory&amp;Keyword=C-317.5&amp;list=SuggestPreview</t>
  </si>
  <si>
    <t>Spacer Length=5.5</t>
  </si>
  <si>
    <t>https://jp.misumi-ec.com/vona2/detail/221006204478/?PNSearch=C-305.5-5&amp;HissuCode=C-305.5-5&amp;searchFlow=suggesthistory&amp;Keyword=C-305.5-5&amp;list=SuggestPreview</t>
  </si>
  <si>
    <t>M2 Length=10</t>
  </si>
  <si>
    <t>SLHS-M2x10</t>
  </si>
  <si>
    <t>C302-5</t>
  </si>
  <si>
    <t>Spacer Length=2</t>
  </si>
  <si>
    <t>https://jp.misumi-ec.com/vona2/detail/221006204478/?PNSearch=C-302-5&amp;HissuCode=C-302-5&amp;searchFlow=suggest2products&amp;Keyword=C-302-5</t>
  </si>
  <si>
    <t>SSHS-M2x5</t>
  </si>
  <si>
    <t>SSHS-M2x4</t>
  </si>
  <si>
    <t>https://jp.misumi-ec.com/vona2/detail/221006493827/?PNSearch=SNSS-M2-4-SD-VA&amp;HissuCode=SNSS-M2-4-SD-VA&amp;searchFlow=suggesthistory&amp;Keyword=SNSS-M2-4-SD-VA&amp;list=SuggestPreview</t>
  </si>
  <si>
    <t>M1.6 Length=5</t>
  </si>
  <si>
    <t>SNSS-M1.6x5</t>
  </si>
  <si>
    <t>https://jp.misumi-ec.com/vona2/detail/221000348314/?PNSearch=SNSS-M1.6X5&amp;HissuCode=SNSS-M1.6X5&amp;searchFlow=suggesthistory&amp;Keyword=SNSS-M1.6X5&amp;list=SuggestPreview</t>
  </si>
  <si>
    <t>Spacer Length=0.5</t>
  </si>
  <si>
    <t>https://jp.misumi-ec.com/vona2/detail/221006204759/?PNSearch=CC-0306-05&amp;HissuCode=CC-0306-05&amp;searchFlow=suggesthistory&amp;Keyword=CC-0306-05&amp;list=SuggestPreview</t>
  </si>
  <si>
    <t>Spacer Length=7</t>
  </si>
  <si>
    <t>C-307-5 スペーサー(ジュラコンスペーサー) C-300-5シリーズ(M=3用 外径Φ5) 1袋(50個) 廣杉計器 【通販モノタロウ】 11516146 (monotaro.com)</t>
  </si>
  <si>
    <t>Spacer Length=8</t>
  </si>
  <si>
    <t>https://jp.misumi-ec.com/vona2/detail/221006204478/?PNSearch=C-308-5&amp;HissuCode=C-308-5&amp;searchFlow=suggest2products&amp;Keyword=C-308-5&amp;list=SuggestPreview</t>
  </si>
  <si>
    <t>https://jp.misumi-ec.com/vona2/detail/110302280540/?PNSearch=CBSTSR2-6&amp;HissuCode=CBSTSR2-6&amp;searchFlow=suggesthistory&amp;Keyword=CBSTSR2-6&amp;list=SuggestPreview</t>
  </si>
  <si>
    <t>M1.6 Nut</t>
  </si>
  <si>
    <t>SLHS-M2x8</t>
  </si>
  <si>
    <t>M2 Length=3 Low head</t>
  </si>
  <si>
    <t>https://jp.misumi-ec.com/vona2/detail/110302280540/?PNSearch=CBSTSR2-3&amp;HissuCode=CBSTSR2-3&amp;searchFlow=suggest2products&amp;Keyword=CBSTSR2-3&amp;list=SuggestPreview</t>
  </si>
  <si>
    <t>Spacer Length=1</t>
  </si>
  <si>
    <t>https://jp.misumi-ec.com/vona2/detail/221006204478/?PNSearch=C-301-5&amp;HissuCode=C-301-5&amp;searchFlow=suggest2products&amp;Keyword=C-301-5&amp;list=SuggestPreview</t>
  </si>
  <si>
    <t>M2 Length=12</t>
  </si>
  <si>
    <t>SLHS-M2x12</t>
  </si>
  <si>
    <t>Spacer Length=1.5</t>
  </si>
  <si>
    <t>https://jp.misumi-ec.com/vona2/detail/221006204478/?PNSearch=C-301.5-5&amp;HissuCode=C-301.5-5&amp;searchFlow=suggesthistory&amp;Keyword=C-301.5-5&amp;list=SuggestPreview</t>
  </si>
  <si>
    <t>CSH-SUS-M2-14</t>
  </si>
  <si>
    <t>M2 Length=14</t>
  </si>
  <si>
    <t>https://jp.misumi-ec.com/vona2/detail/221000551286/?KWSearch=M2%20%e3%83%8d%e3%82%b8&amp;searchFlow=results2products&amp;list=PageSearchResult</t>
  </si>
  <si>
    <t>NN-2608-03</t>
  </si>
  <si>
    <t xml:space="preserve">Washer </t>
  </si>
  <si>
    <t>https://jp.misumi-ec.com/vona2/detail/221006204917/?PNSearch=NN-2608-03&amp;HissuCode=NN-2608-03&amp;searchFlow=suggest2products&amp;Keyword=NN-2608-03&amp;list=SuggestPreview</t>
  </si>
  <si>
    <t>M2 Length=10 Low head</t>
  </si>
  <si>
    <t>https://jp.misumi-ec.com/vona2/detail/110302280540/?PNSearch=CBSTSR2-10&amp;HissuCode=CBSTSR2-10&amp;searchFlow=suggest2products&amp;Keyword=CBSTSR2-10</t>
  </si>
  <si>
    <t>https://www.digikey.jp/ja/products/detail/jst-sales-america-inc/SPHD-001T-P0-5/608766</t>
  </si>
  <si>
    <t>HOOK-UP STRND 32AWG BLUE 100'</t>
  </si>
  <si>
    <t>2840 / 7BL005-ND</t>
  </si>
  <si>
    <t>2840/7 BL005</t>
  </si>
  <si>
    <t>https://www.digikey.jp/product-detail/ja/alpha-wire/2840-7-BL005/2840-7BL005-ND/3708209</t>
  </si>
  <si>
    <t>DIGI XBEE 3 802.15.4</t>
  </si>
  <si>
    <t>802.15.4 RF Transceiver Module PCB Trace</t>
  </si>
  <si>
    <t>Digi International RoHS3_REACH</t>
  </si>
  <si>
    <t>602-XB3-24APT-J-ND</t>
  </si>
  <si>
    <t>https://www.digikey.jp/product-detail/ja/digi/XB3-24APT-J/602-XB3-24APT-J-ND/13627566</t>
  </si>
  <si>
    <t xml:space="preserve">30mm角, 400mm, </t>
  </si>
  <si>
    <t>https://jp.misumi-ec.com/vona2/detail/110302686450/?ProductCode=HFS6-3030-400</t>
  </si>
  <si>
    <t>アルミフレーム用ブラケット</t>
  </si>
  <si>
    <t xml:space="preserve">横溝8mm </t>
  </si>
  <si>
    <t>HBLFSN6</t>
  </si>
  <si>
    <t>https://jp.misumi-ec.com/vona2/detail/110300442340/?ProductCode=HBLFSN6</t>
  </si>
  <si>
    <t>先入ナット</t>
  </si>
  <si>
    <t xml:space="preserve">100個入り1パック　横溝8mm </t>
  </si>
  <si>
    <t>PACK-HNTT6-6</t>
  </si>
  <si>
    <t>https://jp.misumi-ec.com/vona2/detail/110302610510/?ProductCode=PACK-HNTT6-6</t>
  </si>
  <si>
    <t>六角穴付きボルト</t>
  </si>
  <si>
    <t>M6-L10</t>
  </si>
  <si>
    <t>CSH-SUS-M6-10</t>
  </si>
  <si>
    <t>https://jp.misumi-ec.com/vona2/detail/221000551286/?KWSearch=M6%20%e5%85%ad%e8%a7%92%e7%a9%b4%e4%bb%98%e3%81%8d%e3%83%9c%e3%83%ab%e3%83%88&amp;searchFlow=results2products&amp;list=PageSearchResult</t>
  </si>
  <si>
    <t>400MHz LoRa Receiver Board</t>
  </si>
  <si>
    <t>87mm x 86mm LoRa Receiver PCB</t>
  </si>
  <si>
    <t>L型仕上げアングル</t>
  </si>
  <si>
    <t>MUTO</t>
  </si>
  <si>
    <t>20*20*20mm, 穴直径3mm*3個</t>
  </si>
  <si>
    <t>LAFSD-AS-T5-A20-B20-L20-P5-V10-S15-N3-X10-H15-NA3-CC1</t>
  </si>
  <si>
    <t>Lab experimental</t>
  </si>
  <si>
    <t>lab</t>
  </si>
  <si>
    <t>https://jp.misumi-ec.com/vona2/detail/110302709030/?PNSearch=LAFSD-AS-T5-A20-B20-L20-P5-V10-S15-N3-X10-H15-NA3-CC1&amp;HissuCode=LAFSD-AS-T5-A20-B20-L20-P5-V10-S15-N3-X10-H15-NA3-CC1&amp;searchFlow=suggest2products&amp;Keyword=LAFSD-AS-T5-A20-B20-L20-P5-V10-S15-N3-X10-H15-NA3-CC1&amp;list=SuggestPreview</t>
  </si>
  <si>
    <t>16MHz 水晶振動子</t>
  </si>
  <si>
    <t>7A-16.000MAHE-T</t>
  </si>
  <si>
    <t>RES 0.15 OHM 1% 1/6W 0402</t>
  </si>
  <si>
    <t>CAP CER 10UF 4V X5R 0402</t>
  </si>
  <si>
    <t>10µF ±20% 4V セラミックコンデンサ X5R 0402（1005メートル法）</t>
  </si>
  <si>
    <t>587-3237-1-ND</t>
  </si>
  <si>
    <t>AMK105CBJ106MV-F</t>
  </si>
  <si>
    <t>https://www.digikey.jp/product-detail/ja/taiyo-yuden/AMK105CBJ106MV-F/587-3237-1-ND/3660099</t>
  </si>
  <si>
    <t>CAP CER 22UF 6.3V X5R 0805</t>
  </si>
  <si>
    <t>Conn Socket Strip RCP 50 POS 2mm Solder ST Thru-Hole</t>
  </si>
  <si>
    <t>chip1stop</t>
  </si>
  <si>
    <t>C1S312300216659</t>
  </si>
  <si>
    <t>https://www.chip1stop.com/view/searchResUpt/InventryInfo?unqPartId=HIRO*0021665&amp;unqPartNm=A3C-50DA-2DSA%2871%29&amp;keyword=A3C-50DA-2DSA%2871%29&amp;partId=HIRO-0021665</t>
  </si>
  <si>
    <t>https://www.digikey.jp/product-detail/ja/analog-devices-inc/LTC4361ITS8-2-TRMPBF/LTC4361ITS8-2-TRMPBFCT-ND/2351622</t>
  </si>
  <si>
    <t>IC REG LINEAR 1.8V 1A SOT223</t>
  </si>
  <si>
    <t xml:space="preserve">	onsemi</t>
  </si>
  <si>
    <t>https://www.digikey.jp/products/ja?keywords=NCV1117ST18T3GOSCT-ND</t>
  </si>
  <si>
    <t>64 pins, 128KB Flash, 4KB RAM, 16MIPS, nanoWatt XLP, LCD, USB</t>
  </si>
  <si>
    <t>C1S505200655965</t>
  </si>
  <si>
    <t>https://www.chip1stop.com/view/dispDetail/DispDetail?partId=MCHP-0065596&amp;mpn=PIC18F67J94-I%2FPT&amp;keyword=PIC18F67J94</t>
  </si>
  <si>
    <t>Transceiver Module RFM98P RFM95P</t>
  </si>
  <si>
    <t>RFM98PW RFM95PW 433/470/868/915Mhz Long Range Transceiver Module</t>
  </si>
  <si>
    <t>JISDA</t>
  </si>
  <si>
    <t>AliExpress</t>
  </si>
  <si>
    <t>RFM98PW RFM95PW</t>
  </si>
  <si>
    <t>https://www.aliexpress.com/item/32893139719.html?spm=2114.12057483.detail.3.4aed76b8p9586n</t>
  </si>
  <si>
    <t>CAP CER 4.7UF 4V X5R 0402</t>
  </si>
  <si>
    <t>296-46210-1-ND</t>
  </si>
  <si>
    <t>SN74LVC2G34DBVRG4</t>
  </si>
  <si>
    <t>https://www.digikey.jp/products/ja?keywords=296-46210-1-ND</t>
  </si>
  <si>
    <t>Stainless soldering flux</t>
  </si>
  <si>
    <t>for stainless steel; 100 ml</t>
  </si>
  <si>
    <t>Goot</t>
  </si>
  <si>
    <t>BS-4500</t>
  </si>
  <si>
    <t>bottled</t>
  </si>
  <si>
    <t>https://jp.misumi-ec.com/vona2/detail/223013909762/?HissuCode=BS-4500</t>
  </si>
  <si>
    <t>Oboshi</t>
  </si>
  <si>
    <t>512Mb（64M x 8） SPI   クロック周波数        133MHz</t>
  </si>
  <si>
    <t>micron</t>
  </si>
  <si>
    <t>557-1987-1-ND</t>
  </si>
  <si>
    <t>MT25QL512ABB8ESF-0SIT TR</t>
  </si>
  <si>
    <t>MT25QL512ABB8ESF-0SIT TR Micron Technology Inc. | 集積回路（IC） | DigiKey</t>
  </si>
  <si>
    <t>resister</t>
  </si>
  <si>
    <t>10KΩ　1/8W　2.00mm x 1.25mm</t>
  </si>
  <si>
    <t>susumu</t>
  </si>
  <si>
    <t>RG20N10.0KWCT-ND</t>
  </si>
  <si>
    <t>RG2012N-103-W-T1</t>
  </si>
  <si>
    <t>RG2012N-103-W-T1 Susumu | 抵抗器 | DigiKey</t>
  </si>
  <si>
    <t>1KΩ　1/8W　2.00mm x 1.25mm</t>
  </si>
  <si>
    <t>RG20P1.0KBCT-ND</t>
  </si>
  <si>
    <t>RG2012P-102-B-T5</t>
  </si>
  <si>
    <t>RG2012P-102-B-T5 Susumu | 抵抗器 | DigiKey</t>
  </si>
  <si>
    <t>Microchip マイコン, 64-Pin TQFP PIC18F67J94-I/PT | RS Components (rs-online.com)</t>
  </si>
  <si>
    <t>PPSフィルムコンデンサ 100nF</t>
  </si>
  <si>
    <t>100nF 16V ±5% SMD</t>
  </si>
  <si>
    <t>727-0316</t>
  </si>
  <si>
    <t>ECHU1C104JX5</t>
  </si>
  <si>
    <t>Panasonic PPSフィルムコンデンサ 100nF 16V ±5% SMD ECHU1C104JX5 | RS Components (rs-online.com)</t>
  </si>
  <si>
    <t>DF61-2S-2</t>
  </si>
  <si>
    <t>https://www.digikey.jp/product-detail/ja/hirose-electric-co-ltd/DF61-2S-2.2C(11)/H121977-ND/4040854?utm_adgroup=General&amp;utm_source=google&amp;utm_medium=cpc&amp;utm_campaign=Smart%20Shopping_Product_Zombie%20SKUs&amp;utm_term=&amp;productid=4040854&amp;gclid=CjwKCAjwy7CKBhBMEiwA0Eb7anGkAsoYK9nXXI6Q1LiNlITuoka6cSYKahEosWohSlNGhbenLSU3DxoCAt0QAvD_BwE</t>
  </si>
  <si>
    <t>HVC0805T5004JETCT</t>
  </si>
  <si>
    <t>https://www.digikey.jp/product-detail/ja/ohmite/HVC0805T5004JET/HVC0805T5004JETCT-ND/2709641</t>
  </si>
  <si>
    <t>683-6066</t>
  </si>
  <si>
    <t>https://jp.rs-online.com/web/p/surface-mount-fixed-resistors/6836066/</t>
  </si>
  <si>
    <t>264-4545</t>
  </si>
  <si>
    <t>https://jp.rs-online.com/web/p/mlccs-multilayer-ceramic-capacitors/2644545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4330363033433437314A354741435455267365617263685F6B6579776F72645F6170703D4330363033433437314A354741435455267365617263685F636F6E6669673D3126&amp;searchHistory=%7B%22enabled%22%3Atrue%7D</t>
  </si>
  <si>
    <t>https://jp.rs-online.com/web/p/mlccs-multilayer-ceramic-capacitors/6983263</t>
  </si>
  <si>
    <t>C0603C105K9RACTU</t>
  </si>
  <si>
    <t>801-5202</t>
  </si>
  <si>
    <t>https://jp.rs-online.com/web/p/mlccs-multilayer-ceramic-capacitors/8015202</t>
  </si>
  <si>
    <t>147-819</t>
  </si>
  <si>
    <t>https://jp.rs-online.com/web/p/mlccs-multilayer-ceramic-capacitors/0147819</t>
  </si>
  <si>
    <t>915-9221</t>
  </si>
  <si>
    <t>https://jp.rs-online.com/web/p/mlccs-multilayer-ceramic-capacitors/9159221/</t>
  </si>
  <si>
    <t>RL1220T-R010-J</t>
  </si>
  <si>
    <t>0.01Ω</t>
  </si>
  <si>
    <t>RL12T.010JCT-ND</t>
  </si>
  <si>
    <t>https://www.digikey.jp/product-detail/ja/susumu/RL1220T-R010-J/RL12T-010JCT-ND/714416</t>
  </si>
  <si>
    <t>PMK212BBJ107MG-T</t>
  </si>
  <si>
    <t>587-3978-1-ND</t>
  </si>
  <si>
    <t>https://www.digikey.jp/product-detail/ja/taiyo-yuden/PMK212BBJ107MG-T/587-3978-1-ND/4950532</t>
  </si>
  <si>
    <t>TSW-120-24-F-D</t>
  </si>
  <si>
    <t>40ピンピンヘッダ</t>
  </si>
  <si>
    <t>TSW-120-24-F-D-ND</t>
  </si>
  <si>
    <t>https://www.digikey.jp/product-detail/ja/samtec-inc/TSW-120-24-F-D/TSW-120-24-F-D-ND/6693090</t>
  </si>
  <si>
    <t>標準BPB基板</t>
  </si>
  <si>
    <t>Ａｒｄｕｉｎｏ　Ｕｎｏ　Ｒｅｖ３</t>
  </si>
  <si>
    <t>搭載マイコン：ATmega328、プログラム書き込み済(I-12774)</t>
  </si>
  <si>
    <t>M-07385</t>
  </si>
  <si>
    <t>A000066</t>
  </si>
  <si>
    <t>新人教育</t>
  </si>
  <si>
    <t>https://akizukidenshi.com/catalog/g/gM-07385/</t>
  </si>
  <si>
    <t>ブレッドボード　ＢＢ－１０２</t>
  </si>
  <si>
    <t>Cixi</t>
  </si>
  <si>
    <t>P-09257</t>
  </si>
  <si>
    <t>BB-102</t>
  </si>
  <si>
    <t>https://akizukidenshi.com/catalog/g/gP-09257/</t>
  </si>
  <si>
    <t>ジャンパ線</t>
  </si>
  <si>
    <t>ブレッドボード・ジャンパーワイヤ（オス－オス）セット</t>
  </si>
  <si>
    <t>気圧センサ</t>
  </si>
  <si>
    <t xml:space="preserve">        ＢＭＥ２８０使用　温湿度・気圧センサモジュールキット</t>
  </si>
  <si>
    <t>https://akizukidenshi.com/catalog/g/gK-09421/</t>
  </si>
  <si>
    <t>9軸センサ</t>
  </si>
  <si>
    <t>K-13010</t>
  </si>
  <si>
    <t>GPS受信キット</t>
  </si>
  <si>
    <t>ＧＰＳ受信機キット　１ＰＰＳ出力付き　「みちびき」３機受信対応</t>
  </si>
  <si>
    <t>K-09991</t>
  </si>
  <si>
    <t>AE-GYSFDMAXB</t>
  </si>
  <si>
    <t>https://akizukidenshi.com/catalog/g/gK-09991/</t>
  </si>
  <si>
    <t>MosFET PMDT290UNEH</t>
  </si>
  <si>
    <t>MOSFET PMDT290UNE/SOT666/SOT6</t>
  </si>
  <si>
    <t>771-PMDT290UNEH</t>
  </si>
  <si>
    <t>PMDT290UNEH</t>
  </si>
  <si>
    <t>https://www.mouser.jp/ProductDetail/Nexperia/PMDT290UNEH?qs=zW32dvEIR3vVIEhznF5WTA%3D%3D&amp;gclid=Cj0KCQjwtMCKBhDAARIsAG-2Eu_yFoZ_BxWJls4-snwTUzDM9THCkVtjISH9gBskvAKW18ZCHHQbaEIaAksqEALw_wcB</t>
  </si>
  <si>
    <t>Vishay / Siliconix</t>
  </si>
  <si>
    <t>78-SQ1922EEH-T1_GE3</t>
  </si>
  <si>
    <t>https://www.mouser.jp/ProductDetail/Vishay-Siliconix/SQ1922EEH-T1_GE3?qs=5aG0NVq1C4zgswHNsm2zSQ%3D%3D</t>
  </si>
  <si>
    <t>PKANTN-150-100-8</t>
  </si>
  <si>
    <t>3軸加速度センサモジュール</t>
  </si>
  <si>
    <t>ADXL345搭載三軸加速度センサモジュール</t>
  </si>
  <si>
    <t xml:space="preserve">        SFE-SEN-09836</t>
  </si>
  <si>
    <t xml:space="preserve">	SFE-SEN-09836</t>
  </si>
  <si>
    <t>https://www.switch-science.com/catalog/530/</t>
  </si>
  <si>
    <t>3軸磁気センサモジュール</t>
  </si>
  <si>
    <t>LIS3MDL搭載 3軸磁気センサ</t>
  </si>
  <si>
    <t>POLOLU-2737</t>
  </si>
  <si>
    <t>https://www.switch-science.com/catalog/2630/</t>
  </si>
  <si>
    <t>2U_RAB_EMボード</t>
  </si>
  <si>
    <t>2U_RAB</t>
  </si>
  <si>
    <t>CBSTSE2-5</t>
  </si>
  <si>
    <t>https://jp.misumi-ec.com/vona2/detail/110300244240/</t>
  </si>
  <si>
    <t>CBSTSE2-6</t>
  </si>
  <si>
    <r>
      <rPr>
        <strike/>
        <sz val="10"/>
        <color rgb="FF1155CC"/>
        <rFont val="Arial, sans-serif"/>
      </rPr>
      <t>https://jp.misumi-ec.com/vona2/detail/110300244240/</t>
    </r>
    <r>
      <rPr>
        <strike/>
        <sz val="10"/>
        <color rgb="FF0563C1"/>
        <rFont val="Arial, sans-serif"/>
      </rPr>
      <t>/</t>
    </r>
  </si>
  <si>
    <t>CBSTSE2-10</t>
  </si>
  <si>
    <t>CONN HEADER SMD 2POS 2MM</t>
  </si>
  <si>
    <t>https://www.digikey.jp/products/ja?keywords=WM8301CT-ND</t>
  </si>
  <si>
    <t>MFGchips</t>
  </si>
  <si>
    <t>https://jp.misumi-ec.com/vona2/detail/221005172662/?list=PageSCate</t>
  </si>
  <si>
    <t>0.3x400x1200</t>
  </si>
  <si>
    <t>R101</t>
  </si>
  <si>
    <t>500 V; 5 A; pitch: 2.77 mm; temp: -55 - +105 deg. C</t>
  </si>
  <si>
    <t>Standard D-sub25 pin male connector</t>
  </si>
  <si>
    <t>544-3812</t>
  </si>
  <si>
    <t>https://jp.rs-online.com/web/p/products/5443812/</t>
  </si>
  <si>
    <t>Handheld Digital Multimeter</t>
  </si>
  <si>
    <t>count: 11000; resolution: 0.01 mV, 0.01 Ohms; accuracy: 0.28 % max</t>
  </si>
  <si>
    <t>SANWA</t>
  </si>
  <si>
    <t>756-6891</t>
  </si>
  <si>
    <t>PC773</t>
  </si>
  <si>
    <t>https://jp.rs-online.com/web/p/multimeters/7566891/</t>
  </si>
  <si>
    <t>Instrument Test Lead</t>
  </si>
  <si>
    <t>Pin type adapter; tip diameter: 0.7 mm; length: 60 mm</t>
  </si>
  <si>
    <t>TL-A7M2</t>
  </si>
  <si>
    <t>https://www.amazon.co.jp/-/en/Sanwa-Electric-Instrument-Test-TL-A7M2/dp/B01EAKMN6Y/ref=sr_1_5?dchild=1&amp;keywords=TL-A7M2&amp;qid=1633048022&amp;sr=8-5</t>
  </si>
  <si>
    <t>RF Ceramic Patch Antenna</t>
  </si>
  <si>
    <t>915MHz Ceramic Patch RF Antenna 902MHz ~ 928MHz 5dBic Pin Adhesive</t>
  </si>
  <si>
    <t>535-12612-ND</t>
  </si>
  <si>
    <t>APAES915R80C16-T</t>
  </si>
  <si>
    <t>https://www.digikey.jp/product-detail/en/abracon-llc/APAES915R80C16-T/535-12612-ND/4976489?cur=JPY&amp;lang=en</t>
  </si>
  <si>
    <t>My laptop</t>
  </si>
  <si>
    <t>https://www.digikey.jp/product-detail/ja/lattice-semiconductor-corporation/LSC-SW-ISPLEVER/220-LSC-SW-ISPLEVER-ND/12146688</t>
  </si>
  <si>
    <t>スプリングヒンジ</t>
  </si>
  <si>
    <t>ステンレス製スプリングヒンジ</t>
  </si>
  <si>
    <t>スガツネ</t>
  </si>
  <si>
    <t>https://www.monotaro.com/p/0718/1781/</t>
  </si>
  <si>
    <t>ニクロム線</t>
  </si>
  <si>
    <t xml:space="preserve">ニクロム線 5m </t>
  </si>
  <si>
    <t>NCHW1-032</t>
  </si>
  <si>
    <t>https://www.monotaro.com/g/05138356/?t.q=%E3%83%8B%E3%82%AF%E3%83%AD%E3%83%A0%E7%B7%9A</t>
  </si>
  <si>
    <t>3.3kΩ抵抗</t>
  </si>
  <si>
    <t>SMDレジスタ, 3.3kΩ</t>
  </si>
  <si>
    <t>631-8212</t>
  </si>
  <si>
    <t>RK73H1ETTP3301F</t>
  </si>
  <si>
    <t>https://jp.rs-online.com/web/p/surface-mount-fixed-resistors/6318212</t>
  </si>
  <si>
    <t>EPS/OBC and FAB board</t>
  </si>
  <si>
    <t>NRI(消耗品)</t>
  </si>
  <si>
    <t>BIRDS5仕様FAB及びEPS/OBC</t>
  </si>
  <si>
    <t>Sagami tsushin</t>
  </si>
  <si>
    <t>標準化</t>
  </si>
  <si>
    <t>Hermetically sealed SMA female-female adapter</t>
  </si>
  <si>
    <t>straight-bulkhead; VSWR: 1.4; freq: 18 GHz; -65 to +165 deg. C</t>
  </si>
  <si>
    <t>Pasternack</t>
  </si>
  <si>
    <t>PE9184</t>
  </si>
  <si>
    <t>https://www.pasternack.jp/sma-%e3%83%a1%e3%82%b9-sma-%e3%83%a1%e3%82%b9-%e3%82%b9%e3%83%88%e3%83%ac%e3%83%bc%e3%83%88-%e3%82%a2%e3%83%80%e3%83%97%e3%82%bf-pe9184-p.aspx</t>
  </si>
  <si>
    <t>SMA connector cable</t>
  </si>
  <si>
    <t>male-male plug type; 1 meter in length; outer dia: 5 mm</t>
  </si>
  <si>
    <t>SMA-PP-C-1</t>
  </si>
  <si>
    <t>https://jp.misumi-ec.com/vona2/detail/110400191420/?ProductCode=SMA-PP-C-1</t>
  </si>
  <si>
    <t>male-male plug type; 2.5 meters in length; outer dia: 5 mm</t>
  </si>
  <si>
    <t>SMA-PP-C-2.5</t>
  </si>
  <si>
    <t>https://jp.misumi-ec.com/vona2/detail/110400191420/?ProductCode=SMA-PP-C-2.5</t>
  </si>
  <si>
    <t>Desoldering wick</t>
  </si>
  <si>
    <t>width: 3.5 mm; length: 2 meters</t>
  </si>
  <si>
    <t>Taiyo Electric</t>
  </si>
  <si>
    <t>CP-35Y</t>
  </si>
  <si>
    <t>https://www.amazon.co.jp/-/en/dp/B004OCN32W/?coliid=I2T58XNXT1W207&amp;colid=2MM53TKFISPLO&amp;psc=1&amp;ref_=lv_ov_lig_dp_it</t>
  </si>
  <si>
    <t>SMA Coaxial Connector Relay</t>
  </si>
  <si>
    <t>SMA-PA-JJ (Au) Fitting shape Jack Jack</t>
  </si>
  <si>
    <t>Tokone</t>
  </si>
  <si>
    <t>Shield-Box</t>
  </si>
  <si>
    <t>Research Building 1F</t>
  </si>
  <si>
    <t>https://www.monotaro.com/p/3864/1504/</t>
  </si>
  <si>
    <t>Shield Cloth tape</t>
  </si>
  <si>
    <t>KNZ-ST50, 50mm width</t>
  </si>
  <si>
    <t>Kyowa Harmonet</t>
  </si>
  <si>
    <t>KNZ-ST50</t>
  </si>
  <si>
    <t>https://www.monotaro.com/g/01117601/</t>
  </si>
  <si>
    <t>RF ANT 915MHZ CER PATCH MMCX SMD</t>
  </si>
  <si>
    <t>535-14510-ND</t>
  </si>
  <si>
    <t>ARRKP7059-S915B</t>
  </si>
  <si>
    <t>https://www.digikey.jp/product-detail/en/abracon-llc/ARRKP7059-S915B/535-14510-ND/8593265?cur=JPY&amp;lang=en</t>
  </si>
  <si>
    <t>ヒートシンク</t>
  </si>
  <si>
    <t>60x60x30H</t>
  </si>
  <si>
    <t>アルファ</t>
  </si>
  <si>
    <t>FS6030A</t>
  </si>
  <si>
    <t>https://www.monotaro.com/g/02945464/?t.q=ヒートシンク#</t>
  </si>
  <si>
    <t>放熱用両面テープ</t>
  </si>
  <si>
    <t>43x43x0.15</t>
  </si>
  <si>
    <t>HF-S43</t>
  </si>
  <si>
    <t>https://www.monotaro.com/g/00345674/?t.q=ヒートシンク%E3%80%80シール</t>
  </si>
  <si>
    <t>Phi=2.6 T=0.5</t>
  </si>
  <si>
    <t>UW-2506-05</t>
  </si>
  <si>
    <t>https://jp.misumi-ec.com/vona2/detail/221006201172/?CategorySpec=00000216919%3a%3ab%0900000216961%3a%3amig00000002734636&amp;list=PageCategory</t>
  </si>
  <si>
    <t>Spacer M2 L=2</t>
  </si>
  <si>
    <t>C-2002-4</t>
  </si>
  <si>
    <t>https://jp.misumi-ec.com/vona2/detail/221006204478/?PNSearch=C-2002-4&amp;HissuCode=C-2002-4&amp;searchFlow=suggest2products&amp;Keyword=C-2002-4&amp;list=SuggestPreview</t>
  </si>
  <si>
    <t>Spacer M2 L=2.5</t>
  </si>
  <si>
    <t>C-2002.5-4</t>
  </si>
  <si>
    <r>
      <rPr>
        <u/>
        <sz val="10"/>
        <color rgb="FF1155CC"/>
        <rFont val="Arial, sans-serif"/>
      </rPr>
      <t>https://jp.misumi-ec.com/vona2/detail/221006204478/?PNSearch=C-2002-4&amp;HissuCode=C-2002-4&amp;searchFlow=suggest2products&amp;Keyword=C-2002-4&amp;list=SuggestPreview</t>
    </r>
    <r>
      <rPr>
        <u/>
        <sz val="10"/>
        <color rgb="FF0563C1"/>
        <rFont val="Arial, sans-serif"/>
      </rPr>
      <t>w</t>
    </r>
  </si>
  <si>
    <t>MLCC - SMD/SMT 50V 7pF C0G 0805.5pF Tol</t>
  </si>
  <si>
    <t>581-08055A7R0DAT2A</t>
  </si>
  <si>
    <t>08055A7R0DAT2A</t>
  </si>
  <si>
    <t>22,4</t>
  </si>
  <si>
    <t>https://www.mouser.jp/ProductDetail/AVX-Kyocera/08055A7R0DAT2A?qs=67CtzMuHUrtpZ7bF4ip%252B%252Bw%3D%3D</t>
  </si>
  <si>
    <t>MLCC - SMD/SMT 50V 56pF C0G 0805 5% AEC-Q200</t>
  </si>
  <si>
    <t>581-08055A560J4T2A</t>
  </si>
  <si>
    <t>08055A560J4T2A</t>
  </si>
  <si>
    <t>23,4</t>
  </si>
  <si>
    <t>https://www.mouser.jp/ProductDetail/AVX-Kyocera/08055A560J4T2A?qs=f21FSZc47Pj%252BmtKfRJ1tyg%3D%3D</t>
  </si>
  <si>
    <t>MLCC - SMD/SMT 50V 68pF C0G 0805 5% AEC-Q200</t>
  </si>
  <si>
    <t>581-08055A680J4T4A</t>
  </si>
  <si>
    <t>08055A680J4T4A</t>
  </si>
  <si>
    <t>https://www.mouser.jp/ProductDetail/AVX-Kyocera/08055A680J4T4A?qs=XLNwXgtzMM8dACix9IrhUg%3D%3D</t>
  </si>
  <si>
    <t>MLCC - SMD/SMT 50V 47pF C0G 0805 5% AEC-Q200</t>
  </si>
  <si>
    <t>581-08055A470J4T2A</t>
  </si>
  <si>
    <t>08055A470J4T2A</t>
  </si>
  <si>
    <t>23,5</t>
  </si>
  <si>
    <t>https://www.mouser.jp/ProductDetail/AVX-Kyocera/08055A470J4T2A?qs=mcBJtHuWqlWCW4nxL664Zw%3D%3D</t>
  </si>
  <si>
    <t>AWG32</t>
  </si>
  <si>
    <t>Thick Film Resistors - SMD 0805 15Kohms 5% AEC-Q200</t>
  </si>
  <si>
    <t>667-ERJ-T06J153V</t>
  </si>
  <si>
    <t>ERJ-T06J153V</t>
  </si>
  <si>
    <t>21,5</t>
  </si>
  <si>
    <t>https://www.mouser.jp/ProductDetail/Panasonic/ERJ-T06J153V?qs=iIVTEDlrHA03g6mmaVrbBg%3D%3D</t>
  </si>
  <si>
    <t>24,8</t>
  </si>
  <si>
    <t>442,5</t>
  </si>
  <si>
    <t>FTDI USB-Serial cable</t>
  </si>
  <si>
    <t>USB Cable / IEEE 1394 Cable USB to UART Cable 6 Way 0.1 pitch 3.3V</t>
  </si>
  <si>
    <t>895-TTL-234X-3V3</t>
  </si>
  <si>
    <t>TTL-234X-3V3</t>
  </si>
  <si>
    <t>2F SVBL/Control Room</t>
  </si>
  <si>
    <t>https://www.mouser.jp/ProductDetail/FTDI/TTL-234X-3V3?qs=sGAEpiMZZMv0NwlthflBiwamWFKfoC79RqkGSMFc4hs%3D</t>
  </si>
  <si>
    <t>Test Lead Cable</t>
  </si>
  <si>
    <t>TEST LEAD BNC TO MINI ALLIGATOR 1,5 m</t>
  </si>
  <si>
    <t>POMONA ELECTRONICS</t>
  </si>
  <si>
    <t>565-4532-C-60</t>
  </si>
  <si>
    <t>4532-C-60</t>
  </si>
  <si>
    <t>3326,4</t>
  </si>
  <si>
    <t>Conrtrol Room</t>
  </si>
  <si>
    <t>https://www.mouser.jp/ProductDetail/Pomona-Electronics/4532-C-60?qs=%2Fha2pyFaduiLz1eLrF4GqPtMivdNtxLt75KmhqtVAII%3D</t>
  </si>
  <si>
    <t>Single copper wire</t>
  </si>
  <si>
    <t>30 AWG Single cooper wire, 200 m</t>
  </si>
  <si>
    <t>https://www.amazon.co.jp/uxcell-%E3%83%A9%E3%83%83%E3%83%97%E3%83%AF%E3%82%A4%E3%83%A4-%E3%83%97%E3%83%A9%E3%82%B9%E3%83%81%E3%83%83%E3%82%AF%E8%A3%BD-250M%E9%95%B7%E3%81%95-DM-30-1000/dp/B07KQ3PDG6/ref=sr_1_1_sspa?__mk_ja_JP=%E3%82%AB%E3%82%BF%E3%82%AB%E3%83%8A&amp;dchild=1&amp;keywords=uxcell%2B30%2Bawg&amp;qid=1633565368&amp;sr=8-1-spons&amp;smid=AANM8PRMV1MBN&amp;spLa=ZW5jcnlwdGVkUXVhbGlmaWVyPUEyTFRBR1pVU0hJVFhXJmVuY3J5cHRlZElkPUEwNTQ3OTQ1MloxV1JLOEQ2RkhBQSZlbmNyeXB0ZWRBZElkPUEyU1o5MkhJQTkwMVBDJndpZGdldE5hbWU9c3BfYXRmJmFjdGlvbj1jbGlja1JlZGlyZWN0JmRvTm90TG9nQ2xpY2s9dHJ1ZQ&amp;th=1</t>
  </si>
  <si>
    <t>DuPont connector set</t>
  </si>
  <si>
    <t>DUPONT CONNECTOR SET 620 pieces</t>
  </si>
  <si>
    <t>Kincrea</t>
  </si>
  <si>
    <t>https://www.amazon.co.jp/KINCREA-620%E5%80%8B-2-54mm-6%E3%83%94%E3%83%B3%E3%83%8F%E3%82%A6%E3%82%B8%E3%83%B3%E3%82%B0%E3%82%B3%E3%83%8D%E3%82%AF%E3%82%BF%E3%81%A8%E3%82%AA%E3%82%B9%E3%83%A1%E3%82%B9%E3%83%87%E3%83%A5%E3%83%9D%E3%83%B3%E3%82%AF%E3%83%AA%E3%83%B3%E3%83%97%E3%83%94%E3%83%B3%E3%82%A2%E3%83%80%E3%83%97%E3%82%BF%E3%83%BC%E8%A9%B0%E3%82%81%E5%90%88%E3%82%8F%E3%81%9B%E3%82%AD%E3%83%83%E3%83%88-4348320851/dp/B07DF9BJKH/ref=pd_rhf_dp_s_ci_mcx_mr_hp_d_2/355-1530653-8391266?pd_rd_w=LHUba&amp;pf_rd_p=7225cbd5-9046-47c0-9711-30772e8cfb94&amp;pf_rd_r=RVN6ESPBV9QVBTFBP2G8&amp;pd_rd_r=f5a37f4a-30a2-491d-b82f-02e6571233fb&amp;pd_rd_wg=qDJC7&amp;pd_rd_i=B07DF9BJKH&amp;psc=1</t>
  </si>
  <si>
    <t>Iwiss Crimping tool SN-2549</t>
  </si>
  <si>
    <t>Crimp pliers Ratchet Type Open Barrel Terminal 0.08 to 1.0 mm 2 Ultra Small, Small and Medium Terminal</t>
  </si>
  <si>
    <t>Iwiss</t>
  </si>
  <si>
    <t>https://www.amazon.co.jp/%E3%82%A2%E3%82%A4%E3%82%A6%E3%82%A3%E3%82%B9-IWISS-%E7%B2%BE%E5%AF%86%E5%90%8C%E6%99%82%E5%9C%A7%E7%9D%80%E3%83%9A%E3%83%B3%E3%83%81-%E3%82%AA%E3%83%BC%E3%83%97%E3%83%B3%E3%83%90%E3%83%AC%E3%83%AB-0-1-1-0mm2%E5%B0%8F%E3%83%BB%E4%B8%AD%E5%9E%8B%E7%AB%AF%E5%AD%90%E5%AF%BE%E5%BF%9C/dp/B00W4WRZPU/ref=sr_1_7?dchild=1&amp;keywords=iwiss%2B%E5%9C%A7%E7%9D%80%E5%B7%A5%E5%85%B7&amp;qid=1633565639&amp;sr=8-7&amp;th=1</t>
  </si>
  <si>
    <t>30mm × 40mm　銅板</t>
  </si>
  <si>
    <t>泰豊トレーディング</t>
  </si>
  <si>
    <t>https://www.monotaro.com/p/6953/2953/</t>
  </si>
  <si>
    <t>GPSリピーター</t>
  </si>
  <si>
    <t>MEXT or 運営費</t>
  </si>
  <si>
    <t>GPS/GLONASS L1/L2用</t>
  </si>
  <si>
    <t>GPS networking</t>
  </si>
  <si>
    <t>株式会社アムテックス</t>
  </si>
  <si>
    <t>VGLCDL1L2GHNRRKIT-T/5/110</t>
  </si>
  <si>
    <t>https://www.amtechs.co.jp/product/gps/cat29/gps-source/post-132.html</t>
  </si>
  <si>
    <t>SaganSat</t>
  </si>
  <si>
    <t>https://www.chip1stop.com/view/dispDetail/DispDetail?partId=HIRO-0021665&amp;mpn=A3C-50DA-2DSA%2871%29&amp;keyword=A3C-50DA-2DSA%252871%2529</t>
  </si>
  <si>
    <t>S2B-EH</t>
  </si>
  <si>
    <t>コネクタヘッダ スルーホール、ライトアングル 2 極 0.098インチ（2.50mm）</t>
  </si>
  <si>
    <t>M20-7830346</t>
  </si>
  <si>
    <t>6 極 レセプタクル コネクタ 0.100インチ（2.54mm） スルーホール 錫</t>
  </si>
  <si>
    <t>952-1781-ND</t>
  </si>
  <si>
    <t>https://www.digikey.jp/products/ja?keywords=M20-7830346</t>
  </si>
  <si>
    <t>M20-7830642</t>
  </si>
  <si>
    <t>12 極 レセプタクル コネクタ 0.100インチ（2.54mm） スルーホール 金</t>
  </si>
  <si>
    <t>952-1805-ND</t>
  </si>
  <si>
    <t>https://www.digikey.jp/products/ja?keywords=M20-7830642</t>
  </si>
  <si>
    <t>M20-7830542</t>
  </si>
  <si>
    <t>10 極 レセプタクル コネクタ 0.100インチ（2.54mm） スルーホール 金</t>
  </si>
  <si>
    <t>952-1796-ND</t>
  </si>
  <si>
    <t xml:space="preserve"> nF</t>
  </si>
  <si>
    <t>https://www.digikey.jp/products/ja?keywords=M20-7830542</t>
  </si>
  <si>
    <t>QBLP650-IW</t>
  </si>
  <si>
    <t>白  LED表示 - ディスクリート 3.3V 1206（3216メートル法）</t>
  </si>
  <si>
    <t>QT Brightek (QTB)</t>
  </si>
  <si>
    <t>1516-1164-1-ND</t>
  </si>
  <si>
    <t>https://www.digikey.jp/product-detail/ja/qt-brightek-qtb/QBLP650-IW/1516-1164-1-ND/5017780</t>
  </si>
  <si>
    <t>RS PRO トグルスイッチ, SPDT, PCB, ラッチ</t>
  </si>
  <si>
    <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false%7D</t>
  </si>
  <si>
    <t>RF ANT 450MHZ WHIP STR NMO BASE</t>
  </si>
  <si>
    <t>450MHz Whip, Straight RF Antenna 380MHz ~ 520MHz 3dBi NMO Base Mount</t>
  </si>
  <si>
    <t xml:space="preserve">	Laird Connectivity Inc.</t>
  </si>
  <si>
    <t xml:space="preserve">	B3803WS-ND</t>
  </si>
  <si>
    <t>B3803WS</t>
  </si>
  <si>
    <t>LoRa 399MHz GS</t>
  </si>
  <si>
    <t>https://www.digikey.jp/product-detail/en/laird-connectivity-inc/B3803WS/B3803WS-ND/5876118</t>
  </si>
  <si>
    <t>CBL ASSY NMO-SMA PLUG-NMO 9.8'</t>
  </si>
  <si>
    <t>Cable Assembly Coaxial NMO to SMA CFD 200 118.1" (3.0m) 9.8'</t>
  </si>
  <si>
    <t xml:space="preserve">	Taoglas Limited</t>
  </si>
  <si>
    <t xml:space="preserve">	931-1343-ND</t>
  </si>
  <si>
    <t xml:space="preserve">	CAB.W05</t>
  </si>
  <si>
    <t>https://www.digikey.jp/product-detail/en/taoglas-limited/CAB-W05/931-1343-ND/5034718</t>
  </si>
  <si>
    <t>SMD Resistor</t>
  </si>
  <si>
    <t>RES 82K OHM 0.5% 1/10W 0603</t>
  </si>
  <si>
    <t>RNCF0603DTE82K0CT-ND</t>
  </si>
  <si>
    <t>RNCF0603DTE82K0CT</t>
  </si>
  <si>
    <t>EPS1 board</t>
  </si>
  <si>
    <t>https://www.digikey.jp/product-detail/en/stackpole-electronics-inc/RNCF0603DTE82K0/RNCF0603DTE82K0CT-ND/9915274</t>
  </si>
  <si>
    <t>Ordered by Victor Schulz.</t>
  </si>
  <si>
    <t>1.1 MOhms ±1% 0.1W, 1/10W Chip Resistor 0603 (1608 Metric) Automotive AEC-Q200 Thick Film</t>
  </si>
  <si>
    <t>P1.10MHCT-ND</t>
  </si>
  <si>
    <t>ERJ-3EKF1104V</t>
  </si>
  <si>
    <t>https://www.digikey.jp/product-detail/en/panasonic-electronic-components/ERJ-3EKF1104V/P1-10MHCT-ND/282726</t>
  </si>
  <si>
    <t>15 kOhms ±1% 0.1W, 1/10W Chip Resistor 0603 (1608 Metric) Automotive AEC-Q200, Moisture Resistant Thick Film</t>
  </si>
  <si>
    <t>24.9 kOhms ±0.5% 0.1W, 1/10W Chip Resistor 0603 (1608 Metric)  Thin Film</t>
  </si>
  <si>
    <t>311-24.9KDCT-ND</t>
  </si>
  <si>
    <t>RT0603DRD0724K9L</t>
  </si>
  <si>
    <t>https://www.digikey.jp/product-detail/en/yageo/RT0603DRD0724K9L/311-24-9KDCT-ND/1035759</t>
  </si>
  <si>
    <t>EPS1 board - Replacement of parts</t>
  </si>
  <si>
    <t>Replacement of resistors and test</t>
  </si>
  <si>
    <t>211008003k</t>
  </si>
  <si>
    <t>Quotation sent by email</t>
  </si>
  <si>
    <t>OPERA EM semiconductors</t>
  </si>
  <si>
    <t>Resistors, Capacitors, and Regulators</t>
  </si>
  <si>
    <t>2021-01-0066</t>
  </si>
  <si>
    <t>Optical Format: 1/2.5”
 Effective Focal Length: 16mm, Mount: M12, NoIR</t>
  </si>
  <si>
    <t>M2016ZH01</t>
  </si>
  <si>
    <t>Lens M2016ZH01</t>
  </si>
  <si>
    <t>https://www.uctronics.com/arducam-1/2.5-m12-mount-16mm-focal-length-camera-lens-m2016zh01.html</t>
  </si>
  <si>
    <t>SaganSat Testbed</t>
  </si>
  <si>
    <t>Allegro Microsystems ACS722LLCTR-10AU-T, Current Sensor 8-Pin, SOIC</t>
  </si>
  <si>
    <t>BIRDS-4 FAB</t>
  </si>
  <si>
    <t>https://www.digikey.jp/product-detail/en/allegro-microsystems/ACS722LLCTR-10AU-T/620-1636-6-ND/4948888</t>
  </si>
  <si>
    <t>Pin header (pin) PCB mounting hole diameter Φ0.8 PSS-210204-00 (H = 2)</t>
  </si>
  <si>
    <t>MO-1 BPB EM</t>
  </si>
  <si>
    <t>Pin header (PCB), 90 deg</t>
  </si>
  <si>
    <t>https://www.chip1stop.com/view/dispDetail/DispDetail?lang=en&amp;cont=JPN&amp;partId=HIRO-0021665&amp;mpn=A3C-50DA-2DSA%2871%29&amp;keyword=A3C-50DA-2DSA%2B%252871%2529</t>
  </si>
  <si>
    <t>磨焼入鋼帯 0.30×3.0×5000(mm)</t>
  </si>
  <si>
    <t>鋼種:SK85   0.30×3.0×5000(mm)</t>
  </si>
  <si>
    <t>https://drive.google.com/file/d/1rEdW1rqslHO6wVg4za53Av3F9sg6Z5Ea/view?usp=sharing</t>
  </si>
  <si>
    <t>OPERA EM first version</t>
  </si>
  <si>
    <t>Signal board, Computer boards(PCB and Assembly)</t>
  </si>
  <si>
    <t>Lora Transciever</t>
  </si>
  <si>
    <t>RF Transceiver Module 868MHz Plane Mount</t>
  </si>
  <si>
    <t>1597-1488-ND</t>
  </si>
  <si>
    <t>https://www.digikey.jp/product-detail/ja/seeed-technology-co.,-ltd/109990166/1597-1488-ND/7033232?utm_adgroup=IoT&amp;utm_source=google&amp;utm_medium=cpc&amp;utm_campaign=Smart%20Shopping_Product_IoT&amp;utm_term=&amp;productid=7033232&amp;gclid=CjwKCAjwzaSLBhBJEiwAJSRoknGkac99zexI17G2gc4QS3IW-JAXU18cDK2xOe4IYl7-yhq6S4kZcxoCTxIQAvD_BwE</t>
  </si>
  <si>
    <t>Etsunaga/Fahd</t>
  </si>
  <si>
    <t>https://www.monotaro.com/g/01213354/?monotaroNo=11200577</t>
  </si>
  <si>
    <t>https://www.monotaro.com/g/00262524/?monotaroNo=34812906</t>
  </si>
  <si>
    <t>Ultra-low head bolt Hexalobular type</t>
  </si>
  <si>
    <t>https://jp.misumi-ec.com/vona2/result/?Keyword=CBSTSE2-10&amp;isReSearch=0</t>
  </si>
  <si>
    <t>https://jp.misumi-ec.com/vona2/detail/221006204478/?ProductCode=C-305-5</t>
  </si>
  <si>
    <t>https://www.monotaro.com/g/01214485/?t.q=C-305.5-5</t>
  </si>
  <si>
    <t>6 mm thick color milky</t>
  </si>
  <si>
    <t>https://www.monotaro.com/g/01214485/?t.q=C-306-5</t>
  </si>
  <si>
    <t>8 mm thick color milky</t>
  </si>
  <si>
    <t>https://www.monotaro.com/g/01214485/?t.q=C-308-5</t>
  </si>
  <si>
    <t>9 mm thick color milky</t>
  </si>
  <si>
    <t>https://www.monotaro.com/g/01214485/?t.q=C-309-5</t>
  </si>
  <si>
    <t>15 mm thick color milky</t>
  </si>
  <si>
    <t>C-315-5</t>
  </si>
  <si>
    <t>https://jp.misumi-ec.com/vona2/detail/221006204478/?ProductCode=C-315-5</t>
  </si>
  <si>
    <t>https://jp.misumi-ec.com/vona2/detail/221006204478/?ProductCode=C-317.5</t>
  </si>
  <si>
    <t>https://jp.misumi-ec.com/vona2/detail/221006204759/?ProductCode=CC-0306-05</t>
  </si>
  <si>
    <t>https://jp.misumi-ec.com/vona2/result/?Keyword=SHNS-M2&amp;isReSearch=1</t>
  </si>
  <si>
    <t>SLHS-M2-8-VA</t>
  </si>
  <si>
    <t>https://www.monotaro.com/g/00503795/?monotaroNo=49234534</t>
  </si>
  <si>
    <t>https://www.monotaro.com/g/00503795/?monotaroNo=49234491</t>
  </si>
  <si>
    <t>https://jp.misumi-ec.com/vona2/detail/221006493827/?ProductCode=SNSS-M2-5-SD-VA</t>
  </si>
  <si>
    <t>https://jp.misumi-ec.com/vona2/detail/221006493827/?ProductCode=SNSS-M2-6-SD-VA</t>
  </si>
  <si>
    <t>https://jp.misumi-ec.com/vona2/result/?Keyword=SSHS-M2&amp;isReSearch=0</t>
  </si>
  <si>
    <t>electrical configuration to battery (Cells) by spot welding and soldering</t>
  </si>
  <si>
    <t>Panasonic  eneloop NiMH Battery PAck configuration with 3SX4 , spot welding and soldering to harness cable</t>
  </si>
  <si>
    <t>BLUE TREK</t>
  </si>
  <si>
    <t>211018-1</t>
  </si>
  <si>
    <t>3 sereis connection</t>
  </si>
  <si>
    <t>EPS battery</t>
  </si>
  <si>
    <t>終端型パワーメータ</t>
  </si>
  <si>
    <t>1.9~500MHz, 5W/25W/150W</t>
  </si>
  <si>
    <t>クラニシ</t>
  </si>
  <si>
    <t>ヤフオク</t>
  </si>
  <si>
    <t>https://page.auctions.yahoo.co.jp/jp/auction/x1011048739</t>
  </si>
  <si>
    <t>価格はフジエレさんのメールより</t>
  </si>
  <si>
    <t>Bolts, Nuts, Spacers</t>
  </si>
  <si>
    <t>MEXT (OPERA)</t>
  </si>
  <si>
    <t>Raspberry Pi 4 (4GB)</t>
  </si>
  <si>
    <t>4GB RAM Model B</t>
  </si>
  <si>
    <t>生協2階　店舗</t>
  </si>
  <si>
    <t>4Fコントロールルーム</t>
  </si>
  <si>
    <t>Raspberry Pi 4 ケース</t>
  </si>
  <si>
    <t>4GB RAM Model B ケース</t>
  </si>
  <si>
    <t>USB-RS232-WE-1800-BT_3.3</t>
  </si>
  <si>
    <t>USB～RS232 ケーブル 5.90フィート（1.80m） シールドなし</t>
  </si>
  <si>
    <t>768-1077-ND</t>
  </si>
  <si>
    <t>https://www.digikey.jp/product-detail/ja/ftdi-future-technology-devices-international-ltd/USB-RS232-WE-1800-BT-3-3/768-1077-ND/2441366</t>
  </si>
  <si>
    <t>コンデンサ(22uF)</t>
  </si>
  <si>
    <t>コンデンサ(4.7uF)</t>
  </si>
  <si>
    <t>LMK212B7475MG-T</t>
  </si>
  <si>
    <t>https://www.digikey.jp/product-detail/ja/taiyo-yuden/LMK212B7475MG-T/587-4917-1-ND/6563760</t>
  </si>
  <si>
    <t>FTSH-104-01-F-D</t>
  </si>
  <si>
    <t>コネクタヘッダ スルーホール 8 極 0.050インチ（1.27mm）</t>
  </si>
  <si>
    <t>SAM10498-ND</t>
  </si>
  <si>
    <t>https://www.digikey.jp/product-detail/ja/samtec-inc/FTSH-104-01-F-D/SAM10498-ND/2649968</t>
  </si>
  <si>
    <t>FTSH-102-01-L-D</t>
  </si>
  <si>
    <t>コネクタヘッダ スルーホール 4 極 0.050インチ（1.27mm）</t>
  </si>
  <si>
    <t>SAM11244-ND</t>
  </si>
  <si>
    <t>https://www.digikey.jp/product-detail/ja/samtec-inc/FTSH-102-01-L-D/SAM11244-ND/6691915</t>
  </si>
  <si>
    <t>FTSH-105-01-F-D</t>
  </si>
  <si>
    <t>コネクタヘッダ スルーホール 10 極 0.050インチ（1.27mm）</t>
  </si>
  <si>
    <t>SAM9430-ND</t>
  </si>
  <si>
    <t>https://www.digikey.jp/product-detail/ja/samtec-inc/FTSH-105-01-F-D/SAM9430-ND/6678167</t>
  </si>
  <si>
    <t>TSW-104-08-G-D</t>
  </si>
  <si>
    <t>コネクタヘッダ スルーホール 8 極 0.100インチ（2.54mm）</t>
  </si>
  <si>
    <t>SAM1036-04-ND</t>
  </si>
  <si>
    <t>https://www.digikey.jp/product-detail/ja/samtec-inc/TSW-104-08-G-D/SAM1036-04-ND/1101670</t>
  </si>
  <si>
    <t>TSW-105-08-F-D</t>
  </si>
  <si>
    <t>コネクタヘッダ スルーホール 10 極 0.100インチ（2.54mm）</t>
  </si>
  <si>
    <t>SAM10850-ND</t>
  </si>
  <si>
    <t>https://www.digikey.jp/product-detail/ja/samtec-inc/TSW-105-08-F-D/SAM10850-ND/2685915</t>
  </si>
  <si>
    <t>LoRa GPS モジュール</t>
  </si>
  <si>
    <t>LILYGO®TTGOT-Beamv1.0ESP32 LoRa 433/868 / 915Mhz WiFi GPS NEO-6M 18650WiFiブルートゥースボードモジュール - 923MHz</t>
  </si>
  <si>
    <t>LILYGO</t>
  </si>
  <si>
    <t>LILYGO®TTGOT-</t>
  </si>
  <si>
    <t>ドローン＆移動体</t>
  </si>
  <si>
    <t>https://jp.banggood.com/LILYGO-TTGO-T-Beam-v1_0-ESP32-LoRa-433-or-868-or-915Mhz-WiFi-GPS-NEO-6M-18650-WiFi-bluetooth-Board-Module-p-1609523.html?cur_warehouse=CN&amp;ID=6269370</t>
  </si>
  <si>
    <t>ＥＳＰ－ＷＲＯＯＭ－３２Ｄ開発ボード</t>
  </si>
  <si>
    <t>ESP32-DevKitC-32D</t>
  </si>
  <si>
    <t>Espressif Systems</t>
  </si>
  <si>
    <t>M-13628</t>
  </si>
  <si>
    <t>地上局</t>
  </si>
  <si>
    <t>https://akizukidenshi.com/catalog/g/gM-13628/</t>
  </si>
  <si>
    <t>リチウムイオン専用充電電池 18650型</t>
  </si>
  <si>
    <t>FENIX(フェニックス)</t>
  </si>
  <si>
    <t>858-7604</t>
  </si>
  <si>
    <t>ARB-L18-2600</t>
  </si>
  <si>
    <t>https://www.monotaro.com/g/04218399/?t.q=%E3%83%AA%E3%83%81%E3%82%A6%E3%83%A0%E3%82%A4%E3%82%AA%E3%83%B3%E5%B0%82%E7%94%A8%E5%85%85%E9%9B%BB%E9%9B%BB%E6%B1%A0%2018650%E5%9E%8B</t>
  </si>
  <si>
    <t>18650 充電式リチウムイオン電池専用充電器(2本タイプ)</t>
  </si>
  <si>
    <t>GOODGOODS(グッド・グッズ)</t>
  </si>
  <si>
    <t>https://www.monotaro.com/g/04234189/?t.q=%E3%83%AA%E3%83%81%E3%82%A6%E3%83%A0%E3%82%A4%E3%82%AA%E3%83%B3%E5%B0%82%E7%94%A8%E5%85%85%E9%9B%BB%E9%9B%BB%E6%B1%A0%2018650%E5%9E%8B%20%E5%85%85%E9%9B%BB%E5%99%A8</t>
  </si>
  <si>
    <t>MB2 FM BIRDS-5 PCB</t>
  </si>
  <si>
    <t>運営費（AstreX変更予定）</t>
  </si>
  <si>
    <t>MB2 FM BIRDS-5 PCB 82mmx94mm</t>
  </si>
  <si>
    <t>SF-ward/Multi-Spec</t>
  </si>
  <si>
    <t>MB1 FM BIRD-5 PCB</t>
  </si>
  <si>
    <t>MB1 FM BIRDS-5 PCB 86.0 mm×87.0 mm</t>
  </si>
  <si>
    <t>ADCS/Multi-Spec</t>
  </si>
  <si>
    <t>USRP B205 mini-i 70MHz-6GHz, 61.44MPSPS, USB 3.0, 24g</t>
  </si>
  <si>
    <t xml:space="preserve">	Digilent, Inc.</t>
  </si>
  <si>
    <t>1286-6002-410-021-ND</t>
  </si>
  <si>
    <t>6002-410-021</t>
  </si>
  <si>
    <t>https://www.digikey.jp/products/en?prodAtt_select_all=&amp;t=859&amp;v=1286&amp;s=818&amp;pv7=61&amp;pv1989=0&amp;pv183=328522&amp;pv139=273885&amp;pv47=308895&amp;pv985=321636</t>
  </si>
  <si>
    <t>Lenses</t>
  </si>
  <si>
    <t>Optical Format: 1/2.5”
Effective Focal Length: 12mm, Mount: M12, NoIR</t>
  </si>
  <si>
    <t>¥1,413</t>
  </si>
  <si>
    <t>¥18,369</t>
  </si>
  <si>
    <t>USB 3.0 adapter cable</t>
  </si>
  <si>
    <t>Male to male USB adapter cable</t>
  </si>
  <si>
    <t>182-8844</t>
  </si>
  <si>
    <t>¥1,273</t>
  </si>
  <si>
    <t>https://jp.rs-online.com/web/p/usb-cables/1828844</t>
  </si>
  <si>
    <t>Male to female USB extension cable; 2 meters</t>
  </si>
  <si>
    <t>186-3051</t>
  </si>
  <si>
    <t>¥872</t>
  </si>
  <si>
    <t>https://jp.rs-online.com/web/p/usb-cables/1863051</t>
  </si>
  <si>
    <t>USB 3.0 repeater cable</t>
  </si>
  <si>
    <t>Active repeater USB 3.0 cable; 5 meters</t>
  </si>
  <si>
    <t>SANWA Direct</t>
  </si>
  <si>
    <t>B06ZYHGJVD</t>
  </si>
  <si>
    <t>500-USB046</t>
  </si>
  <si>
    <t>¥3,980</t>
  </si>
  <si>
    <t>USB active repeater cable_Sanwa_Amazon</t>
  </si>
  <si>
    <t>LAN cable</t>
  </si>
  <si>
    <t>CAT6;noise shielded; 5 m in length</t>
  </si>
  <si>
    <t>SANWA Supply</t>
  </si>
  <si>
    <t>KB-T6ASTP-05GY</t>
  </si>
  <si>
    <t>¥2,600</t>
  </si>
  <si>
    <t>Shielded LAN cable_Sanwa Supply_Amazon</t>
  </si>
  <si>
    <t>MO-1 Backplane Board BBM PCB</t>
  </si>
  <si>
    <t>6-Layer PCB</t>
  </si>
  <si>
    <t>https://drive.google.com/open?id=1xSNLfsiBBX87PVPUI4RBaSummDj7YA6l&amp;authuser=mark_angelo_purio%40dlsu.edu.ph&amp;usp=drive_fs</t>
  </si>
  <si>
    <t xml:space="preserve">40 PIN male COnnector Header </t>
  </si>
  <si>
    <t>Connector Header Through Hole 40 position 0.079" (2.00mm)</t>
  </si>
  <si>
    <t xml:space="preserve">	Sullins Connector Solutions</t>
  </si>
  <si>
    <t>S5801-20-ND</t>
  </si>
  <si>
    <t>NRPN202PAEN-RC</t>
  </si>
  <si>
    <t>CURTIS Satellite</t>
  </si>
  <si>
    <t>Curtis_EM_Plus Solar panel</t>
  </si>
  <si>
    <t>https://www.digikey.jp/products/en?keywords=NRPN202PAEN-RC</t>
  </si>
  <si>
    <t xml:space="preserve">40 PIN Female COnnector Header </t>
  </si>
  <si>
    <t>40-pole receptacle, bottom or top entry connector 0.079 inch (2.00 mm) surface mount</t>
  </si>
  <si>
    <t>3M5427-ND</t>
  </si>
  <si>
    <t>153240-2020-RB</t>
  </si>
  <si>
    <t>https://www.digikey.jp/product-detail/ja/3m/153240-2020-RB/3M5427-ND/1145342</t>
  </si>
  <si>
    <t>HIROSE_DF14-15P-1.25H(56)</t>
  </si>
  <si>
    <t>1.25mm pitch low profile crimp connector DF14 series</t>
  </si>
  <si>
    <t>DF14-15P-1.25H(56)</t>
  </si>
  <si>
    <t>https://jp.misumi-ec.com/vona2/detail/222000425782/?HissuCode=DF14-15P-1.25H%2856%29</t>
  </si>
  <si>
    <t>24  Femail connector</t>
  </si>
  <si>
    <t>24-pole receptacle, bottom entry connector 0.100 inch (2.54 mm) surface mount</t>
  </si>
  <si>
    <t>SAM8916-ND</t>
  </si>
  <si>
    <t>HLE-112-02-G-DV-BE</t>
  </si>
  <si>
    <t>https://www.digikey.jp/product-detail/ja/samtec-inc/HLE-112-02-G-DV-BE/SAM8916-ND/2664132</t>
  </si>
  <si>
    <t>15 pin Header connector_thermal payload</t>
  </si>
  <si>
    <t>Header &amp; Wire Housing 1mm PicoClasp SMT SR 15CKT RA HDR GLD PLT</t>
  </si>
  <si>
    <t>Mouser elctronics</t>
  </si>
  <si>
    <t>538-202396-1507</t>
  </si>
  <si>
    <t>202396-1507</t>
  </si>
  <si>
    <t>202396-1507 Molex | Mouser Japan</t>
  </si>
  <si>
    <t>DepSWes,Connector header, 2POS 2mm</t>
  </si>
  <si>
    <t>0554600272 Molex | Connectors, Interconnects | DigiKey</t>
  </si>
  <si>
    <t>Capacitor_220nF</t>
  </si>
  <si>
    <t>0.22µF ±5% 25V Ceramic Capacitor X7R 0603 (1608 Metric)</t>
  </si>
  <si>
    <t>Digekey</t>
  </si>
  <si>
    <t xml:space="preserve">
399-9967-1-ND</t>
  </si>
  <si>
    <t>Capacitor_47nF</t>
  </si>
  <si>
    <t>0.047µF ±5% 25V Ceramic Capacitor X7R 0603 (1608 Metric)</t>
  </si>
  <si>
    <t>339-C0603C473J3RAC7867CT-ND</t>
  </si>
  <si>
    <t>C0603C473J3RAC7867</t>
  </si>
  <si>
    <t>50 Pin Female Connector A3C-50DA-2DSA(71)</t>
  </si>
  <si>
    <t>50 Position Receptacle Connector 0.079" (2.00mm) Through Hole Gold</t>
  </si>
  <si>
    <t>https://www.digikey.jp/en/products/detail/hirose-electric-co-ltd/A3C-50DA-2DSA-71/1033031</t>
  </si>
  <si>
    <t>1U +Y FM Solar Panel BIRDS-5 PCB</t>
  </si>
  <si>
    <t>運営費（後日経費変更）</t>
  </si>
  <si>
    <t>1U +Y FM Solar Panel BIRDS-5 PCB 82.6 mm X 100.7 mm</t>
  </si>
  <si>
    <t>1U +Z FM Solar Panel BIRDS-5 PCB</t>
  </si>
  <si>
    <t>1U +Z FM Solar Panel BIRDS-5 PCB 82.6 mm X 100.7 mm</t>
  </si>
  <si>
    <t>1U -X FM Solar Panel BIRDS-5 PCB</t>
  </si>
  <si>
    <t>1U -X FM Solar Panel BIRDS-5 PCB 82.6 mm X 100.7 mm</t>
  </si>
  <si>
    <t>1U -Y FM Solar Panel BIRDS-5 PCB</t>
  </si>
  <si>
    <t>1U -Y FM Solar Panel BIRDS-5 PCB 82.6 mm X 100.7 mm</t>
  </si>
  <si>
    <t>KITSUNE アマチュア局　申請料</t>
    <rPh sb="15" eb="18">
      <t>シンセイリョウ</t>
    </rPh>
    <phoneticPr fontId="256"/>
  </si>
  <si>
    <t>Nakayama</t>
    <phoneticPr fontId="256"/>
  </si>
  <si>
    <t>50W以下　アマチュア局　新規開設</t>
    <rPh sb="3" eb="5">
      <t>イカ</t>
    </rPh>
    <rPh sb="13" eb="15">
      <t>シンキ</t>
    </rPh>
    <rPh sb="15" eb="17">
      <t>カイセテゥ</t>
    </rPh>
    <phoneticPr fontId="256"/>
  </si>
  <si>
    <t>総務省</t>
    <rPh sb="0" eb="3">
      <t>ソウム</t>
    </rPh>
    <phoneticPr fontId="256"/>
  </si>
  <si>
    <t>郵便局</t>
    <rPh sb="0" eb="3">
      <t>ユウビn</t>
    </rPh>
    <phoneticPr fontId="256"/>
  </si>
  <si>
    <t>KITSUNE</t>
    <phoneticPr fontId="256"/>
  </si>
  <si>
    <t>license</t>
    <phoneticPr fontId="256"/>
  </si>
  <si>
    <t>九総通へ送付</t>
    <rPh sb="0" eb="3">
      <t>キュウソウツウ</t>
    </rPh>
    <phoneticPr fontId="256"/>
  </si>
  <si>
    <t>Air Duster</t>
  </si>
  <si>
    <t>KITSUNE(HSK)</t>
  </si>
  <si>
    <t>for lens cleaning</t>
  </si>
  <si>
    <t>Fueru-Net</t>
  </si>
  <si>
    <t>FNC-JB01S</t>
  </si>
  <si>
    <t>CCB</t>
  </si>
  <si>
    <t>buy directly at Nafco shop</t>
  </si>
  <si>
    <t xml:space="preserve">Diode Schottky </t>
  </si>
  <si>
    <t>Diode Schottky 20V 0.5A Surface Mount SOD-123FL</t>
  </si>
  <si>
    <t>onsemi</t>
  </si>
  <si>
    <t>863-MBR0520LT1G</t>
  </si>
  <si>
    <t>Curtis/MO-1</t>
  </si>
  <si>
    <t>SVBL2nd floor</t>
  </si>
  <si>
    <t>https://www.mouser.jp/ProductDetail/onsemi/MBR0520LT1G?qs=3JMERSakebqBWTiPUQp0nw%3D%3D</t>
  </si>
  <si>
    <t>2U +Y FM Solar Panel BIRDS-5 PCB</t>
  </si>
  <si>
    <t>2U +Y FM Solar Panel BIRDS-5 PCB 82.6 mm×219.1 mm</t>
  </si>
  <si>
    <t>2U -Y FM Solar Panel BIRDS-5 PCB</t>
  </si>
  <si>
    <t>2U -Y FM Solar Panel BIRDS-5 PCB 82.6 mm×219.1 mm</t>
  </si>
  <si>
    <t>2U -X FM Solar Panel BIRDS-5 PCB</t>
  </si>
  <si>
    <t>2U -X FM Solar Panel BIRDS-5 PCB 82.6 mm×219.1 mm</t>
  </si>
  <si>
    <t>クリーンルーム手袋S</t>
  </si>
  <si>
    <t>ラテックス手袋 ハイグリップ　パウダーフリー</t>
  </si>
  <si>
    <t>ALL project</t>
  </si>
  <si>
    <t>https://www.askul.co.jp/p/1260050/?int_id=recom_DtVar</t>
  </si>
  <si>
    <t>クリーンルーム手袋M</t>
  </si>
  <si>
    <t>https://www.askul.co.jp/p/1260069/?int_id=recom_DtVar</t>
  </si>
  <si>
    <t>クリーンルーム手袋L</t>
  </si>
  <si>
    <t>https://www.askul.co.jp/p/1260078/?int_id=recom_DtVar</t>
  </si>
  <si>
    <t>帯電防止用リストストラップ</t>
  </si>
  <si>
    <t>約1.5m</t>
  </si>
  <si>
    <t>https://www.monotaro.com/g/00178193/?t.q=%E9%9D%99%E9%9B%BB%E6%B0%97%E9%98%B2%E6%AD%A2%E3%82%B9%E3%83%88%E3%83%A9%E3%83%83%E3%83%97</t>
  </si>
  <si>
    <t>3Dプリンタ　交換用ノズル・スロート</t>
  </si>
  <si>
    <t>SUS M2x6 screw</t>
  </si>
  <si>
    <t>Hex Screw, Diameter: 2mm; Length: 6mm</t>
  </si>
  <si>
    <t>SVBL-2nd floor</t>
  </si>
  <si>
    <t>Misumi_SNSS-M2X6</t>
  </si>
  <si>
    <t>SUS M2-4 screw</t>
  </si>
  <si>
    <t>Hex Screw, Diameter:2mm; Length: 4mm</t>
  </si>
  <si>
    <t>Misumi_CBSTSR2-4</t>
  </si>
  <si>
    <t>SUS M1.6-6 screw</t>
  </si>
  <si>
    <t>Hex Screw, Diameter: 1.6mm; Length: 6mm</t>
  </si>
  <si>
    <t>Misumi_SNSS-M1.6X6</t>
  </si>
  <si>
    <t>SUS-M3-14 screw</t>
  </si>
  <si>
    <t>Hex Screw, Diameter: 3 mm; Length: 14 mm</t>
  </si>
  <si>
    <t>CSHBTT-SUS-M3-14</t>
  </si>
  <si>
    <t>https://jp.misumi-ec.com/vona2/detail/221303783852/?CategorySpec=00000217040%3a%3amig00000002457491%0900000217056%3a%3amig00000002461528%0900000217074%3a%3ab%0900000216906%3a%3aa%0900000217098%3a%3ab%0900000216996%3a%3aa&amp;list=PageCategory</t>
  </si>
  <si>
    <t>SUS M3 Nut</t>
  </si>
  <si>
    <t>Hex Screw, Diamter: 3mm; 1.8 mm</t>
  </si>
  <si>
    <t>SKNTR3</t>
  </si>
  <si>
    <t>M3 Nuts_Misumi</t>
  </si>
  <si>
    <t>PCB CURTIS ADCS ADAPTER BOARD - EM</t>
  </si>
  <si>
    <t>Ariel/Esteban</t>
  </si>
  <si>
    <t>Curtis_ ADCS Adapter Board - EM. 4-layer (90 mm x 88.5 mm)</t>
  </si>
  <si>
    <t>PCB CURTIS PCIB - EM</t>
  </si>
  <si>
    <t>Curtis_ PCIB- EM. 4-layer (90 mm x 88.5 mm)</t>
  </si>
  <si>
    <t>PCIB</t>
  </si>
  <si>
    <t>PCB CURTIS MB2 - EM</t>
  </si>
  <si>
    <t>Curtis_ MB2- EM. 4-layer (90 mm x 88.5 mm)</t>
  </si>
  <si>
    <t>25543.5</t>
  </si>
  <si>
    <t>PCB CURTIS PROGRAMMING BOARD</t>
  </si>
  <si>
    <t>Curtis_ PROGRAMMING  BOARD- EM. 4-layer (90 mm x 88.5 mm)</t>
  </si>
  <si>
    <t>Programing Board</t>
  </si>
  <si>
    <t>Copper-clad Laminate</t>
  </si>
  <si>
    <t>Plate thickness: 1.6mm; Board dimension: 200mm x 300 mm; Material paper phenol</t>
  </si>
  <si>
    <t>https://www.monotaro.com/p/3759/7025/</t>
  </si>
  <si>
    <t>1uF capacitor (0603)</t>
  </si>
  <si>
    <t>4th Flr</t>
  </si>
  <si>
    <t>Current Sense Resistors - SMD 0.4Watt 0.025Ohm 1%</t>
  </si>
  <si>
    <t>Vishay/Dale</t>
  </si>
  <si>
    <t>71-WSLP0603R0250FEA</t>
  </si>
  <si>
    <t>WSLP0603R0250FEA</t>
  </si>
  <si>
    <t>SMD_0603</t>
  </si>
  <si>
    <t>https://www.mouser.jp/ProductDetail/Vishay/WSLP0603R0250FEA?qs=sGAEpiMZZMtdo5lL%2F%252BX2B5K4AdKVKDgNh%2FQ%2FYeLnr9E=</t>
  </si>
  <si>
    <t>ＵＳＢケーブル ＵＳＢ２．０ Ａオス－マイクロＢオス ０．３ｍ Ａ－ｍｉｃｒｏＢ</t>
  </si>
  <si>
    <t>USB CABLE A-MICROB(2A L0.3m)</t>
  </si>
  <si>
    <t>https://akizukidenshi.com/catalog/g/gC-09313/</t>
  </si>
  <si>
    <t>Antenna Boards FM BIRDS-5 PCB</t>
  </si>
  <si>
    <t>運営費（後日変更）</t>
  </si>
  <si>
    <t>BIRDS-5 1U &amp; 2U FM Antenna Boards PBAN PCB</t>
  </si>
  <si>
    <t>Etsunaga</t>
  </si>
  <si>
    <t>https://jp.misumi-ec.com/vona2/detail/110300250540/?HissuCode=SLBNR2&amp;PNSearch=SLBNR2&amp;KWSearch=SLBNR2&amp;searchFlow=results2products</t>
  </si>
  <si>
    <t>3M™ Scotch-Weld™ Epoxy Adhesive</t>
  </si>
  <si>
    <t>2216 B/A Gray</t>
  </si>
  <si>
    <t>DP2216</t>
  </si>
  <si>
    <t>Araldite adhesive</t>
  </si>
  <si>
    <t>Epoxy adhesive</t>
  </si>
  <si>
    <t>https://www.monotaro.com/g/00260582/</t>
  </si>
  <si>
    <t>CURTIS _EM BPB</t>
  </si>
  <si>
    <t>6- Layer BPB (201 mmX84 mm)</t>
  </si>
  <si>
    <t> 外部利用</t>
  </si>
  <si>
    <t>¥379</t>
  </si>
  <si>
    <t>¥758</t>
  </si>
  <si>
    <t>USB 3.0 type A-type B adapter cable</t>
  </si>
  <si>
    <t>Type A male-type B male USB 3.0 adapter; 1 meter</t>
  </si>
  <si>
    <t>182-8836</t>
  </si>
  <si>
    <t>¥782</t>
  </si>
  <si>
    <t>¥2,346</t>
  </si>
  <si>
    <t>https://jp.rs-online.com/web/p/usb-cables/1828836/</t>
  </si>
  <si>
    <t xml:space="preserve">
CONN HEADER</t>
  </si>
  <si>
    <t>connector header surface mount, right angle 15 poles 0.049" (1.25mm)</t>
  </si>
  <si>
    <t>Hirose electronics</t>
  </si>
  <si>
    <t>H126009CT-ND</t>
  </si>
  <si>
    <t>CUT Tape</t>
  </si>
  <si>
    <t>CURTIS_BPB_S-Band</t>
  </si>
  <si>
    <t>SVBL2nd</t>
  </si>
  <si>
    <t>DF14-15P-1.25H(56) Hirose Electric Co Ltd | Connectors, interconnection | DigiKey</t>
  </si>
  <si>
    <t>Headers &amp; Wire Housings 1.25MM SNG ROW SKT 15P HOUSING</t>
  </si>
  <si>
    <t>mouser electronics</t>
  </si>
  <si>
    <t>DF14-15S-1.25C</t>
  </si>
  <si>
    <t>798-DF14-15S-1.25C</t>
  </si>
  <si>
    <t>DF14-15S-1.25C Hirose Connector | Mouser Japan</t>
  </si>
  <si>
    <t>OCP_Surge Suppressors Overvoltag</t>
  </si>
  <si>
    <t>Surge Suppressors Overvoltage/Overcurrent Protection Controller with Auto-Retry</t>
  </si>
  <si>
    <t>LTC4361CDC-2#TRMPBF Analog Devices | Mouser Japan</t>
  </si>
  <si>
    <t>Crimp 26-28 AWG</t>
  </si>
  <si>
    <t>CONN SOCKET 24-28AWG CRIMP GOLD</t>
  </si>
  <si>
    <t>798-DF11-2428SCFA</t>
  </si>
  <si>
    <t>DF11-2428SCFA</t>
  </si>
  <si>
    <t>DF14-2628SCFA Hirose Electric Co Ltd | Connectors, interconnection | DigiKey</t>
  </si>
  <si>
    <t>Crimp 30-32 AWG</t>
  </si>
  <si>
    <t>CONN SOCKET 30-32AWG CRIMP GOLD</t>
  </si>
  <si>
    <t>H1579CT-ND</t>
  </si>
  <si>
    <t>DF14-3032SCFA</t>
  </si>
  <si>
    <t>DF14-3032SCFA Hirose Electric Co Ltd | Connectors, interconnection | DigiKey</t>
  </si>
  <si>
    <t>only 18 received (2021-12-06)</t>
  </si>
  <si>
    <t>厚み：0.062インチ(1.575 mm)、銅箔：1/1オンス(35μ/35μ)圧延、サイズ：18x12インチ(457 x 305 mm</t>
  </si>
  <si>
    <t>株式会社ニューメタルス</t>
  </si>
  <si>
    <t>ALNICO500 19X3.2X3.2MM</t>
  </si>
  <si>
    <t>Magnet Alnico 5 (AlNiCo) - 0.126" Sq x 0.748" H (3.20mm x 19.0mm)</t>
  </si>
  <si>
    <t>https://www.digikey.jp/en/products/detail/standex-meder-electronics/ALNICO500-19X3.2X3.2MM/695282</t>
  </si>
  <si>
    <t>20021121-00010D4LF-ND</t>
  </si>
  <si>
    <t>20021121-00010D4LF</t>
  </si>
  <si>
    <t>Tube</t>
  </si>
  <si>
    <t>https://www.digikey.jp/ja/products/detail/amphenol-icc-fci/20021121-00010D4LF/4243612</t>
  </si>
  <si>
    <t>20021121-00008C4LF</t>
  </si>
  <si>
    <t>Connector Header Surface Mount 8 position 0.050" (1.27mm)</t>
  </si>
  <si>
    <t>609-3694-1-ND</t>
  </si>
  <si>
    <t>Cut Tape (CT)</t>
  </si>
  <si>
    <t>https://www.digikey.jp/ja/products/detail/amphenol-icc-fci/20021121-00008C4LF/2209054</t>
  </si>
  <si>
    <t>20021121-00004C4LF</t>
  </si>
  <si>
    <t>Connector Header Surface Mount 4 position 0.050" (1.27mm)</t>
  </si>
  <si>
    <t>609-3692-1-ND</t>
  </si>
  <si>
    <t>https://www.digikey.jp/ja/products/detail/amphenol-icc-fci/20021121-00004C4LF/2209052</t>
  </si>
  <si>
    <t xml:space="preserve">Copper-clad Laminate </t>
  </si>
  <si>
    <t>Thickness (mm): 1.2 ; Material: copper; Dimensions (mm): 100 x 365</t>
  </si>
  <si>
    <t>https://www.monotaro.com/p/8626/3415/</t>
  </si>
  <si>
    <t>CURTIS +Z Solar panel EM</t>
  </si>
  <si>
    <t>4-layer PCB (103.0mm × 98.0mm)</t>
  </si>
  <si>
    <t>Solar Panels</t>
  </si>
  <si>
    <t>CURTIS -Z Solar panel EM</t>
  </si>
  <si>
    <t>4-layer PCB (102.0mm × 98.0mm)</t>
  </si>
  <si>
    <t>CURTIS +Y Solar panel EM</t>
  </si>
  <si>
    <t>4-layer PCB (82.0mm × 330.5mm)</t>
  </si>
  <si>
    <t>CURTIS -Y Solar panel EM</t>
  </si>
  <si>
    <t>4-layer PCB (330.8mm × 82.0mm)</t>
  </si>
  <si>
    <t>CURTIS +X Solar panel EM</t>
  </si>
  <si>
    <t>4-layer PCB (331.1mm × 82.0mm)</t>
  </si>
  <si>
    <t>CURTIS -X Solar panel EM</t>
  </si>
  <si>
    <t> Panasonic</t>
  </si>
  <si>
    <t>Ariel/Necmi</t>
  </si>
  <si>
    <t xml:space="preserve">MLCC - SMD 0805, 50V, 12pF,     C0G,  5% </t>
  </si>
  <si>
    <t>MLCC - SMD 0805, 50V, 0.1uF,    X8R, 10%</t>
  </si>
  <si>
    <t>MLCC - SMD 0402, 16V,  0.1uF,    X7R, 10%,  AEC-Q200</t>
  </si>
  <si>
    <t>810-CGA2B1X7R1C104K</t>
  </si>
  <si>
    <t>CGA2B1X7R1C104K050BC</t>
  </si>
  <si>
    <t>SMD 0402</t>
  </si>
  <si>
    <t>https://www.mouser.jp/ProductDetail/TDK/CGA2B1X7R1C104K050BC?qs=NRhsANhppD8tgIeNjgC%2Fqg%3D%3D</t>
  </si>
  <si>
    <t xml:space="preserve">MLCC - SMD 0805, 10V, 10uF,     X8L, 10%  </t>
  </si>
  <si>
    <t xml:space="preserve">MLCC - SMD 0402, 10V, 10uF,     X5R, 20%  </t>
  </si>
  <si>
    <t>81-ZRB15XR61A106ME1D</t>
  </si>
  <si>
    <t>ZRB15XR61A106ME01D</t>
  </si>
  <si>
    <t>https://www.mouser.jp/ProductDetail/Murata/ZRB15XR61A106ME01D?qs=sGAEpiMZZMsh%252B1woXyUXjxZuI%2FKWQWdPhyOy23%2FYQ%252Bc%3D</t>
  </si>
  <si>
    <t>MLCC - SMD 0805, 50V, 3300pF, C0G, 2%</t>
  </si>
  <si>
    <t>80-C0805C332G5GECLR</t>
  </si>
  <si>
    <t>C0805C332G5GEC7210</t>
  </si>
  <si>
    <t>https://www.mouser.jp/ProductDetail/KEMET/C0805C332G5GEC7210?qs=%2Fha2pyFaduixvi%2Fjlcs4zpamUBERKCh9oXjO3BV%252B1KcFXq9Ekahj1IGGJtH6GbsQ</t>
  </si>
  <si>
    <t>MLCC - SMD 0402, 16V, 3300pF, X7R, 5%</t>
  </si>
  <si>
    <t>80-C0402C332J4R</t>
  </si>
  <si>
    <t>C0402C332J4RACTU</t>
  </si>
  <si>
    <t>https://www.mouser.jp/ProductDetail/KEMET/C0402C332J4RACTU?qs=jiNFBtG5uWizCZMUoW2Zdg%3D%3D</t>
  </si>
  <si>
    <t>MLCC - SMD 0402, 16V, 4.7uF,  X5R,  20%</t>
  </si>
  <si>
    <t>Kyocera AVX</t>
  </si>
  <si>
    <t>581-0402YD475MAT2A</t>
  </si>
  <si>
    <t>0402YD475MAT2A</t>
  </si>
  <si>
    <t>https://www.mouser.jp/ProductDetail/Kyocera-AVX/0402YD475MAT2A?qs=s6nfgz3miVxwCmHE9M6tUg%3D%3D</t>
  </si>
  <si>
    <t>MLCC - SMD 0805, 10 V, 47uF, *Derate Voltage/Temp</t>
  </si>
  <si>
    <t>81-GRM21BR61A476ME5L</t>
  </si>
  <si>
    <t>GRM21BR61A476ME15L</t>
  </si>
  <si>
    <t>https://www.mouser.jp/ProductDetail/Murata/GRM21BR61A476ME15L?qs=sGAEpiMZZMtXHE36kCvv35TuZzIUByhN%252B%2FDQVm%252BON6s%3D</t>
  </si>
  <si>
    <t>MLCC - SMD  0402 16V, 1 nF, C0G  5% AEC-Q200</t>
  </si>
  <si>
    <t>80-C0402C102J4GCAUTO</t>
  </si>
  <si>
    <t>C0402C102J4GACAUTO</t>
  </si>
  <si>
    <t>https://www.mouser.jp/ProductDetail/KEMET/C0402C102J4GACAUTO?qs=GedFDFLaBXE%252Bq7wO7r02Mw%3D%3D</t>
  </si>
  <si>
    <t>MLCC - SMD 0402 16V, 1uF,  X6S, 10%,  AEC-Q200</t>
  </si>
  <si>
    <t>81-GRT155C81C105KE3D</t>
  </si>
  <si>
    <t>GRT155C81C105KE13D</t>
  </si>
  <si>
    <t>https://www.mouser.jp/ProductDetail/Murata/GRT155C81C105KE13D?qs=sGAEpiMZZMvShe%252BZiYheimlap3g5zhOJivqL3tHDeXw%3D</t>
  </si>
  <si>
    <t>SMD 0402, 0ohms,  AEC-Q200, 0. 5W</t>
  </si>
  <si>
    <t>660-TLRZ1ETTB</t>
  </si>
  <si>
    <t>TLRZ1ETTB</t>
  </si>
  <si>
    <t>SMD 0403</t>
  </si>
  <si>
    <t>https://www.mouser.jp/ProductDetail/KOA-Speer/TLRZ1ETTB?qs=u4fy%2FsgLU9OXExoEt1rCFw%3D%3D</t>
  </si>
  <si>
    <t>SMD 0805, 25mohms, 1%  AEC-Q200, 0.5 W</t>
  </si>
  <si>
    <t>SMD 0603, 25mohms, 1%  AEC-Q200, 0.5 W</t>
  </si>
  <si>
    <t>71-WSL0603R0250FEA18</t>
  </si>
  <si>
    <t>WSL0603R0250FEA18</t>
  </si>
  <si>
    <t>https://www.mouser.jp/ProductDetail/Vishay/WSL0603R0250FEA18?qs=sGAEpiMZZMsiJ22MVmC6eBQAsmeau6I%252B24y7Hta2aJ0%3D</t>
  </si>
  <si>
    <t xml:space="preserve">SMD 0402, 100 OHM 1% 0,25 W 100PPM, Automotive </t>
  </si>
  <si>
    <t>660-SG73P1EWTTP1000F</t>
  </si>
  <si>
    <t>SG73P1EWTTP1000F</t>
  </si>
  <si>
    <t>https://www.mouser.jp/ProductDetail/KOA-Speer/SG73P1EWTTP1000F?qs=Jslch3jnSjklyxG7A3XcsA%3D%3D</t>
  </si>
  <si>
    <t>SMD 0805, 100ohms,  5%  AEC-Q200</t>
  </si>
  <si>
    <t>SMD 0402 ,10Kohm, 5%, Anti-Surge, AEC-Q200</t>
  </si>
  <si>
    <t>667-ERJ-PA2J103X</t>
  </si>
  <si>
    <t>ERJ-PA2J103X</t>
  </si>
  <si>
    <t>https://www.mouser.jp/ProductDetail/Panasonic/ERJ-PA2J103X?qs=h9NfwcE6J0JWKWH7M%2FoZ4A%3D%3D</t>
  </si>
  <si>
    <t>SMD 0805, 10Kohms,  5%  AEC-Q200</t>
  </si>
  <si>
    <t>SMD 0402 100K OHM 5% 0,25 W 100PPM</t>
  </si>
  <si>
    <t>660-SG73P1EWTTP104J</t>
  </si>
  <si>
    <t>SG73P1EWTTP104J</t>
  </si>
  <si>
    <t>https://www.mouser.jp/ProductDetail/KOA-Speer/SG73P1EWTTP104J?qs=Jslch3jnSjlPLqxaNalMTQ%3D%3D</t>
  </si>
  <si>
    <t>SMD 0805 1% 100Kohm Anti-High AEC-Q200</t>
  </si>
  <si>
    <t>667-ERJ-U06F1003V</t>
  </si>
  <si>
    <t>ERJ-U06F1003V</t>
  </si>
  <si>
    <t>https://www.mouser.jp/ProductDetail/Panasonic/ERJ-U06F1003V?qs=Yyy8avaXlItM0dLuNzztsg%3D%3D</t>
  </si>
  <si>
    <t>SMD 0805 2.7Kohms 0.5W 5% AEC-Q200</t>
  </si>
  <si>
    <t>667-ERJ-P06J272V</t>
  </si>
  <si>
    <t>ERJ-P06J272V</t>
  </si>
  <si>
    <t>https://www.mouser.jp/ProductDetail/Panasonic/ERJ-P06J272V?qs=Zyl8A9hlmJp43kcRqIyV7A%3D%3D</t>
  </si>
  <si>
    <t>SMD 0805 3.9Kohms 5% AEC-Q200</t>
  </si>
  <si>
    <t>667-ERJ-T06J392V</t>
  </si>
  <si>
    <t>ERJ-T06J392V</t>
  </si>
  <si>
    <t>https://www.mouser.jp/ProductDetail/Panasonic/ERJ-T06J392V?qs=iIVTEDlrHA12whJphrzDPg%3D%3D</t>
  </si>
  <si>
    <t>SMD 0402 470ohms 5%, 0,25 W, Automotive</t>
  </si>
  <si>
    <t>755-SFR01MZPF4700</t>
  </si>
  <si>
    <t>SFR01MZPF4700</t>
  </si>
  <si>
    <t>https://www.mouser.jp/ProductDetail/ROHM-Semiconductor/SFR01MZPF4700?qs=byeeYqUIh0NhfgBDZ6mT3Q%3D%3D</t>
  </si>
  <si>
    <t>SMD 0402 47Kohms 5% AEC-Q200</t>
  </si>
  <si>
    <t>667-ERJ-PA2D4702X</t>
  </si>
  <si>
    <t>ERJ-PA2D4702X</t>
  </si>
  <si>
    <t>https://www.mouser.jp/ProductDetail/Panasonic/ERJ-PA2D4702X?qs=V%252BBODeGd91KKU2z0%252BjrPjg%3D%3D</t>
  </si>
  <si>
    <t>SMD 0805 7.5Kohms 0.5W 5% AEC-Q200</t>
  </si>
  <si>
    <t>667-ERJ-P06J752V</t>
  </si>
  <si>
    <t>ERJ-P06J752V</t>
  </si>
  <si>
    <t>https://www.mouser.jp/ProductDetail/Panasonic/ERJ-P06J752V?qs=Zyl8A9hlmJrzIC%252BD7B0bpA%3D%3D</t>
  </si>
  <si>
    <t xml:space="preserve"> Inductor SMD 4x4 semi-shielded, Ferrite Core, 4.7 uH +/-20% 1.9A rms </t>
  </si>
  <si>
    <t>652-SRN4018-4R7M</t>
  </si>
  <si>
    <t>https://www.mouser.jp/ProductDetail/Bourns/SRN4018-4R7M?qs=%2Fha2pyFadugMwd3aqG0oPzt4Mq0vq3KYSqtqXRP081g7LU6SuwvOJA%3D%3D</t>
  </si>
  <si>
    <t>24-pole header connector 0.100" (2.54mm) through hole, right angle gold</t>
  </si>
  <si>
    <t>Sullins</t>
  </si>
  <si>
    <t>S5565-ND</t>
  </si>
  <si>
    <t>PPPC122LJBN-RC</t>
  </si>
  <si>
    <t>PPPC122LJBN-RC Sullins Connector Solutions | Connectors, interconnection | DigiKey</t>
  </si>
  <si>
    <t xml:space="preserve">Sullins Connector </t>
  </si>
  <si>
    <t>4-pole header connector 0.100" (2.54mm) through hole, right angle gold</t>
  </si>
  <si>
    <t>PPPC022LJBN-RC Sullins Connector Solutions | Connectors, interconnection | DigiKey</t>
  </si>
  <si>
    <t>Hirose Connector - 4P</t>
  </si>
  <si>
    <t>Double Row, 4 positions, 2mm pitch- Backplane</t>
  </si>
  <si>
    <t>798-A3B-4PA-2DS51</t>
  </si>
  <si>
    <t>A3B-4PA-2DS(51)</t>
  </si>
  <si>
    <t>https://www.mouser.jp/ProductDetail/Hirose-Electric/A3B-4PA-2DS51?qs=sGAEpiMZZMv0NwlthflBi4jsn6btZLXfA%2FJYKzSwQVc%3D</t>
  </si>
  <si>
    <t>Hirose Connector - 50P</t>
  </si>
  <si>
    <t>Double Row, 50 positions, 2mm pitch</t>
  </si>
  <si>
    <t>RS-Online</t>
  </si>
  <si>
    <t>172-1806</t>
  </si>
  <si>
    <t>A3B-50PA-2DS (51)</t>
  </si>
  <si>
    <t>https://jp.rs-online.com/web/p/pcb-headers/1721806/?cm_mmc=aff2-_-jp-_-octopart-_-Instock1721806</t>
  </si>
  <si>
    <t>Micro USB Type B</t>
  </si>
  <si>
    <t>5P Quick Connect Micro USB TypeB Rcpt</t>
  </si>
  <si>
    <t>649-10103594-0001LF</t>
  </si>
  <si>
    <t>SMD/SMT</t>
  </si>
  <si>
    <t>https://www.mouser.jp/ProductDetail/FCI-Amphenol/10103594-0001LF?qs=sGAEpiMZZMsvbV9l%252Bnr01LTfPs2ld635AVykRMaejgU%3D</t>
  </si>
  <si>
    <t>DIMM connector</t>
  </si>
  <si>
    <t>DIMM connector DDR2 SODIMM 200P STANDARD HOUSING</t>
  </si>
  <si>
    <t>https://www.mouser.jp/ProductDetail/TE-Connectivity/1473005-4?qs=sGAEpiMZZMvlX3nhDDO4AENRpMoVgxxl6LYZugs%252BRxU%3D</t>
  </si>
  <si>
    <t>MOSFET 20V/6V N CH T1 890mA</t>
  </si>
  <si>
    <t>Onsemi</t>
  </si>
  <si>
    <t>863-NTK3134NT1G</t>
  </si>
  <si>
    <t>NTK3134NT1G</t>
  </si>
  <si>
    <t>SOT-723</t>
  </si>
  <si>
    <t>https://www.mouser.jp/ProductDetail/onsemi/NTK3134NT1G?qs=g97OBWmz8%2FXjV%2Fg5rjrz3Q%3D%3D</t>
  </si>
  <si>
    <t>BJT Transistor</t>
  </si>
  <si>
    <t>NPN 50 V, 100 mA</t>
  </si>
  <si>
    <t>SC-59-3</t>
  </si>
  <si>
    <t>https://www.mouser.jp/ProductDetail/ROHM-Semiconductor/DTC144EKAT146?qs=%2Fha2pyFaduhXzWgNxtpZMuFObLCOFdKp8kpvNyrHI1M%3D</t>
  </si>
  <si>
    <t>LDO VOLTAGE REGULATOR</t>
  </si>
  <si>
    <t>LDO VOLTAGE REGULATOR LDO SNGLE OUTPUT 150MA 220MV 2.5-5.5V</t>
  </si>
  <si>
    <t>621-AP7115-25SEG-7</t>
  </si>
  <si>
    <t>SOT-353-5</t>
  </si>
  <si>
    <t>https://www.mouser.jp/ProductDetail/Diodes-Incorporated/AP7115-25SEG-7?qs=%2Fha2pyFaduiLIap5lx5FKOzYyNoNKFJPabxqk2arxBxaC7RrEcQw0Q%3D%3D</t>
  </si>
  <si>
    <t>Crystal  ECX-64A</t>
  </si>
  <si>
    <t>Step Down Converter</t>
  </si>
  <si>
    <t>Dual PWM Step-Down 40uA 1A 1.5MHz</t>
  </si>
  <si>
    <t>621-PAM2306AYPKE</t>
  </si>
  <si>
    <t>WDFN-EP-12</t>
  </si>
  <si>
    <t>https://www.mouser.jp/ProductDetail/Diodes-Incorporated/PAM2306AYPKE?qs=%2Fha2pyFadujX7Vr7OrgSB2ow1Y8UQDEhYo3L0rfNID%252BqNAcRGS68sQ%3D%3D</t>
  </si>
  <si>
    <t>Transistor Output Optocoupler 50mA Photocoupler 80V 3750Vrms</t>
  </si>
  <si>
    <t>757-TLP293E</t>
  </si>
  <si>
    <t>TLP293(E</t>
  </si>
  <si>
    <t>SSOP-4</t>
  </si>
  <si>
    <t>https://www.mouser.jp/ProductDetail/Toshiba/TLP293E?qs=%2Fha2pyFadujZB%2Fyygj66wFOFN1NVoLJ3xH5aePf%2FPO8%3D</t>
  </si>
  <si>
    <t>DIGITAL BUS SWITCH IC 10-BIT VOLTAGE CLAMP</t>
  </si>
  <si>
    <t>Buffer SN74LVC2G34DBVR</t>
  </si>
  <si>
    <t>595-SN74LVC2G34DBVR</t>
  </si>
  <si>
    <t>SN74LVC2G34DBVR Texas Instruments | Mouser Japan</t>
  </si>
  <si>
    <t xml:space="preserve">Mosfet  SSM6K403TU </t>
  </si>
  <si>
    <t>MLCC - SMD 0805, 25V, 4.7uF,    X8L, 10%</t>
  </si>
  <si>
    <t> </t>
  </si>
  <si>
    <t>Capacitor 22pF</t>
  </si>
  <si>
    <t>MLCC - SMD 0805, 50V, 22pF, C0G,  10% , AECQ-200</t>
  </si>
  <si>
    <t>MLCC - SMD 1210, 16V,  47uF,    X6S, 10%</t>
  </si>
  <si>
    <t>We need to buy</t>
  </si>
  <si>
    <t>Capacitor 820 pF</t>
  </si>
  <si>
    <t>MLCC - SMD 0805, 50V, 820pF, C0G,  5% , AECQ-200</t>
  </si>
  <si>
    <t>2 Pos Header 1 mm pitch</t>
  </si>
  <si>
    <t>2 Pos Header 1mm PicoClasp SMT SR 2CKT RA HDR GLD PTL</t>
  </si>
  <si>
    <t>538-202396-0207</t>
  </si>
  <si>
    <t>202396-0207</t>
  </si>
  <si>
    <t xml:space="preserve"> -----</t>
  </si>
  <si>
    <t>https://www.mouser.jp/ProductDetail/Molex/202396-0207?qs=5aG0NVq1C4yNVNVdbFIdrw%3D%3D&amp;gclid=CjwKCAiA1aiMBhAUEiwACw25MXB6b74p63uH5GbuGzyNOqMGtOEzeOQ9kd8QPj8gMGJp4aZWKiEghBoCrBIQAvD_BwE</t>
  </si>
  <si>
    <t>52 pin Connector 2.54 mm pitch (male)</t>
  </si>
  <si>
    <t>Double Row, 52 positions, 2.54 mm pitch</t>
  </si>
  <si>
    <t>200-HMTSW-12608GD100</t>
  </si>
  <si>
    <t>HMTSW-126-08-G-D-100</t>
  </si>
  <si>
    <t>https://www.mouser.jp/ProductDetail/Samtec/HMTSW-126-08-G-D-100?qs=%2Fha2pyFadui497Z9nlyfhEM9G6u35%2F8%252Ba4MvFkDHK4%252B0cfHlyZHkvg%3D%3D</t>
  </si>
  <si>
    <t>3 Pos  PCB Mount Connector</t>
  </si>
  <si>
    <t>3 POS Terminal Block PCB,  30 AWG to 12 AWG</t>
  </si>
  <si>
    <t>Male Header Socket  (2.54mm)</t>
  </si>
  <si>
    <t>Microcontroller PIC18F67J94</t>
  </si>
  <si>
    <t>Molex 4 Pos Header 1 mm pitch</t>
  </si>
  <si>
    <t>4 Pos Header 1mm PicoClasp SMT SR 2CKT RA HDR GLD PTL</t>
  </si>
  <si>
    <t>538-202396-0407</t>
  </si>
  <si>
    <t>202396-0407</t>
  </si>
  <si>
    <t>https://www.mouser.jp/ProductDetail/Molex/202396-0407?qs=%2Fha2pyFaduj06fUEJGCY2sR8cVsb3niyjfRK4vogUoSMusf4pvm6tA%3D%3D</t>
  </si>
  <si>
    <t>Molex 15 Pos Header 1 mm pitch</t>
  </si>
  <si>
    <t>15 Pos Header 1mm PicoClasp SMT SR 2CKT RA HDR GLD PTL</t>
  </si>
  <si>
    <t>https://www.mouser.jp/ProductDetail/Molex/202396-1507?qs=%2Fha2pyFaduilCYVPsmo%2FVif9l7JpBe9%252BzaNNzk%2Fv652GYl8oMnqI6Q==</t>
  </si>
  <si>
    <t>Dedicated Cable PicoClasp</t>
  </si>
  <si>
    <t>150mm 28AW Pre-Crimp Lead Tin</t>
  </si>
  <si>
    <t>538-79758-1018</t>
  </si>
  <si>
    <t>79758-1018</t>
  </si>
  <si>
    <t>https://www.mouser.jp/ProductDetail/Molex/79758-1018?qs=%2Fha2pyFaduhNtIA15Sr3cvbjF4muyNFpmSH%252BmAT0CXsXJHLlJlEKEA%3D%3D</t>
  </si>
  <si>
    <t>Molex 4 Pos Receptacle 1 mm pitch</t>
  </si>
  <si>
    <t>4 rectangular connector - housing receptacle white 0.039" (1.00mm)</t>
  </si>
  <si>
    <t>WM7917-ND</t>
  </si>
  <si>
    <t>https://www.digikey.jp/product-detail/ja/5013300400/WM7917-ND/1531501?utm_campaign=buynow&amp;utm_medium=aggregator&amp;curr=jpy&amp;utm_source=octopart</t>
  </si>
  <si>
    <t>Molex 15 Pos Receptacle 1 mm pitch</t>
  </si>
  <si>
    <t>15 rectangular connector - housing receptacle white 0.039" (1.00mm)</t>
  </si>
  <si>
    <t>WM7928-ND</t>
  </si>
  <si>
    <t>https://www.digikey.jp/ja/products/detail/5013301500/WM7928-ND/1531512?utm_campaign=buynow&amp;utm_medium=aggregator&amp;curr=jpy&amp;utm_source=octopart</t>
  </si>
  <si>
    <t>Aluminum Cup</t>
  </si>
  <si>
    <t>https://www.monotaro.com/p/1006/5264/?utm_id=g_pla&amp;utm_medium=cpc&amp;utm_source=Adwords&amp;utm_campaign=246-833-4061_6466659573&amp;utm_content=77481175156&amp;utm_term=_380604198153__aud-906547009128:pla-876688242940&amp;gclid=CjwKCAiA4veMBhAMEiwAU4XRr6Ob88sanHIJ1om2jkysVWmf0unYAxupsOQRdQT0GHmwj2ST5t8CgBoCICIQAvD_BwE</t>
  </si>
  <si>
    <t>RF cables and OP amp</t>
  </si>
  <si>
    <t>150mm RF cables, NC7SZ04</t>
  </si>
  <si>
    <t>21-01-0087-2</t>
  </si>
  <si>
    <t xml:space="preserve">	DIGITAL DISCOVERY LOGIC ANALYZER</t>
  </si>
  <si>
    <t>Tetsuro Harada</t>
  </si>
  <si>
    <t>410-338</t>
  </si>
  <si>
    <t>1286-1158-ND</t>
  </si>
  <si>
    <t>CIT</t>
  </si>
  <si>
    <t>https://www.digikey.jp/ja/products/detail/digilent-inc/410-338/6707566</t>
  </si>
  <si>
    <t xml:space="preserve">	
LCMXO2-7000HE-B-EVN</t>
  </si>
  <si>
    <t>https://www.digikey.jp/ja/products/detail/lattice-semiconductor-corporation/LCMXO2-7000HE-B-EVN/3906092?s=N4IgTCBcDaILYEMDGALAHgBggXQL5A</t>
  </si>
  <si>
    <t>0.02Ω抵抗</t>
  </si>
  <si>
    <t>SMDレジスタ, 20mΩ, 2512 (6432M), 3 W @ 110°C SMS-R020-1.0</t>
  </si>
  <si>
    <t>Isabellenhutte</t>
  </si>
  <si>
    <t>193-0062</t>
  </si>
  <si>
    <t>SMS-R020-1.0</t>
  </si>
  <si>
    <t>SMD2512</t>
  </si>
  <si>
    <t>https://jp.rs-online.com/web/p/surface-mount-resistors/1930062</t>
  </si>
  <si>
    <t>SMDレジスタ, 25mΩ, 0805 (2012M), 0.25W WSL0805R0250FEA18</t>
  </si>
  <si>
    <t>https://jp.rs-online.com/web/p/surface-mount-resistors/6836066/</t>
  </si>
  <si>
    <t>積層セラミックコンデンサ(MLCC) 100nF 6.3V dc 0201 (0603M) 02016D104KAT2A</t>
  </si>
  <si>
    <t>KYOCERA</t>
  </si>
  <si>
    <t>698-2995</t>
  </si>
  <si>
    <t>02016D104KAT2A</t>
  </si>
  <si>
    <t>SMD0201</t>
  </si>
  <si>
    <t>https://jp.rs-online.com/web/p/mlccs-multilayer-ceramic-capacitors/6982995</t>
  </si>
  <si>
    <t>積層セラミックコンデンサ(MLCC) 10μF 6.3V dc 0603 (1608M)</t>
  </si>
  <si>
    <t xml:space="preserve">
C1608X7S0J106M080AC</t>
  </si>
  <si>
    <t>https://jp.rs-online.com/web/p/mlccs-multilayer-ceramic-capacitors/9159221</t>
  </si>
  <si>
    <t>A02N-5 DC/DC コンバータ</t>
  </si>
  <si>
    <t>DC-DCコンバータ 絶縁型 高電圧出力型 </t>
  </si>
  <si>
    <t>123-8289</t>
  </si>
  <si>
    <t>https://jp.rs-online.com/web/p/isolated-dc-to-high-voltage-dc-converters/1238289/?cm_mmc=JP-PLA-DS3A-_-google-_-PLA_JP_JP_%E9%9B%BB%E6%BA%90%E3%83%BB%E3%83%88%E3%83%A9%E3%83%B3%E3%82%B9_Whoop-_-(JP:Whoop!)+DC-DC%E3%82%B3%E3%83%B3%E3%83%90%E3%83%BC%E3%82%BF+:+%E7%B5%B6%E7%B8%81%E5%9E%8B+(%E9%AB%98%E9%9B%BB%E5%9C%A7)-_-1238289&amp;matchtype=&amp;aud-821594433763:pla-300610967209&amp;gclid=CjwKCAiAqIKNBhAIEiwAu_ZLDst39mzIbuKz3jIxHZg0QrXir5ElabYy4-IxlNxSD2bUOx1NKUYPiRoCQAsQAvD_BwE&amp;gclsrc=aw.ds</t>
  </si>
  <si>
    <t>ADUM4190</t>
  </si>
  <si>
    <t>アイソレーションアンプ</t>
  </si>
  <si>
    <t>786-3167</t>
  </si>
  <si>
    <t xml:space="preserve">
ADUM4190BRIZ
</t>
  </si>
  <si>
    <t>https://jp.rs-online.com/web/p/isolation-amplifiers/7863167</t>
  </si>
  <si>
    <t>ソリッドステートリレー 最大負荷電流:1.5 A 最大負荷電圧:400 V</t>
  </si>
  <si>
    <t xml:space="preserve">
205-6922</t>
  </si>
  <si>
    <t>https://jp.rs-online.com/web/p/solid-state-relays/2056922/</t>
  </si>
  <si>
    <t>B14B-PASK-1(PINO)</t>
  </si>
  <si>
    <t>JST 基板接続用ピンヘッダ 14極 2.0mm 1列</t>
  </si>
  <si>
    <t>LTC4361</t>
  </si>
  <si>
    <t>Digi key</t>
  </si>
  <si>
    <t xml:space="preserve">	LTC4361IDC-1#TRMPBFTR-ND</t>
  </si>
  <si>
    <t xml:space="preserve">	LTC4361IDC-1#TRMPBF</t>
  </si>
  <si>
    <t>https://www.digikey.jp/ja/products/detail/analog-devices-inc/LTC4361IDC-1-TRMPBF/2351619</t>
  </si>
  <si>
    <t>DTC144EKAT</t>
  </si>
  <si>
    <t>トランジスタ - バイポーラ（BJT） - シングル、プリバイアス NPN - プリバイアス 50 V 100 mA 250 MHz 200 mW 面実装 SMT3</t>
  </si>
  <si>
    <t>DTC144EKAT146TR-ND</t>
  </si>
  <si>
    <t>https://www.digikey.jp/ja/products/detail/rohm-semiconductor/DTC144EKAT146/650533</t>
  </si>
  <si>
    <t>SQ1922AEEH</t>
  </si>
  <si>
    <t>MOSFET N-CH DUAL 20V .85A SOT-36</t>
  </si>
  <si>
    <t>SQ1922AEEH-T1_GE3TR-ND</t>
  </si>
  <si>
    <t>SQ1922AEEH-T1_GE3</t>
  </si>
  <si>
    <t>https://www.digikey.jp/ja/products/detail/vishay-siliconix/SQ1922AEEH-T1-GE3/10273755</t>
  </si>
  <si>
    <t>5M Ω</t>
  </si>
  <si>
    <t>MCA 1206-25 0.1% AT P1 5M0</t>
  </si>
  <si>
    <t>Vishay Beyschlag/Draloric/BC Components</t>
  </si>
  <si>
    <t>749-MCA1206MD5004BP100TR-ND</t>
  </si>
  <si>
    <t>MCA1206MD5004BP100</t>
  </si>
  <si>
    <t>https://www.digikey.jp/ja/products/detail/vishay-beyschlag-draloric-bc-components/MCA1206MD5004BP100/11196604</t>
  </si>
  <si>
    <t>積層セラミックコンデンサ(MLCC) 100μF 2.5V dc 0805 (2012M) PMK212BBJ107MG-T</t>
  </si>
  <si>
    <t>太陽誘電 </t>
  </si>
  <si>
    <t>103-4153</t>
  </si>
  <si>
    <t>https://jp.rs-online.com/web/p/mlccs-multilayer-ceramic-capacitors/1034153</t>
  </si>
  <si>
    <t>USB 2.0 type A-type B adapter cable</t>
  </si>
  <si>
    <t>Type A male-type B male USB 2.0 adapter; 1 meter</t>
  </si>
  <si>
    <t>182-8831</t>
  </si>
  <si>
    <t>¥491</t>
  </si>
  <si>
    <t>¥1,473</t>
  </si>
  <si>
    <t>https://jp.rs-online.com/web/p/products/1828831/</t>
  </si>
  <si>
    <t>Cバンドアンプ</t>
  </si>
  <si>
    <t>6GHz G=15dB</t>
  </si>
  <si>
    <t>ミニサーキットヨコハマ</t>
  </si>
  <si>
    <t>ZX60-V63+</t>
  </si>
  <si>
    <t>発送手数料 300円</t>
  </si>
  <si>
    <t>マルチプライヤ</t>
  </si>
  <si>
    <t>2x fo = 3400MHz-7200MHz</t>
  </si>
  <si>
    <t>ZX90-2-36-S+</t>
  </si>
  <si>
    <t>Standard, Length: 250mm; Width: 50mm; thickness: 10mm</t>
  </si>
  <si>
    <t>PKA4FN-250-50-10</t>
  </si>
  <si>
    <t>PEEK PLATE | MISUMI | MISUMI-VONA (misumi-ec.com)</t>
  </si>
  <si>
    <t>$224.60</t>
  </si>
  <si>
    <t>アマチュア局検査手数料</t>
  </si>
  <si>
    <t>１局分　２装置</t>
  </si>
  <si>
    <t>license</t>
  </si>
  <si>
    <t>送付</t>
  </si>
  <si>
    <t>創通からのメールより　12/13 変更</t>
  </si>
  <si>
    <t>120円</t>
  </si>
  <si>
    <t>Hari/Rodrigo</t>
  </si>
  <si>
    <t>MONOCRYS SOLAR CELL 26.3MW 5.53V</t>
  </si>
  <si>
    <t>Anysolar ltd</t>
  </si>
  <si>
    <t>KXOB25-02X8FTR-ND - TAPE &amp; REEL (TR)</t>
  </si>
  <si>
    <t>KXOB25-02X8F-TR</t>
  </si>
  <si>
    <t>cell</t>
  </si>
  <si>
    <t>solar panels</t>
  </si>
  <si>
    <t>SVBL-3rd floor_clean room</t>
  </si>
  <si>
    <t>KXOB25-02X8F-TR ANYSOLAR Ltd | センサ、トランスデューサ | DigiKey</t>
  </si>
  <si>
    <t>12 Female pins Connector</t>
  </si>
  <si>
    <t>Nylon product Pin header / FSM-20 (T 〇) Socket (square pin) 2.00mm pitch SMT  1row  Connection side 0.5mm pin</t>
  </si>
  <si>
    <t>FSM-21045-12 Pin Header (Socket) PCB Mounting Layout FSM-21045-00 (1 Row) Hirosugi Instrument Dimensions H 4.5mm FSM-21045-12, 1 Bag (10 Pieces) - [Mail Order Monotaro]</t>
  </si>
  <si>
    <t xml:space="preserve">24 Female  pin connector </t>
  </si>
  <si>
    <t>Nylon pin header / FSS-20 socket (square pin) 2.00mm pitch straight ( 2 rows)</t>
  </si>
  <si>
    <t>FSS-22043-12</t>
  </si>
  <si>
    <t>FSS-22043-06TB</t>
  </si>
  <si>
    <t>FSS-22043-12 Pin Header (Socket) FSS-22043-00 (2 Rows) Hirosugi Instrument Dimensions H 4.3mm FSS-22043-12, 1 Bag (10 pieces) - [Mail Order Monotaro]</t>
  </si>
  <si>
    <t>Multilayer Ceramic Capacitors MLCC - SMD/SMT 10V 1uF X7R 0805 10%</t>
  </si>
  <si>
    <t>https://www.mouser.jp/ProductDetail/KEMET/C0805C105K8RACTU?qs=Nnkldhwoc37vJEa%2FkGSWlQ==</t>
  </si>
  <si>
    <t xml:space="preserve">13 pin connector pin </t>
  </si>
  <si>
    <t>Pin header (socket) PCB mounting hole diameter Φ1.02 FSS-41035-00 (1 row)  Dimensions H 3.5mm FSS-41035-13, 1 bag (10 pieces)</t>
  </si>
  <si>
    <t>FSS-41035</t>
  </si>
  <si>
    <t>https://www.monotaro.com/p/1134/7717/?t.q=FSS-41035-13</t>
  </si>
  <si>
    <t xml:space="preserve">Jumper </t>
  </si>
  <si>
    <t>HARWIN Jumper, Female, Straight, Red, Top Aperture, 2 Pole, 1 Row, 2mm Pitch</t>
  </si>
  <si>
    <t>M22-1920005</t>
  </si>
  <si>
    <t>180-9369</t>
  </si>
  <si>
    <t>M22-1920005 | HARWIN Jumper, Female, Straight, Red, Top Opening, 2 Pole, 1 Row, 2mm Pitch | RS Components (rs-online.com)</t>
  </si>
  <si>
    <t>Headers &amp; Wire housing</t>
  </si>
  <si>
    <t>Headers &amp; Wire Housings 1mm PicoClasp SMT SR 2CKT RA HDR GLD PTL</t>
  </si>
  <si>
    <t>Cut tape</t>
  </si>
  <si>
    <t>https://www.mouser.jp/ProductDetail/Molex/202396-0207?qs=%2Fha2pyFaduilCYVPsmo%2FVjtjoh9mZG9jQCZODRMmoHOf4yWkhtUPZw%3D%3D</t>
  </si>
  <si>
    <t>12 Pin male connector</t>
  </si>
  <si>
    <t xml:space="preserve">PSR-41053, H= 1.5 ,h= 2,4 </t>
  </si>
  <si>
    <t>https://www.monotaro.com/p/1134/2634/?t.q=PSR-410253-12</t>
  </si>
  <si>
    <t>WITMOTION RM3100 High Precision Magnetometer</t>
  </si>
  <si>
    <t>https://www.amazon.co.jp/WITMOTION-RM3100-%E5%9C%B0%E7%A3%81%E6%B0%97%E3%80%81%E3%83%9F%E3%83%AA%E3%82%BF%E3%83%AA%E3%83%BC-%E3%82%BB%E3%83%B3%E3%82%B5%E3%80%81%E9%AB%98%E9%80%9F-%E3%83%A2%E3%82%B8%E3%83%A5%E3%83%BC%E3%83%AB%E3%80%81%E7%A3%81%E5%8A%9B%E8%A8%88/dp/B07RZZ9SBR/ref=asc_df_B07RZZ9SBR/?tag=jpgo-</t>
  </si>
  <si>
    <t xml:space="preserve">GPS/UART </t>
  </si>
  <si>
    <t>RS-422/RS-485 Interface IC 3.3V Powered, 10Mbps and Slew-Rate Limited, True RS-485/RS-422 Transceivers</t>
  </si>
  <si>
    <t>700-MAX3490ESA</t>
  </si>
  <si>
    <t>https://www.mouser.jp/ProductDetail/Maxim-Integrated/MAX3490ESA+?qs=LHmEVA8xxfZN%252BAy%252BsbWTkg%3D%3D&amp;gclid=Cj0KCQiA15yNBhDTARIsAGnwe0VgkaIV3dcl4OjkGuzKG3efOB156j3PG6UrIu0daKKe-OL5PELyIHMaApLfEALw_wcB</t>
  </si>
  <si>
    <t>7-pple GPS connector</t>
  </si>
  <si>
    <t>connector header surface mount 7 pole 0.049" (1.25mm)</t>
  </si>
  <si>
    <t>455-1583-1-ND - TAPE &amp; REEL (TR)</t>
  </si>
  <si>
    <t>BM07B-GHS-TBT(LF)(SN)(N) JST Sales America Inc. | Connectors, interconnection | DigiKey</t>
  </si>
  <si>
    <t>24 male connector</t>
  </si>
  <si>
    <t>Nylon Pin Header / PSR-20 Pin (Square Pin), 2.00 mm Pitch, Right Angle (1 Row / 2 Rows)</t>
  </si>
  <si>
    <t xml:space="preserve">Hirosugi </t>
  </si>
  <si>
    <t>PSR-220154-12</t>
  </si>
  <si>
    <t>https://www.monotaro.com/p/1131/4458/?t.q=PSR-220154-12</t>
  </si>
  <si>
    <t>RS PRO short link, female, straight, black, top opening, 2 pole, 1 row, 2.54mm pitch</t>
  </si>
  <si>
    <t>251-8682</t>
  </si>
  <si>
    <t>RS PRO short link, female, straight, black, top opening, 2 pole, 1 row, 2.54mm pitch | RS Components (rs-online.com)</t>
  </si>
  <si>
    <t>Hari/Dodo/Shinozaki</t>
  </si>
  <si>
    <t>RF Connectors / Coaxial Connectors SMA Female, Right Angle, Surface Mount, Gold, Tape and Reel</t>
  </si>
  <si>
    <t>712-CONSMA002-SMD-GT</t>
  </si>
  <si>
    <t>Burner circuit/Antenna</t>
  </si>
  <si>
    <t>https://www.mouser.jp/ProductDetail/Linx-Technologies/CONSMA002-SMD-G-T?qs=%2Fha2pyFaduhQhcxMgrQoIsvLFrsRjW9pIc1sJa4Ph7iJHa7ohZF7HQ%3D%3D</t>
  </si>
  <si>
    <t xml:space="preserve">Balun Mini circuit </t>
  </si>
  <si>
    <t>RF Balun 400MHz ~ 2.3GHz 1:1.5 0805 (2012 Metric), 6 PC Pad</t>
  </si>
  <si>
    <t>3157-NCS1.5-232+TR-ND - Tape &amp; Reel (TR)</t>
  </si>
  <si>
    <t xml:space="preserve">
NCS1.5-232+</t>
  </si>
  <si>
    <t>Burner circuit\Anteena</t>
  </si>
  <si>
    <t>Dep sw cable</t>
  </si>
  <si>
    <t>Panasonic, Solid State Relay Maximum Load Current: 4 A Maximum Load Voltage: 60 V Board Mount, AQZ102</t>
  </si>
  <si>
    <t>Burner circuit/antenna</t>
  </si>
  <si>
    <t>Header and Housing</t>
  </si>
  <si>
    <t>Headers &amp; Wire Housings MGrid VHdr .38AuLF 2 id VHdr .38AuLF 2Ckt</t>
  </si>
  <si>
    <t>538-87758-0216</t>
  </si>
  <si>
    <t>87758-0216</t>
  </si>
  <si>
    <t>Tray</t>
  </si>
  <si>
    <t>https://www.mouser.jp/ProductDetail/Molex/87758-0216?qs=%2Fha2pyFadug6p7sOVvUPkHBXoJLCYt8bfLNRmiRZ6Xk%3D</t>
  </si>
  <si>
    <t>Multilayer Ceramic Capacitors MLCC - SMD/SMT 100V 18pF C0G 0805 5%</t>
  </si>
  <si>
    <t>603-CC805JRNPO0BN180</t>
  </si>
  <si>
    <t>https://www.mouser.jp/ProductDetail/YAGEO/CC0805JRNPO0BN180?qs=%2Fha2pyFaduiCb%252BBnK5wFkLbXLKIXbwMsaOy8zE09C8dBKmNN1ouwsA%3D%3D</t>
  </si>
  <si>
    <t xml:space="preserve">Ultra small metal film resistor </t>
  </si>
  <si>
    <t>Ultra small metal film resistor</t>
  </si>
  <si>
    <t>FAITHFUL LINK</t>
  </si>
  <si>
    <t>[MFU100F10RB]</t>
  </si>
  <si>
    <t>1 bag</t>
  </si>
  <si>
    <t>https://akizukidenshi.com/catalog/g/gR-08805/?fbclid=IwAR0gVk-zYdgKvTtD_jQV_PoJH6nLSAQf-02CqponKwNqaTkXcMV6djRW2G8</t>
  </si>
  <si>
    <t>Nichrome wire (1 type of nickel chrome) 0.5mm x 5m (± 2%) [NCHW1-0.5MM-L5]</t>
  </si>
  <si>
    <t>Martsu</t>
  </si>
  <si>
    <t>1 pack 5 m</t>
  </si>
  <si>
    <t xml:space="preserve">Antennas RF ANT 915MHZ </t>
  </si>
  <si>
    <t>Antennas RF ANT 915MHZ CER PATCH MMCX SMD</t>
  </si>
  <si>
    <t>815-ARRKP7059-S915B</t>
  </si>
  <si>
    <t xml:space="preserve">Bulk </t>
  </si>
  <si>
    <t>¥3,935</t>
  </si>
  <si>
    <t>LoRa mission</t>
  </si>
  <si>
    <t>https://www.mouser.jp/ProductDetail/ABRACON/ARRKP7059-S915B?qs=%2Fha2pyFadugGdviddinQzP%2FcXDF8mvsgDrLwy3YStgczr3jjFU5Ktw%3D%3D</t>
  </si>
  <si>
    <t>USB Cables / IEEE 1394 Cables</t>
  </si>
  <si>
    <t>USB Cables / IEEE 1394 Cables USB to RS232 Embeded Conv 3V3WireEnd 1.8</t>
  </si>
  <si>
    <t>895-USBRS2321.8BT3.3</t>
  </si>
  <si>
    <t>¥3,557</t>
  </si>
  <si>
    <t>https://www.mouser.jp/ProductDetail/FTDI/USB-RS232-WE-1800-BT_33?qs=%2Fha2pyFaduh%2F6a%252B%252Bjlll1rf8hqJpmSw%2FEa%252BzFOoTKQA5zGs0Xv2%2FRnhQIHRVIjYZ</t>
  </si>
  <si>
    <t>BIRDS5_1U_RAB_FM</t>
  </si>
  <si>
    <t>z</t>
  </si>
  <si>
    <t>1U_RAB_FM</t>
  </si>
  <si>
    <t>BIRDS_5</t>
  </si>
  <si>
    <t>Cleen room</t>
  </si>
  <si>
    <t>BPB_FM</t>
  </si>
  <si>
    <t>BIRDS-5 BPB FM</t>
  </si>
  <si>
    <t>UHF Commercial Reference Dipole Antennas (with RTL-SDR)</t>
  </si>
  <si>
    <t>RTL-SDR Blog V3 R820T2 RTL2832U 1PPM TCXO HF Bias Tee SMA Software Defined Wireless Dipole Antenna Kit</t>
  </si>
  <si>
    <t>‎8541717880</t>
  </si>
  <si>
    <t>Kit</t>
  </si>
  <si>
    <t>Communication/Store and Forward</t>
  </si>
  <si>
    <t>Amazon.co.jp: RTL-SDR Blog V3 R820T2 RTL2832U 1PPM TCXO HF Bias Tee with SMA Software Defined Radio Dipole Antenna Kit : Home Appliances &amp; Cameras</t>
  </si>
  <si>
    <t>ＳＭＤ（１．６ｍｍ厚）Ｃタイプ（７２×４７ｍｍ）</t>
  </si>
  <si>
    <t>akizuki</t>
  </si>
  <si>
    <t>SV4F</t>
  </si>
  <si>
    <t>https://akizukidenshi.com/catalog/g/gP-03677/</t>
  </si>
  <si>
    <t>ＳＭＡ－Ｊ　基板用エッジマウント</t>
  </si>
  <si>
    <t>S-063-49-TGG</t>
  </si>
  <si>
    <t>HappyGo モバイルバッテリー 1台3役 大容量 6*18650リチウム電池付き 充電器</t>
  </si>
  <si>
    <t>2USBポート Type-C入出力ポート バッテリー取り外し可能 安全保護 PSE認証済 タブレット/ノートパソコン/iPad/iPhone/Android多機種対応</t>
  </si>
  <si>
    <t>HZPP</t>
  </si>
  <si>
    <t>GS-W12A01</t>
  </si>
  <si>
    <t>https://www.amazon.co.jp/dp/B098MJ358V/ref=sspa_dk_detail_0?psc=1&amp;pd_rd_i=B098MJ358V&amp;pd_rd_w=37Cmz&amp;pf_rd_p=86d545e6-51ff-428d-9903-b93b364247df&amp;pd_rd_wg=d4jAn&amp;pf_rd_r=W2V4NJAV8A93H0ASBBXY&amp;pd_rd_r=d6dc5c42-d8bd-4fad-bab4-52e1eb9d40e9&amp;spLa=ZW5jcnlwdGVkUXVhbGlmaWVyPUFWVFE1UEpLUzZJS1ImZW5jcnlwdGVkSWQ9QTA1NDgzNzNKTDI1SlUxUjdXMCZlbmNyeXB0ZWRBZElkPUEyOUpLNjBGUFcySFhQJndpZGdldE5hbWU9c3BfZGV0YWlsJmFjdGlvbj1jbGlja1JlZGlyZWN0JmRvTm90TG9nQ2xpY2s9dHJ1ZQ==</t>
  </si>
  <si>
    <t>ケーブルアセンブリ同軸ケーブル(RF)</t>
  </si>
  <si>
    <t>同軸ケーブル、長さ304.80mm、</t>
  </si>
  <si>
    <t>com</t>
  </si>
  <si>
    <t>https://www.digikey.jp/ja/products/detail/amphenol-sv-microwave/7032-7241/8278707?s=N4IgTCBcDaIOwAYDMYC0cwBYCMIC6AvkA</t>
  </si>
  <si>
    <t>Li ion Battery construction  for Curtis  satellite</t>
  </si>
  <si>
    <t>for 1 battery pack, 2 sereis, 3set, spot welding and harnesh soldering</t>
  </si>
  <si>
    <t>Blue Trek</t>
  </si>
  <si>
    <t>Ao san,Blue Trek</t>
  </si>
  <si>
    <t>211208-1</t>
  </si>
  <si>
    <t>2sereis</t>
  </si>
  <si>
    <t>6 battereis,1 pack (2 sereis,3 set)</t>
  </si>
  <si>
    <t>Clean room/3rd floor</t>
  </si>
  <si>
    <t>ao_energy1@zeus.eonet.ne.jp</t>
  </si>
  <si>
    <t>Kamirtani</t>
  </si>
  <si>
    <t>2U_RAB_EM</t>
  </si>
  <si>
    <t>Coaxial RF cable</t>
  </si>
  <si>
    <t>Coaxial Cable SMA-MMCX(170mm)</t>
  </si>
  <si>
    <t>Coax-cable</t>
  </si>
  <si>
    <t>4-Positions Connector Housing</t>
  </si>
  <si>
    <t xml:space="preserve">
PHR-4 - Connector Housing, PH Series, Receptacle, 4 Positions, 2 mm, BPH and SPH Series Crimp Contacts</t>
  </si>
  <si>
    <t>JST (JAPAN SOLDERLESS TERMINALS)</t>
  </si>
  <si>
    <t>Newark</t>
  </si>
  <si>
    <t>09J7809</t>
  </si>
  <si>
    <t>PHR-4</t>
  </si>
  <si>
    <t>https://www.questcomp.com/part/phr-4/jst/310487743/0</t>
  </si>
  <si>
    <t>Spare will be shared with other satellite projects. Component running out of stock.</t>
  </si>
  <si>
    <t>Shinozaki</t>
  </si>
  <si>
    <t>総合研究一号棟4F学生部屋</t>
  </si>
  <si>
    <t>BIRDS-5 FM -Z panel</t>
  </si>
  <si>
    <t>-Z_FM</t>
  </si>
  <si>
    <t xml:space="preserve">	21121300185</t>
  </si>
  <si>
    <t>M3 Standof screw</t>
  </si>
  <si>
    <t>M3 Standoff</t>
  </si>
  <si>
    <t>BSU-305-5</t>
  </si>
  <si>
    <t>https://jp.misumi-ec.com/vona2/detail/221006202432/?ProductCode=BSU-305-5</t>
  </si>
  <si>
    <t>M2 Low head screw</t>
  </si>
  <si>
    <t>Ultra low head; M2; Length: 6</t>
  </si>
  <si>
    <t>CBS TSR2-6</t>
  </si>
  <si>
    <t>M3x12 Low head screw</t>
  </si>
  <si>
    <t>Low head; M3; Length: 12</t>
  </si>
  <si>
    <t>CBSST3-12</t>
  </si>
  <si>
    <t>https://jp.misumi-ec.com/vona2/detail/110300244510/?ProductCode=CBSST3-12</t>
  </si>
  <si>
    <t>M3X10 Low head screw</t>
  </si>
  <si>
    <t>Low head; M3; Length: 10mm</t>
  </si>
  <si>
    <t>CBSSTH3-10</t>
  </si>
  <si>
    <t>https://jp.misumi-ec.com/vona2/detail/110300244510/?ProductCode=CBSSTH3-10</t>
  </si>
  <si>
    <t>M3X5 Low head screw</t>
  </si>
  <si>
    <t>Low head; M3; Length: 5mm</t>
  </si>
  <si>
    <t>CBSSTH3-5</t>
  </si>
  <si>
    <t>SVBL-3nd floor</t>
  </si>
  <si>
    <t>M3x14 screw</t>
  </si>
  <si>
    <t>M3; Length: 14mm</t>
  </si>
  <si>
    <t>CBSTS3-14</t>
  </si>
  <si>
    <t>SVBL-4nd floor</t>
  </si>
  <si>
    <t>https://jp.misumi-ec.com/vona2/detail/110302603510/?ProductCode=CBSTS3-14</t>
  </si>
  <si>
    <t>M3x10 screw</t>
  </si>
  <si>
    <t>M3; Length: 10mm</t>
  </si>
  <si>
    <t>SVBL-5nd floor</t>
  </si>
  <si>
    <t>M2x8 screw</t>
  </si>
  <si>
    <t>M2; Length: 8mm</t>
  </si>
  <si>
    <t>SUS-M2-8</t>
  </si>
  <si>
    <t>SVBL-6nd floor</t>
  </si>
  <si>
    <t>https://www.monotaro.com/monotaroMain.py</t>
  </si>
  <si>
    <t>M3x6 screw</t>
  </si>
  <si>
    <t>M3; Length: 6</t>
  </si>
  <si>
    <t>CSHBTT-SUS-M3-6</t>
  </si>
  <si>
    <t>SVBL-7nd floor</t>
  </si>
  <si>
    <t>https://jp.misumi-ec.com/vona2/detail/221303783852/?ProductCode=CSHBTT-SUS-M3-6</t>
  </si>
  <si>
    <t>M34 screw</t>
  </si>
  <si>
    <t>M3; Length: 4</t>
  </si>
  <si>
    <t>CSHELH-SUS-M3-4</t>
  </si>
  <si>
    <t>SVBL-8nd floor</t>
  </si>
  <si>
    <t>https://jp.misumi-ec.com/vona2/detail/221303783818/?ProductCode=CSHELH-SUS-M3-4</t>
  </si>
  <si>
    <t>M1.4x6 screw</t>
  </si>
  <si>
    <t>M1.4; Length: 6mm</t>
  </si>
  <si>
    <t>CSH-SUS-M1.4-6</t>
  </si>
  <si>
    <t>SVBL-9nd floor</t>
  </si>
  <si>
    <t>https://jp.misumi-ec.com/vona2/detail/221000551286/?ProductCode=CSH-SUS-M1.4-6</t>
  </si>
  <si>
    <t>M2x5 Screw</t>
  </si>
  <si>
    <t>M2; Length: 5</t>
  </si>
  <si>
    <t>CSH-SUS-M2-5</t>
  </si>
  <si>
    <t>SVBL-10nd floor</t>
  </si>
  <si>
    <t>https://jp.misumi-ec.com/vona2/detail/221000551286/?ProductCode=CSH-SUS-M2-5</t>
  </si>
  <si>
    <t>M27 screw</t>
  </si>
  <si>
    <t>M2; Length: 7</t>
  </si>
  <si>
    <t>CSH-SUS-M2-8</t>
  </si>
  <si>
    <t>SVBL-11nd floor</t>
  </si>
  <si>
    <t>https://jp.misumi-ec.com/vona2/detail/221000551286/?ProductCode=CSH-SUS-M2-8</t>
  </si>
  <si>
    <t>M3x15 screw</t>
  </si>
  <si>
    <t>M3; Length: 15mm</t>
  </si>
  <si>
    <t>CSH-SUS-M3-15</t>
  </si>
  <si>
    <t>SVBL-12nd floor</t>
  </si>
  <si>
    <t>https://jp.misumi-ec.com/vona2/detail/221000551286/?ProductCode=CSH-SUS-M3-15</t>
  </si>
  <si>
    <t>M3x7 Screw</t>
  </si>
  <si>
    <t>M3; Length: 7mm</t>
  </si>
  <si>
    <t>CSH-SUS-M3-7</t>
  </si>
  <si>
    <t>SVBL-13nd floor</t>
  </si>
  <si>
    <t>https://jp.misumi-ec.com/vona2/detail/221000551286/?ProductCode=CSH-SUS-M3-7</t>
  </si>
  <si>
    <t>M3x8 Screw</t>
  </si>
  <si>
    <t>M3; Length: 8mm</t>
  </si>
  <si>
    <t>CSH-SUS-M3-8</t>
  </si>
  <si>
    <t>SVBL-14nd floor</t>
  </si>
  <si>
    <t>https://jp.misumi-ec.com/vona2/detail/221000551286/?ProductCode=CSH-SUS-M3-8</t>
  </si>
  <si>
    <t>M2-2 Set screw</t>
  </si>
  <si>
    <t>SUS; M2-2 Set screw</t>
  </si>
  <si>
    <t>SSHHA-SUS-M2-2</t>
  </si>
  <si>
    <t>SVBL-15nd floor</t>
  </si>
  <si>
    <t>https://jp.misumi-ec.com/vona2/detail/221005677369/?ProductCode=SSHHA-SUS-M2-2</t>
  </si>
  <si>
    <t>M2-8 Set screw</t>
  </si>
  <si>
    <t>SUS M2-8 Set screw</t>
  </si>
  <si>
    <t>SSHHI-SUS-M2-8</t>
  </si>
  <si>
    <t>SVBL-16nd floor</t>
  </si>
  <si>
    <t>https://jp.misumi-ec.com/vona2/detail/221005677370/?ProductCode=SSHHI-SUS-M2-8</t>
  </si>
  <si>
    <t>SVBL-17nd floor</t>
  </si>
  <si>
    <t>SUS M2 Nut</t>
  </si>
  <si>
    <t>SVBL-18nd floor</t>
  </si>
  <si>
    <t>https://jp.misumi-ec.com/vona2/detail/110300250540/?ProductCode=SLBNR2</t>
  </si>
  <si>
    <t>Spacer; L8</t>
  </si>
  <si>
    <t>POM; L8</t>
  </si>
  <si>
    <t>SVBL-19nd floor</t>
  </si>
  <si>
    <t>https://jp.misumi-ec.com/vona2/detail/221006204478/?searchFlow=combo2products&amp;KWSearch=C-305-8&amp;HissuCode=C-305&amp;PNSearch=C-305</t>
  </si>
  <si>
    <t>Spacer L8.5</t>
  </si>
  <si>
    <t>POM; L8.5</t>
  </si>
  <si>
    <t>C-308.5</t>
  </si>
  <si>
    <t>SVBL-20nd floor</t>
  </si>
  <si>
    <t>https://jp.misumi-ec.com/vona2/detail/221006204478/?searchFlow=combo2products&amp;KWSearch=C-305-8&amp;HissuCode=C-305&amp;PNSearch=C-306</t>
  </si>
  <si>
    <t>Spacer L1.5</t>
  </si>
  <si>
    <t>Pom; L1.5</t>
  </si>
  <si>
    <t>C-301.5</t>
  </si>
  <si>
    <t>SVBL-21nd floor</t>
  </si>
  <si>
    <t>https://jp.misumi-ec.com/vona2/detail/221006204478/?searchFlow=combo2products&amp;KWSearch=C-305-8&amp;HissuCode=C-305&amp;PNSearch=C-307</t>
  </si>
  <si>
    <t>Spacer L3</t>
  </si>
  <si>
    <t>POM; L3</t>
  </si>
  <si>
    <t>SVBL-22nd floor</t>
  </si>
  <si>
    <t>https://jp.misumi-ec.com/vona2/detail/221006204478/?searchFlow=combo2products&amp;KWSearch=C-305-8&amp;HissuCode=C-305&amp;PNSearch=C-308</t>
  </si>
  <si>
    <t>Spacer L5</t>
  </si>
  <si>
    <t>POM; L5</t>
  </si>
  <si>
    <t>SVBL-23nd floor</t>
  </si>
  <si>
    <t>https://jp.misumi-ec.com/vona2/detail/221006204478/?searchFlow=combo2products&amp;KWSearch=C-305-8&amp;HissuCode=C-305&amp;PNSearch=C-309</t>
  </si>
  <si>
    <t>SVBL-24nd floor</t>
  </si>
  <si>
    <t>https://jp.misumi-ec.com/vona2/detail/221006204478/?searchFlow=combo2products&amp;KWSearch=C-305-8&amp;HissuCode=C-305&amp;PNSearch=C-310</t>
  </si>
  <si>
    <t>Spacer L5.5</t>
  </si>
  <si>
    <t>POM; L5.5</t>
  </si>
  <si>
    <t>C-305.5</t>
  </si>
  <si>
    <t>SVBL-25nd floor</t>
  </si>
  <si>
    <t>https://jp.misumi-ec.com/vona2/detail/221006204478/?searchFlow=combo2products&amp;KWSearch=C-305-8&amp;HissuCode=C-305&amp;PNSearch=C-311</t>
  </si>
  <si>
    <t>Spacer L2</t>
  </si>
  <si>
    <t>POM; L2</t>
  </si>
  <si>
    <t>SVBL-26nd floor</t>
  </si>
  <si>
    <t>https://jp.misumi-ec.com/vona2/detail/221006204478/?searchFlow=combo2products&amp;KWSearch=C-305-8&amp;HissuCode=C-305&amp;PNSearch=C-312</t>
  </si>
  <si>
    <t>POM block</t>
  </si>
  <si>
    <t xml:space="preserve">POM; 50x50x50 </t>
  </si>
  <si>
    <t>Resin Bloack</t>
  </si>
  <si>
    <t>SVBL-27nd floor</t>
  </si>
  <si>
    <t>https://jp.misumi-ec.com/vona2/detail/110300531760/?ProductCode=PAAB50</t>
  </si>
  <si>
    <t>地上局検査手数料</t>
  </si>
  <si>
    <t>１局　３装置</t>
  </si>
  <si>
    <t>Charger-Discharger Boards</t>
  </si>
  <si>
    <t>https://jp.rs-online.com/web/p/development-tool-accessories/6877774</t>
  </si>
  <si>
    <t>https://www.digikey.jp/en/products/detail/triad-magnetics/WSU075-3200/3094917?s=N4IgTCBcDa4MwHYC0BGOBOFSByAREAugL5A</t>
  </si>
  <si>
    <t>落成届等　送料</t>
  </si>
  <si>
    <t>速達書留</t>
  </si>
  <si>
    <t>KITSUNE BIRDS-4</t>
  </si>
  <si>
    <t>202112140209M</t>
  </si>
  <si>
    <t>FM Panel container</t>
  </si>
  <si>
    <t>ワイドケース</t>
  </si>
  <si>
    <t>FM screw box</t>
  </si>
  <si>
    <t>セクションケース</t>
  </si>
  <si>
    <t>Plastic bags for components</t>
  </si>
  <si>
    <t>ソフト名札</t>
  </si>
  <si>
    <t>Name tag</t>
  </si>
  <si>
    <t>厚めのチャック袋</t>
  </si>
  <si>
    <t>Shopping plastic bag</t>
  </si>
  <si>
    <t>レジ袋</t>
  </si>
  <si>
    <t>RobotShop</t>
  </si>
  <si>
    <t>RB-Adu-114</t>
  </si>
  <si>
    <t>https://www.robotshop.com/en/arducam-2mp-ov2311-global-shutter-noir-mono-camera-raspberry-pi.html</t>
  </si>
  <si>
    <t>再免許申請料</t>
  </si>
  <si>
    <t>アマチュア局　一局</t>
  </si>
  <si>
    <t>BIRDS4/KITSUNE</t>
  </si>
  <si>
    <t>https://www.jarl.org/Japanese/2_Joho/2-2_Regulation/fees080401.htm</t>
  </si>
  <si>
    <t>120円　A4用</t>
  </si>
  <si>
    <t>GPS receiver Orion B16</t>
  </si>
  <si>
    <t>Orion B16 L1 GNSS Receiver Module for LEO Application</t>
  </si>
  <si>
    <t>NavSpark</t>
  </si>
  <si>
    <t>NAVIN</t>
  </si>
  <si>
    <t>M2036U01</t>
  </si>
  <si>
    <t>https://navspark.mybigcommerce.com/12mm-x-16mm-gnss-receiver-module-for-leo-applications/</t>
  </si>
  <si>
    <t>LoRa Payload</t>
  </si>
  <si>
    <t>To be used by Fatima</t>
  </si>
  <si>
    <t>DDR3L 1600MHz SODIMM PC3-12800</t>
  </si>
  <si>
    <t>CFD PC3-12800 (DDR3-1600) Panram Laptop Memory</t>
  </si>
  <si>
    <t>シー・エフ・デー販売</t>
  </si>
  <si>
    <t>B00JPXFSDW</t>
  </si>
  <si>
    <t>‎D3N1600PS-L8G</t>
  </si>
  <si>
    <t>https://www.amazon.co.jp/-/en/PC3-12800-DDR3-1600-Panram-Laptop-Memory/dp/B00JPXFSDW/ref=sr_1_11?crid=33YUTI836NKU4&amp;keywords=ddr3l+8gb+crucial&amp;qid=1640240316&amp;sprefix=ddr3l+8gb+crucia%2Caps%2C175&amp;sr=8-11</t>
  </si>
  <si>
    <t>バッテリ溶接</t>
  </si>
  <si>
    <t>運営費(後日変更）</t>
  </si>
  <si>
    <t>3直、10パック</t>
  </si>
  <si>
    <t>ブルートレック株式会社</t>
  </si>
  <si>
    <t>211215-3</t>
  </si>
  <si>
    <t>Reference antenna 880MHz to 960MHz MA5612A2</t>
  </si>
  <si>
    <t>Reference antenna, 2dBi gain 880MHz- 960MHz</t>
  </si>
  <si>
    <t>Anritsu</t>
  </si>
  <si>
    <t>MA5612A2</t>
  </si>
  <si>
    <t>LoRa</t>
  </si>
  <si>
    <t>https://www.anritsu.com/ja-jp/test-measurement/products/ma5612-series</t>
  </si>
  <si>
    <t>Deployment switches</t>
  </si>
  <si>
    <t>Switch SPST-NC surface mount, right angle</t>
  </si>
  <si>
    <t>CKN10231CT-ND --Cut Tape (CT)</t>
  </si>
  <si>
    <t>BPB_EPS</t>
  </si>
  <si>
    <t>https://www.digikey.jp/ja/products/detail/c-k/SDS002R/2218821</t>
  </si>
  <si>
    <t>Connector 2 poles_BPB</t>
  </si>
  <si>
    <t>Connector housing for Molex board 2 poles Pitch: 2mm 1 row 51090-0200</t>
  </si>
  <si>
    <t>Curtis/MO-2</t>
  </si>
  <si>
    <t>https://jp.rs-online.com/web/p/wire-housings-plugs/6322081/?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35313039302D30323030267365617263685F6B6579776F72645F6170703D35313039302D30323030267365617263685F636F6E6669673D3126&amp;searchHistory=%7B%22enabled%22%3Atrue%7D</t>
  </si>
  <si>
    <t xml:space="preserve">
NTC Thermistor 10k Bead</t>
  </si>
  <si>
    <t>THERMISTOR NTC 10KOHM 3976K BEAD</t>
  </si>
  <si>
    <t xml:space="preserve">
223-1557-ND</t>
  </si>
  <si>
    <t>Crtis/MO-1</t>
  </si>
  <si>
    <t>https://www.digikey.jp/en/products/detail/te-connectivity-measurement-specialties/GAG10K3976B1/5277252?s=N4IgTCBcDaIARjAZgLQEYCsGDsKByAIiALoC%2BQA</t>
  </si>
  <si>
    <t>socket terminal tin crimp</t>
  </si>
  <si>
    <t>Socket Terminal Tin 24-30 AWG Crimping-</t>
  </si>
  <si>
    <t>https://www.digikey.jp/ja/products/detail/molex/0502128100/403528?s=N4IgTCBcDaIOoFkBsAGArCgtAOQCIgF0BfIA</t>
  </si>
  <si>
    <t>Mo1-and curtis</t>
  </si>
  <si>
    <t>30 AWG hook-up wire</t>
  </si>
  <si>
    <t xml:space="preserve">
2841/7 YL005</t>
  </si>
  <si>
    <t>spool</t>
  </si>
  <si>
    <t>https://www.digikey.jp/en/products/detail/alpha-wire/2841-7-YL005/3708251</t>
  </si>
  <si>
    <t>Socket terminal tin crimp</t>
  </si>
  <si>
    <t>CONN SOCKET 22-26AWG CRIMP TIN</t>
  </si>
  <si>
    <t>455-1325-2-ND --Tape &amp; Reel (TR)</t>
  </si>
  <si>
    <t>https://www.digikey.jp/ja/products/detail/jst-sales-america-inc/SPHD-001T-P0-5/608766?s=N4IgTCBcDaICwFYEFoCMBmMLXIHIBEQBdAXyA</t>
  </si>
  <si>
    <t>MO-1 and Curtis EM/FM</t>
  </si>
  <si>
    <t>Polymide heater for battery box for Curtis</t>
  </si>
  <si>
    <t>https://www.jp.omega.com/shop/additem.asp</t>
  </si>
  <si>
    <t>Polymide heater for battery box for Mo-1</t>
  </si>
  <si>
    <t>Polymide heater 3cmx5cm, 10W/inch2, Polyimide Film</t>
  </si>
  <si>
    <t xml:space="preserve">Omega </t>
  </si>
  <si>
    <t>SOCKET TERMINAL TIN 28-32 AWG CRIMPING</t>
  </si>
  <si>
    <t>Hari/Ariel</t>
  </si>
  <si>
    <t>CONN SOCKET 28-32AWG CRIMP TIN</t>
  </si>
  <si>
    <t xml:space="preserve">
Molex</t>
  </si>
  <si>
    <t>WM3670CT-ND - CUT TAPE (CT)</t>
  </si>
  <si>
    <t>5013340000 Molex | Connectors, interconnection | DigiKey</t>
  </si>
  <si>
    <t>C302.5</t>
  </si>
  <si>
    <t>C-300シリーズ(M=3用外径Φ6) L=2.5</t>
  </si>
  <si>
    <t xml:space="preserve">11169192	</t>
  </si>
  <si>
    <t>C-302.5</t>
  </si>
  <si>
    <t>https://www.monotaro.com/g/01213256/?t.q=C302.5</t>
  </si>
  <si>
    <t>Plastic Spacer  for BPB</t>
  </si>
  <si>
    <t>Plastic spacer M2X10mm TP2-10</t>
  </si>
  <si>
    <t>Kang yang</t>
  </si>
  <si>
    <t>shopping basket akizuki electronics tsusho - electronic components and online shopping (akizukidenshi.com)</t>
  </si>
  <si>
    <t>Plastic    NUT  for BPB</t>
  </si>
  <si>
    <t>Raspberry PI Camera</t>
  </si>
  <si>
    <t>Raspberry Pi Zero Camera Module Wide Angle 120°, 1/4 Inch 5MP OV5647 Spy Camera with Flex Cable for Pi Zero and Pi Compute Module (NoIR)</t>
  </si>
  <si>
    <t>B006604N</t>
  </si>
  <si>
    <t>B006605N</t>
  </si>
  <si>
    <t>https://www.uctronics.com/camera-modules/standalone-camera/arducam-for-raspberry-pi-zero-camera-module-wide-angle-120%C2%B0-1/4-inch-5mp-ov5647-spy-camera-noir.html</t>
  </si>
  <si>
    <t>SSR RELAY SPST-NO 700MA 0-400V</t>
  </si>
  <si>
    <t>https://www.digikey.jp/ja/products/detail/panasonic-electric-works/AQZ104/646370</t>
  </si>
  <si>
    <t>ADuM4190TRIZ</t>
  </si>
  <si>
    <t>アイソレーションアンプ 単一電源 表面実装</t>
  </si>
  <si>
    <t>796-8742</t>
  </si>
  <si>
    <t>ADUM4190TRIZ</t>
  </si>
  <si>
    <t>https://jp.rs-online.com/web/p/isolation-amplifiers/7968742</t>
  </si>
  <si>
    <t>2列40極ピンヘッダ</t>
  </si>
  <si>
    <t>PSS-420256-20</t>
  </si>
  <si>
    <t>https://www.monotaro.com/p/1133/3832/</t>
  </si>
  <si>
    <t>IC ADC 16BIT SAR 16TSSOP</t>
  </si>
  <si>
    <t>296-38533-2-ND</t>
  </si>
  <si>
    <t>https://www.digikey.jp/ja/products/detail/texas-instruments/ADS8353IPWR/5033929</t>
  </si>
  <si>
    <t>OPA2170</t>
  </si>
  <si>
    <t>オペアンプ, 表面実装, 2回路, ±2電源, 単一電源</t>
  </si>
  <si>
    <t>IC OPAMP GP 1 CIRCUIT SOT5</t>
  </si>
  <si>
    <t>296-40432-2-ND</t>
  </si>
  <si>
    <t>OPA170ASDRLTEP</t>
  </si>
  <si>
    <t>https://www.digikey.jp/ja/products/detail/texas-instruments/OPA170ASDRLTEP/4384214</t>
  </si>
  <si>
    <t>LM358</t>
  </si>
  <si>
    <t>オペアンプ, 表面実装, 2回路, ±2電源, 単一電源,</t>
  </si>
  <si>
    <t>ADP7142</t>
  </si>
  <si>
    <t>低ドロップアウト電圧電圧レギュレータ 5 V, 8-Pin</t>
  </si>
  <si>
    <t>131-1225</t>
  </si>
  <si>
    <t>ADP7142ARDZ-5.0</t>
  </si>
  <si>
    <t>Analog Devices 低ドロップアウト電圧電圧レギュレータ 5 V, 8-Pin, ADP7142ARDZ-5.0 | RS Components (rs-online.com)</t>
  </si>
  <si>
    <t>ADuM3151ARSZ</t>
  </si>
  <si>
    <t>デジタルアイソレーター 7チャンネル 34Mbps, 3750 V ac, 20-Pin</t>
  </si>
  <si>
    <t>840-6686</t>
  </si>
  <si>
    <t>ADUM3151ARSZ | アナログデバイセズ デジタルアイソレーター 7チャンネル 34Mbps, 3750 V ac, 20-Pin | RS Components (rs-online.com)</t>
  </si>
  <si>
    <t xml:space="preserve"> 0 → 5 V dc DC-DCコンバータ 絶縁型 高電圧出力型 A02N-5 5mA 200V dc</t>
  </si>
  <si>
    <t>XP Power 0 → 5 V dc DC-DCコンバータ 絶縁型 高電圧出力型 A02N-5 5mA 200V dc | RS Components (rs-online.com)</t>
  </si>
  <si>
    <t xml:space="preserve"> Nチャンネル MOSFET20 V 850 mA 表面実装 パッケージSOT-363 6 ピン</t>
  </si>
  <si>
    <t>188-5029</t>
  </si>
  <si>
    <t>絶縁モジュール DC/DCコンバータ 2 出力 9V -9V - 111mA、111mA 4.5V - 5.5V 入力</t>
  </si>
  <si>
    <t>DAC8563TDGST</t>
  </si>
  <si>
    <t>IC DAC 16BIT V-OUT 10VSSOP</t>
  </si>
  <si>
    <t>296-43713-2-ND</t>
  </si>
  <si>
    <t>DAC8563TDGST Texas Instruments | 集積回路（IC） | DigiKey</t>
  </si>
  <si>
    <t>ポリイミドテープ PIA220 幅10mm</t>
  </si>
  <si>
    <t>PIA220-10</t>
  </si>
  <si>
    <t>https://www.monotaro.com/g/01366222/?t.q=%E3%82%AB%E3%83%97%E3%83%88%E3%83%B3%E3%83%86%E3%83%BC%E3%83%97</t>
  </si>
  <si>
    <t>ポリイミドテープ PIA220 幅20mm</t>
  </si>
  <si>
    <t>PIA220-20</t>
  </si>
  <si>
    <t>トルクドライバー 4～30cN</t>
  </si>
  <si>
    <t xml:space="preserve"> 東日製作所</t>
  </si>
  <si>
    <t xml:space="preserve">02011466	</t>
  </si>
  <si>
    <t>RTD30CN</t>
  </si>
  <si>
    <t>https://www.monotaro.com/g/00029011/?t.q=%E3%83%88%E3%83%AB%E3%82%AF%E3%83%89%E3%83%A9%E3%82%A4%E3%83%90%E3%83%BC%20%E3%83%93%E3%83%83%E3%83%88</t>
  </si>
  <si>
    <t>トルクドライバービット 1.27</t>
  </si>
  <si>
    <t>https://www.monotaro.com/g/00029003/?t.q=%E3%83%88%E3%83%AB%E3%82%AF%E3%83%89%E3%83%A9%E3%82%A4%E3%83%90%E3%83%BC%20%E3%83%93%E3%83%83%E3%83%88#</t>
  </si>
  <si>
    <t>トルクドライバービット 1.5</t>
  </si>
  <si>
    <t>トルクドライバー 10～60cN</t>
  </si>
  <si>
    <t xml:space="preserve">02011484	</t>
  </si>
  <si>
    <t>RTD60CN</t>
  </si>
  <si>
    <t>https://jp.banggood.com/LILYGO-TTGO-T-Beam-v1_0-ESP32-LoRa-433-or-868-or-915Mhz-WiFi-GPS-NEO-6M-18650-WiFi-bluetooth-Board-Module-p-1609523.html?cur_warehouse=CN&amp;ID=513922</t>
  </si>
  <si>
    <t>アクリルサンデーMR板</t>
  </si>
  <si>
    <t>5mm アクリル板</t>
  </si>
  <si>
    <t>アクリルサンデー株式会社</t>
  </si>
  <si>
    <t>MR001</t>
  </si>
  <si>
    <t>アクリルサンデーカッター</t>
  </si>
  <si>
    <t>プラスチック用カッター</t>
  </si>
  <si>
    <t>220-LSC-SW-ISPLEVER-ND</t>
  </si>
  <si>
    <t>1 year</t>
  </si>
  <si>
    <t>For staellite projects</t>
  </si>
  <si>
    <t>Satellites projects</t>
  </si>
  <si>
    <t>https://www.digikey.jp/ja/products/detail/lattice-semiconductor-corporation/LSC-SW-ISPLEVER/12146688</t>
  </si>
  <si>
    <t>https://www.mouser.jp/ProductDetail/863-NRVB120VLSFT1G</t>
  </si>
  <si>
    <t>PTFE Sheet - 0.5mm</t>
  </si>
  <si>
    <t>Thickness 0.5 mm, dimensions 300 x 1000 (mm), 1 sheet</t>
  </si>
  <si>
    <t>Alam</t>
  </si>
  <si>
    <t>0.5x300x1000</t>
  </si>
  <si>
    <t>EPS - Battery</t>
  </si>
  <si>
    <t xml:space="preserve">Clean room </t>
  </si>
  <si>
    <t>https://www.monotaro.com/p/6836/0014/</t>
  </si>
  <si>
    <t>PTFE Sheet - 1mm</t>
  </si>
  <si>
    <t>Thickness 1 mm, dimensions 300 x 300 (mm), 1 sheet</t>
  </si>
  <si>
    <t>1x300x300</t>
  </si>
  <si>
    <t>EPS -Battery</t>
  </si>
  <si>
    <t>https://www.monotaro.com/p/6835/9874/</t>
  </si>
  <si>
    <t>Crimp Socket</t>
  </si>
  <si>
    <t>https://www.digikey.jp/ja/products/detail/jst-sales-america-inc/SPHD-001T-P0-5/608808?utm_adgroup=Connectors%20%26%20Interconnects&amp;utm_source=google&amp;utm_medium=cpc&amp;utm_campaign=Dynamic%20Search_JP_RLSA_Cart&amp;utm_term=&amp;productid=&amp;gclid=CjwKCAjwtdeFBhBAEiwAKOIy52LxeEhShl4w5Qual6qyBy5PcuUq_VUaOaq0G9n3r86NF5kO0W94NRoCPkMQAvD_BwE</t>
  </si>
  <si>
    <t>ダイポールアンテナ</t>
  </si>
  <si>
    <t>周波数帯1.95～2.25GHz 入力インピーダンス50Ω　コネクタSMA-J 利得2dBi</t>
  </si>
  <si>
    <t>九州計測器株式会社</t>
  </si>
  <si>
    <t>アンリツ電子計測器</t>
  </si>
  <si>
    <t>MA5612B3</t>
  </si>
  <si>
    <t>BIRDS-4 Tsuru 電波料</t>
  </si>
  <si>
    <t>アマチュア局1局分</t>
  </si>
  <si>
    <t>総務省支払い</t>
  </si>
  <si>
    <t>銀行/コンビニ支払い</t>
  </si>
  <si>
    <t>支払い</t>
  </si>
  <si>
    <t>ボタン電池</t>
  </si>
  <si>
    <t>SMA-P SMA-P 15cmケーブル</t>
  </si>
  <si>
    <t>PTFE cable 18GHz 6inch length</t>
  </si>
  <si>
    <t>744-1449-ND</t>
  </si>
  <si>
    <t>CCSMA18-MM-141-6</t>
  </si>
  <si>
    <t>https://www.digikey.jp/ja/products/detail/crystek-corporation/CCSMA18-MM-141-6/2719019</t>
  </si>
  <si>
    <t>タカミヤ(TAKAMIYA) 伝衛門丸　船PE　JF1001　8号（連結）</t>
  </si>
  <si>
    <t>8号　直強力42.0kg　8本縒　100m</t>
  </si>
  <si>
    <t>TAKAMIYA</t>
  </si>
  <si>
    <t>タックルベリー 小倉朝日ヶ丘店</t>
  </si>
  <si>
    <t>JF1001</t>
  </si>
  <si>
    <t>nichrome wire 5m φ0.5mm</t>
  </si>
  <si>
    <t>NCHW1-05</t>
  </si>
  <si>
    <t>3-980-04</t>
  </si>
  <si>
    <t>https://www.monotaro.com/p/3331/7595/</t>
  </si>
  <si>
    <t>透明アクリルパイプ(キャスト)</t>
  </si>
  <si>
    <t>外径(45ミリ)板厚(2ミリ)長さ(1000ミリ)</t>
  </si>
  <si>
    <t>pipe-c-3-45-100</t>
  </si>
  <si>
    <t>CURTS</t>
  </si>
  <si>
    <t>https://www.hazaiya.co.jp/item/16019.html</t>
  </si>
  <si>
    <t>カット料金</t>
  </si>
  <si>
    <t>200mm×4 上記の商品のカット料金</t>
  </si>
  <si>
    <t>外径(40ミリ)板厚(3ミリ)長さ(1000ミリ)</t>
  </si>
  <si>
    <t>pipe-c-2-40-100</t>
  </si>
  <si>
    <t>https://www.hazaiya.co.jp/item/15988.html</t>
  </si>
  <si>
    <t>185mm×5 上記の商品のカット料金</t>
  </si>
  <si>
    <t>ＳＭＡコネクタ</t>
  </si>
  <si>
    <t>ＳＭＡ－Ｊ　４穴パネル用　金メッキ</t>
  </si>
  <si>
    <t>COSMTEC RESOURCES CO.</t>
  </si>
  <si>
    <t>https://akizukidenshi.com/catalog/g/gC-09580/</t>
  </si>
  <si>
    <t>銅平板テープ</t>
  </si>
  <si>
    <t xml:space="preserve"> 幅(mm)300 厚さ(mm)0.1 材質銅 質量(g)244 粘着剤アクリル系 タイプ平板 長さ(mm)300 </t>
  </si>
  <si>
    <t>(株)光</t>
  </si>
  <si>
    <t>HC133T</t>
  </si>
  <si>
    <t>https://www.monotaro.com/g/00384239/</t>
  </si>
  <si>
    <t>銅線</t>
  </si>
  <si>
    <t>長さ15m   直径1.1～1.2mm</t>
  </si>
  <si>
    <t>WAKI</t>
  </si>
  <si>
    <t>HW-131</t>
  </si>
  <si>
    <t>SVBL-3</t>
  </si>
  <si>
    <t>https://www.monotaro.com/g/00180512/</t>
  </si>
  <si>
    <t>PCF8523 リアルタイムクロック（RTC） タイミング 評価ボード</t>
  </si>
  <si>
    <t>https://www.digikey.jp/ja/products/detail/adafruit-industries-llc/3295/6238007?utm_adgroup=IoT&amp;utm_source=google&amp;utm_medium=cpc&amp;utm_campaign=Smart%20Shopping_Product_IoT&amp;utm_term=&amp;productid=6238007&amp;gclid=CjwKCAiArOqOBhBmEiwAsgeLmcGGFJ-lXBJrWzEwzo3io6wpVS_fHfYefhTx_uvzzzmcfuFjxgFxgxoCx-0QAvD_BwE</t>
  </si>
  <si>
    <t>DS18B20 温度 センサ 重力 プラットフォーム評価拡張ボード</t>
  </si>
  <si>
    <t>1738-1257-ND</t>
  </si>
  <si>
    <t>KIT0021</t>
  </si>
  <si>
    <t>https://www.digikey.jp/ja/products/detail/dfrobot/KIT0021/7087154?utm_adgroup=IoT&amp;utm_source=google&amp;utm_medium=cpc&amp;utm_campaign=Smart%20Shopping_Product_IoT&amp;utm_term=&amp;productid=7087154&amp;gclid=CjwKCAiArOqOBhBmEiwAsgeLmYezWG0jl4OEN8LeCz4znaIRKjp3pyIdLwahamGhMRgYT5WERlaMSxoCtIEQAvD_BwE</t>
  </si>
  <si>
    <t>SD Card Adaptor</t>
  </si>
  <si>
    <t>PMOD MICROSD: MICRO SD CARD SLOT</t>
  </si>
  <si>
    <t>1286-1200-ND</t>
  </si>
  <si>
    <t>410-380</t>
  </si>
  <si>
    <t>https://www.digikey.jp/ja/products/detail/digilent-inc/410-380/9445906</t>
  </si>
  <si>
    <t>Arduino Uno</t>
  </si>
  <si>
    <t>ATMega328 Arduino Uno SMD R3 series AVR MCU 8ビット 評価ボード - 組み込み</t>
  </si>
  <si>
    <t>1050-1041-ND</t>
  </si>
  <si>
    <t>A000073</t>
  </si>
  <si>
    <t>https://www.digikey.jp/ja/products/detail/arduino/A000073/3476357</t>
  </si>
  <si>
    <t>MEM CARD MICROSDHC 8GB UHS MLC</t>
  </si>
  <si>
    <t>Swissbit</t>
  </si>
  <si>
    <t>1052-1252-ND</t>
  </si>
  <si>
    <t>SFSD8192N3BM1TO-I-GE-2B1-STD</t>
  </si>
  <si>
    <t>https://www.digikey.jp/ja/products/detail/swissbit/SFSD8192N3BM1TO-I-GE-2B1-STD/6572642?utm_adgroup=General&amp;utm_source=google&amp;utm_medium=cpc&amp;utm_campaign=Smart%20Shopping_Product_Zombie%20SKUs&amp;utm_term=&amp;productid=6572642&amp;gclid=CjwKCAiArOqOBhBmEiwAsgeLmevdedvu6OZJ9gfdXMz7ya_2nuFPOpFC-HVdlXD1_m8OrritYh_XcBoCjDMQAvD_BwE</t>
  </si>
  <si>
    <t>SSD</t>
  </si>
  <si>
    <t>SSD 1T</t>
  </si>
  <si>
    <t>CT1000MX500SSD1</t>
  </si>
  <si>
    <t>Shock machine</t>
  </si>
  <si>
    <t>変換マウンタ</t>
  </si>
  <si>
    <t>2.5inch→3.5inch</t>
  </si>
  <si>
    <t>Plain FR4 Board</t>
  </si>
  <si>
    <t> PCB Material: Epoxy resin glass laminated; Dimensions: 100 x 220 x 1.6 mm</t>
  </si>
  <si>
    <t>03-5189__</t>
  </si>
  <si>
    <t>03-5189 MEGA Electronics Photoresist Mega Electronics 03-5189, 1 piece - [Mail Order Monotaro]</t>
  </si>
  <si>
    <t>PEEK Block</t>
  </si>
  <si>
    <t>Standard, Length: 115mm; Width: 81mm; thickness: 9.1mm</t>
  </si>
  <si>
    <t>PKCA2FQ-115-81-9.1</t>
  </si>
  <si>
    <t>幅 295mm、長さ 295mm、厚さ 12mm</t>
  </si>
  <si>
    <t>POM-NC</t>
  </si>
  <si>
    <t>十字穴付皿小ねじ</t>
  </si>
  <si>
    <t>M-2 皿ネジ　長さL=5mm ピッチ0.4mm</t>
  </si>
  <si>
    <t>BFBJ2-5</t>
  </si>
  <si>
    <t>https://jp.misumi-ec.com/vona2/detail/110302280970/</t>
  </si>
  <si>
    <t>ナット</t>
  </si>
  <si>
    <t>M-2　ピッチ0.4mm 厚さ1.2㎜</t>
  </si>
  <si>
    <t>KNTR2</t>
  </si>
  <si>
    <t>アルミ平板</t>
  </si>
  <si>
    <t>HA0523</t>
  </si>
  <si>
    <t>https://www.monotaro.com/g/00025139/?attr_2029=600&amp;attr_2032=200</t>
  </si>
  <si>
    <t>https://www.monotaro.com/p/3576/7051/</t>
  </si>
  <si>
    <t>SFMC-102-01-S-D</t>
  </si>
  <si>
    <t xml:space="preserve">
4 Position Receptacle Connector 0.050" (1.27mm) Through Hole Gold</t>
  </si>
  <si>
    <t xml:space="preserve">
Samtec Inc.</t>
  </si>
  <si>
    <t xml:space="preserve">
SAM9900-ND</t>
  </si>
  <si>
    <t xml:space="preserve">
SFMC-102-01-S-D</t>
  </si>
  <si>
    <t>https://www.digikey.jp/en/products/detail/samtec-inc/SFMC-102-01-S-D/6678637?s=N4IgTCBcDaIMoEECyBOFAGdBaAcgERAF0BfIA</t>
  </si>
  <si>
    <t>Fishing wire</t>
  </si>
  <si>
    <t>TAKAMIYA(タカミヤ) ライン 伝衛門丸 船PE 150m KFS1003 2.0号</t>
  </si>
  <si>
    <t>KFS1003</t>
  </si>
  <si>
    <t>https://www.amazon.co.jp/TAKAMIYA-%E3%82%BF%E3%82%AB%E3%83%9F%E3%83%A4-%E4%BC%9D%E8%A1%9B%E9%96%80%E4%B8%B8-150m-KFS1003/dp/B00K2GEU8K/ref=sr_1_1?__mk_ja_JP=%E3%82%AB%E3%82%BF%E3%82%AB%E3%83%8A&amp;crid=UFKYJRLVNT5D&amp;keywords=%E4%BC%9D%E8%A1%9B%E9%96%80%E4%B8%B8+PE&amp;qid=1642398543&amp;sprefix=%E4%BC%9D%E8%A1%9B%E9%96%80%E4%B8%B8+pe%2Caps%2C196&amp;sr=8-1</t>
  </si>
  <si>
    <t>HyMu 80 rod</t>
  </si>
  <si>
    <t xml:space="preserve">length 4cm, diameter 0.2cm, radius 0.1cm </t>
  </si>
  <si>
    <t>DLX</t>
  </si>
  <si>
    <t>USD 0.9</t>
  </si>
  <si>
    <t>USD 18</t>
  </si>
  <si>
    <t>MO-1 Rear Access Board (RAB)</t>
  </si>
  <si>
    <t>2-layer PCB (80.8x91.19)</t>
  </si>
  <si>
    <t>MO-1 (RAB)</t>
  </si>
  <si>
    <t>https://www.p-ban.com/kiban/com/</t>
  </si>
  <si>
    <t>Raonlla マジックバンド 1cm×5m 自由にカット 結束バンド 黒白 2個セット 配線整理/ケーブル 収納用テープ</t>
  </si>
  <si>
    <t>1cm×5m</t>
  </si>
  <si>
    <t>Raonlla</t>
  </si>
  <si>
    <t>ドローン</t>
  </si>
  <si>
    <t>https://www.amazon.co.jp/dp/B08NTCLN34/ref=syn_sd_onsite_desktop_219?psc=1&amp;pd_rd_plhdr=t&amp;spLa=ZW5jcnlwdGVkUXVhbGlmaWVyPUExWFFOTldCM1ZMT1hVJmVuY3J5cHRlZElkPUEwMjQwNDA0UU5TTlBRWkdURUdUJmVuY3J5cHRlZEFkSWQ9QVFQNTNKM0NaWVI5VSZ3aWRnZXROYW1lPXNkX29uc2l0ZV9kZXNrdG9wJmFjdGlvbj1jbGlja1JlZGlyZWN0JmRvTm90TG9nQ2xpY2s9dHJ1ZQ==</t>
  </si>
  <si>
    <t>HappyGo モバイルバッテリー 1台3役 大容量 6*18650リチウム電池付き充電器</t>
  </si>
  <si>
    <t>18650リチウム電池付き 充電器</t>
  </si>
  <si>
    <t xml:space="preserve"> 923MHz</t>
  </si>
  <si>
    <t>地上</t>
  </si>
  <si>
    <t>Pin header (pin) PCB mounting hole diameter Φ0.8 PSR-210153-00 (H = 1.5)</t>
  </si>
  <si>
    <t>PSR-210153-12</t>
  </si>
  <si>
    <t>bag</t>
  </si>
  <si>
    <t>Solar panel</t>
  </si>
  <si>
    <t>2nd Floor SVBL</t>
  </si>
  <si>
    <t>https://www.monotaro.com/p/2634/4072/?t.q=PSR-210153-12</t>
  </si>
  <si>
    <t>Pin Header (Socket) PCB Mounting Layout FSM-21045-00 (1 Row) Dimensions H 4.5mm</t>
  </si>
  <si>
    <t>3rd Floor SVBL</t>
  </si>
  <si>
    <t>Maximum Frequency:	1610 MHz Minimum Frequency:	1575 MHz  Gain:	5 dB</t>
  </si>
  <si>
    <t>960-CGGP254A02</t>
  </si>
  <si>
    <t>https://www.mouser.jp/ProductDetail/Taoglas/CGGP254A02?qs=QpZVHcK7GhSAV47sa7%2Fgcg%3D%3D</t>
  </si>
  <si>
    <t>CONN HEADER  A</t>
  </si>
  <si>
    <t>Connector Header Through Hole 4 Pole 0.079 inch (2.00 mm)</t>
  </si>
  <si>
    <t>2057-2PH2-04-UA-ND</t>
  </si>
  <si>
    <t>2PH2-04-UA</t>
  </si>
  <si>
    <t>Battery charging</t>
  </si>
  <si>
    <t>https://www.digikey.jp/ja/products/detail/adam-tech/2PH2-04-UA/9830374?s=N4IgTCBcDa4AoAkwFoAMAWZBVAgiAugL5A</t>
  </si>
  <si>
    <t>CONN HEADER  B</t>
  </si>
  <si>
    <t xml:space="preserve">
Amphenol ICC (FCI)</t>
  </si>
  <si>
    <t>609-5086-ND</t>
  </si>
  <si>
    <t>57102-F08-02LF</t>
  </si>
  <si>
    <t>curtis</t>
  </si>
  <si>
    <t>2rd Floor SVBL</t>
  </si>
  <si>
    <t>https://www.digikey.jp/ja/products/detail/amphenol-icc-fci/57102-F08-02LF/1486623?s=N4IgTCBcDaIKwHYCMAGMBaAYigHOtAMpiALoC%2BQA</t>
  </si>
  <si>
    <t>Metal spacer: ID: 4.2; OD: 3.2; t:5.4</t>
  </si>
  <si>
    <t>CU-305.5PH</t>
  </si>
  <si>
    <t>https://jp.misumi-ec.com/vona2/detail/221006204423/?PNSearch=CU-305.5PH&amp;HissuCode=CU-305.5PH&amp;searchFlow=suggest2products&amp;Keyword=CU-305.5PH&amp;list=SuggestPreview</t>
  </si>
  <si>
    <t>M1.6-6 screws</t>
  </si>
  <si>
    <t>Low head M1.6-6 screws</t>
  </si>
  <si>
    <t>CSH-SUS-M1.6-6</t>
  </si>
  <si>
    <t>https://jp.misumi-ec.com/vona2/detail/221000551286/?PNSearch=CSH-SUS-M1.6-6&amp;HissuCode=CSH-SUS-M1.6-6&amp;searchFlow=suggest2products&amp;Keyword=CSH-SUS-M1.6-6&amp;list=SuggestPreview</t>
  </si>
  <si>
    <t>M2-4 screw</t>
  </si>
  <si>
    <t>https://jp.misumi-ec.com/vona2/detail/221000551286/?PNSearch=CSH-SUS-M2-4&amp;HissuCode=CSH-SUS-M2-4&amp;searchFlow=suggest2products&amp;Keyword=CSH-SUS-M2-4&amp;list=SuggestPreview</t>
  </si>
  <si>
    <t>M3-8 Screw</t>
  </si>
  <si>
    <t>https://jp.misumi-ec.com/vona2/detail/221000551286/?PNSearch=CSH-SUS-M3-8&amp;HissuCode=CSH-SUS-M3-8&amp;searchFlow=suggest2products&amp;Keyword=CSH-SUS-M3-8&amp;list=SuggestPreview</t>
  </si>
  <si>
    <t>M2.5-12 Screw</t>
  </si>
  <si>
    <t>CSHCS-SUS-M2.5-12</t>
  </si>
  <si>
    <t>https://jp.misumi-ec.com/vona2/detail/221000551376/?PNSearch=CSHCS-SUS-M2.5-12&amp;HissuCode=CSHCS-SUS-M2.5-12&amp;searchFlow=suggest2products&amp;Keyword=CSHCS-SUS-M2.5-12&amp;list=SuggestPreview</t>
  </si>
  <si>
    <t>M2-8 screw</t>
  </si>
  <si>
    <t>Low Head M2-8 screw</t>
  </si>
  <si>
    <t>CSHELH-SUS-M2-8</t>
  </si>
  <si>
    <t>https://jp.misumi-ec.com/vona2/detail/221303783818/?CategorySpec=00000217040%3a%3amig00000002457000%0900000217056%3a%3amig00000002456995%0900000217074%3a%3ac%0900000216906%3a%3aa&amp;list=PageCategory</t>
  </si>
  <si>
    <t>M3-10 Screw</t>
  </si>
  <si>
    <t>CSH-SUS-M3-10</t>
  </si>
  <si>
    <t>https://jp.misumi-ec.com/vona2/detail/221000551286/?PNSearch=CSH-SUS-M3-10&amp;HissuCode=CSH-SUS-M3-10&amp;searchFlow=suggest2products&amp;Keyword=CSH-SUS-M3-10&amp;list=SuggestPreview</t>
  </si>
  <si>
    <t>Insert: M3</t>
  </si>
  <si>
    <t xml:space="preserve">Insert: L:6; OM4; IM3 </t>
  </si>
  <si>
    <t>https://jp.misumi-ec.com/vona2/detail/221005848134/?PNSearch=RTNM3-2D&amp;HissuCode=RTNM3-2D&amp;searchFlow=suggest2products&amp;Keyword=RTNM3-2D&amp;list=SuggestPreview</t>
  </si>
  <si>
    <t>Insert: M2</t>
  </si>
  <si>
    <t xml:space="preserve">Insert: L:4; OM3; IM2 </t>
  </si>
  <si>
    <t>HLTS2-4</t>
  </si>
  <si>
    <t>https://jp.misumi-ec.com/vona2/detail/110300258940/?PNSearch=HLTS2-4&amp;HissuCode=HLTS2-4&amp;searchFlow=suggest2products&amp;Keyword=HLTS2-4&amp;list=SuggestPreview</t>
  </si>
  <si>
    <t>M2.5-6 Screw</t>
  </si>
  <si>
    <t>https://jp.misumi-ec.com/vona2/detail/110302280540/?PNSearch=CBSTSR2.5-6&amp;HissuCode=CBSTSR2.5-6&amp;searchFlow=suggesthistory&amp;Keyword=CBSTSR2.5-6&amp;list=SuggestPreview</t>
  </si>
  <si>
    <t>Flat filling Tool Set</t>
  </si>
  <si>
    <t xml:space="preserve">Precision 3mm Square Pattern Flat Filling tool; 1.1mm thickness </t>
  </si>
  <si>
    <t>MI8617-D126</t>
  </si>
  <si>
    <t>https://jp.misumi-ec.com/vona2/detail/223004983023/?PNSearch=MI8617-D126&amp;HissuCode=MI8617-D126&amp;searchFlow=suggest2products&amp;Keyword=MI8617-D126&amp;list=SuggestPreview</t>
  </si>
  <si>
    <t>NI CompactDAQ/RIO</t>
  </si>
  <si>
    <r>
      <t>8 ch; Mini TC; 95 S/s/ch; 0.71 ℃</t>
    </r>
    <r>
      <rPr>
        <sz val="9"/>
        <color rgb="FF000000"/>
        <rFont val="Arial"/>
        <family val="2"/>
      </rPr>
      <t xml:space="preserve"> accuracy; 60 Vrms ch-ch isolation</t>
    </r>
  </si>
  <si>
    <t>Part no.: 785259-01</t>
  </si>
  <si>
    <t>202122030049L</t>
  </si>
  <si>
    <t>¥145,000</t>
  </si>
  <si>
    <t>https://www.ni.com/ja-jp/shop/hardware/products/c-series-temperature-input-module.html</t>
  </si>
  <si>
    <r>
      <t>16 ch; spring terminal; 75 S/s; 0.77 ℃</t>
    </r>
    <r>
      <rPr>
        <sz val="9"/>
        <color rgb="FF000000"/>
        <rFont val="Arial"/>
        <family val="2"/>
      </rPr>
      <t xml:space="preserve"> accuracy; 250 Vrms ch-gnd isolation</t>
    </r>
  </si>
  <si>
    <t>Part no.: 785185-02</t>
  </si>
  <si>
    <t>NI-9213</t>
  </si>
  <si>
    <t>¥220,000</t>
  </si>
  <si>
    <t>NI Compact chasis</t>
  </si>
  <si>
    <r>
      <t xml:space="preserve">USB 2.0; 1 slot; -20 ~+55 </t>
    </r>
    <r>
      <rPr>
        <sz val="10"/>
        <color rgb="FF000000"/>
        <rFont val="Times New Roman"/>
        <family val="1"/>
      </rPr>
      <t>℃</t>
    </r>
  </si>
  <si>
    <t>Part no.: 781425-01</t>
  </si>
  <si>
    <t>cDAQ-9171</t>
  </si>
  <si>
    <t>¥45,100</t>
  </si>
  <si>
    <t>https://www.ni.com/ja-jp/shop/hardware/products/compactdaq-chassis.html</t>
  </si>
  <si>
    <t>¥624</t>
  </si>
  <si>
    <t>¥24,960</t>
  </si>
  <si>
    <t xml:space="preserve">Arduino board </t>
  </si>
  <si>
    <t>Arduino Uno REV3</t>
  </si>
  <si>
    <t>https://www.amazon.com/Arduino-A000066-ARDUINO-UNO-R3/dp/B008GRTSV6/ref=sr_1_3?crid=3FW9E0GMK2M57&amp;keywords=arduino+board&amp;qid=1643003972&amp;sprefix=arduino+board%2Caps%2C347&amp;sr=8-3</t>
  </si>
  <si>
    <t>Realy board</t>
  </si>
  <si>
    <t>5V 2-Channel Relay interface board, and each one needs 15-20mA Driver Current</t>
  </si>
  <si>
    <t>sun founder</t>
  </si>
  <si>
    <t>N\A</t>
  </si>
  <si>
    <t>https://www.amazon.com/SunFounder-Channel-Optocoupler-Expansion-Raspberry/dp/B00E0NTPP4/ref=sr_1_2_sspa?crid=2D1IT0ETBR1GK&amp;keywords=relay%2Bboard%2B5v&amp;qid=1643004244&amp;sprefix=relay%2Bboard%2B5v%2Caps%2C222&amp;sr=8-2-spons&amp;spLa=ZW5jcnlwdGVkUXVhbGlmaWVyPUEyVUFWSUEyMDdZS1NGJmVuY3J5cHRlZElkPUEwNjk1NjgwMjdSUlMzMkVTWkEwSCZlbmNyeXB0ZWRBZElkPUExMDA5MDk3M1NDQUxaTFAzQ1Y3MyZ3aWRnZXROYW1lPXNwX2F0ZiZhY3Rpb249Y2xpY2tSZWRpcmVjdCZkb05vdExvZ0NsaWNrPXRydWU&amp;th=1</t>
  </si>
  <si>
    <t>heat shrink tube,7 sizes 2 each</t>
  </si>
  <si>
    <t>TRUSCO </t>
  </si>
  <si>
    <t>252-2233</t>
  </si>
  <si>
    <t>HSTT-YK1</t>
  </si>
  <si>
    <t>https://www.monotaro.com/p/3709/9571/</t>
  </si>
  <si>
    <t>Keysight N9310A RF Signal Generator 9 kHz to 3.0 GHz</t>
  </si>
  <si>
    <t>Signal generator for non-amateur UHF</t>
  </si>
  <si>
    <t>Keysight</t>
  </si>
  <si>
    <t>195-3195</t>
  </si>
  <si>
    <t>N9310A</t>
  </si>
  <si>
    <t>MO-1 / Curtis</t>
  </si>
  <si>
    <t>https://jp.rs-online.com/web/p/waveform-generators/1953195</t>
  </si>
  <si>
    <t>KANTRONICS KPC-9612XE USB modem/TNC/data controller</t>
  </si>
  <si>
    <t>TNC for non-amateur UHF</t>
  </si>
  <si>
    <t>KPC-9612XE</t>
  </si>
  <si>
    <t>Price in USD = $449.95 + $59.60 shipping</t>
  </si>
  <si>
    <t>RTL-SDR.COM V3 RTL2832U R820T2 TCXO/1PPM SMA-J</t>
  </si>
  <si>
    <t>RTL-SDR for non-amateur UHF</t>
  </si>
  <si>
    <t>RTL-SDR.COM</t>
  </si>
  <si>
    <t>B0722LZFWN</t>
  </si>
  <si>
    <t>‎DVB-T+DAB+FM+SDR</t>
  </si>
  <si>
    <t>https://www.amazon.co.jp/RTL-SDR-COM-RTL2832U-Sampling-%E3%82%A2%E3%83%AB%E3%83%9F%E3%83%80%E3%82%A4%E3%82%AD%E3%83%A3%E3%82%B9%E3%83%88%E3%82%B1%E3%83%BC%E3%82%B9-RTL-SDR-COM%E6%AD%A3%E8%A6%8F%E5%93%81/dp/B0722LZFWN/ref=sr_1_6?__mk_ja_JP=%E3%82%AB%E3%82%BF%E3%82%AB%E3%83%8A&amp;crid=1J0JDNFQ3IHIZ&amp;keywords=RTL-SDR&amp;qid=1643246021&amp;sprefix=rtl-sd%2Caps%2C221&amp;sr=8-6</t>
  </si>
  <si>
    <t>Cable Assembly Coaxial BNC to Cable RG-58C 60.0" (1.5m) 5.0'</t>
  </si>
  <si>
    <t>Pomona Electronics</t>
  </si>
  <si>
    <t>501-1693-ND</t>
  </si>
  <si>
    <t>5266-C-60</t>
  </si>
  <si>
    <t>https://www.digikey.jp/en/products/detail/pomona-electronics/5266-C-60/737215</t>
  </si>
  <si>
    <t>UHF Antenna</t>
  </si>
  <si>
    <t>GST PCB for 250mW MO-1</t>
  </si>
  <si>
    <t>GST PCB 100mmx100mm</t>
  </si>
  <si>
    <t>Y21-3392505A</t>
  </si>
  <si>
    <t xml:space="preserve">MO-1 </t>
  </si>
  <si>
    <t>Mobile GST PCB</t>
  </si>
  <si>
    <t>GST PCB 65x30mm</t>
  </si>
  <si>
    <t>Y20-3392505A</t>
  </si>
  <si>
    <t>AC adapter</t>
  </si>
  <si>
    <t>https://www.digikey.jp/ja/products/detail/tri-mag-llc/L6R06H-120/7682617</t>
  </si>
  <si>
    <t>SMA cable</t>
  </si>
  <si>
    <t>SMA-P SMA-P 50cm</t>
  </si>
  <si>
    <t>744-1720-ND</t>
  </si>
  <si>
    <t>CCSMA-MFB-RG174-24</t>
  </si>
  <si>
    <t>https://www.digikey.jp/ja/products/detail/crystek-corporation/CCSMA-MFB-RG174-24/4923956</t>
  </si>
  <si>
    <t>N-SMA adapter</t>
  </si>
  <si>
    <t>N-P SMA-J</t>
  </si>
  <si>
    <t>116-29-3840-ND</t>
  </si>
  <si>
    <t>https://www.digikey.jp/ja/products/detail/cinch-connectivity-solutions-aim-cambridge/29-3840/385342</t>
  </si>
  <si>
    <t>USB Extension cable</t>
  </si>
  <si>
    <t>USB A-A 1m</t>
  </si>
  <si>
    <t>BSUAASUM210BK</t>
  </si>
  <si>
    <t>https://www.amazon.co.jp/iBUFFALO-USB2-0延長ケーブル-スリムタイプ-ブラック-BSUAASM205BK/dp/B007STDMKG/ref=sr_1_6?__mk_ja_JP=カタカナ&amp;crid=1OOM016L6B6VJ&amp;keywords=usb%2B延長ケーブル%2B0.5m&amp;qid=1643254971&amp;sprefix=usb%2B延長ケーブル%2B0.5%2Caps%2C272&amp;sr=8-6&amp;th=1</t>
  </si>
  <si>
    <t>Low head M3-8 screw</t>
  </si>
  <si>
    <t>CBSSTH3-8</t>
  </si>
  <si>
    <t>https://jp.misumi-ec.com/vona2/detail/110300244510/?ProductCode=CBSST3-8</t>
  </si>
  <si>
    <t>ufl</t>
  </si>
  <si>
    <t>Diameter: 2.2mm; L:1.5; POM</t>
  </si>
  <si>
    <t>C-2001.5</t>
  </si>
  <si>
    <t xml:space="preserve">Strucutre </t>
  </si>
  <si>
    <t>https://jp.misumi-ec.com/vona2/detail/221006204478/?ProductCode=C-2001.5</t>
  </si>
  <si>
    <t xml:space="preserve">Resin Block </t>
  </si>
  <si>
    <t>PTEF; Length 120mm; Width: 100mm; Thickness: 8mm</t>
  </si>
  <si>
    <t>PTFE-120-100-8</t>
  </si>
  <si>
    <t>https://jp.misumi-ec.com/vona2/detail/110302696860/?ProductCode=PTFE-120-100-8</t>
  </si>
  <si>
    <t>MO-1 Solar Panel -Z (EM)</t>
  </si>
  <si>
    <t>2-layer PCB (96.0mm x 96.0mm)</t>
  </si>
  <si>
    <t>MO-1 Solar Panel -X (EM)</t>
  </si>
  <si>
    <t>MO-1 Solar Panel -Y (EM)</t>
  </si>
  <si>
    <t>NICT／運営費</t>
  </si>
  <si>
    <t>MO-1 Solar Panel +Y (EM)</t>
  </si>
  <si>
    <t>ATMEGA32U4RC</t>
  </si>
  <si>
    <t xml:space="preserve">
IC MCU 8BIT 32KB FLASH 44VQFN</t>
  </si>
  <si>
    <t>ATMEGA32U4RC-MU-ND</t>
  </si>
  <si>
    <t>ATMEGA32U4RC-MU</t>
  </si>
  <si>
    <t>¥579.64</t>
  </si>
  <si>
    <t>¥14,491</t>
  </si>
  <si>
    <t>https://www.digikey.jp/en/products/detail/microchip-technology/ATMEGA32U4RC-MU/2507984</t>
  </si>
  <si>
    <t>LoRa module RFM95W-915S2</t>
  </si>
  <si>
    <t>LoRa™ Transceiver Module 915MHz</t>
  </si>
  <si>
    <t>RFM95W-915S2-ND</t>
  </si>
  <si>
    <t>RFM95W-915S2</t>
  </si>
  <si>
    <t xml:space="preserve">SMD </t>
  </si>
  <si>
    <t>¥1,652</t>
  </si>
  <si>
    <t>¥41,300</t>
  </si>
  <si>
    <t>https://www.digikey.jp/en/products/detail/rf-solutions/RFM95W-915S2/6564923</t>
  </si>
  <si>
    <t>Back switching regulator</t>
  </si>
  <si>
    <t>Back Switching Regulator IC Positive Variable</t>
  </si>
  <si>
    <t>296-44380-1-ND</t>
  </si>
  <si>
    <t>LM2830ZMF/NOPB</t>
  </si>
  <si>
    <t>¥ 217.2</t>
  </si>
  <si>
    <t>¥ 2,172</t>
  </si>
  <si>
    <t>https://www.digikey.jp/ja/products/detail/texas-instruments/LM2830ZMF-NOPB/1206339</t>
  </si>
  <si>
    <t>Resistor 4.7K</t>
  </si>
  <si>
    <t>RES 4.7K OHM 5% 1/10W 0603</t>
  </si>
  <si>
    <t>TE Connectivity Passive</t>
  </si>
  <si>
    <t>A130095CT-ND</t>
  </si>
  <si>
    <t>CRGCQ0603J4K7</t>
  </si>
  <si>
    <t>¥3.2</t>
  </si>
  <si>
    <t>¥32</t>
  </si>
  <si>
    <t>https://www.digikey.jp/en/products/detail/te-connectivity-passive-product/CRGCQ0603J4K7/8576697</t>
  </si>
  <si>
    <t>CONN HOUSING PA 10POS 2MM WHITE</t>
  </si>
  <si>
    <t>10 Rectangular Connector-Housing Receptacle </t>
  </si>
  <si>
    <t>¥ 23</t>
  </si>
  <si>
    <t>¥ 115</t>
  </si>
  <si>
    <t>https://www.digikey.jp/ja/products/detail/jst-sales-america-inc/PAP-10V-S/759982?s=N4IgTCBcDaIAoEE4FoCMAGAasgyiAugL5A</t>
  </si>
  <si>
    <t>LCD MODULE 32 DIG 16 X 2 R/G/B</t>
  </si>
  <si>
    <t>Character LCD Display Module - 5 x 8 Dots</t>
  </si>
  <si>
    <t>1528-1505-ND</t>
  </si>
  <si>
    <t>¥1,592</t>
  </si>
  <si>
    <t>¥6,368</t>
  </si>
  <si>
    <t>https://www.digikey.jp/ja/products/detail/adafruit-industries-llc/398/5774231</t>
  </si>
  <si>
    <t>LoRa module RFM98W-433S2</t>
  </si>
  <si>
    <t>LoRa™ Transceiver Module 433MHz</t>
  </si>
  <si>
    <t>¥1,735</t>
  </si>
  <si>
    <t>¥3,470</t>
  </si>
  <si>
    <t>https://www.digikey.jp/en/products/detail/rf-solutions/RFM98W-433S2/6564924?s=N4IgTCBcDaIE4DMC2BOAHCAugXyA</t>
  </si>
  <si>
    <t>Rechargeable Battery</t>
  </si>
  <si>
    <t>2 Pack 18350 Rechargeable Battery, 3.7V 1500mAh</t>
  </si>
  <si>
    <t>ENLZH</t>
  </si>
  <si>
    <t>B09F9GVBDR</t>
  </si>
  <si>
    <t>‎ENLZH-JP</t>
  </si>
  <si>
    <t>¥3,100</t>
  </si>
  <si>
    <t>https://www.amazon.co.jp/-/en/Rechargeable-Battery-1500mAh-Flashlight-Headlamp/dp/B09F9GVBDR/ref=sr_1_20?crid=C9B700SEGNQR&amp;keywords=18350&amp;qid=1643621777&amp;sprefix=18350%2Caps%2C210&amp;sr=8-20&amp;th=1</t>
  </si>
  <si>
    <t xml:space="preserve">Battery Holder (Open) </t>
  </si>
  <si>
    <t>BATT HLDR 18350 1 CEL SOLDER LUG</t>
  </si>
  <si>
    <t>36-1101-ND</t>
  </si>
  <si>
    <t>¥320</t>
  </si>
  <si>
    <t>¥640</t>
  </si>
  <si>
    <t>https://www.digikey.jp/en/products/detail/keystone-electronics/1101/5255490</t>
  </si>
  <si>
    <t>Battery Holder (Open)</t>
  </si>
  <si>
    <t>BATT HOLDER 18350 1 CELL SMD</t>
  </si>
  <si>
    <t>36-1096-ND</t>
  </si>
  <si>
    <t>https://www.digikey.jp/en/products/detail/keystone-electronics/1096/5057788</t>
  </si>
  <si>
    <t>Cable Assembly Coaxial U.FL</t>
  </si>
  <si>
    <t>H122291-ND</t>
  </si>
  <si>
    <t>U.FL-2LP-066N1-AC-(50)</t>
  </si>
  <si>
    <t>¥747</t>
  </si>
  <si>
    <t>¥4,482</t>
  </si>
  <si>
    <t>https://www.digikey.jp/en/products/detail/hirose-electric-co-ltd/U-FL-2LP-066N1-AC-50/4867033</t>
  </si>
  <si>
    <t>U.FL (UMCC) Connector Jack,</t>
  </si>
  <si>
    <t>CONN UMC JACK STR SMD</t>
  </si>
  <si>
    <t>¥72.5</t>
  </si>
  <si>
    <t>¥1,088</t>
  </si>
  <si>
    <t>https://www.digikey.jp/en/products/detail/linx-technologies-inc/CONUFL001-SMD-T/7427733</t>
  </si>
  <si>
    <t>https://jp.misumi-ec.com/vona2/detail/110302280540/?HissuCode=CBSTSR2-10&amp;PNSearch=CBSTSR2-10&amp;KWSearch=CBSTSR2-10&amp;searchFlow=results2products&amp;list=PageSearchResult</t>
  </si>
  <si>
    <t>920 MHz Lora Board with RFM-95</t>
  </si>
  <si>
    <t>4-layer PCB (90.0mm x 85.0mm)</t>
  </si>
  <si>
    <t>USB A-microB</t>
  </si>
  <si>
    <t>KU-RMCB2</t>
  </si>
  <si>
    <t>https://www.askul.co.jp/p/9703807/</t>
  </si>
  <si>
    <t>マグネットフック</t>
  </si>
  <si>
    <t>中</t>
  </si>
  <si>
    <t>ソニック</t>
  </si>
  <si>
    <t>MG-5493-W</t>
  </si>
  <si>
    <t>https://www.askul.co.jp/v/4230/</t>
  </si>
  <si>
    <t>Li-ion Battery construction  for Curtis  satellite</t>
  </si>
  <si>
    <t>220203-1</t>
  </si>
  <si>
    <t>EM-EPS-battery</t>
  </si>
  <si>
    <t>Curtis EM2 BPB</t>
  </si>
  <si>
    <t xml:space="preserve">6 layers  201.0 mmX 84mm blue colour </t>
  </si>
  <si>
    <t>EM2_BPB</t>
  </si>
  <si>
    <t>2nd floor SVBL</t>
  </si>
  <si>
    <t>P板.com サポート窓口 〒102-0076 東京都千代田区五番町14五番町光ビル4F</t>
  </si>
  <si>
    <t>CURTIS PCB GNSS module</t>
  </si>
  <si>
    <t>JICA(Manabe)</t>
  </si>
  <si>
    <t xml:space="preserve">2 layers  45 mmX 30mm blue colour </t>
  </si>
  <si>
    <t xml:space="preserve">202202040024M	</t>
  </si>
  <si>
    <t>COM/ADCS</t>
  </si>
  <si>
    <t>PCB (FR4)</t>
  </si>
  <si>
    <t>JICA(JP)</t>
  </si>
  <si>
    <t xml:space="preserve">100 x 160 x 1.6mm  </t>
  </si>
  <si>
    <t>Mega Electronics</t>
  </si>
  <si>
    <t>03-5128-1</t>
  </si>
  <si>
    <t>https://www.monotaro.com/monotaroMain.py?func=monotaro.basket.showListServlet.ShowListServlet</t>
  </si>
  <si>
    <t>NチャンネルパワーMOSFET</t>
  </si>
  <si>
    <t>N-channel 200 V 5.2 A (Tc) 50 W (Tc) Through Hole TO-220AB</t>
  </si>
  <si>
    <t>IRL620PBF-ND</t>
  </si>
  <si>
    <t>IRL620PBF</t>
  </si>
  <si>
    <t>https://www.digikey.jp/ja/products/detail/vishay-siliconix/IRL620PBF/811814</t>
  </si>
  <si>
    <t>MO-1 Antenna Panel +X (EM)</t>
  </si>
  <si>
    <t>4-layer PCB (82.6 mm x 100.7mm)</t>
  </si>
  <si>
    <t>Bolt and Spacer</t>
  </si>
  <si>
    <t>M3 Bolts, Spacers</t>
  </si>
  <si>
    <t>WP43333F4800</t>
  </si>
  <si>
    <t>PEEK  plate</t>
  </si>
  <si>
    <t>NRI or 運営費</t>
  </si>
  <si>
    <t>Sliding grade, Length: 100mm; Width: 50mm Thickness: 8mm</t>
  </si>
  <si>
    <t>PKAH6FNN-100-50-8</t>
  </si>
  <si>
    <t>https://jp.misumi-ec.com/vona2/detail/110302696950/?HissuCode=PKCA2FQ-50-50-9.1&amp;PNSearch=PKCA2FQ-50-50-9.1&amp;KWSearch=PKCA2FQ-50-50-9.1&amp;searchFlow=results2products&amp;list=PageSearchResult</t>
  </si>
  <si>
    <t>Low head M3-20</t>
  </si>
  <si>
    <t>CBSST3-20</t>
  </si>
  <si>
    <t>https://jp.misumi-ec.com/vona2/detail/110300244510/?CategorySpec=00000217040%3a%3amig00000002457491%0900000217056%3a%3amig00000002494754%0900000217074%3a%3ab%0900000216906%3a%3aa%0900000216996%3a%3aa</t>
  </si>
  <si>
    <t>岸本(Fellowship)</t>
  </si>
  <si>
    <t>USRP B205mini-i, 70MHz～6GHz</t>
  </si>
  <si>
    <t>Marutsu (生協代行)</t>
  </si>
  <si>
    <t>https://www.marutsu.co.jp/pc/i/2223350/</t>
  </si>
  <si>
    <t>CubeSat Antenna Design</t>
  </si>
  <si>
    <t>中山(JST)+運営費</t>
  </si>
  <si>
    <t>ISBN-10 111969258X</t>
  </si>
  <si>
    <t>Wiley-Blackwell</t>
  </si>
  <si>
    <t>大学生協洋書オンラインストア</t>
  </si>
  <si>
    <t>111969258X</t>
  </si>
  <si>
    <t>https://yosho.univcoop.jp/BookShop/Book/Detail?icd=1031629096&amp;isbn=978-1-119-69258-4</t>
  </si>
  <si>
    <t>i7-12700 32GB RAM SSD 1TB HDD 4TB GeForce RTX3060</t>
  </si>
  <si>
    <t>Be-clia BT-i712700AS1N1TTSD</t>
  </si>
  <si>
    <t>見積もり</t>
  </si>
  <si>
    <t>gurah</t>
  </si>
  <si>
    <t>BIRDS-5 national flag sticker</t>
  </si>
  <si>
    <t>A6シートにシール15点まで/PETシール/片面カラー/1枚</t>
  </si>
  <si>
    <t>Bolt and tool</t>
  </si>
  <si>
    <t>M3-25 low head screws</t>
  </si>
  <si>
    <t>CSHBTT-SUS-M3-25</t>
  </si>
  <si>
    <t>https://jp.misumi-ec.com/vona2/detail/221303783852/?ProductCode=CSHBTT-SUS-M3-25</t>
  </si>
  <si>
    <t>M3-10 low head screw</t>
  </si>
  <si>
    <t>CBSST3-10</t>
  </si>
  <si>
    <t>https://jp.misumi-ec.com/vona2/detail/110300244510/?ProductCode=CBSST3-10</t>
  </si>
  <si>
    <t>Precision file set</t>
  </si>
  <si>
    <t>Precision file: triangle, circle, half circle, flat, corner; 5 to 12 pieces</t>
  </si>
  <si>
    <t>Tsubosan</t>
  </si>
  <si>
    <t>ST01253T</t>
  </si>
  <si>
    <t>https://jp.misumi-ec.com/vona2/detail/223000305689/?ProductCode=ST01256T</t>
  </si>
  <si>
    <t>GPS Module with antenna</t>
  </si>
  <si>
    <t>Navigation GPS Transceiver Module 1.575GHz Integrated, Chip Surface Mount</t>
  </si>
  <si>
    <t>Quectel</t>
  </si>
  <si>
    <t>2958-L80-M39CT-ND</t>
  </si>
  <si>
    <t>L80-M39</t>
  </si>
  <si>
    <t>https://www.digikey.jp/en/products/detail/quectel/L80-M39/13278232</t>
  </si>
  <si>
    <t>Morse Code keyboard</t>
  </si>
  <si>
    <t>GEDC Airbus Diversity Award 2017</t>
  </si>
  <si>
    <t>One Hand Keyboard, Fully Programmable Mechanical Keyboard, 23 Keys</t>
  </si>
  <si>
    <t>B07RM2GFTY</t>
  </si>
  <si>
    <t xml:space="preserve">	‎AE-AMAG23-BKB</t>
  </si>
  <si>
    <t>https://www.amazon.co.jp/%E3%83%95%E3%83%AB%E3%83%97%E3%83%AD%E3%82%B0%E3%83%A9%E3%83%A0%E5%8F%AF%E8%83%BD-%E3%83%A1%E3%82%AB%E3%83%8B%E3%82%AB%E3%83%AB%E3%82%AD%E3%83%BC%E3%83%9C%E3%83%BC%E3%83%89-%E5%B7%A6%E6%89%8B%E3%82%B2%E3%83%BC%E3%83%9F%E3%83%B3%E3%82%B0%E3%82%AD%E3%83%BC%E3%83%9C%E3%83%BC%E3%83%89-RGB%E3%83%90%E3%83%83%E3%82%AF%E3%83%A9%E3%82%A4%E3%83%88-%E3%82%B7%E3%83%A7%E3%83%83%E3%83%88%E3%82%AB%E3%83%83%E3%83%88%E3%82%AD%E3%83%BC/dp/B07RM2GFTY/ref=sr_1_53?__mk_ja_JP=%E3%82%AB%E3%82%BF%E3%82%AB%E3%83%8A&amp;dchild=1&amp;keywords=%E3%83%86%E3%83%B3%E3%82%AD%E3%83%BC%2B%E5%89%B2%E3%82%8A%E5%BD%93%E3%81%A6&amp;qid=1616461729&amp;sr=8-53&amp;th=1</t>
  </si>
  <si>
    <t>RTL-SDR Blog V3 R820T2 RTL2832U 1PPM TCXO HF Bias Tee SMA Software Definition Radio with Dipole Antenna Kit</t>
  </si>
  <si>
    <t>RTL-SDR Blog</t>
  </si>
  <si>
    <t>B011HVUEME</t>
  </si>
  <si>
    <t>https://www.amazon.co.jp/RTL-SDR-R820T2-RTL2832U-SMA%E3%82%BD%E3%83%95%E3%83%88%E3%82%A6%E3%82%A7%E3%82%A2%E5%AE%9A%E7%BE%A9%E3%83%A9%E3%82%B8%E3%82%AA-2%E5%80%8D%E4%BC%B8%E7%B8%AE%E3%82%A2%E3%83%B3%E3%83%86%E3%83%8A%E4%BB%98%E3%81%8D/dp/B011HVUEME/ref=sr_1_6?__mk_ja_JP=%E3%82%AB%E3%82%BF%E3%82%AB%E3%83%8A&amp;crid=GJTZKP4LMGN6&amp;keywords=SDR&amp;qid=1640584588&amp;sprefix=sdr%2Caps%2C316&amp;sr=8-6</t>
  </si>
  <si>
    <t>Nano VNA</t>
  </si>
  <si>
    <t>3G Vector Network Analyzer, 2.8" NanoVNA V2 50KHz to 3GHz Large Touchscreen</t>
  </si>
  <si>
    <t>Echo.Q</t>
  </si>
  <si>
    <t>B08GKQ9SF7</t>
  </si>
  <si>
    <t>V2-2_8-ECH01</t>
  </si>
  <si>
    <t>https://www.amazon.co.jp/3G%E3%83%99%E3%82%AF%E3%83%88%E3%83%AB%E3%83%8D%E3%83%83%E3%83%88%E3%83%AF%E3%83%BC%E3%82%AF%E3%82%A2%E3%83%8A%E3%83%A9%E3%82%A4%E3%82%B6%E3%83%BC%E3%80%812-8%E3%82%A4%E3%83%B3%E3%83%81NanoVNA-V2-50KHz%E3%80%9C3GHz%E5%A4%A7%E5%9E%8B%E3%82%BF%E3%83%83%E3%83%81%E3%82%B9%E3%82%AF%E3%83%AA%E3%83%BC%E3%83%B3%E3%82%A2%E3%83%B3%E3%83%86%E3%83%8A%E3%82%A2%E3%83%8A%E3%83%A9%E3%82%A4%E3%82%B6%E3%83%BCS-A-A-2%E7%9F%AD%E6%B3%A2HF-VHF-UHF%E5%AE%9A%E5%9C%A8%E6%B3%A2%E3%82%B9%E3%83%9A%E3%82%AF%E3%83%88%E3%83%AB%E3%82%A2%E3%83%8A%E3%83%A9%E3%82%A4%E3%82%B6%E3%83%BC/dp/B08GKQ9SF7/?_encoding=UTF8&amp;pd_rd_w=OiDMH&amp;pf_rd_p=d753a891-bba8-4352-b10c-3c8d00c6b548&amp;pf_rd_r=V7TJTW4GP304ZWQ0GZ4Y&amp;pd_rd_r=0867c9e6-f3d5-4739-807c-c5420d43e189&amp;pd_rd_wg=Mj0cJ&amp;ref_=pd_gw_ci_mcx_mr_hp_atf_m&amp;th=1</t>
  </si>
  <si>
    <t>Micro SA</t>
  </si>
  <si>
    <t>Elikliv Spectrum Analyzer with High Input Mode for TinySA 100kHz-350MHz and Low Input Mode for 240MHz-960MHz</t>
  </si>
  <si>
    <t>Elikliv</t>
  </si>
  <si>
    <t>B08SHQMR6K</t>
  </si>
  <si>
    <t>TinySA</t>
  </si>
  <si>
    <t>https://www.amazon.co.jp/Elikliv-%E3%82%B9%E3%83%9A%E3%82%AF%E3%83%88%E3%83%A9%E3%83%A0-100kHz-350MHz%E7%94%A8%E3%81%AE%E9%AB%98%E5%85%A5%E5%8A%9B%E3%83%A2%E3%83%BC%E3%83%89%E3%81%A8240MHz-960MHz%E7%94%A8%E3%81%AE%E4%BD%8E%E5%85%A5%E5%8A%9B%E3%83%A2%E3%83%BC%E3%83%89%E4%BB%98%E3%81%8D-2-8%E3%82%A4%E3%83%B3%E3%83%81%E3%82%BF%E3%83%83%E3%83%81%E3%82%B9%E3%82%AF%E3%83%AA%E3%83%BC%E3%83%B3MF-UHF%E3%82%A2%E3%83%8A%E3%83%A9%E3%82%A4%E3%82%B6/dp/B08SHQMR6K/ref=sr_1_3?crid=20G57NNRR8FOM&amp;keywords=micro+spectrum+analyzer&amp;qid=1640584510&amp;sprefix=micro+Spectrum+analy%2Caps%2C471&amp;sr=8-3</t>
  </si>
  <si>
    <t>Wall calendar</t>
  </si>
  <si>
    <t>12 pages printed wall calendar</t>
  </si>
  <si>
    <t>Graphic</t>
  </si>
  <si>
    <t>https://www.graphic.jp/price/confirm/hanger_calendar/329_2_1919_3913_5_14v100_0_no</t>
  </si>
  <si>
    <t>Certificates</t>
  </si>
  <si>
    <t>Certificate of appreciation for all ground stations</t>
  </si>
  <si>
    <t>https://www.graphic.jp/price/confirm/3109_921_3_5974_4v20_0_no</t>
  </si>
  <si>
    <t>Antenna converter adapter</t>
  </si>
  <si>
    <t>leeyovk M Type to SMA Kit, SMA UHF/VHF Antenna Converter Adapter, SMA Male/Female to UHF Male/Female</t>
  </si>
  <si>
    <t>‎Yooland</t>
  </si>
  <si>
    <t>B078MFFJTQ</t>
  </si>
  <si>
    <t>JP03261LY</t>
  </si>
  <si>
    <t>https://www.amazon.co.jp/-/en/leeyovk-Antenna-Converter-Connector-Receivers/dp/B078MFFJTQ/ref=pd_vtp_4/355-7681945-1338807?pd_rd_w=0bQ1E&amp;pf_rd_p=949e26f5-c2ef-4c96-bfde-49d7614d0317&amp;pf_rd_r=RJZER9Y9BYR4RBWWMZHG&amp;pd_rd_r=a6de7632-8d2f-481e-b1e2-8db8560f2440&amp;pd_rd_wg=hD0xH&amp;pd_rd_i=B078MFFJTQ&amp;th=1</t>
  </si>
  <si>
    <t>英語校正</t>
  </si>
  <si>
    <t>3837文字　ベーシック　American</t>
  </si>
  <si>
    <t>NAG</t>
  </si>
  <si>
    <t xml:space="preserve">Screw </t>
  </si>
  <si>
    <t>Low head screw M3-8</t>
  </si>
  <si>
    <t>CBSTS3-8</t>
  </si>
  <si>
    <t>フェローシップ</t>
  </si>
  <si>
    <t>Arduino Srl</t>
  </si>
  <si>
    <t>Laptop</t>
  </si>
  <si>
    <t>13.3 inch Win10 pro Corei5-1135G7(2.4GHz) 8GB RAM 256GB SSD</t>
  </si>
  <si>
    <t>A6SFHSF2D611</t>
  </si>
  <si>
    <t>ＵＳＢケーブル　ＵＳＢ２．０　Ａオス－Ｂオス　１．５ｍ　Ａ－Ｂ</t>
  </si>
  <si>
    <t>USB2.0 Type A male Type B male</t>
  </si>
  <si>
    <t>C-07605</t>
  </si>
  <si>
    <t>USBcable A-B</t>
  </si>
  <si>
    <t>https://akizukidenshi.com/catalog/g/gC-07605/</t>
  </si>
  <si>
    <t>スイッチングＡＣアダプター　１２Ｖ３Ａ　ＡＤ－Ａ１２０Ｐ３００</t>
  </si>
  <si>
    <t>12V, 3A</t>
  </si>
  <si>
    <t>M-10661</t>
  </si>
  <si>
    <t>AD-A120P300</t>
  </si>
  <si>
    <t>https://akizukidenshi.com/catalog/g/gM-10661/</t>
  </si>
  <si>
    <t>ｍｉｃｒｏＳＤカードスロット</t>
  </si>
  <si>
    <t>レベルシフタ付きブレークアウト基板キット</t>
  </si>
  <si>
    <t>K-14015</t>
  </si>
  <si>
    <t>AE-microSD-LLCNV</t>
  </si>
  <si>
    <t>https://akizukidenshi.com/catalog/g/gK-14015/</t>
  </si>
  <si>
    <t>アッテネーター</t>
  </si>
  <si>
    <t>固定減衰器（SMAタイプ） (AT-105(40))　5dB</t>
  </si>
  <si>
    <t>ヒロセ電機</t>
  </si>
  <si>
    <t>AT-105(40)</t>
  </si>
  <si>
    <t>https://jp.misumi-ec.com/vona2/detail/222000426705</t>
  </si>
  <si>
    <t>固定減衰器（SMAタイプ） (AT-110(40))　10dB</t>
  </si>
  <si>
    <t>AT-110(40)</t>
  </si>
  <si>
    <t>https://jp.misumi-ec.com/vona2/detail/222000426705/</t>
  </si>
  <si>
    <t>固定減衰器（SMAタイプ） (AT-120(40))　20dB</t>
  </si>
  <si>
    <t>AT-120(40)</t>
  </si>
  <si>
    <t>Solar panel Pin header</t>
  </si>
  <si>
    <t>Pin header (pin) PCB mounting hole diameter Φ1.02 PSR-410153-00 (H = 1.5, h = 2.4)  PSR-410153-12</t>
  </si>
  <si>
    <t>Hirosuki</t>
  </si>
  <si>
    <t xml:space="preserve">1 bag= 50 </t>
  </si>
  <si>
    <t xml:space="preserve">1bag=50 </t>
  </si>
  <si>
    <t>https://www.monotaro.com/p/2635/4256/?displayId=5</t>
  </si>
  <si>
    <t>SQ1922AEEH-T1_GE3CT-ND</t>
  </si>
  <si>
    <t>SOT-36</t>
  </si>
  <si>
    <t>CONN HEADER VERT 2POS 2.54MM</t>
  </si>
  <si>
    <t>MTLW-102-07-L-S-250-ND</t>
  </si>
  <si>
    <t>MTLW-102-07-L-S-250</t>
  </si>
  <si>
    <t>2.54mm</t>
  </si>
  <si>
    <t>RES 0.47 OHM 5% 1/10W 0603</t>
  </si>
  <si>
    <t>118-CRL0603-JW-R470ELFCT-ND</t>
  </si>
  <si>
    <t>CRL0603-JW-R470ELF</t>
  </si>
  <si>
    <t>RES 0.2 OHM 5% 1/10W 0603</t>
  </si>
  <si>
    <t>CTS Resistor Products</t>
  </si>
  <si>
    <t>73L2R20JCT-ND</t>
  </si>
  <si>
    <t>73L2R20J</t>
  </si>
  <si>
    <t>RES 0.1 OHM 5% 1/10W 0603</t>
  </si>
  <si>
    <t>P.10AHCT-ND</t>
  </si>
  <si>
    <t>ERJ-3RSJR10V</t>
  </si>
  <si>
    <t>RES 0.05 OHM 1% 1/5W 0603</t>
  </si>
  <si>
    <t>273-KDV06FR050ETCT-ND</t>
  </si>
  <si>
    <t>KDV06FR050ET</t>
  </si>
  <si>
    <t>RES 0.033 OHM 1% 1/4W 0603</t>
  </si>
  <si>
    <t>408-1441-1-ND</t>
  </si>
  <si>
    <t>RL0816T-R033-F</t>
  </si>
  <si>
    <t>TRANS PREBIAS NPN 200MW UMT3</t>
  </si>
  <si>
    <t>DTC144EUAT106CT-ND</t>
  </si>
  <si>
    <t>DTC144EUAT106</t>
  </si>
  <si>
    <t>UMT3</t>
  </si>
  <si>
    <t>過電流保護基板 (実装込み）</t>
  </si>
  <si>
    <t>10mm x 5mm x 1.0mm 30枚製造 保護電流設定用抵抗以外実装20枚</t>
  </si>
  <si>
    <t>ＦＴＤＩ　ＵＳＢシリアル変換ケーブル（３．３Ｖ）</t>
  </si>
  <si>
    <t>USB-RS232R 3.3V</t>
  </si>
  <si>
    <t>KITSUNE/OPERA</t>
  </si>
  <si>
    <t>TEC, SDR</t>
  </si>
  <si>
    <t>D-subコネクタ, 25極, オス</t>
  </si>
  <si>
    <t>UNISEC</t>
  </si>
  <si>
    <t>RS PRO D-subコネクタ, 25極, オス, パネルマウント</t>
  </si>
  <si>
    <t>TVT</t>
  </si>
  <si>
    <t>2F SBVL</t>
  </si>
  <si>
    <t>https://jp.rs-online.com/web/p/pcb-d-sub-connectors/5443812</t>
  </si>
  <si>
    <t>D-subコネクタ, 25極, メス</t>
  </si>
  <si>
    <t>RS PRO D-subコネクタ, 25極, メス, パネルマウント</t>
  </si>
  <si>
    <t>https://jp.rs-online.com/web/p/pcb-d-sub-connectors/5443834</t>
  </si>
  <si>
    <t>replacement: https://www.mouser.jp/ProductDetail/Amphenol-Commercial-Products/L77SDB25SC309?qs=mq7kV%2Fq8lk6GRJnsl9eJsQ%3D%3D</t>
  </si>
  <si>
    <t>Resistor-1K ohm</t>
  </si>
  <si>
    <t>KOA SMD register, 1kΩ, 0603 (1608M), 0.125W RK73H1JTTD1001F</t>
  </si>
  <si>
    <t>631-6395</t>
  </si>
  <si>
    <t>0603 (1608M)</t>
  </si>
  <si>
    <t>EM2-BPB</t>
  </si>
  <si>
    <t>https://jp.rs-online.com/web/p/surface-mount-resistors/6316395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373348314A5454443130303146267365617263685F6B6579776F72645F6170703D524B373348314A5454443130303146267365617263685F636F6E6669673D3126&amp;searchHistory=%7B%22enabled%22%3Atrue%7D</t>
  </si>
  <si>
    <t>Resistor-10K ohm</t>
  </si>
  <si>
    <t>KOA SMD register, 10kΩ, 0603 (1608M), 0.1W RK73B1JTTD103J</t>
  </si>
  <si>
    <t>431-619</t>
  </si>
  <si>
    <t>https://jp.rs-online.com/web/p/surface-mount-resistors/0431619/?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A5454443130334A267365617263685F6B6579776F72645F6170703D524B373342314A5454443130334A267365617263685F636F6E6669673D3126&amp;searchHistory=%7B%22enabled%22%3Atrue%7D</t>
  </si>
  <si>
    <t>Resistor-5.6K ohm</t>
  </si>
  <si>
    <t>KOA SMD register, 5.6kΩ, 0402 (1005M), 0.1W RK73B1ETTP562J</t>
  </si>
  <si>
    <t>430-739</t>
  </si>
  <si>
    <t>RK73B1ETTP562J</t>
  </si>
  <si>
    <t>0402 (1005M)</t>
  </si>
  <si>
    <t>https://jp.rs-online.com/web/p/surface-mount-resistors/0430739/?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37334231455454503536324A267365617263685F6B6579776F72645F6170703D524B37334231455454503536324A267365617263685F636F6E6669673D3126&amp;searchHistory=%7B%22enabled%22%3Atrue%7D</t>
  </si>
  <si>
    <t>Resistor-150K ohm</t>
  </si>
  <si>
    <t>150 kOhms ± 5% 0.1W, 1 / 10W Chip resistance 0603 (1608 metric system)</t>
  </si>
  <si>
    <t>2019-RK73B1JTTD154JCT-ND --Cut Tape (CT)</t>
  </si>
  <si>
    <t> 0603</t>
  </si>
  <si>
    <t>https://www.digikey.jp/ja/products/detail/koa-speer-electronics-inc/RK73B1JTTD154J/9844780?s=N4IgTCBcDaIEoGkDsBmAQgRgFIBUcBEMBWAFixAF0BfIA</t>
  </si>
  <si>
    <t>Resistor-33 ohm</t>
  </si>
  <si>
    <t>KOA SMD register, 33Ω, 0603 (1608M), 0.125W RK73B1JTTD330J</t>
  </si>
  <si>
    <t>431-316</t>
  </si>
  <si>
    <t>https://jp.rs-online.com/web/p/surface-mount-resistors/0431316/?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A5454443333304A267365617263685F6B6579776F72645F6170703D524B373342314A5454443333304A267365617263685F636F6E6669673D3126&amp;searchHistory=%7B%22enabled%22%3Atrue%7D</t>
  </si>
  <si>
    <t>Resistor-11 ohm</t>
  </si>
  <si>
    <t>11 Ohms ± 1% 0.1W, 1 / 10W Chip resistance 0402 (1005m method) </t>
  </si>
  <si>
    <t>2019-RK73H1ETTP11R0FCT-ND </t>
  </si>
  <si>
    <t>RK73H1ETTP11R0F</t>
  </si>
  <si>
    <t>https://www.digikey.jp/ja/products/detail/koa-speer-electronics-inc/RK73H1ETTP11R0F/9844600?s=N4IgTCBcDaIEoGkDsBmAEgRgKIBUcAUMM4AGAMRAF0BfIA</t>
  </si>
  <si>
    <t>ground wrist 帯電防止リストバンド 1.8m</t>
  </si>
  <si>
    <t>帯電防止リストバンド 1.8m</t>
  </si>
  <si>
    <t>798-9275</t>
  </si>
  <si>
    <t>https://jp.rs-online.com/web/p/esd-grounding-wrist-straps-cord-sets/7989275</t>
  </si>
  <si>
    <t>Heat shrink tube</t>
  </si>
  <si>
    <t>Electron cross-linked soft polyolefin resin,1m long,-55-105</t>
  </si>
  <si>
    <t>Sumitmo</t>
  </si>
  <si>
    <t>379-9671</t>
  </si>
  <si>
    <t>meter</t>
  </si>
  <si>
    <t>battery cable</t>
  </si>
  <si>
    <t>https://www.monotaro.com/p/3944/0852/</t>
  </si>
  <si>
    <t>Aluminum cup</t>
  </si>
  <si>
    <t>USBハブ</t>
  </si>
  <si>
    <t>マイクロオービター</t>
  </si>
  <si>
    <t>USB2.0 3port USB3.1 1port 10cm cable lenght</t>
  </si>
  <si>
    <t>USB-3H421BK</t>
  </si>
  <si>
    <t>catebory6 3m</t>
  </si>
  <si>
    <t>LD-GPN/BU3</t>
  </si>
  <si>
    <t>スポンジゴム</t>
  </si>
  <si>
    <t>JICA(Almonte)</t>
  </si>
  <si>
    <t>塩ビパイプ</t>
  </si>
  <si>
    <t>30mm</t>
  </si>
  <si>
    <t>角型旗立石</t>
  </si>
  <si>
    <t>155 x 250</t>
  </si>
  <si>
    <t>ボンド低粘度　100</t>
  </si>
  <si>
    <t>Cryo pump Compressor He gas gilling</t>
  </si>
  <si>
    <t>Filling up to 1.6 Mpa</t>
  </si>
  <si>
    <t>¥59,400</t>
  </si>
  <si>
    <t>LSSC Parts</t>
  </si>
  <si>
    <t>C133488</t>
  </si>
  <si>
    <t>https://lcsc.com/product-detail/Satellite-Positioning-Modules_Quectel-L80-M39_C133488.html</t>
  </si>
  <si>
    <t>VHF Transceiver</t>
  </si>
  <si>
    <t>Baofeng UV-5R</t>
  </si>
  <si>
    <t>baofeng</t>
  </si>
  <si>
    <t>APRS/SF-ward</t>
  </si>
  <si>
    <t>Birds-room</t>
  </si>
  <si>
    <t>https://www.amazon.co.jp/-/en/Transceiver-Operation-Earthquake-Emergency-Compatible/dp/B0863H5TN3/ref=sr_1_7?keywords=uv-5r&amp;qid=1645608815&amp;sr=8-7</t>
  </si>
  <si>
    <t>OCP for S-band on BPB</t>
  </si>
  <si>
    <t>Current Surge Stopper,4 V to 72 V</t>
  </si>
  <si>
    <t xml:space="preserve">Curtis </t>
  </si>
  <si>
    <t>40 pin female connector</t>
  </si>
  <si>
    <t>40-pole receptacle, bottom or top entry connector 0.079 inch (2.00 mm) surface mount gold</t>
  </si>
  <si>
    <t>https://www.digikey.jp/ja/products/detail/3m/153240-2020-RB/1145342</t>
  </si>
  <si>
    <t>50 pin female connector</t>
  </si>
  <si>
    <t>Headers &amp; Wire Housings 50P DR STRT RECPT 3MM LEAD LENGTH</t>
  </si>
  <si>
    <t>Hirose connector</t>
  </si>
  <si>
    <t>798-A3C-50DA-2DSA71</t>
  </si>
  <si>
    <t>1uF 6.3V DC 0603</t>
  </si>
  <si>
    <t>801-5220</t>
  </si>
  <si>
    <t>https://www.mouser.jp/ProductDetail/Hirose-Connector/A3C-50DA-2DSA71?qs=sGAEpiMZZMthaSLPVp%252B4aoVapxHV3GzVkBY7TFV1FZY%3D</t>
  </si>
  <si>
    <t>4 pin connector</t>
  </si>
  <si>
    <t>4-pole receptacle connector 0.079 inch (2.00 mm) through hole gold</t>
  </si>
  <si>
    <t>hirose electric</t>
  </si>
  <si>
    <t xml:space="preserve">
H10891-ND</t>
  </si>
  <si>
    <t>A3C-4DA-2DSA (71)</t>
  </si>
  <si>
    <t>https://www.digikey.jp/ja/products/detail/hirose-electric-co-ltd/A3C-4DA-2DSA-71/1033019?s=N4IgTCBcDaIIIGYDCBaALAETisGDKcAFAOwCMAlCALoC%2BQA</t>
  </si>
  <si>
    <t>Ferrite Beads 600 OHM 25%</t>
  </si>
  <si>
    <t>murata</t>
  </si>
  <si>
    <t>https://www.mouser.jp/ProductDetail/Murata-Electronics/BLM18AG601SN1D?qs=sGAEpiMZZMt46bMQRT2SLsteriruT1tU</t>
  </si>
  <si>
    <t>15 pin Thermal pin connector</t>
  </si>
  <si>
    <t>Headers &amp; Wire Housings 1mm PicoClasp SMT SR 15CKT RA HDR GLD PLT</t>
  </si>
  <si>
    <t>Furoshiki</t>
  </si>
  <si>
    <t>Pooja, Kishimoto</t>
  </si>
  <si>
    <t>Furoshiki for souvenir ( 100cmx100cm)</t>
  </si>
  <si>
    <t>Kilamek</t>
  </si>
  <si>
    <t xml:space="preserve"> E-0254657</t>
  </si>
  <si>
    <t>https://www.xn--ncke3d3fqb.com/furoshiki/youto/kinen.html</t>
  </si>
  <si>
    <t>BIRDS-4/5/KITSUNE</t>
  </si>
  <si>
    <t>28AWG Shielded 4 wires cable</t>
  </si>
  <si>
    <t>4 Conductor Multi-Conductor Cable Black 28 AWG Foil, Braid 3.28' (1.00m)</t>
  </si>
  <si>
    <t>T1402-1-ND</t>
  </si>
  <si>
    <t>30-01035</t>
  </si>
  <si>
    <t>Turbo pump gate valve cylinder repair</t>
  </si>
  <si>
    <t>O-rings replaced; parts greased</t>
  </si>
  <si>
    <t>¥44,770</t>
  </si>
  <si>
    <t>Screws and Spacers</t>
  </si>
  <si>
    <t>M3 60mm, M2 10mm, M2 3mm spacer</t>
  </si>
  <si>
    <t xml:space="preserve">Connector Header VERT 4POS </t>
  </si>
  <si>
    <t xml:space="preserve">
Connector Header Through Hole 4 position 0.100" (2.54mm)</t>
  </si>
  <si>
    <t>sunllins</t>
  </si>
  <si>
    <t>S2022E-02-ND</t>
  </si>
  <si>
    <t>PEC02DABN</t>
  </si>
  <si>
    <t>Curtis -battery charger</t>
  </si>
  <si>
    <t>PEC02DABN Sullins Connector Solutions | Connectors, interconnection | DigiKey</t>
  </si>
  <si>
    <t>Flux Cleaner</t>
  </si>
  <si>
    <t>SAN HAYATO FLUX CLEANER FL FL-300</t>
  </si>
  <si>
    <t>San Hayato</t>
  </si>
  <si>
    <t>664-2903</t>
  </si>
  <si>
    <t>FL-300</t>
  </si>
  <si>
    <t>All Curtis</t>
  </si>
  <si>
    <t>San hayat Flux Cleaner FL FL-300 | RS Components (rs-online.com)</t>
  </si>
  <si>
    <t>sharp wire sloder lead</t>
  </si>
  <si>
    <t>Hozan Tin Lead Solder, Unwashed / RMA Type H-712 Wire Shape Wire Diameter 0.3mm +183°C Melting Point</t>
  </si>
  <si>
    <t>hozen</t>
  </si>
  <si>
    <t>319-9872</t>
  </si>
  <si>
    <t>H-712</t>
  </si>
  <si>
    <t>Hozan Tin Lead Solder, Unwashed / RMA Type H-712 Wire Shape Wire Diameter 0.3mm +183°C Melting Point | RS Components (rs-online.com)</t>
  </si>
  <si>
    <t>solder suction</t>
  </si>
  <si>
    <t>TAIYO ELECTRIC INDUSTRY SOLDER SUCTION LINE CP-30Y</t>
  </si>
  <si>
    <t>167-807</t>
  </si>
  <si>
    <t>Taiyo Electric Industry Solder Suction Line CP-30Y | RS Components (rs-online.com)</t>
  </si>
  <si>
    <t>solder susction-1.5m</t>
  </si>
  <si>
    <t>Taiyo Electric Industry Solder Suction Line CP-1515 1.5m</t>
  </si>
  <si>
    <t>167-728</t>
  </si>
  <si>
    <t>Taiyo Electric Industry Solder Suction Line CP-1515 1.5m | RS Components (rs-online.com)</t>
  </si>
  <si>
    <t>Resistor- o ohm  0603</t>
  </si>
  <si>
    <t>Vishay SMD Register, 0Ω, 0603 (1608M), 0.1W CRCW06030000Z0EB</t>
  </si>
  <si>
    <t>FAB/BPB</t>
  </si>
  <si>
    <t>Vishay SMD Register, 0Ω, 0603 (1608M), 0.1W CRCW06030000Z0EB | RS Components (rs-online.com)</t>
  </si>
  <si>
    <t>Esteban/Ariel/Hari</t>
  </si>
  <si>
    <t>511-A3G4250DTR</t>
  </si>
  <si>
    <t>https://www.mouser.jp/ProductDetail/STMicroelectronics/A3G4250DTR?qs=Ld7sMN6XJzCU8%252BkHd1RE7g%3D%3D</t>
  </si>
  <si>
    <t>Jumper Wires Male/Female 15 cm</t>
  </si>
  <si>
    <t>Jumper Wires WIRE JUMPER MALE TO FEMALE 15CM 10PK</t>
  </si>
  <si>
    <t>Mikroe</t>
  </si>
  <si>
    <t>932-MIKROE-512</t>
  </si>
  <si>
    <t>https://www.mouser.jp/ProductDetail/Mikroe/MIKROE-512?qs=7CTBMF0jTsEZofUYpqZBLw%3D%3D</t>
  </si>
  <si>
    <t>Jumper Wires Male/Female 10 cm</t>
  </si>
  <si>
    <t>Jumper Wires ZIPWIRE 10cm MALE TO FEMALE 28AWG</t>
  </si>
  <si>
    <t>BusBoard Prototype System</t>
  </si>
  <si>
    <t>854-ZW-MF-10</t>
  </si>
  <si>
    <t>ZW-MF-10</t>
  </si>
  <si>
    <t>Resistor-0 ohm  1206</t>
  </si>
  <si>
    <t>Vishay SMD Register, 0Ω, 1206 (3216M), 0.25W CRCW12060000Z0EA</t>
  </si>
  <si>
    <t>679-1768</t>
  </si>
  <si>
    <t>CRCW12060000Z0EA</t>
  </si>
  <si>
    <t>All  curtis</t>
  </si>
  <si>
    <t>Vishay SMD register, 0Ω, 1206 (3216M), 0.25W CRCW12060000Z0EA | RS Components (rs-online.com)</t>
  </si>
  <si>
    <t>Heating wire</t>
  </si>
  <si>
    <t>uxcell Heating Wire, Nichrome 0.3mm, 28AWG, 15m, Silver Tone Resistance Wire, Pack of 1</t>
  </si>
  <si>
    <t>Cr20Ni80</t>
  </si>
  <si>
    <t>Amazon.co.jp: uxcell Heating Wire, Nichrome 0.3mm, 28AWG, 15m, Silver Tone Resistance Wire, Pack of 1 : DIY, Tools &amp; Garden</t>
  </si>
  <si>
    <t>Heat resistance tape</t>
  </si>
  <si>
    <t>Heat Resistant Tape, High Temperature Tape, Polyimide Adhesive Tape</t>
  </si>
  <si>
    <t>JOMTTW</t>
  </si>
  <si>
    <t>All curtis</t>
  </si>
  <si>
    <t>Amazon.co.jp: Heat Resistant Tape, High Temperature Tape, Polyimide Adhesive Tape, Insulation Heat Resistant Tape, Kapton Tape, Adhesive Tape, Sublimation Tape, Masking Protection, Mechanical Equipment, etc., Set of 6 (0.4, 0.6, 0.8, 1, 1.2, 2 x 10 m) : Industrial &amp; Scientific</t>
  </si>
  <si>
    <t>Air gun soldering station</t>
  </si>
  <si>
    <t>Akozon Hot Air Gun 868D 700W Digital Display Anti-Static Hot Air Gun Heat Gun Reworkstation, 5 Nozzles (110V)</t>
  </si>
  <si>
    <t>Akozon</t>
  </si>
  <si>
    <t>Akozon store</t>
  </si>
  <si>
    <t>Amazon.co.jp: Akozon Hot Air Gun 868D 700W Digital Display Anti-Static Hot Air Gun Heat Gun Reworkstation, 5 Nozzles (110V) : DIY, Tools &amp; Garden</t>
  </si>
  <si>
    <t>Camera module</t>
  </si>
  <si>
    <t>Camera Modules VCMIPI IMX296C MIPI camera module</t>
  </si>
  <si>
    <t>Vision Components</t>
  </si>
  <si>
    <t>178-VK003315</t>
  </si>
  <si>
    <t>VK003315</t>
  </si>
  <si>
    <t>KITSUNE/CAM</t>
  </si>
  <si>
    <t>https://www.mouser.jp/ProductDetail/Vision-Components/VK003315?qs=KUoIvG%2F9IlZTTZ%252Bhgf1LMg%3D%3D</t>
  </si>
  <si>
    <t>Camera lens holder</t>
  </si>
  <si>
    <t>CS-/C-Mount lens holder</t>
  </si>
  <si>
    <t>178-VK000454</t>
  </si>
  <si>
    <t>VK000454</t>
  </si>
  <si>
    <t>https://www.mouser.jp/ProductDetail/Vision-Components/VK000454?qs=KUoIvG%2F9IlbreR%252BEX5Uhew%3D%3D</t>
  </si>
  <si>
    <t>MIPI FPC cable</t>
  </si>
  <si>
    <t>MIPI FPC cable 200mm 22pin-22pin</t>
  </si>
  <si>
    <t>178-EK003260</t>
  </si>
  <si>
    <t>EK003260</t>
  </si>
  <si>
    <t>https://www.mouser.jp/ProductDetail/Vision-Components/EK003260?qs=KUoIvG%2F9IlZwpeKCYPJjug%3D%3D</t>
  </si>
  <si>
    <t>Mount Adapter Lens</t>
  </si>
  <si>
    <t>C to K-mount adapter</t>
  </si>
  <si>
    <t>K &amp; F Concept</t>
  </si>
  <si>
    <t>KF-PKC</t>
  </si>
  <si>
    <t>https://www.amazon.co.jp/Concept-%E3%83%AC%E3%83%B3%E3%82%BA%E3%83%9E%E3%82%A6%E3%83%B3%E3%83%88%E3%82%A2%E3%83%80%E3%83%97%E3%82%BF%E3%83%BC-KF-PKC-%E3%83%9A%E3%83%B3%E3%82%BF%E3%83%83%E3%82%AF%E3%82%B9K%E3%83%9E%E3%82%A6%E3%83%B3%E3%83%88%E3%83%AC%E3%83%B3%E3%82%BA-C%E3%83%9E%E3%82%A6%E3%83%B3%E3%83%88%E5%A4%89%E6%8F%9B/dp/B07421STB1/ref=sr_1_1?__mk_ja_JP=%E3%82%AB%E3%82%BF%E3%82%AB%E3%83%8A&amp;crid=KQ51U27UZFQ0&amp;keywords=KF-PKC&amp;qid=1647924191&amp;s=electronics&amp;sprefix=%2Celectronics%2C609&amp;sr=1-1&amp;th=1</t>
  </si>
  <si>
    <t>Changed from Yodobashi to Amazon</t>
  </si>
  <si>
    <t>Black tape</t>
  </si>
  <si>
    <t>Aluminum tape black matte</t>
  </si>
  <si>
    <t xml:space="preserve"> ニトムズ</t>
  </si>
  <si>
    <t>Green tape</t>
  </si>
  <si>
    <t>Green tape P-カットテープ No.4140</t>
  </si>
  <si>
    <t>https://www.monotaro.com/p/0920/7046/</t>
  </si>
  <si>
    <t>15 pin D-sub connector male</t>
  </si>
  <si>
    <t>RS PRO D-subコネクタ, 15極, オス, パネルマウント</t>
  </si>
  <si>
    <t>544-3761</t>
  </si>
  <si>
    <t>https://jp.rs-online.com/web/p/pcb-d-sub-connectors/5443761</t>
  </si>
  <si>
    <t>15 pin D-sub connector female</t>
  </si>
  <si>
    <t>Hirose D-subコネクタ, 15極, メス, パネルマウント, HDAB-15S(05)</t>
  </si>
  <si>
    <t>HIROSE</t>
  </si>
  <si>
    <t>608-0513</t>
  </si>
  <si>
    <t xml:space="preserve">
HDAB-15S(05)</t>
  </si>
  <si>
    <t>https://jp.rs-online.com/web/p/pcb-d-sub-connectors/6080513</t>
  </si>
  <si>
    <t xml:space="preserve">RF cable SMA </t>
  </si>
  <si>
    <t>SMA Male Adapter Cable SMA Female Connector RG316 21cm Length Plastic</t>
  </si>
  <si>
    <t>UXCELL</t>
  </si>
  <si>
    <t>B00Z01FO2S</t>
  </si>
  <si>
    <t>a13122500ux1061jp</t>
  </si>
  <si>
    <t>https://www.amazon.co.jp/dp/B00Z01FO2S/ref=cm_sw_em_r_mt_dp_9JEEW6J9QA09Q85Z5084?_encoding=UTF8&amp;psc=1</t>
  </si>
  <si>
    <t>GNSS module</t>
  </si>
  <si>
    <t>GNSS 377-NEO-7M-0</t>
  </si>
  <si>
    <t>u-blox</t>
  </si>
  <si>
    <t>NEO-7M-0</t>
  </si>
  <si>
    <t>377-NEO-7M-0</t>
  </si>
  <si>
    <t>https://www.mouser.jp/ProductDetail/u-blox/NEO-7M-0?qs=KUoIvG%2F9Ilb2dHa1StWjzQ%3D%3D</t>
  </si>
  <si>
    <t>https://www.monotaro.com/g/00260582/?displayId=11</t>
  </si>
  <si>
    <t>バーレル (標準)</t>
  </si>
  <si>
    <t>BA WSP80</t>
  </si>
  <si>
    <t>https://www.monotaro.com/p/3148/5292/?t.q=wsp80</t>
  </si>
  <si>
    <t>iron tip</t>
  </si>
  <si>
    <t>LTシリーズ コテ先 適合ハンダゴテWP80/WSP80 円錐型</t>
  </si>
  <si>
    <t>LT O LF</t>
  </si>
  <si>
    <t>https://www.monotaro.com/p/3148/4845/</t>
  </si>
  <si>
    <t>LT 1L</t>
  </si>
  <si>
    <t>https://www.monotaro.com/p/3148/4897/</t>
  </si>
  <si>
    <t>LTシリーズ コテ先 適合ハンダゴテWP80/WSP80 チゼル型</t>
  </si>
  <si>
    <t>LT B</t>
  </si>
  <si>
    <t>https://www.monotaro.com/p/3148/5046/</t>
  </si>
  <si>
    <t>MO-1 Programming Board</t>
  </si>
  <si>
    <t>JP</t>
  </si>
  <si>
    <t>2-layer PCB (60 mm x 80 mm)</t>
  </si>
  <si>
    <t>MO-1 RAB Version 2</t>
  </si>
  <si>
    <t>Fahd/Pema</t>
  </si>
  <si>
    <t>2-layer PCB (91.2 mm x 83.8 mm)</t>
  </si>
  <si>
    <t>MO-1 PCB for Plan C antenna</t>
  </si>
  <si>
    <t>片面銅張PCBラミネート回路基板、FR-4グラスファイバー、 300 x 200 x 1mm, 2個</t>
  </si>
  <si>
    <t>Aoje-Link</t>
  </si>
  <si>
    <t>https://www.amazon.co.jp/Aoje-Link%E7%89%87%E9%9D%A2%E9%8A%85%E5%BC%B5PCB%E3%83%A9%E3%83%9F%E3%83%8D%E3%83%BC%E3%83%88%E5%9B%9E%E8%B7%AF%E5%9F%BA%E6%9D%BF%E3%80%81FR-4%E3%82%B0%E3%83%A9%E3%82%B9%E3%83%95%E3%82%A1%E3%82%A4%E3%83%90%E3%83%BC%E3%80%81-300-200-1mm-2%E5%80%8B/dp/B091Y1VPW4/ref=sr_1_16?__mk_ja_JP=%E3%82%AB%E3%82%BF%E3%82%AB%E3%83%8A&amp;crid=2TW4ODC7FIB9E&amp;keywords=FR-4%2Bboard&amp;qid=1646886680&amp;sprefix=fr-4%2Bboar%2Caps%2C160&amp;sr=8-16&amp;th=1</t>
  </si>
  <si>
    <t>Soldering Service for RAB</t>
  </si>
  <si>
    <t>USB 3.0 passive hub</t>
  </si>
  <si>
    <t>4 ports; 60 cm in length; 5℃~40℃</t>
  </si>
  <si>
    <t>Hamam</t>
  </si>
  <si>
    <t>B09922RYBK</t>
  </si>
  <si>
    <t>BSH4U12560U3BK</t>
  </si>
  <si>
    <t>¥1,240</t>
  </si>
  <si>
    <t>¥3,720</t>
  </si>
  <si>
    <t>Amazon.co.jp: BUFFALO BSH4U125U3BK USB Hub, PS4 PS5, Chromebook Compatible, USB3.0 Bus Power, 4 Ports, Black, Slim Design, Lightweight, Telework, Work at Home : Computers</t>
  </si>
  <si>
    <t>¥1,800</t>
  </si>
  <si>
    <t>Amazon.co.jp: TP-Link Desktop Switch : Computers</t>
  </si>
  <si>
    <t>Butt sleeve crimp terminal</t>
  </si>
  <si>
    <t>bare crimp terminal; wire size: 0.25-1.65 mm2; inner phi: 1.7 mm</t>
  </si>
  <si>
    <t>日本圧着端子製造(JST)</t>
  </si>
  <si>
    <t>B1.25</t>
  </si>
  <si>
    <t>cased box</t>
  </si>
  <si>
    <t>¥679</t>
  </si>
  <si>
    <t>https://www.monotaro.com/p/3498/2577/</t>
  </si>
  <si>
    <t>¥1,752</t>
  </si>
  <si>
    <t>¥3,504</t>
  </si>
  <si>
    <t>small TVT chamber</t>
  </si>
  <si>
    <t>SMA CONNECTOR CABLE | MISUMI | MISUMI-VONA (misumi-ec.com)</t>
  </si>
  <si>
    <t>Clayborn tape heater</t>
  </si>
  <si>
    <t>tape heater; 70 W/ft</t>
  </si>
  <si>
    <t>Clayborn</t>
  </si>
  <si>
    <t>Orbital Eng.</t>
  </si>
  <si>
    <t>crimp</t>
  </si>
  <si>
    <t>A-28-4 (100FT)</t>
  </si>
  <si>
    <t>roll/ reel</t>
  </si>
  <si>
    <t>¥57,000</t>
  </si>
  <si>
    <t>large TVT chamber</t>
  </si>
  <si>
    <t>ORBITAL Engineering Inc. – Weaving dreams to the Space (orbital-e.co.jp)</t>
  </si>
  <si>
    <t>terminal block</t>
  </si>
  <si>
    <t>terminal blocks with crimp connectors; AWG 22-26</t>
  </si>
  <si>
    <t>¥1,000</t>
  </si>
  <si>
    <t>¥6,000</t>
  </si>
  <si>
    <t>Clayborn Lab - Heat Tape accessories</t>
  </si>
  <si>
    <t>第二地上局　修繕工事</t>
  </si>
  <si>
    <t>クロスマウント交換</t>
  </si>
  <si>
    <t>ウエーブ</t>
  </si>
  <si>
    <t>rooftop</t>
  </si>
  <si>
    <t>無線局関連申請手数料</t>
  </si>
  <si>
    <t>無線局の免許申請</t>
  </si>
  <si>
    <t>2-layer PCB (96.0mm x 96.0mm) with soldered components</t>
  </si>
  <si>
    <t>SMP terminator</t>
  </si>
  <si>
    <t>Rodrigo/Victor</t>
  </si>
  <si>
    <t>Amphenol RF SMP-FS-T2</t>
  </si>
  <si>
    <t>523-SMP-FS-T2</t>
  </si>
  <si>
    <t>SMP-FS-T2</t>
  </si>
  <si>
    <t>https://www.mouser.jp/ProductDetail/Amphenol-RF/SMP-FS-T2?qs=sGAEpiMZZMv0NwlthflBi6SRP5Iq5GzX7lZ%252BfPb0beM%3D</t>
  </si>
  <si>
    <t>SMA - SMA cable</t>
  </si>
  <si>
    <t>Amphenol RF 135101-02-M1.00</t>
  </si>
  <si>
    <t>523-135101-02-M1.00</t>
  </si>
  <si>
    <t>135101-02-M1.00</t>
  </si>
  <si>
    <t>https://www.mouser.jp/ProductDetail/Amphenol-RF/135101-02-M100?qs=0kFKDc1CZSm18SvrrdJJ0w%3D%3D</t>
  </si>
  <si>
    <t>SMA Gold Jack to Right Angle MHF/U.FL</t>
  </si>
  <si>
    <t>Linx Technologies</t>
  </si>
  <si>
    <t>712-CSI-SGFB-1-UFFR</t>
  </si>
  <si>
    <t>CSI-SGFB-100-UFFR</t>
  </si>
  <si>
    <t>https://www.mouser.jp/ProductDetail/Linx-Technologies/CSI-SGFB-100-UFFR?qs=j%252B1pi9TdxUalr59v4wjxig%3D%3D</t>
  </si>
  <si>
    <t>Flat wire terminal</t>
  </si>
  <si>
    <t>12-24 VDC; 200-400 W; cable size_0.5-2 sq; male &amp; female set</t>
  </si>
  <si>
    <t>¥899</t>
  </si>
  <si>
    <t>¥1,798</t>
  </si>
  <si>
    <t>https://www.monotaro.com/p/5514/2755/</t>
  </si>
  <si>
    <t>Flux cleaner</t>
  </si>
  <si>
    <t>15 mL; Hazard grade II; dangerous goods class 4</t>
  </si>
  <si>
    <t>SAN HAYAT</t>
  </si>
  <si>
    <t>FL-L15</t>
  </si>
  <si>
    <t>¥519</t>
  </si>
  <si>
    <t>https://www.monotaro.com/p/3051/7594/</t>
  </si>
  <si>
    <t>Wire stripper</t>
  </si>
  <si>
    <t>AWG 16 - AWG 30</t>
  </si>
  <si>
    <t>SK-11</t>
  </si>
  <si>
    <t>DVC-WS102</t>
  </si>
  <si>
    <t>¥1,590</t>
  </si>
  <si>
    <t>https://www.monotaro.com/p/6439/4716/</t>
  </si>
  <si>
    <t>AWG 26 - AWG 34</t>
  </si>
  <si>
    <t>P-963</t>
  </si>
  <si>
    <t>¥3,290</t>
  </si>
  <si>
    <t>https://www.monotaro.com/p/3715/1746/</t>
  </si>
  <si>
    <t>Metal Halide Lamp(2000Wﾒﾀﾙﾊﾗｲﾄﾞﾗﾝﾌﾟ/2000Wﾒﾀﾙﾊﾗｲﾄﾞﾗﾝﾌﾟ )</t>
  </si>
  <si>
    <t>セリック株式会社</t>
  </si>
  <si>
    <t>20220328-3</t>
  </si>
  <si>
    <t>2000Wﾒﾀﾙﾊﾗｲﾄﾞﾗﾝﾌﾟ</t>
  </si>
  <si>
    <t xml:space="preserve">セリック株式会社　
営業部　内村政紀
〒343-0851 埼玉県越谷市七左町7-334-1 </t>
  </si>
  <si>
    <t>BOB 9ピン</t>
  </si>
  <si>
    <t>T1000-9</t>
  </si>
  <si>
    <t>TESUTOYA</t>
  </si>
  <si>
    <t>https://www.tesutosys.com/product/t1000-9-breakout-box/</t>
  </si>
  <si>
    <t>Raspberry Pi RS485 CAN HAT UART通信モジュール拡張ボード用</t>
  </si>
  <si>
    <t>WaveShare</t>
  </si>
  <si>
    <t>https://www.amazon.co.jp/Raspberry-RS485-CAN-HAT-UART%E9%80%9A%E4%BF%A1%E3%83%A2%E3%82%B8%E3%83%A5%E3%83%BC%E3%83%AB%E6%8B%A1%E5%BC%B5%E3%83%9C%E3%83%BC%E3%83%89%E7%94%A8/dp/B082ZRYNS3/ref=asc_df_B082ZRYNS3/?tag=jpgo-22&amp;linkCode=df0&amp;hvadid=342506280444&amp;hvpos=&amp;hvnetw=g&amp;hvrand=4889974413298932666&amp;hvpone=&amp;hvptwo=&amp;hvqmt=&amp;hvdev=c&amp;hvdvcmdl=&amp;hvlocint=&amp;hvlocphy=1009250&amp;hvtargid=pla-900479446726&amp;psc=1</t>
  </si>
  <si>
    <t>ＳＴＭ３２　Ｎｕｃｌｅｏ　Ｂｏａｒｄ　ＳＴＭ３２Ｆ１０３</t>
  </si>
  <si>
    <t>Digilent Inc.</t>
  </si>
  <si>
    <t>Akizuki</t>
  </si>
  <si>
    <t>M-07724</t>
  </si>
  <si>
    <t>NUCLEO-F103RB</t>
  </si>
  <si>
    <t>https://akizukidenshi.com/catalog/g/gM-07724/</t>
  </si>
  <si>
    <t>ＳＴＭ８／ＳＴＭ３２プログラマー　ＳＴ－ＬＩＮＫ　Ｖ２</t>
  </si>
  <si>
    <t>STMicroelectronics(STマイクロ)</t>
  </si>
  <si>
    <t>5m レピーター</t>
  </si>
  <si>
    <t>KB-USB-R205N</t>
  </si>
  <si>
    <t>https://www.monotaro.com/g/04915056/</t>
  </si>
  <si>
    <t>延長ケーブル</t>
  </si>
  <si>
    <t>5m AC</t>
  </si>
  <si>
    <t>LPT -310N(W)</t>
  </si>
  <si>
    <t>https://www.monotaro.com/g/00012113/?t.q=延長ケーブル%205m</t>
  </si>
  <si>
    <t>ＪＴＡＧ－ＨＳ３　ＪＴＡＧケーブル</t>
  </si>
  <si>
    <t>M-08633</t>
  </si>
  <si>
    <t>210-299</t>
  </si>
  <si>
    <t>https://akizukidenshi.com/catalog/g/gM-08633/</t>
  </si>
  <si>
    <t>Sagansat BPB EM</t>
  </si>
  <si>
    <t>Oshiro/Otani</t>
  </si>
  <si>
    <t>p-ban</t>
  </si>
  <si>
    <t>Sagansat -X EM</t>
  </si>
  <si>
    <t>Sagansat +Y EM</t>
  </si>
  <si>
    <t xml:space="preserve">	22033100143</t>
  </si>
  <si>
    <t>Sagansat -Y EM</t>
  </si>
  <si>
    <t xml:space="preserve">	22033100144</t>
  </si>
  <si>
    <t>Sagansat +Z EM</t>
  </si>
  <si>
    <t xml:space="preserve">	22033100145</t>
  </si>
  <si>
    <t>Sagansat -Z EM</t>
  </si>
  <si>
    <t>防水ボックス</t>
  </si>
  <si>
    <t>280mm x 280mm x 130.5mm</t>
  </si>
  <si>
    <t>タカチ</t>
  </si>
  <si>
    <t>BCAP282813T</t>
  </si>
  <si>
    <t>https://www.monotaro.com/p/8821/7744/</t>
  </si>
  <si>
    <t>SSK型取り付け金具</t>
  </si>
  <si>
    <t>SSK-280</t>
  </si>
  <si>
    <t>https://www.monotaro.com/p/8835/9354/</t>
  </si>
  <si>
    <t>PKB型ポール固定用ベルト</t>
  </si>
  <si>
    <t>PKB-10P</t>
  </si>
  <si>
    <t>https://www.monotaro.com/g/00966248/?t.q=PKB-10P</t>
  </si>
  <si>
    <t>ケーブルクランプ</t>
  </si>
  <si>
    <t>G3/8</t>
  </si>
  <si>
    <t>https://www.monotaro.com/p/4150/1803/</t>
  </si>
  <si>
    <t>ホールソー 19mm</t>
  </si>
  <si>
    <t>19mm</t>
  </si>
  <si>
    <t>BMHSSS19</t>
  </si>
  <si>
    <t>https://www.monotaro.com/p/4642/5366/</t>
  </si>
  <si>
    <t>プラスチック取り付けベース</t>
  </si>
  <si>
    <t>ABS</t>
  </si>
  <si>
    <t>BMP2828P</t>
  </si>
  <si>
    <t>https://www.monotaro.com/p/8822/1016/</t>
  </si>
  <si>
    <t> JSPS2021</t>
  </si>
  <si>
    <t>Uplink competition prize</t>
  </si>
  <si>
    <t>¥14,423</t>
  </si>
  <si>
    <t>Shipping to Uganda</t>
  </si>
  <si>
    <t>JSPS2021</t>
  </si>
  <si>
    <t>LoRa GST and receiver</t>
  </si>
  <si>
    <t>¥30,535</t>
  </si>
  <si>
    <t>JSPS2022</t>
  </si>
  <si>
    <t>Shipping to Zimbabwe</t>
  </si>
  <si>
    <t>JSPS2023</t>
  </si>
  <si>
    <t>Lora GST and receiver</t>
  </si>
  <si>
    <t>さら子ねじ　3x15</t>
  </si>
  <si>
    <t>なべ子ねじ　5x10</t>
  </si>
  <si>
    <t>シリコンシーリング</t>
  </si>
  <si>
    <t>3ピンプラグ</t>
  </si>
  <si>
    <t>コンセント</t>
  </si>
  <si>
    <t>ビニールテープ</t>
  </si>
  <si>
    <t>電材　1.25sq x 3</t>
  </si>
  <si>
    <t>CAT5e自作用LANケーブル_STPタイプ 100m 単線構造 ライトグレー色</t>
  </si>
  <si>
    <t>KB-STP-CB100N</t>
  </si>
  <si>
    <t>STP 100m</t>
  </si>
  <si>
    <t>https://www.monotaro.com/g/01410555/?t.q=STPケーブル#</t>
  </si>
  <si>
    <t>STPコネクタ</t>
  </si>
  <si>
    <t>ADT-STP-T10</t>
  </si>
  <si>
    <t>STP</t>
  </si>
  <si>
    <t>モバイルCバンド　アップリンク用　同軸ケーブル</t>
  </si>
  <si>
    <t>SMAP-SMAP 0.141 セミリジット 1.2m</t>
  </si>
  <si>
    <t>ARF2771-ND</t>
  </si>
  <si>
    <t>135101-R2-48.00</t>
  </si>
  <si>
    <t>モバイル局</t>
  </si>
  <si>
    <t>https://www.digikey.jp/ja/products/detail/amphenol-rf/135101-R2-48-00/4948048</t>
  </si>
  <si>
    <t>モバイルCバンド　ダウンリンク用　同軸ケーブル</t>
  </si>
  <si>
    <t>SMAP-SMAP RG-316 1.2m</t>
  </si>
  <si>
    <t>J10233-ND</t>
  </si>
  <si>
    <t>415-0029-048</t>
  </si>
  <si>
    <t>https://www.digikey.jp/ja/products/detail/cinch-connectivity-solutions-johnson/415-0029-048/457267</t>
  </si>
  <si>
    <t>CONN RCPT 50POS 0.079 GOLD PCB</t>
  </si>
  <si>
    <t>Standard Project or SaganSat</t>
  </si>
  <si>
    <t>マルチプレクサ</t>
  </si>
  <si>
    <t>4 回路ICスイッチ 2：1 75オーム 16-TSSOP</t>
  </si>
  <si>
    <t>Analog Devices Inc./Maxim Integrated</t>
  </si>
  <si>
    <t>MAX4702EUE+-ND</t>
  </si>
  <si>
    <t>MAX4702EUE+</t>
  </si>
  <si>
    <t>https://www.digikey.jp/ja/products/detail/analog-devices-inc-maxim-integrated/MAX4702EUE/1779850</t>
  </si>
  <si>
    <t>2 回路ICスイッチ 4：1 3.5オーム 16-TSSOP</t>
  </si>
  <si>
    <t>MAX4639EUE+-ND</t>
  </si>
  <si>
    <t>MAX4639EUE+</t>
  </si>
  <si>
    <t>https://www.digikey.jp/ja/products/detail/analog-devices-inc-maxim-integrated/MAX4639EUE/1779856</t>
  </si>
  <si>
    <t>温度センサ アナログ、ローカル -50°C～150°C 5.5mV/°C SC-70-5</t>
  </si>
  <si>
    <t xml:space="preserve">	
Texas Instruments</t>
  </si>
  <si>
    <t>https://www.digikey.jp/ja/products/detail/texas-instruments/LMT84QDCKTQ1/4271780?s=N4IgTCBcDaIDIFkAqAOALARQCIGEDSSGAjCALoC%2BQA</t>
  </si>
  <si>
    <t>12ピンコネクタ</t>
  </si>
  <si>
    <t>ピンヘッダー(ソケット) PCB取付レイアウト FSM-21045-00(1列)</t>
  </si>
  <si>
    <t>https://www.monotaro.com/g/01213834/?t.q=FSM-21045-12</t>
  </si>
  <si>
    <t>ダイオード ショットキー 20 V 1A 面実装 SOD-123FL</t>
  </si>
  <si>
    <t xml:space="preserve">	
onsemi</t>
  </si>
  <si>
    <t>Mouser JP</t>
  </si>
  <si>
    <t>https://www.digikey.jp/ja/products/detail/onsemi/NRVB120VLSFT1G/5817308?s=N4IgTCBcDaIHICUBqAhAjGADEgMgZQDEAVNAcRAF0BfIA</t>
  </si>
  <si>
    <t>接地アダプター 15A125V</t>
  </si>
  <si>
    <t>COMM</t>
  </si>
  <si>
    <t>8F Staff room</t>
  </si>
  <si>
    <t>https://www.monotaro.com/g/00320029/?monotaroNo=37099754</t>
  </si>
  <si>
    <t xml:space="preserve">	
SMA JACK TO SMA JACK ADAPTER</t>
  </si>
  <si>
    <t xml:space="preserve">RFアダプタ - 直列 SMA Jack to SMA Jack Adapter </t>
  </si>
  <si>
    <t xml:space="preserve">	Linx Technologies </t>
  </si>
  <si>
    <t xml:space="preserve"> 712-ADP-SMAF-SMAF-G</t>
  </si>
  <si>
    <t xml:space="preserve">ADP-SMAF-SMAF-G </t>
  </si>
  <si>
    <t xml:space="preserve"> 	Bulk </t>
  </si>
  <si>
    <t>https://www.mouser.jp/ProductDetail/Linx-Technologies/ADP-SMAF-SMAF-G?qs=sGAEpiMZZMvKcUa6gL0RXLNwhS3qh8q314fO3I3%252BDpnDP84SGddedg%3D%3D</t>
  </si>
  <si>
    <t>Raspberry Pi コンピュートモジュール 3+</t>
  </si>
  <si>
    <t>Raspberry PI</t>
  </si>
  <si>
    <t>PE57133</t>
  </si>
  <si>
    <t xml:space="preserve">Compute Module 3+ 32GB </t>
  </si>
  <si>
    <t>Kitsune / Curtis</t>
  </si>
  <si>
    <t>https://www.askul.co.jp/p/PE57133/?rtMode=affiliate&amp;SAStruts.method=run&amp;sc_e=cp_a_as_vc_ps_a_p_kakaku</t>
  </si>
  <si>
    <t>Order cancelled by seller due to item being out of stock.</t>
  </si>
  <si>
    <t>SanDisk Ultra 32GB SD Card</t>
  </si>
  <si>
    <t>SanDisk Ultra 32GB 100MB/s UHS-I Class 10 MicroSDHC Card</t>
  </si>
  <si>
    <t>SanDisk</t>
  </si>
  <si>
    <t>B08HYDH7JF</t>
  </si>
  <si>
    <t xml:space="preserve"> 	‎SDSQUNS-032G-GN3MN </t>
  </si>
  <si>
    <t>https://www.amazon.co.jp/s?k=sd+card+32GB&amp;__mk_ja_JP=%E3%82%AB%E3%82%BF%E3%82%AB%E3%83%8A&amp;crid=3CARHSI43SUB6&amp;sprefix=sd+card+32gb%2Caps%2C216&amp;ref=nb_sb_noss</t>
  </si>
  <si>
    <t>2.54mm ピッチ 72mm x 47mm</t>
  </si>
  <si>
    <t>GS/COM</t>
  </si>
  <si>
    <t>L型アクリル製カード立て</t>
  </si>
  <si>
    <t>片面用L型カード立て　特大横</t>
  </si>
  <si>
    <t>https://www.askul.co.jp/p/8560755/</t>
  </si>
  <si>
    <t>Cable SMA male to SMA male 5m</t>
  </si>
  <si>
    <t>RF Cable Assemblies SMA SP to SMA SP on LMR-195 Cbl .5M</t>
  </si>
  <si>
    <t xml:space="preserve"> 523-095-902-475M050</t>
  </si>
  <si>
    <t>095-902-475M050</t>
  </si>
  <si>
    <t>Cable Assemblies</t>
  </si>
  <si>
    <t>https://www.mouser.jp/ProductDetail/Amphenol-RF/095-902-475M050?qs=W0yvOO0ixfGit8YUNFykZA%3D%3D</t>
  </si>
  <si>
    <t>ステンレス棒</t>
  </si>
  <si>
    <t>SUS304 φ95 L155</t>
  </si>
  <si>
    <t>SUS304-BPL-95-155</t>
  </si>
  <si>
    <t>https://jp.misumi-ec.com/vona2/detail/110310148319/?HissuCode=SUS304-BPL-95-155&amp;PNSearch=SUS304-BPL-95-155&amp;KWSearch=SUS304-BPL-95-155&amp;searchFlow=results2products&amp;list=PageSearchResult</t>
  </si>
  <si>
    <t>SUS304 φ95 L185</t>
  </si>
  <si>
    <t>SUS304-BPL-95-185</t>
  </si>
  <si>
    <t>テプラ　熱収縮チューブ　φ11　白</t>
  </si>
  <si>
    <t>TEPRA</t>
  </si>
  <si>
    <t>SU11S</t>
  </si>
  <si>
    <t>秘書室</t>
  </si>
  <si>
    <t>https://www.askul.co.jp/p/3478260/</t>
  </si>
  <si>
    <t>bare crimp terminal; R2-5</t>
  </si>
  <si>
    <t>R2-5</t>
  </si>
  <si>
    <t>6 pieces</t>
  </si>
  <si>
    <t>0 pieces</t>
  </si>
  <si>
    <t>&gt;90 pieces</t>
  </si>
  <si>
    <t>¥579</t>
  </si>
  <si>
    <t>https://www.monotaro.com/p/0250/0477/?t.q=solderless%20%20%20terminals</t>
  </si>
  <si>
    <t>Straight union adapter</t>
  </si>
  <si>
    <t>V-lok fitting; SUS316; outer dia: 6.35 mm</t>
  </si>
  <si>
    <t>Fujikin</t>
  </si>
  <si>
    <t>VUWF-6.35-V</t>
  </si>
  <si>
    <t>2 pieces</t>
  </si>
  <si>
    <t>¥1,090</t>
  </si>
  <si>
    <t>¥3,270</t>
  </si>
  <si>
    <t>https://www.monotaro.com/p/7580/0963/?t.q=vuwf-6.35-v</t>
  </si>
  <si>
    <t>V-Lok fitting connector-female G thread</t>
  </si>
  <si>
    <t>SUS316; outer dia: 6.35 mm; G thread type</t>
  </si>
  <si>
    <t>VUWG-6.35BF-PG-V</t>
  </si>
  <si>
    <t>¥1,390</t>
  </si>
  <si>
    <t>¥2,780</t>
  </si>
  <si>
    <t>https://www.monotaro.com/p/7580/2905/?t.q=VUWG-6.35BF-PG-V</t>
  </si>
  <si>
    <t>V-Lok fitting connector-female Rc thread</t>
  </si>
  <si>
    <t>SUS316; outer dia: 6.35 mm; Rc  thread type</t>
  </si>
  <si>
    <t>VUWG-6.35B-V</t>
  </si>
  <si>
    <t>¥1,190</t>
  </si>
  <si>
    <t>¥2,380</t>
  </si>
  <si>
    <t>https://www.monotaro.com/p/7580/2485/?t.q=VUWG-6.35B-V</t>
  </si>
  <si>
    <t>V-Lok fitting connector-male G thread</t>
  </si>
  <si>
    <t>VUWH-6.35BF-FJS-V</t>
  </si>
  <si>
    <t>¥989</t>
  </si>
  <si>
    <t>¥1,978</t>
  </si>
  <si>
    <t>https://www.monotaro.com/p/7580/5565/?t.q=VUWH-6.35BF-FJS-V</t>
  </si>
  <si>
    <t>V-Lok fitting connector-male R thread</t>
  </si>
  <si>
    <t>SUS316; outer dia: 6.35 mm; R  thread type</t>
  </si>
  <si>
    <t>VUWH-6.35B-V</t>
  </si>
  <si>
    <t>¥719</t>
  </si>
  <si>
    <t>¥1,438</t>
  </si>
  <si>
    <t>https://www.monotaro.com/p/7580/7674/?t.q=VUWH-6.35B-V</t>
  </si>
  <si>
    <t>V-Lok fitting tube adaptor-female Rc thread</t>
  </si>
  <si>
    <t>VUW-GA-6.35B-V</t>
  </si>
  <si>
    <t>¥969</t>
  </si>
  <si>
    <t>¥1,938</t>
  </si>
  <si>
    <t>https://www.monotaro.com/p/7580/4034/?t.q=VUW-GA-6.35B-V</t>
  </si>
  <si>
    <t>V-Lok fitting tube adaptor-male R thread</t>
  </si>
  <si>
    <t>VUW-A-6.35B-V</t>
  </si>
  <si>
    <t>¥619</t>
  </si>
  <si>
    <t>¥1,238</t>
  </si>
  <si>
    <t>https://www.monotaro.com/p/7580/0595/?t.q=VUW-A-6.35B-V</t>
  </si>
  <si>
    <t>Front and back ferrule</t>
  </si>
  <si>
    <t>SUS316; outer dia: 6.35 mm; V-Lok fitting</t>
  </si>
  <si>
    <t>VUW-6.35SR-V</t>
  </si>
  <si>
    <t>set</t>
  </si>
  <si>
    <t>6 sets</t>
  </si>
  <si>
    <t>¥189</t>
  </si>
  <si>
    <t>¥2,268</t>
  </si>
  <si>
    <t>https://www.monotaro.com/p/7579/9764/?t.q=vuw-6.35sr-v</t>
  </si>
  <si>
    <t>V-Lok fitting nuts</t>
  </si>
  <si>
    <t>VUW-6.35N-V</t>
  </si>
  <si>
    <t>¥199</t>
  </si>
  <si>
    <t>¥2,388</t>
  </si>
  <si>
    <t>https://www.monotaro.com/p/7579/8635/?t.q=VUW-6.35N-V</t>
  </si>
  <si>
    <t>SUS316 tube</t>
  </si>
  <si>
    <t>SUS316; outer dia: 6.35 mm; 25 cm in length</t>
  </si>
  <si>
    <t>SKE6.35-250</t>
  </si>
  <si>
    <t>¥1,480</t>
  </si>
  <si>
    <t>¥2,960</t>
  </si>
  <si>
    <t>https://jp.misumi-ec.com/vona2/detail/110300308730/?rid=c24-alluser_detail_7_110300308730&amp;list=RecoCustomersPurchased</t>
  </si>
  <si>
    <t>High pressure gas regulator</t>
  </si>
  <si>
    <t>primary: 4-20 Mpa; sec: 1-18 Mpa; max flow rate: 200-400 m3/h</t>
  </si>
  <si>
    <t>Yamato Sangyo</t>
  </si>
  <si>
    <t>Air Water</t>
  </si>
  <si>
    <t>YR-5062-R-11NO1-2221</t>
  </si>
  <si>
    <t>Aliena</t>
  </si>
  <si>
    <t>Air water</t>
  </si>
  <si>
    <t>Connection tube</t>
  </si>
  <si>
    <t>Capacity: 16 Mpa; W22-14R; 4 m in length</t>
  </si>
  <si>
    <t>P-13</t>
  </si>
  <si>
    <t>¥17,500</t>
  </si>
  <si>
    <t>Adapter for regulator valve</t>
  </si>
  <si>
    <t>TB7; W22Female (P) X 1/4</t>
  </si>
  <si>
    <t>TB7</t>
  </si>
  <si>
    <t>Adapter for connection hose (TB86)</t>
  </si>
  <si>
    <t>TB86; W22Female X Rc1/4</t>
  </si>
  <si>
    <t>TB86</t>
  </si>
  <si>
    <t>¥1,700</t>
  </si>
  <si>
    <t>Adapter for TB86</t>
  </si>
  <si>
    <t>SS-4-TA-1-4RT</t>
  </si>
  <si>
    <t>¥1,400</t>
  </si>
  <si>
    <t xml:space="preserve">
Analog Devices</t>
  </si>
  <si>
    <t>C1S424500314764</t>
  </si>
  <si>
    <t>LT6106CS5</t>
  </si>
  <si>
    <t>https://akizukidenshi.com/catalog/g/gI-07300/</t>
  </si>
  <si>
    <t>積層セラミックコンデンサ</t>
  </si>
  <si>
    <t>1μF 100V dc 0805 (2012M)</t>
  </si>
  <si>
    <t>788-3054</t>
  </si>
  <si>
    <t>C2012X7S2A105K125AB</t>
  </si>
  <si>
    <t xml:space="preserve">	0805 (2012M)</t>
  </si>
  <si>
    <t>https://jp.rs-online.com/web/p/products/7883054/</t>
  </si>
  <si>
    <t>ポリプロピレンフィルムコンデンサ</t>
  </si>
  <si>
    <t>16V dc,100nF,±20</t>
  </si>
  <si>
    <t xml:space="preserve">727-0354 </t>
  </si>
  <si>
    <t xml:space="preserve"> ECPU1C104MA5</t>
  </si>
  <si>
    <t xml:space="preserve">	0805 (2013M)</t>
  </si>
  <si>
    <t>https://jp.rs-online.com/web/p/products/7270354/</t>
  </si>
  <si>
    <t>電圧レギュレータ リニア電圧 5 V</t>
  </si>
  <si>
    <t>5 V, 3+Tab-Pin</t>
  </si>
  <si>
    <t>https://jp.rs-online.com/web/p/voltage-regulators/6616721/?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3636312D36373231267365617263685F6B6579776F72645F6170703D36363136373231267365617263685F636F6E6669673D3126&amp;searchHistory=%7B%22enabled%22%3Atrue%7D</t>
  </si>
  <si>
    <t>16MHz,  2-pin, SMD</t>
  </si>
  <si>
    <t xml:space="preserve">547-6531 </t>
  </si>
  <si>
    <t xml:space="preserve"> FC4SDCBMF16.0‐T1</t>
  </si>
  <si>
    <t>Firmware update for TV chamber power supplies</t>
  </si>
  <si>
    <t>Update for PSW 80-13.5</t>
  </si>
  <si>
    <t>Kyushu Keisoku</t>
  </si>
  <si>
    <t>¥5,000</t>
  </si>
  <si>
    <t>¥10,000</t>
  </si>
  <si>
    <t>small/ PeTT chambers</t>
  </si>
  <si>
    <t>Sagansat +X EM</t>
  </si>
  <si>
    <t>2.4m パラボラ　追尾装置　定期点検</t>
  </si>
  <si>
    <t>グリスアップ等</t>
  </si>
  <si>
    <t>エルム</t>
  </si>
  <si>
    <t>B08K3QC75P</t>
  </si>
  <si>
    <t xml:space="preserve">
B205mini-i</t>
  </si>
  <si>
    <t>https://www.amazon.co.jp/-/en/gp/product/B08K3QC75P/ref=ox_sc_act_title_3?smid=ANVQEZ4UV9LO1&amp;psc=1</t>
  </si>
  <si>
    <t>RasTec</t>
  </si>
  <si>
    <t>B08HQQ7KV7</t>
  </si>
  <si>
    <t>https://www.amazon.co.jp/-/en/Raspberry-Technical-Standards-MicroSD-USB-Type-C/dp/B08HQQ7KV7/ref=sr_1_10?keywords=raspberry+pi+4&amp;qid=1651451147&amp;sr=8-10</t>
  </si>
  <si>
    <t>Micro SD for RaspberryPi</t>
  </si>
  <si>
    <t>Full HD Adapter Adapter SDXC U3 C10 95MB/S, 4K UHD &amp; Full HD Video, High Speed Micro SD Card Class 10 UHS-I</t>
  </si>
  <si>
    <t>Gigastone</t>
  </si>
  <si>
    <t>B01MSUMC1T</t>
  </si>
  <si>
    <t>GS-2IN1600x64GB-E</t>
  </si>
  <si>
    <t>https://www.amazon.co.jp/-/en/Gigastone-MicroSD-Micro-Adapter-Video/dp/B01MSUMC1T/ref=sr_1_13?crid=BL49KT35HEIQ&amp;keywords=%E6%A5%AD%E5%8B%99%E7%94%A8%E3%82%B0%E3%83%AC%E3%83%BC%E3%83%89microsd&amp;qid=1650437755&amp;sprefix=industrial%2BSD%2B%2Caps%2C203&amp;sr=8-13&amp;th=1</t>
  </si>
  <si>
    <t>USB Digital Tester</t>
  </si>
  <si>
    <t>Voltage, current, power, impedance and temperature  with resolution accuracy of 0.01V, 0.01A, 0.01W, 0.1 ohm and 1 deg respectively</t>
  </si>
  <si>
    <t>Makerfire Pinbotronix</t>
  </si>
  <si>
    <t>B07H82PZX7</t>
  </si>
  <si>
    <t>https://www.amazon.co.jp/Multimeter-Capacity-Impedance-Temperature-Voltmeter/dp/B07H82PZX7/ref=pd_rhf_dp_s_pd_crcd_sccl_12/356-6363334-7664800?pd_rd_w=GjbM6&amp;pf_rd_p=f6807b6a-a51f-484d-a903-9221ae683054&amp;pf_rd_r=TM13MVZE96S8F8BRE5FQ&amp;pd_rd_r=4ef3af9e-60e5-4d53-b88d-54598e7b24bd&amp;pd_rd_wg=9GqOe&amp;pd_rd_i=B07H82PZX7&amp;psc=1</t>
  </si>
  <si>
    <t>TID_Board_Oboshi</t>
  </si>
  <si>
    <t>TID_Test_PIC_Board</t>
  </si>
  <si>
    <t>Arduino Board</t>
  </si>
  <si>
    <t>ARDUINO MICRO ATMEGA32U4 EVAL BD</t>
  </si>
  <si>
    <t>arduino</t>
  </si>
  <si>
    <t>RS-Components</t>
  </si>
  <si>
    <t>771-7667</t>
  </si>
  <si>
    <t>A000053</t>
  </si>
  <si>
    <t>https://jp.rs-online.com/web/p/arduino/7717667?cm_mmc=JP-PLA-DS3A-_-google-_-PLA_JP_JP_Raspberry_Pi_%26_Arduino%E9%96%8B%E7%99%BA%E3%83%84%E3%83%BC%E3%83%AB_Whoop-_-(JP:Whoop!)+Arduino-_-7717667&amp;matchtype=&amp;pla-475754026213&amp;gclid=Cj0KCQjw3v6SBhCsARIsACyrRAkDYyAdszVPiF5lBcAEFnhWyFvU1EV5GlnG4Dfv6O-_cSYLT_3SMyAaAjDQEALw_wcB&amp;gclsrc=aw.ds</t>
  </si>
  <si>
    <t>Multiplexer Switch ICs Quad 2:1 Multiplexer Demultiplexer</t>
  </si>
  <si>
    <t>729-PI5V330SWEX</t>
  </si>
  <si>
    <t>PI5V330SWEX</t>
  </si>
  <si>
    <t>https://www.mouser.com/ProductDetail/Diodes-Incorporated/PI5V330SWEX?qs=hFKXOjF5MkZEuoH5N2sWag%3D%3D</t>
  </si>
  <si>
    <t>MO-1用 衛星搭載系UHF通信機</t>
  </si>
  <si>
    <t>Victor / Nakayama</t>
  </si>
  <si>
    <t>TX 400.960MHz RX 450.000MHz GMSK/CW 0.8W/0.1W AX.25 modem</t>
  </si>
  <si>
    <t>センサー取り付けネジ</t>
  </si>
  <si>
    <t>Endevco2225用取り付けネジ</t>
  </si>
  <si>
    <t>2981-12</t>
  </si>
  <si>
    <t>320mm x 90mm, 6-layer PCB</t>
  </si>
  <si>
    <t>2.54mmピッチ 1列x42ピン 分割ピンソケット</t>
  </si>
  <si>
    <t>2.54mmピッチ  1列x40ピン</t>
  </si>
  <si>
    <t>2.55mmピッチ</t>
  </si>
  <si>
    <t>トロイダルコイル　２００μＨ９Ａ</t>
  </si>
  <si>
    <t>200μH±10% 直流抵抗：55mΩ 定格電流：9A</t>
  </si>
  <si>
    <t>https://akizukidenshi.com/catalog/g/gP-04080/</t>
  </si>
  <si>
    <t>ターミナルブロック　２Ｐ</t>
  </si>
  <si>
    <t>・定格電圧：300VAC・定格電流：15A・適合電線：22-14AWG
・推奨穴径：1.3mm</t>
  </si>
  <si>
    <t>ピッチ：5.08mm</t>
  </si>
  <si>
    <t xml:space="preserve">
ＦＴＤＩ　ＵＳＢシリアル変換ケーブル（3.3Ｖ）</t>
  </si>
  <si>
    <t>電源：5V(最大75mA供給可能)・信号レベル：TTL 3.3V</t>
  </si>
  <si>
    <t>Future Technology Devices International Ltd(FTDI)</t>
  </si>
  <si>
    <t>(2.54mmピッチ)</t>
  </si>
  <si>
    <t>Audio Jack Connector</t>
  </si>
  <si>
    <t>Phone Connectors 2.5 mm, Stereo, Right Angle, Surface Mount (SMT), 3 Conductors, 0 2 Internal Switches</t>
  </si>
  <si>
    <t>490-SJ1-2535-SMT-TR</t>
  </si>
  <si>
    <t>SJ1-2535-SMT-TR</t>
  </si>
  <si>
    <t>Reel</t>
  </si>
  <si>
    <t>EPS1</t>
  </si>
  <si>
    <t>https://www.mouser.jp/ProductDetail/CUI-Devices/SJ1-2535-SMT-TR?qs=WyjlAZoYn532DZPDgY%2FtOQ%3D%3D</t>
  </si>
  <si>
    <t>MOSFET 20V</t>
  </si>
  <si>
    <t>N-channel, MOSFET 20V Vds 12V Vgs PowerPAK 1212-8</t>
  </si>
  <si>
    <t>781-SI7106DN-T1-E3</t>
  </si>
  <si>
    <t>PowerPAK-1212-8</t>
  </si>
  <si>
    <t>EPS2</t>
  </si>
  <si>
    <t>https://www.mouser.jp/ProductDetail/Vishay-Semiconductors/SI7106DN-T1-E3?qs=jcx%252B0HVgj2ZDhrm0OLlKVQ%3D%3D</t>
  </si>
  <si>
    <t>Bipolar Transistors</t>
  </si>
  <si>
    <t>771-PDTA144EU115</t>
  </si>
  <si>
    <t>SOT-323-3</t>
  </si>
  <si>
    <t>EPS3</t>
  </si>
  <si>
    <t>https://www.mouser.jp/ProductDetail/Nexperia/PDTA144EU115?qs=LOCUfHb8d9u6SURxYZKspA%3D%3D</t>
  </si>
  <si>
    <t>Adapter for gas bottle</t>
  </si>
  <si>
    <t>TB124; W22 female (P) X Rc1/4</t>
  </si>
  <si>
    <t>TB124</t>
  </si>
  <si>
    <t>¥12,000</t>
  </si>
  <si>
    <t>Adapter for gas regulator</t>
  </si>
  <si>
    <t>TB290; Rc1/4 X NPT1/4 female</t>
  </si>
  <si>
    <t>TB290</t>
  </si>
  <si>
    <t>¥2,300</t>
  </si>
  <si>
    <t>¥4,600</t>
  </si>
  <si>
    <t>論文投稿料</t>
  </si>
  <si>
    <t>中山</t>
  </si>
  <si>
    <t>MDPI electronics</t>
  </si>
  <si>
    <t>SMB SMA変換コネクタ</t>
  </si>
  <si>
    <t>SMBP SMAJ</t>
  </si>
  <si>
    <t>MF78J91P</t>
  </si>
  <si>
    <t>https://jp.misumi-ec.com/vona2/detail/110500037760/?KWSearch=SMB%20変換&amp;searchFlow=results2products&amp;relatedKeyword=1</t>
  </si>
  <si>
    <t>20225/2</t>
  </si>
  <si>
    <t>アンテナエレメント</t>
  </si>
  <si>
    <t xml:space="preserve">鋼種 SK85    寸法[mm] 0.3×3.0×7000  </t>
  </si>
  <si>
    <t>Firmware update for PeTT chamber power supplies</t>
  </si>
  <si>
    <t>VHF地上局　電波利用料</t>
  </si>
  <si>
    <t>BIRDS-5, その他</t>
  </si>
  <si>
    <t>周波数申請</t>
  </si>
  <si>
    <t xml:space="preserve">Solar panel pcb handle arm </t>
  </si>
  <si>
    <t>Hari/Derrick</t>
  </si>
  <si>
    <t>Helping Hands Soldering, Third Hand Soldering Tool PCB Holder Flexible Arms</t>
  </si>
  <si>
    <t>yorozu ryutsukan</t>
  </si>
  <si>
    <t>sun simulator</t>
  </si>
  <si>
    <t>CenT</t>
  </si>
  <si>
    <t>SVBL 3rd ,clean room</t>
  </si>
  <si>
    <t>https://ja.aliexpress.com/item/4000570190303.html?spm=a2g0o.seodetail.topbuy.1.7c8a6e546AtOPr</t>
  </si>
  <si>
    <t>Thermocouple sensor meter and probe</t>
  </si>
  <si>
    <t>TX10 Series offers thermocouple thermometers that support K, J, E and T type thermocouples. </t>
  </si>
  <si>
    <t>Yokogawa</t>
  </si>
  <si>
    <t>TX-10-01 and 90020B</t>
  </si>
  <si>
    <t>SVBL 3rd , clean room</t>
  </si>
  <si>
    <t>https://tmi.yokogawa.com/solutions/products/portable-and-bench-instruments/thermometers/tx10-series-of-digital-thermometers/</t>
  </si>
  <si>
    <t>SCB2-5</t>
  </si>
  <si>
    <t>M2; Length: 6</t>
  </si>
  <si>
    <t>Ultra Low head; M3; Length: 6</t>
  </si>
  <si>
    <t>Low head; M3; Length: 8</t>
  </si>
  <si>
    <t>CSHBTT-SUS-M2-8</t>
  </si>
  <si>
    <t>M3 screw</t>
  </si>
  <si>
    <t>Low head M3; Length: 4mm</t>
  </si>
  <si>
    <t>CSHBTT-SUS-M3-4</t>
  </si>
  <si>
    <t>Low head M3; Length: 8mm</t>
  </si>
  <si>
    <t>CSHBTT-SUS-M3-8</t>
  </si>
  <si>
    <t>Low head M3; Length: 6</t>
  </si>
  <si>
    <t>CBSSTH3-6</t>
  </si>
  <si>
    <t>M3; Length: 7</t>
  </si>
  <si>
    <t>M3; Length: 8</t>
  </si>
  <si>
    <t>M3; Length: 10</t>
  </si>
  <si>
    <t>M3 Standoff screw</t>
  </si>
  <si>
    <t>Low head M3; Length: 25</t>
  </si>
  <si>
    <t>Standoff M3; Length: 5</t>
  </si>
  <si>
    <t>Hex Nut M2</t>
  </si>
  <si>
    <t>Hex Nut M3</t>
  </si>
  <si>
    <t>Argon gas</t>
  </si>
  <si>
    <t>7 cubic meter; 14.7 Mpa</t>
  </si>
  <si>
    <t>¥7,000</t>
  </si>
  <si>
    <t>RFM98PW 433Mhz Long Range Transceiver Module</t>
  </si>
  <si>
    <t>RFM98PW</t>
  </si>
  <si>
    <t>Micro-Orbiter/KITSUNE</t>
  </si>
  <si>
    <t>Transceiver Module RFM95P RFM95P</t>
  </si>
  <si>
    <t>RFM95PW 915Mhz Long Range Transceiver Module</t>
  </si>
  <si>
    <t>RFM95PW</t>
  </si>
  <si>
    <t xml:space="preserve">Table Fan at unsimulator </t>
  </si>
  <si>
    <t>Power Supply: DC 5 V AC Adapter, Compact Fan, 3 Power Supply (AC USB Battery), 3 Levels of Air Flow, Quiet, Pieria, White</t>
  </si>
  <si>
    <t>Doshisha</t>
  </si>
  <si>
    <t xml:space="preserve">Sunsimulator </t>
  </si>
  <si>
    <t>3F ,clean room</t>
  </si>
  <si>
    <t>https://www.amazon.co.jp/-/en/Doshisha-Tabletop-Compact-Supply-Battery/dp/B08XM7CNHT/ref=sr_1_7?crid=2YMER5HQQROW1&amp;keywords=%E3%82%B3%E3%83%BC%E3%83%89%E3%83%AC%E3%82%B9%E3%83%86%E3%83%BC%E3%83%96%E3%83%AB%E3%83%95%E3%82%A1%E3%83%B3&amp;qid=1652417348&amp;sprefix=table%2Bfan%2Caps%2C187&amp;sr=8-7&amp;th=1</t>
  </si>
  <si>
    <t xml:space="preserve">Li ion battery </t>
  </si>
  <si>
    <t xml:space="preserve">2600mAh, 3.7V, Sanyo </t>
  </si>
  <si>
    <t>Aliexpress</t>
  </si>
  <si>
    <t>Gomspace EPS</t>
  </si>
  <si>
    <t xml:space="preserve">EPS P31 board </t>
  </si>
  <si>
    <t>https://ja.aliexpress.com/item/32306515627.html?spm=a2g0o.detail.1000014.6.28f06951fdNj2A&amp;gps-id=pcDetailBottomMoreOtherSeller&amp;scm=1007.40050.281175.0&amp;scm_id=1007.40050.281175.0&amp;scm-url=1007.40050.281175.0&amp;pvid=6c72d239-58cc-4b2a-8860-7b390c165956&amp;_t=gps-id:pcDetailBottomMoreOtherSeller,scm-url:1007.40050.281175.0,pvid:6c72d239-58cc-4b2a-8860-7b390c165956,tpp_buckets:668%232846%238109%231935&amp;pdp_ext_f=%7B%22sku_id%22%3A%2264755699478%22%2C%22sceneId%22%3A%2230050%22%7D&amp;pdp_npi=2%40dis%21JPY%21%212662.0%21%21%21%21%21%40210312f116524216922868755ed64c%2164755699478%21rec</t>
  </si>
  <si>
    <t>Silicone rubber sheet (for solar cell attachment)</t>
  </si>
  <si>
    <t>200mm x 200mm x 3mm</t>
  </si>
  <si>
    <t>Togawa Rubber</t>
  </si>
  <si>
    <t>07057924</t>
  </si>
  <si>
    <t>K-125 (50)</t>
  </si>
  <si>
    <t>to be shipped to UPD</t>
  </si>
  <si>
    <t>https://www.monotaro.com/p/0705/7924/</t>
  </si>
  <si>
    <t>200mm x 200mm x 2mm</t>
  </si>
  <si>
    <t>07057915</t>
  </si>
  <si>
    <t>https://www.monotaro.com/p/0705/7915/</t>
  </si>
  <si>
    <t>KITSUNE衛星 検査手数料</t>
  </si>
  <si>
    <t>BIRDS-5/KITSUNE</t>
  </si>
  <si>
    <t>BIRDS-5衛星 検査手数料</t>
  </si>
  <si>
    <t>GST PCB 75x30mm</t>
  </si>
  <si>
    <t>Y29-3392505A</t>
  </si>
  <si>
    <t>KITSUNE/MO-1</t>
  </si>
  <si>
    <t xml:space="preserve">MOSFET replacement </t>
  </si>
  <si>
    <t>Inhibit MOSFETS(U25 and U26)/EPS 1 board/Curtis, replacement and its energization test</t>
  </si>
  <si>
    <t>370-19</t>
  </si>
  <si>
    <t>Si799DP</t>
  </si>
  <si>
    <t>1set</t>
  </si>
  <si>
    <t>FAB基板 修理</t>
  </si>
  <si>
    <t>ジンバブエ</t>
  </si>
  <si>
    <t>BIRDS BUS FAB基板</t>
  </si>
  <si>
    <t>Marloun/Hari</t>
  </si>
  <si>
    <t>Research, CURTIS, MO-1</t>
  </si>
  <si>
    <t>CURTIS inventory</t>
  </si>
  <si>
    <t>https://www.mouser.jp/ProductDetail/Hirose-Connector/A3C-50DA-2DSA71?qs=eDUdFcBPps0W11ayo6l5uA%3D%3D</t>
  </si>
  <si>
    <t>4 Position Receptacle Connector  0.079" (2.00mm)</t>
  </si>
  <si>
    <t>798-A3C-4DA-2DSA71</t>
  </si>
  <si>
    <t>Research, CURTIS</t>
  </si>
  <si>
    <t>https://www.mouser.jp/ProductDetail/Hirose-Connector/A3C-4DA-2DSA71?qs=eDUdFcBPps1yjd6mEORBTw%3D%3D</t>
  </si>
  <si>
    <t>Stepper motor</t>
  </si>
  <si>
    <t>STEPPER MOTOR HYBRID BIPOLAR 12V</t>
  </si>
  <si>
    <t xml:space="preserve">	
SparkFun Electronics</t>
  </si>
  <si>
    <t>1568-1105-ND</t>
  </si>
  <si>
    <t>ROB-09238</t>
  </si>
  <si>
    <t>https://www.digikey.jp/ja/products/detail/sparkfun-electronics/ROB-09238/5318747?utm_adgroup=Stepper%20Motors&amp;utm_source=google&amp;utm_medium=cpc&amp;utm_campaign=Shopping_Product_Motors%2C%20Solenoids%2C%20Driver%20Boards%2FModules&amp;utm_term=&amp;productid=5318747&amp;gclid=Cj0KCQjwspKUBhCvARIsAB2IYuuTYkw8kvvMOhVrPiVboOdDr_V_W8chz-Av-NTVzGtHDDc0YfUC5wwaAjfZEALw_wcB</t>
  </si>
  <si>
    <t>STEPPER DRIVER 0.75A 30V LOAD</t>
  </si>
  <si>
    <t>1568-1108-ND</t>
  </si>
  <si>
    <t>ROB-12779</t>
  </si>
  <si>
    <t>https://www.digikey.jp/ja/products/detail/sparkfun-electronics/ROB-12779/5318750?utm_adgroup=Motor%20Driver%20Boards%2C%20Modules&amp;utm_source=google&amp;utm_medium=cpc&amp;utm_campaign=Shopping_Product_Motors%2C%20Solenoids%2C%20Driver%20Boards%2FModules&amp;utm_term=&amp;productid=5318750&amp;gclid=Cj0KCQjwspKUBhCvARIsAB2IYusjbIkV2zRzOU_V9X2-NTrxtEQ1UkB003nsBqr07tCg5lf1Gnt4j6caAorlEALw_wcB</t>
  </si>
  <si>
    <t>Combiner, BF</t>
  </si>
  <si>
    <t>運営費（MEXTの予算コードが出るまで　コードが出たらMEXTの消耗品）</t>
  </si>
  <si>
    <t>4Ch Combiner, S-band Bandpass filter</t>
  </si>
  <si>
    <t>ZB4PD-282-50W+, BFCN-2491+</t>
  </si>
  <si>
    <t>4F Testroom</t>
  </si>
  <si>
    <t>SMA-N Adapter</t>
  </si>
  <si>
    <t>546-3068</t>
  </si>
  <si>
    <t>スプリングパーツ</t>
  </si>
  <si>
    <t>M5 ストローク3mm</t>
  </si>
  <si>
    <t>タカイコーポレーション</t>
  </si>
  <si>
    <t>SVBL-1F</t>
  </si>
  <si>
    <t>https://jp.misumi-ec.com/vona2/detail/110100150760/?HissuCode=FPJL5-3&amp;PNSearch=FPJL5-3&amp;KWSearch=FPJL5-3&amp;searchFlow=results2products&amp;list=PageSearchResult</t>
  </si>
  <si>
    <t>RP-SMA TO UFL/U.FL/IPX/IPEX RF A</t>
  </si>
  <si>
    <t>https://www.digikey.jp/en/products/detail/adafruit-industries-llc/852/6827042</t>
  </si>
  <si>
    <t>CBL ASSY SMA-UMCC 7.874"</t>
  </si>
  <si>
    <t>CBA-UFLSMA20-ND</t>
  </si>
  <si>
    <t>CBA-UFLSMA20</t>
  </si>
  <si>
    <t>https://www.digikey.jp/en/products/detail/rf-solutions/CBA-UFLSMA20/5845801</t>
  </si>
  <si>
    <t>https://www.monotaro.com/p/4845/7947/?utm_id=g_pla&amp;utm_medium=cpc&amp;utm_source=google&amp;utm_campaign=246-833-4061_6466659573_shopping&amp;utm_content=77481173956&amp;utm_term=_380615429419_x_pla-880179462657&amp;gclid=Cj0KCQjw-JyUBhCuARIsANUqQ_KqfVwEAJhBWKtV4EdTHG3zY_4m2k6fuMrFNEa9rHv2EOwNZABgpu4aAgWxEALw_wcB</t>
  </si>
  <si>
    <t>B08D3P9QYM</t>
  </si>
  <si>
    <t>AYNEFai7cvtx0dk</t>
  </si>
  <si>
    <t>https://www.amazon.co.jp/-/en/Special-Promotion-Wireless-Transceiver-Communication/dp/B08D3P9QYM/ref=sr_1_4?crid=2NDQ1JER0MZIY&amp;keywords=rfm95&amp;qid=1653051992&amp;sprefix=rfm95%2Caps%2C162&amp;sr=8-4</t>
  </si>
  <si>
    <t>18350 batteries</t>
  </si>
  <si>
    <t>3.7V 1500mah 18350 Rechargeable Li-Ion Battery</t>
  </si>
  <si>
    <t>FOPY</t>
  </si>
  <si>
    <t xml:space="preserve">	B0B1N2LYV8</t>
  </si>
  <si>
    <t xml:space="preserve">	RRQWMVWVC</t>
  </si>
  <si>
    <t>https://www.amazon.co.jp/-/en/dp/B0B1N2LYV8/ref=sr_1_35?crid=2F9Z1ZHPD0U2V&amp;keywords=%E3%82%AD%E3%83%BC%E3%83%97%E3%83%91%E3%83%AF%E3%83%BC+18350&amp;qid=1653053589&amp;sprefix=18350+battery%2Caps%2C218&amp;sr=8-35</t>
  </si>
  <si>
    <t>400MHz LoRa Receiver FM Board</t>
  </si>
  <si>
    <t>87mm x 86mm LoRa Reciever PCB</t>
  </si>
  <si>
    <t>920MHz LoRa Receiver FM Board</t>
  </si>
  <si>
    <t>Mo-1 Backplane Board (FM)</t>
  </si>
  <si>
    <t>96mm x 96mm Backplane Board PCB</t>
  </si>
  <si>
    <t>DAC  DAC8563</t>
  </si>
  <si>
    <t xml:space="preserve">	
296-29032</t>
  </si>
  <si>
    <t xml:space="preserve">	
DAC8563SDGSR</t>
  </si>
  <si>
    <t>LEOPARD</t>
  </si>
  <si>
    <t>https://www.digikey.jp/ja/products/detail/texas-instruments/DAC8563SDGSR/2687234?s=N4IgTCBcDaIDoBcAEYCcA2AtGgDAZggF0BfIA</t>
  </si>
  <si>
    <t>インサート</t>
  </si>
  <si>
    <t>M6-2D</t>
  </si>
  <si>
    <t>https://jp.misumi-ec.com/vona2/detail/110300258940/?HissuCode=HLTS6-12</t>
  </si>
  <si>
    <t>Thermopile</t>
  </si>
  <si>
    <t>Kan</t>
  </si>
  <si>
    <t>Thermopile T=-10 - 85, V=-0.3 - 3.63 V, FOV 10 - 88 degree</t>
  </si>
  <si>
    <t>223-1895-ND</t>
  </si>
  <si>
    <t>G-TPMO-102</t>
  </si>
  <si>
    <t>https://www.digikey.jp/ja/products/detail/te-connectivity-measurement-specialties/G-TPMO-102/9841999?s=N4IgTCBcDaICoGUAiBaAzABgKwogXQF8g</t>
  </si>
  <si>
    <t>1-of-4 bidirectional translating multiplexer</t>
  </si>
  <si>
    <t xml:space="preserve">1 to 4 Microchip I2C </t>
  </si>
  <si>
    <t>PI4MSD5V9544ALEX</t>
  </si>
  <si>
    <t>Cut Tape</t>
  </si>
  <si>
    <t>https://www.digikey.jp/en/products/detail/texas-instruments/TCA9544APWR/4866975?s=N4IgTCBcDaICoGECCBOArAFg0gCgdQCUQBdAXyA</t>
  </si>
  <si>
    <t>Stepping Motor</t>
  </si>
  <si>
    <t>Stepping Motor 1.8 degree/step</t>
  </si>
  <si>
    <t>FIT0278</t>
  </si>
  <si>
    <t>FIT0279</t>
  </si>
  <si>
    <t>https://www.digikey.jp/ja/products/detail/dfrobot/FIT0278/6588458?s=N4IgTCBcDaIGIEkAqAGMB2AHCAugXyA</t>
  </si>
  <si>
    <t>Microchip IC USB TO I2C / UART 14TSSOP</t>
  </si>
  <si>
    <t>MCP2221A-I/ST</t>
  </si>
  <si>
    <t>MCP2221A-I/ST-ND</t>
  </si>
  <si>
    <t>https://www.digikey.jp/ja/products/detail/microchip-technology/MCP2221A-I-ST/6009298</t>
  </si>
  <si>
    <t>296-35483-2-ND</t>
  </si>
  <si>
    <t>TPS70933DBVR</t>
  </si>
  <si>
    <t>https://www.digikey.jp/en/products/detail/texas-instruments/TPS70933DBVR/3767568?s=N4IgTCBcDaICoAUDKB2ADATgMxYCICEA1AJRAF0BfIA</t>
  </si>
  <si>
    <t xml:space="preserve">Slotted Steel </t>
  </si>
  <si>
    <t>Metal L-shaped angle  L=500mm t=2mm W=20mm B=20mm</t>
  </si>
  <si>
    <t>A6063-AN-3x30x30-L600-T3-58</t>
  </si>
  <si>
    <t>https://jp.misumi-ec.com/vona2/mech_material/M1401000000/M1401100000/</t>
  </si>
  <si>
    <t>Metal L-shaped angle  L=300mm t=2mm W=20mm B=20mm</t>
  </si>
  <si>
    <t>A6063-AN-3x30x30-L300-T3-58</t>
  </si>
  <si>
    <t>A6063-AN-3x30x30-L300-T3-59</t>
  </si>
  <si>
    <t>M6 Screw</t>
  </si>
  <si>
    <t>Ultra-low head hexagon socket head cap screw</t>
  </si>
  <si>
    <t>CBSS6-8</t>
  </si>
  <si>
    <t>CBSS6-9</t>
  </si>
  <si>
    <t>https://jp.misumi-ec.com/vona2/detail/110100142270/?HissuCode=CBSS6-8&amp;PNSearch=CBSS6-8&amp;KWSearch=CBSS6-8&amp;searchFlow=results2products&amp;list=PageSearchResult</t>
  </si>
  <si>
    <t>1:1.5 Balun</t>
  </si>
  <si>
    <t> JICA(ALmonte)</t>
  </si>
  <si>
    <t>Almonte</t>
  </si>
  <si>
    <t>1 USD = 127.37 YEN as of 5/30/2022</t>
  </si>
  <si>
    <t>AQZ102 PhotoMOS</t>
  </si>
  <si>
    <t>584-TMP36FSZ</t>
  </si>
  <si>
    <t>https://www.mouser.jp/ProductDetail/Analog-Devices/TMP36FSZ?qs=WIvQP4zGanjR25964XteHg%3D%3D</t>
  </si>
  <si>
    <t xml:space="preserve">Monocrystalline Solar Cell </t>
  </si>
  <si>
    <t>ANYSOLAR Ltd</t>
  </si>
  <si>
    <t>KXOB25-02X8FCT-ND</t>
  </si>
  <si>
    <t>MO-1 +X-panel</t>
  </si>
  <si>
    <t>50 Ohm SMA Jack Right Angle Solder</t>
  </si>
  <si>
    <t>https://www.digikey.jp/en/products/detail/cinch-connectivity-solutions-johnson/142-0711-301/691804</t>
  </si>
  <si>
    <t>1 Ohm Resistor 1218 1.5W</t>
  </si>
  <si>
    <t>SMD 1218</t>
  </si>
  <si>
    <t>0 Ohm Resistor 0402</t>
  </si>
  <si>
    <t>RES SMD 0 OHM JUMPER 1/10W 0402</t>
  </si>
  <si>
    <t>P0.0JTR-ND</t>
  </si>
  <si>
    <t>ERJ-2GE0R00X</t>
  </si>
  <si>
    <t>https://www.digikey.jp/en/products/detail/panasonic-electronic-components/ERJ-2GE0R00X/146727?s=N4IgTCBcDaIKICUBSBaMBxOAGBWsA0QBdAXyA</t>
  </si>
  <si>
    <t>Spring Plunger</t>
  </si>
  <si>
    <t>Eto</t>
  </si>
  <si>
    <t>軽荷重用、スチール製、樹脂ピン</t>
  </si>
  <si>
    <t>ZN5</t>
  </si>
  <si>
    <t>スプリング プランジャー（ZP・PL・PLH・ZN・PLN） | イマオコーポレーション | MISUMI-VONA【ミスミ】 (misumi-ec.com)</t>
  </si>
  <si>
    <t>Connector Header(battery charging)</t>
  </si>
  <si>
    <t>CONN HEADER(programming pin)</t>
  </si>
  <si>
    <t>Connector Housing(Dep.BPB)</t>
  </si>
  <si>
    <t>MO-1/Curtis</t>
  </si>
  <si>
    <t>Deployment switch(physical switch)</t>
  </si>
  <si>
    <t>Inhibits-EPS</t>
  </si>
  <si>
    <t>SDS002R C&amp;K | Switch | DigiKey</t>
  </si>
  <si>
    <t>Dep.switch-Inhibit-EPS</t>
  </si>
  <si>
    <t>GAG10K3976B1 TE Connectivity Measurement Specialties | センサ、トランスデューサ | DigiKey</t>
  </si>
  <si>
    <t>Receptacle Connector, 4 pin,BPB</t>
  </si>
  <si>
    <t>FM BPB</t>
  </si>
  <si>
    <t>A3C-4DA-2DSA(71) Hirose Electric Co Ltd | Connectors, Interconnects | DigiKey</t>
  </si>
  <si>
    <t>Inductor,BPB</t>
  </si>
  <si>
    <t>l</t>
  </si>
  <si>
    <t>FM BBP</t>
  </si>
  <si>
    <t>BLM18AG601SN1D Murata Electronics | Filters | DigiKey</t>
  </si>
  <si>
    <t>Connector header, 2POS 2mm,BPB</t>
  </si>
  <si>
    <t>MO-1/CURTIS</t>
  </si>
  <si>
    <t>IC Voltage Regulator,BPB</t>
  </si>
  <si>
    <t>805-1740</t>
  </si>
  <si>
    <t>onsemi voltage regulator low dropout voltage 1.8 V, 3+Tab-pin, NCV1117ST18T3G | RS Components (rs-online.com)</t>
  </si>
  <si>
    <t>Capacitor,BPB</t>
  </si>
  <si>
    <t>GCM188R71E104KA57D Murata Electronics | Mouser Japan</t>
  </si>
  <si>
    <t>GRM188Z71C475KE21D Murata Electronics | Mouser Japan</t>
  </si>
  <si>
    <t>GRM187R61A226ME15D Murata Electronics | Mouser Japan</t>
  </si>
  <si>
    <t>FM BPB/solar panels</t>
  </si>
  <si>
    <t>LMT84QDCKTQ1 Texas Instruments | Mouser Japan</t>
  </si>
  <si>
    <t>Crimp,Battery</t>
  </si>
  <si>
    <t>Socket Terminal Tin 22-26AWG Crimping</t>
  </si>
  <si>
    <t>Tape cut</t>
  </si>
  <si>
    <t>SPHD-001T-P0.5 JST Sales America Inc. | connectors, interconnect | DigiKey</t>
  </si>
  <si>
    <t>Curtis_FM_Plus Solar panel</t>
  </si>
  <si>
    <t>MBR0520LT1GOSCT-ND </t>
  </si>
  <si>
    <t>MBR0520LT1G onsemi | Discrete Semiconductor Products | DigiKey Marketplace</t>
  </si>
  <si>
    <t>https://jp.rs-online.com/web/p/mlccs-multilayer-ceramic-capacitors/8015202/?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3830312D35323032267365617263685F6B6579776F72645F6170703D38303135323032267365617263685F636F6E6669673D3126&amp;searchHistory=%7B%22enabled%22%3Atrue%7D</t>
  </si>
  <si>
    <t>25 received</t>
  </si>
  <si>
    <t>connector housing-Battery connector-10 POS</t>
  </si>
  <si>
    <t>10 rectangular connectors - housing receptacle natural color 0.079" (2.00mm)</t>
  </si>
  <si>
    <t>1U battery</t>
  </si>
  <si>
    <t>PAP-10V-S JST Sales America Inc. | コネクタ、相互接続 | DigiKey</t>
  </si>
  <si>
    <t>connector housing- temp. sensor-4 POS</t>
  </si>
  <si>
    <t>ST connector housing 4 poles pitch: 2mm 1 row PAP-04V-S</t>
  </si>
  <si>
    <t>476-6782</t>
  </si>
  <si>
    <t xml:space="preserve">MO-1,Curtis </t>
  </si>
  <si>
    <t>JST connector housing 4 poles Pitch: 2mm 1 row PAP-04V-S | RS Components (rs-online.com)</t>
  </si>
  <si>
    <t>connector housing-Battery connector-12 POS</t>
  </si>
  <si>
    <t>12 rectangular connectors - housing receptacle natural color 0.079" (2.00mm)</t>
  </si>
  <si>
    <t>455-2953-ND</t>
  </si>
  <si>
    <t>PAP-12V-S JST Sales America Inc. | connectors, interconnect | DigiKey</t>
  </si>
  <si>
    <t>KHLVA-205/2-P</t>
  </si>
  <si>
    <t>SUS製（CITモデル）</t>
  </si>
  <si>
    <t>佳秀工業</t>
  </si>
  <si>
    <t>SUS製（Kyutechモデル）</t>
  </si>
  <si>
    <t>透明導電膜付きガラス 10cm四方</t>
  </si>
  <si>
    <t>100mm x 100mm x 3mm 7Ω/□ 4枚</t>
  </si>
  <si>
    <t>平岡特殊硝子</t>
  </si>
  <si>
    <t>透明導電膜付きガラス 20cm四方</t>
  </si>
  <si>
    <t>200mm x 200mm x 3mm 7Ω/□ 4枚</t>
  </si>
  <si>
    <t>Rpasberry Pi CM4</t>
  </si>
  <si>
    <t>Kishimoto/Necmi</t>
  </si>
  <si>
    <t>Raspberry Pi Compute Module 4 with 8GB RAM 32G eMMC Flash Optional Support Wifi/Bluetooth and External Antenna (Without Wireless, 8GB RAM)</t>
  </si>
  <si>
    <t>APOO</t>
  </si>
  <si>
    <t>APOO-A130</t>
  </si>
  <si>
    <t>Camara, OPERA</t>
  </si>
  <si>
    <t>LEOPARD room</t>
  </si>
  <si>
    <t>https://www.amazon.co.jp/Raspberry-Compute-optional-bluetooth-External/dp/B09HP9MZ96?th=1</t>
  </si>
  <si>
    <t>BIRDS-5 衛星引き渡し延期による旅程キャンセル料</t>
  </si>
  <si>
    <t>新幹線往復と1泊分の宿泊費用、3人分</t>
  </si>
  <si>
    <t>日本旅行</t>
  </si>
  <si>
    <t>Project management</t>
  </si>
  <si>
    <t>Fatima/Pooja/Pema</t>
  </si>
  <si>
    <t>High accuracy relative temperature measurement sensor</t>
  </si>
  <si>
    <t>SONOFF</t>
  </si>
  <si>
    <t>Tech Shield Pro</t>
  </si>
  <si>
    <t>DS18B20</t>
  </si>
  <si>
    <t>https://www.techshieldpro.com/product/sonoff-ds18b20/</t>
  </si>
  <si>
    <t>Waterproof solar panel</t>
  </si>
  <si>
    <t>YESKAMO</t>
  </si>
  <si>
    <t>B07STW69VV</t>
  </si>
  <si>
    <t>JP-AM-SP</t>
  </si>
  <si>
    <t>https://www.amazon.co.jp/-/en/YESKAMO-Round-Battery-Camera-Only/dp/B07STW69VV/ref=sr_1_10?crid=1GAA3UBVNFG4T&amp;keywords=%E3%82%BD%E3%83%BC%E3%83%A9%E3%83%BC%E3%83%91%E3%83%8D%E3%83%AB&amp;qid=1644909252&amp;sprefix=solar+panel%2Caps%2C318&amp;sr=8-10</t>
  </si>
  <si>
    <t>Water level transmitter</t>
  </si>
  <si>
    <t>4-20MA level transmitter/Level controller/Input type level sensor</t>
  </si>
  <si>
    <t>Huabei Huadian Automation</t>
  </si>
  <si>
    <t>HDL300</t>
  </si>
  <si>
    <t>https://www.aliexpress.com/item/4000108966613.html?gatewayAdapt=glo2ara</t>
  </si>
  <si>
    <t>Humidity sensor</t>
  </si>
  <si>
    <t>Humidity Temperature Sensor</t>
  </si>
  <si>
    <t>1738-SEN0385-ND</t>
  </si>
  <si>
    <t>SEN0385</t>
  </si>
  <si>
    <t>https://www.digikey.jp/en/products/detail/dfrobot/SEN0385/13590873</t>
  </si>
  <si>
    <t>902-928 MHz Patch Antenna</t>
  </si>
  <si>
    <t>902-928MHz, 4dBi, Ceramic Patch RF Antenna</t>
  </si>
  <si>
    <t>https://www.digikey.jp/en/products/detail/abracon-llc/ARRKP7059-S915B/8593265</t>
  </si>
  <si>
    <t>Micro USB cable</t>
  </si>
  <si>
    <t>Cable A Male to C with Micro B Male 3.28'</t>
  </si>
  <si>
    <t>1738-FIT0668-ND</t>
  </si>
  <si>
    <t>FIT0668</t>
  </si>
  <si>
    <t>https://www.digikey.jp/en/products/detail/dfrobot/FIT0668/13166502?s=N4IgTCBcDaIGIEkAqAGAbGgHCAugXyA</t>
  </si>
  <si>
    <t>USB Serial cable</t>
  </si>
  <si>
    <t>USB to TTL Serial 3.3V cable 5.90'</t>
  </si>
  <si>
    <t>https://www.digikey.jp/ja/products/detail/ftdi-future-technology-devices-international-ltd/TTL-232R-3V3/1836393</t>
  </si>
  <si>
    <t> JICA(Manabe)</t>
  </si>
  <si>
    <t>Ariel/Jeje</t>
  </si>
  <si>
    <t>SMD 0805, 100Kohms 5%  AEC-Q200</t>
  </si>
  <si>
    <t>N channel MOSFET</t>
  </si>
  <si>
    <t>MOSFET N-CH 20V 4.2A</t>
  </si>
  <si>
    <t>6-SMD, Flat Lead</t>
  </si>
  <si>
    <t>https://www.mouser.jp/ProductDetail/Toshiba/SSM6K403TULF?qs=pzVvXTvk9PzSone6Qjzwzg%3D%3D</t>
  </si>
  <si>
    <t>Male  Header Socket (2.54 mm)</t>
  </si>
  <si>
    <t>SMD 0805, 10Kohms,  1%  AEC-Q200</t>
  </si>
  <si>
    <t>667-ERJ-6ENF1002V</t>
  </si>
  <si>
    <t>ERJ-6ENF1002V</t>
  </si>
  <si>
    <t>https://www.mouser.jp/ProductDetail/667-ERJ-6ENF1002V</t>
  </si>
  <si>
    <t>Nacsemi</t>
  </si>
  <si>
    <t>https://store.nacsemi.com/Products/Detail?part=SN74LVC2G34DBVR&amp;stock=SN74LVC2G34DB&amp;Mfr=TEXAS%20INSTRUMENTS&amp;utm_campaign=listing&amp;utm_source=octopart&amp;utm_medium=aggregator&amp;utm_content=textlink&amp;instock=y</t>
  </si>
  <si>
    <t>Jeje</t>
  </si>
  <si>
    <t>Jakelectronics</t>
  </si>
  <si>
    <t>アマチュア無線局　電波料</t>
  </si>
  <si>
    <t>JG6YBW / JG6YNH　1年分　２局</t>
  </si>
  <si>
    <t>アマチュア局</t>
  </si>
  <si>
    <t>樹脂ねじ（PEEK／十字穴付きなべ小ねじ）M2</t>
  </si>
  <si>
    <t>Nishinaga</t>
  </si>
  <si>
    <t>M2,length:6mm,Material:Resin</t>
  </si>
  <si>
    <t>SPE-M2X6-P</t>
  </si>
  <si>
    <t>SPE-M2X7-P</t>
  </si>
  <si>
    <t>Solar Array Paddle</t>
  </si>
  <si>
    <t>https://jp.misumi-ec.com/vona2/detail/221000233306/?ProductCode=SPE-M2X6-P</t>
  </si>
  <si>
    <t>CURTIS ASSEMBLY</t>
  </si>
  <si>
    <t>https://www.monotaro.com/p/6854/8365/?t.q=F-155</t>
  </si>
  <si>
    <t>SSD hard disk 500GB</t>
  </si>
  <si>
    <t>CRUCIAL</t>
  </si>
  <si>
    <t>B077PPN5NN</t>
  </si>
  <si>
    <t>MX500</t>
  </si>
  <si>
    <t>CURTIS PC</t>
  </si>
  <si>
    <t>https://www.amazon.co.jp/-/en/dp/B077PPN5NN?ref=emc_p_m_5_i</t>
  </si>
  <si>
    <t>USB-SERIAL cable</t>
  </si>
  <si>
    <t>USB-シリアル変換ケーブル オス:USB Type-A メス:QI 6P 2.54mmピッチ 黒色</t>
  </si>
  <si>
    <t>共立電子産業</t>
  </si>
  <si>
    <t>KP-232R-5V</t>
  </si>
  <si>
    <t>https://www.monotaro.com/g/02564309/?t.q=TTL%20USB</t>
  </si>
  <si>
    <t>BUFFALO BSH4U125U3BK USB Hub</t>
  </si>
  <si>
    <t>BSH4U125U3BK</t>
  </si>
  <si>
    <t>https://www.amazon.co.jp/dp/B07XPMR5CW?ref_=cm_sw_r_cp_ud_dp_3WKFK0V7RB80ZFDS6NDM</t>
  </si>
  <si>
    <t>Screwdriver Set</t>
  </si>
  <si>
    <t>Precision Screwdriver Set, 130-in-1</t>
  </si>
  <si>
    <t>B09TZS41CD</t>
  </si>
  <si>
    <t>https://www.amazon.co.jp/dp/B09TZS41CD?ref_=cm_sw_r_cp_ud_dp_JZ37QAY50K293EE59G1X</t>
  </si>
  <si>
    <t>Mouse for PC</t>
  </si>
  <si>
    <t>Buffalo BSMBW315BK Wireless Mouse</t>
  </si>
  <si>
    <t>BSMBW315BK</t>
  </si>
  <si>
    <t>https://www.amazon.co.jp/dp/B07S8VWT5B?ref_=cm_sw_r_cp_ud_dp_WJYC0WSS7DZYTKDJHK5V</t>
  </si>
  <si>
    <t>ウルトラスプリング圧縮コイルばね</t>
  </si>
  <si>
    <t>SUS304WPB,Free height:11mm,Outer diameter:3mm</t>
  </si>
  <si>
    <t>アキュレイト</t>
  </si>
  <si>
    <t>C104</t>
  </si>
  <si>
    <t>https://jp.misumi-ec.com/vona2/detail/221000016945/?ProductCode=C104</t>
  </si>
  <si>
    <t>丸線コイルスプリング</t>
  </si>
  <si>
    <t xml:space="preserve"> FILM </t>
  </si>
  <si>
    <t>SUS304-WPB,Free height:10mm,Outer diameter:3mm</t>
  </si>
  <si>
    <t>UF3-10</t>
  </si>
  <si>
    <t>Spring Plunger body ver2</t>
  </si>
  <si>
    <t>アルミ構造</t>
  </si>
  <si>
    <t>Spring Plunger tip ver2</t>
  </si>
  <si>
    <t>樹脂ピン</t>
  </si>
  <si>
    <t>https://www.marutsu.co.jp/GoodsDetail.jsp?salesGoodsCode=223385&amp;shopNo=3</t>
  </si>
  <si>
    <t>Nihsinaga</t>
  </si>
  <si>
    <t>TiNi形状記憶合金直径1.0mm Af65℃　直線記憶済み</t>
  </si>
  <si>
    <t>吉見製作所</t>
  </si>
  <si>
    <t>https://yoshimi-inc.co.jp/#</t>
  </si>
  <si>
    <t>ばね</t>
  </si>
  <si>
    <t>外径2mm、自由高さ10mm、許容荷重1.42N、荷重高さ5mm、密着高さ4.2mm</t>
  </si>
  <si>
    <t>トラスコ仲山</t>
  </si>
  <si>
    <t>TSS-55014</t>
  </si>
  <si>
    <t>https://jp.misumi-ec.com/vona2/detail/221303481835/?CategorySpec=00000005920%3a%3amig00000002691645%0900000005917%3a%3amig00000002515062%0900000005923%3a%3amig00000002515066&amp;list=PageCategory</t>
  </si>
  <si>
    <t>0.78-1.42N</t>
  </si>
  <si>
    <t>C113</t>
  </si>
  <si>
    <t>https://jp.misumi-ec.com/vona2/detail/221000016945/?HissuCode=C113&amp;PNSearch=C113&amp;KWSearch=C113&amp;searchFlow=results2products&amp;list=PageSearchResult</t>
  </si>
  <si>
    <t>止めボルト</t>
  </si>
  <si>
    <t>M3並目L=5 SUS304</t>
  </si>
  <si>
    <t>MSSFS3-5</t>
  </si>
  <si>
    <t>https://jp.misumi-ec.com/vona2/detail/110302679970/?PNSearch=MSSFS3-5&amp;HissuCode=MSSFS3-5&amp;searchFlow=suggest2products&amp;Keyword=MSSFS3-5&amp;list=SuggestPreview</t>
  </si>
  <si>
    <t>位置ぎめピン</t>
  </si>
  <si>
    <t>APEA2-P3.8-L5-B2-R2</t>
  </si>
  <si>
    <t>https://jp.misumi-ec.com/vona2/detail/110303057720/?HissuCode=APEA2-P3.8-L5-B2-R2&amp;PNSearch=APEA2-P3.8-L5-B2-R2&amp;KWSearch=APEA2-P3.8-L5-B2-R2&amp;searchFlow=results2products&amp;list=PageSearchResult</t>
  </si>
  <si>
    <t>MO-1 Antenna Board (FM)</t>
  </si>
  <si>
    <t> JICA(Almonte)</t>
  </si>
  <si>
    <t>82.6 x 100.7mm +X-panel PCB</t>
  </si>
  <si>
    <t>SMD抵抗</t>
  </si>
  <si>
    <t>CR0402-FX-2400GLF</t>
  </si>
  <si>
    <t>652-CR0402FX-2400GLF</t>
  </si>
  <si>
    <t>https://www.mouser.jp/c/?q=R0402%20240</t>
  </si>
  <si>
    <t>BIRDS-5 Handover 新幹線＆宿泊（一泊分）</t>
  </si>
  <si>
    <t>「小倉駅→東京駅」往復新幹線代と宿泊一泊込みの新幹線パック（三人分）</t>
  </si>
  <si>
    <t>BIRDS-6 Handover バス（つくば→東京）</t>
  </si>
  <si>
    <t>筑波宇宙センターから東京駅のバス代片道（三人分）</t>
  </si>
  <si>
    <t>関東鉄道</t>
  </si>
  <si>
    <t xml:space="preserve">CURTIS ADCS adapter board </t>
  </si>
  <si>
    <t>Soldering Components</t>
  </si>
  <si>
    <t>位置決めピン</t>
  </si>
  <si>
    <t>位置決めピン　高硬度ステンレス　R・テーパR 　圧入</t>
  </si>
  <si>
    <t>位置決めピン　高硬度ステンレス　R・テーパR　－圧入－ | ミスミ | MISUMI-VONA【ミスミ】 (misumi-ec.com)</t>
  </si>
  <si>
    <t>圧縮コイルバネ</t>
  </si>
  <si>
    <t>ウルトラスプリング　圧縮コイルバネ　SUS304WPB</t>
  </si>
  <si>
    <t>最小出荷単位:1袋20個入り</t>
  </si>
  <si>
    <t>https://www.accurate.jp/products/c113/</t>
  </si>
  <si>
    <t>24 Pin Male Connector</t>
  </si>
  <si>
    <t>Giulio</t>
  </si>
  <si>
    <t>RAB/LoRa</t>
  </si>
  <si>
    <t>https://www.digikey.jp/en/products/detail/sullins-connector-solutions/GRPB122VWQS-RC/1786421?s=N4IgTCBcDaIOICUAKAhABARjGNA1A6gIoDKAtAgMIgC6AvkA</t>
  </si>
  <si>
    <t>24 Pin Female Connector</t>
  </si>
  <si>
    <t>609-3761-ND</t>
  </si>
  <si>
    <t>20021311-00024T4LF</t>
  </si>
  <si>
    <t>https://www.digikey.jp/en/products/detail/amphenol-cs-fci/20021311-00024T4LF/2209108</t>
  </si>
  <si>
    <t>Jumper Wire Female to Female</t>
  </si>
  <si>
    <t>JUMPER WIRE F TO F 12" 28AWG</t>
  </si>
  <si>
    <t>1528-1960-ND</t>
  </si>
  <si>
    <t xml:space="preserve">RAB/LoRa </t>
  </si>
  <si>
    <t>https://www.digikey.jp/en/products/detail/adafruit-industries-llc/1949/6827083</t>
  </si>
  <si>
    <t>4 Pin Header</t>
  </si>
  <si>
    <t>PIN HEADER, THR, SINGLE ROW, .10</t>
  </si>
  <si>
    <t>METZ CONNECT USA Inc.</t>
  </si>
  <si>
    <t>1849-PR20204VBNN-ND</t>
  </si>
  <si>
    <t>PR20204VBNN</t>
  </si>
  <si>
    <t>https://www.digikey.jp/en/products/detail/metz-connect-usa-inc/PR20204VBNN/12342903</t>
  </si>
  <si>
    <t>CURTIS_+X_TEST V2</t>
  </si>
  <si>
    <t>p.板</t>
  </si>
  <si>
    <t>CURTIS_-X_TEST V2</t>
  </si>
  <si>
    <t>8 Male Pin Header</t>
  </si>
  <si>
    <t>PIN HEADER, THR, SINGLE ROW, 2.5</t>
  </si>
  <si>
    <t>1849-PR20208VBNN-ND</t>
  </si>
  <si>
    <t>PR20208VBNN</t>
  </si>
  <si>
    <t>https://www.digikey.jp/en/products/detail/metz-connect-usa-inc/PR20208VBNN/13402440</t>
  </si>
  <si>
    <t>CROSSBOOM, KIT EME XP20/XP22</t>
  </si>
  <si>
    <t>m2inc</t>
  </si>
  <si>
    <t>FGCBLB13</t>
  </si>
  <si>
    <t>FGCBLB14</t>
  </si>
  <si>
    <t>Uganda GS</t>
  </si>
  <si>
    <t>https://www.m2inc.com/FGCBLB13</t>
  </si>
  <si>
    <t>436CP42UG, 420-440 MHz</t>
  </si>
  <si>
    <t>FG436CP42UG</t>
  </si>
  <si>
    <t>https://www.m2inc.com/FG436CP42UG</t>
  </si>
  <si>
    <t>2MCP22, 144-148 MHz</t>
  </si>
  <si>
    <t>FG2MCP22</t>
  </si>
  <si>
    <t>FG2MCP23</t>
  </si>
  <si>
    <t>https://www.m2inc.com/FG2MCP22</t>
  </si>
  <si>
    <t>FGUHF50</t>
  </si>
  <si>
    <t>FGUHF51</t>
  </si>
  <si>
    <t>https://www.m2inc.com/FGUHF50</t>
  </si>
  <si>
    <t>VHF-50, TUNED PHASE KIT</t>
  </si>
  <si>
    <t>FGVHF50</t>
  </si>
  <si>
    <t>FGVHF51</t>
  </si>
  <si>
    <t>https://www.m2inc.com/FGVHF50</t>
  </si>
  <si>
    <t>FG70CM2PRTPD</t>
  </si>
  <si>
    <t>2M 2PRT PD</t>
  </si>
  <si>
    <t>FG2M2PRTPD</t>
  </si>
  <si>
    <t>https://www.m2inc.com/FG2M2PRTPD</t>
  </si>
  <si>
    <t> L-BRACE KIT, UNIVERSAL</t>
  </si>
  <si>
    <t>FGLBKCOM</t>
  </si>
  <si>
    <t>https://www.m2inc.com/FGLBKCOM</t>
  </si>
  <si>
    <t>アートプリントジャパン B4額金ラック</t>
  </si>
  <si>
    <t>B4額金ラック</t>
  </si>
  <si>
    <t>アートプリントジャパン</t>
  </si>
  <si>
    <t>4966005307703</t>
  </si>
  <si>
    <t>BIRDS4,BIRDS5</t>
  </si>
  <si>
    <t>4F Display</t>
  </si>
  <si>
    <t>https://www.askul.co.jp/p/7888355/</t>
  </si>
  <si>
    <t>CSAC</t>
  </si>
  <si>
    <t>10MHz atomic clock</t>
  </si>
  <si>
    <t>Marubun</t>
  </si>
  <si>
    <t>090-02984-001</t>
  </si>
  <si>
    <t>JUMPER WIRE F TO F 6" 28AWG</t>
  </si>
  <si>
    <t>https://www.digikey.jp/ja/products/detail/adafruit-industries-llc/1950/6827084</t>
  </si>
  <si>
    <t>導電性片面銅箔テープ CU-35C 5mm幅</t>
  </si>
  <si>
    <t>3m アクリル系導電性粒子分散</t>
  </si>
  <si>
    <t>CU-35C 5mmx3m</t>
  </si>
  <si>
    <t>https://www.monotaro.com/g/01366154/?t.q=銅テープ%E3%80%80導電性%205mm</t>
  </si>
  <si>
    <t>導電性片面銅箔テープ CU-35C 15mm幅</t>
  </si>
  <si>
    <t>CU-35C 15mmx3m</t>
  </si>
  <si>
    <t>導電性片面銅箔テープ CU-35C 30mm幅</t>
  </si>
  <si>
    <t>CU-35C 30mmx3m</t>
  </si>
  <si>
    <t>OPERA Front End Board FM</t>
  </si>
  <si>
    <t>100MHz IF output FE</t>
  </si>
  <si>
    <t>SMA-UMCC cable 100mm</t>
  </si>
  <si>
    <t>Cable Assembly Coaxial U.FL (UMCC), AMC to SMA RG-178 3.937" (100.00mm)</t>
  </si>
  <si>
    <t xml:space="preserve">	
Amphenol RF</t>
  </si>
  <si>
    <t>115-095-902-516-100-ND</t>
  </si>
  <si>
    <t>095-902-516-100</t>
  </si>
  <si>
    <t>PanaBUS</t>
  </si>
  <si>
    <t>SVBL clean room</t>
  </si>
  <si>
    <t>https://www.digikey.jp/en/products/detail/amphenol-rf/095-902-516-100/10261191</t>
  </si>
  <si>
    <t>SMA-UMCC cable 200mm</t>
  </si>
  <si>
    <t>Cable Assembly Coaxial U.FL (UMCC), AMC to SMA RG-178 7.874" (200.00mm)</t>
  </si>
  <si>
    <t xml:space="preserve">	
115-095-902-516-200-ND</t>
  </si>
  <si>
    <t>095-902-516-200</t>
  </si>
  <si>
    <t>https://www.digikey.jp/en/products/detail/amphenol-rf/095-902-516-200/10261144</t>
  </si>
  <si>
    <t>CBL ASSY SMPM JACK-JACK 6"</t>
  </si>
  <si>
    <t xml:space="preserve">Shinozaki </t>
  </si>
  <si>
    <t xml:space="preserve">
7032-6354-ND</t>
  </si>
  <si>
    <t>7032-6354</t>
  </si>
  <si>
    <t>https://www.digikey.jp/en/products/detail/amphenol-sv-microwave/7032-6354/6050883</t>
  </si>
  <si>
    <t>SMPM-TMJ</t>
  </si>
  <si>
    <t>798-SMPM-TMJ</t>
  </si>
  <si>
    <t>Hirose Connector</t>
  </si>
  <si>
    <t>https://www.mouser.jp/ProductDetail/Hirose-Connector/SMPM-TMJ?qs=vcbW%252B4%252BSTIqHM4dYxWelOw%3D%3D</t>
  </si>
  <si>
    <t>SF1132-6026</t>
  </si>
  <si>
    <t>SF1132-6026-ND</t>
  </si>
  <si>
    <t>https://www.digikey.jp/en/products/detail/amphenol-sv-microwave/SF1132-6026/6050900</t>
  </si>
  <si>
    <t>CABLE DSUB RCPT 15POS LEADS 18"</t>
  </si>
  <si>
    <t>ITT Cannon, LLC</t>
  </si>
  <si>
    <t>IM83513/04-B03N-ND</t>
  </si>
  <si>
    <t>https://www.digikey.jp/ja/products/detail/itt-cannon-llc/M83513-04-B03N/2432919</t>
  </si>
  <si>
    <t>M2x8 Screw</t>
  </si>
  <si>
    <t xml:space="preserve"> CSHBTT-SUS-M2-8</t>
  </si>
  <si>
    <t>82円</t>
  </si>
  <si>
    <t>https://jp.misumi-ec.com/vona2/detail/221303783852/?PNSearch=CSHBTT-SUS-M2-8&amp;HissuCode=CSHBTT-SUS-M2-8&amp;searchFlow=suggest2products&amp;Keyword=CSHBTT-SUS-M2-8&amp;list=SuggestPreview</t>
  </si>
  <si>
    <t>M2x6 Screw</t>
  </si>
  <si>
    <t>M2; Length: 6mm</t>
  </si>
  <si>
    <t>CSHBTT-SUS-M2-6</t>
  </si>
  <si>
    <t>78円</t>
  </si>
  <si>
    <t>https://jp.misumi-ec.com/vona2/detail/221303783852/?HissuCode=CSHBTT-SUS-M2-6&amp;PNSearch=CSHBTT-SUS-M2-6&amp;KWSearch=CSHBTT-SUS-M2-6&amp;searchFlow=results2products&amp;list=PageSearchResult</t>
  </si>
  <si>
    <t>M3x10 Screw</t>
  </si>
  <si>
    <t>CBSTSR M3-10</t>
  </si>
  <si>
    <t>270円</t>
  </si>
  <si>
    <t>M2-4 Screw</t>
  </si>
  <si>
    <t>M2; Length: 4mm</t>
  </si>
  <si>
    <t>55円</t>
  </si>
  <si>
    <t>40円</t>
  </si>
  <si>
    <t xml:space="preserve"> </t>
  </si>
  <si>
    <t>Dimension d (Φmm) 2.8, Thickness t (mm) 0.5</t>
  </si>
  <si>
    <t>NN-2608-05</t>
  </si>
  <si>
    <t>399円</t>
  </si>
  <si>
    <t>https://www.monotaro.com/g/01214187/?t.attr_f2600=%E5%B9%B3%E5%BA%A7%E9%87%91%28%E3%83%AF%E3%83%83%E3%82%B7%E3%83%A3%E3%83%BC%29&amp;t.attr_f859=2.8&amp;t.attr_f860=8</t>
  </si>
  <si>
    <t>76円</t>
  </si>
  <si>
    <t>APPEA2-P3.8-L5-B2-R2</t>
  </si>
  <si>
    <t>https://jp.misumi-ec.com/vona2/detail/110303057720/?HissuCode=APEA2-P3.8-L%5b3-16%2f1%5d-B2-R2&amp;PNSearch=APEA2-P3.8-L%5b3-16%2f1%5d-B2-R2&amp;KWSearch=APEA2-P3.8-%20L5-B2-R2&amp;searchFlow=results2products&amp;list=PageSearchResult</t>
  </si>
  <si>
    <t>Battery Charger-Discharger Board</t>
  </si>
  <si>
    <t>Charger-Discharger v6 manufacture &amp; component mounting</t>
  </si>
  <si>
    <t>BIRDs room</t>
  </si>
  <si>
    <t>Cell-Switcher Board</t>
  </si>
  <si>
    <t>Cell Swicther v7 manufacture &amp; component mounting</t>
  </si>
  <si>
    <t> NRI</t>
  </si>
  <si>
    <t>Elecom 3-pin outlet power tap; 5 m long</t>
  </si>
  <si>
    <t>¥2,390</t>
  </si>
  <si>
    <t>¥4,780</t>
  </si>
  <si>
    <t>https://www.monotaro.com/p/2004/6854/</t>
  </si>
  <si>
    <t>Coolant circulator</t>
  </si>
  <si>
    <t>-20 - +30 ℃; 20 L/min; 650 W; 16 L</t>
  </si>
  <si>
    <t>¥230,000</t>
  </si>
  <si>
    <t>Insulation tubing</t>
  </si>
  <si>
    <t>φ:18 mm; length: 2 m; thickness: 10 mm; -80 - +120 ℃</t>
  </si>
  <si>
    <t>Sekisui</t>
  </si>
  <si>
    <t>LTQ10</t>
  </si>
  <si>
    <t>¥649</t>
  </si>
  <si>
    <t>¥3,894</t>
  </si>
  <si>
    <t>https://www.monotaro.com/p/3954/0891/</t>
  </si>
  <si>
    <t>Tubing protection tape</t>
  </si>
  <si>
    <r>
      <t xml:space="preserve">18 m </t>
    </r>
    <r>
      <rPr>
        <sz val="10"/>
        <color rgb="FF000000"/>
        <rFont val="Calibri"/>
        <family val="2"/>
      </rPr>
      <t>×</t>
    </r>
    <r>
      <rPr>
        <sz val="9"/>
        <color rgb="FF000000"/>
        <rFont val="Arial"/>
        <family val="2"/>
      </rPr>
      <t xml:space="preserve"> 50 mm × 0.15 mm</t>
    </r>
  </si>
  <si>
    <t>J7072</t>
  </si>
  <si>
    <t>¥329</t>
  </si>
  <si>
    <t>¥658</t>
  </si>
  <si>
    <t>https://www.monotaro.com/p/0658/9021/</t>
  </si>
  <si>
    <t>moisture proof adhesive tape</t>
  </si>
  <si>
    <r>
      <t xml:space="preserve">20 m </t>
    </r>
    <r>
      <rPr>
        <sz val="10"/>
        <color rgb="FF000000"/>
        <rFont val="Calibri"/>
        <family val="2"/>
      </rPr>
      <t>×</t>
    </r>
    <r>
      <rPr>
        <sz val="9"/>
        <color rgb="FF000000"/>
        <rFont val="Arial"/>
        <family val="2"/>
      </rPr>
      <t xml:space="preserve"> 25 mm × 0.11 mm</t>
    </r>
  </si>
  <si>
    <t>因幡電工</t>
  </si>
  <si>
    <t>UVT-25-I</t>
  </si>
  <si>
    <t>¥449</t>
  </si>
  <si>
    <t>https://www.monotaro.com/p/6899/4458/</t>
  </si>
  <si>
    <t>Cu-Tubed Al-cold plate</t>
  </si>
  <si>
    <r>
      <t xml:space="preserve">152 mm </t>
    </r>
    <r>
      <rPr>
        <sz val="10"/>
        <color rgb="FF000000"/>
        <rFont val="Calibri"/>
        <family val="2"/>
      </rPr>
      <t>×</t>
    </r>
    <r>
      <rPr>
        <sz val="9"/>
        <color rgb="FF000000"/>
        <rFont val="Arial"/>
        <family val="2"/>
      </rPr>
      <t xml:space="preserve"> 127 mm × 15 mm</t>
    </r>
  </si>
  <si>
    <t>Adv. Thermal Solns</t>
  </si>
  <si>
    <t>684-ATS-TCP-1001-ND</t>
  </si>
  <si>
    <t>ATS-TCP-1001</t>
  </si>
  <si>
    <t>¥15,111</t>
  </si>
  <si>
    <t>https://www.digikey.jp/en/products/detail/advanced-thermal-solutions-inc/ATS-TCP-1001/10491155?s=N4IgTCBcDaIIIBUDKBaBBhACigjABjxxAF0BfIA</t>
  </si>
  <si>
    <t>Tough pitch copper plate</t>
  </si>
  <si>
    <r>
      <t xml:space="preserve">153 mm </t>
    </r>
    <r>
      <rPr>
        <sz val="10"/>
        <color rgb="FF000000"/>
        <rFont val="Calibri"/>
        <family val="2"/>
      </rPr>
      <t>×</t>
    </r>
    <r>
      <rPr>
        <sz val="9"/>
        <color rgb="FF000000"/>
        <rFont val="Arial"/>
        <family val="2"/>
      </rPr>
      <t xml:space="preserve"> 127 mm × 10 mm</t>
    </r>
  </si>
  <si>
    <t>CTAPF-152-127-10</t>
  </si>
  <si>
    <t>¥13,640</t>
  </si>
  <si>
    <t>https://jp.misumi-ec.com/vona2/detail/110300539730/?rid=c24-alluser_detail_5_110300539730&amp;list=RecoCustomersPurchased</t>
  </si>
  <si>
    <t>Copper sheet</t>
  </si>
  <si>
    <r>
      <t xml:space="preserve">600 mm </t>
    </r>
    <r>
      <rPr>
        <sz val="10"/>
        <color rgb="FF000000"/>
        <rFont val="Calibri"/>
        <family val="2"/>
      </rPr>
      <t>×</t>
    </r>
    <r>
      <rPr>
        <sz val="9"/>
        <color rgb="FF000000"/>
        <rFont val="Arial"/>
        <family val="2"/>
      </rPr>
      <t xml:space="preserve"> 365 mm × 1 mm</t>
    </r>
  </si>
  <si>
    <t>HC1066</t>
  </si>
  <si>
    <t>¥6,790</t>
  </si>
  <si>
    <t>https://www.monotaro.com/p/8626/3546/</t>
  </si>
  <si>
    <t>1/4 piece</t>
  </si>
  <si>
    <t>¥17,487</t>
  </si>
  <si>
    <t>https://www.mouser.jp/ProductDetail/Laird-Performance-Materials/A10096-02?qs=%2Fha2pyFadujobulY8zqeM7XphajS7sOPDO0etcSTnwkW5iJ4ymhx0Q%3D%3D&amp;utm_source=octopart&amp;utm_medium=aggregator&amp;utm_campaign=739-A10096-02&amp;utm_content=Laird+Performance+Materials#</t>
  </si>
  <si>
    <t>Polyester film multi-layer insulator</t>
  </si>
  <si>
    <r>
      <t xml:space="preserve">Type E: double-sided vacuum deposited Al; 95 cm </t>
    </r>
    <r>
      <rPr>
        <sz val="10"/>
        <color rgb="FF000000"/>
        <rFont val="Calibri"/>
        <family val="2"/>
      </rPr>
      <t>×</t>
    </r>
    <r>
      <rPr>
        <sz val="9"/>
        <color rgb="FF000000"/>
        <rFont val="Arial"/>
        <family val="2"/>
      </rPr>
      <t xml:space="preserve"> 95 cm</t>
    </r>
  </si>
  <si>
    <t>Type: E-2</t>
  </si>
  <si>
    <t>¥68,000</t>
  </si>
  <si>
    <t>MLI（多層断熱材）製造 | ORBITAL Engineering Inc. (orbital-e.co.jp)</t>
  </si>
  <si>
    <t>¥23,000</t>
  </si>
  <si>
    <t>¥46,000</t>
  </si>
  <si>
    <t>1/2 inch VCR retainer gasket</t>
  </si>
  <si>
    <t>¥580</t>
  </si>
  <si>
    <t>¥5,800</t>
  </si>
  <si>
    <t>Regulated DC power supply</t>
  </si>
  <si>
    <t>360 W; 80 V; 13.5 A</t>
  </si>
  <si>
    <t>¥90,000</t>
  </si>
  <si>
    <t>¥180,000</t>
  </si>
  <si>
    <t>https://www.texio.co.jp/en/product/detail/11</t>
  </si>
  <si>
    <t>16-Bit, Dual, Low Power, Ultra-low Glitch, Buffered Voltage Output DAC with 2.5V, 4ppm/°C Reference</t>
  </si>
  <si>
    <t>10-TFSOP</t>
  </si>
  <si>
    <t>https://www.digikey.jp/ja/products/detail/texas-instruments/DAC8563TDGST/5823565</t>
  </si>
  <si>
    <t>Screw (SCB 3-8)</t>
  </si>
  <si>
    <t>Giulio Mattei</t>
  </si>
  <si>
    <t>Bolt with Hex Hole - Stainless Steel  Lenght 8mm</t>
  </si>
  <si>
    <t>¥6,00</t>
  </si>
  <si>
    <t>¥840,00</t>
  </si>
  <si>
    <t>PeTT Chamber</t>
  </si>
  <si>
    <t>https://jp.misumi-ec.com/vona2/detail/110300239250/?HissuCode=SCB3-8</t>
  </si>
  <si>
    <t>Screw (SCB 3-6)</t>
  </si>
  <si>
    <t>Bolt with Hex Hole - Stainless Steel Lenght 6 mm</t>
  </si>
  <si>
    <t>¥600,00</t>
  </si>
  <si>
    <t>https://jp.misumi-ec.com/vona2/detail/110300239250/?HissuCode=SCB3-6&amp;PNSearch=SCB3-6&amp;KWSearch=SCB3-6&amp;searchFlow=results2products&amp;list=PageSearchResult</t>
  </si>
  <si>
    <t>PTFE Washer (TT-0310-20)</t>
  </si>
  <si>
    <t>PTFE Washer Thickness 2mm</t>
  </si>
  <si>
    <t>Hirosugi instruments</t>
  </si>
  <si>
    <t>¥53,00</t>
  </si>
  <si>
    <t>¥2.120,00</t>
  </si>
  <si>
    <t>https://jp.misumi-ec.com/vona2/detail/221006205109/?HissuCode=TT-0310-20&amp;PNSearch=TT-0310-20&amp;KWSearch=TT-0310-20&amp;searchFlow=results2products&amp;list=PageSearchResult</t>
  </si>
  <si>
    <t>Aluminium corner bracket (HPTBS3)</t>
  </si>
  <si>
    <t>¥145,00</t>
  </si>
  <si>
    <t>¥10.150,00</t>
  </si>
  <si>
    <t>https://jp.misumi-ec.com/vona2/detail/110302755570/?PNSearch=HPTBS3&amp;HissuCode=HPTBS3&amp;searchFlow=suggest2products&amp;Keyword=HPTBS3&amp;list=SuggestPreview</t>
  </si>
  <si>
    <t>Square nut Pack (100 pcs)</t>
  </si>
  <si>
    <t>Square nut for 15mm square aluminium frame</t>
  </si>
  <si>
    <t>200 (2 Packs)</t>
  </si>
  <si>
    <t>¥1.200,00</t>
  </si>
  <si>
    <t>https://jp.misumi-ec.com/vona2/detail/110300465710/?HissuCode=HNSQ3-3&amp;PNSearch=HNSQ3-3&amp;KWSearch=hnsq3-3&amp;searchFlow=results2products&amp;list=PageSearchResult</t>
  </si>
  <si>
    <t>Square aluminium frame  (L 80 mm)</t>
  </si>
  <si>
    <t>Square aluminium frame  15x15x80 mm</t>
  </si>
  <si>
    <t>HFS3-1515-80</t>
  </si>
  <si>
    <t>¥240,00</t>
  </si>
  <si>
    <t>¥1.920,00</t>
  </si>
  <si>
    <t>https://jp.misumi-ec.com/vona2/detail/110300465870/?list=PageCategory</t>
  </si>
  <si>
    <t>Square aluminium frame  (L 122 mm)</t>
  </si>
  <si>
    <t>Square aluminium frame  15x15x122 mm</t>
  </si>
  <si>
    <t>HFS3-1515-122</t>
  </si>
  <si>
    <t>¥220,00</t>
  </si>
  <si>
    <t>¥2.200,00</t>
  </si>
  <si>
    <t>Square aluminium frame ( L 340 mm)</t>
  </si>
  <si>
    <t>Square aluminium frame  15x15x340 mm</t>
  </si>
  <si>
    <t>HFS3-1515-340</t>
  </si>
  <si>
    <t>¥140,00</t>
  </si>
  <si>
    <t>¥560,00</t>
  </si>
  <si>
    <t>Stopping screw Pack (60 pcs)</t>
  </si>
  <si>
    <t>Stopping screw with hexagonal hole Kubomi</t>
  </si>
  <si>
    <t xml:space="preserve">Osaka Soul </t>
  </si>
  <si>
    <t>M3×4</t>
  </si>
  <si>
    <t>60 (1 Pack)</t>
  </si>
  <si>
    <t>¥549,00</t>
  </si>
  <si>
    <t>https://www.monotaro.com/p/0552/4145/?t.attr_f2=M3&amp;t.attr_f3=4</t>
  </si>
  <si>
    <t xml:space="preserve">Aluminium flat plate </t>
  </si>
  <si>
    <t>Alumium Flat plate (200x300x2 mm)</t>
  </si>
  <si>
    <t>HA2230</t>
  </si>
  <si>
    <t>¥949,00</t>
  </si>
  <si>
    <t>https://www.monotaro.com/p/3576/7103/</t>
  </si>
  <si>
    <t xml:space="preserve">
USB-to-serial conversion cable</t>
  </si>
  <si>
    <t>Minh Pham</t>
  </si>
  <si>
    <t>Cable length (m): 1.8 Color: Black Voltage (V): 5.0 Connector shape: USB Type-A Male - QI 6P 2.54mm pitch female Current (mA)</t>
  </si>
  <si>
    <t>Leopard</t>
  </si>
  <si>
    <t>C&amp;DH</t>
  </si>
  <si>
    <t>https://www.monotaro.com/g/02564309/?monotaroNo=52433133</t>
  </si>
  <si>
    <t>PEEK, size_M3, length_8 mm, pitch_0.5</t>
  </si>
  <si>
    <t>PEKB3-8</t>
  </si>
  <si>
    <t>https://jp.misumi-ec.com/vona2/detail/110302680760/?list=PageCategory</t>
  </si>
  <si>
    <t xml:space="preserve">Thrust Bearing - 65mm Mast Diameter </t>
  </si>
  <si>
    <t>YAESU GS-065</t>
  </si>
  <si>
    <t>ham radio</t>
  </si>
  <si>
    <t>GS-065</t>
  </si>
  <si>
    <t>https://www.hamradio.com/detail.cfm?pid=H0-002775</t>
  </si>
  <si>
    <t>http://www.denka-p.co.jp/shopdetail/000000003345/</t>
  </si>
  <si>
    <t>Crimp kit</t>
  </si>
  <si>
    <t>LP COAX CRIMP KIT</t>
  </si>
  <si>
    <t>LP</t>
  </si>
  <si>
    <t>COAX CRIMP KIT</t>
  </si>
  <si>
    <t>https://www.hamradio.com/detail.cfm?pid=H0-013442</t>
  </si>
  <si>
    <t>DC - 1000 MHz Dry Dummy Load - 200 Watts - N Connector</t>
  </si>
  <si>
    <t>DIAMOND DL-30N</t>
  </si>
  <si>
    <t>Diamond</t>
  </si>
  <si>
    <t>DL-30N</t>
  </si>
  <si>
    <t>https://www.hamradio.com/detail.cfm?pid=D1-002694</t>
  </si>
  <si>
    <t>140 - 525 MHz Cross Needle SWR / Wattmeter 200 Watts N Female Connector</t>
  </si>
  <si>
    <t>DAIWA CN-901VN</t>
  </si>
  <si>
    <t>Daiwa</t>
  </si>
  <si>
    <t>CN-901VN</t>
  </si>
  <si>
    <t>https://www.hamradio.com/detail.cfm?pid=H0-015505</t>
  </si>
  <si>
    <t>VHF
Copper Ground Bus Wall Mount</t>
  </si>
  <si>
    <t>ALPHA-DELTA GBWM</t>
  </si>
  <si>
    <t>Aplha-delt</t>
  </si>
  <si>
    <t>GBWM</t>
  </si>
  <si>
    <t>https://www.hamradio.com/detail.cfm?pid=H0-012783</t>
  </si>
  <si>
    <t>VHF
Lightning Protector</t>
  </si>
  <si>
    <t>Alpha-delt</t>
  </si>
  <si>
    <t>ATT3G50M</t>
  </si>
  <si>
    <t>https://www.hamradio.com/detail.cfm?pid=H0-012362</t>
  </si>
  <si>
    <t>Ceramic Capacitor 1 µF</t>
  </si>
  <si>
    <t>1 µF ±10% 50V Ceramic Capacitor X7R 0805 (2012 Metric)</t>
  </si>
  <si>
    <t>EPS Solar System</t>
  </si>
  <si>
    <t>https://www.digikey.jp/en/products/detail/samsung-electro-mechanics/CL21B105KBFNNNG/3894467?s=N4IgTCBcDaIIxgOwDYC0yAsiAMq6oDkAREAXQF8g</t>
  </si>
  <si>
    <t>Ceramic Capacitor 0.1 µF</t>
  </si>
  <si>
    <t xml:space="preserve">Multilayer Ceramic Capacitor  - SMD/SMT 0805 MLCC X7R 0.1 uF </t>
  </si>
  <si>
    <t xml:space="preserve"> Walsin</t>
  </si>
  <si>
    <t>791-0805B104J250CT</t>
  </si>
  <si>
    <t>0805B104J250CT</t>
  </si>
  <si>
    <t>https://www.mouser.jp/ProductDetail/Walsin/0805B104J250CT?qs=sGAEpiMZZMsh%252B1woXyUXj8%252BuSINP6VixQiq1JA3Cnhc%3D</t>
  </si>
  <si>
    <t>12 Pin Header F (Box X10 pcs)</t>
  </si>
  <si>
    <t>Nylon Products Pin Header / FSM-20(T〇) Socket (Square Pin) 2.00mm</t>
  </si>
  <si>
    <t>2 (Box X10 pcs)</t>
  </si>
  <si>
    <t>FineLok straight union body</t>
  </si>
  <si>
    <t>1/2 inch fineLok nut; SUS316</t>
  </si>
  <si>
    <t>FJR-F-9.52</t>
  </si>
  <si>
    <t>VCR terminated flexible tube with union adapters</t>
  </si>
  <si>
    <t>1/2 inch VCR ended flexible tubes; welded; VCR-fineLok adapter</t>
  </si>
  <si>
    <t>FVCR1/2FXT750</t>
  </si>
  <si>
    <t>MO1_RAB_FM_YA</t>
  </si>
  <si>
    <t>2-layer PCB 110 x 98.9</t>
  </si>
  <si>
    <t>MO1/RAB</t>
  </si>
  <si>
    <t>M2-6 Screw Box (x10 pcs)</t>
  </si>
  <si>
    <t>SSHS M2-6</t>
  </si>
  <si>
    <t>3 (box X10)</t>
  </si>
  <si>
    <t>Antenna Board</t>
  </si>
  <si>
    <t>https://www.monotaro.com/p/4927/7803/</t>
  </si>
  <si>
    <t xml:space="preserve">M3-15 Screw </t>
  </si>
  <si>
    <t>Hexagon socket head cap screw M3-15</t>
  </si>
  <si>
    <t>SCB3-15</t>
  </si>
  <si>
    <t>https://jp.misumi-ec.com/vona2/detail/110300239250/?HissuCode=SCB3-15</t>
  </si>
  <si>
    <t>M3-45 Screw</t>
  </si>
  <si>
    <t>Hexagon socket head cap screw M3-45</t>
  </si>
  <si>
    <t>Sunco</t>
  </si>
  <si>
    <t>CSHZ-SUS-M3-45</t>
  </si>
  <si>
    <t>https://jp.misumi-ec.com/vona2/detail/221000551286/?CategorySpec=00000217065%3a%3amig00000002462151%0900000217017%3a%3amig00000002463780%0900000217131%3a%3ab%0900000258275%3a%3anvd00000000000002%0900000216927%3a%3aa%0900000217097%3a%3aa&amp;list=PageCategory</t>
  </si>
  <si>
    <t>SMA コネクタ　パネルマウント４穴用</t>
  </si>
  <si>
    <t>　SMA-J</t>
  </si>
  <si>
    <t>SMA コネクタ　パネルマウント2穴用</t>
  </si>
  <si>
    <t>2穴用　SMA-J</t>
  </si>
  <si>
    <t>C-00378</t>
  </si>
  <si>
    <t>S-030</t>
  </si>
  <si>
    <t>https://akizukidenshi.com/catalog/g/gC-00378/</t>
  </si>
  <si>
    <t>SMA コネクタ　パネルマウント2穴用　汎用</t>
  </si>
  <si>
    <t>2穴用 汎用　SMA-J</t>
  </si>
  <si>
    <t>C-12821</t>
  </si>
  <si>
    <t>Black body Spray</t>
  </si>
  <si>
    <t>Heat restistant temp: 500 ℃; emissivity: 0.94</t>
  </si>
  <si>
    <t>TA410KS</t>
  </si>
  <si>
    <t>Can spray</t>
  </si>
  <si>
    <t>1/3 of can spray</t>
  </si>
  <si>
    <t>https://www.monotaro.com/p/3319/1961/?t.q=%8D%95%91%CC%83X%83v%83%8C%81%5B</t>
  </si>
  <si>
    <t>角材：5.3mm×0.7mm×55mm 変態点60℃以上</t>
  </si>
  <si>
    <t>https://www.yoshimi-inc.com/</t>
  </si>
  <si>
    <t>帯材：1.0mm×0.5mm×55mm 変態点60℃以上</t>
  </si>
  <si>
    <t>YOSHIMI WEB SHOP | (yoshimi-inc.com)</t>
  </si>
  <si>
    <t>GNSS receiver</t>
  </si>
  <si>
    <t>GPS, Beidou, Galileo, GLONASS, 12.2mm x 16.0mm</t>
  </si>
  <si>
    <t>SkyTraq</t>
  </si>
  <si>
    <t>Orion B16 M2036U01</t>
  </si>
  <si>
    <t>HF/VHF/UHF Transceiver</t>
  </si>
  <si>
    <t>YAESU FT-991A</t>
  </si>
  <si>
    <t>Western Communications</t>
  </si>
  <si>
    <t>For Shipment</t>
  </si>
  <si>
    <t>www.westercom.co.jp</t>
  </si>
  <si>
    <t>Raspberry Pi Compute Module 3+ 8 GB (CM3+)</t>
  </si>
  <si>
    <t>Raspberry Pi Compute Module 3+ 8 GB SBC, 1GB LPDDR2 SDRAM</t>
  </si>
  <si>
    <t xml:space="preserve">
Raspberry Pi</t>
  </si>
  <si>
    <t>RS Electronics JP</t>
  </si>
  <si>
    <t>182-9891</t>
  </si>
  <si>
    <t>Compute Module 3+ 8GB</t>
  </si>
  <si>
    <t>https://jp.rs-online.com/web/p/raspberry-pi/1829891</t>
  </si>
  <si>
    <t>Adapter UHF PL-259 Male to N-type Female</t>
  </si>
  <si>
    <t>Adapter Coaxial Connector N Jack, Female Socket To UHF Plug, Male Pin 50Ohm</t>
  </si>
  <si>
    <t>116-26-8014-ND</t>
  </si>
  <si>
    <t>26-8014</t>
  </si>
  <si>
    <t>For Shipping</t>
  </si>
  <si>
    <t>https://www.digikey.jp/en/products/detail/cinch-connectivity-solutions-aim-cambridge/26-8014/3830254</t>
  </si>
  <si>
    <t>Adapter N Female to N Female</t>
  </si>
  <si>
    <t>Adapter Coaxial Connector N Jack, Female Socket To N Jack, Female Socket 50Ohm</t>
  </si>
  <si>
    <t>ACX1169-ND</t>
  </si>
  <si>
    <t>https://www.digikey.jp/en/products/detail/amphenol-rf-division/172123/1011846</t>
  </si>
  <si>
    <t>Adapter N Male N Male</t>
  </si>
  <si>
    <t>Adapter Coaxial Connector N Plug, Male Pin To N Plug, Male Pin 50Ohm</t>
  </si>
  <si>
    <t>ACX1168-ND</t>
  </si>
  <si>
    <t>https://www.digikey.jp/en/products/detail/amphenol-rf-division/172122/1011845</t>
  </si>
  <si>
    <t>Adapter N Female to SMA Male</t>
  </si>
  <si>
    <t>Adapter Coaxial Connector SMA Plug, Male Pin To N Jack, Female Socket 50Ohm</t>
  </si>
  <si>
    <t>ACX1339-ND</t>
  </si>
  <si>
    <t>https://www.digikey.jp/en/products/detail/amphenol-rf-division/242112/1012016</t>
  </si>
  <si>
    <t>Adapter BNC Male to N Female</t>
  </si>
  <si>
    <t>Adapter Coaxial Connector N Jack, Female Socket To BNC Plug, Male Pin 50Ohm</t>
  </si>
  <si>
    <t>ADP-NF-BNCM-ND</t>
  </si>
  <si>
    <t>ADP-NF-BNCM</t>
  </si>
  <si>
    <t>https://www.digikey.jp/en/products/detail/rf-solutions/ADP-NF-BNCM/5866901</t>
  </si>
  <si>
    <t>Adapter SMA Male to UHF Female</t>
  </si>
  <si>
    <t>Adapter Coaxial Connector SMA Plug, Male Pin To UHF Jack, Female Socket 50Ohm</t>
  </si>
  <si>
    <t>ACX2222-ND</t>
  </si>
  <si>
    <t>https://www.digikey.jp/en/products/detail/amphenol-rf-division/242108/2628939</t>
  </si>
  <si>
    <t>Adapter BNC Female BNC Female</t>
  </si>
  <si>
    <t>Adapter Coaxial Connector BNC Jack, Female Socket To BNC Jack, Female Socket 50Ohm</t>
  </si>
  <si>
    <t>ACX1054-ND</t>
  </si>
  <si>
    <t>https://www.digikey.jp/en/products/detail/amphenol-rf-division/112437/1011731</t>
  </si>
  <si>
    <t>Adapter N Male to BNC Female</t>
  </si>
  <si>
    <t>Adapter Coaxial Connector N Plug, Male Pin To BNC Jack, Female Socket 50Ohm</t>
  </si>
  <si>
    <t>501-1408-ND</t>
  </si>
  <si>
    <t>https://www.digikey.jp/en/products/detail/pomona-electronics/3288/1014898</t>
  </si>
  <si>
    <t>Adapter SMA Male N Male</t>
  </si>
  <si>
    <t>Adapter Coaxial Connector SMA Plug, Male Pin To N Plug, Male Pin 50Ohm</t>
  </si>
  <si>
    <t>ACX1343-ND</t>
  </si>
  <si>
    <t>https://www.digikey.jp/en/products/detail/amphenol-rf-division/242114/1012020</t>
  </si>
  <si>
    <t>N type connector plug for LMR-400</t>
  </si>
  <si>
    <t>N Type Connector Plug, Male Pin 50Ohm Free Hanging (In-Line) Solder</t>
  </si>
  <si>
    <t>WM9546-ND</t>
  </si>
  <si>
    <t>https://www.digikey.jp/en/products/detail/molex/0732760112/3879177?s=N4IgTCBcDaIOoFkCcBWALANgLQDkAiIAugL5A</t>
  </si>
  <si>
    <t>N typr connector for RG-8</t>
  </si>
  <si>
    <t>N Type Connector Plug, Male Pin 50Ohm Free Hanging (In-Line) Crimp or Solder</t>
  </si>
  <si>
    <t>ACX1127-ND</t>
  </si>
  <si>
    <t>https://www.digikey.jp/en/products/detail/amphenol-rf-division/172135/1011804</t>
  </si>
  <si>
    <t>UHF connector plug for LMR-400</t>
  </si>
  <si>
    <t>UHF Connector Plug, Male Pin 50Ohm Free Hanging (In-Line) Push On</t>
  </si>
  <si>
    <t>Amphenol Times Microwave Systems</t>
  </si>
  <si>
    <t>1946-1040-ND</t>
  </si>
  <si>
    <t>EZ-400-UM</t>
  </si>
  <si>
    <t>https://www.digikey.jp/en/products/detail/amphenol-times-microwave-systems/EZ-400-UM/9644040?s=N4IgTCBcDaIIwE4AsA2AtHADEzaByAIiALoC%2BQA</t>
  </si>
  <si>
    <t>GST DC-DC Converter</t>
  </si>
  <si>
    <t>LM2596 series DC/DC</t>
  </si>
  <si>
    <t>https://www.digikey.jp/ja/products/detail/dfrobot/DFR0379/7087190?utm_adgroup=IoT&amp;utm_source=google&amp;utm_medium=cpc&amp;utm_campaign=Smart%20Shopping_Product_IoT&amp;utm_term=&amp;productid=7087190&amp;gclid=CjwKCAjw47eFBhA9EiwAy8kzNIk2umIp_TINebcQqJ240KrdLaZcsZPoBZpaKord2yVKcSjVZMpelhoCHTEQAvD_BwE</t>
  </si>
  <si>
    <t xml:space="preserve">
RS PRO</t>
  </si>
  <si>
    <t>Jameco Electronics</t>
  </si>
  <si>
    <t>PS2502-4</t>
  </si>
  <si>
    <t>Cell Swicther v7</t>
  </si>
  <si>
    <t>https://www.jameco.com/webapp/wcs/stores/servlet/ProductDisplay?storeId=10001&amp;langId=-1&amp;catalogId=10001&amp;pa=160362&amp;productId=160362</t>
  </si>
  <si>
    <t xml:space="preserve">Solar Panels_Small </t>
  </si>
  <si>
    <t>　マイクロオービター</t>
  </si>
  <si>
    <t>Ultra low head M2-6 screw</t>
  </si>
  <si>
    <t xml:space="preserve">CBSTSR2-6 </t>
  </si>
  <si>
    <t xml:space="preserve">Structure </t>
  </si>
  <si>
    <t>https://jp.misumi-ec.com/vona2/detail/110302280540/?PNSearch=CBSTSR2-6&amp;HissuCode=CBSTSR2-6&amp;searchFlow=suggest2products&amp;Keyword=CBSTSR2-6&amp;list=SuggestPreview</t>
  </si>
  <si>
    <t>M3 Screw</t>
  </si>
  <si>
    <t>M3-8</t>
  </si>
  <si>
    <t>https://jp.misumi-ec.com/vona2/detail/110300239250/?CategorySpec=00000217065%3a%3amig00000002462151%0900000217017%3a%3amig00000002466048%0900000217131%3a%3ab%0900000216960%3a%3aa</t>
  </si>
  <si>
    <t>Ultra low head M3-12</t>
  </si>
  <si>
    <t>https://jp.misumi-ec.com/vona2/detail/110300244510/?PNSearch=CBSST3-12&amp;HissuCode=CBSST3-12&amp;searchFlow=suggest2products&amp;Keyword=CBSST3-12</t>
  </si>
  <si>
    <t>Ultra low head M3-10</t>
  </si>
  <si>
    <t>Ultra low head M3-6</t>
  </si>
  <si>
    <t>CBSST3-6</t>
  </si>
  <si>
    <t>https://jp.misumi-ec.com/vona2/detail/110300244510/?CategorySpec=00000217040%3a%3amig00000002457491%0900000217056%3a%3amig00000002456995%0900000217074%3a%3ab%0900000216906%3a%3aa%0900000216996%3a%3aa</t>
  </si>
  <si>
    <t>https://jp.misumi-ec.com/vona2/detail/110300250540/?PNSearch=SLBNR2&amp;HissuCode=SLBNR2&amp;searchFlow=suggest2products&amp;Keyword=SLBNR2&amp;list=SuggestPreview</t>
  </si>
  <si>
    <t>M3 Nut </t>
  </si>
  <si>
    <r>
      <t>SLBNR3</t>
    </r>
    <r>
      <rPr>
        <sz val="12"/>
        <color rgb="FF000000"/>
        <rFont val="Times New Roman"/>
        <family val="1"/>
      </rPr>
      <t> </t>
    </r>
  </si>
  <si>
    <t>https://jp.misumi-ec.com/vona2/detail/110300250540/?PNSearch=SLBNR3&amp;HissuCode=SLBNR3&amp;searchFlow=suggest2products&amp;Keyword=SLBNR3&amp;list=SuggestPreview</t>
  </si>
  <si>
    <t>M3 Stand off Screw</t>
  </si>
  <si>
    <t>Hirosugu</t>
  </si>
  <si>
    <t>BSU-310-5</t>
  </si>
  <si>
    <t>https://jp.misumi-ec.com/vona2/detail/221006202432/?HissuCode=BSU-305-5&amp;PNSearch=BSU-305-5&amp;KWSearch=BSU-305-5&amp;searchFlow=results2products&amp;list=PageSearchResult</t>
  </si>
  <si>
    <t>Reaction wheel</t>
  </si>
  <si>
    <t>SpaceCube Cubewheel small</t>
  </si>
  <si>
    <t>SpaceCube</t>
  </si>
  <si>
    <t>SVBL-3rd floor</t>
  </si>
  <si>
    <t>MO-1_NiMH_ battery (Cells) by spot welding and soldering</t>
  </si>
  <si>
    <t>preparing Panasonic  eneloop NiMH Battery  configuration with 3Series 6 set , spot welding and soldering to harness cable</t>
  </si>
  <si>
    <t>220720-2</t>
  </si>
  <si>
    <t>MO-1 FM</t>
  </si>
  <si>
    <t>EPS- battery</t>
  </si>
  <si>
    <t>SVBL3rd</t>
  </si>
  <si>
    <t>Curtis_Li ion_ battery (Cells) by spot welding and soldering</t>
  </si>
  <si>
    <t>Li ion NCR 18650GA Battery configuration with 2Series 6set , spot welding and soldering to harness cable</t>
  </si>
  <si>
    <t>220720-1</t>
  </si>
  <si>
    <t>Curtis  FM</t>
  </si>
  <si>
    <t>Square aluminium frame  (L 50 mm)</t>
  </si>
  <si>
    <t>Square aluminium frame  15x15x50 mm</t>
  </si>
  <si>
    <t>HFS3-1515-50</t>
  </si>
  <si>
    <t>Square aluminium frame  (L 62 mm)</t>
  </si>
  <si>
    <t>Square aluminium frame  15x15x62 mm</t>
  </si>
  <si>
    <t>HFS3-1515-62</t>
  </si>
  <si>
    <t>Square aluminium frame  (L 97 mm)</t>
  </si>
  <si>
    <t>Square aluminium frame  15x15x97 mm</t>
  </si>
  <si>
    <t>HFS3-1515-97</t>
  </si>
  <si>
    <t>Square aluminium frame  (L 152 mm)</t>
  </si>
  <si>
    <t>Square aluminium frame  15x15x152mm</t>
  </si>
  <si>
    <t>HFS3-1515-152</t>
  </si>
  <si>
    <t>Square aluminium frame  15x15x122mm</t>
  </si>
  <si>
    <t>Screw CBSTSR 3-6</t>
  </si>
  <si>
    <t>CBSTSR 3-6</t>
  </si>
  <si>
    <t>https://jp.misumi-ec.com/vona2/detail/110302280540/?KWSearch=CBSTSR3-6%20%28%e8%b6%85%e6%a5%b5%e4%bd%8e%e9%a0%ad%e3%83%9c%e3%83%ab%e3%83%88%e5%85%ad%e8%a7%92%e7%a9%b4%e3%82%bf%e3%82%a4%e3%83%97%29&amp;searchFlow=results2products&amp;list=PageSearchResult</t>
  </si>
  <si>
    <t>1 (Box x100 pcs)</t>
  </si>
  <si>
    <t>https://jp.misumi-ec.com/vona2/detail/110300465710/?PNSearch=HNSQ3&amp;HissuCode=HNSQ3&amp;searchFlow=suggest2products&amp;Keyword=HNSQ3&amp;list=SuggestPreview</t>
  </si>
  <si>
    <t>Relay socket</t>
  </si>
  <si>
    <t>Surface-mount socket; 2 poles; 10 A max</t>
  </si>
  <si>
    <t>OMRON</t>
  </si>
  <si>
    <t>PF083A-E</t>
  </si>
  <si>
    <t>https://www.monotaro.com/p/3909/0755/</t>
  </si>
  <si>
    <t>Heat resistant glass cloth tape</t>
  </si>
  <si>
    <r>
      <t xml:space="preserve">0.2 mm </t>
    </r>
    <r>
      <rPr>
        <sz val="10"/>
        <color rgb="FF000000"/>
        <rFont val="Calibri"/>
        <family val="2"/>
      </rPr>
      <t>×</t>
    </r>
    <r>
      <rPr>
        <sz val="9"/>
        <color rgb="FF000000"/>
        <rFont val="Arial"/>
        <family val="2"/>
      </rPr>
      <t xml:space="preserve"> 25 mm × 20 m; max temp: 180 </t>
    </r>
    <r>
      <rPr>
        <sz val="10"/>
        <color rgb="FF000000"/>
        <rFont val="Arial"/>
        <family val="2"/>
      </rPr>
      <t>℃</t>
    </r>
  </si>
  <si>
    <t>Trusco</t>
  </si>
  <si>
    <t>TMGC2520</t>
  </si>
  <si>
    <t>PeTT chamber/CeNT</t>
  </si>
  <si>
    <t>https://jp.misumi-ec.com/vona2/detail/223004975798/?PNSearch=TMGC2520&amp;HissuCode=TMGC2520&amp;searchFlow=suggesthistory&amp;Keyword=TMGC2520&amp;list=SuggestPreview</t>
  </si>
  <si>
    <t>motor driver</t>
  </si>
  <si>
    <t>Brushed DC, Dual full bridge, 4A (Max), 46V (Max), 15pin</t>
  </si>
  <si>
    <t>Magnatec</t>
  </si>
  <si>
    <t>636-384</t>
  </si>
  <si>
    <t>L298N</t>
  </si>
  <si>
    <t>MULTIWATT V</t>
  </si>
  <si>
    <t>https://jp.rs-online.com/web/p/motor-driver-ics/0636384</t>
  </si>
  <si>
    <t>Loctite243</t>
  </si>
  <si>
    <t>LOCTITE243</t>
  </si>
  <si>
    <t>BIRDS4S</t>
  </si>
  <si>
    <t>https://jp.misumi-ec.com/vona2/detail/223005097390/?HissuCode=243-10</t>
  </si>
  <si>
    <t xml:space="preserve">UHF Transceiver </t>
  </si>
  <si>
    <t>アストレックス</t>
  </si>
  <si>
    <t>ADD1397D, 449.82 MHz and 400.96 MHz, 7.2 V</t>
  </si>
  <si>
    <t>ADDNICS</t>
  </si>
  <si>
    <t>ADD1397D</t>
  </si>
  <si>
    <t>LEOPARD ROOM</t>
  </si>
  <si>
    <t>Email Communication</t>
  </si>
  <si>
    <t>S-Band Downlink Transceiver</t>
  </si>
  <si>
    <t>SXT ADD1445A, 2279.1MHz</t>
  </si>
  <si>
    <t>ADD1445A</t>
  </si>
  <si>
    <t xml:space="preserve">LEOPARD </t>
  </si>
  <si>
    <t>Small solar cells</t>
  </si>
  <si>
    <t>Hanadi</t>
  </si>
  <si>
    <t>SOLAR CELL GEN3 2.76V 30MW</t>
  </si>
  <si>
    <t>2994-KXOB25-03X4F-TRCT-ND</t>
  </si>
  <si>
    <t>KXOB25-03X4F-TR</t>
  </si>
  <si>
    <t>https://www.digikey.jp/ja/products/detail/anysolar-ltd/KXOB25-03X4F-TR/13999191?s=N4IgjCBcoLQBxVAYygMwIYBsDOBTANCAPZQDaIATAJxUAsIAugL5OEVkgDSAGgPIBCFAKwwADAGZutAGIwAKgCVGTIA</t>
  </si>
  <si>
    <t>lmp8640 , max V 12V, current input 2.3mA</t>
  </si>
  <si>
    <t>LMP8640</t>
  </si>
  <si>
    <t>LMP8640MKE-H / NOPB</t>
  </si>
  <si>
    <t>SOT-23-6 thin, TSOT-23-6</t>
  </si>
  <si>
    <t>https://www.digikey.jp/ja/products/detail/texas-instruments/LMP8640MKE-H-NOPB/2425709</t>
  </si>
  <si>
    <t>Blocking diodes</t>
  </si>
  <si>
    <t>NRVB120</t>
  </si>
  <si>
    <t xml:space="preserve">
NRVB120VLSFT1G</t>
  </si>
  <si>
    <t>https://www.digikey.jp/en/products/detail/onsemi/NRVB120VLSFT1G/5817308?s=N4IgTCBcDaIHICUBqAhAjGADEgMgZQDEAVNEAXQF8g</t>
  </si>
  <si>
    <t>Resistor 0 Ohm</t>
  </si>
  <si>
    <t xml:space="preserve">SMD 0603 Resistor 0 OHM 1W </t>
  </si>
  <si>
    <t>YAG1232CT-ND </t>
  </si>
  <si>
    <t>RC2512JK-070RL</t>
  </si>
  <si>
    <t>2512 (6432 Metric)</t>
  </si>
  <si>
    <t>https://www.digikey.jp/en/products/detail/yageo/RC2512JK-070RL/2345151</t>
  </si>
  <si>
    <t>Resistor 0.05 ohm</t>
  </si>
  <si>
    <t>SMD 0603 Resistor 0.05 OHM 1% 2W</t>
  </si>
  <si>
    <t>YAG6037CT-ND </t>
  </si>
  <si>
    <t xml:space="preserve">
PE2512FKF7W0R05L</t>
  </si>
  <si>
    <t>https://www.digikey.jp/en/products/detail/yageo/PE2512FKF7W0R05L/5914932</t>
  </si>
  <si>
    <t>BCR Resistor 453KOhm</t>
  </si>
  <si>
    <t>SMD 0603 Resistor 453K OHM 0.1% 1/10W</t>
  </si>
  <si>
    <t>13-RT0603BRD07453KLTR-ND</t>
  </si>
  <si>
    <t>RT0603BRD07453KL</t>
  </si>
  <si>
    <t xml:space="preserve">
0603 (1608 metric)</t>
  </si>
  <si>
    <t>https://www.digikey.jp/ja/products/detail/yageo/RT0603BRD07453KL/5927956</t>
  </si>
  <si>
    <t>BCR Resistor 60.4KOhm</t>
  </si>
  <si>
    <t>SMD 60.4KOHM 0.1% 1/10W 0603</t>
  </si>
  <si>
    <t>P60.4KDBCT-ND</t>
  </si>
  <si>
    <t>ERA-3AEB6042V</t>
  </si>
  <si>
    <t>https://www.digikey.jp/ja/products/detail/panasonic-electronic-components/ERA-3AEB6042V/2026909</t>
  </si>
  <si>
    <t xml:space="preserve">1 to 4 Multiplexer </t>
  </si>
  <si>
    <t>1 to 4 Multiplexer (PI4MSD5V9544ALEX)</t>
  </si>
  <si>
    <t>729-PI4MSD5V9544ALEX</t>
  </si>
  <si>
    <t>ADCs</t>
  </si>
  <si>
    <t>https://www.mouser.jp/ProductDetail/Diodes-Incorporated/PI4MSD5V9544ALEX?qs=A65YvgP4j%252BEJMPnQd0clGg%3D%3D</t>
  </si>
  <si>
    <t>USB to I2C Microchip</t>
  </si>
  <si>
    <t>USB to I2C Microchip, Data rate 12 Mb/s, Operating 13mA</t>
  </si>
  <si>
    <t>579-MCP2221-I / P</t>
  </si>
  <si>
    <t>MCP2221-I / P</t>
  </si>
  <si>
    <t>https://www.mouser.jp/ProductDetail/Microchip-Technology-Atmel/MCP2221-I-P?qs=wzzOUr4NhYr7J0lc1HgHIQ%3D%3D&amp;mgh=1&amp;vip=1&amp;gclid=Cj0KCQjw54iXBhCXARIsADWpsG9dBB8VM9cDShF1G6dfOLQ45cBEs0yulf5-CUtNsAhXnXDFanAe7roaAv6REALw_wcB</t>
  </si>
  <si>
    <t xml:space="preserve">Voltage Regulator </t>
  </si>
  <si>
    <t>Voltage Regulator 50 MA Ultra-Low IQ wide</t>
  </si>
  <si>
    <t>863-NCP716MT12TBG</t>
  </si>
  <si>
    <t>NCP716MT12TBG</t>
  </si>
  <si>
    <t>https://www.mouser.jp/ProductDetail/onsemi/NCP716MT12TBG?qs=dbuNSGnowt0HdoGkdI9nXQ%3D%3D&amp;utm_source=eciaauthorized&amp;utm_medium=aggregator&amp;utm_campaign=NCP716MT12TBG&amp;utm_term=NCP716MT12TBG&amp;utm_content=onsemi&amp;cmpReferrer=onsemi_EMA_ECIA_inventoryfeed_VSE&amp;cmpProduct=NCP716MT12TBG</t>
  </si>
  <si>
    <t>Film Heater 200 x 200 mm</t>
  </si>
  <si>
    <t>Film Heater 200 x 200 mm, 220V, 200 W Flexible Polymide Film Heater</t>
  </si>
  <si>
    <t>Topright-Heater</t>
  </si>
  <si>
    <t>https://ja.aliexpress.com/item/32817337435.html?gatewayAdapt=glo2jpn</t>
  </si>
  <si>
    <t>Access Board PCB</t>
  </si>
  <si>
    <t>Giulio/Yasir(MO-1)</t>
  </si>
  <si>
    <t>Programing board for mission subsystem microcontrollers (4 Layers 47x 45 mm)</t>
  </si>
  <si>
    <t xml:space="preserve">LoRa </t>
  </si>
  <si>
    <t>N-チャンネルパワーMOSFET IRF620</t>
  </si>
  <si>
    <t>Kinoshita</t>
  </si>
  <si>
    <t>N-channel MOSFET200 V 5.2 A スルーホール TO-220AB 3 ピン</t>
  </si>
  <si>
    <t>178-0854</t>
  </si>
  <si>
    <t>https://jp.rs-online.com/web/p/mosfets/1780854</t>
  </si>
  <si>
    <t>P-チャンネルパワーMOSFET IRF9620</t>
  </si>
  <si>
    <t>P-channel MOSFET200 V 3.5 A スルーホール TO-220AB 3 ピン</t>
  </si>
  <si>
    <t>541-1045</t>
  </si>
  <si>
    <t>IRF9620PBF</t>
  </si>
  <si>
    <t>https://jp.rs-online.com/web/p/mosfets/5411045</t>
  </si>
  <si>
    <t>帯材：5.3mm×0.7mm×55mm 変態点60℃以上</t>
  </si>
  <si>
    <t>https://www.yoshimi-inc.com/shopbrand/ct15/</t>
  </si>
  <si>
    <t>ATMEGA32U4-AU 44-Pin TQFP</t>
  </si>
  <si>
    <t>131-0289P</t>
  </si>
  <si>
    <t>https://jp.rs-online.com/web/p/microcontrollers/1310289p?cm_mmc=aff2-_-jp-_-octopart-_-Instock1310289P</t>
  </si>
  <si>
    <t>Crystal 16MHz, 12pF load capacitance</t>
  </si>
  <si>
    <t>Kyocera</t>
  </si>
  <si>
    <t>693-6236</t>
  </si>
  <si>
    <t>CX8045GB16000H0HEQZ1</t>
  </si>
  <si>
    <t>https://jp.rs-online.com/web/p/crystal-units/6936236</t>
  </si>
  <si>
    <t>N-channel, 60 V 2 A</t>
  </si>
  <si>
    <t>695-4830</t>
  </si>
  <si>
    <t xml:space="preserve">
SSM6K407TU(TE85L,F</t>
  </si>
  <si>
    <t>https://jp.rs-online.com/web/p/mosfets/6954830</t>
  </si>
  <si>
    <t>OVP/OCP IC</t>
  </si>
  <si>
    <t xml:space="preserve">
IC OVP/OCP PROTECTION CTLR 8TSOT</t>
  </si>
  <si>
    <t>505-LTC4361HTS8-1#TRMPBFCT-ND</t>
  </si>
  <si>
    <t>LTC4361HTS8-1#TRMPBF</t>
  </si>
  <si>
    <t>https://www.digikey.jp/ja/products/detail/analog-devices-inc/LTC4361HTS8-1-TRMPBF/3455503</t>
  </si>
  <si>
    <t>25 mOhms ±1% 0.5W, 1/2W Chip Resistor 0805</t>
  </si>
  <si>
    <t>P17580CT-ND</t>
  </si>
  <si>
    <t xml:space="preserve">
ERJ-6BWFR025V</t>
  </si>
  <si>
    <t>https://www.digikey.jp/en/products/detail/panasonic-electronic-components/ERJ-6BWFR025V/5647613</t>
  </si>
  <si>
    <t>12 pF ±1% 16V Ceramic Capacitor C0G, NP0 0805</t>
  </si>
  <si>
    <t>720-VJ0805A120FXJCW1BCCT-ND</t>
  </si>
  <si>
    <t>VJ0805A120FXJCW1BC</t>
  </si>
  <si>
    <t>https://www.digikey.jp/en/products/detail/vishay-vitramon/VJ0805A120FXJCW1BC/8307136?s=N4IgTCBcDaIDoBcAEA1AUgBgBwYKwEEBGMDAMQA00BhAdUICEqQBdAXyA</t>
  </si>
  <si>
    <t>LNA</t>
  </si>
  <si>
    <t>SMT Low Noise Amplifier, 1100 - 4000 MHz, 50Ω</t>
  </si>
  <si>
    <t>PMA2-43LN+</t>
  </si>
  <si>
    <t>https://www.minicircuits.com/WebStore/dashboard.html?model=PMA2-43LN%2B</t>
  </si>
  <si>
    <t>SMT Low Noise Amplifier, 400 - 6000 MHz, 50Ω</t>
  </si>
  <si>
    <t>PMA2-63LN+</t>
  </si>
  <si>
    <t>https://www.minicircuits.com/WebStore/dashboard.html?model=PMA2-63LN%2B</t>
  </si>
  <si>
    <t>Atmospheric Pirani Gauge</t>
  </si>
  <si>
    <r>
      <t>from atmospheric pressure to 5 x 10</t>
    </r>
    <r>
      <rPr>
        <vertAlign val="superscript"/>
        <sz val="10"/>
        <color rgb="FF000000"/>
        <rFont val="Arial"/>
        <family val="2"/>
      </rPr>
      <t>-2</t>
    </r>
    <r>
      <rPr>
        <sz val="10"/>
        <color rgb="FF000000"/>
        <rFont val="Arial"/>
        <family val="2"/>
      </rPr>
      <t xml:space="preserve"> Pa</t>
    </r>
  </si>
  <si>
    <t>SW1-1 SWP-18</t>
  </si>
  <si>
    <t>¥84,150</t>
  </si>
  <si>
    <t>M1.6 Screw</t>
  </si>
  <si>
    <t>M1.6 Normal screw; Length 6mm, SUS</t>
  </si>
  <si>
    <t>891 </t>
  </si>
  <si>
    <t>https://jp.misumi-ec.com/vona2/detail/221000551286/?HissuCode=CSH-SUS-M1.6-6&amp;PNSearch=CSH-SUS-M1.6-6&amp;KWSearch=CSH-SUS-M1.6-6&amp;searchFlow=results2products&amp;list=PageSearchResult</t>
  </si>
  <si>
    <t>M2 Normal screw; Length 6mm, SUS</t>
  </si>
  <si>
    <t>https://jp.misumi-ec.com/vona2/detail/221000551286/?PNSearch=CSH-SUS-M2-6&amp;HissuCode=CSH-SUS-M2-6&amp;searchFlow=suggest2products&amp;Keyword=CSH-SUS-M2-6&amp;list=SuggestPreview</t>
  </si>
  <si>
    <t>M2.4 Screw</t>
  </si>
  <si>
    <t>M2.5 Low head screw; Length 12mm, SUS</t>
  </si>
  <si>
    <t>CSHBTT-SUS-M2.5-12</t>
  </si>
  <si>
    <t>https://jp.misumi-ec.com/vona2/detail/221303783852/?HissuCode=CSHBTT-SUS-M2.5-12&amp;PNSearch=CSHBTT-SUS-M2.5-12&amp;KWSearch=CSHBTT-SUS-M2.5-12&amp;searchFlow=results2products&amp;list=PageSearchResult</t>
  </si>
  <si>
    <t>M8 Low head screw; Length 8mm, SUS</t>
  </si>
  <si>
    <t> 1,443</t>
  </si>
  <si>
    <t>M3 Low head screw; Length 8mm, SUS</t>
  </si>
  <si>
    <t>CSHELH-SUS-M3-8</t>
  </si>
  <si>
    <t>https://jp.misumi-ec.com/vona2/detail/221303783818/?PNSearch=CSHELH-SUS-M3-8&amp;HissuCode=CSHELH-SUS-M3-8&amp;searchFlow=suggesthistory&amp;Keyword=CSHELH-SUS-M3-8&amp;list=SuggestPreview</t>
  </si>
  <si>
    <t>M3 Normal screw; Length 9mm, SUS</t>
  </si>
  <si>
    <t>CSH-SUS-M3-9</t>
  </si>
  <si>
    <t>https://jp.misumi-ec.com/vona2/detail/221000551286/?CategorySpec=00000217065%3a%3amig00000002462151%0900000217017%3a%3amig00000002725219%0900000216960%3a%3aa&amp;list=PageCategory</t>
  </si>
  <si>
    <t>M3 Normal screw; Length 7mm, SUS</t>
  </si>
  <si>
    <t>CSH-SUS M3-7</t>
  </si>
  <si>
    <t>https://jp.misumi-ec.com/vona2/detail/221000551286/?PNSearch=CSH-SUS-M3-7&amp;HissuCode=CSH-SUS-M3-7&amp;searchFlow=suggest2products&amp;Keyword=CSH-SUS-M3-7&amp;list=SuggestPreview</t>
  </si>
  <si>
    <t>M3 Normal screw; Length 7mm, ST</t>
  </si>
  <si>
    <t>https://jp.misumi-ec.com/vona2/detail/221303734948/?PNSearch=CSH-ST-M2-7&amp;HissuCode=CSH-ST-M2-7&amp;searchFlow=suggesthistory&amp;Keyword=CSH-ST-M2-7&amp;list=SuggestPreview</t>
  </si>
  <si>
    <t>M3 Low head screw; Length 25mm, SUS</t>
  </si>
  <si>
    <t>https://jp.misumi-ec.com/vona2/detail/221303783852/?PNSearch=CSHBTT-SUS-M3-25&amp;HissuCode=CSHBTT-SUS-M3-25&amp;searchFlow=suggest2products&amp;Keyword=CSHBTT-SUS-M3-25&amp;list=SuggestPreview</t>
  </si>
  <si>
    <t>Helisert</t>
  </si>
  <si>
    <t>Helisert; M3; Length 4.5</t>
  </si>
  <si>
    <t>https://jp.misumi-ec.com/vona2/detail/110300258940/?PNSearch=HLTS3-4.5&amp;HissuCode=HLTS3-4.5&amp;searchFlow=suggesthistory&amp;Keyword=HLTS3-4.5&amp;list=SuggestPreview</t>
  </si>
  <si>
    <t>Helisert; M2; Length 4</t>
  </si>
  <si>
    <t>HLTS2-3</t>
  </si>
  <si>
    <t>https://jp.misumi-ec.com/vona2/detail/110300258940/?PNSearch=HLTS2-3&amp;HissuCode=HLTS2-3&amp;searchFlow=suggesthistory&amp;Keyword=HLTS2-3&amp;list=SuggestPreview</t>
  </si>
  <si>
    <t>M2 Low head screw; Length 8mm, SUS</t>
  </si>
  <si>
    <t>https://jp.misumi-ec.com/vona2/detail/221303783852/?CategorySpec=00000217040%3a%3amig00000002457000%0900000217056%3a%3amig00000002456995%0900000217074%3a%3ab%0900000216906%3a%3aa%0900000216996%3a%3aa</t>
  </si>
  <si>
    <t>M2 Normal screw; Length 4mm, SUS</t>
  </si>
  <si>
    <t>https://jp.misumi-ec.com/vona2/detail/221000551286/?PNSearch=CSH-SUS-M2-4&amp;HissuCode=CSH-SUS-M2-4&amp;searchFlow=suggesthistory&amp;Keyword=CSH-SUS-M2-4&amp;list=SuggestPreview</t>
  </si>
  <si>
    <t>M2 set screw; Length 3mm, SUS</t>
  </si>
  <si>
    <t xml:space="preserve"> SSHHI-SUS-M2-3</t>
  </si>
  <si>
    <t> 156</t>
  </si>
  <si>
    <t>https://www.monotaro.com/g/00423805/?t.attr_f1799=%E5%B9%B3%E5%85%88&amp;t.attr_f2=M2&amp;t.attr_f2478=%E5%85%AD%E8%A7%92%E7%A9%B4&amp;t.attr_f3=2</t>
  </si>
  <si>
    <t>M2 set screw; Length 8mm, SUS</t>
  </si>
  <si>
    <t>https://jp.misumi-ec.com/vona2/detail/221005677370/?PNSearch=SSHHI-SUS-M2-8&amp;HissuCode=SSHHI-SUS-M2-8&amp;searchFlow=suggesthistory&amp;Keyword=SSHHI-SUS-M2-8&amp;list=SuggestPreview</t>
  </si>
  <si>
    <t>Metal washer, M3; Length: 5.5mm</t>
  </si>
  <si>
    <t>Hirosugi instrument</t>
  </si>
  <si>
    <t>CU-305.5H</t>
  </si>
  <si>
    <t>https://jp.misumi-ec.com/vona2/detail/221006204401/?PNSearch=CU-305.5H&amp;HissuCode=CU-305.5H&amp;searchFlow=suggesthistory&amp;Keyword=CU-305.5H&amp;list=SuggestPreview</t>
  </si>
  <si>
    <t xml:space="preserve">Washer OD: 8mm; ID:3.3mm; Thickness: 0.5 </t>
  </si>
  <si>
    <t>https://www.monotaro.com/p/6105/4395/</t>
  </si>
  <si>
    <t>M2 Set screw</t>
  </si>
  <si>
    <t>M2 set screw; Length 2mm, SUS</t>
  </si>
  <si>
    <t>3F-SVBL</t>
  </si>
  <si>
    <t>https://www.monotaro.com/g/00423805/?t.mpn=41547475</t>
  </si>
  <si>
    <t>2P-3P power adapter</t>
  </si>
  <si>
    <t>15 A, 125 V, 1500 W max</t>
  </si>
  <si>
    <t>WH2881P</t>
  </si>
  <si>
    <t>¥729</t>
  </si>
  <si>
    <t>¥3,645</t>
  </si>
  <si>
    <t>https://www.monotaro.com/p/4102/9974/?t.q=2P%81%A83P%95%CF%8A%B7%83A%83_%83v%83%5E%81i2P%83A%81%5B%83X%92%5B%8Eq%95t%82%AB%81j</t>
  </si>
  <si>
    <t>Bookends pair</t>
  </si>
  <si>
    <t>153 × 205 × 230</t>
  </si>
  <si>
    <t>https://www.monotaro.com/p/0729/5032/</t>
  </si>
  <si>
    <t>G file box</t>
  </si>
  <si>
    <t>A4 vertical; 103 mm spine width</t>
  </si>
  <si>
    <t>King Jim</t>
  </si>
  <si>
    <t>¥299</t>
  </si>
  <si>
    <t>¥598</t>
  </si>
  <si>
    <t>https://www.monotaro.com/p/0030/9426/</t>
  </si>
  <si>
    <t>PCB fabrication</t>
  </si>
  <si>
    <t>two-layer PCB, 90mm x 86mm</t>
  </si>
  <si>
    <t>Connector 2x2</t>
  </si>
  <si>
    <t>Connector Header Through Hole 4 position 0.100" (2.54mm)</t>
  </si>
  <si>
    <t xml:space="preserve">
Omron Electronics</t>
  </si>
  <si>
    <t xml:space="preserve">
OR1105-ND</t>
  </si>
  <si>
    <t>XG8T-0441</t>
  </si>
  <si>
    <t>https://www.digikey.jp/en/products/detail/omron-electronics-inc-emc-div/XG8T-0441/1829454</t>
  </si>
  <si>
    <t>Connector 2x3</t>
  </si>
  <si>
    <t>Connector Header Through Hole 6 position 0.100" (2.54mm)</t>
  </si>
  <si>
    <t>Z12459-ND</t>
  </si>
  <si>
    <t>XG8T-0641</t>
  </si>
  <si>
    <t>https://www.digikey.jp/en/products/detail/omron-electronics-inc-emc-div/XG8T-0641/4947399</t>
  </si>
  <si>
    <t>Receptacle 2x2</t>
  </si>
  <si>
    <t>4 Position Receptacle Connector 0.100" (2.54mm) Through Hole Tin</t>
  </si>
  <si>
    <t>SAM1086-02-ND</t>
  </si>
  <si>
    <t xml:space="preserve">
CES-102-01-T-D</t>
  </si>
  <si>
    <t>https://www.digikey.jp/en/products/detail/samtec-inc/CES-102-01-T-D/1104122</t>
  </si>
  <si>
    <t>Receptacle 2x3</t>
  </si>
  <si>
    <t>6 Position Receptacle Connector 0.100" (2.54mm) Through Hole Tin</t>
  </si>
  <si>
    <t xml:space="preserve">
SAM1086-03-ND</t>
  </si>
  <si>
    <t>CES-103-01-T-D</t>
  </si>
  <si>
    <t>https://www.digikey.jp/en/products/detail/samtec-inc/CES-103-01-T-D/1104121</t>
  </si>
  <si>
    <t>Capacitor, 0.1uF</t>
  </si>
  <si>
    <t>0.1 µF ±5% 10V Ceramic Capacitor X7R 0603 (1608 Metric)</t>
  </si>
  <si>
    <t>720-1688-1-ND</t>
  </si>
  <si>
    <t>VJ0603Y104JXQPW1BC</t>
  </si>
  <si>
    <t>https://www.digikey.jp/en/products/detail/vishay-vitramon/VJ0603Y104JXQPW1BC/8305311</t>
  </si>
  <si>
    <t>Capacitor, 18pF</t>
  </si>
  <si>
    <t xml:space="preserve">
18 pF ±1% 10V Ceramic Capacitor C0G, NP0 0603 (1608 Metric</t>
  </si>
  <si>
    <t>720-1660-1-ND</t>
  </si>
  <si>
    <t>VJ0603A180FXQCW1BC</t>
  </si>
  <si>
    <t>https://www.digikey.jp/en/products/detail/vishay-vitramon/VJ0603A180FXQCW1BC/8303222</t>
  </si>
  <si>
    <t>Capacitor, 1uF</t>
  </si>
  <si>
    <t xml:space="preserve">
1 µF ±20% 10V Ceramic Capacitor X7R 0603 (1608 Metric)</t>
  </si>
  <si>
    <t xml:space="preserve">
KYOCERA AVX</t>
  </si>
  <si>
    <t>478-12231-1-ND</t>
  </si>
  <si>
    <t xml:space="preserve">
0603ZC105MAT2A</t>
  </si>
  <si>
    <t>https://www.digikey.jp/en/products/detail/kyocera-avx/0603ZC105MAT2A/3080829</t>
  </si>
  <si>
    <t>Capacitor, 10uF</t>
  </si>
  <si>
    <t xml:space="preserve">
10 µF ±20% 10V Ceramic Capacitor X5R 0603 (1608 Metric)</t>
  </si>
  <si>
    <t xml:space="preserve">
YAGEO</t>
  </si>
  <si>
    <t>311-1817-1-ND</t>
  </si>
  <si>
    <t xml:space="preserve">
CC0603MRX5R6BB106</t>
  </si>
  <si>
    <t>https://www.digikey.jp/en/products/detail/yageo/CC0603MRX5R6BB106/5195224</t>
  </si>
  <si>
    <t>Capacitor, 3.3nF</t>
  </si>
  <si>
    <t xml:space="preserve">
3300 pF ±20% 10V Ceramic Capacitor X7R 0603 (1608 Metric)</t>
  </si>
  <si>
    <t xml:space="preserve">720-VJ0603Y332MXQPW1BCCT-ND </t>
  </si>
  <si>
    <t>VJ0603Y332MXQPW1BC</t>
  </si>
  <si>
    <t>https://www.digikey.jp/en/products/detail/vishay-vitramon/VJ0603Y332MXQPW1BC/8306027</t>
  </si>
  <si>
    <t>LED, red</t>
  </si>
  <si>
    <t>Red LED Indication - Discrete 2V 0603 (1608 Metric)</t>
  </si>
  <si>
    <t>511-1301-1-ND</t>
  </si>
  <si>
    <t>SML-310VTT86</t>
  </si>
  <si>
    <t>https://www.digikey.jp/en/products/detail/rohm-semiconductor/SML-310VTT86/637029</t>
  </si>
  <si>
    <t>LED, green</t>
  </si>
  <si>
    <t>Green LED Indication - Discrete 2.2V 0603 (1608 Metric)</t>
  </si>
  <si>
    <t xml:space="preserve">
Rohm Semiconductor</t>
  </si>
  <si>
    <t>511-1300-1-ND</t>
  </si>
  <si>
    <t>SML-310PTT86</t>
  </si>
  <si>
    <t>https://www.digikey.jp/en/products/detail/rohm-semiconductor/SML-310PTT86/637028</t>
  </si>
  <si>
    <t>BJT, NPN</t>
  </si>
  <si>
    <t>Pre-Biased Bipolar Transistor (BJT) NPN - Pre-Biased 50 V 100 mA 250 MHz 200 mW Surface Mount SOT-323</t>
  </si>
  <si>
    <t>Micro Commercial Co</t>
  </si>
  <si>
    <t>DTC144EUA-TPMSCT-ND</t>
  </si>
  <si>
    <t>DTC144EUA-TP</t>
  </si>
  <si>
    <t>https://www.digikey.jp/en/products/detail/micro-commercial-co/DTC144EUA-TP/857329</t>
  </si>
  <si>
    <t>micro-USB connector</t>
  </si>
  <si>
    <t>https://www.digikey.jp/en/products/detail/amphenol-cs-fci/10103594-0001LF/2350351?s=N4IgTCBcDaIIwAZEGYCsBOALAWgXuAMgGIgC6AvkA</t>
  </si>
  <si>
    <t>UJR-9 52れ-RG</t>
  </si>
  <si>
    <t>¥715</t>
  </si>
  <si>
    <t>¥7,150</t>
  </si>
  <si>
    <t>https://www.fujikin.co.jp/en/product/products/detail.php?product_id=1990&amp;category_id=84&amp;series_id=381</t>
  </si>
  <si>
    <t>One touch fitting ball valve-elbow type</t>
  </si>
  <si>
    <t>12 mm dia, R3/8</t>
  </si>
  <si>
    <t>Pisco</t>
  </si>
  <si>
    <t>BVLC60-1203</t>
  </si>
  <si>
    <t>¥2,750</t>
  </si>
  <si>
    <t>¥5,500</t>
  </si>
  <si>
    <t>https://www.pisco-s-net.co.jp/?pid=113464498</t>
  </si>
  <si>
    <t>POM block: 50x50x50</t>
  </si>
  <si>
    <t>PAAB50</t>
  </si>
  <si>
    <t>https://jp.misumi-ec.com/vona2/detail/110302696950/?PNSearch=PKA2FQ-250-75-6&amp;HissuCode=PKA2FQ-250-75-6&amp;searchFlow=suggest2products&amp;Keyword=PKA2FQ-250-75-6&amp;list=SuggestPreview</t>
  </si>
  <si>
    <t>POM block: 30x30x30</t>
  </si>
  <si>
    <t>PAAB30</t>
  </si>
  <si>
    <t>POM: ID:3.2, L:5</t>
  </si>
  <si>
    <t>https://jp.misumi-ec.com/vona2/detail/221006204478/?PNSearch=C-305&amp;HissuCode=C-305&amp;searchFlow=suggest2products&amp;Keyword=C-305&amp;list=SuggestPreview</t>
  </si>
  <si>
    <t>POM: ID:2.2, L:5</t>
  </si>
  <si>
    <t>C-2005</t>
  </si>
  <si>
    <t>https://jp.misumi-ec.com/vona2/detail/221006204478/?PNSearch=C-2005&amp;HissuCode=C-2005&amp;searchFlow=suggest2products&amp;Keyword=C-2005&amp;list=SuggestPreview</t>
  </si>
  <si>
    <t>POM: ID:3.2, L:1</t>
  </si>
  <si>
    <t>https://jp.misumi-ec.com/vona2/detail/221006204478/?PNSearch=C-301&amp;HissuCode=C-301&amp;searchFlow=suggest2products&amp;Keyword=C-301&amp;list=SuggestPreview</t>
  </si>
  <si>
    <t>POM: ID:2.5, L:6</t>
  </si>
  <si>
    <t>https://jp.misumi-ec.com/vona2/detail/221006204478/?PNSearch=C-2002.5&amp;HissuCode=C-2002.5&amp;searchFlow=suggest2products&amp;Keyword=C-2002.5&amp;list=SuggestPreview</t>
  </si>
  <si>
    <t>POM: ID:2.2, L:16</t>
  </si>
  <si>
    <t>C-2002</t>
  </si>
  <si>
    <t>https://jp.misumi-ec.com/vona2/detail/221006204478/?PNSearch=C-2002&amp;HissuCode=C-2002&amp;searchFlow=suggest2products&amp;Keyword=C-2002&amp;list=SuggestPreview</t>
  </si>
  <si>
    <t>PEEK Spacer</t>
  </si>
  <si>
    <t>Standard, Length: 250mm; Width: 75mm; thickness: 6 +0.2 mm</t>
  </si>
  <si>
    <t>PKA2FQ-250-75-6</t>
  </si>
  <si>
    <t> マイクロオービータ</t>
  </si>
  <si>
    <t>Leopard Project</t>
  </si>
  <si>
    <t>Antenna Burner Ciruit</t>
  </si>
  <si>
    <t>Leopard Room</t>
  </si>
  <si>
    <t xml:space="preserve">nikurmu </t>
  </si>
  <si>
    <t>MO-1 +Y-Panel Board</t>
  </si>
  <si>
    <t>82.6 x 100.7mm PCB</t>
  </si>
  <si>
    <t>202208040168M</t>
  </si>
  <si>
    <t>Panel Board</t>
  </si>
  <si>
    <t>MO-1 +Z-Panel Board</t>
  </si>
  <si>
    <t>96 X 96mm PCB</t>
  </si>
  <si>
    <t>202208040175M</t>
  </si>
  <si>
    <t>¥40387</t>
  </si>
  <si>
    <t>MO-1 -Y-Panel Board</t>
  </si>
  <si>
    <t>202208040167M</t>
  </si>
  <si>
    <t>MO-1 -Z-Panel Board</t>
  </si>
  <si>
    <t>202208040173M</t>
  </si>
  <si>
    <t>MO-1 -X Panel Board</t>
  </si>
  <si>
    <t>202208040171M</t>
  </si>
  <si>
    <t>4901750102401</t>
  </si>
  <si>
    <t>FTDI Chip 3.3V TTL USB-UART Cable TTL-232R-3V3</t>
  </si>
  <si>
    <t>Rafiki Yves</t>
  </si>
  <si>
    <t xml:space="preserve">USB to UART cable with +3.3V TTL level UART signals. </t>
  </si>
  <si>
    <t>RS Components Co. , Ltd.</t>
  </si>
  <si>
    <t>429-307</t>
  </si>
  <si>
    <t>On-Board Computer (OBC)</t>
  </si>
  <si>
    <t>https://jp.rs-online.com/web/p/development-tool-accessories/0429307?sra=pmpn</t>
  </si>
  <si>
    <t>Antena Rotator Controller Spare</t>
  </si>
  <si>
    <t>JSPS(2021)</t>
    <phoneticPr fontId="256"/>
  </si>
  <si>
    <t>CONTROL BOX COMBO PER 61 COMBO CONTROLLER X PST61s CONTROLLER BANK FEES</t>
  </si>
  <si>
    <t>Pro.Sis.Tel</t>
  </si>
  <si>
    <t>CB COMBO 61</t>
  </si>
  <si>
    <t>Antena Rotator Controller PCB</t>
  </si>
  <si>
    <t>MAIN BOARD "D" SPARE BOARD KIT X COMBO SPARE PROGRAMMED CPU X COMBO</t>
  </si>
  <si>
    <t>MAIN D</t>
  </si>
  <si>
    <t>Antenna Rotator Controller Programmed PIC</t>
  </si>
  <si>
    <t>CPU PROGRAMMATA SPARE PROGRAMMED CPU X COMBO ELECTRONIC COMPONENT</t>
  </si>
  <si>
    <t>CPUPRO</t>
  </si>
  <si>
    <t>CURTIS FM ADCS boards</t>
  </si>
  <si>
    <t>Panasonic</t>
    <phoneticPr fontId="256"/>
  </si>
  <si>
    <t>CURTIS ADCS adapter boards</t>
  </si>
  <si>
    <t>SVBL/2F</t>
  </si>
  <si>
    <t xml:space="preserve"> FABS M3-L96 Rod Frame</t>
  </si>
  <si>
    <t>All screw (M3 Length 96 mm)</t>
  </si>
  <si>
    <t>SNSS M1.6x5</t>
  </si>
  <si>
    <t>Screw M1.6-5 Box (10 pcs)</t>
  </si>
  <si>
    <t>1 (10 pcs)</t>
  </si>
  <si>
    <t>CBSTSR 2-5 Screw</t>
  </si>
  <si>
    <t>Low Head Bolt (5mm)</t>
  </si>
  <si>
    <t>CBSTSR 2-5</t>
  </si>
  <si>
    <t>CBSTSR 2-6 Screw</t>
  </si>
  <si>
    <t>Low Head Bolt (6 mm)</t>
  </si>
  <si>
    <t>CBSTSR 2-6</t>
  </si>
  <si>
    <t>SSHS M2x8</t>
  </si>
  <si>
    <t>Screw M2 x 8 mm box (10 pcs)</t>
  </si>
  <si>
    <t>2 (10 pcs )</t>
  </si>
  <si>
    <t>https://www.monotaro.com/p/4927/7812/?t.q=SSHS%20m2%208</t>
  </si>
  <si>
    <t>SNSS M2x4-VA</t>
  </si>
  <si>
    <t xml:space="preserve">Screw M2-4 </t>
  </si>
  <si>
    <t>https://jp.misumi-ec.com/vona2/detail/221000348314/?ProductCode=SNSS-M2X4-VA</t>
  </si>
  <si>
    <t>SNSS M2x5-VA</t>
  </si>
  <si>
    <t>Screw M2-5</t>
  </si>
  <si>
    <t>https://jp.misumi-ec.com/vona2/detail/221000348314/?ProductCode=SNSS-M2X5-VA</t>
  </si>
  <si>
    <t>RTL-SDR</t>
  </si>
  <si>
    <t>¥5,480.00</t>
  </si>
  <si>
    <t>409 Student Room</t>
  </si>
  <si>
    <t>Raspberry-Pi 4</t>
  </si>
  <si>
    <t>Marstudy Raspberry Pi 4 Model B Starter Kit (4GB RAM) / Raspberry Pi 4B (with Technical Compliance Mark) / Premium Case / Bearing System Fan / 3.5A USB-C Power Adapter Switch</t>
  </si>
  <si>
    <t>B083XSRYXW</t>
  </si>
  <si>
    <t>Model B</t>
  </si>
  <si>
    <t>¥26,800.00</t>
  </si>
  <si>
    <t>https://www.amazon.co.jp/dp/B083XSRYXW/ref=sspa_dk_detail_4?pd_rd_i=B083XSRYXW&amp;pd_rd_w=SleiR&amp;content-id=amzn1.sym.f293be60-50b7-49bc-95e8-931faf86ed1e&amp;pf_rd_p=f293be60-50b7-49bc-95e8-931faf86ed1e&amp;pf_rd_r=ZX2HCK4JG85V3P9TDSGX&amp;pd_rd_wg=kLXFu&amp;pd_rd_r=b488366d-c355-4e46-a3b8-6bc7376b4fda&amp;s=computers&amp;sp_csd=d2lkZ2V0TmFtZT1zcF9kZXRhaWw&amp;spLa=ZW5jcnlwdGVkUXVhbGlmaWVyPUEyWlNDWk0yM01UUTBSJmVuY3J5cHRlZElkPUEwMzE0NTQwU0FCR0RSUzkyQVpPJmVuY3J5cHRlZEFkSWQ9QVJWODdaSjFWR1FZQyZ3aWRnZXROYW1lPXNwX2RldGFpbCZhY3Rpb249Y2xpY2tSZWRpcmVjdCZkb05vdExvZ0NsaWNrPXRydWU&amp;th=1</t>
  </si>
  <si>
    <t>Adalm Pluto</t>
  </si>
  <si>
    <t>SDR ACTIVE LEARNING PLATFORM</t>
  </si>
  <si>
    <t>505-ADALM-PLUTO-ND</t>
  </si>
  <si>
    <t>ADALM-PLUTO</t>
  </si>
  <si>
    <t>¥25,571.00</t>
  </si>
  <si>
    <t>https://www.digikey.jp/ja/products/detail/analog-devices-inc/ADALM-PLUTO/6624230?s=N4IgTCBcDaIIYBM4BsC2ACADsgrgFwHsQBdAXyA</t>
  </si>
  <si>
    <t>400 MHz Yagi Antenna</t>
  </si>
  <si>
    <t>Antennas 403.500MHz,5 EL,9.2d B</t>
  </si>
  <si>
    <t>Laird Connectivity</t>
  </si>
  <si>
    <t>814-YS3805</t>
  </si>
  <si>
    <t>YS3805</t>
  </si>
  <si>
    <t>¥15,378.00</t>
  </si>
  <si>
    <t>https://www.mouser.jp/ProductDetail/Laird-Connectivity/YS3805?qs=sGAEpiMZZMukHu%252BjC5l7YfEq5W2hefEs7%2FLgh4RC02Q%3D</t>
  </si>
  <si>
    <t>920 MHz Yagi Antenna</t>
  </si>
  <si>
    <t>RF ANT 900MHZ/1.8GHZ YAGI SMA ML</t>
  </si>
  <si>
    <t>RF</t>
  </si>
  <si>
    <t>ANT-GSM-YAG11</t>
  </si>
  <si>
    <t>¥7,156.00</t>
  </si>
  <si>
    <t>https://www.digikey.jp/ja/products/detail/rf-solutions/ANT-GSM-YAG11/2781750?s=N4IgTCBcDaIIIDkAqBaA4gZQLIoJpzQEZCQBdAXyA</t>
  </si>
  <si>
    <t>CABLE LMR-400 BLACK PE 500'</t>
  </si>
  <si>
    <t>LMR-400</t>
  </si>
  <si>
    <t>1946-1064-500-ND</t>
  </si>
  <si>
    <t>https://www.digikey.jp/ja/products/detail/amphenol-times-microwave-systems/LMR-400/9644064</t>
  </si>
  <si>
    <t>Rotator Cable</t>
  </si>
  <si>
    <t>Ethernet Cable, 100m, Black, S/FTP</t>
  </si>
  <si>
    <t>rs components</t>
  </si>
  <si>
    <t>211-5759</t>
  </si>
  <si>
    <t>https://jp.rs-online.com/web/p/ethernet-cable/2115759?cm_mmc=JP-PLA-DS3A-_-google-_-PLA_JP_JP_%E3%82%B1%E3%83%BC%E3%83%96%E3%83%AB_Whoop-_-(JP:Whoop!)+%E3%82%A4%E3%83%BC%E3%82%B5%E3%83%8D%E3%83%83%E3%83%88%E3%82%B1%E3%83%BC%E3%83%96%E3%83%AB-_-2115759&amp;matchtype=&amp;pla-341401857057&amp;gclid=CjwKCAjw7IeUBhBbEiwADhiEMU00XsyBdkIWRkh_QV5trMYj2j7yDINCK2kjBqB9ykEZ26eco60NShoCZ1YQAvD_BwE&amp;gclsrc=aw.ds</t>
  </si>
  <si>
    <t xml:space="preserve"> GST RF amplifier</t>
  </si>
  <si>
    <t>BTECH AMP-V25 Amplifier for VHF (136-174MHz), 20-40W Output</t>
  </si>
  <si>
    <t>BTech</t>
  </si>
  <si>
    <t>AMP-V25</t>
  </si>
  <si>
    <t>https://www.amazon.com/BTECH-AMP-V25-Amplifier-136-174MHz-Compatible/dp/B076H972DH?th=1</t>
  </si>
  <si>
    <t xml:space="preserve"> GST VHF Antenna</t>
  </si>
  <si>
    <t>HYS Dual-Band 9.5/11.5dBi 100W Yagi Antenna 8 Element Beam 2 Meter/70 cm</t>
  </si>
  <si>
    <t>TC-YG08UV</t>
  </si>
  <si>
    <t xml:space="preserve">コネクタハウジング </t>
  </si>
  <si>
    <t xml:space="preserve">Kinoshita </t>
  </si>
  <si>
    <t>3極 1列 ピッチ2.54mm (1袋10個入)</t>
  </si>
  <si>
    <t>22-01-2037</t>
  </si>
  <si>
    <t>https://www.monotaro.com/g/04907645/</t>
  </si>
  <si>
    <t>基板用マウントパーツ JTS－2503</t>
  </si>
  <si>
    <t>3極 1列 ピッチ2.54mm (1袋50個入)</t>
  </si>
  <si>
    <t>JTS-2503</t>
  </si>
  <si>
    <t>https://www.monotaro.com/p/1135/5977/</t>
  </si>
  <si>
    <t>ESDマット</t>
  </si>
  <si>
    <t>1 x 1.8 mm</t>
  </si>
  <si>
    <t>Chibatech</t>
  </si>
  <si>
    <t>Suppoter</t>
  </si>
  <si>
    <t>https://www.monotaro.com/p/6443/5709/</t>
  </si>
  <si>
    <t>表面実装用ピン</t>
  </si>
  <si>
    <t>リン青銅、5mm, 0.6mm, 1000本入り</t>
  </si>
  <si>
    <t>マックエイト</t>
  </si>
  <si>
    <t>Coop (Marutsu)</t>
  </si>
  <si>
    <t>DH-6-5</t>
  </si>
  <si>
    <t>OPERA/COM</t>
  </si>
  <si>
    <t>https://www.marutsu.co.jp/pc/i/90821/</t>
  </si>
  <si>
    <t>詰め替え(400枚)</t>
  </si>
  <si>
    <t>大王製紙</t>
  </si>
  <si>
    <t>https://www.askul.co.jp/p/015077/</t>
  </si>
  <si>
    <t>https://www.monotaro.com/g/00005163/?t.q=%E3%82%B0%E3%83%A9%E3%83%B3%E3%83%89%E3%82%A2%E3%83%BC%E3%82%B9%E7%B7%9A</t>
  </si>
  <si>
    <t xml:space="preserve">CURTIS FM Back Plane Board </t>
  </si>
  <si>
    <t xml:space="preserve">Blue colour,PCB size 201.5 mmX84 mm with 6 layers </t>
  </si>
  <si>
    <t>3F clean room SVBL</t>
  </si>
  <si>
    <t>IC for OPERA FM board</t>
  </si>
  <si>
    <t>Regulator, Gate Logic, Cables</t>
  </si>
  <si>
    <t>4Fcontrol room</t>
  </si>
  <si>
    <t>O-ring</t>
  </si>
  <si>
    <t>V-175; material: Nitrile/ NBR</t>
  </si>
  <si>
    <t>V-175</t>
  </si>
  <si>
    <t>¥380</t>
  </si>
  <si>
    <t>¥1,140</t>
  </si>
  <si>
    <t>V-175; material: FPM</t>
  </si>
  <si>
    <t>¥0</t>
  </si>
  <si>
    <t>Transport cost for O-ring</t>
  </si>
  <si>
    <t>Air transport</t>
  </si>
  <si>
    <t>¥3,000</t>
  </si>
  <si>
    <t>Rodrigo/Necmi</t>
  </si>
  <si>
    <t xml:space="preserve">	
WSLL-.025TR-ND</t>
  </si>
  <si>
    <t>https://www.digikey.jp/short/db3rz5mc</t>
  </si>
  <si>
    <t xml:space="preserve">	
609-4050-2-ND</t>
  </si>
  <si>
    <t>https://www.digikey.jp/short/75mv9wt0</t>
  </si>
  <si>
    <t>720-LGR971-KN-1</t>
  </si>
  <si>
    <t>https://www.mouser.jp/ProductDetail/ams-OSRAM/LG-R971?qs=rUek3o0zKEuJI2MxN2AmMQ%3D%3D</t>
  </si>
  <si>
    <t>RM3100</t>
  </si>
  <si>
    <t>Witmotion</t>
  </si>
  <si>
    <t>https://amzn.asia/d/cWf2QTK</t>
  </si>
  <si>
    <t>SSM6K403TU, LF</t>
  </si>
  <si>
    <t xml:space="preserve">Toshiba </t>
  </si>
  <si>
    <t xml:space="preserve">Memory NOR FLASH </t>
  </si>
  <si>
    <t>Micron Tech</t>
  </si>
  <si>
    <t>LCSC</t>
  </si>
  <si>
    <t>C1352146</t>
  </si>
  <si>
    <t>https://lcsc.com/product-detail/NOR-FLASH_Micron-Tech-MT25QL01GBBB8ESF-0AAT_C1352146.html</t>
  </si>
  <si>
    <t xml:space="preserve">
Texas Instruments</t>
  </si>
  <si>
    <t>C347589</t>
  </si>
  <si>
    <t>https://lcsc.com/search?q=SN74LVC2G34DBVR</t>
  </si>
  <si>
    <t>Rodrigo/Hari</t>
  </si>
  <si>
    <t>CONN HEADER SMD 3POS 1MM</t>
  </si>
  <si>
    <t>WM20850TR-ND</t>
  </si>
  <si>
    <t>Solar panels</t>
  </si>
  <si>
    <t>https://www.digikey.jp/en/products/detail/molex/5044490307/6099596</t>
  </si>
  <si>
    <t>CONN RCPT</t>
  </si>
  <si>
    <t>CONN RCPT HSG 3POS 1.00MM</t>
  </si>
  <si>
    <t>WM7916-ND</t>
  </si>
  <si>
    <t>https://www.digikey.jp/en/products/detail/molex/5013300300/1531500</t>
  </si>
  <si>
    <t>CONN SOCKET CRIMP GOLD</t>
  </si>
  <si>
    <t>CONN SOCKET 28-32AWG CRIMP GOLD</t>
  </si>
  <si>
    <t xml:space="preserve">	
900-5011938000TR-ND</t>
  </si>
  <si>
    <t>https://www.digikey.jp/en/products/detail/molex/5011938000/12142063</t>
  </si>
  <si>
    <t>CURTIS PCIB board FM</t>
  </si>
  <si>
    <t>CURTIS PCIB board FM, 2 boards with components soldered, 2 spares</t>
  </si>
  <si>
    <t>30/08/2022</t>
  </si>
  <si>
    <t xml:space="preserve">Capacitor </t>
  </si>
  <si>
    <t>20,1</t>
  </si>
  <si>
    <t>38,1</t>
  </si>
  <si>
    <t>MLCC - SMD 0805 25VDC 10uF 10% AEC-Q200</t>
  </si>
  <si>
    <t>810-CGA4J1X7S1E106K1</t>
  </si>
  <si>
    <t>CGA4J1X7S1E106K125AC</t>
  </si>
  <si>
    <t>60,3</t>
  </si>
  <si>
    <t>CGA4J1X7S1E106K125AC TDK | Mouser Japan</t>
  </si>
  <si>
    <t>SMD 0805 1.2Kohms 0,5% AEC-Q200 Anti-sulfur</t>
  </si>
  <si>
    <t>667-ERJ-U6RD1201V</t>
  </si>
  <si>
    <t>ERJ-U6RD1201V</t>
  </si>
  <si>
    <t>41,9</t>
  </si>
  <si>
    <t>ERJ-U6RD1201V Panasonic | Mouser Japan</t>
  </si>
  <si>
    <t>Photodiode S13954-01CT  </t>
  </si>
  <si>
    <t>320～1000 nm, 0.49 A/W, 10 V</t>
  </si>
  <si>
    <t>S13954-01CT</t>
  </si>
  <si>
    <t>SMD Glass Epoxy</t>
  </si>
  <si>
    <t>Contact to the Supplier</t>
  </si>
  <si>
    <t>BT0 Desktop PC for PeTT chamber</t>
  </si>
  <si>
    <t>Core i7; 16 GB RAM; SSD 0.5 TB; HDD 1 TB</t>
  </si>
  <si>
    <t>Applied</t>
  </si>
  <si>
    <t>BT-I712700AS1H500SNVM</t>
  </si>
  <si>
    <t>¥169,400</t>
  </si>
  <si>
    <t>Monitior for PeTT chamber</t>
  </si>
  <si>
    <t>21.5 inch monitor</t>
  </si>
  <si>
    <t>Princeton</t>
  </si>
  <si>
    <t>PTFBLE-22W</t>
  </si>
  <si>
    <t>¥18,800</t>
  </si>
  <si>
    <t>Battery holder</t>
  </si>
  <si>
    <t>BATT HOLDER 18650 2 CELL PC PIN</t>
  </si>
  <si>
    <t>https://www.digikey.jp/ja/products/detail/keystone-electronics/1049P/4499390</t>
  </si>
  <si>
    <t xml:space="preserve">SMD Resistor 287K OHM </t>
  </si>
  <si>
    <t>RES SMD 287K OHM 0.1% 1/10W 0603</t>
  </si>
  <si>
    <t>P287KDBCT-ND</t>
  </si>
  <si>
    <t>ERA-3AEB2873V</t>
  </si>
  <si>
    <t>0603 (1608 metric)</t>
  </si>
  <si>
    <t>https://www.digikey.jp/ja/products/detail/panasonic-electronic-components/ERA-3AEB2873V/2026968?s=N4IgjCBcoMxaBjKAzAhgGwM4FMA0IB7KAbRAHYYIBdfABwBcoQBlegJwEsA7AcxAF98YAGzwQSSGix5CJEDACcAJgAsomiAZNWnXgPwBaCNHEoMOfEUikwABhBVBIA3BMT2AVxlWb9x4aUxdzYvSzkAVgd%2BJ0DrECUADjIAawACTABbABMooA</t>
  </si>
  <si>
    <t>SMD Resistor 30K OHM</t>
  </si>
  <si>
    <t>RES SMD 30K OHM 0.1% 1/10W 0603</t>
  </si>
  <si>
    <t>P30KAYCT-ND</t>
  </si>
  <si>
    <t>ERA-3APB303V</t>
  </si>
  <si>
    <t>https://www.digikey.jp/ja/products/detail/panasonic-electronic-components/ERA-3APB303V/3070645</t>
  </si>
  <si>
    <t>RPi CM4</t>
  </si>
  <si>
    <t>8GB RAM, 32GB ROM</t>
  </si>
  <si>
    <t>CURTIS MB2 board FM</t>
  </si>
  <si>
    <t>Rodrigo/Reynel</t>
  </si>
  <si>
    <t>CURTIS MB2 board FM, 2 boards with components soldered, 2 spares</t>
  </si>
  <si>
    <t>MB2 (Thermal Controller Board)</t>
  </si>
  <si>
    <t>CAT6; straight wiring; single wire; STP; 30 m in length</t>
  </si>
  <si>
    <t>NWNMC6-SON-SSMB-GY-30</t>
  </si>
  <si>
    <t>¥5,809</t>
  </si>
  <si>
    <t>https://jp.misumi-ec.com/vona2/detail/110500074860/?rid=rid3</t>
  </si>
  <si>
    <t>8GB RAM, 16GB ROM</t>
  </si>
  <si>
    <t>CM4108016</t>
  </si>
  <si>
    <t>https://www.amazon.co.jp/-/en/CM4002000/dp/B0BC9L9HPS/ref=sr_1_5?crid=1SI8EGKNMEZZ0&amp;keywords=raspberry%2Bpi%2Bcm%2B4&amp;qid=1662345632&amp;sprefix=raspberry%2Bpi%2Bcm%2Caps%2C298&amp;sr=8-5&amp;th=1</t>
  </si>
  <si>
    <t>100pin SMD connector for R-pi CM4</t>
  </si>
  <si>
    <t>100pin SMD, Hirose connector</t>
  </si>
  <si>
    <t>DF40C-100DS-0.4V</t>
  </si>
  <si>
    <t>USD143</t>
  </si>
  <si>
    <t>Capacitor 12pF</t>
  </si>
  <si>
    <t>MLCC - SMD/SMT 50V 12pF C0G 0805 5%</t>
  </si>
  <si>
    <t>80-C0805C120J5GAC</t>
  </si>
  <si>
    <t>C0805C120J5GAC</t>
  </si>
  <si>
    <t>https://mou.sr/3zBjkuk</t>
  </si>
  <si>
    <t>Capacitor 3.3nF</t>
  </si>
  <si>
    <t>MLCC - SMD/SMT 50V 3300pF C0G 0805 2%</t>
  </si>
  <si>
    <t>https://mou.sr/3SDfkSB</t>
  </si>
  <si>
    <t>MLCC - SMD/SMT 50V 0.1uF X7R 0805 5%</t>
  </si>
  <si>
    <t>80-C0805C104J5RACLR</t>
  </si>
  <si>
    <t>C0805C104J5RAC7210</t>
  </si>
  <si>
    <t>https://mou.sr/3p60rL7</t>
  </si>
  <si>
    <t>MLCC - SMD/SMT 4.7uF+/-10% 25V X5R 0805</t>
  </si>
  <si>
    <t>187-CL21A475KAQNNNG</t>
  </si>
  <si>
    <t>CL21A475KAQNNNG</t>
  </si>
  <si>
    <t>https://mou.sr/3JE9893</t>
  </si>
  <si>
    <t>Capacito 10uF</t>
  </si>
  <si>
    <t>MLCC - SMD/SMT 10uF+/-10% 16V X5R 2 0805</t>
  </si>
  <si>
    <t>187-CL21A106KOQNNNE</t>
  </si>
  <si>
    <t>CL21A106KOQNNNE</t>
  </si>
  <si>
    <t>https://mou.sr/3zJrbGb</t>
  </si>
  <si>
    <t>MLCC - SMD/SMT 47UF 16V 10% 1210</t>
  </si>
  <si>
    <t>81-GRM32EC81C476KE5L</t>
  </si>
  <si>
    <t>SMD1210</t>
  </si>
  <si>
    <t>https://mou.sr/3JJdtHP</t>
  </si>
  <si>
    <t>Resistor 0.025 Ohms</t>
  </si>
  <si>
    <t>SMD 0805, 0.025ohms, 1%  AEC-Q200, 0.5 W</t>
  </si>
  <si>
    <t>667-ERJ-6BWFR025V</t>
  </si>
  <si>
    <t>https://mou.sr/3KDtqQm</t>
  </si>
  <si>
    <t>Resistor 100 Ohms</t>
  </si>
  <si>
    <t>https://mou.sr/3BYadqx</t>
  </si>
  <si>
    <t>Resistor 10k Ohms</t>
  </si>
  <si>
    <t>https://mou.sr/3Pbmbjr</t>
  </si>
  <si>
    <t>Resistor 100k Ohms</t>
  </si>
  <si>
    <t>SMD 0805, 100Kohms 1%  AEC-Q200</t>
  </si>
  <si>
    <t>667-ERJ-6ENF1003V</t>
  </si>
  <si>
    <t>ERJ-6ENF1003V</t>
  </si>
  <si>
    <t>https://mou.sr/3A9V7g6</t>
  </si>
  <si>
    <t>https://mou.sr/3pc34eg</t>
  </si>
  <si>
    <t>https://mou.sr/3A8yita</t>
  </si>
  <si>
    <t>Digital Bus Switch - SN74CB3Q3305PWR</t>
  </si>
  <si>
    <t>595-SN74CB3Q3305PWR</t>
  </si>
  <si>
    <t>https://mou.sr/3BTjkIH</t>
  </si>
  <si>
    <t>Buffer SN74LVC2G34DRLR</t>
  </si>
  <si>
    <t>Dual 1.65-V to 5.5-V buffers, -40 to 125 C</t>
  </si>
  <si>
    <t>595-SN74LVC2G34DRLR</t>
  </si>
  <si>
    <t>SN74LVC2G34DRLR</t>
  </si>
  <si>
    <t>SOT-5X3</t>
  </si>
  <si>
    <t>https://mou.sr/3QgGBsK</t>
  </si>
  <si>
    <t>https://mou.sr/3JHNbWA</t>
  </si>
  <si>
    <t>OPERA R-pi board chips</t>
  </si>
  <si>
    <t>Connectors, IC</t>
  </si>
  <si>
    <t>OPERA R-pi board TVS</t>
  </si>
  <si>
    <t>TVS</t>
  </si>
  <si>
    <t>229-7083</t>
  </si>
  <si>
    <t>TPD4EUSB30DQAR</t>
  </si>
  <si>
    <t>https://jp.rs-online.com/web/p/tvs-diodes/2297083</t>
  </si>
  <si>
    <t>Transcend Portable HDD</t>
  </si>
  <si>
    <t>Reynel</t>
  </si>
  <si>
    <t xml:space="preserve"> 1TB, USB 3.1</t>
  </si>
  <si>
    <t>187-1682</t>
  </si>
  <si>
    <t>TS1TSJ25M3G</t>
  </si>
  <si>
    <t>Master's thesis</t>
  </si>
  <si>
    <t>https://jp.rs-online.com/web/p/hard-drives/1871682</t>
  </si>
  <si>
    <t>LOAD SWITCH,SOT26,T&amp;R,3K</t>
  </si>
  <si>
    <t>31-AP22653W6-7TR-ND</t>
  </si>
  <si>
    <t>AP22653W6-7</t>
  </si>
  <si>
    <t>SOT26</t>
  </si>
  <si>
    <t>https://www.digikey.jp/ja/products/detail/diodes-incorporated/AP22653W6-7/10481162</t>
  </si>
  <si>
    <t>IM Polimey</t>
  </si>
  <si>
    <t xml:space="preserve">https://jp.misumi-ec.com/vona2/detail/221000551286/?HissuCode=CSH-SUS-M3-7  </t>
  </si>
  <si>
    <t>M3 Normal screw; Length 8mm, SUS</t>
  </si>
  <si>
    <t xml:space="preserve">https://jp.misumi-ec.com/vona2/detail/221000551286/?HissuCode=CSH-SUS-M3-8 </t>
  </si>
  <si>
    <t>M3 Low Head screw; Length 6mm, SUS</t>
  </si>
  <si>
    <t xml:space="preserve">https://jp.misumi-ec.com/vona2/detail/110300244510/?HissuCode=CBSST3-6 </t>
  </si>
  <si>
    <t>M3 Low Head screw; Length 5mm, SUS</t>
  </si>
  <si>
    <t>CBSST3-5</t>
  </si>
  <si>
    <t xml:space="preserve">https://jp.misumi-ec.com/vona2/detail/110300244510/?HissuCode=CBSST3-5 </t>
  </si>
  <si>
    <t>M2.5 Screw</t>
  </si>
  <si>
    <t>M2.5 Low head screw; Length 8mm, SUS</t>
  </si>
  <si>
    <t>CBSST2.5-8</t>
  </si>
  <si>
    <t xml:space="preserve">https://jp.misumi-ec.com/vona2/detail/110300244510/?HissuCode=CBSST2.5-8 </t>
  </si>
  <si>
    <t xml:space="preserve">https://jp.misumi-ec.com/vona2/detail/221000551286/?HissuCode=CSH-SUS-M2-6 </t>
  </si>
  <si>
    <t>M2 Normal screw; Length 5mm, SUS</t>
  </si>
  <si>
    <t xml:space="preserve">https://jp.misumi-ec.com/vona2/detail/221000551286/?HissuCode=CSH-SUS-M2-5 </t>
  </si>
  <si>
    <t>M2 Ultra Low Head screw; Length 6mm, SUS</t>
  </si>
  <si>
    <t>CBSA2-6</t>
  </si>
  <si>
    <t>https://jp.misumi-ec.com/vona2/detail/110302603510/?HissuCode=CBSA2-6</t>
  </si>
  <si>
    <t>M2 Ultra Low Head screw; Length 5mm, SUS</t>
  </si>
  <si>
    <t>CBSA2-5</t>
  </si>
  <si>
    <t xml:space="preserve">https://jp.misumi-ec.com/vona2/detail/110302603510/?HissuCode=CBSA2-5 </t>
  </si>
  <si>
    <t xml:space="preserve">https://jp.misumi-ec.com/vona2/detail/221000551286/?HissuCode=CSH-SUS-M1.6-6 </t>
  </si>
  <si>
    <t>M1.6 Normal screw; Length 4mm, SUS</t>
  </si>
  <si>
    <t>CSH-SUS-M1.6-4</t>
  </si>
  <si>
    <t xml:space="preserve">https://jp.misumi-ec.com/vona2/detail/221000551286/?HissuCode=CSH-SUS-M1.6-4 </t>
  </si>
  <si>
    <t>Peek spacer</t>
  </si>
  <si>
    <t>Standard, Length: 250mm; Width: 250mm; thickness: 6 +0.2 mm</t>
  </si>
  <si>
    <t>3-3097-30</t>
  </si>
  <si>
    <t xml:space="preserve">https://jp.misumi-ec.com/vona2/detail/223007922513/?rid=hs_223007889278_223007922513 </t>
  </si>
  <si>
    <t>PCB Board</t>
  </si>
  <si>
    <t>100x220x1.6 PCB</t>
  </si>
  <si>
    <t>03-5109</t>
  </si>
  <si>
    <t>https://www.monotaro.com/p/4950/4614/</t>
  </si>
  <si>
    <t>305x357x1.6 PCB</t>
  </si>
  <si>
    <t>03-5142</t>
  </si>
  <si>
    <t>https://www.monotaro.com/p/4950/4666/</t>
  </si>
  <si>
    <t>Dummy Camera</t>
  </si>
  <si>
    <t>D=14mm, L=60mm copper</t>
  </si>
  <si>
    <t>CU-R-14-60</t>
  </si>
  <si>
    <t>https://jp.misumi-ec.com/vona2/detail/110600274370/?ProductCode=CU-R-14-60</t>
  </si>
  <si>
    <t>D=10mm, L=40mm copper</t>
  </si>
  <si>
    <t>CU-R-10-40</t>
  </si>
  <si>
    <t>https://jp.misumi-ec.com/vona2/detail/110600274370/?ProductCode=CU-R-10-40</t>
  </si>
  <si>
    <t>Dummy Opera</t>
  </si>
  <si>
    <t>35x50x15 copper</t>
  </si>
  <si>
    <t>CRCUP-6F-BXA-NNN-50-35-15</t>
  </si>
  <si>
    <t>https://jp.misumi-ec.com/vona2/detail/110310112139/?ProductCode=CRCUP-6F-BXA-NNN-50-35-15</t>
  </si>
  <si>
    <t>Dummy Reaction Wheel</t>
  </si>
  <si>
    <t>28x28x26.5</t>
  </si>
  <si>
    <t>CRCUP-6F-BXA-NNN-28-28-26.5</t>
  </si>
  <si>
    <t>https://jp.misumi-ec.com/vona2/detail/110310112139/?ProductCode=CRCUP-6F-BXA-NNN-28-28-26.5</t>
  </si>
  <si>
    <t>電波使用料</t>
  </si>
  <si>
    <t>JG6YBW (FUTABA?)</t>
  </si>
  <si>
    <t>アマチュア局　１局分</t>
  </si>
  <si>
    <t>JG6YBW</t>
  </si>
  <si>
    <t>KITSUNE/FUTABA</t>
  </si>
  <si>
    <t>Cho Panasonic</t>
  </si>
  <si>
    <t>https://www.chip1stop.com/product/detail?partId=LINE-0031476&amp;mpn=LT6106CS5%23TRMPBF</t>
  </si>
  <si>
    <t>Ethernet Devices</t>
  </si>
  <si>
    <t>Ethernet connector and IC</t>
  </si>
  <si>
    <t>LTC4361CTS8-1#TRMPBF</t>
  </si>
  <si>
    <t>2.9*1.75*0.9</t>
  </si>
  <si>
    <t>C1S103101507415</t>
  </si>
  <si>
    <t xml:space="preserve">	SOT-23-8</t>
  </si>
  <si>
    <t>https://www.chip1stop.com/product/detail?partId=AD01-0150741</t>
  </si>
  <si>
    <t>2022/9.14</t>
  </si>
  <si>
    <t>Capacitors and Crystal</t>
  </si>
  <si>
    <t xml:space="preserve">積層セラミックコンデンサ(MLCC) 10μF </t>
  </si>
  <si>
    <t>PEEKねじ</t>
  </si>
  <si>
    <t>ねじ径M2長さ10mm材質PEEK</t>
  </si>
  <si>
    <t>SPE-M2-10-P</t>
  </si>
  <si>
    <t>https://www.monotaro.com/p/4926/7276/?t.q=peek%20%83l%83W</t>
  </si>
  <si>
    <t>Nisihinaga</t>
  </si>
  <si>
    <t>自由長10mm,バネ定数0.49N/mm、外径3mm</t>
  </si>
  <si>
    <t>https://jp.misumi-ec.com/vona2/detail/110302604820/?PNSearch=UF3-10&amp;HissuCode=UF3-10&amp;searchFlow=suggest2products&amp;Keyword=UF3-10&amp;isReSearch=1&amp;list=SuggestPreview</t>
  </si>
  <si>
    <t>CURTIS FM Solar panel +X</t>
  </si>
  <si>
    <t>CURTIS FM Solar panel +X (4 boards, 2 with soldered components)</t>
  </si>
  <si>
    <t>SVBL 3F Clean room</t>
  </si>
  <si>
    <t>CURTIS FM Solar panel -X</t>
  </si>
  <si>
    <t>CURTIS FM Solar panel -X (4 boards, 2 with soldered components)</t>
  </si>
  <si>
    <t>CURTIS FM Solar panel +Y</t>
  </si>
  <si>
    <t>CURTIS FM Solar panel +Y (4 boards, 2 with soldered components)</t>
  </si>
  <si>
    <t>CURTIS FM Solar panel -Y</t>
  </si>
  <si>
    <t>CURTIS FM Solar panel -Y (4 boards, 2 with soldered components)</t>
  </si>
  <si>
    <t>CURTIS FM Solar panel +Z</t>
  </si>
  <si>
    <t>CURTIS FM Solar panel +Z (4 boards, 2 with soldered components)</t>
  </si>
  <si>
    <t>CURTIS FM Solar panel -Z</t>
  </si>
  <si>
    <t>CURTIS FM Solar panel -Z (4 boards, 2 with soldered components)</t>
  </si>
  <si>
    <t>Preamplifier for VHF</t>
  </si>
  <si>
    <t>Uganda</t>
    <phoneticPr fontId="256"/>
  </si>
  <si>
    <t>SSB electronics SP200</t>
  </si>
  <si>
    <t>Wimo</t>
  </si>
  <si>
    <t>https://www.wimo.com/en/accessories/antenna-accessories/mast-pre-amplifier?product_list_limit=20</t>
  </si>
  <si>
    <t>Preamplifier for UHF</t>
  </si>
  <si>
    <t>SSB electronics SP70</t>
  </si>
  <si>
    <t>HF / VHF / UHF Antenna Analyzer - 0.1 to 600 MHz</t>
  </si>
  <si>
    <t>AA-650 ZOOM Rig Expert Antenna Analyzer</t>
  </si>
  <si>
    <t>RigExpert</t>
  </si>
  <si>
    <t>https://www.amazon.co.jp/RigExpert-AA-650-ZOOM-%E3%83%AA%E3%82%B0%E3%82%A8%E3%82%AD%E3%82%B9%E3%83%91%E3%83%BC%E3%83%88-%E3%82%A2%E3%83%B3%E3%83%86%E3%83%8A%E3%82%A2%E3%83%8A%E3%83%A9%E3%82%A4%E3%82%B6%E3%83%BC/dp/B08FF9422P/ref=asc_df_B08FF9422P/?tag=jpgo-22&amp;linkCode=df0&amp;hvadid=472481135714&amp;hvpos=&amp;hvnetw=g&amp;hvrand=742477727324605450&amp;hvpone=&amp;hvptwo=&amp;hvqmt=&amp;hvdev=c&amp;hvdvcmdl=&amp;hvlocint=&amp;hvlocphy=1009721&amp;hvtargid=pla-1045193522877&amp;psc=1</t>
  </si>
  <si>
    <t>Anallog to Digital Converter</t>
  </si>
  <si>
    <t>ADS1115 16BIT ADC 4CH PROG GAIN</t>
  </si>
  <si>
    <t>1528-1461-ND</t>
  </si>
  <si>
    <t>https://www.digikey.jp/ja/products/detail/adafruit-industries-llc/1085/5761229?utm_adgroup=General&amp;utm_source=google&amp;utm_medium=cpc&amp;utm_campaign=PMax%20Shopping_Product_Zombie%20SKUs&amp;utm_term=&amp;productid=5761229&amp;gclid=Cj0KCQjwmouZBhDSARIsALYcoupkCPiWq-wFWAqnw39TXufocMWMHr-XV7QR5OIxdPXVmvXfKH5QkUQaAsGREALw_wcB</t>
  </si>
  <si>
    <t>Raspberrypi 4</t>
  </si>
  <si>
    <t>https://www.amazon.co.jp/-/en/Raspberry-Model-4GB-Pi-Technical/dp/B081YD3VL5/ref=sr_1_9?crid=1PFVYW3NV4XGG&amp;keywords=raspberry+pi+4&amp;qid=1669331814&amp;qu=eyJxc2MiOiI2LjA4IiwicXNhIjoiNS44NyIsInFzcCI6IjUuNTIifQ%3D%3D&amp;sprefix=raspb%2Caps%2C591&amp;sr=8-9</t>
  </si>
  <si>
    <t>Hand-Held Transciever</t>
  </si>
  <si>
    <t>https://www.amazon.co.jp/-/en/Function-Operation-Disaster-Earthquake-Emergency/dp/B0863H5TN3/ref=sr_1_15?keywords=uv-5r&amp;qid=1652864964&amp;sprefix=Uv-5R%2Caps%2C284&amp;sr=8-15&amp;th=1</t>
  </si>
  <si>
    <t>GST UHF antenna Kitsune</t>
  </si>
  <si>
    <t>QFH435(QFH-435)　430MHz</t>
  </si>
  <si>
    <t>https://item.rakuten.co.jp/auc-cqohm/nd-003/</t>
  </si>
  <si>
    <t>Helisert screw</t>
  </si>
  <si>
    <t>Thread diameter: 2.5mm; Length: 2D;  SUS304</t>
  </si>
  <si>
    <t>HLTS2.5-5</t>
  </si>
  <si>
    <t>Thermal payload</t>
  </si>
  <si>
    <t>https://jp.misumi-ec.com/vona2/detail/110300258940/?ProductCode=HLTS2.5-5</t>
  </si>
  <si>
    <t>Yaesu rotator RS232 interface</t>
  </si>
  <si>
    <t>Yaesu rotaror RS232 interface</t>
  </si>
  <si>
    <t>Yaesu</t>
  </si>
  <si>
    <t>HamRadioOutlet</t>
  </si>
  <si>
    <t>YAESU GS-232B</t>
  </si>
  <si>
    <t>GS-232B</t>
  </si>
  <si>
    <t>https://www.hamradio.com/cart.cfm</t>
  </si>
  <si>
    <t>ISISpace iMTQ Magnetorquer</t>
  </si>
  <si>
    <t>Jeje/Kan</t>
  </si>
  <si>
    <t xml:space="preserve">ISISpace iMTQ 3 axis Magnetorquer </t>
  </si>
  <si>
    <t>Apple MacBook Pro 15 A1286 交換バッテリー</t>
  </si>
  <si>
    <t>WorldPlus</t>
  </si>
  <si>
    <t>‎B01MPZWGUH</t>
  </si>
  <si>
    <t>A1382</t>
  </si>
  <si>
    <t>https://www.amazon.co.jp/WorldPlus-%E3%83%90%E3%83%83%E3%83%86%E3%83%AA%E3%83%BC-MacBook-A1382-6200mAh/dp/B01MPZWGUH</t>
  </si>
  <si>
    <t>M3　極低頭ネジ14mm</t>
  </si>
  <si>
    <t>極低頭六角穴付ボルト-単品・箱販売-／緩み防止処理付 -パック販売-【1～500個入り】</t>
  </si>
  <si>
    <t>M3　極低頭ネジ8mm</t>
  </si>
  <si>
    <t>M3ネジ</t>
  </si>
  <si>
    <t>六角穴付きボルト ステンレス 表面処理なし 全ねじ【1～8個入り】</t>
  </si>
  <si>
    <t>コンデンサ</t>
  </si>
  <si>
    <t xml:space="preserve">shinozaki </t>
  </si>
  <si>
    <t>C0805C101K8RACTU</t>
  </si>
  <si>
    <t>degikey</t>
  </si>
  <si>
    <t>C0805C101K8RAC7800</t>
  </si>
  <si>
    <t>https://www.digikey.jp/ja/products/detail/kemet/C0805C101K8RAC7800/7382119</t>
  </si>
  <si>
    <t>https://www.digikey.jp/ja/products/detail/yageo/CC0805JRNPO0BN180/8025308</t>
  </si>
  <si>
    <t>RK73B2ATTD102J</t>
  </si>
  <si>
    <t>https://www.digikey.jp/ja/products/detail/koa-speer-electronics-inc/RK73B2ATTD102J/10236529</t>
  </si>
  <si>
    <t>CR0402-FX-2402GLF</t>
  </si>
  <si>
    <t>https://www.digikey.jp/ja/products/detail/bourns-inc/CR0402-FX-2402GLF/3783248</t>
  </si>
  <si>
    <t>https://www.digikey.jp/ja/products/detail/onsemi/NRVB120VLSFT1G/5817308</t>
  </si>
  <si>
    <t>ＢＢ－１０２</t>
  </si>
  <si>
    <t>Cixi Wanjie Electronic Co.,Ltd(慈渓市万捷電子有限公司)</t>
  </si>
  <si>
    <t>加速度センサ</t>
  </si>
  <si>
    <t>1738-1067-ND</t>
  </si>
  <si>
    <t>SEN0032</t>
  </si>
  <si>
    <t>https://www.digikey.jp/ja/products/detail/dfrobot/SEN0032/6588489</t>
  </si>
  <si>
    <t>USE type B ケーブル</t>
  </si>
  <si>
    <t>ＵＳＢケーブル　ＵＳＢ２．０　Ｔｙｐｅ－Ａオス⇔Ｂオス　１．５ｍ　Ａ－Ｂ</t>
  </si>
  <si>
    <t>EverU Electronics</t>
  </si>
  <si>
    <t>LDUC1025-1.5m</t>
  </si>
  <si>
    <t>C-17015</t>
  </si>
  <si>
    <t>https://akizukidenshi.com/catalog/g/gC-17015/</t>
  </si>
  <si>
    <t>エアークッション 非帯電性プチ袋 (100枚)</t>
  </si>
  <si>
    <t>180mm×160mm×40mm</t>
  </si>
  <si>
    <t>川上産業</t>
  </si>
  <si>
    <t>P220287</t>
  </si>
  <si>
    <t>P-d37L HBi</t>
  </si>
  <si>
    <t>All Project</t>
  </si>
  <si>
    <t>3F クリーンルーム</t>
  </si>
  <si>
    <t>https://www.askul.co.jp/p/P220287/</t>
  </si>
  <si>
    <t>ボックス収納 サンコープラスチック　3個</t>
  </si>
  <si>
    <t>487×339×230mm　A3</t>
  </si>
  <si>
    <t>サンコープラスチック</t>
  </si>
  <si>
    <t>A-3</t>
  </si>
  <si>
    <t>https://www.askul.co.jp/p/2972170/?int_id=recom_DtVar</t>
  </si>
  <si>
    <t>No.2410</t>
  </si>
  <si>
    <t>ADALM-PLUTO（PlutoSDR)</t>
  </si>
  <si>
    <t>325 MHz ～ 3.8 GHz 　帯域幅２０MHｚ</t>
  </si>
  <si>
    <t>　Analog Devices, Inc./Linear Technology/Maxim Integrated Products, Inc.</t>
  </si>
  <si>
    <t>M-16718</t>
  </si>
  <si>
    <t>4F学生部屋</t>
  </si>
  <si>
    <t>https://akizukidenshi.com/catalog/g/gM-16718/</t>
  </si>
  <si>
    <t>Vgs - Gate-Source Voltage -20V, +20V, temp range -55C to 150C</t>
  </si>
  <si>
    <t xml:space="preserve">
Toshiba</t>
  </si>
  <si>
    <t>757-SSM6K407TULF</t>
  </si>
  <si>
    <t>SSM6K407TU,LF</t>
  </si>
  <si>
    <t xml:space="preserve">Leopard </t>
  </si>
  <si>
    <t>https://www.mouser.jp/ProductDetail/Toshiba/SSM6K407TULF?qs=bZr6mbWTK5lPy8Mm8BrRrQ%3D%3D</t>
  </si>
  <si>
    <t>KYOCERA AVX</t>
  </si>
  <si>
    <t>581-08055F104K4</t>
  </si>
  <si>
    <t>https://www.mouser.com/ProductDetail/KYOCERA-AVX/08055F104K4T2A?qs=1X9trZCrWl23znWK%252BCj%252B7g%3D%3D</t>
  </si>
  <si>
    <t>963-LMR212BD7106KG-T</t>
  </si>
  <si>
    <t>LMR212BD7106KG-T</t>
  </si>
  <si>
    <t>https://www.mouser.com/ProductDetail/Taiyo-Yuden/LMR212BD7106KG-T?qs=DRkmTr78QATXuUQGmCCYPQ%3D%3D</t>
  </si>
  <si>
    <t>80-C0805C475K3RACTU</t>
  </si>
  <si>
    <t>C0805C475K3RACTU</t>
  </si>
  <si>
    <t>https://www.mouser.com/ProductDetail/KEMET/C0805C475K3RACTU?qs=PzGy0jfpSMsRb1o8vMQxfQ%3D%3D</t>
  </si>
  <si>
    <t>MLCC - SMD 0805, 50V, 0.01uF,  X8R, 5%</t>
  </si>
  <si>
    <t>MLCC - SMD 0805, 25V, 0.47uF,  X8R 10%</t>
  </si>
  <si>
    <t>755-UCR10EVHFSR025</t>
  </si>
  <si>
    <t xml:space="preserve">
UCR10EVHFSR025</t>
  </si>
  <si>
    <t>https://www.mouser.com/ProductDetail/ROHM-Semiconductor/UCR10EVHFSR025?qs=493kPxzlxfL8829SwCRTjA%3D%3D</t>
  </si>
  <si>
    <t>10 Bit Voltage Clamp</t>
  </si>
  <si>
    <t>595-SN74TVC3010DGVR</t>
  </si>
  <si>
    <t xml:space="preserve">
SN74TVC3010DGVR</t>
  </si>
  <si>
    <t>https://www.mouser.com/ProductDetail/Texas-Instruments/SN74TVC3010DGVR?qs=bvCpHSZmQjlTSQXUy99pjQ%3D%3D</t>
  </si>
  <si>
    <t>863-NLX2G06AMUTCG</t>
  </si>
  <si>
    <t>NLX2G06AMUTCG</t>
  </si>
  <si>
    <t>https://www.mouser.com/ProductDetail/onsemi/NLX2G06AMUTCG?qs=Tr3lMbyRyKlVvyJq%2FOHW8g%3D%3D</t>
  </si>
  <si>
    <t xml:space="preserve">Flash Memory </t>
  </si>
  <si>
    <t>942-IRF9910TRPBF</t>
  </si>
  <si>
    <t>IRF9910TRPBF</t>
  </si>
  <si>
    <t>https://www.mouser.com/ProductDetail/Infineon-IR/IRF9910TRPBF?qs=9%252BKlkBgLFf1xq9plAHfQiw%3D%3D</t>
  </si>
  <si>
    <t>RS components coorporation</t>
  </si>
  <si>
    <t>Fixed Terminal Blocks 5.08/03/90 3.5SN BK</t>
  </si>
  <si>
    <t>Weidmuller</t>
  </si>
  <si>
    <t>470-1716030000</t>
  </si>
  <si>
    <t>https://www.mouser.jp/ProductDetail/Weidmuller/1716030000?qs=WJDKaGZ8K%252B5TjNFJJbvOug%3D%3D</t>
  </si>
  <si>
    <t>Microcontroller PIC18F97J94</t>
  </si>
  <si>
    <t>579-PIC18F97J94-I/PF</t>
  </si>
  <si>
    <t>PIC18F97J94-I/PF</t>
  </si>
  <si>
    <t>TQFP-100</t>
  </si>
  <si>
    <t>https://www.mouser.jp/ProductDetail/Microchip-Technology-Atmel/PIC18F97J94-I-PF?qs=X98pPdo4MrvAjQYCsjfLPg%3D%3D</t>
  </si>
  <si>
    <t>0603 Standard 220nF Ceramic Multilayer Capacitor, 16 V, +125C, X7R Dielectric, +/-10% SMD</t>
  </si>
  <si>
    <t>603-CC603KRX7R7BB224</t>
  </si>
  <si>
    <t>CC0603KRX7R7BB224</t>
  </si>
  <si>
    <t>https://www.mouser.jp/ProductDetail/YAGEO/CC0603KRX7R7BB224?qs=AgBp2OyFlx8P2PCI15vyCA%3D%3D</t>
  </si>
  <si>
    <t>SMD Auto X7R Flex, Ceramic, 4.7 uF, 5%, 25 VDC, 62.5 VDC, 125C, -55C</t>
  </si>
  <si>
    <t>80-C0805X475J3RAUTO</t>
  </si>
  <si>
    <t>C0805X475J3RACAUTO</t>
  </si>
  <si>
    <t>https://www.mouser.jp/ProductDetail/KEMET/C0805X475J3RACAUTO?qs=%252B6g0mu59x7JZ7yafAnXaIw%3D%3D</t>
  </si>
  <si>
    <t>1210 GRM 22uF Ceramic Multilayer Capacitor, 25 V dc, +125C, X7R Dielectric, +/-20% SMD</t>
  </si>
  <si>
    <t>81-GRM32ER71E226ME5L</t>
  </si>
  <si>
    <t>GRM32ER71E226ME15L</t>
  </si>
  <si>
    <t>https://www.mouser.jp/ProductDetail/Murata-Electronics/GRM32ER71E226ME15L?qs=YdfiU6IJg98WGjVSjKXg5Q%3D%3D</t>
  </si>
  <si>
    <t>Multilayer Ceramic Capacitors MLCC - SMD/SMT 250V 3300pF C0G 0805 1% Flex AEC-Q200</t>
  </si>
  <si>
    <t>80-C0805X332FAGECAUTO</t>
  </si>
  <si>
    <t>C0805X332FAGECAUTO</t>
  </si>
  <si>
    <t>https://www.mouser.jp/ProductDetail/KEMET/C0805X332FAGECAUTO?qs=55YtniHzbhDxoFw9j%2FN6Jg%3D%3D</t>
  </si>
  <si>
    <t>Thick Film Resistors - SMD 1/10watts 10Kohms 5%</t>
  </si>
  <si>
    <t>KOA Speer</t>
  </si>
  <si>
    <t>K73B1JTTD103J</t>
  </si>
  <si>
    <t>https://www.mouser.jp/ProductDetail/KOA-Speer/RK73B1JTTD103J?qs=hmtrJ2UjXcBKRTcwO9LloQ%3D%3D</t>
  </si>
  <si>
    <t>YAGEO (PHYCOMP) - RC0603FR-07150KL - RES, THICK FILM, 150K, 1%, 0.1W, 0603</t>
  </si>
  <si>
    <t>603-RC0603FR-07150KL</t>
  </si>
  <si>
    <t>RC0603FR-07150KL</t>
  </si>
  <si>
    <t>https://www.mouser.jp/ProductDetail/YAGEO/RC0603FR-07150KL?qs=VU8sRB4EgwAs5t5QrX5iHA%3D%3D</t>
  </si>
  <si>
    <t>YAGEO (PHYCOMP) - RC0603FR-0733RL - RES, THICK FILM, 33R, 1%, 0.1W, 0603</t>
  </si>
  <si>
    <t>603-RC0603FR-0733RL</t>
  </si>
  <si>
    <t>RC0603FR-0733RL</t>
  </si>
  <si>
    <t>https://www.mouser.jp/ProductDetail/YAGEO/RC0603FR-0733RL?qs=diQw95jMAeMotgif2GSHTQ%3D%3D</t>
  </si>
  <si>
    <t>YAGEO (PHYCOMP) - RC0603FR-0710RL - RES, THICK FILM, 10R, 1%, 0.1W, 0603</t>
  </si>
  <si>
    <t>603-RC0603FR-0710RL</t>
  </si>
  <si>
    <t>C0603FR-0710RL</t>
  </si>
  <si>
    <t>https://www.mouser.jp/ProductDetail/YAGEO/RC0603FR-0710RL?qs=womCuNp6NjhtCUybQ%252B6d6w%3D%3D</t>
  </si>
  <si>
    <t>Current Sense Resistors - SMD 0603 .024ohm 1%</t>
  </si>
  <si>
    <t>755-UCR03EWPFSR024</t>
  </si>
  <si>
    <t>https://www.mouser.jp/ProductDetail/ROHM-Semiconductor/UCR03EWPFSR024?qs=493kPxzlxfJVlPmrvprtdw%3D%3D</t>
  </si>
  <si>
    <t>Surge Suppressors LTC4380</t>
  </si>
  <si>
    <t>LTC4380 - Surge Protection Devices</t>
  </si>
  <si>
    <t>584-LTC4380IMS-1#PBF</t>
  </si>
  <si>
    <t>LTC4380IMS-1#PBF</t>
  </si>
  <si>
    <t>https://www.mouser.jp/ProductDetail/Analog-Devices/LTC4380IMS-1PBF?qs=oahfZPh6IAKlMDOLngpXgA%3D%3D</t>
  </si>
  <si>
    <t>Surge Suppressors LTC4361</t>
  </si>
  <si>
    <t>LTC4361 - Surge Protection Devices</t>
  </si>
  <si>
    <t>584-C4361CTS8-1TMPF</t>
  </si>
  <si>
    <t>https://www.mouser.jp/ProductDetail/Analog-Devices/LTC4361CTS8-1TRMPBF?qs=hVkxg5c3xu%252BEByIi1%2FUu3w%3D%3D</t>
  </si>
  <si>
    <t>14 Pin conector</t>
  </si>
  <si>
    <t>Headers &amp; Wire Housings High-Reliability Tiger Eye Terminal Strips, .050 Pitch, Temp range -55 to +125</t>
  </si>
  <si>
    <t>200-TFM10702LDDS</t>
  </si>
  <si>
    <t>TFM-107-02-L-D-DS</t>
  </si>
  <si>
    <t>https://www.mouser.jp/ProductDetail/Samtec/TFM-107-02-L-D-DS?qs=PB6%2FjmICvI1IZhMdb7bxyw%3D%3D</t>
  </si>
  <si>
    <t>MOSFETs</t>
  </si>
  <si>
    <t>Vgs - Gate-Source Voltage: - 20 V, + 20 V, temp range -55 to 150</t>
  </si>
  <si>
    <t>https://www.mouser.jp/ProductDetail/Toshiba/SSM6K514NULF?qs=yfGysFjEcj13lHFOvblArQ%3D%3D</t>
  </si>
  <si>
    <t>Pre-Biased 100mA 50V BRT NPN, Peak DC Collector Current 100 mA</t>
  </si>
  <si>
    <t>https://www.mouser.jp/ProductDetail/onsemi/DTC144EET1G?qs=2OtswVQKCOGzUGumeHaiRw%3D%3D</t>
  </si>
  <si>
    <t>He gas leak detector with sniffer-15 days rental</t>
  </si>
  <si>
    <t>min detectable leak rate: &lt;5E-13 Pa.m^3/s</t>
  </si>
  <si>
    <t>HELIOT901W1J1A</t>
  </si>
  <si>
    <t>He gas bottle adapter</t>
  </si>
  <si>
    <t>W21-14(L) female X R1/4</t>
  </si>
  <si>
    <t>small solar cells</t>
  </si>
  <si>
    <t>BCR RESISTOR 4.7K</t>
  </si>
  <si>
    <t>RES SMD 4.7K OHM 0.1% 1/10W 0603</t>
  </si>
  <si>
    <t xml:space="preserve">	
YAGEO</t>
  </si>
  <si>
    <t>RT0603BRE074K7L</t>
  </si>
  <si>
    <t xml:space="preserve">	
RT0603BRE074K7L</t>
  </si>
  <si>
    <t>https://www.digikey.jp/ja/products/detail/yageo/RT0603BRE074K7L/1073072</t>
  </si>
  <si>
    <t>BCR CAPACITOR 7500 pF</t>
  </si>
  <si>
    <t>CAP CER 7500PF 25V C0G/NP0 0603</t>
  </si>
  <si>
    <t>399-9980-1-ND</t>
  </si>
  <si>
    <t xml:space="preserve">	
C0603C752J3GAC7867</t>
  </si>
  <si>
    <t>https://www.digikey.jp/ja/products/detail/kemet/C0603C752J3GAC7867/3737143</t>
  </si>
  <si>
    <t>COMPONENTS CONTAINER BOX</t>
  </si>
  <si>
    <t>SCREW CONTAINER BOX</t>
  </si>
  <si>
    <t>DUOFIRE</t>
  </si>
  <si>
    <t>https://www.amazon.co.jp/dp/B07HHRDTJZ/ref=sspa_dk_detail_2?pd_rd_i=B07HHRDTJZ&amp;pd_rd_w=wYSla&amp;content-id=amzn1.sym.a710bf95-cf8c-4200-b800-fda98510a454&amp;pf_rd_p=a710bf95-cf8c-4200-b800-fda98510a454&amp;pf_rd_r=YZ5S7NHPGF0C1KEHMVS8&amp;pd_rd_wg=5CUFQ&amp;pd_rd_r=e2fd687a-1ab9-4358-8004-635c49a501a3&amp;s=home&amp;sp_csd=d2lkZ2V0TmFtZT1zcF9kZXRhaWxfdGhlbWF0aWM&amp;spLa=ZW5jcnlwdGVkUXVhbGlmaWVyPUFRRUQ4NkgwRVVDRlAmZW5jcnlwdGVkSWQ9QTA3ODA4NDAzTE45S005VkJJU0xVJmVuY3J5cHRlZEFkSWQ9QTNKRjhWWTZERUJXVkgmd2lkZ2V0TmFtZT1zcF9kZXRhaWxfdGhlbWF0aWMmYWN0aW9uPWNsaWNrUmVkaXJlY3QmZG9Ob3RMb2dDbGljaz10cnVl&amp;th=1</t>
  </si>
  <si>
    <t>COMPPONENTS CONTAINER BOX</t>
  </si>
  <si>
    <t>不動技研(Fudogiken)</t>
  </si>
  <si>
    <t>https://www.amazon.co.jp/-/en/Petit-Noi-F-2232-Handle-Clear/dp/B004UEJAX0/ref=d_pd_sbs_sccl_4_1/357-6788231-1176924?pd_rd_w=xgSmO&amp;content-id=amzn1.sym.ca864c39-ce73-4598-86c6-eb8514722510&amp;pf_rd_p=ca864c39-ce73-4598-86c6-eb8514722510&amp;pf_rd_r=MERSWBK28XSNX7J9323C&amp;pd_rd_wg=z4fMW&amp;pd_rd_r=2c1c18ee-2a76-46b7-a197-70f0503eaabb&amp;pd_rd_i=B004UEJAX0&amp;psc=1</t>
  </si>
  <si>
    <t>MMCX-SMA Adaptor</t>
  </si>
  <si>
    <t>Raynell</t>
  </si>
  <si>
    <t>MMCX (female) to SMA (male) Converter Adaptor, 50 ohms</t>
  </si>
  <si>
    <t>COMON(カモン)</t>
  </si>
  <si>
    <t>https://www.amazon.co.jp/-/en/Comon-Female-Converter-Adapter-MMCX-%E2%80%93-SMA/dp/B01M076KV2/ref=sr_1_2?__mk_ja_JP=%E3%82%AB%E3%82%BF%E3%82%AB%E3%83%8A&amp;crid=31UYTOWYJV6FX&amp;keywords=mmcx+%E3%83%A1%E3%82%B9+-sma+%E3%82%AA%E3%82%B9+%E5%A4%89%E6%8F%9B&amp;qid=1664936951&amp;s=electronics&amp;sprefix=mmcx+female+to+sma+male+converte%2Celectronics%2C179&amp;sr=1-2</t>
  </si>
  <si>
    <t xml:space="preserve">Raw Aluminum Plate: Length: 385 mm Width: 285mm; Thickness 6mm </t>
  </si>
  <si>
    <t>PNLNM-375-285-6</t>
  </si>
  <si>
    <t>https://jp.misumi-ec.com/vona2/detail/110300538670/?PNSearch=PNLNM-375-285-6&amp;HissuCode=PNLNM-375-285-6&amp;searchFlow=suggest2products&amp;Keyword=PNLNM-375-285-6&amp;list=SuggestPreview</t>
  </si>
  <si>
    <t>POM block: Length 200 mm; Width: 20 mm; Thickness: 20 mm</t>
  </si>
  <si>
    <t>PAA6FNN-100-20-20</t>
  </si>
  <si>
    <t>https://jp.misumi-ec.com/vona2/detail/110302696430/?PNSearch=PAA6FNN-%5B20-150%2F0.1%5D-20-20&amp;HissuCode=PAA6FNN-%5B20-150%2F0.1%5D-20-20&amp;searchFlow=suggest2products&amp;Keyword=PAA6FNN-%5B20-150%2F0.1%5D-20-20&amp;isReSearch=1&amp;list=SuggestPreview</t>
  </si>
  <si>
    <t>PCB stand</t>
  </si>
  <si>
    <t>Anti-Static PCB Tray, ESD Shelf, Anti-Static Removal, Storage Turnover Rack 265*205*95mm</t>
  </si>
  <si>
    <t xml:space="preserve">Utoolmart </t>
  </si>
  <si>
    <t>B08B63T3C4</t>
  </si>
  <si>
    <t>FM Assembly</t>
  </si>
  <si>
    <t>https://amzn.asia/d/aaG7lFu</t>
  </si>
  <si>
    <t>Kapton tape 20mm width</t>
  </si>
  <si>
    <t>カプトン粘着テープ No.650S 長さ20m 型番：650S-25-20X20</t>
  </si>
  <si>
    <t>650S-25-20X20</t>
  </si>
  <si>
    <t>https://jp.misumi-ec.com/vona2/detail/223005998536/?HissuCode=1535-50-GR&amp;list=PageDetail</t>
  </si>
  <si>
    <t>Kapton tape 10mm width</t>
  </si>
  <si>
    <t>カプトン粘着テープ No.650S 長さ20m 型番：650S-50-10X20</t>
  </si>
  <si>
    <t>650S-50-10X20</t>
  </si>
  <si>
    <t>https://jp.misumi-ec.com/vona2/detail/223004971963/?HissuCode=650S-50-10X20&amp;list=PageDetail</t>
  </si>
  <si>
    <t>建築養生用 若葉色 幅50mm長さ50m 1巻</t>
  </si>
  <si>
    <t>1535-50-GR</t>
  </si>
  <si>
    <t>https://jp.misumi-ec.com/vona2/detail/223004971963/?HissuCode=650S-25-20X20&amp;list=PageDetail</t>
  </si>
  <si>
    <t>Air duster spray</t>
  </si>
  <si>
    <t>ノンフロンエアダスター 2WAYタイプ 逆さ噴射OK!</t>
  </si>
  <si>
    <t>ナカバヤシ</t>
  </si>
  <si>
    <t>DGC-JB12</t>
  </si>
  <si>
    <t>https://www.monotaro.com/p/3353/3168/</t>
  </si>
  <si>
    <t>エポキシ系接着剤アラルダイトラピッド(急速硬化)</t>
  </si>
  <si>
    <t>https://www.monotaro.com/p/6078/9426/</t>
  </si>
  <si>
    <t>Resistor, Capacitor</t>
  </si>
  <si>
    <t>4.7uF, 12.4kOhm</t>
  </si>
  <si>
    <t>耐熱放熱用シリコン</t>
  </si>
  <si>
    <t>熱伝導率(W/mk)0.96 ,耐熱温度(℃)300</t>
  </si>
  <si>
    <t>SCH-31</t>
  </si>
  <si>
    <t>https://www.monotaro.com/g/00131992/</t>
  </si>
  <si>
    <t>銅張積層板(カット基板)</t>
  </si>
  <si>
    <t xml:space="preserve">片面	紙フェノール	200×300	</t>
  </si>
  <si>
    <t>No.18</t>
  </si>
  <si>
    <t>https://www.monotaro.com/g/00131983/?t.q=37597025</t>
  </si>
  <si>
    <t>M3 5mm</t>
  </si>
  <si>
    <t>CSH-SUS-M3-5</t>
  </si>
  <si>
    <t>https://jp.misumi-ec.com/vona2/detail/221000551286/?HissuCode=CSH-SUS-M3-5</t>
  </si>
  <si>
    <t>M2.5 極低頭　６mm</t>
  </si>
  <si>
    <t>https://jp.misumi-ec.com/vona2/detail/110302280540/?KWSearch=%e8%b6%85%e6%a5%b5%e4%bd%8e%e9%a0%ad%e5%85%ad%e8%a7%92%e7%a9%b4%e4%bb%98%e3%83%9c%e3%83%ab%e3%83%88&amp;searchFlow=results2products&amp;relatedKeyword=1&amp;list=PageSearchResult</t>
  </si>
  <si>
    <t>M3×5 spacer</t>
  </si>
  <si>
    <t>メス－オス,M3,高さ(mm)	15</t>
  </si>
  <si>
    <t>SBD-S3-15</t>
  </si>
  <si>
    <t>https://jp.misumi-ec.com/vona2/detail/110500137860/?KWSearch=%E3%82%B9%E3%83%9A%E3%83%BC%E3%82%B5%20%E5%85%AD%E8%A7%92&amp;searchFlow=results2products&amp;list=PageSearchResult</t>
  </si>
  <si>
    <t xml:space="preserve">M3×15 spacer </t>
  </si>
  <si>
    <t>メス－オス,M3,高さ(mm)	5</t>
  </si>
  <si>
    <t xml:space="preserve">	SBD-O3-5</t>
  </si>
  <si>
    <t>コネクタハウジング  KK 254</t>
  </si>
  <si>
    <t>圧着端子コンタクト メス KK 254</t>
  </si>
  <si>
    <t>メス KK 254コネクタハウジング併用(1袋100個入)</t>
  </si>
  <si>
    <t>39-00-0372</t>
  </si>
  <si>
    <t>https://www.monotaro.com/g/04244866/</t>
  </si>
  <si>
    <t>架橋ポリエチレン電線</t>
  </si>
  <si>
    <t>導体外径(Φmm)0.5×全長(m)10 許容電流(A)5,耐電圧(V/min)AC2000,定格温度(℃)90 単線</t>
  </si>
  <si>
    <t>協和ハーモネット</t>
  </si>
  <si>
    <t>KQE 0.5mm 10m BK</t>
  </si>
  <si>
    <t>https://www.monotaro.com/p/0523/3418/</t>
  </si>
  <si>
    <t>角材：1.0mm×0.5mm×55mm 変態点60℃以上</t>
  </si>
  <si>
    <t>ポリイミドテープ</t>
  </si>
  <si>
    <t>幅:10mm</t>
  </si>
  <si>
    <t>https://www.monotaro.com/g/02608625/?monotaroNo=56388508</t>
  </si>
  <si>
    <t>幅:15mm</t>
  </si>
  <si>
    <t>Inverter</t>
  </si>
  <si>
    <t>74LVC1G14QW5-7</t>
  </si>
  <si>
    <t>Diodes</t>
  </si>
  <si>
    <t>https://www.digikey.jp/en/products/detail/diodes-incorporated/74LVC1G14QW5-7/12716552</t>
  </si>
  <si>
    <t>アンテナ基板材</t>
  </si>
  <si>
    <t>0.062inch, 18x12inch</t>
  </si>
  <si>
    <t>株式会社ニューメタルスエンドケミカルス大阪支店</t>
  </si>
  <si>
    <t>RT5880</t>
  </si>
  <si>
    <t>OPERA, COM</t>
  </si>
  <si>
    <t>Copper plate</t>
  </si>
  <si>
    <t>Polimey</t>
  </si>
  <si>
    <t>Thickness 1.5mm Width 200mm Length 365mm HC1526</t>
  </si>
  <si>
    <t>HC1526</t>
  </si>
  <si>
    <t>https://www.monotaro.com/p/8626/3485/?t.q=fr4%8A%EE%94%C2%8C%FA%82%B3</t>
  </si>
  <si>
    <t>M3-5 Screw</t>
  </si>
  <si>
    <t xml:space="preserve">M3 Low head Screw length 5mm </t>
  </si>
  <si>
    <t>https://jp.misumi-ec.com/vona2/detail/110300244510/?HissuCode=CBSST3-5&amp;PNSearch=CBSST3-5&amp;KWSearch=CBSST3-5&amp;searchFlow=results2products&amp;list=PageSearchResult</t>
  </si>
  <si>
    <t xml:space="preserve">M3 Ultra Low head Screw length 5mm </t>
  </si>
  <si>
    <t>CBSSTR3-5</t>
  </si>
  <si>
    <t>CBSSTR3-3</t>
  </si>
  <si>
    <t>https://jp.misumi-ec.com/vona2/detail/110302280540/?rid=c14_keywsrchview_5_110302280540&amp;list=HistoryViewedProducts</t>
  </si>
  <si>
    <t>M3-10Screw</t>
  </si>
  <si>
    <t xml:space="preserve">M3 Ultra Low head Screw length 10mm </t>
  </si>
  <si>
    <t>CBSSTR3-10</t>
  </si>
  <si>
    <t>PEEK Screw</t>
  </si>
  <si>
    <t>OPERA FM, Signal board, Computer board</t>
  </si>
  <si>
    <t>OPERA FM</t>
  </si>
  <si>
    <t>4port RF splitter/combiner</t>
  </si>
  <si>
    <t>500MHz - 6000MHz 0.6dB loss 0.15dB and 2deg unbalance</t>
  </si>
  <si>
    <t>Minicircuit</t>
  </si>
  <si>
    <t>Minicircuit Yokohama</t>
  </si>
  <si>
    <t>ZN4PD1-63LW-S+</t>
  </si>
  <si>
    <t>SMA-P x 5</t>
  </si>
  <si>
    <t>https://www.minicircuits.com/pdfs/ZN4PD1-63LW-S+.pdf</t>
  </si>
  <si>
    <t>見積もり済み</t>
  </si>
  <si>
    <t>DCDC TPS82130SILR</t>
  </si>
  <si>
    <t>運営費（(JSSにあとで変更）</t>
  </si>
  <si>
    <t>DC DC CONVERTER 0.9-5V</t>
  </si>
  <si>
    <t>original</t>
  </si>
  <si>
    <t>JAK electronic</t>
  </si>
  <si>
    <t>815-703-TPS82130SILR</t>
  </si>
  <si>
    <t>TPS82130SILR</t>
  </si>
  <si>
    <t xml:space="preserve">
8-SMD Module</t>
  </si>
  <si>
    <t>https://www.jakelectronics.com/productdetail/texasinstruments-tps82130silr-3701987</t>
  </si>
  <si>
    <t>Stickers</t>
  </si>
  <si>
    <t>ETO</t>
  </si>
  <si>
    <t>A6シート15点(PETシール、片面マットPP貼、つや無)</t>
  </si>
  <si>
    <t>graphic</t>
  </si>
  <si>
    <t>A6シートにシール15点までの価格表 - ネット印刷は【印刷通販＠グラフィック】 (graphic.jp)</t>
  </si>
  <si>
    <t>Chip one stop</t>
  </si>
  <si>
    <t>https://www.chip1stop.com/product/detail?partId=MCHP-0065596</t>
  </si>
  <si>
    <t>2.275GHz 給電同軸ケーブル</t>
  </si>
  <si>
    <t>200mm+(0deg,90deg,180deg,270deg) RG-316 位相誤差±1度</t>
  </si>
  <si>
    <t>日本エレパーツ</t>
  </si>
  <si>
    <t xml:space="preserve">JST 基板接続用ピンヘッダ 5極 2.5mm </t>
  </si>
  <si>
    <t>JST 基板接続用ピンヘッダ 5極 2.5mm 1列 S5B-EH (LF) (SN)</t>
  </si>
  <si>
    <t>515-1333</t>
  </si>
  <si>
    <t>S5B-EH (LF) (SN)</t>
  </si>
  <si>
    <t xml:space="preserve">	2.5mm ピッチ</t>
  </si>
  <si>
    <t>https://jp.rs-online.com/web/p/pcb-headers/5151333</t>
  </si>
  <si>
    <t xml:space="preserve">JST コネクタハウジング 5極 </t>
  </si>
  <si>
    <t>JST コネクタハウジング 5極 ピッチ：2.5mm 1列 EHR-5</t>
  </si>
  <si>
    <t xml:space="preserve">
311-6237</t>
  </si>
  <si>
    <t>EHR-5</t>
  </si>
  <si>
    <t>JST コネクタハウジング 5極 ピッチ：2.5mm 1列 EHR-5 | RS (rs-online.com)</t>
  </si>
  <si>
    <t>0Ω抵抗</t>
  </si>
  <si>
    <t>KOA SMDレジスタ, 0Ω, 0603 (1608M) RK73Z1JTTD</t>
  </si>
  <si>
    <t>631-5667</t>
  </si>
  <si>
    <t xml:space="preserve">
RK73Z1JTTD</t>
  </si>
  <si>
    <t>https://jp.rs-online.com/web/p/surface-mount-resistors/6315667</t>
  </si>
  <si>
    <t>JST 基板接続用ピンヘッダ 6極 2.5mm</t>
  </si>
  <si>
    <t>JST 基板接続用ピンヘッダ 6極 2.5mm 1列 S6B-EH (LF) (SN)</t>
  </si>
  <si>
    <t>515-1349</t>
  </si>
  <si>
    <t>S6B-EH (LF) (SN)</t>
  </si>
  <si>
    <t>https://jp.rs-online.com/web/p/pcb-headers/5151349</t>
  </si>
  <si>
    <t xml:space="preserve">JST コネクタハウジング 6極 </t>
  </si>
  <si>
    <t>JST コネクタハウジング 6極 ピッチ：2.5mm 1列 EHR-6</t>
  </si>
  <si>
    <t xml:space="preserve">
311-6243</t>
  </si>
  <si>
    <t>EHR-6</t>
  </si>
  <si>
    <t>https://jp.rs-online.com/web/p/wire-housings-plugs/3116243</t>
  </si>
  <si>
    <t>ヒロセ電機 ピンヘッダ 50極 2.0mm 2列</t>
  </si>
  <si>
    <t>ヒロセ電機 ピンヘッダ 50極 2.0mm 2列 A3B-50PA-2DS(51)</t>
  </si>
  <si>
    <t>A3B-50PA-2DS(51)</t>
  </si>
  <si>
    <t>2.0mmピッチ</t>
  </si>
  <si>
    <t>https://jp.rs-online.com/web/p/pcb-headers/1721806</t>
  </si>
  <si>
    <t>ハーネス</t>
  </si>
  <si>
    <t>30AWG</t>
  </si>
  <si>
    <t xml:space="preserve">
209-4798</t>
  </si>
  <si>
    <t>https://jp.rs-online.com/web/p/hook-up-wire/2094798</t>
  </si>
  <si>
    <t>圧着端子</t>
  </si>
  <si>
    <t>752-1721</t>
  </si>
  <si>
    <t xml:space="preserve">
MINI SSHL-002T-P0.2</t>
  </si>
  <si>
    <t>GH</t>
  </si>
  <si>
    <t>https://jp.rs-online.com/web/p/crimp-contacts/7521721</t>
  </si>
  <si>
    <t>コネクタハウジング</t>
  </si>
  <si>
    <t>GH, 1.25mm, 4POS</t>
  </si>
  <si>
    <t xml:space="preserve">
752-1731</t>
  </si>
  <si>
    <t xml:space="preserve">
GHR-04V-S</t>
  </si>
  <si>
    <t>https://jp.rs-online.com/web/p/wire-housings-plugs/7521731</t>
  </si>
  <si>
    <t>コネクタピンヘッダ</t>
  </si>
  <si>
    <t>752-1769</t>
  </si>
  <si>
    <t>BM04B-GHS-TBT(LF)(SN)</t>
  </si>
  <si>
    <t>https://jp.rs-online.com/web/p/pcb-headers/7521769</t>
  </si>
  <si>
    <t>50ohm, 0-18GHz</t>
  </si>
  <si>
    <t>878-2404</t>
  </si>
  <si>
    <t>https://jp.rs-online.com/web/p/coaxial-connectors/8782404</t>
  </si>
  <si>
    <t>Digital Bus Switch</t>
  </si>
  <si>
    <t>Digital Bus Switch ICs Lo-Vltg Hi-Bandwidth Bus Switch</t>
  </si>
  <si>
    <t>https://www.mouser.jp/ProductDetail/Texas-Instruments/SN74CB3Q3305PWR?qs=mE33ZKBHyE4JAI6%2FIcDDzg%3D%3D</t>
  </si>
  <si>
    <t>https://www.mouser.jp/ProductDetail/Texas-Instruments/SN74LVC2G34DBVR?qs=sGAEpiMZZMutXGli8Ay4kBe1JEI223fXK4J%252BQWEKq4o%3D</t>
  </si>
  <si>
    <t xml:space="preserve"> 1210 GRM 22uF Ceramic Multilayer Capacitor, 25 V dc, +125C, X7R Dielectric, +/-20% SMD</t>
  </si>
  <si>
    <t xml:space="preserve"> SVBL-3F</t>
  </si>
  <si>
    <t>1710-2400MHz, 30dB</t>
  </si>
  <si>
    <t>Mini-Ciruit</t>
  </si>
  <si>
    <t>TAMP-242GLN+</t>
  </si>
  <si>
    <t>https://www.minicircuits.com/WebStore/dashboard.html?model=TAMP-242GLN%2B</t>
  </si>
  <si>
    <t>アクリル系粘着剤</t>
  </si>
  <si>
    <t>ポリイミドテープ PIA220 スリーエム(3M) ポリイミド粘着テープ 【通販モノタロウ】 (monotaro.com)</t>
  </si>
  <si>
    <t>NチャンネルMOSFET　FDB8441</t>
  </si>
  <si>
    <t xml:space="preserve">JSS </t>
  </si>
  <si>
    <t>PowerTrench(R), TO-263-3|D2Pak|TO-263AB</t>
  </si>
  <si>
    <t>ONSEMI</t>
  </si>
  <si>
    <t>C1S541901721099</t>
  </si>
  <si>
    <t>https://www.chip1stop.com/view/searchResult/SearchResultWithClassCd?classCd=014002&amp;classLv=3&amp;keyword=fdb8441&amp;partSameFlg=false</t>
  </si>
  <si>
    <t>TO-263パッケージ３ピン変換基板(5枚入り)</t>
  </si>
  <si>
    <t>TO-263→TO-220　変換基板　寸法21.0mm×12.5mm</t>
  </si>
  <si>
    <t>AE-TO263-SIP-A</t>
  </si>
  <si>
    <t>P-09994</t>
  </si>
  <si>
    <t>https://akizukidenshi.com/catalog/g/gP-09994/</t>
  </si>
  <si>
    <t>BIRDS・鳳龍地上局　修繕工事</t>
  </si>
  <si>
    <t>ブームねじれ解消（BIRDS/鳳龍）　仰角の滑り解消（BIRDS局のみ）</t>
  </si>
  <si>
    <t>KITSUNE,BIRDS,HSKSAT</t>
  </si>
  <si>
    <t>Raspberry Pi CM4 Lite 2GB</t>
  </si>
  <si>
    <t>Raspberry Pi Compte Module 4 Lite 2GB, with Wifi</t>
  </si>
  <si>
    <t>1005002583444714</t>
  </si>
  <si>
    <t>CM4102000</t>
  </si>
  <si>
    <t>8F Staff Room</t>
  </si>
  <si>
    <t>https://ja.aliexpress.com/item/1005002583444714.html</t>
  </si>
  <si>
    <t>Price will likely be adjusted. Order no. 8157827847185715.</t>
  </si>
  <si>
    <t>LMT84DCKT Temperature sensor</t>
  </si>
  <si>
    <t>EM solar panels</t>
  </si>
  <si>
    <t>PSR-210153-12-Male Connecter</t>
  </si>
  <si>
    <t>Pin header (pin) PCB mounting hole diameter Φ1.02 PSR-410153-00 (H=1.5, h=2.4) 12 pin male</t>
  </si>
  <si>
    <t>PSR-410153-12</t>
  </si>
  <si>
    <t>1 bag (50 pieces)</t>
  </si>
  <si>
    <t>FSM-21045-12-Female connecter</t>
  </si>
  <si>
    <t>Pin header (socket) PCB mounting layout FSM-21045-00 (1 row), 12 pin female</t>
  </si>
  <si>
    <t>1 bag (10 pieces)</t>
  </si>
  <si>
    <t>PSR-210153-16-Male Connecter</t>
  </si>
  <si>
    <t>Pin header (pin) PCB mounting hole diameter Φ1.02 PSR-410153-00 (H=1.5, h=2.4), 16 pin male</t>
  </si>
  <si>
    <t>PSR-410153-16</t>
  </si>
  <si>
    <t>https://www.monotaro.com/p/8495/9744/</t>
  </si>
  <si>
    <t>FSM-21045-16-Female connecter</t>
  </si>
  <si>
    <t>Pin header (socket) PCB mounting layout FSM-21045-00 (1 row), 16 pin female</t>
  </si>
  <si>
    <t>FSM-21045-16</t>
  </si>
  <si>
    <t>https://www.monotaro.com/p/1131/7215/</t>
  </si>
  <si>
    <t>PSR-420153-34-Male Connecter ( 2 rows)</t>
  </si>
  <si>
    <t>Pin header (pin) PCB mounting hole diameter Φ1.02 PSR-420153-00 (H=1.5, h=2.4), 32 pin male 2 rows</t>
  </si>
  <si>
    <t>PSR-420153-17</t>
  </si>
  <si>
    <t>https://www.monotaro.com/p/1134/3072/</t>
  </si>
  <si>
    <t>FSS-42057-34-Female connecter ( 2 rows)</t>
  </si>
  <si>
    <t>Pin header (socket) PCB mounting hole diameter Φ1.02 FSS-42057-00 , 34 pin female (2 rows)</t>
  </si>
  <si>
    <t>FSS-42057-17</t>
  </si>
  <si>
    <t>https://www.monotaro.com/p/1134/8514/</t>
  </si>
  <si>
    <t>40 pin - male connecter (2 rows)</t>
  </si>
  <si>
    <t>CONN HEADER VERT 40POS 2MM, 40 pin male 2 rows</t>
  </si>
  <si>
    <t xml:space="preserve">
Sullins Connector Solutions</t>
  </si>
  <si>
    <t xml:space="preserve">
NRPN202PAEN-RC</t>
  </si>
  <si>
    <t>https://www.digikey.jp/en/products/detail/sullins-connector-solutions/NRPN202PAEN-RC/804971?s=N4IgTCBcDaIHICUAKcwAYxIIIFE4FoEBhEAXQF8g</t>
  </si>
  <si>
    <t>40-female Connecter (2 rows)</t>
  </si>
  <si>
    <t>CONN RCPT 40POS 0.079 GOLD SMD, 40 pin female  2 rows</t>
  </si>
  <si>
    <t xml:space="preserve">
3M5427-ND</t>
  </si>
  <si>
    <t xml:space="preserve">
153240-2020-RB</t>
  </si>
  <si>
    <t>S13954-01CT photodiode</t>
  </si>
  <si>
    <t xml:space="preserve"> -40 to +125 ℃, ϕ1.5 mm, 230 MHz (V R = 3V , RL =50Ω, λ=650nm, -3dB)</t>
  </si>
  <si>
    <t>https://www.hamamatsu.com/jp/ja/product/optical-sensors/photodiodes/si-photodiodes/S13954-01CT.html</t>
  </si>
  <si>
    <t>Molex 5 Pos wire housing</t>
  </si>
  <si>
    <t>Headers &amp; Wire Housings PicoClasp Hdr SMT SR RA 5CKT W/FL Au0.38</t>
  </si>
  <si>
    <t>538-203558-0507</t>
  </si>
  <si>
    <t>203558-0507</t>
  </si>
  <si>
    <t>https://mou.sr/3DrC1E2</t>
  </si>
  <si>
    <t>Molex 4 Pos wire housing</t>
  </si>
  <si>
    <t>Headers &amp; Wire Housings 1mm PicoClasp SMT SR 4CKT RA HDR GLD PLT</t>
  </si>
  <si>
    <t>https://mou.sr/3slgxSX</t>
  </si>
  <si>
    <t xml:space="preserve">Molex 5 Pos connector </t>
  </si>
  <si>
    <t>Molex Connector Housing 5 Pole Pitch: 1mm Single Row 501330-0500</t>
  </si>
  <si>
    <t>406-697</t>
  </si>
  <si>
    <t>501330-0500</t>
  </si>
  <si>
    <t>https://jp.rs-online.com/web/p/wire-housings-plugs/0406697</t>
  </si>
  <si>
    <t>Molex 4 pos connector</t>
  </si>
  <si>
    <t>Molex Connector Housing 4 Pole Pitch: 1mm Single Row 501330-0400</t>
  </si>
  <si>
    <t>406-708</t>
  </si>
  <si>
    <t>501330-0400</t>
  </si>
  <si>
    <t>https://jp.rs-online.com/web/p/wire-housings-plugs/0406708</t>
  </si>
  <si>
    <t>Molex cable with crimp terminal</t>
  </si>
  <si>
    <t>Molex Leads with Crimp Terminals Pico-Clasp Series 150mm</t>
  </si>
  <si>
    <t>126-0291</t>
  </si>
  <si>
    <t>https://jp.rs-online.com/web/p/crimped-wire/1260291</t>
  </si>
  <si>
    <t>Ribbon cable 14 ways 5m</t>
  </si>
  <si>
    <t>RS PRO ribbon cable, 14 cores</t>
  </si>
  <si>
    <t>289-9852</t>
  </si>
  <si>
    <t>https://jp.rs-online.com/web/p/ribbon-cable/2899852</t>
  </si>
  <si>
    <t>SPATIUM GS　アンテナ復旧工事</t>
  </si>
  <si>
    <t>Pro.Sis.Tel PST-61　⇒　Yaesu G-5500</t>
  </si>
  <si>
    <t>WAVE</t>
  </si>
  <si>
    <t>LEOPARD S-band patch antenna [初回]</t>
  </si>
  <si>
    <t>MEXT</t>
    <phoneticPr fontId="256"/>
  </si>
  <si>
    <t>OPERA (2092.9MHz), Telemetry downlink (2279.1MHz)</t>
  </si>
  <si>
    <t>HIM technology</t>
  </si>
  <si>
    <t>COM/OPERA</t>
  </si>
  <si>
    <t>コンデンサ,16V dc,100nF,±20%</t>
  </si>
  <si>
    <t>Panasonic ポリプロピレンフィルムコンデンサ,16V dc,100nF,±20%</t>
  </si>
  <si>
    <t xml:space="preserve">
727-0354</t>
  </si>
  <si>
    <t xml:space="preserve">
ECPU1C104MA5</t>
  </si>
  <si>
    <t>https://jp.rs-online.com/web/p/film-capacitors/7270354</t>
  </si>
  <si>
    <t>積層セラミックコンデンサ150nF 50V dc 0805</t>
  </si>
  <si>
    <t>積層セラミックコンデンサ(MLCC) 150nF 50V dc 0805</t>
  </si>
  <si>
    <t>802-9923</t>
  </si>
  <si>
    <t>C0805C154K5RACTU</t>
  </si>
  <si>
    <t>https://jp.rs-online.com/web/p/mlccs-multilayer-ceramic-capacitors/8029923</t>
  </si>
  <si>
    <t>86.6kΩ, 0805 (2012M), 0.2W</t>
  </si>
  <si>
    <t>SMDレジスタ, 86.6kΩ, 0805 (2012M), 0.2W</t>
  </si>
  <si>
    <t xml:space="preserve">
187-2725</t>
  </si>
  <si>
    <t>RQ73C2A86K6BTDF</t>
  </si>
  <si>
    <t>TE Connectivity SMDレジスタ, 86.6kΩ, 0805 (2012M), 0.2W RQ73C2A86K6BTDF | RS (rs-online.com)</t>
  </si>
  <si>
    <t>JST 圧着端子 メス EH SEH-001T-P0.6</t>
  </si>
  <si>
    <t>JST コネクタ端子 (圧着端子) メス EHシリーズ 圧着 SEH-001T-P0.6</t>
  </si>
  <si>
    <t>EH</t>
  </si>
  <si>
    <t>https://jp.rs-online.com/web/p/crimp-contacts/1235946</t>
  </si>
  <si>
    <t>ビジネスフィット傘立て　30本用</t>
  </si>
  <si>
    <t>アスクル　ビジネスフィット傘立て　30本用</t>
  </si>
  <si>
    <t>SVBL３階</t>
  </si>
  <si>
    <t>facility</t>
  </si>
  <si>
    <t>【アスクル】アスクル　ビジネスフィット傘立て　30本用通販 - 当日または翌日お届け！ASKUL（公式）</t>
  </si>
  <si>
    <t>ビジネスフィット 傘立て 15本用</t>
  </si>
  <si>
    <t>アスクル ビジネスフィット 傘立て 15本用</t>
  </si>
  <si>
    <t>S棟8階GS</t>
  </si>
  <si>
    <t>【アスクル】アスクル ビジネスフィット 傘立て 15本用通販 - 当日または翌日お届け！ASKUL（公式）</t>
  </si>
  <si>
    <t>レギュレータ</t>
  </si>
  <si>
    <t>PMIC - 電圧レギュレータ - リニア ポジティブ 固定 1 出力 200mA TSOT-23-5</t>
  </si>
  <si>
    <t>Analog Devices.Inc</t>
  </si>
  <si>
    <t>505-ADP7142WAUJZ-1.8-R7TR-ND</t>
  </si>
  <si>
    <t>ADP7142WAUJZ-1.8-R7</t>
  </si>
  <si>
    <t>ADP7142WAUJZ-1.8-R7 Analog Devices Inc. | 集積回路（IC） | DigiKey</t>
  </si>
  <si>
    <t>オぺアンプ</t>
  </si>
  <si>
    <t>表面実装, 2回路, ±2電源, 単一電源</t>
  </si>
  <si>
    <t>714-0827</t>
  </si>
  <si>
    <t xml:space="preserve">
LM358DT</t>
  </si>
  <si>
    <t>https://jp.rs-online.com/web/p/op-amps/7140827</t>
  </si>
  <si>
    <t>12 ビットD/Aコンバータ 2 14-SOIC</t>
  </si>
  <si>
    <t>MCP4922-E/SL-ND</t>
  </si>
  <si>
    <t>MCP4922-E/SL</t>
  </si>
  <si>
    <t>https://www.digikey.jp/ja/products/detail/microchip-technology/MCP4922-E-SL/716258</t>
  </si>
  <si>
    <t>PhotoMOSスイッチ</t>
  </si>
  <si>
    <t>PhotoMOSリレー</t>
  </si>
  <si>
    <t>Pnasonic</t>
  </si>
  <si>
    <t>217-2719</t>
  </si>
  <si>
    <t>AQZ204</t>
  </si>
  <si>
    <t>https://jp.rs-online.com/web/p/solid-state-relays/2172719</t>
  </si>
  <si>
    <t>１Ｗ絶縁型ＤＣＤＣコンバーター</t>
  </si>
  <si>
    <t>Minmax Technology Co.,Ltd</t>
  </si>
  <si>
    <t>M-10756</t>
  </si>
  <si>
    <t>MAPU01-033D15H</t>
  </si>
  <si>
    <t>https://akizukidenshi.com/catalog/g/gM-10756/</t>
  </si>
  <si>
    <t>ショットキーダイオード</t>
  </si>
  <si>
    <t>00mA, 45V 表面実装, 2-Pin SOD-323 ショットキーバリア</t>
  </si>
  <si>
    <t>362-503</t>
  </si>
  <si>
    <t>1SS357(F)</t>
  </si>
  <si>
    <t>SOD-323</t>
  </si>
  <si>
    <t>https://jp.rs-online.com/web/p/schottky-diodes-rectifiers/0362503</t>
  </si>
  <si>
    <t>HARWIN ピンヘッダ 36極 2.54mm 1列 M20-9993645</t>
  </si>
  <si>
    <t>547-3150</t>
  </si>
  <si>
    <t>HARWIN ピンヘッダ 36極 2.54mm 1列 M20-9993645 | RS (rs-online.com)</t>
  </si>
  <si>
    <t>ピンソケット １列 TE Connectivity ストレート 2.54mm, 20極 スルーホール</t>
  </si>
  <si>
    <t>681-1320</t>
  </si>
  <si>
    <t>1-1814655-5</t>
  </si>
  <si>
    <t>1-1814655-5 | ピンヘッダ ピンソケット １列 TE Connectivity ストレート 2.54mm, 20極 スルーホール | RS (rs-online.com)</t>
  </si>
  <si>
    <t>端子台</t>
  </si>
  <si>
    <t>PCB TerminalBlock ナイロン, スルーホール はんだ 30 → 14 AWG</t>
  </si>
  <si>
    <t>193-0586</t>
  </si>
  <si>
    <t>Phoenix Contact 基板用端子台 1729128 MKDSN 1.5/ 2-5.08, PCB Terminal Block ナイロン, スルーホール はんだ 30 → 14 AWG | RS (rs-online.com)</t>
  </si>
  <si>
    <t>高電圧抵抗器 3W 10MΩ ±1%</t>
  </si>
  <si>
    <t>日本ファインケム</t>
  </si>
  <si>
    <t>157-614</t>
  </si>
  <si>
    <t>RH3HVD10MOHMF</t>
  </si>
  <si>
    <t>日本ファインケム 高電圧抵抗器 3W 10MΩ ±1%, RH3HVD10MOHMF | RS (rs-online.com)</t>
  </si>
  <si>
    <t>薄膜 抵抗器 0.6W 10MΩ ±1%</t>
  </si>
  <si>
    <t>683-2945</t>
  </si>
  <si>
    <t>MRS25000C1005FCT00</t>
  </si>
  <si>
    <t>https://jp.rs-online.com/web/p/through-hole-resistors/6832945/?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3638332D32393435267365617263685F6B6579776F72645F6170703D36383332393435267365617263685F636F6E6669673D3126&amp;searchHistory=%7B%22enabled%22%3Atrue%7D</t>
  </si>
  <si>
    <t>表面実装、1回路、デュアル電源、精密おぺアンプ</t>
  </si>
  <si>
    <t>517-1595</t>
  </si>
  <si>
    <t>OP07CD</t>
  </si>
  <si>
    <t>Texas Instruments オペアンプ, 表面実装, 1回路, デュアル電源, OP07CD | RS (rs-online.com)</t>
  </si>
  <si>
    <t>金属皮膜 抵抗器 0.6W 1MΩ ±0.5%</t>
  </si>
  <si>
    <t>174-3028</t>
  </si>
  <si>
    <t>RSPMOA0623DAMJ1004</t>
  </si>
  <si>
    <t>RSPMOA0623DAMJ1004 | RS PRO 金属皮膜 抵抗器 0.6W 1MΩ ±0.5% | RS (rs-online.com)</t>
  </si>
  <si>
    <t>ADCS Adapter Boards BBM</t>
  </si>
  <si>
    <t>ADCS Reaction Wheel Board BBM</t>
  </si>
  <si>
    <t>ADCS Reaction Wheel Boards BBM</t>
  </si>
  <si>
    <t>ECS-250-18-33-JGN-TR</t>
  </si>
  <si>
    <t>Ecs</t>
  </si>
  <si>
    <t>https://www.digikey.jp/ja/products/detail/ecs-inc/ECS-250-18-33-JGN-TR/6821632</t>
  </si>
  <si>
    <t>Wrist band</t>
  </si>
  <si>
    <t>Minh</t>
  </si>
  <si>
    <t>Wrist strap cord</t>
  </si>
  <si>
    <t>JSPS2021 </t>
    <phoneticPr fontId="256"/>
  </si>
  <si>
    <t>https://www.digikey.jp/ja/products/detail/microchip-technology/ATMEGA32U4-AU/1914602</t>
  </si>
  <si>
    <t>LT6106IS5#TRMPBFCT-ND</t>
  </si>
  <si>
    <t>LT6106IS5#TRMPBF</t>
  </si>
  <si>
    <t>https://www.digikey.jp/en/products/detail/analog-devices-inc/LT6106IS5-TRMPBF/5965228</t>
  </si>
  <si>
    <t>DC/DC converter</t>
  </si>
  <si>
    <t>IC REG BUCK ADJ 1A SOT23-5</t>
  </si>
  <si>
    <t>LM2830XMF/NOPBCT-ND</t>
  </si>
  <si>
    <t>LM2830XMF/NOPB</t>
  </si>
  <si>
    <t>https://www.digikey.jp/en/products/detail/texas-instruments/LM2830XMF-NOPB/1206338</t>
  </si>
  <si>
    <t>MAX6373KA+T</t>
  </si>
  <si>
    <t>Supervisor Open Drain or Open Collector 1 Channel SOT-23-8</t>
  </si>
  <si>
    <t>New UHF</t>
  </si>
  <si>
    <t>https://www.digikey.jp/en/products/detail/analog-devices-inc-maxim-integrated/MAX6373KA-T/948137</t>
  </si>
  <si>
    <t>https://www.digikey.jp/en/products/detail/rohm-semiconductor/DTC144EKAT146/650533</t>
  </si>
  <si>
    <t xml:space="preserve">SMA connector </t>
  </si>
  <si>
    <t>https://www.digikey.jp/en/products/detail/linx-technologies-inc/CONSMA001-SMD-G/4496569</t>
  </si>
  <si>
    <t xml:space="preserve">Micro-USB connector </t>
  </si>
  <si>
    <t>609-4050-6-ND</t>
  </si>
  <si>
    <t>Battery Holder (Open) 18650 1 Cell PC Pin</t>
  </si>
  <si>
    <t>https://www.digikey.jp/en/products/detail/keystone-electronics/1043/2745669</t>
  </si>
  <si>
    <t>D/DC converter</t>
  </si>
  <si>
    <t>IC REG BST SEPIC ADJ 2A 8MSOP</t>
  </si>
  <si>
    <t>505-ADP1613ARMZ-R7DKR-ND</t>
  </si>
  <si>
    <t>ADP1613ARMZ-R7</t>
  </si>
  <si>
    <t>https://www.digikey.jp/en/products/detail/analog-devices-inc/ADP1613ARMZ-R7/2057793?s=N4IgTCBcDaIIIBEAKBGAbCgzHEBdAvkA</t>
  </si>
  <si>
    <t>MOSFET N-CH 20V 3A UF6</t>
  </si>
  <si>
    <t>SSM6K404TULFDKR-ND</t>
  </si>
  <si>
    <t>SSM6K404TU,LF</t>
  </si>
  <si>
    <t>https://www.digikey.jp/en/products/detail/toshiba-semiconductor-and-storage/SSM6K404TU-LF/10380006</t>
  </si>
  <si>
    <t>RFM98 433Mhz Long Range Transceiver Module</t>
  </si>
  <si>
    <t>https://www.aliexpress.com/item/32990515324.html?spm=a2g0o.store_pc_allProduct.8148356.4.47f27f88LAEfQg&amp;pdp_npi=2%40dis%21JPY%21%EF%BF%A5%20586%21%EF%BF%A5%20421%21%EF%BF%A5%20586%21%21%21%21%40210318d116672275974216948ead3f%2166910568268%21sh</t>
  </si>
  <si>
    <t>LTC3119EFE#PBF TSSOP-28 LTC3119 DC-DC</t>
  </si>
  <si>
    <t>LTC3119EFE#PBF</t>
  </si>
  <si>
    <t>LTC3119</t>
  </si>
  <si>
    <t>TSSOP-28</t>
  </si>
  <si>
    <t>https://www.aliexpress.com/item/1005002458403019.html?spm=a2g0o.cart.0.0.1f2838daYtGEdT&amp;mp=1</t>
  </si>
  <si>
    <t>Pチャンネル MOSFET　DMG1013T-7</t>
  </si>
  <si>
    <t>運営費(JSS)</t>
  </si>
  <si>
    <t>　20V 460mA 表面実装 パッケージSOT-523 (SC-89) 3 ピン</t>
  </si>
  <si>
    <t>751-4076</t>
  </si>
  <si>
    <t>DMG1013T-7</t>
  </si>
  <si>
    <t>https://jp.rs-online.com/web/p/mosfets/7514076</t>
  </si>
  <si>
    <t>Nチャンネル MOSFET　IRLML0030TRPBF</t>
  </si>
  <si>
    <t>30V 5.3A 表面実装 パッケージSOT-23 3 ピン</t>
  </si>
  <si>
    <t>725-9344</t>
  </si>
  <si>
    <t>https://jp.rs-online.com/web/p/mosfets/7259344</t>
  </si>
  <si>
    <t>MOSFET REF3012AIDBZT</t>
  </si>
  <si>
    <t>V-Ref Precision 1.25V 25mA 3-Pin SOT-23</t>
  </si>
  <si>
    <t>C1S746204876172</t>
  </si>
  <si>
    <t>REF3012AIDBZT</t>
  </si>
  <si>
    <t>https://www.chip1stop.com/view/searchResUpt/InventryInfo?unqPartId=TI01*0054002&amp;unqPartNm=REF3012AIDBZT&amp;partId=TI01-0291653&amp;keyword=REF3012AIDBZT</t>
  </si>
  <si>
    <t>TMCR_Board_Oboshi</t>
  </si>
  <si>
    <t>TMCR_Board</t>
  </si>
  <si>
    <t>Multilayer Ceramic Capacitors MLCC - SMD/SMT 50V 0.047uF X7R 0603 10%</t>
  </si>
  <si>
    <t>198-8223</t>
  </si>
  <si>
    <t>CS0603KRX7R9BB473</t>
  </si>
  <si>
    <t>SMD 0604</t>
  </si>
  <si>
    <t>LEOPARD/ADCS</t>
  </si>
  <si>
    <t>https://jp.rs-online.com/web/p/mlccs-multilayer-ceramic-capacitors/1988223</t>
  </si>
  <si>
    <t>パターン転写シート（A4</t>
  </si>
  <si>
    <t>A4, 10枚いり</t>
  </si>
  <si>
    <t>PA4-50</t>
  </si>
  <si>
    <t>PA4-51</t>
  </si>
  <si>
    <t>Solder Paste NoClean</t>
  </si>
  <si>
    <t>Solder Paste NoClean 15g T4 Sn96.5/Ag3.0/Cu0.5</t>
  </si>
  <si>
    <t>910-TS391SNL</t>
  </si>
  <si>
    <t>TS391SNL</t>
  </si>
  <si>
    <t>CURTIS Assembly/Test</t>
  </si>
  <si>
    <t>https://mou.sr/3tjMImc</t>
  </si>
  <si>
    <t>Antennas PASSIVE GNSS PATCH</t>
  </si>
  <si>
    <t>Taoglas</t>
  </si>
  <si>
    <t>https://mou.sr/3Toij0s</t>
  </si>
  <si>
    <t>Multilayer Ceramic Capacitors MLCC - SMD/SMT 50V 22pF C0G 0805 1% Flex AEC-Q200</t>
  </si>
  <si>
    <t>80-C0805X220F5GAUTO</t>
  </si>
  <si>
    <t>C0805X220F5GACAUTO</t>
  </si>
  <si>
    <t>https://mou.sr/3EjvwDu</t>
  </si>
  <si>
    <t>Multilayer Ceramic Capacitors MLCC - SMD/SMT 100K pF 500V 5% X7R 0805</t>
  </si>
  <si>
    <t>Vishay / Vitramon</t>
  </si>
  <si>
    <t>77-GA805Y104JXABT31G</t>
  </si>
  <si>
    <t>GA0805Y104JXABT31G</t>
  </si>
  <si>
    <t>https://mou.sr/3hxeysx</t>
  </si>
  <si>
    <t>Thick Film Resistors - SMD 0201 1Kohm 1% HalogenFree AEC-Q200</t>
  </si>
  <si>
    <t>667-ERJ-1GNF1001C</t>
  </si>
  <si>
    <t>ERJ-1GNF1001C</t>
  </si>
  <si>
    <t>SMD 0201</t>
  </si>
  <si>
    <t>https://mou.sr/3tj4GoQ</t>
  </si>
  <si>
    <t xml:space="preserve">
RF Terminator</t>
  </si>
  <si>
    <t>RF Terminators SMA PLUG TERMINATION TERMINATION</t>
  </si>
  <si>
    <t>538-73391-0680</t>
  </si>
  <si>
    <t>73391-0680</t>
  </si>
  <si>
    <t>https://mou.sr/3DUdBBW</t>
  </si>
  <si>
    <t>Solder wire</t>
  </si>
  <si>
    <t>Solder Solder Wire 60/40 Tin/Lead no-clean .015 100g ULTRA THIN</t>
  </si>
  <si>
    <t>910-SMD2SW015100G</t>
  </si>
  <si>
    <t>SMD2SW.015 100g</t>
  </si>
  <si>
    <t>https://mou.sr/3thYxsZ</t>
  </si>
  <si>
    <t>Solder Solder Wire 60/40 Tin/Ld N/C .02 .5lb</t>
  </si>
  <si>
    <t>910-SMD2SW.0208OZ</t>
  </si>
  <si>
    <t>SMD2SW.020 8OZ</t>
  </si>
  <si>
    <t>https://mou.sr/3toseZf</t>
  </si>
  <si>
    <t>SPATIUM GS Rotators</t>
  </si>
  <si>
    <t>RC5B-3P (AZ), ERC5A (EL)</t>
  </si>
  <si>
    <t>Create Design</t>
  </si>
  <si>
    <t>Wave</t>
  </si>
  <si>
    <t>RC5B-3P, ERCA5</t>
  </si>
  <si>
    <t>RC5B-3P, RTC5A</t>
  </si>
  <si>
    <t>http://www.cd-corp.com/ama/rtt/erc5x.pdf
http://www.cd-corp.com/ama/rtt/rc5.pdf</t>
  </si>
  <si>
    <t>BIRDS GS antenna FRP tube</t>
  </si>
  <si>
    <t>FRP: 2.0 x 60 x 0.250 inch (x 2unit), Aluminum: 1.625 x 17.750 x 10.750 inch)</t>
  </si>
  <si>
    <t>DX ENGINNERING</t>
  </si>
  <si>
    <t>MSQ-CB60</t>
  </si>
  <si>
    <t>FGCB60</t>
  </si>
  <si>
    <t>https://www.dxengineering.com/parts/msq-cb60</t>
  </si>
  <si>
    <t>LPC-50M2LG基板コネクタ</t>
  </si>
  <si>
    <t xml:space="preserve">基板用ﾗｲﾄｱﾝｸﾞﾙ･ﾃﾞｨｯﾌﾟﾀｲﾌﾟ雄ｺﾈｸﾀ </t>
  </si>
  <si>
    <t>本多通信工業</t>
  </si>
  <si>
    <t>All project</t>
  </si>
  <si>
    <t>OBC/BPB</t>
  </si>
  <si>
    <t>パワーグリッド　両面スルーホール金フラッシュ　95×72ｍｍ　ガラスコンポジット</t>
  </si>
  <si>
    <t>AE-B3 RoHS</t>
  </si>
  <si>
    <t>ＳＣ－５９変換基板（１０枚入）</t>
  </si>
  <si>
    <t>SC-59パッケージ→ラジアルリードのパッケージ</t>
  </si>
  <si>
    <t>AE-SC59-3</t>
  </si>
  <si>
    <t>P-08587</t>
  </si>
  <si>
    <t>https://akizukidenshi.com/catalog/g/gP-08587/</t>
  </si>
  <si>
    <t>基板接続用ピンヘッダ</t>
  </si>
  <si>
    <t>JST 基板接続用ピンヘッダ 2極 2.5mm 1列 S2B-EH (LF) (SN)</t>
  </si>
  <si>
    <t>https://jp.rs-online.com/web/p/pcb-headers/5151305</t>
  </si>
  <si>
    <t>M2×4 Screw</t>
  </si>
  <si>
    <t>https://jp.misumi-ec.com/vona2/detail/110302280540/?ProductCode=CBSTSR2-4</t>
  </si>
  <si>
    <t>M2×8 Screw</t>
  </si>
  <si>
    <t xml:space="preserve">
CBSTSR2-8</t>
  </si>
  <si>
    <t>https://jp.misumi-ec.com/vona2/detail/110302280540/?ProductCode=CBSTSR2-8</t>
  </si>
  <si>
    <t>M2 nat</t>
  </si>
  <si>
    <t>ナット　M２</t>
  </si>
  <si>
    <t>[CMOS] SN74LVC2G34DCKR</t>
  </si>
  <si>
    <t>SN74LVC2G34DCKR(Buffer 2-CH Non-Inverting CMOS 6-Pin SC-70 T/R)</t>
  </si>
  <si>
    <t>chio1stop</t>
  </si>
  <si>
    <t>C1S746201374044</t>
  </si>
  <si>
    <t>https://www.chip1stop.com/view/dispDetail/DispDetail?partId=TI01-0137404&amp;utm_medium=cpc&amp;utm_campaign=aggregator&amp;utm_source=octopart&amp;utm_term=TI01-0137404&amp;cid=octopart_TI01-0137404</t>
  </si>
  <si>
    <t>[CMOS] SN74CB3Q3305PWR</t>
  </si>
  <si>
    <t>[NMOS] SQ1922EEH-T1_GE3</t>
  </si>
  <si>
    <t>[フォトMOS] AQZ102</t>
  </si>
  <si>
    <t>ソリッドステートリレー 最大負荷電流:4 A 最大負荷電圧:60 V 基板実装</t>
  </si>
  <si>
    <t>https://jp.rs-online.com/web/p/solid-state-relays/6996632?cm_mmc=aff2-_-jp-_-octopart-_-Instock6996632</t>
  </si>
  <si>
    <t>SC-59/62/70 変換基板（４枚入）</t>
  </si>
  <si>
    <t>表面実装→SIP変換　SOT-23(SC‐59/SC-62/SC-70)パッケージ対応</t>
  </si>
  <si>
    <t>https://akizukidenshi.com/catalog/g/gP-07352/</t>
  </si>
  <si>
    <t>ＳＳＯＰ８ピンＳＩＰ化変換基板</t>
  </si>
  <si>
    <t>表面実装SSOP(0.65mmピッチ)8ピンICをSIP化</t>
  </si>
  <si>
    <t>AE-SSOP8-SIP8</t>
  </si>
  <si>
    <t>P-11431</t>
  </si>
  <si>
    <t>https://akizukidenshi.com/catalog/g/gP-11431/</t>
  </si>
  <si>
    <t>アンテナ用テグス</t>
  </si>
  <si>
    <t>タカミヤ</t>
  </si>
  <si>
    <t>楽天</t>
  </si>
  <si>
    <t>https://product.rakuten.co.jp/product/-/ede76d7413d161d2a43d2d610158dae0/</t>
  </si>
  <si>
    <t>TCCH-80+ RF Choke</t>
  </si>
  <si>
    <t> JICA(JP)</t>
  </si>
  <si>
    <t>¥2,450.00</t>
  </si>
  <si>
    <t>¥12,250.00</t>
  </si>
  <si>
    <t>MAR-6SM+ LNA</t>
  </si>
  <si>
    <t>SMT Low Noise Amplifier, DC-2000 MHz, 50 Ohms</t>
  </si>
  <si>
    <t>¥950.00</t>
  </si>
  <si>
    <t>¥4,750.00</t>
  </si>
  <si>
    <t>Raspberry Pi LCD</t>
  </si>
  <si>
    <t>RASPBERRY PI 7" TOUCH SCREEN LCD</t>
  </si>
  <si>
    <t>2648-8997466-ND</t>
  </si>
  <si>
    <t>¥9,317.00</t>
  </si>
  <si>
    <t>https://www.digikey.jp/ja/products/detail/raspberry-pi/8997466/6152806</t>
  </si>
  <si>
    <t>0 ohm resistor 0805</t>
  </si>
  <si>
    <t>RES SMD 0 OHM JUMPER 1/8W 0805</t>
  </si>
  <si>
    <t>P0.0ACT-ND</t>
  </si>
  <si>
    <t>ERJ-6GEY0R00V</t>
  </si>
  <si>
    <t>¥9.90</t>
  </si>
  <si>
    <t>¥99.00</t>
  </si>
  <si>
    <t>https://www.digikey.jp/ja/products/detail/panasonic-electronic-components/ERJ-6GEY0R00V/78163?s=N4IgTCBcDaIKICUBSBaAbAcTgTQAwN1wDUQBdAXyA</t>
  </si>
  <si>
    <t>10 uF capacitor 0805</t>
  </si>
  <si>
    <t>CAP CER 10UF 10V X7R 0805</t>
  </si>
  <si>
    <t>490-14381-1-ND</t>
  </si>
  <si>
    <t>GRM21BR71A106KA73K</t>
  </si>
  <si>
    <t>¥18.20</t>
  </si>
  <si>
    <t>¥182.00</t>
  </si>
  <si>
    <t>https://www.digikey.jp/ja/products/detail/murata-electronics/GRM21BR71A106KA73K/6606010?s=N4IgTCBcDaIOICUCyYCMAhBB2VBBVADAGwDSuWAzCSALoC%2BQA</t>
  </si>
  <si>
    <t>0.1 uF capacitor 0402</t>
  </si>
  <si>
    <t>CAP CER 0.1UF 25V X7R 0402</t>
  </si>
  <si>
    <t>490-GRT155R71E104KE01JCT-ND</t>
  </si>
  <si>
    <t>GRT155R71E104KE01J</t>
  </si>
  <si>
    <t>¥5.00</t>
  </si>
  <si>
    <t>¥50.00</t>
  </si>
  <si>
    <t>https://www.digikey.jp/ja/products/detail/murata-electronics/GRT155R71E104KE01J/13904849?s=N4IgTCBcDaIOICUAqBGArGhB2FBRFADACwDSuBKAUiALoC%2BQA</t>
  </si>
  <si>
    <t>1000 pF capacitor 0805</t>
  </si>
  <si>
    <t>CAP CER 1000PF 100V C0G/NP0 0805</t>
  </si>
  <si>
    <t>490-6445-1-ND</t>
  </si>
  <si>
    <t>GRM2165C2A102JA01D</t>
  </si>
  <si>
    <t>¥19.60</t>
  </si>
  <si>
    <t>¥294.00</t>
  </si>
  <si>
    <t>https://www.digikey.jp/ja/products/detail/murata-electronics/GRM2165C2A102JA01D/2544692?s=N4IgTCBcDaIOICUCyYCMA2ArAYTAQVQAYwApPQ1AERAF0BfIA</t>
  </si>
  <si>
    <t>CBL ASSY SMA PLUG-PLUG RG316 6"</t>
  </si>
  <si>
    <t>Mueller Electric Co.</t>
  </si>
  <si>
    <t>314-BU-4150029006-ND</t>
  </si>
  <si>
    <t>BU-4150029006</t>
  </si>
  <si>
    <t>¥1,672.00</t>
  </si>
  <si>
    <t>¥3,344.00</t>
  </si>
  <si>
    <t>https://www.digikey.jp/ja/products/detail/mueller-electric-co/BU-4150029006/12749817</t>
  </si>
  <si>
    <t>male to female jumper</t>
  </si>
  <si>
    <t>JUMPER WIRE M/F 5.91" 1PC</t>
  </si>
  <si>
    <t>1528-1162-ND</t>
  </si>
  <si>
    <t>¥613.00</t>
  </si>
  <si>
    <t>https://www.digikey.jp/ja/products/detail/adafruit-industries-llc/826/5353622</t>
  </si>
  <si>
    <t>6pos male pinheader</t>
  </si>
  <si>
    <t xml:space="preserve">METZ </t>
  </si>
  <si>
    <t>1849-PR20206VBNN-ND</t>
  </si>
  <si>
    <t>PR20206VBNN</t>
  </si>
  <si>
    <t>¥15.80</t>
  </si>
  <si>
    <t>¥158.00</t>
  </si>
  <si>
    <t>https://www.digikey.jp/ja/products/detail/metz-connect-usa-inc/PR20206VBNN/12342874</t>
  </si>
  <si>
    <t>M3 Low head Scew</t>
  </si>
  <si>
    <t>Untra Low head M2 Screw, M3-10</t>
  </si>
  <si>
    <t>https://jp.misumi-ec.com/vona2/detail/110302280540/?HissuCode=CBSTSR3-10&amp;PNSearch=CBSTSR3-10&amp;KWSearch=CBSTSR3-10&amp;searchFlow=results2products&amp;list=PageSearchResult</t>
  </si>
  <si>
    <t>帯材：5.3mm×0.2mm×55mm 変態点60℃以上</t>
  </si>
  <si>
    <t>玉軸受け</t>
  </si>
  <si>
    <t>スラスト玉軸受</t>
  </si>
  <si>
    <t>NMB</t>
  </si>
  <si>
    <t>DDT-830</t>
  </si>
  <si>
    <t>https://www.monotaro.com/g/00283395/?monotaroNo=36792743</t>
  </si>
  <si>
    <t>Acrylic plate 400x400x6</t>
  </si>
  <si>
    <t>Acrylic plate push plate type (ACA-400-400-6)</t>
  </si>
  <si>
    <t>ACA-400-400-6</t>
  </si>
  <si>
    <t>https://jp.misumi-ec.com/vona2/detail/110302695910/?HissuCode=ACA-400-400-6&amp;list=PageCategory</t>
  </si>
  <si>
    <t>P-MOSFET　TPC8117(TE12L,Q)</t>
  </si>
  <si>
    <t>JSS(運営費）</t>
    <rPh sb="4" eb="7">
      <t xml:space="preserve">ウンエイヒ </t>
    </rPh>
    <phoneticPr fontId="256"/>
  </si>
  <si>
    <t>Trans MOSFET P-CH 30V 18A 8-Pin SOP T/R</t>
  </si>
  <si>
    <t>C1S751200706178</t>
  </si>
  <si>
    <t>　TPC8117(TE12L,Q)</t>
  </si>
  <si>
    <t>https://www.chip1stop.com/view/dispDetail/DispDetail?partId=TOSH-0070617&amp;mpn=TPC8117%28TE12L%2CQ%29&amp;keyword=TPC8117</t>
  </si>
  <si>
    <t>分割ロングピンソケット 42P</t>
  </si>
  <si>
    <t>2.54mmピッチ　1列x42ピン</t>
  </si>
  <si>
    <t>12bit 2ch DAコンバータ MCP4922-E/P</t>
  </si>
  <si>
    <t>　Microchip/Atmel</t>
  </si>
  <si>
    <t>I-02090</t>
  </si>
  <si>
    <t>MCP4922-E/P</t>
  </si>
  <si>
    <t>14ピンDIP</t>
  </si>
  <si>
    <t>https://akizukidenshi.com/catalog/g/gI-02090/</t>
  </si>
  <si>
    <t>Beelink S Mini PC</t>
  </si>
  <si>
    <t>JICA(Almonte)</t>
    <phoneticPr fontId="256"/>
  </si>
  <si>
    <t>Beelink MINI S Mini PC, 11th Generation Processor N5095 Mini PC</t>
  </si>
  <si>
    <t>Beelink</t>
  </si>
  <si>
    <t>¥23,040.00</t>
  </si>
  <si>
    <t>https://www.amazon.co.jp/-/en/gp/product/B0B1H8JVNB/ref=ox_sc_act_title_1?smid=AOWK54OGHQG40&amp;th=1</t>
  </si>
  <si>
    <t>Resine Block- FM Assembly stand</t>
  </si>
  <si>
    <t xml:space="preserve"> Length: 150mm; Width: 25mm; thickness: 20 mm</t>
  </si>
  <si>
    <t>EPXA-150-25-20</t>
  </si>
  <si>
    <t>Structure &amp; ADCS</t>
  </si>
  <si>
    <t>https://jp.misumi-ec.com/vona2/detail/110302696610/?HissuCode=EPXA-110-25-20&amp;list=PageCategory</t>
  </si>
  <si>
    <t xml:space="preserve"> Handle- FM Assembly stand</t>
  </si>
  <si>
    <t>Steel, mounting pitch, P: 110mm</t>
  </si>
  <si>
    <t>UHFSN110</t>
  </si>
  <si>
    <t>https://jp.misumi-ec.com/vona2/detail/110302238540/#</t>
  </si>
  <si>
    <t>Scews- FM assembly stand</t>
  </si>
  <si>
    <t>M4-26, SUS screw</t>
  </si>
  <si>
    <t>SH-SCB4-25</t>
  </si>
  <si>
    <t>https://jp.misumi-ec.com/vona2/detail/110310598949/?CategorySpec=SP100255878%3a%3a20220906084836058522043%09SP100255627%3a%3a25%2c20220906084836058520771%09SP100255553%3a%3ab&amp;list=PageCategory</t>
  </si>
  <si>
    <t>FM screw container</t>
  </si>
  <si>
    <t>Modular Platic box</t>
  </si>
  <si>
    <t>Acrylic Plate 400x400x8</t>
  </si>
  <si>
    <t>Acrylic plate push plate type (ACA-400-400-8)</t>
  </si>
  <si>
    <t>ACA-400-400-8</t>
  </si>
  <si>
    <t>https://jp.misumi-ec.com/vona2/detail/110302695910/?HissuCode=ACA-400-400-8&amp;list=PageCategory</t>
  </si>
  <si>
    <t>screw set</t>
  </si>
  <si>
    <t>UM-0310-T Stainless steel 316 set pan screw (with KW)/UM-0000-T</t>
  </si>
  <si>
    <t>UM-0310-T</t>
  </si>
  <si>
    <t>https://jp.misumi-ec.com/vona2/detail/221006203220/?ProductCode=UM-0310-T</t>
  </si>
  <si>
    <t>UM-0312-T Stainless steel 316 set pan screw (with KW)/UM-0000-T</t>
  </si>
  <si>
    <t>UM-0312-T</t>
  </si>
  <si>
    <t>https://jp.misumi-ec.com/vona2/detail/221006203220/?ProductCode=UM-0312-T</t>
  </si>
  <si>
    <t>UM-0325-T Stainless steel 316 set pan screw (with KW)/UM-0000-T</t>
  </si>
  <si>
    <t>UM-0325-T</t>
  </si>
  <si>
    <t>https://jp.misumi-ec.com/vona2/detail/221006203220/?ProductCode=UM-0325-T</t>
  </si>
  <si>
    <t>Nylon round washer</t>
  </si>
  <si>
    <t>WS-PA-M3 Nylon round washer</t>
  </si>
  <si>
    <t>WS-PA-M3</t>
  </si>
  <si>
    <t>https://jp.misumi-ec.com/vona2/detail/221000551725/?ProductCode=WS-PA-M3</t>
  </si>
  <si>
    <t>SKNTR3 Nut -single item</t>
  </si>
  <si>
    <t>https://jp.misumi-ec.com/vona2/detail/110300250540/?ProductCode=SKNTR3</t>
  </si>
  <si>
    <t>SKNTR8 Nut -single item-</t>
  </si>
  <si>
    <t>SKNTR8</t>
  </si>
  <si>
    <t>https://jp.misumi-ec.com/vona2/detail/110300250540/?ProductCode=SKNTR8</t>
  </si>
  <si>
    <t>WS-PA-M8 Nylon round washer</t>
  </si>
  <si>
    <t>WS-PA-M8</t>
  </si>
  <si>
    <t>https://jp.misumi-ec.com/vona2/detail/221000551725/?ProductCode=WS-PA-M8</t>
  </si>
  <si>
    <t>Sheet Metal Mounting Plate/Bracket</t>
  </si>
  <si>
    <t>JSDAS-AM-A50-B15-T2-L30-N8 Sheet Metal Mounting Plate/Bracket</t>
  </si>
  <si>
    <t>JSDAS-AM-A50-B15-T2-L30-N8</t>
  </si>
  <si>
    <t>https://jp.misumi-ec.com/vona2/detail/110302699660/?ProductCode=JSDAS-AM-A50-B15-T2-L30-N8</t>
  </si>
  <si>
    <t>Hex Bolt Stainless Steel</t>
  </si>
  <si>
    <t>HXN-SUS-M8-150 Hex Bolt Stainless Steel No Surface Treatment Full Thread</t>
  </si>
  <si>
    <t>HXN-SUS-M8-150</t>
  </si>
  <si>
    <t>https://jp.misumi-ec.com/vona2/detail/221000550533/?ProductCode=HXN-SUS-M8-150</t>
  </si>
  <si>
    <t>HXN-SUS-M8-250 Hex Bolt Stainless Steel No Surface Treatment Full Thread</t>
  </si>
  <si>
    <t>HXN-SUS-M8-250</t>
  </si>
  <si>
    <t>https://jp.misumi-ec.com/vona2/detail/221000550533/?ProductCode=HXN-SUS-M8-250</t>
  </si>
  <si>
    <t>Brass free plate</t>
  </si>
  <si>
    <t>C3713P-4F-BXA-NNL-76-40-5 Brass free-cutting brass free plate</t>
  </si>
  <si>
    <t>C3713P-4F-BXA-NNL-76-40-5</t>
  </si>
  <si>
    <t>https://jp.misumi-ec.com/vona2/detail/110310112049/?ProductCode=C3713P-4F-BXA-NNL-76-40-5</t>
  </si>
  <si>
    <t>C3713P-4F-BXA-NNL-76-40-10 Brass free-cutting brass free plate</t>
  </si>
  <si>
    <t>C3713P-4F-BXA-NNL-76-40-10</t>
  </si>
  <si>
    <t>https://jp.misumi-ec.com/vona2/detail/110310112049/?ProductCode=C3713P-4F-BXA-NNL-76-40-10</t>
  </si>
  <si>
    <t>水晶振動子, 50MHz</t>
  </si>
  <si>
    <t>運営費(JSS)</t>
    <phoneticPr fontId="256"/>
  </si>
  <si>
    <t>水晶振動子, 50MHz, 表面実装, 4-pin, SMD</t>
  </si>
  <si>
    <t xml:space="preserve">
Abracon</t>
  </si>
  <si>
    <t xml:space="preserve">
226-0757</t>
  </si>
  <si>
    <t>FO7HSCBE50.0-T2</t>
  </si>
  <si>
    <t xml:space="preserve">	4　SMD</t>
  </si>
  <si>
    <t>https://jp.rs-online.com/web/p/crystal-units/2260757</t>
  </si>
  <si>
    <t>水晶振動子, 20MHz</t>
  </si>
  <si>
    <t>水晶振動子, 20MHz, スルーホール, 2-pin, HC-49-SLF</t>
  </si>
  <si>
    <t>547-6317</t>
  </si>
  <si>
    <t xml:space="preserve">
FC4STCBMF20.0‐BAG200</t>
  </si>
  <si>
    <t xml:space="preserve">	HC-49-SLF</t>
  </si>
  <si>
    <t>https://jp.rs-online.com/web/p/crystal-units/5476317</t>
  </si>
  <si>
    <t>Stainless steel rod</t>
  </si>
  <si>
    <t>RDOS8-50 Rod (stainless steel)</t>
  </si>
  <si>
    <t>RDOS8-50</t>
  </si>
  <si>
    <t>https://jp.misumi-ec.com/vona2/detail/110300229450/?ProductCode=RDOS8-50</t>
  </si>
  <si>
    <t>Aluminum rod</t>
  </si>
  <si>
    <t>RDOA8-50 Rod (aluminum)</t>
  </si>
  <si>
    <t>RDOA8-50</t>
  </si>
  <si>
    <t>https://jp.misumi-ec.com/vona2/detail/110300229450/?ProductCode=RDOA8-50</t>
  </si>
  <si>
    <t>changing transceiver frequency for S-band EM</t>
    <phoneticPr fontId="256"/>
  </si>
  <si>
    <t>shinozaki</t>
    <phoneticPr fontId="256"/>
  </si>
  <si>
    <r>
      <t>SRX</t>
    </r>
    <r>
      <rPr>
        <sz val="10"/>
        <color theme="1"/>
        <rFont val="ＭＳ Ｐゴシック"/>
        <family val="2"/>
        <charset val="128"/>
      </rPr>
      <t>の受信周波数を2279.1</t>
    </r>
    <r>
      <rPr>
        <sz val="10"/>
        <color theme="1"/>
        <rFont val="Arial"/>
        <family val="2"/>
      </rPr>
      <t>MHz</t>
    </r>
    <r>
      <rPr>
        <sz val="10"/>
        <color theme="1"/>
        <rFont val="ＭＳ Ｐゴシック"/>
        <family val="2"/>
        <charset val="128"/>
      </rPr>
      <t>に変更、</t>
    </r>
    <r>
      <rPr>
        <sz val="10"/>
        <color theme="1"/>
        <rFont val="Arial"/>
        <family val="2"/>
      </rPr>
      <t>STX</t>
    </r>
    <r>
      <rPr>
        <sz val="10"/>
        <color theme="1"/>
        <rFont val="ＭＳ Ｐゴシック"/>
        <family val="2"/>
        <charset val="128"/>
      </rPr>
      <t>の送信周波数を2092.9</t>
    </r>
    <r>
      <rPr>
        <sz val="10"/>
        <color theme="1"/>
        <rFont val="Arial"/>
        <family val="2"/>
      </rPr>
      <t>MHz</t>
    </r>
    <r>
      <rPr>
        <sz val="10"/>
        <color theme="1"/>
        <rFont val="ＭＳ Ｐゴシック"/>
        <family val="2"/>
        <charset val="128"/>
      </rPr>
      <t>に変更</t>
    </r>
    <rPh sb="4" eb="9">
      <t>ジュシンシュウハスウ</t>
    </rPh>
    <rPh sb="20" eb="22">
      <t>ヘンコウ</t>
    </rPh>
    <rPh sb="27" eb="29">
      <t>ソウシン</t>
    </rPh>
    <rPh sb="29" eb="32">
      <t>シュウハスウ</t>
    </rPh>
    <rPh sb="43" eb="45">
      <t>ヘンコウ</t>
    </rPh>
    <phoneticPr fontId="256"/>
  </si>
  <si>
    <t>アドニクス</t>
    <phoneticPr fontId="256"/>
  </si>
  <si>
    <t>COM</t>
    <phoneticPr fontId="256"/>
  </si>
  <si>
    <t>clean Room</t>
    <phoneticPr fontId="256"/>
  </si>
  <si>
    <t>Monocrystalline solar cell 913 mW 5.53 V</t>
  </si>
  <si>
    <t xml:space="preserve">
ANYSOLAR Ltd.</t>
  </si>
  <si>
    <t>SM531K08L-ND</t>
  </si>
  <si>
    <t>SM531K08L</t>
  </si>
  <si>
    <t>Clean room ,3F SVBL</t>
  </si>
  <si>
    <t>https://www.digikey.jp/ja/products/detail/anysolar-ltd/SM531K08L/9990469?utm_adgroup=&amp;utm_source=google&amp;utm_medium=cpc&amp;utm_campaign=Dynamic%20Search_JP_RLSA_Site%20Visitor&amp;utm_term=&amp;productid=&amp;gclid=Cj0KCQiAvqGcBhCJARIsAFQ5ke6j5tKr2S1qVmD_U2wh6VEWMFO4n5YqALViV5Hw9Y6xJJpzYmp-axcaAtbBEALw_wcB</t>
  </si>
  <si>
    <t>Inner dia: 3.3 mm; Outer dia: 5.8 mm; AWG: 22-16</t>
  </si>
  <si>
    <t>冨士端子工業</t>
  </si>
  <si>
    <t>1.25-YAS3</t>
  </si>
  <si>
    <t>Pack</t>
  </si>
  <si>
    <t>https://www.monotaro.com/p/0856/5401/</t>
  </si>
  <si>
    <t>SOT363-6　DIP化基板</t>
  </si>
  <si>
    <t>SOT363-6(SC70-6)パッケージ(0.65mmピッチ)半導体対応　DIP化基板</t>
  </si>
  <si>
    <t>P-15167</t>
  </si>
  <si>
    <t>AE-SOT363-DIP6</t>
  </si>
  <si>
    <t>https://akizukidenshi.com/catalog/g/gP-15167/</t>
  </si>
  <si>
    <t>耐熱通信機器用ビニル電線2m×10色　0.65mm単芯</t>
  </si>
  <si>
    <t>仕上外径：約1.45mm　導体サイズ：直径0.65mm 単芯</t>
  </si>
  <si>
    <t>CURTIS FM GPS PCB board</t>
  </si>
  <si>
    <t>CURTIS FM GPS PCB board (10 boards, 4 with soldered components)</t>
  </si>
  <si>
    <t>ジャンパーワイヤ(オス-オス)　セット</t>
  </si>
  <si>
    <t>10cm~25cm, 各種合計60本以上</t>
  </si>
  <si>
    <t>　Cixi Wanjie Electronic Co.,Ltd</t>
  </si>
  <si>
    <t>ジャンパーワイヤ(オス-メス)　15cm(赤)</t>
  </si>
  <si>
    <t>150mmコード　10本入　赤</t>
  </si>
  <si>
    <t>Herwell Asia Limited</t>
  </si>
  <si>
    <t>C-08933</t>
  </si>
  <si>
    <t>DG01032-0024-RD-015</t>
  </si>
  <si>
    <t>https://akizukidenshi.com/catalog/g/gC-08933/</t>
  </si>
  <si>
    <t>ジャンパーワイヤ(オス-メス)　15cm(黒)</t>
  </si>
  <si>
    <t>150mmコード　10本入　黒</t>
  </si>
  <si>
    <t>C-08932</t>
  </si>
  <si>
    <t>DG01032-0024-BK-015</t>
  </si>
  <si>
    <t>https://akizukidenshi.com/catalog/g/gC-08932/</t>
  </si>
  <si>
    <t>プラスチックナット＋連結スペーサーセット</t>
  </si>
  <si>
    <t>10mmのスペーサー・ナットの8組セット(基板2枚分)</t>
  </si>
  <si>
    <t>表面実装低損失レギュレーター</t>
  </si>
  <si>
    <t>3.3V１A　ADP3338AKCZ-3.3</t>
  </si>
  <si>
    <t>Analog Devices, Inc.</t>
  </si>
  <si>
    <t>Arduino Mega Development board</t>
  </si>
  <si>
    <t> AVR Arduino Mega 2560 Rev 3</t>
  </si>
  <si>
    <t>782-A000067</t>
  </si>
  <si>
    <t>https://www.mouser.jp/ProductDetail/Arduino/A000067?qs=gMoqXxk%2F%2F5apEOlL63oO8Q%3D%3D</t>
  </si>
  <si>
    <t>ZigBee Development Kit</t>
  </si>
  <si>
    <t>802.15.4 XBee Wireless Connectivity Kit</t>
  </si>
  <si>
    <t>888-XKB2-A2T-WWC</t>
  </si>
  <si>
    <t>XKB2-A2T-WWC</t>
  </si>
  <si>
    <t>https://www.mouser.jp/ProductDetail/DIGI/XKB2-A2T-WWC?qs=%2FPVulymFwT305LTFGqDmnQ%3D%3D</t>
  </si>
  <si>
    <t>IMU sensor</t>
  </si>
  <si>
    <t> I2C BMI160 6-Axis Inertial Motion Sensor</t>
  </si>
  <si>
    <t>DF Robot</t>
  </si>
  <si>
    <t>426-SEN0250</t>
  </si>
  <si>
    <t>SEN0250</t>
  </si>
  <si>
    <t>https://www.mouser.jp/ProductDetail/DFRobot/SEN0250?qs=%252BEew9%252B0nqrAvhKp3409h6A%3D%3D</t>
  </si>
  <si>
    <t xml:space="preserve">FTDI cable </t>
  </si>
  <si>
    <t xml:space="preserve">USB Embedded Serial Conv </t>
  </si>
  <si>
    <t>895-TTL-232R-5V</t>
  </si>
  <si>
    <t>https://www.mouser.jp/ProductDetail/FTDI/TTL-232R-5V?qs=OMDV80DKjRorBEBwmlJ4Pg%3D%3D</t>
  </si>
  <si>
    <t>PIN headers</t>
  </si>
  <si>
    <t xml:space="preserve">Vertical Pin headers </t>
  </si>
  <si>
    <t>855-M20-9992046</t>
  </si>
  <si>
    <t>M20-9992046</t>
  </si>
  <si>
    <t>https://www.mouser.jp/ProductDetail/Harwin/M20-9992046?qs=%252Bk6%2F5FB6qrkVgm0dNoxueg%3D%3D</t>
  </si>
  <si>
    <t>Male to Male Jumper Cables</t>
  </si>
  <si>
    <t>Jumper Wires ZipWire Male-Male 40 Unzipp Wires x 10cm</t>
  </si>
  <si>
    <t>BusBoard Prototype Systems</t>
  </si>
  <si>
    <t>854-ZW-MM-10</t>
  </si>
  <si>
    <t>ZW-MM-10</t>
  </si>
  <si>
    <t>https://www.mouser.jp/ProductDetail/BusBoard-Prototype-Systems/ZW-MM-10?qs=I13xAFqYpRS2vPPNkDxO%2FA%3D%3D</t>
  </si>
  <si>
    <t>Male to Female Jumper Cables</t>
  </si>
  <si>
    <t>Jumper wire ZIPWIRE 10cm MALE TO FEMALE</t>
  </si>
  <si>
    <t>https://www.mouser.jp/ProductDetail/BusBoard-Prototype-Systems/ZW-MF-10?qs=kfEmHhwILN%2FEIQHUjLuVTQ%3D%3D</t>
  </si>
  <si>
    <t>Machine Vison USB Camera</t>
  </si>
  <si>
    <t xml:space="preserve"> 960P AR0130 1/3 CMOS Sensor Mini Free Driver USB Camera (4mm Manual Focus Lens)</t>
  </si>
  <si>
    <t xml:space="preserve">Amazon </t>
  </si>
  <si>
    <t>https://www.amazon.co.jp/-/en/Industrial-Machine-Vision-Camera-Brightness/dp/B017SVSYBK/ref=sr_1_23?crid=2BMX3MIXZ142U&amp;keywords=elp+%E3%82%AB%E3%83%A1%E3%83%A9+usb&amp;qid=1671168142&amp;sprefix=elp+camera+usb+%2Caps%2C201&amp;sr=8-23</t>
  </si>
  <si>
    <t>GNSS receiver LEO satellite class</t>
  </si>
  <si>
    <t>MainBUS-ADCS-GPS</t>
  </si>
  <si>
    <t>crimps</t>
  </si>
  <si>
    <t>900-5011938000CT-ND</t>
  </si>
  <si>
    <t>https://www.digikey.jp/en/products/detail/molex/5011938000/12142063?s=N4IgTCBcDaIKwAYCMSCcBmABADgXkAugL5A</t>
  </si>
  <si>
    <t>CONN HEADER SMD 7POS 1MM</t>
  </si>
  <si>
    <t>23-5013310707TR-ND</t>
  </si>
  <si>
    <t>https://www.digikey.jp/en/products/detail/molex/5013310707/1531476</t>
  </si>
  <si>
    <t>1 kOhms ±0.1% 0.1W, 1/10W Chip Resistor 0603 (1608 Metric) Automotive AEC-Q200 Thin Film</t>
  </si>
  <si>
    <t>P1.0KDBTR-ND</t>
  </si>
  <si>
    <t>ERA-3AEB102V</t>
  </si>
  <si>
    <t>https://www.digikey.jp/en/products/detail/panasonic-electronic-components/ERA-3AEB102V/1465854</t>
  </si>
  <si>
    <t>connector wire housing</t>
  </si>
  <si>
    <t>CONN RCPT HSG 7POS 1.00MM</t>
  </si>
  <si>
    <t>23-5013300700-ND</t>
  </si>
  <si>
    <t>https://www.digikey.jp/en/products/detail/molex/5013300700/1531504?s=N4IgTCBcDaIKwAYCMBmFCC0CDsCEgF0BfIA</t>
  </si>
  <si>
    <t>GNSS receiver NEO-7M</t>
  </si>
  <si>
    <t>NEO-7 RF Receiver GLONASS, GNSS, GPS 1.575GHz -161dBm</t>
  </si>
  <si>
    <t>U-BLOX</t>
  </si>
  <si>
    <t>672-NEO-7M-0CT-ND</t>
  </si>
  <si>
    <t>https://www.digikey.jp/en/products/detail/u-blox/neo-7m-0/9817995</t>
  </si>
  <si>
    <t>Bolt</t>
  </si>
  <si>
    <t xml:space="preserve">M12 55mm </t>
  </si>
  <si>
    <t>ACB12-55</t>
  </si>
  <si>
    <t>https://jp.misumi-ec.com/vona2/detail/110300240130/?CategorySpec=SP100255878%3a%3a20220906084836058512536%09SP100255627%3a%3a20220906084836058517943%09SP100255553%3a%3aa%09SP100256381%3a%3ab&amp;list=PageCategory</t>
  </si>
  <si>
    <t xml:space="preserve"> M12用　スチールワッシャー</t>
  </si>
  <si>
    <t>WSJ-STN-M12</t>
  </si>
  <si>
    <t>https://jp.misumi-ec.com/vona2/detail/221303786811/?CategorySpec=00000216944%3a%3aa%0900000217003%3a%3amig00000002465376%0900000216919%3a%3aa%0900000216961%3a%3amig00000002465441%0900000217136%3a%3ah%0900000216979%3a%3aa&amp;list=PageCategory</t>
  </si>
  <si>
    <t xml:space="preserve">Inspection, repair and  technical fee for Cryo pump </t>
  </si>
  <si>
    <t>Inspection, repair and installation by ULVAC personnel (14 hour)</t>
  </si>
  <si>
    <t>Moving expense for Cryo pump compressor</t>
  </si>
  <si>
    <t>6000 Yen/ person; 2 persons; 3 hours; round trip</t>
  </si>
  <si>
    <t>Travel expense</t>
  </si>
  <si>
    <t>80 Yen/ km; 200 km; round trip; +round trip highway cost</t>
  </si>
  <si>
    <t>He compressor</t>
  </si>
  <si>
    <t>3.3 kW; water cooled; 4.5 L/min flow rate</t>
  </si>
  <si>
    <t>C15R</t>
  </si>
  <si>
    <t>unit</t>
  </si>
  <si>
    <t>https://showcase.ulvac.co.jp/en/products/high-vacuum-pump/cryo-pump/compressor-unit/c15r.html</t>
  </si>
  <si>
    <t>He gas + consumables</t>
  </si>
  <si>
    <t>Helium gas</t>
  </si>
  <si>
    <t>Miscellaneous expenses for cryo pump purge</t>
  </si>
  <si>
    <t>電波使用料（JG6YMX ツル）</t>
    <rPh sb="0" eb="5">
      <t>デンパス</t>
    </rPh>
    <phoneticPr fontId="256"/>
  </si>
  <si>
    <t>アマチュア局　一局</t>
    <rPh sb="7" eb="9">
      <t>イッキョク</t>
    </rPh>
    <phoneticPr fontId="256"/>
  </si>
  <si>
    <t>ウエーブ発文：22071</t>
  </si>
  <si>
    <t>BIRDS-4</t>
    <phoneticPr fontId="256"/>
  </si>
  <si>
    <t>GS</t>
    <phoneticPr fontId="256"/>
  </si>
  <si>
    <t>支払い</t>
    <rPh sb="0" eb="2">
      <t>シハライ</t>
    </rPh>
    <phoneticPr fontId="256"/>
  </si>
  <si>
    <t>measuring scale</t>
  </si>
  <si>
    <t>JSS Panasonicへ変更</t>
  </si>
  <si>
    <t>gram scale 270 g/0.01g. LCD type</t>
  </si>
  <si>
    <t>Guang Ying</t>
  </si>
  <si>
    <t>LaSEINe</t>
  </si>
  <si>
    <t>Solar cell assemble/battery measuring</t>
  </si>
  <si>
    <t>https://www.amazon.co.jp/0-001g-100g-digital-precision-function-calibration/dp/B08531FXZ3/ref=rvi_sccl_4/358-7776560-1196104?pd_rd_w=6Y0P8&amp;content-id=amzn1.sym.a4dc92d7-7100-437e-b3e3-2349e8298523&amp;pf_rd_p=a4dc92d7-7100-437e-b3e3-2349e8298523&amp;pf_rd_r=SEQFYM2CE4X6CZ5X6GQC&amp;pd_rd_wg=8Rt6x&amp;pd_rd_r=23591c6a-9d9c-460a-9d06-a22835232058&amp;pd_rd_i=B08531FXZ3&amp;psc=1</t>
  </si>
  <si>
    <t>JSS</t>
    <phoneticPr fontId="256"/>
  </si>
  <si>
    <t xml:space="preserve">Electrical condutivity glue </t>
  </si>
  <si>
    <t>Fujikura</t>
  </si>
  <si>
    <t>Solar cells/EPS</t>
  </si>
  <si>
    <t>SVBL 3F/clean room</t>
  </si>
  <si>
    <t>solder absorbing</t>
  </si>
  <si>
    <t>I</t>
  </si>
  <si>
    <t>Desoldering of printed circuit board,2m width</t>
  </si>
  <si>
    <t>364-2054</t>
  </si>
  <si>
    <t>ALL</t>
  </si>
  <si>
    <t>https://www.monotaro.com/p/0875/6307/?t.q=desoldering</t>
  </si>
  <si>
    <t>電磁界シミュレーター　ライセンス</t>
    <rPh sb="0" eb="1">
      <t>デンジ</t>
    </rPh>
    <phoneticPr fontId="256"/>
  </si>
  <si>
    <t>運営費</t>
    <rPh sb="0" eb="3">
      <t xml:space="preserve">ウンエイヒ </t>
    </rPh>
    <phoneticPr fontId="256"/>
  </si>
  <si>
    <t>femtet アカデミックライセンス　1年分</t>
    <phoneticPr fontId="256"/>
  </si>
  <si>
    <t>ムラタソフトウエア</t>
    <phoneticPr fontId="256"/>
  </si>
  <si>
    <t>-</t>
    <phoneticPr fontId="256"/>
  </si>
  <si>
    <t>Research</t>
    <phoneticPr fontId="256"/>
  </si>
  <si>
    <t>Student Room</t>
    <phoneticPr fontId="256"/>
  </si>
  <si>
    <t>https://www.muratasoftware.com/purchase/charge/</t>
  </si>
  <si>
    <t>2-liquid epoxy</t>
  </si>
  <si>
    <t>Epoxy resin,32 g</t>
  </si>
  <si>
    <t>Arladite</t>
  </si>
  <si>
    <t>TB2086M</t>
  </si>
  <si>
    <t>SVBL-3F/clean room</t>
  </si>
  <si>
    <t>https://www.monotaro.com/p/3704/0595/</t>
  </si>
  <si>
    <t>PTFE</t>
  </si>
  <si>
    <t>PTEF Sheet</t>
  </si>
  <si>
    <t>https://www.monotaro.com/p/5095/8328/</t>
  </si>
  <si>
    <t>Hari and Sara</t>
  </si>
  <si>
    <t>nickel metal hydride battery, Type AA</t>
  </si>
  <si>
    <t>BIRDS X</t>
  </si>
  <si>
    <t>4 floor -student office</t>
  </si>
  <si>
    <t>Nチャンネル MOSFET200 V 5.2 A スルーホール パッケージTO-220AB 3 ピン</t>
  </si>
  <si>
    <t>Pチャンネル MOSFET55 V 19 A スルーホール パッケージTO-220AB 3 ピン</t>
  </si>
  <si>
    <t>Chipone stop</t>
  </si>
  <si>
    <t>C1S327400158248
C1S327400158248
C1S327400158248</t>
  </si>
  <si>
    <t>TO-220-3</t>
  </si>
  <si>
    <t>https://www.chip1stop.com/view/dispDetail/DispDetail?partId=IR01-0015824&amp;mpn=IRF9Z34NPBF&amp;keyword=IRF9Z34N</t>
  </si>
  <si>
    <t>直流安定化電源PSW-360L80</t>
  </si>
  <si>
    <t>ふたば</t>
    <phoneticPr fontId="256"/>
  </si>
  <si>
    <t>出力電圧30V～800V　ワイドレンジ出力スイッチング方式、定電圧(CV)動作/定電流(CC)動作、USB、LANを標準装備</t>
  </si>
  <si>
    <t>https://www.monotaro.com/p/2034/4932/?t.q=TEXIO%20PSW%20360L80</t>
  </si>
  <si>
    <t>直流安定化電源LX-2-010-3.5A</t>
  </si>
  <si>
    <t>出力電圧０～10V出力電流０～3.5A</t>
  </si>
  <si>
    <t xml:space="preserve">高砂製作所 </t>
  </si>
  <si>
    <t>AH84825</t>
  </si>
  <si>
    <t>LX-2-010-3.5A</t>
  </si>
  <si>
    <t>https://www.askul.co.jp/p/AH84825/</t>
  </si>
  <si>
    <t>EVAL-ADF7021-NDBEZ</t>
  </si>
  <si>
    <t>Marco</t>
  </si>
  <si>
    <t>- ADF7021-N トランシーバ、FSK 421MHz～440MHz 評価ボード</t>
  </si>
  <si>
    <t>505-EVAL-ADF7021-NDBEZ-ND</t>
  </si>
  <si>
    <t>EVAL-ADF7021-NDBIZ</t>
  </si>
  <si>
    <t>- ADF7021-N トランシーバ、FSK 421MHz～458MHz 評価ボード</t>
  </si>
  <si>
    <t>EVAL-ADF7021-NDBIZ-ND</t>
  </si>
  <si>
    <t>ディスプレイ</t>
    <phoneticPr fontId="256"/>
  </si>
  <si>
    <t>JSPS(2022)or運営費</t>
  </si>
  <si>
    <t>Nakayaam</t>
    <phoneticPr fontId="256"/>
  </si>
  <si>
    <t>27インチ　VESAマウント　VGA/DVI-D/HDMI入力</t>
    <rPh sb="29" eb="31">
      <t>ニュウリョク</t>
    </rPh>
    <phoneticPr fontId="256"/>
  </si>
  <si>
    <t>PHILIPS</t>
    <phoneticPr fontId="256"/>
  </si>
  <si>
    <t>アプライド</t>
    <phoneticPr fontId="256"/>
  </si>
  <si>
    <t>273V7QAB/11</t>
    <phoneticPr fontId="256"/>
  </si>
  <si>
    <t>HSKSAT</t>
    <phoneticPr fontId="256"/>
  </si>
  <si>
    <t>GS8F</t>
    <phoneticPr fontId="256"/>
  </si>
  <si>
    <t>3.5インチ　HDD</t>
    <phoneticPr fontId="256"/>
  </si>
  <si>
    <t>3.5インチ　SATAインターフェース　内蔵</t>
    <rPh sb="20" eb="22">
      <t>ナイゾウ</t>
    </rPh>
    <phoneticPr fontId="256"/>
  </si>
  <si>
    <t>Seagate</t>
    <phoneticPr fontId="256"/>
  </si>
  <si>
    <t>ST1000DM010</t>
    <phoneticPr fontId="256"/>
  </si>
  <si>
    <t>3.5インチ</t>
    <phoneticPr fontId="256"/>
  </si>
  <si>
    <t>ギャザーキャップ 白色</t>
  </si>
  <si>
    <t>ギャザーキャップ 白色 フリーサイズ 1パック(100枚)</t>
  </si>
  <si>
    <t>FM satellite work</t>
  </si>
  <si>
    <t>SBVL 3F clean room</t>
  </si>
  <si>
    <t>https://www.monotaro.com/p/0708/3781/</t>
  </si>
  <si>
    <t>標準BPB 研究基板</t>
  </si>
  <si>
    <t>標準BPB</t>
  </si>
  <si>
    <t>標準化プロジェクト</t>
  </si>
  <si>
    <t>0.6 RPM Motor</t>
  </si>
  <si>
    <t>CHANCS DC Worm Gear Motor 370WG 12V DC 0.6RPM Reverse Reducer for Automation Equipment</t>
  </si>
  <si>
    <t>CHANCS</t>
  </si>
  <si>
    <t>B074J1486P</t>
  </si>
  <si>
    <t>‎M1014643254</t>
  </si>
  <si>
    <t>¥1,390.00</t>
  </si>
  <si>
    <t>¥4,170.00</t>
  </si>
  <si>
    <t>https://www.amazon.co.jp/-/en/CHANCS-Reverse-Reducer-Automation-Equipment/dp/B074J1486P/ref=sr_1_7?crid=VY9JZSMC7VEL&amp;keywords=dc12v%2B0.6rpm%2B%E3%83%A2%E3%83%BC%E3%82%BF%E3%83%BC&amp;qid=1673440328&amp;sprefix=dc%2B12v%2B0.6rpm%2Bmoto%2Caps%2C227&amp;sr=8-7&amp;th=1</t>
  </si>
  <si>
    <t>Dual H-Bridge Motor Driver</t>
  </si>
  <si>
    <t>KKHMF L298N Dual H-Bridge DC Stepper Motor Driver Module Controller Board Compatible with Arduino</t>
  </si>
  <si>
    <t>KKHMF</t>
  </si>
  <si>
    <t>B076CLK3GQ</t>
  </si>
  <si>
    <t>‎692762692191-2</t>
  </si>
  <si>
    <t>¥999.00</t>
  </si>
  <si>
    <t>https://www.amazon.co.jp/-/en/H-Bridge-Stepper-Controller-Compatible-Arduino/dp/B076CLK3GQ</t>
  </si>
  <si>
    <t>LSM303DLHC</t>
  </si>
  <si>
    <t>Hailege LSM303DLHC GY-511 3-Axis e-Compass Accelerometer Magnetometer Module 12-Bit AD Conversion Set of 2</t>
  </si>
  <si>
    <t>Hailege</t>
  </si>
  <si>
    <t>B08QMXKVQS</t>
  </si>
  <si>
    <t>¥1,150.00</t>
  </si>
  <si>
    <t>https://www.amazon.co.jp/LSM303DLHC-Compass-Accelerometer-Magnetometer-Conversion/dp/B08QMXKVQS/ref=sr_1_1_sspa?crid=D5DTOX7PU4NI&amp;keywords=lsm303dlhc&amp;qid=1673441793&amp;sprefix=lsm303dlh%2Caps%2C279&amp;sr=8-1-spons&amp;psc=1&amp;spLa=ZW5jcnlwdGVkUXVhbGlmaWVyPUEyU0ZBNzlJSFdZQlBTJmVuY3J5cHRlZElkPUEwODU5MjgzM05HUFNSUlNJWlBBRyZlbmNyeXB0ZWRBZElkPUEzRVFMQzZJUUdXQlc5JndpZGdldE5hbWU9c3BfYXRmJmFjdGlvbj1jbGlja1JlZGlyZWN0JmRvTm90TG9nQ2xpY2s9dHJ1ZQ==</t>
  </si>
  <si>
    <t>Heavy Duty Tripod</t>
  </si>
  <si>
    <t>[Domestic regular goods] Classic Pro Classic Professional Speaker Stand SPS/Black</t>
  </si>
  <si>
    <t>CLASSIC PRO</t>
  </si>
  <si>
    <t>B01N7P6QK2</t>
  </si>
  <si>
    <t>¥4,485.00</t>
  </si>
  <si>
    <t>https://www.amazon.co.jp/-/en/Domestic-regular-Classic-Professional-Speaker/dp/B01N7P6QK2/ref=sr_1_10?crid=1MKA8WPKP8V4B&amp;keywords=%E3%82%B9%E3%83%94%E3%83%BC%E3%82%AB%E3%83%BC+%E4%B8%89%E8%84%9A&amp;qid=1673837283&amp;sprefix=speaker+tripo%2Caps%2C181&amp;sr=8-10</t>
  </si>
  <si>
    <t>DRI0002</t>
  </si>
  <si>
    <t>2A DUAL MOTOR CONTROLLER</t>
  </si>
  <si>
    <t>1738-1051-ND</t>
  </si>
  <si>
    <t>¥1,787.00</t>
  </si>
  <si>
    <t>¥3,574.00</t>
  </si>
  <si>
    <t>https://www.digikey.jp/ja/products/detail/dfrobot/DRI0002/6588473?utm_adgroup=Dev%20Boards%20and%20Kits&amp;utm_source=google&amp;utm_medium=cpc&amp;utm_campaign=Google%20Shopping_Supplier_DFRobot&amp;utm_term=&amp;productid=6588473&amp;gclid=CjwKCAiA2fmdBhBpEiwA4CcHzYvVEF9pKyLmmnZdyAPdRhAhsFxGw8om32ovCreYFot_9z1vuIRRyhoCkbAQAvD_BwE</t>
  </si>
  <si>
    <t>LSM303AGR</t>
  </si>
  <si>
    <t>STEMMA QT LSM303AGR ACC COMPASS</t>
  </si>
  <si>
    <t>1528-4413-ND</t>
  </si>
  <si>
    <t>¥1,732.00</t>
  </si>
  <si>
    <t>https://www.digikey.jp/ja/products/detail/adafruit-industries-llc/4413/10709727</t>
  </si>
  <si>
    <t>Arduino Pro Micro</t>
  </si>
  <si>
    <t>PRO MICRO ATMEGA32U4 5V/16MHZ</t>
  </si>
  <si>
    <t>1568-1060-ND</t>
  </si>
  <si>
    <t>DEV-12640</t>
  </si>
  <si>
    <t>¥2,702.00</t>
  </si>
  <si>
    <t>https://www.digikey.jp/ja/products/detail/sparkfun-electronics/DEV-12640/5140825</t>
  </si>
  <si>
    <t>Piezobuzzer</t>
  </si>
  <si>
    <t>BUZZER PIEZO 5V 13MM FLANGE</t>
  </si>
  <si>
    <t>Soberton Inc.</t>
  </si>
  <si>
    <t>433-PT-1303T-ND</t>
  </si>
  <si>
    <t>PT-1303T</t>
  </si>
  <si>
    <t>¥85.00</t>
  </si>
  <si>
    <t>¥170.00</t>
  </si>
  <si>
    <t>https://www.digikey.jp/ja/products/detail/soberton-inc/PT-1303T/16354860</t>
  </si>
  <si>
    <t>SOLDERLESS BREADBOARD FOR RASPBE</t>
  </si>
  <si>
    <t>1528-5422-ND</t>
  </si>
  <si>
    <t>¥823.00</t>
  </si>
  <si>
    <t>¥1,646.00</t>
  </si>
  <si>
    <t>https://www.digikey.jp/ja/products/detail/adafruit-industries-llc/5422/16358793</t>
  </si>
  <si>
    <t>male to male jumper</t>
  </si>
  <si>
    <t>JUMPER WIRE M TO M 6" 28AWG</t>
  </si>
  <si>
    <t>¥270.00</t>
  </si>
  <si>
    <t>https://www.digikey.jp/ja/products/detail/adafruit-industries-llc/1957/6827090</t>
  </si>
  <si>
    <t>USB to TTL Converter</t>
  </si>
  <si>
    <t>USB TO TTL CONVERTER (CP210)</t>
  </si>
  <si>
    <t>1738-1316-ND</t>
  </si>
  <si>
    <t>TEL0010</t>
  </si>
  <si>
    <t>¥679.00</t>
  </si>
  <si>
    <t>¥1,358.00</t>
  </si>
  <si>
    <t>https://www.digikey.jp/ja/products/detail/dfrobot/TEL0010/7597059</t>
  </si>
  <si>
    <t>CSHBTT-SUS-M2-4</t>
  </si>
  <si>
    <t>SVBL 3nd floor</t>
  </si>
  <si>
    <t>https://jp.misumi-ec.com/vona2/detail/221000551286/?ProductCode=CSH-SUS-M2-4</t>
  </si>
  <si>
    <t>M2-6 Screw</t>
  </si>
  <si>
    <t>https://jp.misumi-ec.com/vona2/detail/221303783852/?ProductCode=CSHBTT-SUS-M2-6</t>
  </si>
  <si>
    <t>Stainless Spacer</t>
  </si>
  <si>
    <t>M3, Stainless steel, L:5.5 mm</t>
  </si>
  <si>
    <t>HIROSUGU</t>
  </si>
  <si>
    <t>https://jp.misumi-ec.com/vona2/detail/221006204423/?ProductCode=CU-305.5PH</t>
  </si>
  <si>
    <t>ThinkPad E15 Gen 2 - ブラック</t>
  </si>
  <si>
    <t>lenovo</t>
  </si>
  <si>
    <t>20TDS19500</t>
  </si>
  <si>
    <t>409 Student room</t>
  </si>
  <si>
    <t>https://www.lenovo.com/jp/ja/p/laptops/thinkpad/thinkpad-e-series/e15-g2/20tds19500</t>
  </si>
  <si>
    <t>ユニバーサル基板 両面スルーホール金フラッシュ</t>
  </si>
  <si>
    <t>パワーグリッド　Ｂタイプ　９５×７２ｍｍ　ガラスコンポジット</t>
  </si>
  <si>
    <t>SV3階</t>
  </si>
  <si>
    <t>はんだメッキ線　０．６ｍｍ　１００ｇ</t>
  </si>
  <si>
    <t>100g巻、約40m</t>
  </si>
  <si>
    <t>理研電線株式会社</t>
  </si>
  <si>
    <t>P-13310</t>
  </si>
  <si>
    <t>https://akizukidenshi.com/catalog/g/gP-13310/</t>
  </si>
  <si>
    <t>スペーサー/ナットセット 8組</t>
  </si>
  <si>
    <t>2.54mmピッチ 1列×42ピン 金フラッシュ</t>
  </si>
  <si>
    <t>チップトランジスタ変換基板（SC-59/62/70) 4枚入</t>
  </si>
  <si>
    <t>表面実装用チップトランジスタ→SIP化　SOT-23(SC‐59/SC-62/SC-70)対応</t>
  </si>
  <si>
    <t>SOP8(1.27㎜)DIP変換基板(9枚入)</t>
  </si>
  <si>
    <t>SOP8のIC→DIP化</t>
  </si>
  <si>
    <t>P-05154</t>
  </si>
  <si>
    <t>AE-SOP8-DIP8</t>
  </si>
  <si>
    <t>https://akizukidenshi.com/catalog/g/gP-05154/</t>
  </si>
  <si>
    <t>架橋ポリエチレン電線(黒)　単芯 0.5mm 10m</t>
  </si>
  <si>
    <t>全長10m導体外径0.5mm 1本</t>
  </si>
  <si>
    <t>基板用マウントパーツ JTS-2500 3極 (50個入)</t>
  </si>
  <si>
    <t>ピッチ2.54mm 1列 3A ストレート オス 極数3 1袋(50個)</t>
  </si>
  <si>
    <t>EHコネクタ用コンタクト 圧着端子 (100個入)</t>
  </si>
  <si>
    <t>電線対基板接続用 2.5mmピッチ</t>
  </si>
  <si>
    <t>https://www.monotaro.com/g/00508258/?t.q=jst%20%E3%82%B3%E3%83%8D%E3%82%AF%E3%82%BF%20eh</t>
  </si>
  <si>
    <t>コネクタハウジング 3極 KK 254シリーズ (10個入)</t>
  </si>
  <si>
    <t>Molex コネクタハウジング メス 3極 1列 2.54mm KK 254シリーズ</t>
  </si>
  <si>
    <t>日本モレックス(molex)</t>
  </si>
  <si>
    <t>圧着端子コンタクト KK 254シリーズ(100個)</t>
  </si>
  <si>
    <t>Molex 圧着端子コンタクト メス KK 254シリーズ</t>
  </si>
  <si>
    <t>Li-ion batteries</t>
  </si>
  <si>
    <t>JSS→NRIへ変更</t>
  </si>
  <si>
    <t>Panasonic lithium-ion battery NCR18650GA 3500mAh 10A dischargeable</t>
  </si>
  <si>
    <t>antenna1st</t>
  </si>
  <si>
    <t>NCR18650GA</t>
  </si>
  <si>
    <t>https://antenna1st.com/home/product/ncr18650ga</t>
  </si>
  <si>
    <t>DuraClik電線対基板ヘッダ、1列、ライトアングル、2極、スズ(Sn)めっき、ナチュラル</t>
  </si>
  <si>
    <t>904-8165</t>
  </si>
  <si>
    <t>502352-0200</t>
  </si>
  <si>
    <t>https://jp.rs-online.com/web/p/pcb-headers/9048165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35303233353230323030267365617263685F6B6579776F72645F6170703D35303233353230323030267365617263685F636F6E6669673D3126&amp;searchHistory=%7B%22enabled%22%3Atrue%7D</t>
  </si>
  <si>
    <t>ローム 抵抗内蔵トランジスタ, NPN, 表面実装, 100 mA, DTC144EKAT146</t>
  </si>
  <si>
    <t>https://jp.rs-online.com/web/p/bipolar-transistors/2461738</t>
  </si>
  <si>
    <t>JMK105BBJ475MV-F</t>
  </si>
  <si>
    <t>4.7 µF ±20% 6.3V セラミックコンデンサ X5R 0402（1005メートル法）</t>
  </si>
  <si>
    <t>587-2787-2-ND</t>
  </si>
  <si>
    <t>https://www.digikey.jp/ja/products/detail/taiyo-yuden/JMK105BBJ475MV-F/2573874?s=N4IgTCBcDaIFIFkDSBGADAVgEJbgFgHYMEA1AWgDEQBdAXyA</t>
  </si>
  <si>
    <t>LMT84DCKT</t>
  </si>
  <si>
    <t>296-35727-2-ND</t>
  </si>
  <si>
    <t>https://www.digikey.jp/ja/products/detail/texas-instruments/LMT84DCKT/3974441?s=N4IgTCBcDaIDIFkAqAOALAEQMIGkkgF0BfIA</t>
  </si>
  <si>
    <t>Nチャンネル 20 V 3A（Ta） 500mW（Ta） 面実装 UF6</t>
  </si>
  <si>
    <t>SSM6K404TULFTR-ND</t>
  </si>
  <si>
    <t>https://www.digikey.jp/ja/products/detail/toshiba-semiconductor-and-storage/SSM6K404TU-LF/10380006?s=N4IgTCBcDaIMpwLIDYDSAWADOgKgVQBoAZAMRAF0BfIA</t>
  </si>
  <si>
    <t xml:space="preserve">	PSR-210154-12</t>
  </si>
  <si>
    <t>PSS-720453-06</t>
  </si>
  <si>
    <t>ピンヘッダー(ピン) PCB取付穴径Φ0.65 PSS-720453-00(H=4.5)</t>
  </si>
  <si>
    <t>https://www.monotaro.com/g/01213754/?t.q=PSS-720453-06</t>
  </si>
  <si>
    <t>JS-21050</t>
  </si>
  <si>
    <t>ジャンパー JS-2(2.00mm ピッチ)</t>
  </si>
  <si>
    <t>https://www.monotaro.com/g/01213932/?t.q=JS-21050</t>
  </si>
  <si>
    <t>APRS/TNC Module</t>
  </si>
  <si>
    <t>JSS→JICAへ変更</t>
  </si>
  <si>
    <t>Javier</t>
  </si>
  <si>
    <t>Tinytrack4 APRS/TNC Module</t>
  </si>
  <si>
    <t>GJM1555C1H470FB01D</t>
  </si>
  <si>
    <t>47 pF ±1% 50V Ceramic Capacitor C0G, NP0 0402 (1005 Metric)</t>
  </si>
  <si>
    <t>https://www.digikey.jp/en/products/detail/murata-electronics/GJM1555C1H470FB01D/7363120</t>
  </si>
  <si>
    <t>4.7 pF ±0.25pF 50V Ceramic Capacitor C0G, NP0 0402 (1005 Metric)</t>
  </si>
  <si>
    <t>https://www.digikey.jp/en/products/detail/murata-electronics/GJM1555C1H4R7CB01D/702293</t>
  </si>
  <si>
    <t>GJM1555C1H6R8CB01D</t>
  </si>
  <si>
    <t>6.8 pF ±0.25pF 50V Ceramic Capacitor C0G, NP0 0402 (1005 Metric)</t>
  </si>
  <si>
    <t>https://www.digikey.jp/en/products/detail/murata-electronics/GJM1555C1H6R8CB01D/702299</t>
  </si>
  <si>
    <t>GJM1555C1H2R7CB01D</t>
  </si>
  <si>
    <t>2.7 pF ±0.25pF 50V Ceramic Capacitor C0G, NP0 0402 (1005 Metric)</t>
  </si>
  <si>
    <t>https://www.digikey.jp/en/products/detail/murata-electronics/GJM1555C1H2R7CB01D/702286</t>
  </si>
  <si>
    <t>GJM1555C1H200FB01D</t>
  </si>
  <si>
    <t>20 pF ±1% 50V Ceramic Capacitor C0G, NP0 0402 (1005 Metric)</t>
  </si>
  <si>
    <t>https://www.digikey.jp/en/products/detail/murata-electronics/GJM1555C1H200FB01D/2592908</t>
  </si>
  <si>
    <t>GJM1555C1H6R2BB01D</t>
  </si>
  <si>
    <t>6.2 pF ±0.1pF 50V Ceramic Capacitor C0G, NP0 0402 (1005 Metric)</t>
  </si>
  <si>
    <t>https://www.digikey.jp/en/products/detail/murata-electronics/GJM1555C1H6R2BB01D/2593071</t>
  </si>
  <si>
    <t>GRM188R61A226ME15J</t>
  </si>
  <si>
    <t>22 µF ±20% 10V Ceramic Capacitor X5R 0603 (1608 Metric)</t>
  </si>
  <si>
    <t>https://www.digikey.jp/en/products/detail/murata-electronics/GRM188R61A226ME15J/6605932</t>
  </si>
  <si>
    <t>GRM155R61A106ME11D</t>
  </si>
  <si>
    <t>10 µF ±20% 10V Ceramic Capacitor X5R 0402 (1005 Metric)</t>
  </si>
  <si>
    <t>https://www.digikey.jp/en/products/detail/murata-electronics/GRM155R61A106ME11D/12091056</t>
  </si>
  <si>
    <t>CL32A107MPVNNNE</t>
  </si>
  <si>
    <t>100 µF ±20% 10V Ceramic Capacitor X5R 1210 (3225 Metric)</t>
  </si>
  <si>
    <t>https://www.digikey.jp/en/products/detail/samsung-electro-mechanics/CL32A107MPVNNNE/3889022</t>
  </si>
  <si>
    <t>RK73B1JTTD470J</t>
  </si>
  <si>
    <t>47 Ohms ±5% 0.125W, 1/8W Chip Resistor 0603 (1608 Metric) Automotive AEC-Q200 Thick Film</t>
  </si>
  <si>
    <t>https://www.digikey.jp/en/products/detail/koa-speer-electronics-inc/RK73B1JTTD470J/9844711?s=N4IgTCBcDaIEoGkDsBmAQgRgFIBUcBEAWJABiwAIQBdAXyA</t>
  </si>
  <si>
    <t>RC0603FR-072RL</t>
  </si>
  <si>
    <t>2 Ohms ±1% 0.1W, 1/10W Chip Resistor 0603 (1608 Metric) Moisture Resistant Thick Film</t>
  </si>
  <si>
    <t>https://www.digikey.jp/en/products/detail/yageo/RC0603FR-072RL/727008</t>
  </si>
  <si>
    <t>RC0603FR-1022KL</t>
  </si>
  <si>
    <t>22 kOhms ±1% 0.1W, 1/10W Chip Resistor 0603 (1608 Metric) Moisture Resistant Thick Film</t>
  </si>
  <si>
    <t>https://www.digikey.jp/en/products/detail/yageo/RC0603FR-1022KL/13694111</t>
  </si>
  <si>
    <t>RC0603FR-07316KL</t>
  </si>
  <si>
    <t>316 kOhms ±1% 0.1W, 1/10W Chip Resistor 0603 (1608 Metric) Moisture Resistant Thick Film</t>
  </si>
  <si>
    <t>https://www.digikey.jp/en/products/detail/yageo/RC0603FR-07316KL/727153</t>
  </si>
  <si>
    <t>Signal Amplifier RF Signal</t>
  </si>
  <si>
    <t>Gain 5-6000MHz 20dB Medium Gain Power Amplifier Ultra Wide Band Electronic Parts</t>
  </si>
  <si>
    <t>Fafeicy</t>
  </si>
  <si>
    <t>https://www.amazon.co.jp/-/en/Signal-Amplifier-5-6000MHz-Medium-Electronic/dp/B089YS2YCF/ref=sr_1_2?crid=2K6WDAKFDVSOV&amp;keywords=rf+%E5%BA%83%E5%B8%AF%E5%9F%9F%E3%82%A2%E3%83%B3%E3%83%97+6000&amp;qid=1674631675&amp;s=industrial&amp;sprefix=rf+wideband+amplifier+6000%2Cindustrial%2C302&amp;sr=1-2</t>
  </si>
  <si>
    <t>Coaxial Cable</t>
  </si>
  <si>
    <t>SMA Conversion Connector</t>
  </si>
  <si>
    <t>Kaunosta</t>
  </si>
  <si>
    <t>https://www.amazon.co.jp/-/en/Kaunosta-Conversion-Connector-Female-Machines/dp/B07MM25RTH/ref=d_pd_sbs_sccl_4_1/357-9579109-9054705?pd_rd_w=aYHlk&amp;content-id=amzn1.sym.820591ed-a555-4556-9bf6-5ebd5493c69e&amp;pf_rd_p=820591ed-a555-4556-9bf6-5ebd5493c69e&amp;pf_rd_r=5PAJZKMH20BH89GA9F6V&amp;pd_rd_wg=ShInz&amp;pd_rd_r=338c8c93-47ae-4b6c-a9b4-69c3b97a3810&amp;pd_rd_i=B07MM25RTH&amp;psc=1</t>
  </si>
  <si>
    <t>Coaxial Cable Double-Ended SMA Cable 4.0 inches (30 cm)</t>
  </si>
  <si>
    <t>Bingfu</t>
  </si>
  <si>
    <t>RG316(30)</t>
  </si>
  <si>
    <t>https://www.amazon.co.jp/-/en/BINGFU-Antenna-Connection-Coaxial-Extension/dp/B08R5KRKHP/ref=d_pd_sbs_sccl_4_5/357-9579109-9054705?pd_rd_w=aYHlk&amp;content-id=amzn1.sym.820591ed-a555-4556-9bf6-5ebd5493c69e&amp;pf_rd_p=820591ed-a555-4556-9bf6-5ebd5493c69e&amp;pf_rd_r=5PAJZKMH20BH89GA9F6V&amp;pd_rd_wg=ShInz&amp;pd_rd_r=338c8c93-47ae-4b6c-a9b4-69c3b97a3810&amp;pd_rd_i=B08R5KRKHP&amp;psc=1</t>
  </si>
  <si>
    <t>D-sub male contact pins</t>
  </si>
  <si>
    <t>24-20 AWG; crimped type; 7.5 A</t>
  </si>
  <si>
    <t>812-6220</t>
  </si>
  <si>
    <t>FK20P-08V-5783 / 1731120201</t>
  </si>
  <si>
    <t>100 per pack</t>
  </si>
  <si>
    <t>https://jp.rs-online.com/web/p/d-sub-contacts/8126220?quantity-input=120</t>
  </si>
  <si>
    <t>D-sub female contact pins</t>
  </si>
  <si>
    <t>812-6232</t>
  </si>
  <si>
    <t>FK20SL-08V-5783 / 1731120215</t>
  </si>
  <si>
    <t>https://jp.rs-online.com/web/p/d-sub-contacts/8126232</t>
  </si>
  <si>
    <t>D-sub male shell (crimp and poke)</t>
  </si>
  <si>
    <t>7.5 A; -55 to +115 deg.C; pitch: 2.84 mm</t>
  </si>
  <si>
    <t>152-FL25P7K120</t>
  </si>
  <si>
    <t>172704-0003</t>
  </si>
  <si>
    <t>https://www.mouser.jp/ProductDetail/Molex-FCT/172704-0003?qs=Fg5TsMy7H4sTqKggBqvNZw%3D%3D</t>
  </si>
  <si>
    <t>D-sub female shell (crimp and poke)</t>
  </si>
  <si>
    <t>152-FL25S7K121</t>
  </si>
  <si>
    <t>172704-0004</t>
  </si>
  <si>
    <t>https://www.mouser.jp/ProductDetail/Molex-FCT/172704-0004?qs=Fg5TsMy7H4s0%2FZlsmaXGbA%3D%3D</t>
  </si>
  <si>
    <t>D-sub contact insertion/removal tool</t>
  </si>
  <si>
    <t>Tyco Electronics</t>
  </si>
  <si>
    <t>91067-2</t>
  </si>
  <si>
    <t>https://www.monotaro.com/p/3398/2875/</t>
  </si>
  <si>
    <t>Power cable/ chord</t>
  </si>
  <si>
    <t>600 V; 3-core; 2 mmsq dia/ core; 20 m in length</t>
  </si>
  <si>
    <t>三ツ星</t>
  </si>
  <si>
    <t>https://www.monotaro.com/p/5876/7116/?t.q=%83P%81%5B%83u%83%8B</t>
  </si>
  <si>
    <t>Double power tap with external ground</t>
  </si>
  <si>
    <t>15 A, 125 V</t>
  </si>
  <si>
    <t>WN11329</t>
  </si>
  <si>
    <t>https://www.monotaro.com/p/3506/2264/</t>
  </si>
  <si>
    <t>Blank switch box</t>
  </si>
  <si>
    <t>120 mm X 70 mm; PVC material</t>
  </si>
  <si>
    <t>未来工業</t>
  </si>
  <si>
    <t>PVR-0M</t>
  </si>
  <si>
    <t>https://www.monotaro.com/p/8685/7057/</t>
  </si>
  <si>
    <t>Switch box cover plate</t>
  </si>
  <si>
    <t>120 mm X 70 mm; Al alloy</t>
  </si>
  <si>
    <t>WN7503</t>
  </si>
  <si>
    <t>https://www.monotaro.com/p/0872/9402/</t>
  </si>
  <si>
    <t>Switch box cover plate_plastic</t>
  </si>
  <si>
    <t>121 mm X 70 mm; ABS plastic</t>
  </si>
  <si>
    <t>WN6003W</t>
  </si>
  <si>
    <t>https://www.monotaro.com/p/0872/9375/</t>
  </si>
  <si>
    <t>RF Switch</t>
  </si>
  <si>
    <t>Phyu Phyu</t>
  </si>
  <si>
    <t>100MHz ~ 3 GHz, 50 Ohm, 2.5V ~ 4.8V, ~40DegC ~ 85DegC</t>
  </si>
  <si>
    <t>SKY13416-485LF</t>
  </si>
  <si>
    <t>BIRDS-X/COMM</t>
  </si>
  <si>
    <t>https://www.digikey.jp/ja/products/detail/skyworks-solutions-inc/SKY13416-485LF/5214213</t>
  </si>
  <si>
    <t>RC0603FR-07100KL</t>
  </si>
  <si>
    <t>100 kOhms ±1% 0.1W, 1/10W Chip Resistor 0603 (1608 Metric) Moisture Resistant Thick Film</t>
  </si>
  <si>
    <t>https://www.digikey.jp/en/products/detail/yageo/RC0603FR-07100KL/726889</t>
  </si>
  <si>
    <t>RC0603JR-07820KL</t>
  </si>
  <si>
    <t>820 kOhms ±5% 0.1W, 1/10W Chip Resistor 0603 (1608 Metric) Moisture Resistant Thick Film</t>
  </si>
  <si>
    <t>https://www.digikey.jp/en/products/detail/yageo/RC0603JR-07820KL/726833</t>
  </si>
  <si>
    <t>RC0603JR-07180KL</t>
  </si>
  <si>
    <t>180 kOhms ±5% 0.1W, 1/10W Chip Resistor 0603 (1608 Metric) Moisture Resistant Thick Film</t>
  </si>
  <si>
    <t>https://www.digikey.jp/en/products/detail/yageo/RC0603JR-07180KL/726723</t>
  </si>
  <si>
    <t>RC0603JR-0715KL</t>
  </si>
  <si>
    <t>15 kOhms ±5% 0.1W, 1/10W Chip Resistor 0603 (1608 Metric) Moisture Resistant Thick Film</t>
  </si>
  <si>
    <t>https://www.digikey.jp/en/products/detail/yageo/RC0603JR-0715KL/726717</t>
  </si>
  <si>
    <t>RC0603FR-1049K9L</t>
  </si>
  <si>
    <t>49.9 kOhms ±1% 0.1W, 1/10W Chip Resistor 0603 (1608 Metric) Thick Film</t>
  </si>
  <si>
    <t>https://www.digikey.jp/en/products/detail/yageo/RC0603FR-1049K9L/14008242</t>
  </si>
  <si>
    <t>RC0603FR-07332KL</t>
  </si>
  <si>
    <t>332 kOhms ±1% 0.1W, 1/10W Chip Resistor 0603 (1608 Metric) Moisture Resistant Thick Film</t>
  </si>
  <si>
    <t>https://www.digikey.jp/en/products/detail/yageo/RC0603FR-07332KL/727165</t>
  </si>
  <si>
    <t>SKY13446-374LF</t>
  </si>
  <si>
    <t>RF Switch IC WLAN SPDT 6 GHz 50Ohm 6-MLPD (1.5x1.5)</t>
  </si>
  <si>
    <t>https://www.digikey.jp/en/products/detail/skyworks-solutions-inc/SKY13446-374LF/5214218?s=N4IgTCBcDaIMoGkCaBGAzAFgwNhAXQF8g</t>
  </si>
  <si>
    <t>SI7997DP-T1-GE3</t>
  </si>
  <si>
    <t>Mosfet Array 30V 60A 46W Surface Mount PowerPAK® SO-8 Dual</t>
  </si>
  <si>
    <t>https://www.digikey.jp/en/products/detail/vishay-siliconix/SI7997DP-T1-GE3/2441756?s=N4IgTCBcDaIMoEkDsBOFSAiAFAtAFQEYcBxAUQGYQBdAXyA</t>
  </si>
  <si>
    <t>Pre-Biased Bipolar Transistor (BJT) NPN - Pre-Biased 50 V 100 mA 250 MHz 200 mW Surface Mount SMT3</t>
  </si>
  <si>
    <t>TPS61230ARNSR</t>
  </si>
  <si>
    <t>Boost Switching Regulator IC Positive Adjustable 2.5V 1 Output 6A (Switch) 7-VFQFN</t>
  </si>
  <si>
    <t>https://www.digikey.jp/en/products/detail/texas-instruments/TPS61230ARNSR/6191705?s=N4IgTCBcDaICoAUDKA2AjGAzABgIICUA5JfEAXQF8g</t>
  </si>
  <si>
    <t>LTC3536EDD#TRPBF</t>
  </si>
  <si>
    <t>Buck-Boost Switching Regulator IC Positive Adjustable 1.8V 1 Output 1A 10-WFDFN Exposed Pad</t>
  </si>
  <si>
    <t>https://www.digikey.jp/en/products/detail/analog-devices-inc/LTC3536EDD-TRPBF/2716101</t>
  </si>
  <si>
    <t>LQW18AN82NJ8ZD</t>
  </si>
  <si>
    <t>82 nH Unshielded Wirewound Inductor 550 mA 500mOhm Max 0603 (1608 Metric)</t>
  </si>
  <si>
    <t>https://www.digikey.jp/en/products/detail/murata-electronics/LQW18AN82NJ8ZD/6799172</t>
  </si>
  <si>
    <t>HL021R6BTTR</t>
  </si>
  <si>
    <t>1.6 nH Unshielded Multilayer Inductor 339 mA 137mOhm Max 0402 (1005 Metric)</t>
  </si>
  <si>
    <t>https://www.digikey.jp/en/products/detail/kyocera-avx/HL021R6BTTR/2816250</t>
  </si>
  <si>
    <t>0402HC-5N6ECTS</t>
  </si>
  <si>
    <t>5.6 nH Unshielded Drum Core, Wirewound Inductor 800 mA 51mOhm 0402 (1005 Metric)</t>
  </si>
  <si>
    <t>Delta Electronics/Components</t>
  </si>
  <si>
    <t>https://www.digikey.jp/en/products/detail/delta-electronics-components/0402HC-5N6ECTS/9763204</t>
  </si>
  <si>
    <t>LQW2BANR12J00L</t>
  </si>
  <si>
    <t>120 nH Unshielded Wirewound Inductor 970 mA 380mOhm Max 0805 (2015 Metric)</t>
  </si>
  <si>
    <t>https://www.digikey.jp/en/products/detail/murata-electronics/LQW2BANR12J00L/5027638</t>
  </si>
  <si>
    <t>CBC3225T150KR</t>
  </si>
  <si>
    <t>15 µH Unshielded Drum Core, Wirewound Inductor 850 mA 253.5mOhm Max 1210 (3225 Metric)</t>
  </si>
  <si>
    <t>https://www.digikey.jp/en/products/detail/taiyo-yuden/CBC3225T150KR/2763318</t>
  </si>
  <si>
    <t>0402HM-150EKTS</t>
  </si>
  <si>
    <t>15 nH Unshielded Drum Core, Wirewound Inductor 460 mA 160mOhm 0402 (1005 Metric)</t>
  </si>
  <si>
    <t>https://www.digikey.jp/en/products/detail/delta-electronics-components/0402HM-150EKTS/9763110</t>
  </si>
  <si>
    <t>LQW15AN18NG80D</t>
  </si>
  <si>
    <t>18 nH Unshielded Wirewound Inductor 1.05 A 130mOhm Max 0402 (1005 Metric)</t>
  </si>
  <si>
    <t>https://www.digikey.jp/en/products/detail/murata-electronics/LQW15AN18NG80D/4905893</t>
  </si>
  <si>
    <t>AMDLA3020S-1R5MT</t>
  </si>
  <si>
    <t>1.5 µH Shielded Molded Inductor 4.2 A 39mOhm Max Nonstandard</t>
  </si>
  <si>
    <t>https://www.digikey.jp/en/products/detail/abracon-llc/AMDLA3020S-1R5MT/13244875?s=N4IgTCBcDaIIIFkAiAZOBmADGTBlAtAIwBKArAgCogC6AvkA</t>
  </si>
  <si>
    <t>0402HM-120EGTS</t>
  </si>
  <si>
    <t>12 nH Unshielded Drum Core, Wirewound Inductor 500 mA 140mOhm 0402 (1005 Metric)</t>
  </si>
  <si>
    <t>https://www.digikey.jp/en/products/detail/delta-electronics-components/0402HM-120EGTS/9763099</t>
  </si>
  <si>
    <t>32 MHz ±10ppm Crystal 10pF 40 Ohms 4-SMD, No Lead</t>
  </si>
  <si>
    <t>https://www.digikey.jp/en/products/detail/ndk-america-inc/NX2520SA-32-000000MHZ/1128847?s=N4IgjCBcoExgrABiqAxlAZgQwDYGcBTAGhAHsoBtEAZhgAIBZACQC8QBdEgBwBcoQAqgDsAljwDyGBgSx4ArgCcCIAL4qSMSiAByADRjwYiAMoBBDiqA</t>
  </si>
  <si>
    <t>16 MHz ±30ppm Crystal 18pF 50 Ohms 2-SMD, No Lead</t>
  </si>
  <si>
    <t>https://www.digikey.jp/en/products/detail/txc-corporation/7A-16-000MAAJ-T/2118770?s=N4IgTCBcDaIOwEEC0BGAbAOgAw4LIIQCkkAVEAXQF8g</t>
  </si>
  <si>
    <t>IC RF TxRx Only 802.15.4 LoRa™ 137MHz ~ 525MHz 28-VQFN Exposed Pad</t>
  </si>
  <si>
    <t>https://www.digikey.jp/en/products/detail/semtech-corporation/SX1278IMLTRT/5226772?s=N4IgTCBcDaIM4A8CMYDsAOEBdAvkA</t>
  </si>
  <si>
    <t>SN74LVC2G14DBVT</t>
  </si>
  <si>
    <t>Inverter IC 2 Channel Schmitt Trigger SOT-23-6</t>
  </si>
  <si>
    <t>https://www.digikey.jp/en/products/detail/texas-instruments/SN74LVC2G14DBVT/1592274</t>
  </si>
  <si>
    <t>ADL5324ARKZ-R7</t>
  </si>
  <si>
    <t>RF Amplifier IC ISM 400MHz ~ 4GHz SOT-89-3</t>
  </si>
  <si>
    <t>https://www.digikey.jp/en/products/detail/analog-devices-inc/ADL5324ARKZ-R7/3196896?s=N4IgTCBcDaIIIBEAyBWAzGALCAugXyA</t>
  </si>
  <si>
    <t>FXMA108BQX</t>
  </si>
  <si>
    <t>Voltage Level Translator Bidirectional 1 Circuit 8 Channel 100Mbps 20-DQFN (2.5x4.5)</t>
  </si>
  <si>
    <t>https://www.digikey.jp/en/products/detail/onsemi/FXMA108BQX/2287318?s=N4IgTCBcDaIGIA0CyBBAjABgBwCECKCIAugL5A</t>
  </si>
  <si>
    <t>ATMEGA2560-16AU</t>
  </si>
  <si>
    <t>AVR AVR® ATmega Microcontroller IC 8-Bit 16MHz 256KB (128K x 16) FLASH 100-TQFP (14x14)</t>
  </si>
  <si>
    <t>https://www.digikey.jp/en/products/detail/microchip-technology/ATMEGA2560-16AU/735455</t>
  </si>
  <si>
    <t>MS210-10S</t>
  </si>
  <si>
    <t>RF Shield Shield, 1-Piece 0.472" (12.00mm) X 0.827" (21.00mm) Non-Vented Solder</t>
  </si>
  <si>
    <t>Masach Tech Ltd.</t>
  </si>
  <si>
    <t>https://www.digikey.jp/en/products/detail/masach-tech-ltd/MS210-10S/13166585</t>
  </si>
  <si>
    <t>MS130-10S</t>
  </si>
  <si>
    <t>RF Shield Shield, 1-Piece 0.512" (13.00mm) X 0.512" (13.00mm) Non-Vented Solder</t>
  </si>
  <si>
    <t xml:space="preserve">https://www.digikey.jp/en/products/detail/masach-tech-ltd/MS130-10S/13166564  </t>
  </si>
  <si>
    <t>S01-30300500</t>
  </si>
  <si>
    <t>RF Shield CAN 1.181" (30.00mm) X 1.181" (30.00mm) Non-Vented Surface Mount</t>
  </si>
  <si>
    <t xml:space="preserve">https://www.digikey.jp/en/products/detail/harwin-inc/S01-30300500/4953267  </t>
  </si>
  <si>
    <t>PSR-210153-20-Male Connector</t>
  </si>
  <si>
    <t>Pin header (pin) PCB mounting hole diameter Φ0.8 PSR-210153-00 (H=1.5), 20 pin male</t>
  </si>
  <si>
    <t>PSR-210153-20</t>
  </si>
  <si>
    <t>https://www.monotaro.com/p/5085/2707/?t.q=PSR-210153</t>
  </si>
  <si>
    <t>FSM-21045-20-Female connector</t>
  </si>
  <si>
    <t>Pin header (socket) PCB mounting layout FSM-21045-00 (1 row), 20 pin female</t>
  </si>
  <si>
    <t>FSM-21045-20</t>
  </si>
  <si>
    <t>https://www.monotaro.com/p/1131/7258/?t.q=fsm%2021045</t>
  </si>
  <si>
    <t>PSS-220153 male connector</t>
  </si>
  <si>
    <t>Pin header (pin) PCB mounting hole diameter Φ0.8 PSS-220153-00 (H=1.5)</t>
  </si>
  <si>
    <t>PSS-220153-25</t>
  </si>
  <si>
    <t>PSS-220153</t>
  </si>
  <si>
    <t>https://www.monotaro.com/p/1130/0634/?t.q=PSS-220153</t>
  </si>
  <si>
    <t>50-pin-female connector</t>
  </si>
  <si>
    <t>50-pin female socket, 2.00 mm Pitch,2 Row, straight</t>
  </si>
  <si>
    <t>200-SMM12502SDPTR</t>
  </si>
  <si>
    <t>SMM-125-02-S-D-P-TR</t>
  </si>
  <si>
    <t>https://www.mouser.jp/ProductDetail/Samtec/SMM-125-02-S-D-P-TR?qs=rU5fayqh%252BE0HUHoR7ycCdQ%3D%3D</t>
  </si>
  <si>
    <t>Schottky Diodes &amp; Rectifiers Sml-Signal Schottky 2A 30V 390pF</t>
  </si>
  <si>
    <t>757-CUHS20S30H3F</t>
  </si>
  <si>
    <t>CUHS20S30,H3F</t>
  </si>
  <si>
    <t>https://www.mouser.jp/ProductDetail/Toshiba/CUHS20S30H3F?qs=PqoDHHvF64%252BnIC9Qnnw9zg%3D%3D</t>
  </si>
  <si>
    <t>12-pin connector</t>
  </si>
  <si>
    <t>12 pin connector, SMT/SMD, 2 mm pitch, 1 row , 3A, 125V</t>
  </si>
  <si>
    <t>538-502352-1210</t>
  </si>
  <si>
    <t>502352-1210</t>
  </si>
  <si>
    <t>https://www.mouser.jp/ProductDetail/Molex/502352-1210?qs=5ptrxOxu%252BRbogpnMifsj8w%3D%3D</t>
  </si>
  <si>
    <t>RESISTOR 432K</t>
  </si>
  <si>
    <t>Thin Film Resistors - SMD RP 1J 432K 0.1% 15PPM 0603</t>
  </si>
  <si>
    <t>TE Connectivity / Holsworthy</t>
  </si>
  <si>
    <t>279-RP73D1J432KBTDF</t>
  </si>
  <si>
    <t>RP73D1J432KBTDF</t>
  </si>
  <si>
    <t>https://www.mouser.jp/ProductDetail/TE-Connectivity-Holsworthy/RP73D1J432KBTDF?qs=iLbezkQI%252BsgEPy6jCcL4kw%3D%3D</t>
  </si>
  <si>
    <t>Thick Film Resistors - SMD 1/8Watt 1Kohms 1% </t>
  </si>
  <si>
    <t>71-CRCW08051K00FKEAC</t>
  </si>
  <si>
    <t>SMD 8050</t>
  </si>
  <si>
    <t>https://www.mouser.jp/ProductDetail/Vishay-Dale/CRCW08051K00FKEAC?qs=CZ6xfwOSLTXmQIgaYvN%2FBA%3D%3D</t>
  </si>
  <si>
    <t>Resistor 2.2 Kohm, 8050</t>
  </si>
  <si>
    <t>Thick Film Resistors - SMD 1/8Watt 2.2Kohms 1% </t>
  </si>
  <si>
    <t>71-CRCW08052K20FKEAC</t>
  </si>
  <si>
    <t>CRCW08052K20FKEAC</t>
  </si>
  <si>
    <t>https://www.mouser.jp/ProductDetail/Vishay-Dale/CRCW08052K20FKEAC?qs=E3Y5ESvWgWPz30%2FoJkGung%3D%3D</t>
  </si>
  <si>
    <t>Multilayer Ceramic Capacitors MLCC - SMD/SMT 10V .01uF X7R 0805 10% AEC-Q200</t>
  </si>
  <si>
    <t>80-C0805C103K8RAUTO</t>
  </si>
  <si>
    <t>C0805C103K8RACAUTO</t>
  </si>
  <si>
    <t>https://www.mouser.jp/ProductDetail/KEMET/C0805C103K8RACAUTO?qs=MyNHzdoqoQL%2F3d5ufVgX2g%3D%3D</t>
  </si>
  <si>
    <t>Capacitor 1.0 uF</t>
  </si>
  <si>
    <t>80-C0805C105K8RAL</t>
  </si>
  <si>
    <t>https://www.mouser.jp/ProductDetail/KEMET/C0805C105K8RALTU?qs=Av9gTi0A7zMaUK8e58MLmQ%3D%3D</t>
  </si>
  <si>
    <t>1 bag( 100 pieces)</t>
  </si>
  <si>
    <t>ＬＴ６１０６ＣＳ５</t>
  </si>
  <si>
    <t xml:space="preserve">	
RoHS2(改正RoHS) (EU)2015/863、10物質、付属品等を除く
ハイサイド電流センス・アンプＩＣ　ＬＴ６１０６ＣＳ５</t>
  </si>
  <si>
    <t>Analog Devices, Inc./Linear Technology/Maxim Integrated Products, Inc.</t>
  </si>
  <si>
    <t>I-07300</t>
  </si>
  <si>
    <t>5V DCDC</t>
  </si>
  <si>
    <t>Texas Instruments DC-DC電源モジュール 出力電流:2.4A</t>
  </si>
  <si>
    <t>252-5559</t>
  </si>
  <si>
    <t>PTN04050CAZ</t>
  </si>
  <si>
    <t xml:space="preserve"> Surface
Mount Module</t>
  </si>
  <si>
    <t>PTN04050CAZ | Texas Instruments DC-DC電源モジュール 出力電流:2.4A | RS (rs-online.com)</t>
  </si>
  <si>
    <t xml:space="preserve">積層セラミックコンデンサ(MLCC) 100nF </t>
  </si>
  <si>
    <t>100nF 25V dc 0805 (2012M) CL21B104KACNNNC</t>
  </si>
  <si>
    <t xml:space="preserve">
766-5648</t>
  </si>
  <si>
    <t>CL21B104KACNNNC</t>
  </si>
  <si>
    <t>https://jp.rs-online.com/web/p/mlccs-multilayer-ceramic-capacitors/7665648/?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434C3231423130344B41434E4E4E43267365617263685F6B6579776F72645F6170703D434C3231423130344B41434E4E4E43267365617263685F636F6E6669673D3126&amp;searchHistory=%7B%22enabled%22%3Atrue%7D</t>
  </si>
  <si>
    <t xml:space="preserve">積層セラミックコンデンサ(MLCC) 1μF </t>
  </si>
  <si>
    <t xml:space="preserve">
788-3054</t>
  </si>
  <si>
    <t>TDK 積層セラミックコンデンサ(MLCC) 1μF 100V dc 0805 (2012M) C2012X7S2A105K125AB | RS (rs-online.com)</t>
  </si>
  <si>
    <t xml:space="preserve">
Microchip Technology</t>
  </si>
  <si>
    <t xml:space="preserve">
PIC18F67J94-I/PT-ND</t>
  </si>
  <si>
    <t xml:space="preserve">
PIC18F67J94-I/PT</t>
  </si>
  <si>
    <t xml:space="preserve">	
64-TQFP</t>
  </si>
  <si>
    <t>https://www.digikey.jp/ja/products/detail/microchip-technology/PIC18F67J94-I-PT/3872481?s=N4IgTCBcDaIAoEkDCBGAHAMQGwHYBSAnACwC0CA9HACogC6AvkA</t>
  </si>
  <si>
    <t>MCP4922-E/ST</t>
  </si>
  <si>
    <t>Chip1stop</t>
  </si>
  <si>
    <t>C1S505200173531</t>
  </si>
  <si>
    <t xml:space="preserve">
14TSSOP</t>
  </si>
  <si>
    <t>https://www.chip1stop.com/product/detail?partId=MCHP-0017353</t>
  </si>
  <si>
    <t>スズメッキ線</t>
  </si>
  <si>
    <t xml:space="preserve">	
スズメッキ線（０．６ｍｍ１００ｇ）</t>
  </si>
  <si>
    <t>南北伸銅所</t>
  </si>
  <si>
    <t>P-10333</t>
  </si>
  <si>
    <t>TA 0.6mm 100g</t>
  </si>
  <si>
    <t>TA 0.6mm</t>
  </si>
  <si>
    <t>https://akizukidenshi.com/catalog/g/gP-10333/</t>
  </si>
  <si>
    <t>ロジックアナライザ</t>
  </si>
  <si>
    <t>Ｄｉｇｉｔａｌ　Ｄｉｓｃｏｖｅｒｙ　デジタルディスカバリー</t>
  </si>
  <si>
    <t>M-11840</t>
  </si>
  <si>
    <t xml:space="preserve">	
Ｄｉｇｉｔａｌ　Ｄｉｓｃｏｖｅｒｙ</t>
  </si>
  <si>
    <t>https://akizukidenshi.com/catalog/g/gM-11840/</t>
  </si>
  <si>
    <t>分割ロングピンソケット　１×４２</t>
  </si>
  <si>
    <t>ピンヘッダ　１×４０　（４０Ｐ）</t>
  </si>
  <si>
    <t>幅10mm長さ20m 1巻</t>
  </si>
  <si>
    <t>幅10mm長さ20m</t>
  </si>
  <si>
    <t>https://www.monotaro.com/p/0639/3606/?t.q=%83J%83v%83g%83%93%83e%81%5B%83v</t>
  </si>
  <si>
    <t>養生テープ</t>
  </si>
  <si>
    <t>幅50mmテープ長さ25m 1巻 1箱</t>
  </si>
  <si>
    <t>幅50mmテープ長さ25m</t>
  </si>
  <si>
    <t>https://www.monotaro.com/p/1212/2626/</t>
  </si>
  <si>
    <t>マスキングテープ</t>
  </si>
  <si>
    <t>テープ幅12mmテープ長さ18m 1箱(100巻)</t>
  </si>
  <si>
    <t>テープ幅12mmテープ長さ18m</t>
  </si>
  <si>
    <t>https://www.monotaro.com/p/5940/9708/</t>
  </si>
  <si>
    <t>フラックスクリーナー</t>
  </si>
  <si>
    <t>アルコール、グリコールエーテル、炭化水素</t>
  </si>
  <si>
    <t>https://www.monotaro.com/p/1005/4256/?t.q=%83t%83%89%83b%83N%83X%90%F4%8F%F2%8D%DC</t>
  </si>
  <si>
    <t>ＳＯＴ２３変換基板　金フラッシュ</t>
  </si>
  <si>
    <t>対応ピッチ：0.95mm</t>
  </si>
  <si>
    <t>https://akizukidenshi.com/catalog/g/gP-03659/</t>
  </si>
  <si>
    <t>ＳＯＰ８（１．２７ｍｍ）ＤＩＰ変換基板</t>
  </si>
  <si>
    <t>ＳＯＰ８（１．２７ｍｍ）ＤＩＰ変換基板　金フラッシュ</t>
  </si>
  <si>
    <t>対応ピッチ：1.27mm</t>
  </si>
  <si>
    <t>ＳＯＴ２３－８　８ピン（０．６５ｍｍピッチ）</t>
  </si>
  <si>
    <t>ＳＯＴ２３－８　８ピン（０．６５ｍｍピッチ）　ＤＩＰ化変換基板　（５枚入）</t>
  </si>
  <si>
    <t>　P-08342</t>
  </si>
  <si>
    <t>AE-SOT23-8</t>
  </si>
  <si>
    <t>対応ピッチ：0.65mm</t>
  </si>
  <si>
    <t>https://akizukidenshi.com/catalog/g/gP-08342/</t>
  </si>
  <si>
    <t>１．２７ｍｍ８ピンＤＩＰ変換基板</t>
  </si>
  <si>
    <t>１．２７ｍｍ８ピンＤＩＰ変換基板（５枚入）</t>
  </si>
  <si>
    <t>P-06016</t>
  </si>
  <si>
    <t>AE-1.27X8P</t>
  </si>
  <si>
    <t>https://akizukidenshi.com/catalog/g/gP-06016/</t>
  </si>
  <si>
    <t>ワークテーブル寸法/W172×D188mm</t>
  </si>
  <si>
    <t>テーブル寸法(mm)172×188</t>
  </si>
  <si>
    <t>https://www.monotaro.com/p/5642/0716/?t.q=%83%7B%81%5B%83%8B%94%D5</t>
    <phoneticPr fontId="256"/>
  </si>
  <si>
    <t xml:space="preserve">ワイヤーストリッパー </t>
  </si>
  <si>
    <t>ワイヤーストリッパー ミリサイズ用 1個 P-960</t>
  </si>
  <si>
    <t>P-960</t>
  </si>
  <si>
    <t>0.3、0.5、0.75、1.25、2.0</t>
  </si>
  <si>
    <t>https://www.monotaro.com/p/0925/2984/?t.q=%83%8F%83C%83%84%81%5B%83X%83g%83%8A%83b%83p%81%5B</t>
  </si>
  <si>
    <t>EHコネクタ用コンタクト</t>
  </si>
  <si>
    <t>https://www.monotaro.com/p/4901/9582/?t.q=jst%20%83R%83l%83N%83%5E%20eh</t>
  </si>
  <si>
    <t>積層セラミックコンデンサ(MLCC) 100μF</t>
  </si>
  <si>
    <t>100μF 10V dc 1210 (3225M)</t>
  </si>
  <si>
    <t xml:space="preserve">
太陽誘電</t>
  </si>
  <si>
    <t>103-4219</t>
  </si>
  <si>
    <t>LMK325ABJ107MM-P</t>
  </si>
  <si>
    <t xml:space="preserve">	1210 (3225M)</t>
  </si>
  <si>
    <t>https://jp.rs-online.com/web/p/mlccs-multilayer-ceramic-capacitors/1034219/</t>
  </si>
  <si>
    <t>放射線試験用計測基板</t>
  </si>
  <si>
    <t>GST PCB 250mW 920Mhz</t>
  </si>
  <si>
    <t>Y32-3392505A</t>
  </si>
  <si>
    <t>8F staff room</t>
  </si>
  <si>
    <t>https://cart.jlcpcb.com/quote</t>
  </si>
  <si>
    <t>GST PCB 433 MHz</t>
  </si>
  <si>
    <t>Y33-3392505A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</si>
</sst>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8" formatCode="&quot;$&quot;#,##0.00_);[Red]\(&quot;$&quot;#,##0.00\)"/>
    <numFmt numFmtId="164" formatCode="&quot;¥&quot;#,##0;[Red]&quot;¥&quot;\-#,##0"/>
    <numFmt numFmtId="165" formatCode="&quot;¥&quot;#,##0.00;[Red]&quot;¥&quot;\-#,##0.00"/>
    <numFmt numFmtId="166" formatCode="[$¥-411]#,##0"/>
    <numFmt numFmtId="167" formatCode="dd/mm/yy"/>
    <numFmt numFmtId="168" formatCode="d/m/yy"/>
    <numFmt numFmtId="169" formatCode="yy&quot;/&quot;mm&quot;/&quot;d"/>
    <numFmt numFmtId="170" formatCode="yy/mm/dd"/>
    <numFmt numFmtId="171" formatCode="#,##0.00;\(#,##0.00\)"/>
    <numFmt numFmtId="172" formatCode="yyyy\-mm"/>
    <numFmt numFmtId="173" formatCode="yyyy\ mm"/>
    <numFmt numFmtId="174" formatCode="m/d"/>
    <numFmt numFmtId="175" formatCode="&quot;¥&quot;#,##0"/>
    <numFmt numFmtId="176" formatCode="yyyy/m"/>
    <numFmt numFmtId="177" formatCode="[$¥-411]#,##0;[Red][$¥-411]#,##0"/>
    <numFmt numFmtId="178" formatCode="0_);[Red]\(0\)"/>
    <numFmt numFmtId="179" formatCode="[$¥-411]#,##0.00;[Red][$¥-411]#,##0.00"/>
  </numFmts>
  <fonts count="317">
    <font>
      <sz val="10"/>
      <color rgb="FF000000"/>
      <name val="Arial"/>
    </font>
    <font>
      <sz val="11"/>
      <color rgb="FF000000"/>
      <name val="Times New Roman"/>
      <family val="1"/>
    </font>
    <font>
      <sz val="10"/>
      <name val="Times New Roman"/>
      <family val="1"/>
    </font>
    <font>
      <b/>
      <sz val="11"/>
      <color rgb="FF000000"/>
      <name val="Times New Roman"/>
      <family val="1"/>
    </font>
    <font>
      <b/>
      <sz val="10"/>
      <name val="Times New Roman"/>
      <family val="1"/>
    </font>
    <font>
      <u/>
      <sz val="11"/>
      <color rgb="FF000000"/>
      <name val="Times New Roman"/>
      <family val="1"/>
    </font>
    <font>
      <sz val="10"/>
      <name val="Arial"/>
      <family val="2"/>
    </font>
    <font>
      <b/>
      <sz val="11"/>
      <color rgb="FFFF0000"/>
      <name val="Times New Roman"/>
      <family val="1"/>
    </font>
    <font>
      <sz val="11"/>
      <color rgb="FF000000"/>
      <name val="&quot;Times New Roman&quot;"/>
    </font>
    <font>
      <b/>
      <sz val="10"/>
      <color rgb="FF000000"/>
      <name val="Meiryo"/>
      <family val="2"/>
      <charset val="128"/>
    </font>
    <font>
      <sz val="10"/>
      <color rgb="FF000000"/>
      <name val="Meiryo"/>
      <family val="2"/>
      <charset val="128"/>
    </font>
    <font>
      <sz val="9"/>
      <color rgb="FF333333"/>
      <name val="Arial"/>
      <family val="2"/>
    </font>
    <font>
      <u/>
      <sz val="10"/>
      <color rgb="FF0000FF"/>
      <name val="Arial"/>
      <family val="2"/>
    </font>
    <font>
      <sz val="11"/>
      <name val="Times New Roman"/>
      <family val="1"/>
    </font>
    <font>
      <sz val="12"/>
      <color rgb="FF000000"/>
      <name val="&quot;Times New Roman&quot;"/>
    </font>
    <font>
      <u/>
      <sz val="18"/>
      <color rgb="FF000000"/>
      <name val="Calibri"/>
      <family val="2"/>
    </font>
    <font>
      <b/>
      <sz val="12"/>
      <color rgb="FF333333"/>
      <name val="&quot;ＭＳ Ｐゴシック&quot;"/>
      <family val="3"/>
      <charset val="128"/>
    </font>
    <font>
      <u/>
      <sz val="10"/>
      <color rgb="FF0000FF"/>
      <name val="&quot;ＭＳ Ｐゴシック&quot;"/>
      <charset val="128"/>
    </font>
    <font>
      <u/>
      <sz val="10"/>
      <color rgb="FF0000FF"/>
      <name val="&quot;\0022ＭＳ Ｐゴシック\0022&quot;"/>
      <family val="3"/>
      <charset val="128"/>
    </font>
    <font>
      <sz val="10"/>
      <color rgb="FF000000"/>
      <name val="Arial"/>
      <family val="2"/>
    </font>
    <font>
      <u/>
      <sz val="11"/>
      <color rgb="FF000000"/>
      <name val="&quot;Times New Roman&quot;"/>
    </font>
    <font>
      <sz val="9"/>
      <color rgb="FF000000"/>
      <name val="Arial"/>
      <family val="2"/>
    </font>
    <font>
      <sz val="12"/>
      <color rgb="FF000000"/>
      <name val="Calibri"/>
      <family val="2"/>
    </font>
    <font>
      <strike/>
      <sz val="11"/>
      <color rgb="FF000000"/>
      <name val="Times New Roman"/>
      <family val="1"/>
    </font>
    <font>
      <sz val="9"/>
      <color rgb="FF000000"/>
      <name val="繝｡繧､繝ｪ繧ｪ"/>
      <family val="3"/>
      <charset val="128"/>
    </font>
    <font>
      <sz val="10"/>
      <color rgb="FF111111"/>
      <name val="&quot;Hiragino Kaku Gothic Pro W3&quot;"/>
    </font>
    <font>
      <sz val="9"/>
      <color rgb="FF000000"/>
      <name val="Sans-serif"/>
    </font>
    <font>
      <sz val="10"/>
      <color rgb="FF333333"/>
      <name val="Verdana"/>
      <family val="2"/>
    </font>
    <font>
      <u/>
      <sz val="10"/>
      <color rgb="FF0227B9"/>
      <name val="Meiryo"/>
      <family val="2"/>
      <charset val="128"/>
    </font>
    <font>
      <b/>
      <sz val="10"/>
      <name val="Arial"/>
      <family val="2"/>
    </font>
    <font>
      <sz val="9"/>
      <color rgb="FF000000"/>
      <name val="Times New Roman"/>
      <family val="1"/>
    </font>
    <font>
      <sz val="11"/>
      <color rgb="FF000000"/>
      <name val="Calibri"/>
      <family val="2"/>
    </font>
    <font>
      <u/>
      <sz val="10"/>
      <color rgb="FF000000"/>
      <name val="Arial"/>
      <family val="2"/>
    </font>
    <font>
      <strike/>
      <sz val="10"/>
      <color rgb="FF000000"/>
      <name val="Arial"/>
      <family val="2"/>
    </font>
    <font>
      <strike/>
      <sz val="10"/>
      <name val="Times New Roman"/>
      <family val="1"/>
    </font>
    <font>
      <u/>
      <sz val="10"/>
      <color rgb="FF0563C1"/>
      <name val="Arial"/>
      <family val="2"/>
    </font>
    <font>
      <sz val="10"/>
      <color rgb="FF000000"/>
      <name val="&quot;Times New Roman&quot;"/>
    </font>
    <font>
      <strike/>
      <sz val="11"/>
      <color rgb="FF000000"/>
      <name val="&quot;Times New Roman&quot;"/>
    </font>
    <font>
      <strike/>
      <sz val="10"/>
      <color rgb="FF0563C1"/>
      <name val="Arial"/>
      <family val="2"/>
    </font>
    <font>
      <sz val="11"/>
      <color rgb="FF000000"/>
      <name val="Arial"/>
      <family val="2"/>
    </font>
    <font>
      <sz val="9"/>
      <color rgb="FF8A8A8A"/>
      <name val="Arial"/>
      <family val="2"/>
    </font>
    <font>
      <sz val="9"/>
      <color rgb="FF000000"/>
      <name val="Roboto"/>
    </font>
    <font>
      <u/>
      <sz val="10"/>
      <color rgb="FF0000FF"/>
      <name val="Times New Roman"/>
      <family val="1"/>
    </font>
    <font>
      <strike/>
      <sz val="10"/>
      <name val="Arial"/>
      <family val="2"/>
    </font>
    <font>
      <strike/>
      <sz val="10"/>
      <color rgb="FF0000FF"/>
      <name val="Times New Roman"/>
      <family val="1"/>
    </font>
    <font>
      <u/>
      <sz val="10"/>
      <color rgb="FF1155CC"/>
      <name val="Times New Roman"/>
      <family val="1"/>
    </font>
    <font>
      <strike/>
      <sz val="10"/>
      <color rgb="FF000000"/>
      <name val="&quot;Times New Roman&quot;"/>
    </font>
    <font>
      <sz val="9"/>
      <color rgb="FF444444"/>
      <name val="Arial"/>
      <family val="2"/>
    </font>
    <font>
      <sz val="10"/>
      <color rgb="FF444444"/>
      <name val="Times New Roman"/>
      <family val="1"/>
    </font>
    <font>
      <sz val="10"/>
      <name val="&quot;Times New Roman&quot;"/>
    </font>
    <font>
      <u/>
      <sz val="10"/>
      <color rgb="FF000000"/>
      <name val="&quot;Times New Roman&quot;"/>
    </font>
    <font>
      <u/>
      <sz val="10"/>
      <color rgb="FF0000FF"/>
      <name val="&quot;Times New Roman&quot;"/>
    </font>
    <font>
      <sz val="10"/>
      <color rgb="FF000000"/>
      <name val="Times New Roman"/>
      <family val="1"/>
    </font>
    <font>
      <strike/>
      <u/>
      <sz val="10"/>
      <color rgb="FF0000FF"/>
      <name val="Times New Roman"/>
      <family val="1"/>
    </font>
    <font>
      <b/>
      <u/>
      <sz val="9"/>
      <color rgb="FF322B7B"/>
      <name val="Arial"/>
      <family val="2"/>
    </font>
    <font>
      <u/>
      <sz val="9"/>
      <color rgb="FF8A8A8A"/>
      <name val="Arial"/>
      <family val="2"/>
    </font>
    <font>
      <sz val="11"/>
      <color rgb="FF212121"/>
      <name val="&quot;Segoe UI&quot;"/>
    </font>
    <font>
      <sz val="12"/>
      <name val="&quot;游明朝&quot;"/>
      <family val="3"/>
      <charset val="128"/>
    </font>
    <font>
      <u/>
      <sz val="10"/>
      <color rgb="FF0563C1"/>
      <name val="Times New Roman"/>
      <family val="1"/>
    </font>
    <font>
      <u/>
      <sz val="10"/>
      <color rgb="FF1155CC"/>
      <name val="Arial"/>
      <family val="2"/>
    </font>
    <font>
      <sz val="10"/>
      <color rgb="FF000000"/>
      <name val="Roboto"/>
    </font>
    <font>
      <strike/>
      <sz val="9"/>
      <color rgb="FF000000"/>
      <name val="Arial"/>
      <family val="2"/>
    </font>
    <font>
      <strike/>
      <sz val="10"/>
      <color rgb="FF000000"/>
      <name val="Times New Roman"/>
      <family val="1"/>
    </font>
    <font>
      <strike/>
      <sz val="10"/>
      <color rgb="FF0000FF"/>
      <name val="Arial"/>
      <family val="2"/>
    </font>
    <font>
      <u/>
      <sz val="10"/>
      <color rgb="FF000000"/>
      <name val="Times New Roman"/>
      <family val="1"/>
    </font>
    <font>
      <u/>
      <sz val="11"/>
      <color rgb="FF1155CC"/>
      <name val="Times New Roman"/>
      <family val="1"/>
    </font>
    <font>
      <u/>
      <sz val="11"/>
      <color rgb="FF0000FF"/>
      <name val="Times New Roman"/>
      <family val="1"/>
    </font>
    <font>
      <sz val="11"/>
      <name val="Roboto"/>
    </font>
    <font>
      <sz val="11"/>
      <name val="Calibri"/>
      <family val="2"/>
    </font>
    <font>
      <sz val="9"/>
      <name val="Arial"/>
      <family val="2"/>
    </font>
    <font>
      <u/>
      <sz val="11"/>
      <color rgb="FF1155CC"/>
      <name val="Calibri"/>
      <family val="2"/>
    </font>
    <font>
      <sz val="11"/>
      <color rgb="FF212121"/>
      <name val="&quot;Meiryo UI&quot;"/>
    </font>
    <font>
      <sz val="11"/>
      <color rgb="FF000000"/>
      <name val="&quot;ＭＳ Ｐゴシック&quot;"/>
      <charset val="128"/>
    </font>
    <font>
      <sz val="10"/>
      <color rgb="FF000000"/>
      <name val="&quot;ＭＳ Ｐゴシック&quot;"/>
      <charset val="128"/>
    </font>
    <font>
      <u/>
      <sz val="11"/>
      <color rgb="FF0563C1"/>
      <name val="游ゴシック"/>
      <family val="3"/>
      <charset val="128"/>
    </font>
    <font>
      <sz val="10"/>
      <color rgb="FF000000"/>
      <name val="&quot;Hiragino Kaku Gothic Pro&quot;"/>
    </font>
    <font>
      <sz val="10"/>
      <color rgb="FF000000"/>
      <name val="&quot;ＭＳ ゴシック&quot;"/>
      <family val="3"/>
      <charset val="128"/>
    </font>
    <font>
      <sz val="10"/>
      <color rgb="FF000000"/>
      <name val="游ゴシック"/>
      <family val="3"/>
      <charset val="128"/>
    </font>
    <font>
      <sz val="9"/>
      <color rgb="FF4D4D4D"/>
      <name val="&quot;ヒラギノ角ゴ Pro W3&quot;"/>
      <family val="3"/>
      <charset val="128"/>
    </font>
    <font>
      <sz val="10"/>
      <color rgb="FF000000"/>
      <name val="&quot;Century Gothic&quot;"/>
    </font>
    <font>
      <sz val="10"/>
      <color rgb="FF333333"/>
      <name val="Arial"/>
      <family val="2"/>
    </font>
    <font>
      <u/>
      <sz val="9"/>
      <color rgb="FF0000FF"/>
      <name val="Arial"/>
      <family val="2"/>
    </font>
    <font>
      <u/>
      <sz val="11"/>
      <color rgb="FF0000FF"/>
      <name val="&quot;Segoe UI&quot;"/>
    </font>
    <font>
      <strike/>
      <sz val="10"/>
      <color rgb="FF111111"/>
      <name val="&quot;Hiragino Kaku Gothic Pro W3&quot;"/>
    </font>
    <font>
      <strike/>
      <sz val="9"/>
      <color rgb="FF000000"/>
      <name val="Tahoma"/>
      <family val="2"/>
    </font>
    <font>
      <strike/>
      <sz val="14"/>
      <color rgb="FF000000"/>
      <name val="Tahoma"/>
      <family val="2"/>
    </font>
    <font>
      <sz val="11"/>
      <name val="Arial"/>
      <family val="2"/>
    </font>
    <font>
      <sz val="11"/>
      <color rgb="FF000000"/>
      <name val="&quot;Century Gothic&quot;"/>
    </font>
    <font>
      <u/>
      <sz val="11"/>
      <color rgb="FF0563C1"/>
      <name val="Arial"/>
      <family val="2"/>
    </font>
    <font>
      <sz val="11"/>
      <color rgb="FF333333"/>
      <name val="Arial"/>
      <family val="2"/>
    </font>
    <font>
      <u/>
      <sz val="11"/>
      <color rgb="FF0000FF"/>
      <name val="Arial"/>
      <family val="2"/>
    </font>
    <font>
      <sz val="11"/>
      <color rgb="FF000000"/>
      <name val="游ゴシック"/>
      <family val="3"/>
      <charset val="128"/>
    </font>
    <font>
      <sz val="12"/>
      <color rgb="FF000000"/>
      <name val="Times New Roman"/>
      <family val="1"/>
    </font>
    <font>
      <sz val="12"/>
      <color rgb="FF0000FF"/>
      <name val="Times New Roman"/>
      <family val="1"/>
    </font>
    <font>
      <u/>
      <sz val="11"/>
      <color rgb="FF0563C1"/>
      <name val="&quot;Times New Roman&quot;"/>
    </font>
    <font>
      <sz val="11"/>
      <name val="&quot;Times New Roman&quot;"/>
    </font>
    <font>
      <sz val="11"/>
      <color rgb="FF444444"/>
      <name val="Arial"/>
      <family val="2"/>
    </font>
    <font>
      <sz val="10"/>
      <color rgb="FF222222"/>
      <name val="Arial"/>
      <family val="2"/>
    </font>
    <font>
      <b/>
      <sz val="10"/>
      <color rgb="FF222222"/>
      <name val="Arial"/>
      <family val="2"/>
    </font>
    <font>
      <b/>
      <strike/>
      <sz val="10"/>
      <name val="Arial"/>
      <family val="2"/>
    </font>
    <font>
      <sz val="9"/>
      <color rgb="FF333333"/>
      <name val="メイリオ"/>
      <family val="2"/>
      <charset val="128"/>
    </font>
    <font>
      <sz val="11"/>
      <color rgb="FF000000"/>
      <name val="&quot;PT Serif&quot;"/>
    </font>
    <font>
      <u/>
      <sz val="11"/>
      <color rgb="FF0563C1"/>
      <name val="Calibri"/>
      <family val="2"/>
    </font>
    <font>
      <strike/>
      <sz val="10"/>
      <color rgb="FF000000"/>
      <name val="&quot;ＭＳ Ｐゴシック&quot;"/>
      <charset val="128"/>
    </font>
    <font>
      <strike/>
      <sz val="11"/>
      <color rgb="FF000000"/>
      <name val="&quot;ＭＳ Ｐ明朝&quot;"/>
      <family val="3"/>
      <charset val="128"/>
    </font>
    <font>
      <strike/>
      <sz val="9"/>
      <color rgb="FF444444"/>
      <name val="Arial"/>
      <family val="2"/>
    </font>
    <font>
      <u/>
      <sz val="12"/>
      <color rgb="FF000000"/>
      <name val="Times New Roman"/>
      <family val="1"/>
    </font>
    <font>
      <sz val="10"/>
      <name val="Roboto"/>
    </font>
    <font>
      <sz val="11"/>
      <color rgb="FF000000"/>
      <name val="&quot;ＭＳ Ｐ明朝&quot;"/>
      <charset val="128"/>
    </font>
    <font>
      <u/>
      <sz val="12"/>
      <color rgb="FF000000"/>
      <name val="&quot;Times New Roman&quot;"/>
    </font>
    <font>
      <sz val="11"/>
      <color rgb="FF000000"/>
      <name val="&quot;ヒラギノ角ゴ Pro W3&quot;"/>
      <charset val="128"/>
    </font>
    <font>
      <sz val="9"/>
      <color rgb="FF222222"/>
      <name val="Arial"/>
      <family val="2"/>
    </font>
    <font>
      <sz val="8"/>
      <color rgb="FF000000"/>
      <name val="Arial"/>
      <family val="2"/>
    </font>
    <font>
      <sz val="10"/>
      <name val="Inherit"/>
    </font>
    <font>
      <sz val="10"/>
      <color rgb="FF555555"/>
      <name val="Arial"/>
      <family val="2"/>
    </font>
    <font>
      <u/>
      <sz val="11"/>
      <color rgb="FF0000FF"/>
      <name val="Calibri"/>
      <family val="2"/>
    </font>
    <font>
      <sz val="11"/>
      <color rgb="FF333333"/>
      <name val="Calibri"/>
      <family val="2"/>
    </font>
    <font>
      <u/>
      <sz val="10"/>
      <color rgb="FF990099"/>
      <name val="Meiryo"/>
      <family val="2"/>
      <charset val="128"/>
    </font>
    <font>
      <u/>
      <sz val="12"/>
      <color rgb="FF0563C1"/>
      <name val="Arial"/>
      <family val="2"/>
    </font>
    <font>
      <sz val="12"/>
      <name val="&quot;Times New Roman&quot;"/>
    </font>
    <font>
      <sz val="12"/>
      <color rgb="FF222222"/>
      <name val="&quot;Times New Roman&quot;"/>
    </font>
    <font>
      <sz val="11"/>
      <color rgb="FFD99795"/>
      <name val="Times New Roman"/>
      <family val="1"/>
    </font>
    <font>
      <b/>
      <sz val="18"/>
      <color rgb="FF333333"/>
      <name val="Arial"/>
      <family val="2"/>
    </font>
    <font>
      <b/>
      <sz val="9"/>
      <color rgb="FF000000"/>
      <name val="Arial"/>
      <family val="2"/>
    </font>
    <font>
      <sz val="12"/>
      <color rgb="FF333333"/>
      <name val="Arial"/>
      <family val="2"/>
    </font>
    <font>
      <sz val="12"/>
      <name val="Times New Roman"/>
      <family val="1"/>
    </font>
    <font>
      <strike/>
      <sz val="10"/>
      <color rgb="FF1155CC"/>
      <name val="Arial"/>
      <family val="2"/>
    </font>
    <font>
      <u/>
      <sz val="10"/>
      <color rgb="FF000000"/>
      <name val="Roboto"/>
    </font>
    <font>
      <u/>
      <sz val="11"/>
      <color rgb="FF1155CC"/>
      <name val="&quot;Times New Roman&quot;"/>
    </font>
    <font>
      <sz val="12"/>
      <color rgb="FF000000"/>
      <name val="Arial"/>
      <family val="2"/>
    </font>
    <font>
      <u/>
      <sz val="12"/>
      <color rgb="FF0563C1"/>
      <name val="&quot;Times New Roman&quot;"/>
    </font>
    <font>
      <u/>
      <sz val="12"/>
      <color rgb="FF0563C1"/>
      <name val="游ゴシック"/>
      <family val="3"/>
      <charset val="128"/>
    </font>
    <font>
      <sz val="11"/>
      <color rgb="FF000000"/>
      <name val="&quot;MS Mincho&quot;"/>
    </font>
    <font>
      <sz val="11"/>
      <color rgb="FF0000FF"/>
      <name val="&quot;Times New Roman&quot;"/>
    </font>
    <font>
      <sz val="11"/>
      <color rgb="FF444444"/>
      <name val="Times New Roman"/>
      <family val="1"/>
    </font>
    <font>
      <u/>
      <sz val="10"/>
      <color rgb="FF000000"/>
      <name val="游ゴシック"/>
      <family val="3"/>
      <charset val="128"/>
    </font>
    <font>
      <strike/>
      <sz val="11"/>
      <color rgb="FF0563C1"/>
      <name val="Calibri"/>
      <family val="2"/>
    </font>
    <font>
      <u/>
      <sz val="11"/>
      <color rgb="FF000000"/>
      <name val="Calibri"/>
      <family val="2"/>
    </font>
    <font>
      <strike/>
      <sz val="10"/>
      <color rgb="FF1155CC"/>
      <name val="Times New Roman"/>
      <family val="1"/>
    </font>
    <font>
      <sz val="14"/>
      <color rgb="FF000000"/>
      <name val="Times New Roman"/>
      <family val="1"/>
    </font>
    <font>
      <sz val="10"/>
      <color rgb="FF111111"/>
      <name val="Times New Roman"/>
      <family val="1"/>
    </font>
    <font>
      <sz val="6"/>
      <color rgb="FF000000"/>
      <name val="游ゴシック"/>
      <family val="3"/>
      <charset val="128"/>
    </font>
    <font>
      <sz val="6"/>
      <color rgb="FF000000"/>
      <name val="Arial"/>
      <family val="2"/>
    </font>
    <font>
      <sz val="6"/>
      <color rgb="FF000000"/>
      <name val="&quot;ＭＳ Ｐゴシック&quot;"/>
      <charset val="128"/>
    </font>
    <font>
      <sz val="10"/>
      <color rgb="FF555555"/>
      <name val="&quot;Segoe UI&quot;"/>
    </font>
    <font>
      <sz val="10"/>
      <color rgb="FF444444"/>
      <name val="Arial"/>
      <family val="2"/>
    </font>
    <font>
      <u/>
      <sz val="10"/>
      <color rgb="FF2C577E"/>
      <name val="Arial"/>
      <family val="2"/>
    </font>
    <font>
      <sz val="9"/>
      <color rgb="FF000000"/>
      <name val="&quot;Times New Roman&quot;"/>
    </font>
    <font>
      <u/>
      <sz val="9"/>
      <color rgb="FF444444"/>
      <name val="Arial"/>
      <family val="2"/>
    </font>
    <font>
      <b/>
      <u/>
      <sz val="10"/>
      <color rgb="FF0563C1"/>
      <name val="Arial"/>
      <family val="2"/>
    </font>
    <font>
      <sz val="9"/>
      <color rgb="FF333333"/>
      <name val="Meiryo"/>
      <family val="2"/>
      <charset val="128"/>
    </font>
    <font>
      <sz val="11"/>
      <color rgb="FF000000"/>
      <name val="&quot;Calibri Light&quot;"/>
    </font>
    <font>
      <sz val="10"/>
      <color rgb="FF000000"/>
      <name val="Calibri"/>
      <family val="2"/>
    </font>
    <font>
      <sz val="10"/>
      <color rgb="FF000000"/>
      <name val="Ubuntu"/>
      <family val="2"/>
    </font>
    <font>
      <strike/>
      <sz val="11"/>
      <color rgb="FF0563C1"/>
      <name val="游ゴシック"/>
      <family val="3"/>
      <charset val="128"/>
    </font>
    <font>
      <sz val="10"/>
      <color rgb="FF111111"/>
      <name val="Arial"/>
      <family val="2"/>
    </font>
    <font>
      <sz val="11"/>
      <color rgb="FF111111"/>
      <name val="Calibri"/>
      <family val="2"/>
    </font>
    <font>
      <sz val="11"/>
      <color rgb="FF111111"/>
      <name val="Arial"/>
      <family val="2"/>
    </font>
    <font>
      <strike/>
      <u/>
      <sz val="11"/>
      <color rgb="FF0F1111"/>
      <name val="Arial"/>
      <family val="2"/>
    </font>
    <font>
      <strike/>
      <u/>
      <sz val="10"/>
      <color rgb="FF000000"/>
      <name val="Arial"/>
      <family val="2"/>
    </font>
    <font>
      <strike/>
      <u/>
      <sz val="10"/>
      <name val="Arial"/>
      <family val="2"/>
    </font>
    <font>
      <strike/>
      <u/>
      <sz val="10"/>
      <color rgb="FF0563C1"/>
      <name val="Arial"/>
      <family val="2"/>
    </font>
    <font>
      <sz val="7"/>
      <color rgb="FF000000"/>
      <name val="Arial"/>
      <family val="2"/>
    </font>
    <font>
      <sz val="11"/>
      <color rgb="FF0563C1"/>
      <name val="Calibri"/>
      <family val="2"/>
    </font>
    <font>
      <u/>
      <sz val="12"/>
      <color rgb="FF0563C1"/>
      <name val="Calibri"/>
      <family val="2"/>
    </font>
    <font>
      <sz val="9"/>
      <color rgb="FF444444"/>
      <name val="&quot;ＭＳ Ｐゴシック&quot;"/>
      <charset val="128"/>
    </font>
    <font>
      <u/>
      <sz val="11"/>
      <color rgb="FF000000"/>
      <name val="游ゴシック"/>
      <family val="3"/>
      <charset val="128"/>
    </font>
    <font>
      <sz val="11"/>
      <color rgb="FF333333"/>
      <name val="&quot;ヒラギノ角ゴ Pro W3&quot;"/>
      <charset val="128"/>
    </font>
    <font>
      <sz val="10"/>
      <color rgb="FF000000"/>
      <name val="&quot;ＭＳ Ｐ明朝&quot;"/>
      <charset val="128"/>
    </font>
    <font>
      <u/>
      <sz val="11"/>
      <color rgb="FF0563C1"/>
      <name val="&quot;ＭＳ ゴシック&quot;"/>
      <charset val="128"/>
    </font>
    <font>
      <sz val="10"/>
      <color rgb="FF000000"/>
      <name val="&quot;MS ゴシック&quot;"/>
      <charset val="128"/>
    </font>
    <font>
      <u/>
      <sz val="9"/>
      <color rgb="FF000000"/>
      <name val="Meiryo"/>
      <family val="2"/>
      <charset val="128"/>
    </font>
    <font>
      <u/>
      <sz val="10"/>
      <color rgb="FF0563C1"/>
      <name val="&quot;Times New Roman&quot;"/>
    </font>
    <font>
      <u/>
      <sz val="10"/>
      <color rgb="FF1155CC"/>
      <name val="&quot;Times New Roman&quot;"/>
    </font>
    <font>
      <strike/>
      <sz val="10"/>
      <color rgb="FF0000FF"/>
      <name val="&quot;Times New Roman&quot;"/>
    </font>
    <font>
      <strike/>
      <sz val="10"/>
      <name val="&quot;Times New Roman&quot;"/>
    </font>
    <font>
      <strike/>
      <sz val="10"/>
      <color rgb="FF0563C1"/>
      <name val="&quot;Times New Roman&quot;"/>
    </font>
    <font>
      <strike/>
      <sz val="10"/>
      <color rgb="FF000000"/>
      <name val="&quot;Century Gothic&quot;"/>
    </font>
    <font>
      <sz val="10"/>
      <color rgb="FF333333"/>
      <name val="Roboto"/>
    </font>
    <font>
      <sz val="11"/>
      <color rgb="FF070707"/>
      <name val="Montserrat"/>
    </font>
    <font>
      <sz val="14"/>
      <color rgb="FF0F1111"/>
      <name val="Calibri"/>
      <family val="2"/>
    </font>
    <font>
      <sz val="11"/>
      <color rgb="FF333333"/>
      <name val="&quot;Hiragino Kaku Gothic ProN&quot;"/>
    </font>
    <font>
      <strike/>
      <sz val="10"/>
      <color rgb="FF333333"/>
      <name val="Arial"/>
      <family val="2"/>
    </font>
    <font>
      <sz val="11"/>
      <color rgb="FF121212"/>
      <name val="Arial"/>
      <family val="2"/>
    </font>
    <font>
      <sz val="9"/>
      <color rgb="FF333333"/>
      <name val="&quot;ヒラギノ角ゴ Pro W3&quot;"/>
      <charset val="128"/>
    </font>
    <font>
      <sz val="11"/>
      <color rgb="FF111111"/>
      <name val="&quot;ヒラギノ角ゴ Pro W3&quot;"/>
      <charset val="128"/>
    </font>
    <font>
      <sz val="10"/>
      <color rgb="FF333333"/>
      <name val="&quot;ヒラギノ角ゴ Pro W3&quot;"/>
      <charset val="128"/>
    </font>
    <font>
      <sz val="10"/>
      <color rgb="FF333333"/>
      <name val="Meiryo"/>
      <family val="2"/>
      <charset val="128"/>
    </font>
    <font>
      <sz val="10"/>
      <color rgb="FF000000"/>
      <name val="&quot;Hiragino Kaku Gothic ProN&quot;"/>
    </font>
    <font>
      <sz val="10"/>
      <color rgb="FF000000"/>
      <name val="Verdana"/>
      <family val="2"/>
    </font>
    <font>
      <sz val="10"/>
      <name val="游明朝"/>
      <family val="1"/>
      <charset val="128"/>
    </font>
    <font>
      <u/>
      <sz val="10"/>
      <color rgb="FF0000FF"/>
      <name val="游明朝"/>
      <family val="1"/>
      <charset val="128"/>
    </font>
    <font>
      <sz val="10"/>
      <color rgb="FF000000"/>
      <name val="游明朝"/>
      <family val="1"/>
      <charset val="128"/>
    </font>
    <font>
      <strike/>
      <sz val="10"/>
      <name val="游明朝"/>
      <family val="1"/>
      <charset val="128"/>
    </font>
    <font>
      <strike/>
      <sz val="10"/>
      <color rgb="FF000000"/>
      <name val="游明朝"/>
      <family val="1"/>
      <charset val="128"/>
    </font>
    <font>
      <strike/>
      <sz val="10"/>
      <color rgb="FF0000FF"/>
      <name val="游明朝"/>
      <family val="1"/>
      <charset val="128"/>
    </font>
    <font>
      <sz val="11"/>
      <color rgb="FF333333"/>
      <name val="&quot;Times New Roman&quot;"/>
    </font>
    <font>
      <sz val="9"/>
      <color rgb="FF333333"/>
      <name val="&quot;ＭＳ Ｐゴシック&quot;"/>
      <charset val="128"/>
    </font>
    <font>
      <sz val="11"/>
      <name val="游ゴシック"/>
      <family val="3"/>
      <charset val="128"/>
    </font>
    <font>
      <sz val="10"/>
      <color rgb="FF333333"/>
      <name val="&quot;Times New Roman&quot;"/>
    </font>
    <font>
      <u/>
      <sz val="10"/>
      <color rgb="FF222222"/>
      <name val="Arial"/>
      <family val="2"/>
    </font>
    <font>
      <strike/>
      <sz val="11"/>
      <color rgb="FF000000"/>
      <name val="Calibri"/>
      <family val="2"/>
    </font>
    <font>
      <sz val="11"/>
      <color rgb="FF000000"/>
      <name val="Roboto"/>
    </font>
    <font>
      <sz val="11"/>
      <color rgb="FF444444"/>
      <name val="Roboto"/>
    </font>
    <font>
      <sz val="9"/>
      <color rgb="FF222222"/>
      <name val="Roboto"/>
    </font>
    <font>
      <u/>
      <sz val="11"/>
      <color rgb="FF000000"/>
      <name val="Roboto"/>
    </font>
    <font>
      <strike/>
      <sz val="11"/>
      <color rgb="FF000000"/>
      <name val="Arial"/>
      <family val="2"/>
    </font>
    <font>
      <strike/>
      <sz val="11"/>
      <name val="Arial"/>
      <family val="2"/>
    </font>
    <font>
      <sz val="9"/>
      <color rgb="FF333333"/>
      <name val="Roboto"/>
    </font>
    <font>
      <sz val="11"/>
      <color rgb="FF000000"/>
      <name val="&quot;\&quot;Times New Roman\&quot;&quot;"/>
    </font>
    <font>
      <sz val="12"/>
      <color rgb="FF000000"/>
      <name val="&quot;\&quot;Times New Roman\&quot;&quot;"/>
    </font>
    <font>
      <u/>
      <sz val="12"/>
      <color rgb="FF000000"/>
      <name val="&quot;\&quot;Times New Roman\&quot;&quot;"/>
    </font>
    <font>
      <sz val="11"/>
      <color rgb="FF666666"/>
      <name val="Wf_segoe-ui_normal"/>
    </font>
    <font>
      <sz val="11"/>
      <color rgb="FF000000"/>
      <name val="Helvetica"/>
      <family val="2"/>
    </font>
    <font>
      <sz val="10"/>
      <color rgb="FF444444"/>
      <name val="Roboto"/>
    </font>
    <font>
      <sz val="12"/>
      <color rgb="FF000000"/>
      <name val="Docs-Roboto"/>
    </font>
    <font>
      <sz val="12"/>
      <color rgb="FF000000"/>
      <name val="Roboto"/>
    </font>
    <font>
      <sz val="11"/>
      <color rgb="FF000000"/>
      <name val="Docs-Calibri"/>
    </font>
    <font>
      <sz val="10"/>
      <color rgb="FF0F1111"/>
      <name val="Arial"/>
      <family val="2"/>
    </font>
    <font>
      <b/>
      <strike/>
      <sz val="10"/>
      <color rgb="FF444444"/>
      <name val="&quot;lucida grande&quot;"/>
    </font>
    <font>
      <sz val="12"/>
      <color rgb="FF333333"/>
      <name val="Roboto"/>
    </font>
    <font>
      <sz val="10"/>
      <color rgb="FF666666"/>
      <name val="Wf_segoe-ui_normal"/>
    </font>
    <font>
      <b/>
      <sz val="10"/>
      <color rgb="FF000000"/>
      <name val="Arial"/>
      <family val="2"/>
    </font>
    <font>
      <sz val="10"/>
      <color rgb="FF222222"/>
      <name val="Roboto"/>
    </font>
    <font>
      <strike/>
      <sz val="9"/>
      <color rgb="FF222222"/>
      <name val="Roboto"/>
    </font>
    <font>
      <strike/>
      <sz val="11"/>
      <color rgb="FF000000"/>
      <name val="Roboto"/>
    </font>
    <font>
      <strike/>
      <sz val="11"/>
      <color rgb="FF444444"/>
      <name val="Roboto"/>
    </font>
    <font>
      <strike/>
      <sz val="10"/>
      <color rgb="FF000000"/>
      <name val="&quot;ＭＳ ゴシック&quot;"/>
      <charset val="128"/>
    </font>
    <font>
      <sz val="11"/>
      <color rgb="FF333333"/>
      <name val="Roboto"/>
    </font>
    <font>
      <sz val="9"/>
      <color rgb="FF201F1E"/>
      <name val="Arial"/>
      <family val="2"/>
    </font>
    <font>
      <sz val="9"/>
      <color rgb="FF444444"/>
      <name val="Roboto"/>
    </font>
    <font>
      <sz val="10"/>
      <color rgb="FF0563C1"/>
      <name val="Arial"/>
      <family val="2"/>
    </font>
    <font>
      <strike/>
      <u/>
      <sz val="11"/>
      <color rgb="FF000000"/>
      <name val="Times New Roman"/>
      <family val="1"/>
    </font>
    <font>
      <strike/>
      <u/>
      <sz val="10"/>
      <color rgb="FF1155CC"/>
      <name val="Arial"/>
      <family val="2"/>
    </font>
    <font>
      <strike/>
      <u/>
      <sz val="10"/>
      <name val="Times New Roman"/>
      <family val="1"/>
    </font>
    <font>
      <u/>
      <sz val="9"/>
      <color rgb="FF444444"/>
      <name val="Roboto"/>
    </font>
    <font>
      <strike/>
      <sz val="12"/>
      <color rgb="FF000000"/>
      <name val="&quot;Times New Roman&quot;"/>
    </font>
    <font>
      <b/>
      <u/>
      <sz val="9"/>
      <color rgb="FF322B7B"/>
      <name val="Roboto"/>
    </font>
    <font>
      <sz val="10"/>
      <color rgb="FF333333"/>
      <name val="&quot;ＭＳ Ｐゴシック&quot;"/>
      <charset val="128"/>
    </font>
    <font>
      <strike/>
      <sz val="10"/>
      <color rgb="FF000000"/>
      <name val="Meiryo"/>
      <family val="2"/>
      <charset val="128"/>
    </font>
    <font>
      <u/>
      <sz val="10"/>
      <color rgb="FF000000"/>
      <name val="Calibri"/>
      <family val="2"/>
    </font>
    <font>
      <sz val="12"/>
      <color rgb="FF282828"/>
      <name val="Rubik"/>
    </font>
    <font>
      <b/>
      <u/>
      <sz val="11"/>
      <color rgb="FF000000"/>
      <name val="Times New Roman"/>
      <family val="1"/>
    </font>
    <font>
      <sz val="11"/>
      <color rgb="FFFF0000"/>
      <name val="Times New Roman"/>
      <family val="1"/>
    </font>
    <font>
      <u/>
      <sz val="10"/>
      <color rgb="FF1155CC"/>
      <name val="Arial, sans-serif"/>
    </font>
    <font>
      <u/>
      <sz val="10"/>
      <color rgb="FF0563C1"/>
      <name val="Arial, sans-serif"/>
    </font>
    <font>
      <strike/>
      <sz val="10"/>
      <color rgb="FF000000"/>
      <name val="Arial, sans-serif"/>
    </font>
    <font>
      <sz val="10"/>
      <color rgb="FF000000"/>
      <name val="Arial, sans-serif"/>
    </font>
    <font>
      <strike/>
      <sz val="10"/>
      <color rgb="FF1155CC"/>
      <name val="Arial, sans-serif"/>
    </font>
    <font>
      <strike/>
      <sz val="10"/>
      <color rgb="FF0563C1"/>
      <name val="Arial, sans-serif"/>
    </font>
    <font>
      <u/>
      <sz val="10"/>
      <color theme="10"/>
      <name val="Arial"/>
      <family val="2"/>
    </font>
    <font>
      <sz val="9"/>
      <color rgb="FF151515"/>
      <name val="Tahoma"/>
      <family val="2"/>
    </font>
    <font>
      <sz val="11"/>
      <color rgb="FF000000"/>
      <name val="OpenSans"/>
      <charset val="1"/>
    </font>
    <font>
      <sz val="12"/>
      <color rgb="FF000000"/>
      <name val="Meiryo"/>
      <family val="2"/>
      <charset val="128"/>
    </font>
    <font>
      <sz val="9"/>
      <color rgb="FF000000"/>
      <name val="Calibri"/>
      <family val="2"/>
    </font>
    <font>
      <sz val="9"/>
      <name val="Times New Roman"/>
      <family val="1"/>
    </font>
    <font>
      <sz val="6"/>
      <name val="Otsutome_font Bold"/>
      <family val="3"/>
      <charset val="128"/>
    </font>
    <font>
      <b/>
      <sz val="9"/>
      <color rgb="FF383838"/>
      <name val="Arial"/>
      <family val="2"/>
    </font>
    <font>
      <strike/>
      <sz val="10"/>
      <color rgb="FF000000"/>
      <name val="Arial"/>
      <family val="2"/>
    </font>
    <font>
      <sz val="10"/>
      <color rgb="FF000000"/>
      <name val="繝｡繧､繝ｪ繧ｪ"/>
      <family val="3"/>
      <charset val="128"/>
    </font>
    <font>
      <sz val="10"/>
      <color theme="1"/>
      <name val="Arial"/>
      <family val="2"/>
    </font>
    <font>
      <u/>
      <sz val="10"/>
      <color theme="10"/>
      <name val="Calibri"/>
      <family val="2"/>
      <charset val="128"/>
      <scheme val="minor"/>
    </font>
    <font>
      <sz val="10"/>
      <color theme="1"/>
      <name val="Calibri"/>
      <family val="2"/>
      <charset val="128"/>
      <scheme val="minor"/>
    </font>
    <font>
      <sz val="8"/>
      <color rgb="FF333333"/>
      <name val="Arial"/>
      <family val="2"/>
    </font>
    <font>
      <sz val="10"/>
      <color rgb="FF333333"/>
      <name val="Roboto"/>
      <family val="2"/>
      <charset val="1"/>
    </font>
    <font>
      <sz val="13.5"/>
      <color rgb="FF333333"/>
      <name val="Roboto"/>
      <family val="2"/>
      <charset val="1"/>
    </font>
    <font>
      <sz val="11"/>
      <color rgb="FF333333"/>
      <name val="Roboto"/>
      <family val="2"/>
      <charset val="1"/>
    </font>
    <font>
      <sz val="10"/>
      <color rgb="FF000000"/>
      <name val="Roboto"/>
      <family val="2"/>
      <charset val="1"/>
    </font>
    <font>
      <strike/>
      <u/>
      <sz val="10"/>
      <color theme="10"/>
      <name val="Arial"/>
      <family val="2"/>
    </font>
    <font>
      <sz val="10"/>
      <color rgb="FF000000"/>
      <name val="Meiryo"/>
      <family val="3"/>
      <charset val="128"/>
    </font>
    <font>
      <sz val="10"/>
      <color rgb="FF333333"/>
      <name val="Meiryo"/>
      <family val="3"/>
      <charset val="128"/>
    </font>
    <font>
      <sz val="9"/>
      <color rgb="FF333333"/>
      <name val="Meiryo"/>
      <family val="3"/>
      <charset val="128"/>
    </font>
    <font>
      <sz val="11"/>
      <color rgb="FF333333"/>
      <name val="Noto Sans JP"/>
      <charset val="1"/>
    </font>
    <font>
      <sz val="11"/>
      <color rgb="FF333333"/>
      <name val="Hiragino Kaku Gothic ProN"/>
      <family val="2"/>
      <charset val="128"/>
    </font>
    <font>
      <sz val="10"/>
      <color rgb="FF000000"/>
      <name val="Rubik"/>
      <charset val="1"/>
    </font>
    <font>
      <sz val="11"/>
      <color rgb="FF3C4043"/>
      <name val="Arial"/>
      <family val="2"/>
      <charset val="1"/>
    </font>
    <font>
      <sz val="12"/>
      <color theme="1"/>
      <name val="Arial"/>
      <family val="2"/>
    </font>
    <font>
      <u/>
      <sz val="11"/>
      <color rgb="FF0563C1"/>
      <name val="Times New Roman"/>
      <family val="1"/>
    </font>
    <font>
      <strike/>
      <sz val="10"/>
      <color theme="1"/>
      <name val="Arial"/>
      <family val="2"/>
    </font>
    <font>
      <sz val="10"/>
      <color rgb="FF333333"/>
      <name val="Inherit"/>
      <charset val="1"/>
    </font>
    <font>
      <sz val="11"/>
      <color rgb="FF000000"/>
      <name val="Yu Gothic"/>
      <family val="2"/>
      <charset val="1"/>
    </font>
    <font>
      <strike/>
      <sz val="11"/>
      <color rgb="FF000000"/>
      <name val="Yu Gothic"/>
      <family val="2"/>
      <charset val="1"/>
    </font>
    <font>
      <sz val="12"/>
      <color rgb="FF333333"/>
      <name val="Hiragino Kaku Gothic ProN"/>
      <family val="2"/>
      <charset val="1"/>
    </font>
    <font>
      <sz val="11"/>
      <color rgb="FF4D5357"/>
      <name val="Helvetica Neue"/>
      <family val="2"/>
    </font>
    <font>
      <sz val="11"/>
      <color rgb="FF0F1111"/>
      <name val="Hiragino Kaku Gothic ProN"/>
      <family val="2"/>
      <charset val="1"/>
    </font>
    <font>
      <sz val="11"/>
      <color rgb="FF444444"/>
      <name val="Calibri"/>
      <family val="2"/>
      <charset val="1"/>
    </font>
    <font>
      <sz val="11"/>
      <color rgb="FF000000"/>
      <name val="&quot;Times New Roman&quot;"/>
      <family val="2"/>
    </font>
    <font>
      <sz val="11"/>
      <color rgb="FF333333"/>
      <name val="Times New Roman"/>
      <family val="1"/>
    </font>
    <font>
      <strike/>
      <sz val="10"/>
      <color rgb="FF000000"/>
      <name val="Arial"/>
      <family val="2"/>
    </font>
    <font>
      <sz val="10"/>
      <color rgb="FF000000"/>
      <name val="ＭＳ Ｐゴシック"/>
      <family val="2"/>
      <charset val="128"/>
    </font>
    <font>
      <sz val="11"/>
      <color rgb="FF333333"/>
      <name val="Noto Sans JP"/>
      <family val="3"/>
      <charset val="128"/>
    </font>
    <font>
      <sz val="10"/>
      <color rgb="FF000000"/>
      <name val="TimesNewRomanPSMT"/>
    </font>
    <font>
      <strike/>
      <sz val="10"/>
      <color rgb="FF444444"/>
      <name val="Arial"/>
      <family val="2"/>
    </font>
    <font>
      <sz val="10"/>
      <color rgb="FF292929"/>
      <name val="Times New Roman"/>
      <family val="1"/>
    </font>
    <font>
      <sz val="11"/>
      <color rgb="FF262425"/>
      <name val="Helvetica Neue"/>
      <family val="2"/>
    </font>
    <font>
      <sz val="10"/>
      <color rgb="FF000000"/>
      <name val="Meiryo"/>
      <family val="2"/>
    </font>
    <font>
      <sz val="11"/>
      <color rgb="FF000000"/>
      <name val="游ゴシック"/>
      <family val="2"/>
    </font>
    <font>
      <sz val="10.5"/>
      <color rgb="FF000000"/>
      <name val="Times New Roman"/>
      <family val="1"/>
    </font>
    <font>
      <vertAlign val="superscript"/>
      <sz val="10"/>
      <color rgb="FF000000"/>
      <name val="Arial"/>
      <family val="2"/>
    </font>
    <font>
      <strike/>
      <sz val="11"/>
      <name val="Times New Roman"/>
      <family val="1"/>
    </font>
    <font>
      <sz val="10"/>
      <color rgb="FF000000"/>
      <name val="Yu Gothic UI"/>
      <family val="3"/>
      <charset val="128"/>
    </font>
    <font>
      <sz val="11"/>
      <color rgb="FF30201A"/>
      <name val="YakuHanJP"/>
      <charset val="1"/>
    </font>
    <font>
      <sz val="10"/>
      <color rgb="FF0D0D0D"/>
      <name val="Arial"/>
      <family val="2"/>
    </font>
    <font>
      <strike/>
      <sz val="10"/>
      <color rgb="FF000000"/>
      <name val="Arial"/>
      <family val="2"/>
    </font>
    <font>
      <strike/>
      <sz val="11"/>
      <color rgb="FF444444"/>
      <name val="Calibri"/>
      <family val="2"/>
      <charset val="1"/>
    </font>
    <font>
      <u/>
      <sz val="10"/>
      <color theme="10"/>
      <name val="Arial"/>
      <family val="2"/>
    </font>
    <font>
      <sz val="11"/>
      <color rgb="FF262626"/>
      <name val="Times New Roman"/>
      <family val="1"/>
    </font>
    <font>
      <sz val="11"/>
      <color rgb="FF151515"/>
      <name val="Open Sans"/>
      <family val="2"/>
    </font>
    <font>
      <sz val="10"/>
      <color rgb="FF000000"/>
      <name val="Tahoma"/>
      <family val="2"/>
    </font>
    <font>
      <sz val="11"/>
      <color rgb="FF000000"/>
      <name val="Times New Roman"/>
      <family val="1"/>
      <charset val="128"/>
    </font>
    <font>
      <sz val="11"/>
      <color theme="1"/>
      <name val="Times New Roman"/>
      <family val="1"/>
    </font>
    <font>
      <u/>
      <sz val="11"/>
      <color theme="10"/>
      <name val="Times New Roman"/>
      <family val="1"/>
    </font>
    <font>
      <sz val="10"/>
      <color theme="1"/>
      <name val="ＭＳ Ｐゴシック"/>
      <family val="2"/>
      <charset val="128"/>
    </font>
    <font>
      <sz val="10"/>
      <color rgb="FF000000"/>
      <name val="ＭＳ Ｐゴシック"/>
      <family val="3"/>
      <charset val="128"/>
    </font>
    <font>
      <strike/>
      <sz val="10"/>
      <color rgb="FF000000"/>
      <name val="Arial"/>
      <family val="2"/>
    </font>
    <font>
      <sz val="11"/>
      <color rgb="FF444444"/>
      <name val="Meiryo UI"/>
      <family val="2"/>
      <charset val="128"/>
    </font>
    <font>
      <sz val="11"/>
      <color rgb="FF222222"/>
      <name val="Times New Roman"/>
      <family val="1"/>
    </font>
  </fonts>
  <fills count="37">
    <fill>
      <patternFill patternType="none"/>
    </fill>
    <fill>
      <patternFill patternType="gray125"/>
    </fill>
    <fill>
      <patternFill patternType="solid">
        <fgColor rgb="FFFFC000"/>
        <bgColor rgb="FFFFC000"/>
      </patternFill>
    </fill>
    <fill>
      <patternFill patternType="solid">
        <fgColor rgb="FFB8CCE4"/>
        <bgColor rgb="FFB8CCE4"/>
      </patternFill>
    </fill>
    <fill>
      <patternFill patternType="solid">
        <fgColor rgb="FFDDD9C3"/>
        <bgColor rgb="FFDDD9C3"/>
      </patternFill>
    </fill>
    <fill>
      <patternFill patternType="solid">
        <fgColor rgb="FF19FF81"/>
        <bgColor rgb="FF19FF81"/>
      </patternFill>
    </fill>
    <fill>
      <patternFill patternType="solid">
        <fgColor rgb="FFB2A1C7"/>
        <bgColor rgb="FFB2A1C7"/>
      </patternFill>
    </fill>
    <fill>
      <patternFill patternType="solid">
        <fgColor rgb="FFD99795"/>
        <bgColor rgb="FFD99795"/>
      </patternFill>
    </fill>
    <fill>
      <patternFill patternType="solid">
        <fgColor rgb="FFFFFFFF"/>
        <bgColor rgb="FFFFFFFF"/>
      </patternFill>
    </fill>
    <fill>
      <patternFill patternType="solid">
        <fgColor rgb="FFEBF5FF"/>
        <bgColor rgb="FFEBF5FF"/>
      </patternFill>
    </fill>
    <fill>
      <patternFill patternType="solid">
        <fgColor rgb="FF84CDA9"/>
        <bgColor rgb="FF84CDA9"/>
      </patternFill>
    </fill>
    <fill>
      <patternFill patternType="solid">
        <fgColor rgb="FF58BB8B"/>
        <bgColor rgb="FF58BB8B"/>
      </patternFill>
    </fill>
    <fill>
      <patternFill patternType="solid">
        <fgColor rgb="FFF0EFF3"/>
        <bgColor rgb="FFF0EFF3"/>
      </patternFill>
    </fill>
    <fill>
      <patternFill patternType="solid">
        <fgColor rgb="FFFFFF00"/>
        <bgColor rgb="FFFFFF00"/>
      </patternFill>
    </fill>
    <fill>
      <patternFill patternType="solid">
        <fgColor rgb="FFEA9999"/>
        <bgColor rgb="FFEA9999"/>
      </patternFill>
    </fill>
    <fill>
      <patternFill patternType="solid">
        <fgColor rgb="FFB4A7D6"/>
        <bgColor rgb="FFB4A7D6"/>
      </patternFill>
    </fill>
    <fill>
      <patternFill patternType="solid">
        <fgColor rgb="FFC27BA0"/>
        <bgColor rgb="FFC27BA0"/>
      </patternFill>
    </fill>
    <fill>
      <patternFill patternType="solid">
        <fgColor rgb="FF434343"/>
        <bgColor rgb="FF434343"/>
      </patternFill>
    </fill>
    <fill>
      <patternFill patternType="solid">
        <fgColor rgb="FFF2F2F2"/>
        <bgColor rgb="FFF2F2F2"/>
      </patternFill>
    </fill>
    <fill>
      <patternFill patternType="solid">
        <fgColor rgb="FFDD7E6B"/>
        <bgColor rgb="FFDD7E6B"/>
      </patternFill>
    </fill>
    <fill>
      <patternFill patternType="solid">
        <fgColor rgb="FFFAFAFA"/>
        <bgColor rgb="FFFAFAFA"/>
      </patternFill>
    </fill>
    <fill>
      <patternFill patternType="solid">
        <fgColor rgb="FFB7B7B7"/>
        <bgColor rgb="FFB7B7B7"/>
      </patternFill>
    </fill>
    <fill>
      <patternFill patternType="solid">
        <fgColor rgb="FFCCCCCC"/>
        <bgColor rgb="FFCCCCCC"/>
      </patternFill>
    </fill>
    <fill>
      <patternFill patternType="solid">
        <fgColor rgb="FFFFFFFF"/>
        <bgColor indexed="64"/>
      </patternFill>
    </fill>
    <fill>
      <patternFill patternType="solid">
        <fgColor rgb="FFCC94F7"/>
        <bgColor indexed="64"/>
      </patternFill>
    </fill>
    <fill>
      <patternFill patternType="solid">
        <fgColor rgb="FFB280D9"/>
        <bgColor indexed="64"/>
      </patternFill>
    </fill>
    <fill>
      <patternFill patternType="solid">
        <fgColor rgb="FFFFFFFF"/>
        <bgColor rgb="FF000000"/>
      </patternFill>
    </fill>
    <fill>
      <patternFill patternType="solid">
        <fgColor rgb="FFD99795"/>
        <bgColor indexed="64"/>
      </patternFill>
    </fill>
    <fill>
      <patternFill patternType="solid">
        <fgColor rgb="FFB2A1C7"/>
        <bgColor indexed="64"/>
      </patternFill>
    </fill>
    <fill>
      <patternFill patternType="solid">
        <fgColor rgb="FFFFFF00"/>
        <bgColor indexed="64"/>
      </patternFill>
    </fill>
    <fill>
      <patternFill patternType="solid">
        <fgColor rgb="FFED7D31"/>
        <bgColor indexed="64"/>
      </patternFill>
    </fill>
    <fill>
      <patternFill patternType="solid">
        <fgColor rgb="FFA6A6A6"/>
        <bgColor indexed="64"/>
      </patternFill>
    </fill>
    <fill>
      <patternFill patternType="solid">
        <fgColor rgb="FFBFBFBF"/>
        <bgColor indexed="64"/>
      </patternFill>
    </fill>
    <fill>
      <patternFill patternType="solid">
        <fgColor rgb="FFB2A1C7"/>
        <bgColor rgb="FF19FF81"/>
      </patternFill>
    </fill>
    <fill>
      <patternFill patternType="solid">
        <fgColor rgb="FFFFFFFF"/>
        <bgColor rgb="FFDDD9C3"/>
      </patternFill>
    </fill>
    <fill>
      <patternFill patternType="solid">
        <fgColor theme="0"/>
        <bgColor rgb="FFFFFFFF"/>
      </patternFill>
    </fill>
    <fill>
      <patternFill patternType="solid">
        <fgColor theme="0"/>
        <bgColor indexed="64"/>
      </patternFill>
    </fill>
  </fills>
  <borders count="4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CCCCCC"/>
      </left>
      <right style="thin">
        <color rgb="FF000000"/>
      </right>
      <top style="thin">
        <color rgb="FF000000"/>
      </top>
      <bottom style="thin">
        <color rgb="FF000000"/>
      </bottom>
      <diagonal/>
    </border>
    <border>
      <left style="thin">
        <color rgb="FFCCCCCC"/>
      </left>
      <right/>
      <top style="thin">
        <color rgb="FF000000"/>
      </top>
      <bottom style="thin">
        <color rgb="FF000000"/>
      </bottom>
      <diagonal/>
    </border>
    <border>
      <left style="thin">
        <color rgb="FFCCCCCC"/>
      </left>
      <right style="thin">
        <color rgb="FF000000"/>
      </right>
      <top/>
      <bottom style="thin">
        <color rgb="FF000000"/>
      </bottom>
      <diagonal/>
    </border>
    <border>
      <left/>
      <right/>
      <top style="thin">
        <color rgb="FF999999"/>
      </top>
      <bottom/>
      <diagonal/>
    </border>
    <border>
      <left style="thin">
        <color rgb="FFC2CCCE"/>
      </left>
      <right/>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top/>
      <bottom/>
      <diagonal/>
    </border>
    <border>
      <left style="thin">
        <color rgb="FF000000"/>
      </left>
      <right style="thin">
        <color rgb="FFDDDDDD"/>
      </right>
      <top style="thin">
        <color rgb="FFDDDDDD"/>
      </top>
      <bottom style="thin">
        <color rgb="FFDDDDDD"/>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CCCCCC"/>
      </top>
      <bottom style="thin">
        <color rgb="FF000000"/>
      </bottom>
      <diagonal/>
    </border>
    <border>
      <left style="thin">
        <color rgb="FF000000"/>
      </left>
      <right/>
      <top style="thin">
        <color rgb="FFCCCCCC"/>
      </top>
      <bottom style="thin">
        <color rgb="FF000000"/>
      </bottom>
      <diagonal/>
    </border>
    <border>
      <left/>
      <right/>
      <top style="thin">
        <color rgb="FFCCCCCC"/>
      </top>
      <bottom style="thin">
        <color rgb="FF000000"/>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rgb="FF000000"/>
      </left>
      <right/>
      <top style="thin">
        <color rgb="FF000000"/>
      </top>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rgb="FFCCCCCC"/>
      </left>
      <right/>
      <top/>
      <bottom style="thin">
        <color rgb="FF000000"/>
      </bottom>
      <diagonal/>
    </border>
    <border>
      <left/>
      <right style="thin">
        <color rgb="FFCCCCCC"/>
      </right>
      <top style="thin">
        <color rgb="FF000000"/>
      </top>
      <bottom style="thin">
        <color rgb="FF000000"/>
      </bottom>
      <diagonal/>
    </border>
    <border>
      <left/>
      <right style="thin">
        <color rgb="FF000000"/>
      </right>
      <top style="thin">
        <color rgb="FFCCCCCC"/>
      </top>
      <bottom style="thin">
        <color rgb="FFCCCCCC"/>
      </bottom>
      <diagonal/>
    </border>
    <border>
      <left/>
      <right style="thin">
        <color rgb="FFCCCCCC"/>
      </right>
      <top/>
      <bottom style="thin">
        <color rgb="FF000000"/>
      </bottom>
      <diagonal/>
    </border>
    <border>
      <left/>
      <right style="thin">
        <color rgb="FF000000"/>
      </right>
      <top style="thin">
        <color rgb="FFCCCCCC"/>
      </top>
      <bottom style="thin">
        <color rgb="FF000000"/>
      </bottom>
      <diagonal/>
    </border>
    <border>
      <left style="thin">
        <color rgb="FF777766"/>
      </left>
      <right style="thin">
        <color rgb="FF777766"/>
      </right>
      <top style="thin">
        <color rgb="FF777766"/>
      </top>
      <bottom style="thin">
        <color rgb="FF777766"/>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s>
  <cellStyleXfs count="2">
    <xf numFmtId="0" fontId="0" fillId="0" borderId="0"/>
    <xf numFmtId="0" fontId="305" fillId="0" borderId="0" applyNumberFormat="0" applyFill="0" applyBorder="0" applyAlignment="0" applyProtection="0"/>
  </cellStyleXfs>
  <cellXfs count="2348">
    <xf numFmtId="0" fontId="0" fillId="0" borderId="0" xfId="0"/>
    <xf numFmtId="0" fontId="19" fillId="8" borderId="18" xfId="0" applyFont="1" applyFill="1" applyBorder="1" applyAlignment="1">
      <alignment horizontal="center"/>
    </xf>
    <xf numFmtId="0" fontId="1" fillId="0" borderId="0" xfId="0" applyFont="1" applyAlignment="1">
      <alignment horizontal="center" vertical="center" wrapText="1"/>
    </xf>
    <xf numFmtId="0" fontId="1" fillId="0" borderId="0" xfId="0" applyFont="1" applyAlignment="1">
      <alignment horizontal="left" vertical="center" wrapText="1"/>
    </xf>
    <xf numFmtId="0" fontId="2"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0" borderId="0" xfId="0" applyFont="1" applyAlignment="1">
      <alignment horizontal="center" vertical="center" wrapText="1"/>
    </xf>
    <xf numFmtId="0" fontId="1" fillId="6"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167" fontId="1" fillId="4" borderId="1" xfId="0" applyNumberFormat="1" applyFont="1" applyFill="1" applyBorder="1" applyAlignment="1">
      <alignment horizontal="center" vertical="center" wrapText="1"/>
    </xf>
    <xf numFmtId="0" fontId="1" fillId="4" borderId="1" xfId="0" applyFont="1" applyFill="1" applyBorder="1" applyAlignment="1">
      <alignment horizontal="left" vertical="center" wrapText="1"/>
    </xf>
    <xf numFmtId="0" fontId="2" fillId="0" borderId="1" xfId="0" applyFont="1" applyBorder="1" applyAlignment="1">
      <alignment horizontal="center" vertical="center" wrapText="1"/>
    </xf>
    <xf numFmtId="168" fontId="1" fillId="4" borderId="1" xfId="0" applyNumberFormat="1" applyFont="1" applyFill="1" applyBorder="1" applyAlignment="1">
      <alignment horizontal="center" vertical="center" wrapText="1"/>
    </xf>
    <xf numFmtId="0" fontId="6" fillId="0" borderId="1" xfId="0" applyFont="1" applyBorder="1" applyAlignment="1">
      <alignment horizontal="center"/>
    </xf>
    <xf numFmtId="169" fontId="1"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3" fontId="1" fillId="0" borderId="1" xfId="0" applyNumberFormat="1" applyFont="1" applyBorder="1" applyAlignment="1">
      <alignment horizontal="center" vertical="center" wrapText="1"/>
    </xf>
    <xf numFmtId="170" fontId="1"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1" fillId="0" borderId="1" xfId="0" quotePrefix="1" applyFont="1" applyBorder="1" applyAlignment="1">
      <alignment horizontal="center" vertical="center" wrapText="1"/>
    </xf>
    <xf numFmtId="0" fontId="8" fillId="8" borderId="1" xfId="0" applyFont="1" applyFill="1" applyBorder="1" applyAlignment="1">
      <alignment horizontal="center" vertical="center" wrapText="1"/>
    </xf>
    <xf numFmtId="0" fontId="9" fillId="8" borderId="1"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3" fillId="0" borderId="1" xfId="0" applyFont="1" applyBorder="1" applyAlignment="1">
      <alignment horizontal="center" vertical="center" wrapText="1"/>
    </xf>
    <xf numFmtId="14" fontId="8" fillId="0" borderId="1" xfId="0" applyNumberFormat="1" applyFont="1" applyBorder="1" applyAlignment="1">
      <alignment horizontal="center" vertical="center" wrapText="1"/>
    </xf>
    <xf numFmtId="0" fontId="14" fillId="0" borderId="1" xfId="0" applyFont="1" applyBorder="1" applyAlignment="1">
      <alignment horizontal="center" vertical="center" wrapText="1"/>
    </xf>
    <xf numFmtId="0" fontId="8" fillId="0" borderId="1" xfId="0" applyFont="1" applyBorder="1" applyAlignment="1">
      <alignment horizontal="center" vertical="center" wrapText="1"/>
    </xf>
    <xf numFmtId="0" fontId="21" fillId="0" borderId="1" xfId="0" applyFont="1" applyBorder="1" applyAlignment="1">
      <alignment horizontal="center" vertical="center" wrapText="1"/>
    </xf>
    <xf numFmtId="0" fontId="1" fillId="8" borderId="1" xfId="0" applyFont="1" applyFill="1" applyBorder="1" applyAlignment="1">
      <alignment horizontal="center" vertical="center" wrapText="1"/>
    </xf>
    <xf numFmtId="0" fontId="22" fillId="0" borderId="1" xfId="0" applyFont="1" applyBorder="1" applyAlignment="1">
      <alignment horizontal="center" vertical="center" wrapText="1"/>
    </xf>
    <xf numFmtId="0" fontId="23" fillId="0" borderId="1" xfId="0" applyFont="1" applyBorder="1" applyAlignment="1">
      <alignment horizontal="center" vertical="center" wrapText="1"/>
    </xf>
    <xf numFmtId="0" fontId="24" fillId="8" borderId="1" xfId="0" applyFont="1" applyFill="1" applyBorder="1" applyAlignment="1">
      <alignment horizontal="center" vertical="center" wrapText="1"/>
    </xf>
    <xf numFmtId="0" fontId="24" fillId="0" borderId="1" xfId="0" applyFont="1" applyBorder="1" applyAlignment="1">
      <alignment horizontal="center" vertical="center" wrapText="1"/>
    </xf>
    <xf numFmtId="0" fontId="25" fillId="8"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27" fillId="8" borderId="1" xfId="0" applyFont="1" applyFill="1" applyBorder="1" applyAlignment="1">
      <alignment horizontal="center" vertical="center" wrapText="1"/>
    </xf>
    <xf numFmtId="0" fontId="28" fillId="9" borderId="1" xfId="0" applyFont="1" applyFill="1" applyBorder="1" applyAlignment="1">
      <alignment horizontal="center" vertical="center" wrapText="1"/>
    </xf>
    <xf numFmtId="171" fontId="1" fillId="0" borderId="1" xfId="0" applyNumberFormat="1" applyFont="1" applyBorder="1" applyAlignment="1">
      <alignment horizontal="center" vertical="center" wrapText="1"/>
    </xf>
    <xf numFmtId="0" fontId="11" fillId="8" borderId="1" xfId="0" applyFont="1" applyFill="1" applyBorder="1" applyAlignment="1">
      <alignment horizontal="center" vertical="center" wrapText="1"/>
    </xf>
    <xf numFmtId="0" fontId="29" fillId="0" borderId="1" xfId="0" applyFont="1" applyBorder="1" applyAlignment="1">
      <alignment horizontal="center" vertical="center" wrapText="1"/>
    </xf>
    <xf numFmtId="0" fontId="21" fillId="8" borderId="1" xfId="0" applyFont="1" applyFill="1" applyBorder="1" applyAlignment="1">
      <alignment horizontal="center" vertical="center" wrapText="1"/>
    </xf>
    <xf numFmtId="0" fontId="30" fillId="8" borderId="1" xfId="0" applyFont="1" applyFill="1" applyBorder="1" applyAlignment="1">
      <alignment horizontal="center" vertical="center" wrapText="1"/>
    </xf>
    <xf numFmtId="0" fontId="30" fillId="0" borderId="1" xfId="0" applyFont="1" applyBorder="1" applyAlignment="1">
      <alignment horizontal="center" vertical="center" wrapText="1"/>
    </xf>
    <xf numFmtId="0" fontId="6" fillId="0" borderId="1" xfId="0" applyFont="1" applyBorder="1" applyAlignment="1">
      <alignment horizontal="left" vertical="center" wrapText="1"/>
    </xf>
    <xf numFmtId="0" fontId="31"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4" fillId="0" borderId="1" xfId="0" applyFont="1" applyBorder="1" applyAlignment="1">
      <alignment horizontal="center" vertical="center" wrapText="1"/>
    </xf>
    <xf numFmtId="0" fontId="34" fillId="0" borderId="0" xfId="0" applyFont="1" applyAlignment="1">
      <alignment horizontal="center" vertical="center" wrapText="1"/>
    </xf>
    <xf numFmtId="0" fontId="2" fillId="8" borderId="1" xfId="0" applyFont="1" applyFill="1" applyBorder="1" applyAlignment="1">
      <alignment horizontal="center" vertical="center" wrapText="1"/>
    </xf>
    <xf numFmtId="0" fontId="2" fillId="8" borderId="0" xfId="0" applyFont="1" applyFill="1" applyAlignment="1">
      <alignment horizontal="center" vertical="center" wrapText="1"/>
    </xf>
    <xf numFmtId="0" fontId="36" fillId="0" borderId="1" xfId="0" applyFont="1" applyBorder="1" applyAlignment="1">
      <alignment horizontal="center" vertical="center" wrapText="1"/>
    </xf>
    <xf numFmtId="0" fontId="37" fillId="0" borderId="1" xfId="0" applyFont="1" applyBorder="1" applyAlignment="1">
      <alignment horizontal="center" vertical="center" wrapText="1"/>
    </xf>
    <xf numFmtId="0" fontId="39" fillId="0" borderId="1" xfId="0" applyFont="1" applyBorder="1" applyAlignment="1">
      <alignment horizontal="center" vertical="center" wrapText="1"/>
    </xf>
    <xf numFmtId="0" fontId="40" fillId="8" borderId="1" xfId="0" applyFont="1" applyFill="1" applyBorder="1" applyAlignment="1">
      <alignment horizontal="center" vertical="center" wrapText="1"/>
    </xf>
    <xf numFmtId="0" fontId="41" fillId="0" borderId="1" xfId="0" applyFont="1" applyBorder="1" applyAlignment="1">
      <alignment horizontal="center" vertical="center" wrapText="1"/>
    </xf>
    <xf numFmtId="0" fontId="13" fillId="0" borderId="3" xfId="0" applyFont="1" applyBorder="1" applyAlignment="1">
      <alignment horizontal="center" vertical="center" wrapText="1"/>
    </xf>
    <xf numFmtId="0" fontId="8" fillId="8" borderId="0" xfId="0" applyFont="1" applyFill="1" applyAlignment="1">
      <alignment horizontal="center" vertical="center" wrapText="1"/>
    </xf>
    <xf numFmtId="0" fontId="43" fillId="0" borderId="0" xfId="0" applyFont="1" applyAlignment="1">
      <alignment horizontal="center" vertical="center" wrapText="1"/>
    </xf>
    <xf numFmtId="0" fontId="36" fillId="8" borderId="1" xfId="0" applyFont="1" applyFill="1" applyBorder="1" applyAlignment="1">
      <alignment horizontal="center" vertical="center" wrapText="1"/>
    </xf>
    <xf numFmtId="0" fontId="46" fillId="8" borderId="0" xfId="0" applyFont="1" applyFill="1" applyAlignment="1">
      <alignment horizontal="center" vertical="center" wrapText="1"/>
    </xf>
    <xf numFmtId="0" fontId="11" fillId="8" borderId="0" xfId="0" applyFont="1" applyFill="1" applyAlignment="1">
      <alignment horizontal="center" vertical="center" wrapText="1"/>
    </xf>
    <xf numFmtId="0" fontId="6" fillId="0" borderId="0" xfId="0" applyFont="1" applyAlignment="1">
      <alignment horizontal="center" vertical="center" wrapText="1"/>
    </xf>
    <xf numFmtId="0" fontId="47" fillId="8" borderId="1" xfId="0" applyFont="1" applyFill="1" applyBorder="1" applyAlignment="1">
      <alignment horizontal="center" vertical="center" wrapText="1"/>
    </xf>
    <xf numFmtId="0" fontId="47" fillId="8" borderId="0" xfId="0" applyFont="1" applyFill="1" applyAlignment="1">
      <alignment horizontal="center" vertical="center" wrapText="1"/>
    </xf>
    <xf numFmtId="0" fontId="47"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48" fillId="0" borderId="1" xfId="0" applyFont="1" applyBorder="1" applyAlignment="1">
      <alignment horizontal="center" vertical="center" wrapText="1"/>
    </xf>
    <xf numFmtId="0" fontId="49" fillId="0" borderId="1" xfId="0" applyFont="1" applyBorder="1" applyAlignment="1">
      <alignment horizontal="center" vertical="center" wrapText="1"/>
    </xf>
    <xf numFmtId="0" fontId="49" fillId="0" borderId="0" xfId="0" applyFont="1" applyAlignment="1">
      <alignment horizontal="center" vertical="center" wrapText="1"/>
    </xf>
    <xf numFmtId="0" fontId="51" fillId="0" borderId="1" xfId="0" applyFont="1" applyBorder="1" applyAlignment="1">
      <alignment horizontal="center" vertical="center" wrapText="1"/>
    </xf>
    <xf numFmtId="0" fontId="52" fillId="8" borderId="0" xfId="0" applyFont="1" applyFill="1" applyAlignment="1">
      <alignment horizontal="center" vertical="center" wrapText="1"/>
    </xf>
    <xf numFmtId="0" fontId="52" fillId="8" borderId="1" xfId="0" applyFont="1" applyFill="1" applyBorder="1" applyAlignment="1">
      <alignment horizontal="center" vertical="center" wrapText="1"/>
    </xf>
    <xf numFmtId="0" fontId="48" fillId="8" borderId="0" xfId="0" applyFont="1" applyFill="1" applyAlignment="1">
      <alignment horizontal="center" vertical="center" wrapText="1"/>
    </xf>
    <xf numFmtId="0" fontId="48" fillId="8" borderId="1" xfId="0" applyFont="1" applyFill="1" applyBorder="1" applyAlignment="1">
      <alignment horizontal="center" vertical="center" wrapText="1"/>
    </xf>
    <xf numFmtId="0" fontId="29" fillId="0" borderId="0" xfId="0" applyFont="1" applyAlignment="1">
      <alignment horizontal="center" vertical="center" wrapText="1"/>
    </xf>
    <xf numFmtId="0" fontId="40" fillId="8" borderId="0" xfId="0" applyFont="1" applyFill="1" applyAlignment="1">
      <alignment horizontal="center" vertical="center" wrapText="1"/>
    </xf>
    <xf numFmtId="0" fontId="54" fillId="8" borderId="0" xfId="0" applyFont="1" applyFill="1" applyAlignment="1">
      <alignment horizontal="center" vertical="center" wrapText="1"/>
    </xf>
    <xf numFmtId="0" fontId="40" fillId="8" borderId="3" xfId="0" applyFont="1" applyFill="1" applyBorder="1" applyAlignment="1">
      <alignment horizontal="center" vertical="center" wrapText="1"/>
    </xf>
    <xf numFmtId="0" fontId="55" fillId="8" borderId="0" xfId="0" applyFont="1" applyFill="1" applyAlignment="1">
      <alignment horizontal="center" vertical="center" wrapText="1"/>
    </xf>
    <xf numFmtId="0" fontId="56" fillId="8" borderId="0" xfId="0" applyFont="1" applyFill="1" applyAlignment="1">
      <alignment horizontal="center" vertical="center" wrapText="1"/>
    </xf>
    <xf numFmtId="0" fontId="36" fillId="8" borderId="0" xfId="0" applyFont="1" applyFill="1" applyAlignment="1">
      <alignment horizontal="center" vertical="center" wrapText="1"/>
    </xf>
    <xf numFmtId="0" fontId="10" fillId="8" borderId="0" xfId="0" applyFont="1" applyFill="1" applyAlignment="1">
      <alignment horizontal="center" vertical="center" wrapText="1"/>
    </xf>
    <xf numFmtId="0" fontId="57" fillId="0" borderId="0" xfId="0" applyFont="1" applyAlignment="1">
      <alignment horizontal="center" vertical="center" wrapText="1"/>
    </xf>
    <xf numFmtId="0" fontId="10" fillId="9" borderId="0" xfId="0" applyFont="1" applyFill="1" applyAlignment="1">
      <alignment horizontal="center" vertical="center" wrapText="1"/>
    </xf>
    <xf numFmtId="0" fontId="60" fillId="8" borderId="0" xfId="0" applyFont="1" applyFill="1" applyAlignment="1">
      <alignment horizontal="center" vertical="center" wrapText="1"/>
    </xf>
    <xf numFmtId="0" fontId="27" fillId="0" borderId="1" xfId="0" applyFont="1" applyBorder="1" applyAlignment="1">
      <alignment horizontal="center" vertical="center" wrapText="1"/>
    </xf>
    <xf numFmtId="0" fontId="61" fillId="0" borderId="0" xfId="0" applyFont="1" applyAlignment="1">
      <alignment horizontal="center" vertical="center" wrapText="1"/>
    </xf>
    <xf numFmtId="0" fontId="62" fillId="8"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52" fillId="8" borderId="2" xfId="0" applyFont="1" applyFill="1" applyBorder="1" applyAlignment="1">
      <alignment horizontal="center" vertical="center" wrapText="1"/>
    </xf>
    <xf numFmtId="0" fontId="52" fillId="8" borderId="5" xfId="0" applyFont="1" applyFill="1" applyBorder="1" applyAlignment="1">
      <alignment horizontal="center" vertical="center" wrapText="1"/>
    </xf>
    <xf numFmtId="0" fontId="52" fillId="8" borderId="6" xfId="0" applyFont="1" applyFill="1" applyBorder="1" applyAlignment="1">
      <alignment horizontal="center" vertical="center" wrapText="1"/>
    </xf>
    <xf numFmtId="0" fontId="21" fillId="0" borderId="0" xfId="0" applyFont="1" applyAlignment="1">
      <alignment horizontal="center" vertical="center" wrapText="1"/>
    </xf>
    <xf numFmtId="0" fontId="52" fillId="0" borderId="1" xfId="0" applyFont="1" applyBorder="1" applyAlignment="1">
      <alignment horizontal="center" vertical="center" wrapText="1"/>
    </xf>
    <xf numFmtId="0" fontId="13" fillId="0" borderId="0" xfId="0" applyFont="1" applyAlignment="1">
      <alignment horizontal="center" vertical="center" wrapText="1"/>
    </xf>
    <xf numFmtId="0" fontId="67" fillId="0" borderId="1" xfId="0" applyFont="1" applyBorder="1" applyAlignment="1">
      <alignment horizontal="center" vertical="center" wrapText="1"/>
    </xf>
    <xf numFmtId="0" fontId="11" fillId="8" borderId="0" xfId="0" applyFont="1" applyFill="1" applyAlignment="1">
      <alignment horizontal="center" wrapText="1"/>
    </xf>
    <xf numFmtId="0" fontId="36" fillId="8" borderId="0" xfId="0" applyFont="1" applyFill="1" applyAlignment="1">
      <alignment horizontal="center" wrapText="1"/>
    </xf>
    <xf numFmtId="0" fontId="21" fillId="0" borderId="0" xfId="0" applyFont="1" applyAlignment="1">
      <alignment horizontal="center" wrapText="1"/>
    </xf>
    <xf numFmtId="0" fontId="14" fillId="8" borderId="0" xfId="0" applyFont="1" applyFill="1" applyAlignment="1">
      <alignment horizontal="center" wrapText="1"/>
    </xf>
    <xf numFmtId="0" fontId="6" fillId="0" borderId="0" xfId="0" applyFont="1" applyAlignment="1">
      <alignment horizontal="center" wrapText="1"/>
    </xf>
    <xf numFmtId="0" fontId="31" fillId="8" borderId="1" xfId="0" applyFont="1" applyFill="1" applyBorder="1" applyAlignment="1">
      <alignment horizontal="center" wrapText="1"/>
    </xf>
    <xf numFmtId="0" fontId="31" fillId="8" borderId="3" xfId="0" applyFont="1" applyFill="1" applyBorder="1" applyAlignment="1">
      <alignment horizontal="center" wrapText="1"/>
    </xf>
    <xf numFmtId="0" fontId="31" fillId="8" borderId="7" xfId="0" applyFont="1" applyFill="1" applyBorder="1" applyAlignment="1">
      <alignment horizontal="center" wrapText="1"/>
    </xf>
    <xf numFmtId="0" fontId="68" fillId="0" borderId="7" xfId="0" applyFont="1" applyBorder="1" applyAlignment="1">
      <alignment horizontal="center" wrapText="1"/>
    </xf>
    <xf numFmtId="0" fontId="21" fillId="8" borderId="8" xfId="0" applyFont="1" applyFill="1" applyBorder="1" applyAlignment="1">
      <alignment horizontal="center" wrapText="1"/>
    </xf>
    <xf numFmtId="0" fontId="69" fillId="0" borderId="3" xfId="0" applyFont="1" applyBorder="1" applyAlignment="1">
      <alignment horizontal="center" wrapText="1"/>
    </xf>
    <xf numFmtId="0" fontId="21" fillId="0" borderId="6" xfId="0" applyFont="1" applyBorder="1" applyAlignment="1">
      <alignment horizontal="center" wrapText="1"/>
    </xf>
    <xf numFmtId="0" fontId="21" fillId="8" borderId="3" xfId="0" applyFont="1" applyFill="1" applyBorder="1" applyAlignment="1">
      <alignment horizontal="center" wrapText="1"/>
    </xf>
    <xf numFmtId="0" fontId="21" fillId="0" borderId="9" xfId="0" applyFont="1" applyBorder="1" applyAlignment="1">
      <alignment horizontal="center" wrapText="1"/>
    </xf>
    <xf numFmtId="0" fontId="21" fillId="0" borderId="7" xfId="0" applyFont="1" applyBorder="1" applyAlignment="1">
      <alignment horizontal="center" wrapText="1"/>
    </xf>
    <xf numFmtId="0" fontId="71" fillId="8" borderId="0" xfId="0" applyFont="1" applyFill="1" applyAlignment="1">
      <alignment horizontal="center" wrapText="1"/>
    </xf>
    <xf numFmtId="0" fontId="72" fillId="0" borderId="1" xfId="0" applyFont="1" applyBorder="1" applyAlignment="1">
      <alignment horizontal="center" wrapText="1"/>
    </xf>
    <xf numFmtId="0" fontId="10" fillId="8" borderId="1" xfId="0" applyFont="1" applyFill="1" applyBorder="1" applyAlignment="1">
      <alignment horizontal="center" wrapText="1"/>
    </xf>
    <xf numFmtId="0" fontId="10" fillId="8" borderId="0" xfId="0" applyFont="1" applyFill="1" applyAlignment="1">
      <alignment horizontal="center" wrapText="1"/>
    </xf>
    <xf numFmtId="0" fontId="25" fillId="8" borderId="0" xfId="0" applyFont="1" applyFill="1" applyAlignment="1">
      <alignment horizontal="center" wrapText="1"/>
    </xf>
    <xf numFmtId="0" fontId="19" fillId="8" borderId="0" xfId="0" applyFont="1" applyFill="1" applyAlignment="1">
      <alignment horizontal="center" wrapText="1"/>
    </xf>
    <xf numFmtId="0" fontId="73" fillId="0" borderId="10" xfId="0" applyFont="1" applyBorder="1" applyAlignment="1">
      <alignment horizontal="center" wrapText="1"/>
    </xf>
    <xf numFmtId="0" fontId="19" fillId="0" borderId="10" xfId="0" applyFont="1" applyBorder="1" applyAlignment="1">
      <alignment horizontal="center" wrapText="1"/>
    </xf>
    <xf numFmtId="0" fontId="19" fillId="0" borderId="1" xfId="0" applyFont="1" applyBorder="1" applyAlignment="1">
      <alignment horizontal="center" wrapText="1"/>
    </xf>
    <xf numFmtId="0" fontId="19" fillId="0" borderId="0" xfId="0" applyFont="1" applyAlignment="1">
      <alignment horizontal="center" wrapText="1"/>
    </xf>
    <xf numFmtId="0" fontId="73" fillId="0" borderId="12" xfId="0" applyFont="1" applyBorder="1" applyAlignment="1">
      <alignment horizontal="center" wrapText="1"/>
    </xf>
    <xf numFmtId="0" fontId="19" fillId="0" borderId="12" xfId="0" applyFont="1" applyBorder="1" applyAlignment="1">
      <alignment horizontal="center" wrapText="1"/>
    </xf>
    <xf numFmtId="0" fontId="6" fillId="0" borderId="1" xfId="0" applyFont="1" applyBorder="1" applyAlignment="1">
      <alignment horizontal="center" wrapText="1"/>
    </xf>
    <xf numFmtId="0" fontId="76" fillId="0" borderId="1" xfId="0" applyFont="1" applyBorder="1" applyAlignment="1">
      <alignment horizontal="center" wrapText="1"/>
    </xf>
    <xf numFmtId="0" fontId="19" fillId="0" borderId="6" xfId="0" applyFont="1" applyBorder="1" applyAlignment="1">
      <alignment horizontal="center" wrapText="1"/>
    </xf>
    <xf numFmtId="0" fontId="77" fillId="0" borderId="1" xfId="0" applyFont="1" applyBorder="1" applyAlignment="1">
      <alignment horizontal="center" wrapText="1"/>
    </xf>
    <xf numFmtId="0" fontId="73" fillId="0" borderId="1" xfId="0" applyFont="1" applyBorder="1" applyAlignment="1">
      <alignment horizontal="center" wrapText="1"/>
    </xf>
    <xf numFmtId="0" fontId="78" fillId="8" borderId="0" xfId="0" applyFont="1" applyFill="1" applyAlignment="1">
      <alignment horizontal="center" wrapText="1"/>
    </xf>
    <xf numFmtId="0" fontId="43" fillId="0" borderId="1" xfId="0" applyFont="1" applyBorder="1" applyAlignment="1">
      <alignment horizontal="center" vertical="center" wrapText="1"/>
    </xf>
    <xf numFmtId="0" fontId="43" fillId="0" borderId="0" xfId="0" applyFont="1" applyAlignment="1">
      <alignment horizontal="center" wrapText="1"/>
    </xf>
    <xf numFmtId="0" fontId="61" fillId="0" borderId="0" xfId="0" applyFont="1" applyAlignment="1">
      <alignment horizontal="center" wrapText="1"/>
    </xf>
    <xf numFmtId="0" fontId="11" fillId="0" borderId="0" xfId="0" applyFont="1" applyAlignment="1">
      <alignment horizontal="center" wrapText="1"/>
    </xf>
    <xf numFmtId="0" fontId="79" fillId="0" borderId="0" xfId="0" applyFont="1" applyAlignment="1">
      <alignment horizontal="center" wrapText="1"/>
    </xf>
    <xf numFmtId="0" fontId="21" fillId="0" borderId="13" xfId="0" applyFont="1" applyBorder="1" applyAlignment="1">
      <alignment horizontal="center" wrapText="1"/>
    </xf>
    <xf numFmtId="0" fontId="81" fillId="0" borderId="0" xfId="0" applyFont="1" applyAlignment="1">
      <alignment horizontal="center" wrapText="1"/>
    </xf>
    <xf numFmtId="0" fontId="0" fillId="8" borderId="1" xfId="0" applyFill="1" applyBorder="1" applyAlignment="1">
      <alignment horizontal="center" vertical="center" wrapText="1"/>
    </xf>
    <xf numFmtId="0" fontId="83" fillId="8" borderId="0" xfId="0" applyFont="1" applyFill="1" applyAlignment="1">
      <alignment horizontal="center" wrapText="1"/>
    </xf>
    <xf numFmtId="0" fontId="84" fillId="8" borderId="0" xfId="0" applyFont="1" applyFill="1" applyAlignment="1">
      <alignment horizontal="center" wrapText="1"/>
    </xf>
    <xf numFmtId="0" fontId="85" fillId="8" borderId="0" xfId="0" applyFont="1" applyFill="1" applyAlignment="1">
      <alignment horizontal="center" wrapText="1"/>
    </xf>
    <xf numFmtId="0" fontId="86" fillId="8" borderId="1" xfId="0" applyFont="1" applyFill="1" applyBorder="1" applyAlignment="1">
      <alignment horizontal="center" wrapText="1"/>
    </xf>
    <xf numFmtId="0" fontId="87" fillId="8" borderId="0" xfId="0" applyFont="1" applyFill="1" applyAlignment="1">
      <alignment horizontal="center" wrapText="1"/>
    </xf>
    <xf numFmtId="0" fontId="89" fillId="8" borderId="14" xfId="0" applyFont="1" applyFill="1" applyBorder="1" applyAlignment="1">
      <alignment horizontal="center" wrapText="1"/>
    </xf>
    <xf numFmtId="0" fontId="89" fillId="8" borderId="0" xfId="0" applyFont="1" applyFill="1" applyAlignment="1">
      <alignment horizontal="center" wrapText="1"/>
    </xf>
    <xf numFmtId="0" fontId="89" fillId="8" borderId="1" xfId="0" applyFont="1" applyFill="1" applyBorder="1" applyAlignment="1">
      <alignment horizontal="center" wrapText="1"/>
    </xf>
    <xf numFmtId="0" fontId="86" fillId="8" borderId="7" xfId="0" applyFont="1" applyFill="1" applyBorder="1" applyAlignment="1">
      <alignment horizontal="center" wrapText="1"/>
    </xf>
    <xf numFmtId="0" fontId="0" fillId="8" borderId="1" xfId="0" applyFill="1" applyBorder="1" applyAlignment="1">
      <alignment horizontal="center" wrapText="1"/>
    </xf>
    <xf numFmtId="0" fontId="47" fillId="8" borderId="0" xfId="0" applyFont="1" applyFill="1" applyAlignment="1">
      <alignment horizontal="center" wrapText="1"/>
    </xf>
    <xf numFmtId="0" fontId="14" fillId="8" borderId="1" xfId="0" applyFont="1" applyFill="1" applyBorder="1" applyAlignment="1">
      <alignment horizontal="center" wrapText="1"/>
    </xf>
    <xf numFmtId="0" fontId="47" fillId="8" borderId="1" xfId="0" applyFont="1" applyFill="1" applyBorder="1" applyAlignment="1">
      <alignment horizontal="center" wrapText="1"/>
    </xf>
    <xf numFmtId="0" fontId="19" fillId="8" borderId="1" xfId="0" applyFont="1" applyFill="1" applyBorder="1" applyAlignment="1">
      <alignment horizontal="center" wrapText="1"/>
    </xf>
    <xf numFmtId="0" fontId="8" fillId="0" borderId="10" xfId="0" applyFont="1" applyBorder="1" applyAlignment="1">
      <alignment horizontal="center" wrapText="1"/>
    </xf>
    <xf numFmtId="0" fontId="36" fillId="0" borderId="12" xfId="0" applyFont="1" applyBorder="1" applyAlignment="1">
      <alignment horizontal="center" wrapText="1"/>
    </xf>
    <xf numFmtId="0" fontId="8" fillId="0" borderId="12" xfId="0" applyFont="1" applyBorder="1" applyAlignment="1">
      <alignment horizontal="center" wrapText="1"/>
    </xf>
    <xf numFmtId="0" fontId="91" fillId="0" borderId="1" xfId="0" applyFont="1" applyBorder="1" applyAlignment="1">
      <alignment horizontal="center" wrapText="1"/>
    </xf>
    <xf numFmtId="0" fontId="91" fillId="0" borderId="0" xfId="0" applyFont="1" applyAlignment="1">
      <alignment horizontal="center" wrapText="1"/>
    </xf>
    <xf numFmtId="0" fontId="92" fillId="0" borderId="1" xfId="0" applyFont="1" applyBorder="1" applyAlignment="1">
      <alignment horizontal="center" wrapText="1"/>
    </xf>
    <xf numFmtId="0" fontId="8" fillId="8" borderId="10" xfId="0" applyFont="1" applyFill="1" applyBorder="1" applyAlignment="1">
      <alignment horizontal="center" wrapText="1"/>
    </xf>
    <xf numFmtId="0" fontId="8" fillId="8" borderId="12" xfId="0" applyFont="1" applyFill="1" applyBorder="1" applyAlignment="1">
      <alignment horizontal="center" wrapText="1"/>
    </xf>
    <xf numFmtId="0" fontId="95" fillId="0" borderId="12" xfId="0" applyFont="1" applyBorder="1" applyAlignment="1">
      <alignment horizontal="center" wrapText="1"/>
    </xf>
    <xf numFmtId="0" fontId="8" fillId="0" borderId="0" xfId="0" applyFont="1" applyAlignment="1">
      <alignment horizontal="center" wrapText="1"/>
    </xf>
    <xf numFmtId="0" fontId="8" fillId="0" borderId="1" xfId="0" applyFont="1" applyBorder="1" applyAlignment="1">
      <alignment horizontal="center" wrapText="1"/>
    </xf>
    <xf numFmtId="0" fontId="96" fillId="8" borderId="1" xfId="0" applyFont="1" applyFill="1" applyBorder="1" applyAlignment="1">
      <alignment horizontal="center" wrapText="1"/>
    </xf>
    <xf numFmtId="0" fontId="96" fillId="0" borderId="0" xfId="0" applyFont="1" applyAlignment="1">
      <alignment horizontal="center" wrapText="1"/>
    </xf>
    <xf numFmtId="0" fontId="8" fillId="0" borderId="12" xfId="0" applyFont="1" applyBorder="1" applyAlignment="1">
      <alignment horizontal="center" vertical="center" wrapText="1"/>
    </xf>
    <xf numFmtId="0" fontId="0" fillId="0" borderId="1" xfId="0" applyBorder="1" applyAlignment="1">
      <alignment horizontal="center" vertical="center" wrapText="1"/>
    </xf>
    <xf numFmtId="0" fontId="60" fillId="8" borderId="0" xfId="0" applyFont="1" applyFill="1" applyAlignment="1">
      <alignment horizontal="center" wrapText="1"/>
    </xf>
    <xf numFmtId="0" fontId="97" fillId="8" borderId="0" xfId="0" applyFont="1" applyFill="1" applyAlignment="1">
      <alignment horizontal="center" wrapText="1"/>
    </xf>
    <xf numFmtId="0" fontId="98" fillId="8" borderId="0" xfId="0" applyFont="1" applyFill="1" applyAlignment="1">
      <alignment horizontal="center" wrapText="1"/>
    </xf>
    <xf numFmtId="0" fontId="9" fillId="8" borderId="0" xfId="0" applyFont="1" applyFill="1" applyAlignment="1">
      <alignment horizontal="center"/>
    </xf>
    <xf numFmtId="0" fontId="10" fillId="8" borderId="0" xfId="0" applyFont="1" applyFill="1" applyAlignment="1">
      <alignment horizontal="center"/>
    </xf>
    <xf numFmtId="0" fontId="99" fillId="0" borderId="0" xfId="0" applyFont="1" applyAlignment="1">
      <alignment horizontal="center"/>
    </xf>
    <xf numFmtId="0" fontId="10" fillId="9" borderId="0" xfId="0" applyFont="1" applyFill="1" applyAlignment="1">
      <alignment horizontal="center"/>
    </xf>
    <xf numFmtId="0" fontId="19" fillId="0" borderId="1" xfId="0" applyFont="1" applyBorder="1" applyAlignment="1">
      <alignment horizontal="center"/>
    </xf>
    <xf numFmtId="0" fontId="73" fillId="0" borderId="1" xfId="0" applyFont="1" applyBorder="1" applyAlignment="1">
      <alignment horizontal="center"/>
    </xf>
    <xf numFmtId="0" fontId="100" fillId="0" borderId="1" xfId="0" applyFont="1" applyBorder="1" applyAlignment="1">
      <alignment horizontal="center"/>
    </xf>
    <xf numFmtId="0" fontId="77" fillId="0" borderId="1" xfId="0" applyFont="1" applyBorder="1" applyAlignment="1">
      <alignment horizontal="center"/>
    </xf>
    <xf numFmtId="0" fontId="6" fillId="8" borderId="1" xfId="0" applyFont="1" applyFill="1" applyBorder="1" applyAlignment="1">
      <alignment horizontal="center" vertical="center" wrapText="1"/>
    </xf>
    <xf numFmtId="0" fontId="101" fillId="8" borderId="0" xfId="0" applyFont="1" applyFill="1" applyAlignment="1">
      <alignment horizontal="center"/>
    </xf>
    <xf numFmtId="0" fontId="6" fillId="0" borderId="0" xfId="0" applyFont="1" applyAlignment="1">
      <alignment horizontal="center"/>
    </xf>
    <xf numFmtId="0" fontId="6" fillId="0" borderId="1" xfId="0" applyFont="1" applyBorder="1" applyAlignment="1">
      <alignment horizontal="center" vertical="center"/>
    </xf>
    <xf numFmtId="0" fontId="6" fillId="0" borderId="0" xfId="0" applyFont="1" applyAlignment="1">
      <alignment horizontal="center" vertical="center"/>
    </xf>
    <xf numFmtId="0" fontId="25" fillId="8" borderId="0" xfId="0" applyFont="1" applyFill="1" applyAlignment="1">
      <alignment horizontal="center"/>
    </xf>
    <xf numFmtId="0" fontId="31" fillId="8" borderId="1" xfId="0" applyFont="1" applyFill="1" applyBorder="1" applyAlignment="1">
      <alignment horizontal="center"/>
    </xf>
    <xf numFmtId="0" fontId="68" fillId="8" borderId="1" xfId="0" applyFont="1" applyFill="1" applyBorder="1" applyAlignment="1">
      <alignment horizontal="center"/>
    </xf>
    <xf numFmtId="0" fontId="8" fillId="0" borderId="1" xfId="0" applyFont="1" applyBorder="1" applyAlignment="1">
      <alignment horizontal="center"/>
    </xf>
    <xf numFmtId="0" fontId="36" fillId="0" borderId="1" xfId="0" applyFont="1" applyBorder="1" applyAlignment="1">
      <alignment horizontal="center"/>
    </xf>
    <xf numFmtId="0" fontId="37" fillId="0" borderId="1" xfId="0" applyFont="1" applyBorder="1" applyAlignment="1">
      <alignment horizontal="center"/>
    </xf>
    <xf numFmtId="0" fontId="104" fillId="0" borderId="1" xfId="0" applyFont="1" applyBorder="1" applyAlignment="1">
      <alignment horizontal="center"/>
    </xf>
    <xf numFmtId="0" fontId="103" fillId="0" borderId="1" xfId="0" applyFont="1" applyBorder="1" applyAlignment="1">
      <alignment horizontal="center"/>
    </xf>
    <xf numFmtId="0" fontId="43" fillId="0" borderId="1" xfId="0" applyFont="1" applyBorder="1" applyAlignment="1">
      <alignment horizontal="center"/>
    </xf>
    <xf numFmtId="0" fontId="105" fillId="8" borderId="0" xfId="0" applyFont="1" applyFill="1" applyAlignment="1">
      <alignment horizontal="center"/>
    </xf>
    <xf numFmtId="0" fontId="92" fillId="0" borderId="1" xfId="0" applyFont="1" applyBorder="1" applyAlignment="1">
      <alignment horizontal="center"/>
    </xf>
    <xf numFmtId="0" fontId="92" fillId="0" borderId="0" xfId="0" applyFont="1" applyAlignment="1">
      <alignment horizontal="center"/>
    </xf>
    <xf numFmtId="0" fontId="19" fillId="8" borderId="1" xfId="0" applyFont="1" applyFill="1" applyBorder="1" applyAlignment="1">
      <alignment horizontal="center"/>
    </xf>
    <xf numFmtId="0" fontId="107" fillId="0" borderId="1" xfId="0" applyFont="1" applyBorder="1" applyAlignment="1">
      <alignment horizontal="center" vertical="center" wrapText="1"/>
    </xf>
    <xf numFmtId="0" fontId="108" fillId="0" borderId="1" xfId="0" applyFont="1" applyBorder="1" applyAlignment="1">
      <alignment horizontal="center"/>
    </xf>
    <xf numFmtId="0" fontId="14" fillId="0" borderId="1" xfId="0" applyFont="1" applyBorder="1" applyAlignment="1">
      <alignment horizontal="center"/>
    </xf>
    <xf numFmtId="0" fontId="19" fillId="8" borderId="0" xfId="0" applyFont="1" applyFill="1" applyAlignment="1">
      <alignment horizontal="center"/>
    </xf>
    <xf numFmtId="0" fontId="31" fillId="0" borderId="1" xfId="0" applyFont="1" applyBorder="1" applyAlignment="1">
      <alignment horizontal="center"/>
    </xf>
    <xf numFmtId="0" fontId="1" fillId="0" borderId="1" xfId="0" applyFont="1" applyBorder="1" applyAlignment="1">
      <alignment horizontal="center"/>
    </xf>
    <xf numFmtId="0" fontId="1" fillId="0" borderId="7" xfId="0" applyFont="1" applyBorder="1" applyAlignment="1">
      <alignment horizontal="center"/>
    </xf>
    <xf numFmtId="0" fontId="110" fillId="0" borderId="0" xfId="0" applyFont="1" applyAlignment="1">
      <alignment horizontal="center"/>
    </xf>
    <xf numFmtId="0" fontId="21" fillId="8" borderId="1" xfId="0" applyFont="1" applyFill="1" applyBorder="1" applyAlignment="1">
      <alignment horizontal="center"/>
    </xf>
    <xf numFmtId="0" fontId="111" fillId="8" borderId="1" xfId="0" applyFont="1" applyFill="1" applyBorder="1" applyAlignment="1">
      <alignment horizontal="center"/>
    </xf>
    <xf numFmtId="0" fontId="111" fillId="8" borderId="0" xfId="0" applyFont="1" applyFill="1" applyAlignment="1">
      <alignment horizontal="center"/>
    </xf>
    <xf numFmtId="0" fontId="47" fillId="8" borderId="0" xfId="0" applyFont="1" applyFill="1" applyAlignment="1">
      <alignment horizontal="center"/>
    </xf>
    <xf numFmtId="0" fontId="6" fillId="0" borderId="7" xfId="0" applyFont="1" applyBorder="1" applyAlignment="1">
      <alignment horizontal="center"/>
    </xf>
    <xf numFmtId="0" fontId="0" fillId="0" borderId="0" xfId="0" applyAlignment="1">
      <alignment horizontal="center" vertical="center" wrapText="1"/>
    </xf>
    <xf numFmtId="0" fontId="6" fillId="0" borderId="6" xfId="0" applyFont="1" applyBorder="1" applyAlignment="1">
      <alignment horizontal="center" vertical="center"/>
    </xf>
    <xf numFmtId="0" fontId="6" fillId="0" borderId="15" xfId="0" applyFont="1" applyBorder="1" applyAlignment="1">
      <alignment horizontal="center" vertical="center"/>
    </xf>
    <xf numFmtId="0" fontId="6" fillId="0" borderId="5" xfId="0" applyFont="1" applyBorder="1" applyAlignment="1">
      <alignment horizontal="center" vertical="center"/>
    </xf>
    <xf numFmtId="0" fontId="0" fillId="0" borderId="1" xfId="0" applyBorder="1" applyAlignment="1">
      <alignment horizontal="center"/>
    </xf>
    <xf numFmtId="0" fontId="6" fillId="0" borderId="6" xfId="0" applyFont="1" applyBorder="1" applyAlignment="1">
      <alignment horizontal="center"/>
    </xf>
    <xf numFmtId="0" fontId="6" fillId="0" borderId="15" xfId="0" applyFont="1" applyBorder="1" applyAlignment="1">
      <alignment horizontal="center"/>
    </xf>
    <xf numFmtId="0" fontId="19" fillId="0" borderId="3" xfId="0" applyFont="1" applyBorder="1" applyAlignment="1">
      <alignment horizontal="center"/>
    </xf>
    <xf numFmtId="0" fontId="112" fillId="0" borderId="3" xfId="0" applyFont="1" applyBorder="1" applyAlignment="1">
      <alignment horizontal="center" wrapText="1"/>
    </xf>
    <xf numFmtId="0" fontId="9" fillId="8" borderId="1" xfId="0" applyFont="1" applyFill="1" applyBorder="1" applyAlignment="1">
      <alignment horizontal="center"/>
    </xf>
    <xf numFmtId="0" fontId="10" fillId="8" borderId="1" xfId="0" applyFont="1" applyFill="1" applyBorder="1" applyAlignment="1">
      <alignment horizontal="center"/>
    </xf>
    <xf numFmtId="14" fontId="19" fillId="0" borderId="1" xfId="0" applyNumberFormat="1" applyFont="1" applyBorder="1" applyAlignment="1">
      <alignment horizontal="center"/>
    </xf>
    <xf numFmtId="14" fontId="19" fillId="0" borderId="0" xfId="0" applyNumberFormat="1" applyFont="1" applyAlignment="1">
      <alignment horizontal="center"/>
    </xf>
    <xf numFmtId="0" fontId="23" fillId="5" borderId="1" xfId="0" applyFont="1" applyFill="1" applyBorder="1" applyAlignment="1">
      <alignment horizontal="center" vertical="center" wrapText="1"/>
    </xf>
    <xf numFmtId="0" fontId="23" fillId="0" borderId="0" xfId="0" applyFont="1" applyAlignment="1">
      <alignment horizontal="center" vertical="center" wrapText="1"/>
    </xf>
    <xf numFmtId="0" fontId="43" fillId="0" borderId="0" xfId="0" applyFont="1" applyAlignment="1">
      <alignment horizontal="center"/>
    </xf>
    <xf numFmtId="0" fontId="80" fillId="8" borderId="0" xfId="0" applyFont="1" applyFill="1" applyAlignment="1">
      <alignment horizontal="center"/>
    </xf>
    <xf numFmtId="0" fontId="80" fillId="8" borderId="1" xfId="0" applyFont="1" applyFill="1" applyBorder="1" applyAlignment="1">
      <alignment horizontal="center"/>
    </xf>
    <xf numFmtId="0" fontId="21" fillId="12" borderId="1" xfId="0" applyFont="1" applyFill="1" applyBorder="1" applyAlignment="1">
      <alignment horizontal="center"/>
    </xf>
    <xf numFmtId="0" fontId="21" fillId="0" borderId="1" xfId="0" applyFont="1" applyBorder="1" applyAlignment="1">
      <alignment horizontal="center"/>
    </xf>
    <xf numFmtId="0" fontId="113" fillId="8" borderId="1" xfId="0" applyFont="1" applyFill="1" applyBorder="1" applyAlignment="1">
      <alignment horizontal="center"/>
    </xf>
    <xf numFmtId="0" fontId="0" fillId="8" borderId="1" xfId="0" applyFill="1" applyBorder="1" applyAlignment="1">
      <alignment horizontal="center"/>
    </xf>
    <xf numFmtId="0" fontId="114" fillId="8" borderId="0" xfId="0" applyFont="1" applyFill="1" applyAlignment="1">
      <alignment horizontal="center"/>
    </xf>
    <xf numFmtId="0" fontId="115" fillId="0" borderId="16" xfId="0" applyFont="1" applyBorder="1" applyAlignment="1">
      <alignment horizontal="left"/>
    </xf>
    <xf numFmtId="0" fontId="116" fillId="0" borderId="7" xfId="0" applyFont="1" applyBorder="1" applyAlignment="1">
      <alignment horizontal="center"/>
    </xf>
    <xf numFmtId="0" fontId="31" fillId="0" borderId="7" xfId="0" applyFont="1" applyBorder="1" applyAlignment="1">
      <alignment horizontal="center"/>
    </xf>
    <xf numFmtId="0" fontId="68" fillId="0" borderId="7" xfId="0" applyFont="1" applyBorder="1" applyAlignment="1">
      <alignment horizontal="center"/>
    </xf>
    <xf numFmtId="0" fontId="31" fillId="8" borderId="7" xfId="0" applyFont="1" applyFill="1" applyBorder="1" applyAlignment="1">
      <alignment horizontal="center"/>
    </xf>
    <xf numFmtId="0" fontId="116" fillId="8" borderId="7" xfId="0" applyFont="1" applyFill="1" applyBorder="1" applyAlignment="1">
      <alignment horizontal="center"/>
    </xf>
    <xf numFmtId="0" fontId="86" fillId="0" borderId="7" xfId="0" applyFont="1" applyBorder="1" applyAlignment="1">
      <alignment horizontal="center" wrapText="1"/>
    </xf>
    <xf numFmtId="0" fontId="117" fillId="8" borderId="0" xfId="0" applyFont="1" applyFill="1" applyAlignment="1">
      <alignment horizontal="center"/>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8" fillId="8" borderId="0" xfId="0" applyFont="1" applyFill="1" applyAlignment="1">
      <alignment horizontal="center"/>
    </xf>
    <xf numFmtId="0" fontId="14" fillId="0" borderId="0" xfId="0" applyFont="1" applyAlignment="1">
      <alignment horizontal="center"/>
    </xf>
    <xf numFmtId="0" fontId="119" fillId="0" borderId="1" xfId="0" applyFont="1" applyBorder="1" applyAlignment="1">
      <alignment horizontal="center"/>
    </xf>
    <xf numFmtId="0" fontId="119" fillId="0" borderId="0" xfId="0" applyFont="1" applyAlignment="1">
      <alignment horizontal="center"/>
    </xf>
    <xf numFmtId="0" fontId="14" fillId="0" borderId="3" xfId="0" applyFont="1" applyBorder="1" applyAlignment="1">
      <alignment horizontal="center"/>
    </xf>
    <xf numFmtId="0" fontId="14" fillId="0" borderId="7" xfId="0" applyFont="1" applyBorder="1" applyAlignment="1">
      <alignment horizontal="center"/>
    </xf>
    <xf numFmtId="0" fontId="120" fillId="0" borderId="0" xfId="0" applyFont="1" applyAlignment="1">
      <alignment horizontal="center"/>
    </xf>
    <xf numFmtId="0" fontId="119" fillId="0" borderId="3" xfId="0" applyFont="1" applyBorder="1" applyAlignment="1">
      <alignment horizontal="center"/>
    </xf>
    <xf numFmtId="0" fontId="121" fillId="7" borderId="1" xfId="0" applyFont="1" applyFill="1" applyBorder="1" applyAlignment="1">
      <alignment horizontal="center" vertical="center" wrapText="1"/>
    </xf>
    <xf numFmtId="0" fontId="47" fillId="8" borderId="0" xfId="0" applyFont="1" applyFill="1" applyAlignment="1">
      <alignment horizontal="left"/>
    </xf>
    <xf numFmtId="0" fontId="123" fillId="0" borderId="0" xfId="0" applyFont="1" applyAlignment="1">
      <alignment horizontal="center"/>
    </xf>
    <xf numFmtId="0" fontId="124" fillId="0" borderId="0" xfId="0" applyFont="1" applyAlignment="1">
      <alignment horizontal="center"/>
    </xf>
    <xf numFmtId="0" fontId="125" fillId="0" borderId="1" xfId="0" applyFont="1" applyBorder="1" applyAlignment="1">
      <alignment horizontal="center" vertical="center" wrapText="1"/>
    </xf>
    <xf numFmtId="0" fontId="125" fillId="0" borderId="1" xfId="0" applyFont="1" applyBorder="1" applyAlignment="1">
      <alignment horizontal="center" wrapText="1"/>
    </xf>
    <xf numFmtId="0" fontId="125" fillId="0" borderId="0" xfId="0" applyFont="1" applyAlignment="1">
      <alignment horizontal="center"/>
    </xf>
    <xf numFmtId="0" fontId="125" fillId="0" borderId="1" xfId="0" applyFont="1" applyBorder="1" applyAlignment="1">
      <alignment horizontal="center"/>
    </xf>
    <xf numFmtId="0" fontId="92" fillId="0" borderId="0" xfId="0" applyFont="1" applyAlignment="1">
      <alignment horizontal="center" wrapText="1"/>
    </xf>
    <xf numFmtId="0" fontId="125" fillId="0" borderId="0" xfId="0" applyFont="1" applyAlignment="1">
      <alignment horizontal="center" wrapText="1"/>
    </xf>
    <xf numFmtId="0" fontId="61" fillId="0" borderId="1" xfId="0" applyFont="1" applyBorder="1" applyAlignment="1">
      <alignment horizontal="center"/>
    </xf>
    <xf numFmtId="0" fontId="0" fillId="8" borderId="7" xfId="0" applyFill="1" applyBorder="1" applyAlignment="1">
      <alignment horizontal="center"/>
    </xf>
    <xf numFmtId="0" fontId="6" fillId="0" borderId="1" xfId="0" applyFont="1" applyBorder="1" applyAlignment="1">
      <alignment horizontal="left"/>
    </xf>
    <xf numFmtId="0" fontId="19" fillId="0" borderId="0" xfId="0" applyFont="1" applyAlignment="1">
      <alignment horizontal="center"/>
    </xf>
    <xf numFmtId="172" fontId="19" fillId="0" borderId="1" xfId="0" applyNumberFormat="1" applyFont="1" applyBorder="1" applyAlignment="1">
      <alignment horizontal="center"/>
    </xf>
    <xf numFmtId="0" fontId="129" fillId="0" borderId="1" xfId="0" applyFont="1" applyBorder="1" applyAlignment="1">
      <alignment horizontal="center"/>
    </xf>
    <xf numFmtId="0" fontId="6" fillId="13" borderId="1" xfId="0" applyFont="1" applyFill="1" applyBorder="1" applyAlignment="1">
      <alignment horizontal="center" vertical="center" wrapText="1"/>
    </xf>
    <xf numFmtId="0" fontId="132" fillId="0" borderId="1" xfId="0" applyFont="1" applyBorder="1" applyAlignment="1">
      <alignment horizontal="center"/>
    </xf>
    <xf numFmtId="0" fontId="96" fillId="8" borderId="0" xfId="0" applyFont="1" applyFill="1" applyAlignment="1">
      <alignment horizontal="center"/>
    </xf>
    <xf numFmtId="0" fontId="1" fillId="14" borderId="1" xfId="0" applyFont="1" applyFill="1" applyBorder="1" applyAlignment="1">
      <alignment horizontal="center" vertical="center" wrapText="1"/>
    </xf>
    <xf numFmtId="0" fontId="23" fillId="0" borderId="1" xfId="0" applyFont="1" applyBorder="1" applyAlignment="1">
      <alignment horizontal="center" wrapText="1"/>
    </xf>
    <xf numFmtId="0" fontId="61" fillId="0" borderId="7" xfId="0" applyFont="1" applyBorder="1" applyAlignment="1">
      <alignment horizontal="center"/>
    </xf>
    <xf numFmtId="0" fontId="136" fillId="0" borderId="7" xfId="0" applyFont="1" applyBorder="1" applyAlignment="1">
      <alignment horizontal="left"/>
    </xf>
    <xf numFmtId="0" fontId="19" fillId="0" borderId="7" xfId="0" applyFont="1" applyBorder="1" applyAlignment="1">
      <alignment horizontal="center"/>
    </xf>
    <xf numFmtId="0" fontId="68" fillId="0" borderId="1" xfId="0" applyFont="1" applyBorder="1" applyAlignment="1">
      <alignment horizontal="center"/>
    </xf>
    <xf numFmtId="0" fontId="47" fillId="8" borderId="1" xfId="0" applyFont="1" applyFill="1" applyBorder="1" applyAlignment="1">
      <alignment horizontal="center"/>
    </xf>
    <xf numFmtId="0" fontId="116" fillId="0" borderId="1" xfId="0" applyFont="1" applyBorder="1" applyAlignment="1">
      <alignment horizontal="center"/>
    </xf>
    <xf numFmtId="0" fontId="116" fillId="8" borderId="1" xfId="0" applyFont="1" applyFill="1" applyBorder="1" applyAlignment="1">
      <alignment horizontal="center"/>
    </xf>
    <xf numFmtId="0" fontId="86" fillId="0" borderId="1" xfId="0" applyFont="1" applyBorder="1" applyAlignment="1">
      <alignment horizontal="center" wrapText="1"/>
    </xf>
    <xf numFmtId="0" fontId="23" fillId="7" borderId="1" xfId="0" applyFont="1" applyFill="1" applyBorder="1" applyAlignment="1">
      <alignment horizontal="center" vertical="center" wrapText="1"/>
    </xf>
    <xf numFmtId="0" fontId="139" fillId="0" borderId="1" xfId="0" applyFont="1" applyBorder="1" applyAlignment="1">
      <alignment horizontal="center" wrapText="1"/>
    </xf>
    <xf numFmtId="0" fontId="140" fillId="8" borderId="0" xfId="0" applyFont="1" applyFill="1" applyAlignment="1">
      <alignment horizontal="center"/>
    </xf>
    <xf numFmtId="0" fontId="141" fillId="0" borderId="1" xfId="0" applyFont="1" applyBorder="1" applyAlignment="1">
      <alignment horizontal="center"/>
    </xf>
    <xf numFmtId="0" fontId="142" fillId="0" borderId="1" xfId="0" applyFont="1" applyBorder="1" applyAlignment="1">
      <alignment horizontal="center"/>
    </xf>
    <xf numFmtId="0" fontId="143" fillId="0" borderId="1" xfId="0" applyFont="1" applyBorder="1" applyAlignment="1">
      <alignment horizontal="center"/>
    </xf>
    <xf numFmtId="0" fontId="91" fillId="0" borderId="1" xfId="0" applyFont="1" applyBorder="1" applyAlignment="1">
      <alignment horizontal="center"/>
    </xf>
    <xf numFmtId="0" fontId="144" fillId="8" borderId="0" xfId="0" applyFont="1" applyFill="1" applyAlignment="1">
      <alignment horizontal="center"/>
    </xf>
    <xf numFmtId="0" fontId="27" fillId="0" borderId="0" xfId="0" applyFont="1" applyAlignment="1">
      <alignment horizontal="center"/>
    </xf>
    <xf numFmtId="0" fontId="19" fillId="8" borderId="3" xfId="0" applyFont="1" applyFill="1" applyBorder="1" applyAlignment="1">
      <alignment horizontal="center"/>
    </xf>
    <xf numFmtId="0" fontId="19" fillId="8" borderId="7" xfId="0" applyFont="1" applyFill="1" applyBorder="1" applyAlignment="1">
      <alignment horizontal="center"/>
    </xf>
    <xf numFmtId="0" fontId="145" fillId="0" borderId="7" xfId="0" applyFont="1" applyBorder="1" applyAlignment="1">
      <alignment horizontal="center"/>
    </xf>
    <xf numFmtId="0" fontId="21" fillId="0" borderId="1" xfId="0" applyFont="1" applyBorder="1" applyAlignment="1">
      <alignment horizontal="center" vertical="center"/>
    </xf>
    <xf numFmtId="0" fontId="21" fillId="0" borderId="7" xfId="0" applyFont="1" applyBorder="1" applyAlignment="1">
      <alignment horizontal="center"/>
    </xf>
    <xf numFmtId="0" fontId="36" fillId="0" borderId="7" xfId="0" applyFont="1" applyBorder="1" applyAlignment="1">
      <alignment horizontal="center"/>
    </xf>
    <xf numFmtId="173" fontId="19" fillId="0" borderId="7" xfId="0" applyNumberFormat="1" applyFont="1" applyBorder="1" applyAlignment="1">
      <alignment horizontal="center"/>
    </xf>
    <xf numFmtId="0" fontId="146" fillId="0" borderId="0" xfId="0" applyFont="1" applyAlignment="1">
      <alignment horizontal="center"/>
    </xf>
    <xf numFmtId="0" fontId="29" fillId="0" borderId="0" xfId="0" applyFont="1" applyAlignment="1">
      <alignment horizontal="center"/>
    </xf>
    <xf numFmtId="0" fontId="21" fillId="0" borderId="1" xfId="0" applyFont="1" applyBorder="1" applyAlignment="1">
      <alignment horizontal="left"/>
    </xf>
    <xf numFmtId="0" fontId="1" fillId="15" borderId="1" xfId="0" applyFont="1" applyFill="1" applyBorder="1" applyAlignment="1">
      <alignment horizontal="center" vertical="center" wrapText="1"/>
    </xf>
    <xf numFmtId="0" fontId="19" fillId="8" borderId="7" xfId="0" applyFont="1" applyFill="1" applyBorder="1" applyAlignment="1">
      <alignment horizontal="left"/>
    </xf>
    <xf numFmtId="0" fontId="21" fillId="8" borderId="7" xfId="0" applyFont="1" applyFill="1" applyBorder="1" applyAlignment="1">
      <alignment horizontal="center"/>
    </xf>
    <xf numFmtId="0" fontId="47" fillId="8" borderId="1" xfId="0" applyFont="1" applyFill="1" applyBorder="1" applyAlignment="1">
      <alignment horizontal="left"/>
    </xf>
    <xf numFmtId="0" fontId="111" fillId="8" borderId="0" xfId="0" applyFont="1" applyFill="1" applyAlignment="1">
      <alignment horizontal="left"/>
    </xf>
    <xf numFmtId="0" fontId="111" fillId="0" borderId="0" xfId="0" applyFont="1" applyAlignment="1">
      <alignment horizontal="center"/>
    </xf>
    <xf numFmtId="0" fontId="0" fillId="0" borderId="7" xfId="0" applyBorder="1" applyAlignment="1">
      <alignment horizontal="center"/>
    </xf>
    <xf numFmtId="0" fontId="147" fillId="0" borderId="1" xfId="0" applyFont="1" applyBorder="1" applyAlignment="1">
      <alignment horizontal="center"/>
    </xf>
    <xf numFmtId="0" fontId="92" fillId="0" borderId="7" xfId="0" applyFont="1" applyBorder="1" applyAlignment="1">
      <alignment horizontal="center"/>
    </xf>
    <xf numFmtId="0" fontId="111" fillId="0" borderId="6" xfId="0" applyFont="1" applyBorder="1" applyAlignment="1">
      <alignment horizontal="center"/>
    </xf>
    <xf numFmtId="0" fontId="148" fillId="8" borderId="0" xfId="0" applyFont="1" applyFill="1" applyAlignment="1">
      <alignment horizontal="center"/>
    </xf>
    <xf numFmtId="0" fontId="52" fillId="0" borderId="7" xfId="0" applyFont="1" applyBorder="1" applyAlignment="1">
      <alignment horizontal="center"/>
    </xf>
    <xf numFmtId="0" fontId="125" fillId="0" borderId="7" xfId="0" applyFont="1" applyBorder="1" applyAlignment="1">
      <alignment horizontal="center"/>
    </xf>
    <xf numFmtId="0" fontId="1" fillId="0" borderId="7" xfId="0" applyFont="1" applyBorder="1" applyAlignment="1">
      <alignment horizontal="center" wrapText="1"/>
    </xf>
    <xf numFmtId="0" fontId="149" fillId="8" borderId="7" xfId="0" applyFont="1" applyFill="1" applyBorder="1" applyAlignment="1">
      <alignment horizontal="left"/>
    </xf>
    <xf numFmtId="0" fontId="150" fillId="8" borderId="0" xfId="0" applyFont="1" applyFill="1" applyAlignment="1">
      <alignment horizontal="left"/>
    </xf>
    <xf numFmtId="0" fontId="1" fillId="16" borderId="1" xfId="0" applyFont="1" applyFill="1" applyBorder="1" applyAlignment="1">
      <alignment horizontal="center" vertical="center" wrapText="1"/>
    </xf>
    <xf numFmtId="0" fontId="111" fillId="0" borderId="1" xfId="0" applyFont="1" applyBorder="1"/>
    <xf numFmtId="0" fontId="31" fillId="0" borderId="0" xfId="0" applyFont="1"/>
    <xf numFmtId="0" fontId="31" fillId="8" borderId="3" xfId="0" applyFont="1" applyFill="1" applyBorder="1" applyAlignment="1">
      <alignment horizontal="left"/>
    </xf>
    <xf numFmtId="0" fontId="47" fillId="8" borderId="7" xfId="0" applyFont="1" applyFill="1" applyBorder="1" applyAlignment="1">
      <alignment horizontal="left"/>
    </xf>
    <xf numFmtId="0" fontId="31" fillId="0" borderId="7" xfId="0" applyFont="1" applyBorder="1"/>
    <xf numFmtId="0" fontId="19" fillId="0" borderId="3" xfId="0" applyFont="1" applyBorder="1"/>
    <xf numFmtId="0" fontId="19" fillId="0" borderId="7" xfId="0" applyFont="1" applyBorder="1"/>
    <xf numFmtId="0" fontId="69" fillId="8" borderId="3" xfId="0" applyFont="1" applyFill="1" applyBorder="1" applyAlignment="1">
      <alignment horizontal="left"/>
    </xf>
    <xf numFmtId="0" fontId="68" fillId="0" borderId="7" xfId="0" applyFont="1" applyBorder="1"/>
    <xf numFmtId="0" fontId="49" fillId="0" borderId="7" xfId="0" applyFont="1" applyBorder="1" applyAlignment="1">
      <alignment horizontal="center"/>
    </xf>
    <xf numFmtId="0" fontId="19" fillId="8" borderId="7" xfId="0" applyFont="1" applyFill="1" applyBorder="1" applyAlignment="1">
      <alignment horizontal="center" wrapText="1"/>
    </xf>
    <xf numFmtId="0" fontId="43" fillId="17" borderId="1" xfId="0" applyFont="1" applyFill="1" applyBorder="1" applyAlignment="1">
      <alignment horizontal="center"/>
    </xf>
    <xf numFmtId="0" fontId="37" fillId="17" borderId="1" xfId="0" applyFont="1" applyFill="1" applyBorder="1" applyAlignment="1">
      <alignment horizontal="center"/>
    </xf>
    <xf numFmtId="0" fontId="23" fillId="17" borderId="1" xfId="0" applyFont="1" applyFill="1" applyBorder="1" applyAlignment="1">
      <alignment horizontal="center" vertical="center" wrapText="1"/>
    </xf>
    <xf numFmtId="0" fontId="34" fillId="17" borderId="1" xfId="0" applyFont="1" applyFill="1" applyBorder="1" applyAlignment="1">
      <alignment horizontal="center" vertical="center" wrapText="1"/>
    </xf>
    <xf numFmtId="0" fontId="34" fillId="17" borderId="0" xfId="0" applyFont="1" applyFill="1" applyAlignment="1">
      <alignment horizontal="center" vertical="center" wrapText="1"/>
    </xf>
    <xf numFmtId="0" fontId="2" fillId="0" borderId="0" xfId="0" applyFont="1" applyAlignment="1">
      <alignment horizontal="left" vertical="center" wrapText="1"/>
    </xf>
    <xf numFmtId="0" fontId="155" fillId="8" borderId="1" xfId="0" applyFont="1" applyFill="1" applyBorder="1" applyAlignment="1">
      <alignment wrapText="1"/>
    </xf>
    <xf numFmtId="0" fontId="156" fillId="8" borderId="1" xfId="0" applyFont="1" applyFill="1" applyBorder="1" applyAlignment="1">
      <alignment wrapText="1"/>
    </xf>
    <xf numFmtId="0" fontId="157" fillId="8" borderId="1" xfId="0" applyFont="1" applyFill="1" applyBorder="1"/>
    <xf numFmtId="0" fontId="156" fillId="8" borderId="1" xfId="0" applyFont="1" applyFill="1" applyBorder="1"/>
    <xf numFmtId="0" fontId="6" fillId="14" borderId="0" xfId="0" applyFont="1" applyFill="1"/>
    <xf numFmtId="0" fontId="159" fillId="8" borderId="1" xfId="0" applyFont="1" applyFill="1" applyBorder="1" applyAlignment="1">
      <alignment horizontal="center"/>
    </xf>
    <xf numFmtId="0" fontId="160" fillId="8" borderId="1" xfId="0" applyFont="1" applyFill="1" applyBorder="1" applyAlignment="1">
      <alignment horizontal="center"/>
    </xf>
    <xf numFmtId="0" fontId="8" fillId="8" borderId="1" xfId="0" applyFont="1" applyFill="1" applyBorder="1"/>
    <xf numFmtId="0" fontId="129" fillId="8" borderId="1" xfId="0" applyFont="1" applyFill="1" applyBorder="1" applyAlignment="1">
      <alignment horizontal="center"/>
    </xf>
    <xf numFmtId="0" fontId="0" fillId="8" borderId="1" xfId="0" applyFill="1" applyBorder="1"/>
    <xf numFmtId="0" fontId="129" fillId="8" borderId="1" xfId="0" applyFont="1" applyFill="1" applyBorder="1"/>
    <xf numFmtId="0" fontId="129" fillId="8" borderId="3" xfId="0" applyFont="1" applyFill="1" applyBorder="1"/>
    <xf numFmtId="0" fontId="129" fillId="8" borderId="7" xfId="0" applyFont="1" applyFill="1" applyBorder="1"/>
    <xf numFmtId="0" fontId="129" fillId="8" borderId="1" xfId="0" applyFont="1" applyFill="1" applyBorder="1" applyAlignment="1">
      <alignment horizontal="left"/>
    </xf>
    <xf numFmtId="0" fontId="8" fillId="8" borderId="1" xfId="0" applyFont="1" applyFill="1" applyBorder="1" applyAlignment="1">
      <alignment horizontal="center"/>
    </xf>
    <xf numFmtId="0" fontId="162" fillId="8" borderId="1" xfId="0" applyFont="1" applyFill="1" applyBorder="1"/>
    <xf numFmtId="0" fontId="8" fillId="8" borderId="0" xfId="0" applyFont="1" applyFill="1" applyAlignment="1">
      <alignment horizontal="left"/>
    </xf>
    <xf numFmtId="0" fontId="8" fillId="8" borderId="1" xfId="0" applyFont="1" applyFill="1" applyBorder="1" applyAlignment="1">
      <alignment horizontal="left"/>
    </xf>
    <xf numFmtId="0" fontId="8" fillId="8" borderId="7" xfId="0" applyFont="1" applyFill="1" applyBorder="1" applyAlignment="1">
      <alignment horizontal="center"/>
    </xf>
    <xf numFmtId="0" fontId="8" fillId="8" borderId="3" xfId="0" applyFont="1" applyFill="1" applyBorder="1" applyAlignment="1">
      <alignment horizontal="left"/>
    </xf>
    <xf numFmtId="0" fontId="29" fillId="0" borderId="0" xfId="0" applyFont="1"/>
    <xf numFmtId="0" fontId="22" fillId="0" borderId="1" xfId="0" applyFont="1" applyBorder="1" applyAlignment="1">
      <alignment horizontal="center"/>
    </xf>
    <xf numFmtId="0" fontId="22" fillId="0" borderId="3" xfId="0" applyFont="1" applyBorder="1" applyAlignment="1">
      <alignment horizontal="center"/>
    </xf>
    <xf numFmtId="0" fontId="165" fillId="8" borderId="0" xfId="0" applyFont="1" applyFill="1"/>
    <xf numFmtId="0" fontId="6" fillId="0" borderId="0" xfId="0" applyFont="1"/>
    <xf numFmtId="0" fontId="157" fillId="8" borderId="0" xfId="0" applyFont="1" applyFill="1"/>
    <xf numFmtId="49" fontId="19" fillId="8" borderId="1" xfId="0" applyNumberFormat="1" applyFont="1" applyFill="1" applyBorder="1" applyAlignment="1">
      <alignment horizontal="center"/>
    </xf>
    <xf numFmtId="0" fontId="6" fillId="0" borderId="1" xfId="0" applyFont="1" applyBorder="1"/>
    <xf numFmtId="0" fontId="168" fillId="0" borderId="1" xfId="0" applyFont="1" applyBorder="1" applyAlignment="1">
      <alignment horizontal="center"/>
    </xf>
    <xf numFmtId="0" fontId="170" fillId="0" borderId="1" xfId="0" applyFont="1" applyBorder="1" applyAlignment="1">
      <alignment horizontal="center"/>
    </xf>
    <xf numFmtId="0" fontId="60" fillId="8" borderId="0" xfId="0" applyFont="1" applyFill="1" applyAlignment="1">
      <alignment horizontal="center"/>
    </xf>
    <xf numFmtId="0" fontId="150" fillId="8" borderId="1" xfId="0" applyFont="1" applyFill="1" applyBorder="1" applyAlignment="1">
      <alignment horizontal="left"/>
    </xf>
    <xf numFmtId="0" fontId="171" fillId="8" borderId="0" xfId="0" applyFont="1" applyFill="1" applyAlignment="1">
      <alignment horizontal="left"/>
    </xf>
    <xf numFmtId="0" fontId="23" fillId="8" borderId="1" xfId="0" applyFont="1" applyFill="1" applyBorder="1" applyAlignment="1">
      <alignment horizontal="center" vertical="center" wrapText="1"/>
    </xf>
    <xf numFmtId="0" fontId="36" fillId="0" borderId="18" xfId="0" applyFont="1" applyBorder="1" applyAlignment="1">
      <alignment horizontal="center"/>
    </xf>
    <xf numFmtId="0" fontId="36" fillId="0" borderId="1" xfId="0" applyFont="1" applyBorder="1" applyAlignment="1">
      <alignment horizontal="left"/>
    </xf>
    <xf numFmtId="0" fontId="36" fillId="0" borderId="3" xfId="0" applyFont="1" applyBorder="1" applyAlignment="1">
      <alignment horizontal="center"/>
    </xf>
    <xf numFmtId="0" fontId="36" fillId="0" borderId="9" xfId="0" applyFont="1" applyBorder="1" applyAlignment="1">
      <alignment horizontal="center"/>
    </xf>
    <xf numFmtId="0" fontId="36" fillId="0" borderId="3" xfId="0" applyFont="1" applyBorder="1" applyAlignment="1">
      <alignment horizontal="left"/>
    </xf>
    <xf numFmtId="0" fontId="49" fillId="8" borderId="3" xfId="0" applyFont="1" applyFill="1" applyBorder="1" applyAlignment="1">
      <alignment horizontal="center"/>
    </xf>
    <xf numFmtId="0" fontId="36" fillId="8" borderId="3" xfId="0" applyFont="1" applyFill="1" applyBorder="1" applyAlignment="1">
      <alignment horizontal="center"/>
    </xf>
    <xf numFmtId="0" fontId="49" fillId="8" borderId="9" xfId="0" applyFont="1" applyFill="1" applyBorder="1" applyAlignment="1">
      <alignment horizontal="center"/>
    </xf>
    <xf numFmtId="0" fontId="49" fillId="8" borderId="3" xfId="0" applyFont="1" applyFill="1" applyBorder="1" applyAlignment="1">
      <alignment horizontal="left"/>
    </xf>
    <xf numFmtId="0" fontId="46" fillId="0" borderId="3" xfId="0" applyFont="1" applyBorder="1" applyAlignment="1">
      <alignment horizontal="center"/>
    </xf>
    <xf numFmtId="0" fontId="46" fillId="0" borderId="7" xfId="0" applyFont="1" applyBorder="1" applyAlignment="1">
      <alignment horizontal="center"/>
    </xf>
    <xf numFmtId="0" fontId="46" fillId="0" borderId="9" xfId="0" applyFont="1" applyBorder="1" applyAlignment="1">
      <alignment horizontal="center"/>
    </xf>
    <xf numFmtId="0" fontId="46" fillId="0" borderId="3" xfId="0" applyFont="1" applyBorder="1" applyAlignment="1">
      <alignment horizontal="left"/>
    </xf>
    <xf numFmtId="0" fontId="46" fillId="0" borderId="1" xfId="0" applyFont="1" applyBorder="1" applyAlignment="1">
      <alignment horizontal="center"/>
    </xf>
    <xf numFmtId="0" fontId="46" fillId="0" borderId="3" xfId="0" applyFont="1" applyBorder="1" applyAlignment="1">
      <alignment horizontal="center" wrapText="1"/>
    </xf>
    <xf numFmtId="0" fontId="175" fillId="0" borderId="8" xfId="0" applyFont="1" applyBorder="1" applyAlignment="1">
      <alignment horizontal="center"/>
    </xf>
    <xf numFmtId="0" fontId="175" fillId="0" borderId="8" xfId="0" applyFont="1" applyBorder="1" applyAlignment="1">
      <alignment horizontal="center" wrapText="1"/>
    </xf>
    <xf numFmtId="0" fontId="175" fillId="0" borderId="20" xfId="0" applyFont="1" applyBorder="1" applyAlignment="1">
      <alignment horizontal="center"/>
    </xf>
    <xf numFmtId="0" fontId="175" fillId="0" borderId="3" xfId="0" applyFont="1" applyBorder="1" applyAlignment="1">
      <alignment horizontal="left"/>
    </xf>
    <xf numFmtId="0" fontId="175" fillId="0" borderId="3" xfId="0" applyFont="1" applyBorder="1" applyAlignment="1">
      <alignment horizontal="center"/>
    </xf>
    <xf numFmtId="0" fontId="49" fillId="0" borderId="1" xfId="0" applyFont="1" applyBorder="1" applyAlignment="1">
      <alignment horizontal="center"/>
    </xf>
    <xf numFmtId="0" fontId="49" fillId="0" borderId="18" xfId="0" applyFont="1" applyBorder="1" applyAlignment="1">
      <alignment horizontal="center"/>
    </xf>
    <xf numFmtId="0" fontId="49" fillId="0" borderId="3" xfId="0" applyFont="1" applyBorder="1" applyAlignment="1">
      <alignment horizontal="left"/>
    </xf>
    <xf numFmtId="0" fontId="49" fillId="0" borderId="3" xfId="0" applyFont="1" applyBorder="1" applyAlignment="1">
      <alignment horizontal="center"/>
    </xf>
    <xf numFmtId="0" fontId="49" fillId="0" borderId="9" xfId="0" applyFont="1" applyBorder="1" applyAlignment="1">
      <alignment horizontal="center"/>
    </xf>
    <xf numFmtId="0" fontId="46" fillId="8" borderId="9" xfId="0" applyFont="1" applyFill="1" applyBorder="1" applyAlignment="1">
      <alignment horizontal="center"/>
    </xf>
    <xf numFmtId="0" fontId="46" fillId="8" borderId="3" xfId="0" applyFont="1" applyFill="1" applyBorder="1" applyAlignment="1">
      <alignment horizontal="left"/>
    </xf>
    <xf numFmtId="0" fontId="175" fillId="8" borderId="3" xfId="0" applyFont="1" applyFill="1" applyBorder="1" applyAlignment="1">
      <alignment horizontal="center"/>
    </xf>
    <xf numFmtId="0" fontId="46" fillId="8" borderId="3" xfId="0" applyFont="1" applyFill="1" applyBorder="1" applyAlignment="1">
      <alignment horizontal="center"/>
    </xf>
    <xf numFmtId="0" fontId="175" fillId="8" borderId="9" xfId="0" applyFont="1" applyFill="1" applyBorder="1" applyAlignment="1">
      <alignment horizontal="center"/>
    </xf>
    <xf numFmtId="0" fontId="36" fillId="8" borderId="18" xfId="0" applyFont="1" applyFill="1" applyBorder="1" applyAlignment="1">
      <alignment horizontal="center"/>
    </xf>
    <xf numFmtId="0" fontId="36" fillId="8" borderId="1" xfId="0" applyFont="1" applyFill="1" applyBorder="1" applyAlignment="1">
      <alignment horizontal="left"/>
    </xf>
    <xf numFmtId="0" fontId="36" fillId="8" borderId="1" xfId="0" applyFont="1" applyFill="1" applyBorder="1" applyAlignment="1">
      <alignment horizontal="center"/>
    </xf>
    <xf numFmtId="0" fontId="177" fillId="0" borderId="0" xfId="0" applyFont="1" applyAlignment="1">
      <alignment horizontal="center"/>
    </xf>
    <xf numFmtId="174" fontId="19" fillId="8" borderId="1" xfId="0" applyNumberFormat="1" applyFont="1" applyFill="1" applyBorder="1" applyAlignment="1">
      <alignment horizontal="center"/>
    </xf>
    <xf numFmtId="0" fontId="178" fillId="8" borderId="0" xfId="0" applyFont="1" applyFill="1" applyAlignment="1">
      <alignment horizontal="center"/>
    </xf>
    <xf numFmtId="0" fontId="179" fillId="18" borderId="1" xfId="0" applyFont="1" applyFill="1" applyBorder="1" applyAlignment="1">
      <alignment horizontal="center"/>
    </xf>
    <xf numFmtId="0" fontId="47" fillId="12" borderId="1" xfId="0" applyFont="1" applyFill="1" applyBorder="1" applyAlignment="1">
      <alignment horizontal="center"/>
    </xf>
    <xf numFmtId="0" fontId="79" fillId="0" borderId="0" xfId="0" applyFont="1" applyAlignment="1">
      <alignment horizontal="center"/>
    </xf>
    <xf numFmtId="0" fontId="180" fillId="8" borderId="1" xfId="0" applyFont="1" applyFill="1" applyBorder="1"/>
    <xf numFmtId="0" fontId="181" fillId="8" borderId="0" xfId="0" applyFont="1" applyFill="1"/>
    <xf numFmtId="0" fontId="182" fillId="8" borderId="1" xfId="0" applyFont="1" applyFill="1" applyBorder="1" applyAlignment="1">
      <alignment horizontal="center"/>
    </xf>
    <xf numFmtId="0" fontId="23" fillId="6" borderId="1" xfId="0" applyFont="1" applyFill="1" applyBorder="1" applyAlignment="1">
      <alignment horizontal="center" vertical="center" wrapText="1"/>
    </xf>
    <xf numFmtId="166" fontId="43" fillId="0" borderId="1" xfId="0" applyNumberFormat="1" applyFont="1" applyBorder="1" applyAlignment="1">
      <alignment horizontal="center" vertical="center" wrapText="1"/>
    </xf>
    <xf numFmtId="166" fontId="6" fillId="0" borderId="1" xfId="0" applyNumberFormat="1" applyFont="1" applyBorder="1" applyAlignment="1">
      <alignment horizontal="center" vertical="center" wrapText="1"/>
    </xf>
    <xf numFmtId="0" fontId="183" fillId="8" borderId="0" xfId="0" applyFont="1" applyFill="1"/>
    <xf numFmtId="0" fontId="184" fillId="8" borderId="0" xfId="0" applyFont="1" applyFill="1" applyAlignment="1">
      <alignment horizontal="left"/>
    </xf>
    <xf numFmtId="0" fontId="186" fillId="8" borderId="1" xfId="0" applyFont="1" applyFill="1" applyBorder="1" applyAlignment="1">
      <alignment wrapText="1"/>
    </xf>
    <xf numFmtId="0" fontId="186" fillId="8" borderId="0" xfId="0" applyFont="1" applyFill="1"/>
    <xf numFmtId="0" fontId="186" fillId="8" borderId="21" xfId="0" applyFont="1" applyFill="1" applyBorder="1" applyAlignment="1">
      <alignment horizontal="left" vertical="top"/>
    </xf>
    <xf numFmtId="0" fontId="43" fillId="0" borderId="0" xfId="0" applyFont="1"/>
    <xf numFmtId="0" fontId="19" fillId="0" borderId="0" xfId="0" applyFont="1"/>
    <xf numFmtId="0" fontId="187" fillId="0" borderId="1" xfId="0" applyFont="1" applyBorder="1" applyAlignment="1">
      <alignment horizontal="left"/>
    </xf>
    <xf numFmtId="0" fontId="188" fillId="8" borderId="0" xfId="0" applyFont="1" applyFill="1" applyAlignment="1">
      <alignment horizontal="center"/>
    </xf>
    <xf numFmtId="0" fontId="0" fillId="8" borderId="1" xfId="0" applyFill="1" applyBorder="1" applyAlignment="1">
      <alignment horizontal="left"/>
    </xf>
    <xf numFmtId="0" fontId="136" fillId="0" borderId="7" xfId="0" applyFont="1" applyBorder="1" applyAlignment="1">
      <alignment horizontal="center"/>
    </xf>
    <xf numFmtId="0" fontId="49" fillId="8" borderId="0" xfId="0" applyFont="1" applyFill="1" applyAlignment="1">
      <alignment horizontal="center"/>
    </xf>
    <xf numFmtId="0" fontId="19" fillId="8" borderId="9" xfId="0" applyFont="1" applyFill="1" applyBorder="1" applyAlignment="1">
      <alignment horizontal="center"/>
    </xf>
    <xf numFmtId="0" fontId="96" fillId="8" borderId="3" xfId="0" applyFont="1" applyFill="1" applyBorder="1" applyAlignment="1">
      <alignment horizontal="center"/>
    </xf>
    <xf numFmtId="0" fontId="96" fillId="8" borderId="0" xfId="0" applyFont="1" applyFill="1" applyAlignment="1">
      <alignment horizontal="left"/>
    </xf>
    <xf numFmtId="0" fontId="49" fillId="8" borderId="7" xfId="0" applyFont="1" applyFill="1" applyBorder="1" applyAlignment="1">
      <alignment horizontal="center"/>
    </xf>
    <xf numFmtId="0" fontId="189" fillId="8" borderId="1" xfId="0" applyFont="1" applyFill="1" applyBorder="1" applyAlignment="1">
      <alignment horizontal="left"/>
    </xf>
    <xf numFmtId="0" fontId="111" fillId="8" borderId="0" xfId="0" applyFont="1" applyFill="1" applyAlignment="1">
      <alignment horizontal="left" wrapText="1"/>
    </xf>
    <xf numFmtId="0" fontId="19" fillId="8" borderId="0" xfId="0" applyFont="1" applyFill="1"/>
    <xf numFmtId="0" fontId="21" fillId="8" borderId="0" xfId="0" applyFont="1" applyFill="1" applyAlignment="1">
      <alignment horizontal="center"/>
    </xf>
    <xf numFmtId="0" fontId="49" fillId="8" borderId="1" xfId="0" applyFont="1" applyFill="1" applyBorder="1" applyAlignment="1">
      <alignment horizontal="center"/>
    </xf>
    <xf numFmtId="0" fontId="111" fillId="8" borderId="1" xfId="0" applyFont="1" applyFill="1" applyBorder="1" applyAlignment="1">
      <alignment horizontal="left"/>
    </xf>
    <xf numFmtId="0" fontId="190" fillId="0" borderId="1" xfId="0" applyFont="1" applyBorder="1" applyAlignment="1">
      <alignment horizontal="center"/>
    </xf>
    <xf numFmtId="0" fontId="190" fillId="0" borderId="3" xfId="0" applyFont="1" applyBorder="1" applyAlignment="1">
      <alignment horizontal="center"/>
    </xf>
    <xf numFmtId="0" fontId="190" fillId="0" borderId="7" xfId="0" applyFont="1" applyBorder="1" applyAlignment="1">
      <alignment horizontal="center"/>
    </xf>
    <xf numFmtId="0" fontId="193" fillId="0" borderId="3" xfId="0" applyFont="1" applyBorder="1" applyAlignment="1">
      <alignment horizontal="center"/>
    </xf>
    <xf numFmtId="0" fontId="193" fillId="0" borderId="7" xfId="0" applyFont="1" applyBorder="1" applyAlignment="1">
      <alignment horizontal="center"/>
    </xf>
    <xf numFmtId="0" fontId="192" fillId="8" borderId="7" xfId="0" applyFont="1" applyFill="1" applyBorder="1" applyAlignment="1">
      <alignment horizontal="center"/>
    </xf>
    <xf numFmtId="0" fontId="192" fillId="8" borderId="1" xfId="0" applyFont="1" applyFill="1" applyBorder="1" applyAlignment="1">
      <alignment horizontal="center"/>
    </xf>
    <xf numFmtId="0" fontId="47" fillId="12" borderId="0" xfId="0" applyFont="1" applyFill="1" applyAlignment="1">
      <alignment horizontal="left"/>
    </xf>
    <xf numFmtId="0" fontId="181" fillId="8" borderId="0" xfId="0" applyFont="1" applyFill="1" applyAlignment="1">
      <alignment horizontal="center"/>
    </xf>
    <xf numFmtId="0" fontId="8" fillId="0" borderId="7" xfId="0" applyFont="1" applyBorder="1"/>
    <xf numFmtId="0" fontId="80" fillId="0" borderId="7" xfId="0" applyFont="1" applyBorder="1"/>
    <xf numFmtId="0" fontId="8" fillId="0" borderId="0" xfId="0" applyFont="1"/>
    <xf numFmtId="0" fontId="8" fillId="0" borderId="7" xfId="0" applyFont="1" applyBorder="1" applyAlignment="1">
      <alignment wrapText="1"/>
    </xf>
    <xf numFmtId="0" fontId="31" fillId="0" borderId="3" xfId="0" applyFont="1" applyBorder="1"/>
    <xf numFmtId="0" fontId="1" fillId="19" borderId="1" xfId="0" applyFont="1" applyFill="1" applyBorder="1" applyAlignment="1">
      <alignment horizontal="center" vertical="center" wrapText="1"/>
    </xf>
    <xf numFmtId="0" fontId="19" fillId="8" borderId="2" xfId="0" applyFont="1" applyFill="1" applyBorder="1" applyAlignment="1">
      <alignment horizontal="center"/>
    </xf>
    <xf numFmtId="0" fontId="0" fillId="0" borderId="0" xfId="0" applyAlignment="1">
      <alignment horizontal="center"/>
    </xf>
    <xf numFmtId="0" fontId="33" fillId="0" borderId="0" xfId="0" applyFont="1"/>
    <xf numFmtId="0" fontId="198" fillId="0" borderId="0" xfId="0" applyFont="1"/>
    <xf numFmtId="0" fontId="80" fillId="8" borderId="0" xfId="0" applyFont="1" applyFill="1"/>
    <xf numFmtId="0" fontId="80" fillId="8" borderId="1" xfId="0" applyFont="1" applyFill="1" applyBorder="1" applyAlignment="1">
      <alignment horizontal="left"/>
    </xf>
    <xf numFmtId="0" fontId="80" fillId="8" borderId="1" xfId="0" applyFont="1" applyFill="1" applyBorder="1"/>
    <xf numFmtId="0" fontId="187" fillId="0" borderId="0" xfId="0" applyFont="1" applyAlignment="1">
      <alignment horizontal="left"/>
    </xf>
    <xf numFmtId="0" fontId="199" fillId="0" borderId="3" xfId="0" applyFont="1" applyBorder="1"/>
    <xf numFmtId="0" fontId="19" fillId="0" borderId="6" xfId="0" applyFont="1" applyBorder="1" applyAlignment="1">
      <alignment horizontal="center"/>
    </xf>
    <xf numFmtId="0" fontId="199" fillId="0" borderId="0" xfId="0" applyFont="1"/>
    <xf numFmtId="0" fontId="19" fillId="0" borderId="5" xfId="0" applyFont="1" applyBorder="1" applyAlignment="1">
      <alignment horizontal="center"/>
    </xf>
    <xf numFmtId="0" fontId="36" fillId="0" borderId="6" xfId="0" applyFont="1" applyBorder="1" applyAlignment="1">
      <alignment horizontal="center"/>
    </xf>
    <xf numFmtId="0" fontId="8" fillId="0" borderId="7" xfId="0" applyFont="1" applyBorder="1" applyAlignment="1">
      <alignment horizontal="center"/>
    </xf>
    <xf numFmtId="0" fontId="39" fillId="0" borderId="7" xfId="0" applyFont="1" applyBorder="1" applyAlignment="1">
      <alignment horizontal="center"/>
    </xf>
    <xf numFmtId="0" fontId="200" fillId="0" borderId="0" xfId="0" applyFont="1" applyAlignment="1">
      <alignment horizontal="left"/>
    </xf>
    <xf numFmtId="0" fontId="201" fillId="9" borderId="1" xfId="0" applyFont="1" applyFill="1" applyBorder="1" applyAlignment="1">
      <alignment wrapText="1"/>
    </xf>
    <xf numFmtId="0" fontId="111" fillId="8" borderId="7" xfId="0" applyFont="1" applyFill="1" applyBorder="1"/>
    <xf numFmtId="0" fontId="47" fillId="8" borderId="7" xfId="0" applyFont="1" applyFill="1" applyBorder="1"/>
    <xf numFmtId="0" fontId="60" fillId="8" borderId="7" xfId="0" applyFont="1" applyFill="1" applyBorder="1" applyAlignment="1">
      <alignment horizontal="center"/>
    </xf>
    <xf numFmtId="0" fontId="91" fillId="8" borderId="7" xfId="0" applyFont="1" applyFill="1" applyBorder="1" applyAlignment="1">
      <alignment horizontal="center"/>
    </xf>
    <xf numFmtId="0" fontId="202" fillId="8" borderId="1" xfId="0" applyFont="1" applyFill="1" applyBorder="1" applyAlignment="1">
      <alignment horizontal="center"/>
    </xf>
    <xf numFmtId="0" fontId="203" fillId="8" borderId="1" xfId="0" applyFont="1" applyFill="1" applyBorder="1" applyAlignment="1">
      <alignment horizontal="center"/>
    </xf>
    <xf numFmtId="0" fontId="204" fillId="8" borderId="1" xfId="0" applyFont="1" applyFill="1" applyBorder="1" applyAlignment="1">
      <alignment horizontal="left"/>
    </xf>
    <xf numFmtId="0" fontId="205" fillId="8" borderId="1" xfId="0" applyFont="1" applyFill="1" applyBorder="1" applyAlignment="1">
      <alignment horizontal="center"/>
    </xf>
    <xf numFmtId="0" fontId="86" fillId="0" borderId="1" xfId="0" applyFont="1" applyBorder="1" applyAlignment="1">
      <alignment horizontal="center"/>
    </xf>
    <xf numFmtId="0" fontId="157" fillId="8" borderId="1" xfId="0" applyFont="1" applyFill="1" applyBorder="1" applyAlignment="1">
      <alignment wrapText="1"/>
    </xf>
    <xf numFmtId="0" fontId="39" fillId="8" borderId="7" xfId="0" applyFont="1" applyFill="1" applyBorder="1" applyAlignment="1">
      <alignment horizontal="center"/>
    </xf>
    <xf numFmtId="0" fontId="39" fillId="8" borderId="1" xfId="0" applyFont="1" applyFill="1" applyBorder="1" applyAlignment="1">
      <alignment horizontal="center"/>
    </xf>
    <xf numFmtId="0" fontId="89" fillId="8" borderId="1" xfId="0" applyFont="1" applyFill="1" applyBorder="1"/>
    <xf numFmtId="0" fontId="89" fillId="8" borderId="1" xfId="0" applyFont="1" applyFill="1" applyBorder="1" applyAlignment="1">
      <alignment horizontal="center"/>
    </xf>
    <xf numFmtId="0" fontId="86" fillId="8" borderId="1" xfId="0" applyFont="1" applyFill="1" applyBorder="1" applyAlignment="1">
      <alignment horizontal="center"/>
    </xf>
    <xf numFmtId="0" fontId="39" fillId="8" borderId="1" xfId="0" applyFont="1" applyFill="1" applyBorder="1" applyAlignment="1">
      <alignment horizontal="left" wrapText="1"/>
    </xf>
    <xf numFmtId="0" fontId="206" fillId="8" borderId="1" xfId="0" applyFont="1" applyFill="1" applyBorder="1" applyAlignment="1">
      <alignment horizontal="center"/>
    </xf>
    <xf numFmtId="0" fontId="207" fillId="8" borderId="1" xfId="0" applyFont="1" applyFill="1" applyBorder="1" applyAlignment="1">
      <alignment horizontal="center"/>
    </xf>
    <xf numFmtId="0" fontId="19" fillId="8" borderId="1" xfId="0" applyFont="1" applyFill="1" applyBorder="1" applyAlignment="1">
      <alignment horizontal="left"/>
    </xf>
    <xf numFmtId="0" fontId="210" fillId="0" borderId="1" xfId="0" applyFont="1" applyBorder="1" applyAlignment="1">
      <alignment horizontal="center"/>
    </xf>
    <xf numFmtId="0" fontId="210" fillId="0" borderId="3" xfId="0" applyFont="1" applyBorder="1" applyAlignment="1">
      <alignment horizontal="center"/>
    </xf>
    <xf numFmtId="0" fontId="212" fillId="8" borderId="0" xfId="0" applyFont="1" applyFill="1"/>
    <xf numFmtId="0" fontId="213" fillId="8" borderId="0" xfId="0" applyFont="1" applyFill="1"/>
    <xf numFmtId="0" fontId="19" fillId="8" borderId="7" xfId="0" quotePrefix="1" applyFont="1" applyFill="1" applyBorder="1" applyAlignment="1">
      <alignment horizontal="center"/>
    </xf>
    <xf numFmtId="0" fontId="47" fillId="8" borderId="7" xfId="0" applyFont="1" applyFill="1" applyBorder="1" applyAlignment="1">
      <alignment horizontal="center"/>
    </xf>
    <xf numFmtId="0" fontId="203" fillId="8" borderId="7" xfId="0" applyFont="1" applyFill="1" applyBorder="1" applyAlignment="1">
      <alignment horizontal="center"/>
    </xf>
    <xf numFmtId="0" fontId="204" fillId="8" borderId="7" xfId="0" applyFont="1" applyFill="1" applyBorder="1" applyAlignment="1">
      <alignment horizontal="center"/>
    </xf>
    <xf numFmtId="0" fontId="202" fillId="8" borderId="7" xfId="0" applyFont="1" applyFill="1" applyBorder="1" applyAlignment="1">
      <alignment horizontal="center"/>
    </xf>
    <xf numFmtId="0" fontId="80" fillId="8" borderId="7" xfId="0" applyFont="1" applyFill="1" applyBorder="1" applyAlignment="1">
      <alignment horizontal="center"/>
    </xf>
    <xf numFmtId="0" fontId="215" fillId="8" borderId="1" xfId="0" applyFont="1" applyFill="1" applyBorder="1" applyAlignment="1">
      <alignment horizontal="center"/>
    </xf>
    <xf numFmtId="0" fontId="216" fillId="8" borderId="1" xfId="0" applyFont="1" applyFill="1" applyBorder="1" applyAlignment="1">
      <alignment horizontal="center"/>
    </xf>
    <xf numFmtId="0" fontId="10" fillId="0" borderId="0" xfId="0" applyFont="1" applyAlignment="1">
      <alignment horizontal="center"/>
    </xf>
    <xf numFmtId="0" fontId="187" fillId="0" borderId="0" xfId="0" applyFont="1" applyAlignment="1">
      <alignment horizontal="center"/>
    </xf>
    <xf numFmtId="0" fontId="14" fillId="0" borderId="1" xfId="0" applyFont="1" applyBorder="1"/>
    <xf numFmtId="0" fontId="14" fillId="8" borderId="1" xfId="0" applyFont="1" applyFill="1" applyBorder="1" applyAlignment="1">
      <alignment horizontal="center"/>
    </xf>
    <xf numFmtId="0" fontId="14" fillId="0" borderId="3" xfId="0" applyFont="1" applyBorder="1"/>
    <xf numFmtId="0" fontId="14" fillId="8" borderId="3" xfId="0" applyFont="1" applyFill="1" applyBorder="1" applyAlignment="1">
      <alignment horizontal="center"/>
    </xf>
    <xf numFmtId="0" fontId="39" fillId="0" borderId="3" xfId="0" applyFont="1" applyBorder="1" applyAlignment="1">
      <alignment horizontal="center"/>
    </xf>
    <xf numFmtId="0" fontId="14" fillId="0" borderId="7" xfId="0" applyFont="1" applyBorder="1"/>
    <xf numFmtId="0" fontId="203" fillId="8" borderId="0" xfId="0" applyFont="1" applyFill="1" applyAlignment="1">
      <alignment horizontal="left"/>
    </xf>
    <xf numFmtId="0" fontId="218" fillId="8" borderId="1" xfId="0" applyFont="1" applyFill="1" applyBorder="1" applyAlignment="1">
      <alignment horizontal="center"/>
    </xf>
    <xf numFmtId="0" fontId="23" fillId="20" borderId="1" xfId="0" applyFont="1" applyFill="1" applyBorder="1" applyAlignment="1">
      <alignment horizontal="center" vertical="center" wrapText="1"/>
    </xf>
    <xf numFmtId="0" fontId="201" fillId="0" borderId="1" xfId="0" applyFont="1" applyBorder="1" applyAlignment="1">
      <alignment horizontal="center"/>
    </xf>
    <xf numFmtId="0" fontId="219" fillId="0" borderId="0" xfId="0" applyFont="1" applyAlignment="1">
      <alignment horizontal="center"/>
    </xf>
    <xf numFmtId="0" fontId="41" fillId="8" borderId="0" xfId="0" applyFont="1" applyFill="1" applyAlignment="1">
      <alignment horizontal="center"/>
    </xf>
    <xf numFmtId="0" fontId="1" fillId="8" borderId="18" xfId="0" applyFont="1" applyFill="1" applyBorder="1" applyAlignment="1">
      <alignment horizontal="center" vertical="center" wrapText="1"/>
    </xf>
    <xf numFmtId="0" fontId="14" fillId="8" borderId="1" xfId="0" applyFont="1" applyFill="1" applyBorder="1"/>
    <xf numFmtId="0" fontId="178" fillId="8" borderId="0" xfId="0" applyFont="1" applyFill="1"/>
    <xf numFmtId="0" fontId="220" fillId="8" borderId="0" xfId="0" applyFont="1" applyFill="1"/>
    <xf numFmtId="0" fontId="221" fillId="8" borderId="0" xfId="0" applyFont="1" applyFill="1"/>
    <xf numFmtId="0" fontId="22" fillId="0" borderId="0" xfId="0" applyFont="1" applyAlignment="1">
      <alignment horizontal="center"/>
    </xf>
    <xf numFmtId="0" fontId="222" fillId="8" borderId="1" xfId="0" applyFont="1" applyFill="1" applyBorder="1" applyAlignment="1">
      <alignment horizontal="center"/>
    </xf>
    <xf numFmtId="0" fontId="39" fillId="0" borderId="1" xfId="0" applyFont="1" applyBorder="1" applyAlignment="1">
      <alignment horizontal="center"/>
    </xf>
    <xf numFmtId="0" fontId="39" fillId="8" borderId="0" xfId="0" applyFont="1" applyFill="1" applyAlignment="1">
      <alignment horizontal="center"/>
    </xf>
    <xf numFmtId="176" fontId="19" fillId="8" borderId="1" xfId="0" applyNumberFormat="1" applyFont="1" applyFill="1" applyBorder="1" applyAlignment="1">
      <alignment horizontal="center"/>
    </xf>
    <xf numFmtId="0" fontId="19" fillId="8" borderId="5" xfId="0" applyFont="1" applyFill="1" applyBorder="1" applyAlignment="1">
      <alignment horizontal="center"/>
    </xf>
    <xf numFmtId="0" fontId="80" fillId="0" borderId="5" xfId="0" applyFont="1" applyBorder="1" applyAlignment="1">
      <alignment horizontal="center"/>
    </xf>
    <xf numFmtId="0" fontId="80" fillId="0" borderId="5" xfId="0" applyFont="1" applyBorder="1" applyAlignment="1">
      <alignment horizontal="left"/>
    </xf>
    <xf numFmtId="0" fontId="80" fillId="0" borderId="7" xfId="0" applyFont="1" applyBorder="1" applyAlignment="1">
      <alignment horizontal="center"/>
    </xf>
    <xf numFmtId="0" fontId="80" fillId="0" borderId="7" xfId="0" applyFont="1" applyBorder="1" applyAlignment="1">
      <alignment horizontal="left"/>
    </xf>
    <xf numFmtId="0" fontId="182" fillId="0" borderId="7" xfId="0" applyFont="1" applyBorder="1" applyAlignment="1">
      <alignment horizontal="center"/>
    </xf>
    <xf numFmtId="0" fontId="182" fillId="0" borderId="7" xfId="0" applyFont="1" applyBorder="1" applyAlignment="1">
      <alignment horizontal="left"/>
    </xf>
    <xf numFmtId="0" fontId="38" fillId="8" borderId="7" xfId="0" applyFont="1" applyFill="1" applyBorder="1" applyAlignment="1">
      <alignment horizontal="left"/>
    </xf>
    <xf numFmtId="0" fontId="182" fillId="0" borderId="0" xfId="0" applyFont="1"/>
    <xf numFmtId="0" fontId="89" fillId="0" borderId="1" xfId="0" applyFont="1" applyBorder="1" applyAlignment="1">
      <alignment horizontal="center"/>
    </xf>
    <xf numFmtId="0" fontId="80" fillId="0" borderId="0" xfId="0" applyFont="1"/>
    <xf numFmtId="0" fontId="201" fillId="0" borderId="7" xfId="0" applyFont="1" applyBorder="1" applyAlignment="1">
      <alignment horizontal="center"/>
    </xf>
    <xf numFmtId="0" fontId="136" fillId="8" borderId="7" xfId="0" applyFont="1" applyFill="1" applyBorder="1" applyAlignment="1">
      <alignment horizontal="left"/>
    </xf>
    <xf numFmtId="0" fontId="223" fillId="0" borderId="7" xfId="0" applyFont="1" applyBorder="1" applyAlignment="1">
      <alignment horizontal="center"/>
    </xf>
    <xf numFmtId="0" fontId="80" fillId="0" borderId="1" xfId="0" applyFont="1" applyBorder="1"/>
    <xf numFmtId="0" fontId="80" fillId="0" borderId="1" xfId="0" applyFont="1" applyBorder="1" applyAlignment="1">
      <alignment horizontal="left"/>
    </xf>
    <xf numFmtId="0" fontId="97" fillId="0" borderId="7" xfId="0" applyFont="1" applyBorder="1" applyAlignment="1">
      <alignment horizontal="center"/>
    </xf>
    <xf numFmtId="0" fontId="145" fillId="8" borderId="7" xfId="0" applyFont="1" applyFill="1" applyBorder="1" applyAlignment="1">
      <alignment horizontal="left"/>
    </xf>
    <xf numFmtId="0" fontId="30" fillId="14" borderId="1" xfId="0" applyFont="1" applyFill="1" applyBorder="1" applyAlignment="1">
      <alignment horizontal="center" vertical="center" wrapText="1"/>
    </xf>
    <xf numFmtId="0" fontId="19" fillId="8" borderId="7" xfId="0" applyFont="1" applyFill="1" applyBorder="1"/>
    <xf numFmtId="0" fontId="224" fillId="8" borderId="7" xfId="0" applyFont="1" applyFill="1" applyBorder="1" applyAlignment="1">
      <alignment horizontal="center"/>
    </xf>
    <xf numFmtId="0" fontId="225" fillId="8" borderId="7" xfId="0" applyFont="1" applyFill="1" applyBorder="1" applyAlignment="1">
      <alignment horizontal="center"/>
    </xf>
    <xf numFmtId="0" fontId="226" fillId="8" borderId="7" xfId="0" applyFont="1" applyFill="1" applyBorder="1" applyAlignment="1">
      <alignment horizontal="center"/>
    </xf>
    <xf numFmtId="0" fontId="154" fillId="0" borderId="7" xfId="0" applyFont="1" applyBorder="1"/>
    <xf numFmtId="0" fontId="216" fillId="8" borderId="7" xfId="0" applyFont="1" applyFill="1" applyBorder="1" applyAlignment="1">
      <alignment horizontal="center"/>
    </xf>
    <xf numFmtId="0" fontId="103" fillId="8" borderId="7" xfId="0" applyFont="1" applyFill="1" applyBorder="1" applyAlignment="1">
      <alignment horizontal="center"/>
    </xf>
    <xf numFmtId="0" fontId="154" fillId="8" borderId="7" xfId="0" applyFont="1" applyFill="1" applyBorder="1"/>
    <xf numFmtId="0" fontId="76" fillId="8" borderId="7" xfId="0" applyFont="1" applyFill="1" applyBorder="1" applyAlignment="1">
      <alignment horizontal="center"/>
    </xf>
    <xf numFmtId="0" fontId="198" fillId="0" borderId="0" xfId="0" applyFont="1" applyAlignment="1">
      <alignment horizontal="center"/>
    </xf>
    <xf numFmtId="0" fontId="11" fillId="0" borderId="0" xfId="0" applyFont="1"/>
    <xf numFmtId="0" fontId="178" fillId="8" borderId="1" xfId="0" applyFont="1" applyFill="1" applyBorder="1"/>
    <xf numFmtId="0" fontId="220" fillId="8" borderId="1" xfId="0" applyFont="1" applyFill="1" applyBorder="1" applyAlignment="1">
      <alignment horizontal="center"/>
    </xf>
    <xf numFmtId="0" fontId="228" fillId="8" borderId="1" xfId="0" applyFont="1" applyFill="1" applyBorder="1" applyAlignment="1">
      <alignment horizontal="center"/>
    </xf>
    <xf numFmtId="0" fontId="220" fillId="8" borderId="0" xfId="0" applyFont="1" applyFill="1" applyAlignment="1">
      <alignment horizontal="center"/>
    </xf>
    <xf numFmtId="0" fontId="68" fillId="0" borderId="0" xfId="0" applyFont="1"/>
    <xf numFmtId="0" fontId="19" fillId="8" borderId="3" xfId="0" applyFont="1" applyFill="1" applyBorder="1"/>
    <xf numFmtId="0" fontId="95" fillId="0" borderId="7" xfId="0" applyFont="1" applyBorder="1" applyAlignment="1">
      <alignment horizontal="center"/>
    </xf>
    <xf numFmtId="0" fontId="8" fillId="0" borderId="7" xfId="0" applyFont="1" applyBorder="1" applyAlignment="1">
      <alignment horizontal="center" wrapText="1"/>
    </xf>
    <xf numFmtId="0" fontId="14" fillId="8" borderId="7" xfId="0" applyFont="1" applyFill="1" applyBorder="1" applyAlignment="1">
      <alignment horizontal="center" wrapText="1"/>
    </xf>
    <xf numFmtId="0" fontId="229" fillId="8" borderId="0" xfId="0" applyFont="1" applyFill="1" applyAlignment="1">
      <alignment horizontal="center"/>
    </xf>
    <xf numFmtId="0" fontId="22" fillId="8" borderId="1" xfId="0" applyFont="1" applyFill="1" applyBorder="1" applyAlignment="1">
      <alignment horizontal="left"/>
    </xf>
    <xf numFmtId="0" fontId="230" fillId="8" borderId="0" xfId="0" applyFont="1" applyFill="1" applyAlignment="1">
      <alignment horizontal="center"/>
    </xf>
    <xf numFmtId="0" fontId="112" fillId="8" borderId="0" xfId="0" applyFont="1" applyFill="1" applyAlignment="1">
      <alignment horizontal="center"/>
    </xf>
    <xf numFmtId="0" fontId="6" fillId="8" borderId="1" xfId="0" applyFont="1" applyFill="1" applyBorder="1" applyAlignment="1">
      <alignment horizontal="center"/>
    </xf>
    <xf numFmtId="0" fontId="19" fillId="0" borderId="7" xfId="0" applyFont="1" applyBorder="1" applyAlignment="1">
      <alignment horizontal="left"/>
    </xf>
    <xf numFmtId="0" fontId="145" fillId="8" borderId="7" xfId="0" applyFont="1" applyFill="1" applyBorder="1" applyAlignment="1">
      <alignment horizontal="center"/>
    </xf>
    <xf numFmtId="0" fontId="80" fillId="0" borderId="3" xfId="0" applyFont="1" applyBorder="1"/>
    <xf numFmtId="0" fontId="39" fillId="0" borderId="0" xfId="0" applyFont="1" applyAlignment="1">
      <alignment horizontal="center"/>
    </xf>
    <xf numFmtId="0" fontId="1" fillId="7" borderId="1" xfId="0" applyFont="1" applyFill="1" applyBorder="1" applyAlignment="1">
      <alignment horizontal="center" wrapText="1"/>
    </xf>
    <xf numFmtId="0" fontId="232" fillId="21" borderId="1" xfId="0" applyFont="1" applyFill="1" applyBorder="1" applyAlignment="1">
      <alignment horizontal="center" vertical="center" wrapText="1"/>
    </xf>
    <xf numFmtId="0" fontId="234" fillId="21" borderId="1" xfId="0" applyFont="1" applyFill="1" applyBorder="1" applyAlignment="1">
      <alignment horizontal="center" vertical="center" wrapText="1"/>
    </xf>
    <xf numFmtId="0" fontId="10" fillId="8" borderId="0" xfId="0" applyFont="1" applyFill="1" applyAlignment="1">
      <alignment horizontal="left"/>
    </xf>
    <xf numFmtId="0" fontId="235" fillId="8" borderId="0" xfId="0" applyFont="1" applyFill="1" applyAlignment="1">
      <alignment horizontal="left"/>
    </xf>
    <xf numFmtId="0" fontId="230" fillId="8" borderId="0" xfId="0" applyFont="1" applyFill="1" applyAlignment="1">
      <alignment horizontal="left"/>
    </xf>
    <xf numFmtId="0" fontId="213" fillId="8" borderId="1" xfId="0" applyFont="1" applyFill="1" applyBorder="1" applyAlignment="1">
      <alignment horizontal="center"/>
    </xf>
    <xf numFmtId="0" fontId="230" fillId="8" borderId="1" xfId="0" applyFont="1" applyFill="1" applyBorder="1" applyAlignment="1">
      <alignment horizontal="center"/>
    </xf>
    <xf numFmtId="0" fontId="204" fillId="8" borderId="0" xfId="0" applyFont="1" applyFill="1" applyAlignment="1">
      <alignment horizontal="center"/>
    </xf>
    <xf numFmtId="0" fontId="1" fillId="5" borderId="1" xfId="0" applyFont="1" applyFill="1" applyBorder="1" applyAlignment="1">
      <alignment horizontal="center" wrapText="1"/>
    </xf>
    <xf numFmtId="0" fontId="29" fillId="0" borderId="1" xfId="0" applyFont="1" applyBorder="1"/>
    <xf numFmtId="0" fontId="178" fillId="8" borderId="1" xfId="0" applyFont="1" applyFill="1" applyBorder="1" applyAlignment="1">
      <alignment horizontal="center"/>
    </xf>
    <xf numFmtId="0" fontId="39" fillId="8" borderId="7" xfId="0" applyFont="1" applyFill="1" applyBorder="1"/>
    <xf numFmtId="0" fontId="39" fillId="8" borderId="3" xfId="0" applyFont="1" applyFill="1" applyBorder="1" applyAlignment="1">
      <alignment horizontal="center"/>
    </xf>
    <xf numFmtId="0" fontId="89" fillId="8" borderId="7" xfId="0" applyFont="1" applyFill="1" applyBorder="1"/>
    <xf numFmtId="0" fontId="89" fillId="8" borderId="7" xfId="0" applyFont="1" applyFill="1" applyBorder="1" applyAlignment="1">
      <alignment horizontal="center"/>
    </xf>
    <xf numFmtId="0" fontId="157" fillId="8" borderId="7" xfId="0" applyFont="1" applyFill="1" applyBorder="1"/>
    <xf numFmtId="0" fontId="43" fillId="22" borderId="1" xfId="0" applyFont="1" applyFill="1" applyBorder="1" applyAlignment="1">
      <alignment horizontal="center"/>
    </xf>
    <xf numFmtId="0" fontId="236" fillId="22" borderId="7" xfId="0" applyFont="1" applyFill="1" applyBorder="1" applyAlignment="1">
      <alignment horizontal="center"/>
    </xf>
    <xf numFmtId="0" fontId="23" fillId="22" borderId="1" xfId="0" applyFont="1" applyFill="1" applyBorder="1" applyAlignment="1">
      <alignment horizontal="center" vertical="center" wrapText="1"/>
    </xf>
    <xf numFmtId="0" fontId="34" fillId="22" borderId="1" xfId="0" applyFont="1" applyFill="1" applyBorder="1" applyAlignment="1">
      <alignment horizontal="center" vertical="center" wrapText="1"/>
    </xf>
    <xf numFmtId="0" fontId="34" fillId="22" borderId="0" xfId="0" applyFont="1" applyFill="1" applyAlignment="1">
      <alignment horizontal="center" vertical="center" wrapText="1"/>
    </xf>
    <xf numFmtId="0" fontId="236" fillId="22" borderId="1" xfId="0" applyFont="1" applyFill="1" applyBorder="1" applyAlignment="1">
      <alignment horizontal="center"/>
    </xf>
    <xf numFmtId="0" fontId="236" fillId="22" borderId="3" xfId="0" applyFont="1" applyFill="1" applyBorder="1" applyAlignment="1">
      <alignment horizontal="center"/>
    </xf>
    <xf numFmtId="0" fontId="204" fillId="8" borderId="0" xfId="0" applyFont="1" applyFill="1" applyAlignment="1">
      <alignment horizontal="left"/>
    </xf>
    <xf numFmtId="0" fontId="237" fillId="12" borderId="0" xfId="0" applyFont="1" applyFill="1" applyAlignment="1">
      <alignment horizontal="left"/>
    </xf>
    <xf numFmtId="0" fontId="31" fillId="0" borderId="0" xfId="0" applyFont="1" applyAlignment="1">
      <alignment horizontal="center"/>
    </xf>
    <xf numFmtId="0" fontId="238" fillId="8" borderId="0" xfId="0" applyFont="1" applyFill="1"/>
    <xf numFmtId="0" fontId="91" fillId="0" borderId="0" xfId="0" applyFont="1" applyAlignment="1">
      <alignment horizontal="center"/>
    </xf>
    <xf numFmtId="0" fontId="60" fillId="8" borderId="1" xfId="0" applyFont="1" applyFill="1" applyBorder="1" applyAlignment="1">
      <alignment horizontal="center"/>
    </xf>
    <xf numFmtId="0" fontId="19" fillId="7" borderId="7" xfId="0" applyFont="1" applyFill="1" applyBorder="1" applyAlignment="1">
      <alignment horizontal="center"/>
    </xf>
    <xf numFmtId="0" fontId="182" fillId="0" borderId="1" xfId="0" applyFont="1" applyBorder="1" applyAlignment="1">
      <alignment horizontal="center"/>
    </xf>
    <xf numFmtId="0" fontId="239" fillId="8" borderId="0" xfId="0" applyFont="1" applyFill="1" applyAlignment="1">
      <alignment horizontal="center"/>
    </xf>
    <xf numFmtId="0" fontId="152" fillId="0" borderId="7" xfId="0" applyFont="1" applyBorder="1" applyAlignment="1">
      <alignment horizontal="center"/>
    </xf>
    <xf numFmtId="0" fontId="240" fillId="0" borderId="7" xfId="0" applyFont="1" applyBorder="1" applyAlignment="1">
      <alignment horizontal="left"/>
    </xf>
    <xf numFmtId="0" fontId="152" fillId="0" borderId="7" xfId="0" applyFont="1" applyBorder="1"/>
    <xf numFmtId="0" fontId="80" fillId="0" borderId="1" xfId="0" applyFont="1" applyBorder="1" applyAlignment="1">
      <alignment horizontal="center"/>
    </xf>
    <xf numFmtId="0" fontId="187" fillId="0" borderId="1" xfId="0" applyFont="1" applyBorder="1" applyAlignment="1">
      <alignment horizontal="center"/>
    </xf>
    <xf numFmtId="0" fontId="91" fillId="0" borderId="0" xfId="0" applyFont="1"/>
    <xf numFmtId="0" fontId="5" fillId="0" borderId="1" xfId="0" applyFont="1" applyBorder="1" applyAlignment="1">
      <alignment horizontal="center" vertical="center" wrapText="1"/>
    </xf>
    <xf numFmtId="0" fontId="2" fillId="0" borderId="4" xfId="0" applyFont="1" applyBorder="1" applyAlignment="1">
      <alignment horizontal="center" vertical="center" wrapText="1"/>
    </xf>
    <xf numFmtId="0" fontId="55" fillId="8" borderId="1" xfId="0" applyFont="1" applyFill="1" applyBorder="1" applyAlignment="1">
      <alignment horizontal="center" vertical="center" wrapText="1"/>
    </xf>
    <xf numFmtId="0" fontId="42" fillId="0" borderId="1" xfId="0" applyFont="1" applyBorder="1" applyAlignment="1">
      <alignment horizontal="center" vertical="center" wrapText="1"/>
    </xf>
    <xf numFmtId="0" fontId="1" fillId="0" borderId="4" xfId="0" applyFont="1" applyBorder="1" applyAlignment="1">
      <alignment horizontal="center" vertical="center" wrapText="1"/>
    </xf>
    <xf numFmtId="0" fontId="2" fillId="8" borderId="5" xfId="0" applyFont="1" applyFill="1" applyBorder="1" applyAlignment="1">
      <alignment horizontal="center" vertical="center" wrapText="1"/>
    </xf>
    <xf numFmtId="0" fontId="58" fillId="8" borderId="5" xfId="0" applyFont="1" applyFill="1" applyBorder="1" applyAlignment="1">
      <alignment horizontal="left" vertical="center" wrapText="1"/>
    </xf>
    <xf numFmtId="0" fontId="31" fillId="8" borderId="4" xfId="0" applyFont="1" applyFill="1" applyBorder="1" applyAlignment="1">
      <alignment horizontal="center" wrapText="1"/>
    </xf>
    <xf numFmtId="0" fontId="70" fillId="0" borderId="19" xfId="0" applyFont="1" applyBorder="1" applyAlignment="1">
      <alignment horizontal="left" wrapText="1"/>
    </xf>
    <xf numFmtId="0" fontId="70" fillId="0" borderId="17" xfId="0" applyFont="1" applyBorder="1" applyAlignment="1">
      <alignment horizontal="left" wrapText="1"/>
    </xf>
    <xf numFmtId="0" fontId="74" fillId="0" borderId="6" xfId="0" applyFont="1" applyBorder="1" applyAlignment="1">
      <alignment horizontal="left" wrapText="1"/>
    </xf>
    <xf numFmtId="0" fontId="2" fillId="0" borderId="4" xfId="0" applyFont="1" applyBorder="1" applyAlignment="1">
      <alignment horizontal="center" wrapText="1"/>
    </xf>
    <xf numFmtId="0" fontId="59" fillId="0" borderId="5" xfId="0" applyFont="1" applyBorder="1" applyAlignment="1">
      <alignment horizontal="left" wrapText="1"/>
    </xf>
    <xf numFmtId="0" fontId="6" fillId="0" borderId="4" xfId="0" applyFont="1" applyBorder="1" applyAlignment="1">
      <alignment horizontal="center" wrapText="1"/>
    </xf>
    <xf numFmtId="0" fontId="69" fillId="0" borderId="0" xfId="0" applyFont="1" applyAlignment="1">
      <alignment horizontal="center" wrapText="1"/>
    </xf>
    <xf numFmtId="0" fontId="12" fillId="0" borderId="1" xfId="0" applyFont="1" applyBorder="1" applyAlignment="1">
      <alignment horizontal="center" vertical="center" wrapText="1"/>
    </xf>
    <xf numFmtId="0" fontId="80" fillId="8" borderId="1" xfId="0" applyFont="1" applyFill="1" applyBorder="1" applyAlignment="1">
      <alignment horizontal="center" vertical="center" wrapText="1"/>
    </xf>
    <xf numFmtId="0" fontId="86" fillId="8" borderId="16" xfId="0" applyFont="1" applyFill="1" applyBorder="1" applyAlignment="1">
      <alignment horizontal="center" wrapText="1"/>
    </xf>
    <xf numFmtId="0" fontId="86" fillId="8" borderId="4" xfId="0" applyFont="1" applyFill="1" applyBorder="1" applyAlignment="1">
      <alignment horizontal="center" wrapText="1"/>
    </xf>
    <xf numFmtId="0" fontId="86" fillId="8" borderId="17" xfId="0" applyFont="1" applyFill="1" applyBorder="1" applyAlignment="1">
      <alignment horizontal="center" wrapText="1"/>
    </xf>
    <xf numFmtId="0" fontId="6" fillId="8" borderId="1" xfId="0" applyFont="1" applyFill="1" applyBorder="1" applyAlignment="1">
      <alignment horizontal="center" wrapText="1"/>
    </xf>
    <xf numFmtId="0" fontId="74" fillId="0" borderId="12" xfId="0" applyFont="1" applyBorder="1" applyAlignment="1">
      <alignment horizontal="center" wrapText="1"/>
    </xf>
    <xf numFmtId="0" fontId="33" fillId="8" borderId="1" xfId="0" applyFont="1" applyFill="1" applyBorder="1" applyAlignment="1">
      <alignment horizontal="center" wrapText="1"/>
    </xf>
    <xf numFmtId="0" fontId="86" fillId="0" borderId="1" xfId="0" applyFont="1" applyBorder="1" applyAlignment="1">
      <alignment horizontal="center" vertical="center" wrapText="1"/>
    </xf>
    <xf numFmtId="0" fontId="92" fillId="0" borderId="4" xfId="0" applyFont="1" applyBorder="1" applyAlignment="1">
      <alignment horizontal="center" wrapText="1"/>
    </xf>
    <xf numFmtId="0" fontId="93" fillId="0" borderId="4" xfId="0" applyFont="1" applyBorder="1" applyAlignment="1">
      <alignment horizontal="center" wrapText="1"/>
    </xf>
    <xf numFmtId="0" fontId="28" fillId="8" borderId="0" xfId="0" applyFont="1" applyFill="1" applyAlignment="1">
      <alignment horizontal="center"/>
    </xf>
    <xf numFmtId="0" fontId="6" fillId="0" borderId="4" xfId="0" applyFont="1" applyBorder="1" applyAlignment="1">
      <alignment horizontal="center"/>
    </xf>
    <xf numFmtId="0" fontId="73" fillId="0" borderId="0" xfId="0" applyFont="1" applyAlignment="1">
      <alignment horizontal="center"/>
    </xf>
    <xf numFmtId="0" fontId="28" fillId="9" borderId="0" xfId="0" applyFont="1" applyFill="1" applyAlignment="1">
      <alignment horizontal="center"/>
    </xf>
    <xf numFmtId="0" fontId="33" fillId="0" borderId="1" xfId="0" applyFont="1" applyBorder="1" applyAlignment="1">
      <alignment horizontal="center"/>
    </xf>
    <xf numFmtId="0" fontId="92" fillId="0" borderId="4" xfId="0" applyFont="1" applyBorder="1" applyAlignment="1">
      <alignment horizontal="center"/>
    </xf>
    <xf numFmtId="0" fontId="1" fillId="0" borderId="4" xfId="0" applyFont="1" applyBorder="1" applyAlignment="1">
      <alignment horizontal="center"/>
    </xf>
    <xf numFmtId="0" fontId="59" fillId="0" borderId="4" xfId="0" applyFont="1" applyBorder="1" applyAlignment="1">
      <alignment horizontal="left"/>
    </xf>
    <xf numFmtId="0" fontId="59" fillId="0" borderId="7" xfId="0" applyFont="1" applyBorder="1" applyAlignment="1">
      <alignment horizontal="left"/>
    </xf>
    <xf numFmtId="0" fontId="6" fillId="0" borderId="17" xfId="0" applyFont="1" applyBorder="1" applyAlignment="1">
      <alignment horizontal="center" vertical="center" wrapText="1"/>
    </xf>
    <xf numFmtId="0" fontId="6" fillId="0" borderId="15" xfId="0" applyFont="1" applyBorder="1" applyAlignment="1">
      <alignment horizontal="center" wrapText="1"/>
    </xf>
    <xf numFmtId="0" fontId="6" fillId="0" borderId="3" xfId="0" applyFont="1" applyBorder="1" applyAlignment="1">
      <alignment horizontal="center" wrapText="1"/>
    </xf>
    <xf numFmtId="0" fontId="6" fillId="0" borderId="17" xfId="0" applyFont="1" applyBorder="1" applyAlignment="1">
      <alignment horizontal="center"/>
    </xf>
    <xf numFmtId="0" fontId="6" fillId="0" borderId="16" xfId="0" applyFont="1" applyBorder="1" applyAlignment="1">
      <alignment horizontal="center"/>
    </xf>
    <xf numFmtId="14" fontId="32" fillId="0" borderId="1" xfId="0" applyNumberFormat="1" applyFont="1" applyBorder="1" applyAlignment="1">
      <alignment horizontal="center"/>
    </xf>
    <xf numFmtId="14" fontId="33" fillId="0" borderId="1" xfId="0" applyNumberFormat="1" applyFont="1" applyBorder="1" applyAlignment="1">
      <alignment horizontal="center"/>
    </xf>
    <xf numFmtId="0" fontId="32" fillId="8" borderId="1" xfId="0" applyFont="1" applyFill="1" applyBorder="1" applyAlignment="1">
      <alignment horizontal="center"/>
    </xf>
    <xf numFmtId="0" fontId="31" fillId="0" borderId="4" xfId="0" applyFont="1" applyBorder="1" applyAlignment="1">
      <alignment horizontal="center"/>
    </xf>
    <xf numFmtId="0" fontId="68" fillId="0" borderId="4" xfId="0" applyFont="1" applyBorder="1" applyAlignment="1">
      <alignment horizontal="center"/>
    </xf>
    <xf numFmtId="0" fontId="115" fillId="0" borderId="7" xfId="0" applyFont="1" applyBorder="1" applyAlignment="1">
      <alignment horizontal="left"/>
    </xf>
    <xf numFmtId="0" fontId="115" fillId="0" borderId="17" xfId="0" applyFont="1" applyBorder="1" applyAlignment="1">
      <alignment horizontal="left"/>
    </xf>
    <xf numFmtId="0" fontId="54" fillId="0" borderId="1" xfId="0" applyFont="1" applyBorder="1" applyAlignment="1">
      <alignment horizontal="center"/>
    </xf>
    <xf numFmtId="0" fontId="14" fillId="0" borderId="4" xfId="0" applyFont="1" applyBorder="1" applyAlignment="1">
      <alignment horizontal="center"/>
    </xf>
    <xf numFmtId="0" fontId="120" fillId="0" borderId="17" xfId="0" applyFont="1" applyBorder="1" applyAlignment="1">
      <alignment horizontal="center"/>
    </xf>
    <xf numFmtId="0" fontId="118" fillId="0" borderId="17" xfId="0" applyFont="1" applyBorder="1" applyAlignment="1">
      <alignment horizontal="left"/>
    </xf>
    <xf numFmtId="0" fontId="59" fillId="0" borderId="1" xfId="0" applyFont="1" applyBorder="1" applyAlignment="1">
      <alignment horizontal="center" vertical="center" wrapText="1"/>
    </xf>
    <xf numFmtId="0" fontId="0" fillId="8" borderId="4" xfId="0" applyFill="1" applyBorder="1" applyAlignment="1">
      <alignment horizontal="center"/>
    </xf>
    <xf numFmtId="0" fontId="6" fillId="8" borderId="4" xfId="0" applyFont="1" applyFill="1" applyBorder="1" applyAlignment="1">
      <alignment horizontal="center"/>
    </xf>
    <xf numFmtId="0" fontId="6" fillId="8" borderId="7" xfId="0" applyFont="1" applyFill="1" applyBorder="1" applyAlignment="1">
      <alignment horizontal="center"/>
    </xf>
    <xf numFmtId="0" fontId="133" fillId="0" borderId="4" xfId="0" applyFont="1" applyBorder="1" applyAlignment="1">
      <alignment horizontal="center"/>
    </xf>
    <xf numFmtId="0" fontId="69" fillId="0" borderId="1" xfId="0" applyFont="1" applyBorder="1" applyAlignment="1">
      <alignment horizontal="center" vertical="center" wrapText="1"/>
    </xf>
    <xf numFmtId="0" fontId="60" fillId="0" borderId="1" xfId="0" applyFont="1" applyBorder="1" applyAlignment="1">
      <alignment horizontal="center" vertical="center" wrapText="1"/>
    </xf>
    <xf numFmtId="0" fontId="33" fillId="0" borderId="4" xfId="0" applyFont="1" applyBorder="1" applyAlignment="1">
      <alignment horizontal="center" wrapText="1"/>
    </xf>
    <xf numFmtId="0" fontId="33" fillId="0" borderId="4" xfId="0" applyFont="1" applyBorder="1" applyAlignment="1">
      <alignment horizontal="center"/>
    </xf>
    <xf numFmtId="0" fontId="61" fillId="0" borderId="4" xfId="0" applyFont="1" applyBorder="1" applyAlignment="1">
      <alignment horizontal="center"/>
    </xf>
    <xf numFmtId="0" fontId="136" fillId="0" borderId="4" xfId="0" applyFont="1" applyBorder="1" applyAlignment="1">
      <alignment horizontal="left"/>
    </xf>
    <xf numFmtId="0" fontId="19" fillId="0" borderId="4" xfId="0" applyFont="1" applyBorder="1" applyAlignment="1">
      <alignment horizontal="center"/>
    </xf>
    <xf numFmtId="0" fontId="33" fillId="0" borderId="7" xfId="0" applyFont="1" applyBorder="1" applyAlignment="1">
      <alignment horizontal="center"/>
    </xf>
    <xf numFmtId="0" fontId="33" fillId="0" borderId="7" xfId="0" applyFont="1" applyBorder="1" applyAlignment="1">
      <alignment horizontal="center" wrapText="1"/>
    </xf>
    <xf numFmtId="0" fontId="35" fillId="8" borderId="4" xfId="0" applyFont="1" applyFill="1" applyBorder="1" applyAlignment="1">
      <alignment horizontal="left"/>
    </xf>
    <xf numFmtId="0" fontId="35" fillId="8" borderId="7" xfId="0" applyFont="1" applyFill="1" applyBorder="1" applyAlignment="1">
      <alignment horizontal="left"/>
    </xf>
    <xf numFmtId="0" fontId="19" fillId="8" borderId="4" xfId="0" applyFont="1" applyFill="1" applyBorder="1" applyAlignment="1">
      <alignment horizontal="center"/>
    </xf>
    <xf numFmtId="0" fontId="35" fillId="0" borderId="7" xfId="0" applyFont="1" applyBorder="1" applyAlignment="1">
      <alignment horizontal="left"/>
    </xf>
    <xf numFmtId="0" fontId="6" fillId="8" borderId="4" xfId="0" applyFont="1" applyFill="1" applyBorder="1" applyAlignment="1">
      <alignment horizontal="center" vertical="center"/>
    </xf>
    <xf numFmtId="0" fontId="21" fillId="0" borderId="4" xfId="0" applyFont="1" applyBorder="1" applyAlignment="1">
      <alignment horizontal="center"/>
    </xf>
    <xf numFmtId="0" fontId="36" fillId="0" borderId="4" xfId="0" applyFont="1" applyBorder="1" applyAlignment="1">
      <alignment horizontal="center"/>
    </xf>
    <xf numFmtId="0" fontId="19" fillId="0" borderId="4" xfId="0" applyFont="1" applyBorder="1" applyAlignment="1">
      <alignment horizontal="center" wrapText="1"/>
    </xf>
    <xf numFmtId="0" fontId="102" fillId="0" borderId="4" xfId="0" applyFont="1" applyBorder="1" applyAlignment="1">
      <alignment horizontal="left"/>
    </xf>
    <xf numFmtId="0" fontId="102" fillId="0" borderId="7" xfId="0" applyFont="1" applyBorder="1" applyAlignment="1">
      <alignment horizontal="left"/>
    </xf>
    <xf numFmtId="0" fontId="43" fillId="8" borderId="4" xfId="0" applyFont="1" applyFill="1" applyBorder="1" applyAlignment="1">
      <alignment horizontal="center"/>
    </xf>
    <xf numFmtId="0" fontId="6" fillId="8" borderId="4" xfId="0" applyFont="1" applyFill="1" applyBorder="1" applyAlignment="1">
      <alignment horizontal="left"/>
    </xf>
    <xf numFmtId="0" fontId="12" fillId="8" borderId="4" xfId="0" applyFont="1" applyFill="1" applyBorder="1" applyAlignment="1">
      <alignment horizontal="left"/>
    </xf>
    <xf numFmtId="0" fontId="6" fillId="8" borderId="3" xfId="0" applyFont="1" applyFill="1" applyBorder="1" applyAlignment="1">
      <alignment horizontal="center"/>
    </xf>
    <xf numFmtId="0" fontId="6" fillId="8" borderId="7" xfId="0" applyFont="1" applyFill="1" applyBorder="1" applyAlignment="1">
      <alignment horizontal="left"/>
    </xf>
    <xf numFmtId="0" fontId="12" fillId="8" borderId="7" xfId="0" applyFont="1" applyFill="1" applyBorder="1" applyAlignment="1">
      <alignment horizontal="left"/>
    </xf>
    <xf numFmtId="0" fontId="59" fillId="8" borderId="7" xfId="0" applyFont="1" applyFill="1" applyBorder="1" applyAlignment="1">
      <alignment horizontal="left"/>
    </xf>
    <xf numFmtId="0" fontId="35" fillId="0" borderId="6" xfId="0" applyFont="1" applyBorder="1" applyAlignment="1">
      <alignment horizontal="left"/>
    </xf>
    <xf numFmtId="0" fontId="1" fillId="0" borderId="4" xfId="0" applyFont="1" applyBorder="1" applyAlignment="1">
      <alignment horizontal="center" wrapText="1"/>
    </xf>
    <xf numFmtId="0" fontId="12" fillId="0" borderId="4" xfId="0" applyFont="1" applyBorder="1" applyAlignment="1">
      <alignment horizontal="left" wrapText="1"/>
    </xf>
    <xf numFmtId="0" fontId="59" fillId="0" borderId="19" xfId="0" applyFont="1" applyBorder="1" applyAlignment="1">
      <alignment horizontal="left"/>
    </xf>
    <xf numFmtId="0" fontId="59" fillId="0" borderId="6" xfId="0" applyFont="1" applyBorder="1" applyAlignment="1">
      <alignment horizontal="left"/>
    </xf>
    <xf numFmtId="0" fontId="6" fillId="0" borderId="7" xfId="0" applyFont="1" applyBorder="1" applyAlignment="1">
      <alignment horizontal="center" wrapText="1"/>
    </xf>
    <xf numFmtId="0" fontId="47" fillId="8" borderId="4" xfId="0" applyFont="1" applyFill="1" applyBorder="1" applyAlignment="1">
      <alignment horizontal="left"/>
    </xf>
    <xf numFmtId="0" fontId="137" fillId="0" borderId="4" xfId="0" applyFont="1" applyBorder="1" applyAlignment="1">
      <alignment horizontal="left"/>
    </xf>
    <xf numFmtId="0" fontId="31" fillId="0" borderId="4" xfId="0" applyFont="1" applyBorder="1"/>
    <xf numFmtId="0" fontId="102" fillId="8" borderId="7" xfId="0" applyFont="1" applyFill="1" applyBorder="1" applyAlignment="1">
      <alignment horizontal="center"/>
    </xf>
    <xf numFmtId="0" fontId="137" fillId="0" borderId="7" xfId="0" applyFont="1" applyBorder="1" applyAlignment="1">
      <alignment horizontal="left"/>
    </xf>
    <xf numFmtId="0" fontId="115" fillId="0" borderId="7" xfId="0" applyFont="1" applyBorder="1" applyAlignment="1">
      <alignment horizontal="center"/>
    </xf>
    <xf numFmtId="0" fontId="152" fillId="0" borderId="4" xfId="0" applyFont="1" applyBorder="1"/>
    <xf numFmtId="0" fontId="59" fillId="8" borderId="7" xfId="0" applyFont="1" applyFill="1" applyBorder="1" applyAlignment="1">
      <alignment horizontal="left" wrapText="1"/>
    </xf>
    <xf numFmtId="0" fontId="35" fillId="8" borderId="7" xfId="0" applyFont="1" applyFill="1" applyBorder="1" applyAlignment="1">
      <alignment horizontal="left" wrapText="1"/>
    </xf>
    <xf numFmtId="0" fontId="0" fillId="8" borderId="4" xfId="0" applyFill="1" applyBorder="1"/>
    <xf numFmtId="0" fontId="8" fillId="8" borderId="4" xfId="0" applyFont="1" applyFill="1" applyBorder="1" applyAlignment="1">
      <alignment horizontal="center"/>
    </xf>
    <xf numFmtId="0" fontId="129" fillId="8" borderId="4" xfId="0" applyFont="1" applyFill="1" applyBorder="1"/>
    <xf numFmtId="0" fontId="35" fillId="8" borderId="1" xfId="0" applyFont="1" applyFill="1" applyBorder="1" applyAlignment="1">
      <alignment horizontal="center"/>
    </xf>
    <xf numFmtId="0" fontId="33" fillId="8" borderId="1" xfId="0" applyFont="1" applyFill="1" applyBorder="1" applyAlignment="1">
      <alignment horizontal="center"/>
    </xf>
    <xf numFmtId="0" fontId="43" fillId="8" borderId="1" xfId="0" applyFont="1" applyFill="1" applyBorder="1" applyAlignment="1">
      <alignment horizontal="center"/>
    </xf>
    <xf numFmtId="0" fontId="19" fillId="8" borderId="4" xfId="0" applyFont="1" applyFill="1" applyBorder="1" applyAlignment="1">
      <alignment horizontal="center" wrapText="1"/>
    </xf>
    <xf numFmtId="0" fontId="39" fillId="0" borderId="4" xfId="0" applyFont="1" applyBorder="1" applyAlignment="1">
      <alignment horizontal="center"/>
    </xf>
    <xf numFmtId="0" fontId="136" fillId="0" borderId="4" xfId="0" applyFont="1" applyBorder="1"/>
    <xf numFmtId="0" fontId="33" fillId="8" borderId="4" xfId="0" applyFont="1" applyFill="1" applyBorder="1"/>
    <xf numFmtId="0" fontId="33" fillId="8" borderId="4" xfId="0" applyFont="1" applyFill="1" applyBorder="1" applyAlignment="1">
      <alignment horizontal="center"/>
    </xf>
    <xf numFmtId="0" fontId="136" fillId="8" borderId="4" xfId="0" applyFont="1" applyFill="1" applyBorder="1"/>
    <xf numFmtId="0" fontId="126" fillId="0" borderId="4" xfId="0" applyFont="1" applyBorder="1"/>
    <xf numFmtId="0" fontId="46" fillId="0" borderId="17" xfId="0" applyFont="1" applyBorder="1" applyAlignment="1">
      <alignment horizontal="center"/>
    </xf>
    <xf numFmtId="0" fontId="102" fillId="0" borderId="4" xfId="0" applyFont="1" applyBorder="1"/>
    <xf numFmtId="0" fontId="19" fillId="8" borderId="4" xfId="0" applyFont="1" applyFill="1" applyBorder="1"/>
    <xf numFmtId="0" fontId="102" fillId="8" borderId="4" xfId="0" applyFont="1" applyFill="1" applyBorder="1"/>
    <xf numFmtId="0" fontId="59" fillId="0" borderId="4" xfId="0" applyFont="1" applyBorder="1"/>
    <xf numFmtId="174" fontId="6" fillId="8" borderId="1" xfId="0" applyNumberFormat="1" applyFont="1" applyFill="1" applyBorder="1" applyAlignment="1">
      <alignment horizontal="center"/>
    </xf>
    <xf numFmtId="49" fontId="33" fillId="8" borderId="1" xfId="0" applyNumberFormat="1" applyFont="1" applyFill="1" applyBorder="1" applyAlignment="1">
      <alignment horizontal="center"/>
    </xf>
    <xf numFmtId="0" fontId="102" fillId="8" borderId="16" xfId="0" applyFont="1" applyFill="1" applyBorder="1"/>
    <xf numFmtId="0" fontId="19" fillId="0" borderId="4" xfId="0" applyFont="1" applyBorder="1"/>
    <xf numFmtId="0" fontId="102" fillId="8" borderId="7" xfId="0" applyFont="1" applyFill="1" applyBorder="1"/>
    <xf numFmtId="0" fontId="102" fillId="8" borderId="17" xfId="0" applyFont="1" applyFill="1" applyBorder="1"/>
    <xf numFmtId="0" fontId="102" fillId="0" borderId="7" xfId="0" applyFont="1" applyBorder="1" applyAlignment="1">
      <alignment horizontal="center"/>
    </xf>
    <xf numFmtId="0" fontId="33" fillId="8" borderId="7" xfId="0" applyFont="1" applyFill="1" applyBorder="1" applyAlignment="1">
      <alignment horizontal="center"/>
    </xf>
    <xf numFmtId="0" fontId="33" fillId="0" borderId="0" xfId="0" applyFont="1" applyAlignment="1">
      <alignment horizontal="center"/>
    </xf>
    <xf numFmtId="0" fontId="19" fillId="8" borderId="16" xfId="0" applyFont="1" applyFill="1" applyBorder="1" applyAlignment="1">
      <alignment horizontal="center"/>
    </xf>
    <xf numFmtId="0" fontId="49" fillId="8" borderId="4" xfId="0" applyFont="1" applyFill="1" applyBorder="1" applyAlignment="1">
      <alignment horizontal="center"/>
    </xf>
    <xf numFmtId="0" fontId="145" fillId="8" borderId="1" xfId="0" applyFont="1" applyFill="1" applyBorder="1" applyAlignment="1">
      <alignment horizontal="center"/>
    </xf>
    <xf numFmtId="0" fontId="145" fillId="0" borderId="1" xfId="0" applyFont="1" applyBorder="1" applyAlignment="1">
      <alignment horizontal="center"/>
    </xf>
    <xf numFmtId="0" fontId="127" fillId="8" borderId="1" xfId="0" applyFont="1" applyFill="1" applyBorder="1" applyAlignment="1">
      <alignment horizontal="center" wrapText="1"/>
    </xf>
    <xf numFmtId="0" fontId="60" fillId="8" borderId="1" xfId="0" applyFont="1" applyFill="1" applyBorder="1" applyAlignment="1">
      <alignment horizontal="center" wrapText="1"/>
    </xf>
    <xf numFmtId="0" fontId="148" fillId="8" borderId="0" xfId="0" applyFont="1" applyFill="1" applyAlignment="1">
      <alignment horizontal="left"/>
    </xf>
    <xf numFmtId="0" fontId="6" fillId="8" borderId="4" xfId="0" applyFont="1" applyFill="1" applyBorder="1"/>
    <xf numFmtId="0" fontId="12" fillId="8" borderId="4" xfId="0" applyFont="1" applyFill="1" applyBorder="1"/>
    <xf numFmtId="0" fontId="6" fillId="8" borderId="7" xfId="0" applyFont="1" applyFill="1" applyBorder="1"/>
    <xf numFmtId="0" fontId="35" fillId="8" borderId="7" xfId="0" applyFont="1" applyFill="1" applyBorder="1"/>
    <xf numFmtId="0" fontId="12" fillId="8" borderId="7" xfId="0" applyFont="1" applyFill="1" applyBorder="1"/>
    <xf numFmtId="0" fontId="190" fillId="0" borderId="4" xfId="0" applyFont="1" applyBorder="1" applyAlignment="1">
      <alignment horizontal="center"/>
    </xf>
    <xf numFmtId="0" fontId="192" fillId="8" borderId="4" xfId="0" applyFont="1" applyFill="1" applyBorder="1" applyAlignment="1">
      <alignment horizontal="center"/>
    </xf>
    <xf numFmtId="0" fontId="192" fillId="0" borderId="4" xfId="0" applyFont="1" applyBorder="1" applyAlignment="1">
      <alignment horizontal="center"/>
    </xf>
    <xf numFmtId="0" fontId="194" fillId="8" borderId="4" xfId="0" applyFont="1" applyFill="1" applyBorder="1" applyAlignment="1">
      <alignment horizontal="center"/>
    </xf>
    <xf numFmtId="0" fontId="102" fillId="0" borderId="7" xfId="0" applyFont="1" applyBorder="1"/>
    <xf numFmtId="0" fontId="8" fillId="0" borderId="4" xfId="0" applyFont="1" applyBorder="1"/>
    <xf numFmtId="0" fontId="166" fillId="0" borderId="1" xfId="0" applyFont="1" applyBorder="1" applyAlignment="1">
      <alignment horizontal="center"/>
    </xf>
    <xf numFmtId="0" fontId="97" fillId="0" borderId="4" xfId="0" applyFont="1" applyBorder="1" applyAlignment="1">
      <alignment horizontal="left"/>
    </xf>
    <xf numFmtId="0" fontId="145" fillId="0" borderId="4" xfId="0" applyFont="1" applyBorder="1" applyAlignment="1">
      <alignment horizontal="center"/>
    </xf>
    <xf numFmtId="175" fontId="19" fillId="0" borderId="4" xfId="0" applyNumberFormat="1" applyFont="1" applyBorder="1" applyAlignment="1">
      <alignment horizontal="center"/>
    </xf>
    <xf numFmtId="0" fontId="35" fillId="0" borderId="4" xfId="0" applyFont="1" applyBorder="1" applyAlignment="1">
      <alignment horizontal="left"/>
    </xf>
    <xf numFmtId="175" fontId="6" fillId="0" borderId="7" xfId="0" applyNumberFormat="1" applyFont="1" applyBorder="1" applyAlignment="1">
      <alignment horizontal="center"/>
    </xf>
    <xf numFmtId="0" fontId="172" fillId="0" borderId="7" xfId="0" applyFont="1" applyBorder="1" applyAlignment="1">
      <alignment horizontal="left"/>
    </xf>
    <xf numFmtId="0" fontId="19" fillId="0" borderId="17" xfId="0" applyFont="1" applyBorder="1" applyAlignment="1">
      <alignment horizontal="center"/>
    </xf>
    <xf numFmtId="0" fontId="12" fillId="0" borderId="7" xfId="0" applyFont="1" applyBorder="1" applyAlignment="1">
      <alignment horizontal="left"/>
    </xf>
    <xf numFmtId="0" fontId="74" fillId="0" borderId="4" xfId="0" applyFont="1" applyBorder="1"/>
    <xf numFmtId="0" fontId="74" fillId="0" borderId="7" xfId="0" applyFont="1" applyBorder="1"/>
    <xf numFmtId="0" fontId="59" fillId="8" borderId="7" xfId="0" applyFont="1" applyFill="1" applyBorder="1"/>
    <xf numFmtId="0" fontId="39" fillId="8" borderId="4" xfId="0" applyFont="1" applyFill="1" applyBorder="1" applyAlignment="1">
      <alignment horizontal="center"/>
    </xf>
    <xf numFmtId="0" fontId="86" fillId="8" borderId="4" xfId="0" applyFont="1" applyFill="1" applyBorder="1" applyAlignment="1">
      <alignment horizontal="center"/>
    </xf>
    <xf numFmtId="0" fontId="88" fillId="8" borderId="7" xfId="0" applyFont="1" applyFill="1" applyBorder="1" applyAlignment="1">
      <alignment horizontal="left"/>
    </xf>
    <xf numFmtId="0" fontId="74" fillId="8" borderId="7" xfId="0" applyFont="1" applyFill="1" applyBorder="1"/>
    <xf numFmtId="0" fontId="74" fillId="0" borderId="17" xfId="0" applyFont="1" applyBorder="1"/>
    <xf numFmtId="0" fontId="10" fillId="8" borderId="1" xfId="0" applyFont="1" applyFill="1" applyBorder="1" applyAlignment="1">
      <alignment horizontal="left"/>
    </xf>
    <xf numFmtId="0" fontId="6" fillId="8" borderId="0" xfId="0" applyFont="1" applyFill="1" applyAlignment="1">
      <alignment horizontal="center"/>
    </xf>
    <xf numFmtId="0" fontId="59" fillId="8" borderId="19" xfId="0" applyFont="1" applyFill="1" applyBorder="1"/>
    <xf numFmtId="0" fontId="6" fillId="0" borderId="19" xfId="0" applyFont="1" applyBorder="1"/>
    <xf numFmtId="0" fontId="33" fillId="8" borderId="1" xfId="0" applyFont="1" applyFill="1" applyBorder="1" applyAlignment="1">
      <alignment horizontal="center" vertical="center" wrapText="1"/>
    </xf>
    <xf numFmtId="0" fontId="80" fillId="0" borderId="4" xfId="0" applyFont="1" applyBorder="1" applyAlignment="1">
      <alignment horizontal="center"/>
    </xf>
    <xf numFmtId="0" fontId="80" fillId="0" borderId="4" xfId="0" applyFont="1" applyBorder="1" applyAlignment="1">
      <alignment horizontal="left"/>
    </xf>
    <xf numFmtId="0" fontId="102" fillId="8" borderId="4" xfId="0" applyFont="1" applyFill="1" applyBorder="1" applyAlignment="1">
      <alignment horizontal="left"/>
    </xf>
    <xf numFmtId="0" fontId="35" fillId="0" borderId="5" xfId="0" applyFont="1" applyBorder="1" applyAlignment="1">
      <alignment horizontal="left"/>
    </xf>
    <xf numFmtId="0" fontId="33" fillId="8" borderId="3" xfId="0" applyFont="1" applyFill="1" applyBorder="1" applyAlignment="1">
      <alignment horizontal="center"/>
    </xf>
    <xf numFmtId="0" fontId="102" fillId="8" borderId="7" xfId="0" applyFont="1" applyFill="1" applyBorder="1" applyAlignment="1">
      <alignment horizontal="left"/>
    </xf>
    <xf numFmtId="0" fontId="80" fillId="0" borderId="4" xfId="0" applyFont="1" applyBorder="1"/>
    <xf numFmtId="0" fontId="74" fillId="0" borderId="5" xfId="0" applyFont="1" applyBorder="1"/>
    <xf numFmtId="0" fontId="33" fillId="0" borderId="7" xfId="0" applyFont="1" applyBorder="1"/>
    <xf numFmtId="0" fontId="102" fillId="8" borderId="17" xfId="0" applyFont="1" applyFill="1" applyBorder="1" applyAlignment="1">
      <alignment horizontal="center"/>
    </xf>
    <xf numFmtId="0" fontId="32" fillId="0" borderId="4" xfId="0" applyFont="1" applyBorder="1" applyAlignment="1">
      <alignment horizontal="left"/>
    </xf>
    <xf numFmtId="0" fontId="102" fillId="0" borderId="4" xfId="0" applyFont="1" applyBorder="1" applyAlignment="1">
      <alignment horizontal="center"/>
    </xf>
    <xf numFmtId="0" fontId="5" fillId="0" borderId="4" xfId="0" applyFont="1" applyBorder="1" applyAlignment="1">
      <alignment wrapText="1"/>
    </xf>
    <xf numFmtId="0" fontId="160" fillId="21" borderId="1" xfId="0" applyFont="1" applyFill="1" applyBorder="1" applyAlignment="1">
      <alignment horizontal="center"/>
    </xf>
    <xf numFmtId="0" fontId="159" fillId="21" borderId="1" xfId="0" applyFont="1" applyFill="1" applyBorder="1" applyAlignment="1">
      <alignment horizontal="center"/>
    </xf>
    <xf numFmtId="0" fontId="234" fillId="21" borderId="0" xfId="0" applyFont="1" applyFill="1" applyAlignment="1">
      <alignment horizontal="center" vertical="center" wrapText="1"/>
    </xf>
    <xf numFmtId="0" fontId="49" fillId="0" borderId="4" xfId="0" applyFont="1" applyBorder="1" applyAlignment="1">
      <alignment horizontal="center"/>
    </xf>
    <xf numFmtId="0" fontId="157" fillId="8" borderId="4" xfId="0" applyFont="1" applyFill="1" applyBorder="1"/>
    <xf numFmtId="0" fontId="102" fillId="0" borderId="4" xfId="0" applyFont="1" applyBorder="1" applyAlignment="1">
      <alignment vertical="top"/>
    </xf>
    <xf numFmtId="0" fontId="183" fillId="8" borderId="7" xfId="0" applyFont="1" applyFill="1" applyBorder="1"/>
    <xf numFmtId="0" fontId="70" fillId="8" borderId="7" xfId="0" applyFont="1" applyFill="1" applyBorder="1"/>
    <xf numFmtId="0" fontId="33" fillId="22" borderId="1" xfId="0" applyFont="1" applyFill="1" applyBorder="1" applyAlignment="1">
      <alignment horizontal="center"/>
    </xf>
    <xf numFmtId="0" fontId="236" fillId="22" borderId="4" xfId="0" applyFont="1" applyFill="1" applyBorder="1" applyAlignment="1">
      <alignment horizontal="center"/>
    </xf>
    <xf numFmtId="0" fontId="19" fillId="7" borderId="4" xfId="0" applyFont="1" applyFill="1" applyBorder="1" applyAlignment="1">
      <alignment horizontal="center"/>
    </xf>
    <xf numFmtId="0" fontId="59" fillId="8" borderId="4" xfId="0" applyFont="1" applyFill="1" applyBorder="1" applyAlignment="1">
      <alignment horizontal="left"/>
    </xf>
    <xf numFmtId="0" fontId="218" fillId="0" borderId="7" xfId="0" applyFont="1" applyBorder="1"/>
    <xf numFmtId="0" fontId="32" fillId="0" borderId="7" xfId="0" applyFont="1" applyBorder="1" applyAlignment="1">
      <alignment horizontal="left"/>
    </xf>
    <xf numFmtId="0" fontId="218" fillId="0" borderId="7" xfId="0" applyFont="1" applyBorder="1" applyAlignment="1">
      <alignment horizontal="left"/>
    </xf>
    <xf numFmtId="0" fontId="172" fillId="8" borderId="7" xfId="0" applyFont="1" applyFill="1" applyBorder="1" applyAlignment="1">
      <alignment horizontal="left"/>
    </xf>
    <xf numFmtId="0" fontId="88" fillId="0" borderId="4" xfId="0" applyFont="1" applyBorder="1"/>
    <xf numFmtId="0" fontId="88" fillId="0" borderId="7" xfId="0" applyFont="1" applyBorder="1"/>
    <xf numFmtId="0" fontId="250" fillId="0" borderId="7" xfId="1" applyFont="1" applyBorder="1"/>
    <xf numFmtId="0" fontId="250" fillId="23" borderId="16" xfId="1" applyFont="1" applyFill="1" applyBorder="1" applyAlignment="1">
      <alignment readingOrder="1"/>
    </xf>
    <xf numFmtId="0" fontId="250" fillId="23" borderId="17" xfId="1" applyFont="1" applyFill="1" applyBorder="1" applyAlignment="1">
      <alignment readingOrder="1"/>
    </xf>
    <xf numFmtId="0" fontId="250" fillId="23" borderId="7" xfId="1" applyFont="1" applyFill="1" applyBorder="1" applyAlignment="1">
      <alignment readingOrder="1"/>
    </xf>
    <xf numFmtId="0" fontId="251" fillId="0" borderId="4" xfId="0" applyFont="1" applyBorder="1" applyAlignment="1">
      <alignment horizontal="center" vertical="center" readingOrder="1"/>
    </xf>
    <xf numFmtId="0" fontId="0" fillId="23" borderId="4" xfId="0" applyFill="1" applyBorder="1" applyAlignment="1">
      <alignment horizontal="center" readingOrder="1"/>
    </xf>
    <xf numFmtId="0" fontId="250" fillId="0" borderId="7" xfId="1" applyFont="1" applyBorder="1" applyAlignment="1">
      <alignment horizontal="left"/>
    </xf>
    <xf numFmtId="0" fontId="0" fillId="0" borderId="1" xfId="0" applyBorder="1"/>
    <xf numFmtId="0" fontId="0" fillId="0" borderId="4" xfId="0" applyBorder="1"/>
    <xf numFmtId="0" fontId="250" fillId="23" borderId="4" xfId="1" applyFont="1" applyFill="1" applyBorder="1" applyAlignment="1">
      <alignment readingOrder="1"/>
    </xf>
    <xf numFmtId="0" fontId="1" fillId="24" borderId="1" xfId="0" applyFont="1" applyFill="1" applyBorder="1" applyAlignment="1">
      <alignment horizontal="center" vertical="center" wrapText="1"/>
    </xf>
    <xf numFmtId="0" fontId="250" fillId="0" borderId="4" xfId="1" applyFont="1" applyBorder="1" applyAlignment="1">
      <alignment horizontal="left" readingOrder="1"/>
    </xf>
    <xf numFmtId="0" fontId="250" fillId="0" borderId="7" xfId="1" applyFont="1" applyBorder="1" applyAlignment="1">
      <alignment horizontal="left" readingOrder="1"/>
    </xf>
    <xf numFmtId="0" fontId="0" fillId="23" borderId="4" xfId="0" applyFill="1" applyBorder="1" applyAlignment="1">
      <alignment readingOrder="1"/>
    </xf>
    <xf numFmtId="0" fontId="69" fillId="23" borderId="1" xfId="0" applyFont="1" applyFill="1" applyBorder="1" applyAlignment="1">
      <alignment horizontal="center"/>
    </xf>
    <xf numFmtId="0" fontId="255" fillId="23" borderId="1" xfId="0" applyFont="1" applyFill="1" applyBorder="1" applyAlignment="1">
      <alignment horizontal="center" vertical="center" wrapText="1"/>
    </xf>
    <xf numFmtId="0" fontId="255" fillId="23" borderId="0" xfId="0" applyFont="1" applyFill="1" applyAlignment="1">
      <alignment horizontal="center" vertical="center" wrapText="1"/>
    </xf>
    <xf numFmtId="0" fontId="21" fillId="23" borderId="0" xfId="0" applyFont="1" applyFill="1" applyAlignment="1">
      <alignment horizontal="center"/>
    </xf>
    <xf numFmtId="0" fontId="1" fillId="25" borderId="1" xfId="0" applyFont="1" applyFill="1" applyBorder="1" applyAlignment="1">
      <alignment horizontal="center" vertical="center" wrapText="1"/>
    </xf>
    <xf numFmtId="0" fontId="250" fillId="8" borderId="7" xfId="1" applyFont="1" applyFill="1" applyBorder="1" applyAlignment="1">
      <alignment horizontal="left"/>
    </xf>
    <xf numFmtId="0" fontId="19" fillId="23" borderId="1" xfId="0" applyFont="1" applyFill="1" applyBorder="1" applyAlignment="1">
      <alignment horizontal="center" vertical="center" readingOrder="1"/>
    </xf>
    <xf numFmtId="0" fontId="19" fillId="23" borderId="4" xfId="0" applyFont="1" applyFill="1" applyBorder="1" applyAlignment="1">
      <alignment horizontal="center" vertical="center" readingOrder="1"/>
    </xf>
    <xf numFmtId="0" fontId="19" fillId="23" borderId="4" xfId="0" applyFont="1" applyFill="1" applyBorder="1" applyAlignment="1">
      <alignment horizontal="center" readingOrder="1"/>
    </xf>
    <xf numFmtId="0" fontId="19" fillId="23" borderId="7" xfId="0" applyFont="1" applyFill="1" applyBorder="1" applyAlignment="1">
      <alignment horizontal="center" readingOrder="1"/>
    </xf>
    <xf numFmtId="0" fontId="19" fillId="23" borderId="6" xfId="0" applyFont="1" applyFill="1" applyBorder="1" applyAlignment="1">
      <alignment horizontal="center" readingOrder="1"/>
    </xf>
    <xf numFmtId="0" fontId="19" fillId="0" borderId="18" xfId="0" applyFont="1" applyBorder="1" applyAlignment="1">
      <alignment readingOrder="1"/>
    </xf>
    <xf numFmtId="0" fontId="19" fillId="0" borderId="24" xfId="0" applyFont="1" applyBorder="1" applyAlignment="1">
      <alignment readingOrder="1"/>
    </xf>
    <xf numFmtId="0" fontId="89" fillId="23" borderId="1" xfId="0" applyFont="1" applyFill="1" applyBorder="1" applyAlignment="1">
      <alignment readingOrder="1"/>
    </xf>
    <xf numFmtId="0" fontId="19" fillId="0" borderId="25" xfId="0" applyFont="1" applyBorder="1" applyAlignment="1">
      <alignment readingOrder="1"/>
    </xf>
    <xf numFmtId="0" fontId="19" fillId="23" borderId="4" xfId="0" applyFont="1" applyFill="1" applyBorder="1" applyAlignment="1">
      <alignment readingOrder="1"/>
    </xf>
    <xf numFmtId="0" fontId="19" fillId="23" borderId="4" xfId="0" applyFont="1" applyFill="1" applyBorder="1" applyAlignment="1">
      <alignment wrapText="1" readingOrder="1"/>
    </xf>
    <xf numFmtId="0" fontId="183" fillId="23" borderId="4" xfId="0" applyFont="1" applyFill="1" applyBorder="1" applyAlignment="1">
      <alignment readingOrder="1"/>
    </xf>
    <xf numFmtId="0" fontId="19" fillId="0" borderId="1" xfId="0" applyFont="1" applyBorder="1" applyAlignment="1">
      <alignment horizontal="center" readingOrder="1"/>
    </xf>
    <xf numFmtId="0" fontId="19" fillId="0" borderId="4" xfId="0" applyFont="1" applyBorder="1" applyAlignment="1">
      <alignment horizontal="center" readingOrder="1"/>
    </xf>
    <xf numFmtId="0" fontId="19" fillId="0" borderId="7" xfId="0" applyFont="1" applyBorder="1" applyAlignment="1">
      <alignment horizontal="center" readingOrder="1"/>
    </xf>
    <xf numFmtId="0" fontId="21" fillId="23" borderId="1" xfId="0" applyFont="1" applyFill="1" applyBorder="1" applyAlignment="1">
      <alignment horizontal="center"/>
    </xf>
    <xf numFmtId="0" fontId="21" fillId="23" borderId="28" xfId="0" applyFont="1" applyFill="1" applyBorder="1" applyAlignment="1">
      <alignment horizontal="center"/>
    </xf>
    <xf numFmtId="0" fontId="21" fillId="23" borderId="27" xfId="0" applyFont="1" applyFill="1" applyBorder="1" applyAlignment="1">
      <alignment horizontal="center"/>
    </xf>
    <xf numFmtId="0" fontId="69" fillId="23" borderId="27" xfId="0" applyFont="1" applyFill="1" applyBorder="1" applyAlignment="1">
      <alignment horizontal="center"/>
    </xf>
    <xf numFmtId="0" fontId="258" fillId="0" borderId="0" xfId="0" applyFont="1"/>
    <xf numFmtId="0" fontId="259" fillId="0" borderId="0" xfId="0" applyFont="1"/>
    <xf numFmtId="0" fontId="6" fillId="0" borderId="18" xfId="0" applyFont="1" applyBorder="1" applyAlignment="1">
      <alignment horizontal="center"/>
    </xf>
    <xf numFmtId="0" fontId="19" fillId="23" borderId="1" xfId="0" applyFont="1" applyFill="1" applyBorder="1" applyAlignment="1">
      <alignment horizontal="center"/>
    </xf>
    <xf numFmtId="14" fontId="260" fillId="0" borderId="2" xfId="0" applyNumberFormat="1" applyFont="1" applyBorder="1" applyAlignment="1">
      <alignment horizontal="center" vertical="center"/>
    </xf>
    <xf numFmtId="0" fontId="260" fillId="0" borderId="2" xfId="0" applyFont="1" applyBorder="1" applyAlignment="1">
      <alignment horizontal="center" vertical="center"/>
    </xf>
    <xf numFmtId="0" fontId="260" fillId="0" borderId="2" xfId="0" applyFont="1" applyBorder="1" applyAlignment="1">
      <alignment horizontal="left" vertical="center"/>
    </xf>
    <xf numFmtId="0" fontId="260" fillId="0" borderId="2" xfId="0" applyFont="1" applyBorder="1" applyAlignment="1">
      <alignment horizontal="center" vertical="center" wrapText="1"/>
    </xf>
    <xf numFmtId="14" fontId="260" fillId="0" borderId="1" xfId="0" applyNumberFormat="1" applyFont="1" applyBorder="1" applyAlignment="1">
      <alignment horizontal="center" vertical="center"/>
    </xf>
    <xf numFmtId="0" fontId="260" fillId="0" borderId="1" xfId="0" applyFont="1" applyBorder="1" applyAlignment="1">
      <alignment horizontal="center" vertical="center" wrapText="1"/>
    </xf>
    <xf numFmtId="0" fontId="260" fillId="0" borderId="5" xfId="0" applyFont="1" applyBorder="1" applyAlignment="1">
      <alignment horizontal="center" vertical="center"/>
    </xf>
    <xf numFmtId="0" fontId="260" fillId="0" borderId="16" xfId="0" applyFont="1" applyBorder="1" applyAlignment="1">
      <alignment horizontal="center" vertical="center"/>
    </xf>
    <xf numFmtId="0" fontId="31" fillId="0" borderId="29" xfId="0" applyFont="1" applyBorder="1" applyAlignment="1">
      <alignment horizontal="center"/>
    </xf>
    <xf numFmtId="0" fontId="260" fillId="0" borderId="1" xfId="0" applyFont="1" applyBorder="1" applyAlignment="1">
      <alignment horizontal="center" vertical="center"/>
    </xf>
    <xf numFmtId="0" fontId="8" fillId="0" borderId="29" xfId="0" applyFont="1" applyBorder="1" applyAlignment="1">
      <alignment horizontal="center"/>
    </xf>
    <xf numFmtId="0" fontId="11" fillId="0" borderId="29" xfId="0" applyFont="1" applyBorder="1" applyAlignment="1">
      <alignment horizontal="center"/>
    </xf>
    <xf numFmtId="0" fontId="260" fillId="0" borderId="30" xfId="0" applyFont="1" applyBorder="1" applyAlignment="1">
      <alignment horizontal="center" vertical="center"/>
    </xf>
    <xf numFmtId="0" fontId="260" fillId="0" borderId="18" xfId="0" applyFont="1" applyBorder="1" applyAlignment="1">
      <alignment horizontal="center" vertical="center"/>
    </xf>
    <xf numFmtId="0" fontId="250" fillId="26" borderId="27" xfId="1" applyFont="1" applyFill="1" applyBorder="1" applyAlignment="1">
      <alignment wrapText="1"/>
    </xf>
    <xf numFmtId="0" fontId="19" fillId="26" borderId="27" xfId="0" applyFont="1" applyFill="1" applyBorder="1" applyAlignment="1">
      <alignment horizontal="center" wrapText="1"/>
    </xf>
    <xf numFmtId="0" fontId="19" fillId="0" borderId="27" xfId="0" applyFont="1" applyBorder="1" applyAlignment="1">
      <alignment horizontal="center" wrapText="1"/>
    </xf>
    <xf numFmtId="0" fontId="19" fillId="0" borderId="27" xfId="0" applyFont="1" applyBorder="1" applyAlignment="1">
      <alignment horizontal="center"/>
    </xf>
    <xf numFmtId="0" fontId="19" fillId="26" borderId="22" xfId="0" applyFont="1" applyFill="1" applyBorder="1" applyAlignment="1">
      <alignment horizontal="center" vertical="center" wrapText="1"/>
    </xf>
    <xf numFmtId="0" fontId="19" fillId="26" borderId="27" xfId="0" applyFont="1" applyFill="1" applyBorder="1" applyAlignment="1">
      <alignment horizontal="center" vertical="center" wrapText="1"/>
    </xf>
    <xf numFmtId="0" fontId="19" fillId="0" borderId="27" xfId="0" applyFont="1" applyBorder="1" applyAlignment="1">
      <alignment horizontal="center" vertical="center"/>
    </xf>
    <xf numFmtId="0" fontId="250" fillId="0" borderId="1" xfId="1" applyFont="1" applyBorder="1"/>
    <xf numFmtId="0" fontId="260" fillId="0" borderId="16" xfId="0" applyFont="1" applyBorder="1" applyAlignment="1">
      <alignment vertical="center"/>
    </xf>
    <xf numFmtId="0" fontId="262" fillId="0" borderId="4" xfId="0" applyFont="1" applyBorder="1" applyAlignment="1">
      <alignment horizontal="center" vertical="center"/>
    </xf>
    <xf numFmtId="0" fontId="0" fillId="26" borderId="22" xfId="0" applyFill="1" applyBorder="1" applyAlignment="1">
      <alignment horizontal="center" vertical="center" wrapText="1"/>
    </xf>
    <xf numFmtId="0" fontId="0" fillId="26" borderId="27" xfId="0" applyFill="1" applyBorder="1" applyAlignment="1">
      <alignment horizontal="center" wrapText="1"/>
    </xf>
    <xf numFmtId="0" fontId="0" fillId="26" borderId="27" xfId="0" applyFill="1" applyBorder="1" applyAlignment="1">
      <alignment horizontal="center" vertical="center" wrapText="1"/>
    </xf>
    <xf numFmtId="0" fontId="0" fillId="0" borderId="27" xfId="0" applyBorder="1" applyAlignment="1">
      <alignment horizontal="center"/>
    </xf>
    <xf numFmtId="0" fontId="0" fillId="0" borderId="27" xfId="0" applyBorder="1" applyAlignment="1">
      <alignment horizontal="center" vertical="center"/>
    </xf>
    <xf numFmtId="0" fontId="259" fillId="0" borderId="0" xfId="0" applyFont="1" applyAlignment="1">
      <alignment horizontal="center"/>
    </xf>
    <xf numFmtId="0" fontId="19" fillId="0" borderId="27" xfId="0" applyFont="1" applyBorder="1" applyAlignment="1">
      <alignment wrapText="1"/>
    </xf>
    <xf numFmtId="0" fontId="80" fillId="0" borderId="27" xfId="0" applyFont="1" applyBorder="1"/>
    <xf numFmtId="0" fontId="250" fillId="0" borderId="27" xfId="1" applyFont="1" applyFill="1" applyBorder="1" applyAlignment="1"/>
    <xf numFmtId="0" fontId="19" fillId="0" borderId="31" xfId="0" applyFont="1" applyBorder="1" applyAlignment="1">
      <alignment wrapText="1"/>
    </xf>
    <xf numFmtId="0" fontId="80" fillId="0" borderId="31" xfId="0" applyFont="1" applyBorder="1"/>
    <xf numFmtId="0" fontId="19" fillId="0" borderId="31" xfId="0" applyFont="1" applyBorder="1"/>
    <xf numFmtId="0" fontId="250" fillId="0" borderId="31" xfId="1" applyFont="1" applyFill="1" applyBorder="1" applyAlignment="1"/>
    <xf numFmtId="0" fontId="102" fillId="0" borderId="31" xfId="0" applyFont="1" applyBorder="1"/>
    <xf numFmtId="0" fontId="80" fillId="0" borderId="31" xfId="0" applyFont="1" applyBorder="1" applyAlignment="1">
      <alignment wrapText="1"/>
    </xf>
    <xf numFmtId="0" fontId="263" fillId="0" borderId="19" xfId="0" applyFont="1" applyBorder="1"/>
    <xf numFmtId="0" fontId="35" fillId="0" borderId="31" xfId="0" applyFont="1" applyBorder="1"/>
    <xf numFmtId="0" fontId="97" fillId="0" borderId="31" xfId="0" applyFont="1" applyBorder="1"/>
    <xf numFmtId="0" fontId="145" fillId="0" borderId="31" xfId="0" applyFont="1" applyBorder="1" applyAlignment="1">
      <alignment wrapText="1"/>
    </xf>
    <xf numFmtId="0" fontId="145" fillId="0" borderId="31" xfId="0" applyFont="1" applyBorder="1"/>
    <xf numFmtId="0" fontId="250" fillId="0" borderId="19" xfId="1" applyFont="1" applyFill="1" applyBorder="1" applyAlignment="1"/>
    <xf numFmtId="0" fontId="19" fillId="0" borderId="31" xfId="0" applyFont="1" applyBorder="1" applyAlignment="1">
      <alignment horizontal="center" wrapText="1"/>
    </xf>
    <xf numFmtId="0" fontId="19" fillId="0" borderId="31" xfId="0" applyFont="1" applyBorder="1" applyAlignment="1">
      <alignment horizontal="center"/>
    </xf>
    <xf numFmtId="0" fontId="80" fillId="0" borderId="31" xfId="0" applyFont="1" applyBorder="1" applyAlignment="1">
      <alignment horizontal="center"/>
    </xf>
    <xf numFmtId="0" fontId="31" fillId="8" borderId="1" xfId="0" applyFont="1" applyFill="1" applyBorder="1" applyAlignment="1">
      <alignment horizontal="center" vertical="center" wrapText="1"/>
    </xf>
    <xf numFmtId="0" fontId="31" fillId="8" borderId="3" xfId="0" applyFont="1" applyFill="1" applyBorder="1" applyAlignment="1">
      <alignment horizontal="center" vertical="center" wrapText="1"/>
    </xf>
    <xf numFmtId="0" fontId="72" fillId="0" borderId="1" xfId="0" applyFont="1" applyBorder="1" applyAlignment="1">
      <alignment horizontal="center" vertical="center" wrapText="1"/>
    </xf>
    <xf numFmtId="0" fontId="73" fillId="0" borderId="10" xfId="0" applyFont="1" applyBorder="1" applyAlignment="1">
      <alignment horizontal="center" vertical="center" wrapText="1"/>
    </xf>
    <xf numFmtId="0" fontId="73" fillId="0" borderId="12" xfId="0" applyFont="1" applyBorder="1" applyAlignment="1">
      <alignment horizontal="center" vertical="center" wrapText="1"/>
    </xf>
    <xf numFmtId="0" fontId="75" fillId="0" borderId="0" xfId="0" applyFont="1" applyAlignment="1">
      <alignment horizontal="center" vertical="center" wrapText="1"/>
    </xf>
    <xf numFmtId="0" fontId="76" fillId="0" borderId="1" xfId="0" applyFont="1" applyBorder="1" applyAlignment="1">
      <alignment horizontal="center" vertical="center" wrapText="1"/>
    </xf>
    <xf numFmtId="0" fontId="19" fillId="0" borderId="6" xfId="0" applyFont="1" applyBorder="1" applyAlignment="1">
      <alignment horizontal="center" vertical="center" wrapText="1"/>
    </xf>
    <xf numFmtId="0" fontId="77" fillId="0" borderId="1" xfId="0" applyFont="1" applyBorder="1" applyAlignment="1">
      <alignment horizontal="center" vertical="center" wrapText="1"/>
    </xf>
    <xf numFmtId="0" fontId="73" fillId="0" borderId="1" xfId="0" applyFont="1" applyBorder="1" applyAlignment="1">
      <alignment horizontal="center" vertical="center" wrapText="1"/>
    </xf>
    <xf numFmtId="0" fontId="79" fillId="0" borderId="0" xfId="0" applyFont="1" applyAlignment="1">
      <alignment horizontal="center" vertical="center" wrapText="1"/>
    </xf>
    <xf numFmtId="0" fontId="80" fillId="0" borderId="0" xfId="0" applyFont="1" applyAlignment="1">
      <alignment horizontal="center" vertical="center" wrapText="1"/>
    </xf>
    <xf numFmtId="0" fontId="83" fillId="8" borderId="0" xfId="0" applyFont="1" applyFill="1" applyAlignment="1">
      <alignment horizontal="center" vertical="center" wrapText="1"/>
    </xf>
    <xf numFmtId="0" fontId="86" fillId="8" borderId="1" xfId="0" applyFont="1" applyFill="1" applyBorder="1" applyAlignment="1">
      <alignment horizontal="center" vertical="center" wrapText="1"/>
    </xf>
    <xf numFmtId="0" fontId="87" fillId="8" borderId="0" xfId="0" applyFont="1" applyFill="1" applyAlignment="1">
      <alignment horizontal="center" vertical="center" wrapText="1"/>
    </xf>
    <xf numFmtId="0" fontId="19" fillId="0" borderId="10" xfId="0" applyFont="1" applyBorder="1" applyAlignment="1">
      <alignment horizontal="center" vertical="center" wrapText="1"/>
    </xf>
    <xf numFmtId="0" fontId="19" fillId="0" borderId="12" xfId="0" applyFont="1" applyBorder="1" applyAlignment="1">
      <alignment horizontal="center" vertical="center" wrapText="1"/>
    </xf>
    <xf numFmtId="0" fontId="39" fillId="0" borderId="12" xfId="0" applyFont="1" applyBorder="1" applyAlignment="1">
      <alignment horizontal="center" vertical="center" wrapText="1"/>
    </xf>
    <xf numFmtId="0" fontId="8" fillId="0" borderId="10" xfId="0" applyFont="1" applyBorder="1" applyAlignment="1">
      <alignment horizontal="center" vertical="center" wrapText="1"/>
    </xf>
    <xf numFmtId="0" fontId="8" fillId="8" borderId="12" xfId="0" applyFont="1" applyFill="1" applyBorder="1" applyAlignment="1">
      <alignment horizontal="center" vertical="center" wrapText="1"/>
    </xf>
    <xf numFmtId="0" fontId="8" fillId="0" borderId="0" xfId="0" applyFont="1" applyAlignment="1">
      <alignment horizontal="center" vertical="center" wrapText="1"/>
    </xf>
    <xf numFmtId="0" fontId="97" fillId="8" borderId="0" xfId="0" applyFont="1" applyFill="1" applyAlignment="1">
      <alignment horizontal="center" vertical="center" wrapText="1"/>
    </xf>
    <xf numFmtId="0" fontId="19" fillId="0" borderId="1" xfId="0" applyFont="1" applyBorder="1" applyAlignment="1">
      <alignment horizontal="center" vertical="center"/>
    </xf>
    <xf numFmtId="0" fontId="73" fillId="0" borderId="1" xfId="0" applyFont="1" applyBorder="1" applyAlignment="1">
      <alignment horizontal="center" vertical="center"/>
    </xf>
    <xf numFmtId="0" fontId="77" fillId="0" borderId="1" xfId="0" applyFont="1" applyBorder="1" applyAlignment="1">
      <alignment horizontal="center" vertical="center"/>
    </xf>
    <xf numFmtId="0" fontId="25" fillId="8" borderId="0" xfId="0" applyFont="1" applyFill="1" applyAlignment="1">
      <alignment horizontal="center" vertical="center"/>
    </xf>
    <xf numFmtId="0" fontId="31" fillId="8" borderId="1" xfId="0" applyFont="1" applyFill="1" applyBorder="1" applyAlignment="1">
      <alignment horizontal="center" vertical="center"/>
    </xf>
    <xf numFmtId="0" fontId="103" fillId="0" borderId="6" xfId="0" applyFont="1" applyBorder="1" applyAlignment="1">
      <alignment horizontal="center" vertical="center"/>
    </xf>
    <xf numFmtId="0" fontId="52" fillId="0" borderId="1" xfId="0" applyFont="1" applyBorder="1" applyAlignment="1">
      <alignment horizontal="center" vertical="center"/>
    </xf>
    <xf numFmtId="0" fontId="92" fillId="0" borderId="1" xfId="0" applyFont="1" applyBorder="1" applyAlignment="1">
      <alignment horizontal="center" vertical="center"/>
    </xf>
    <xf numFmtId="0" fontId="19" fillId="8" borderId="0" xfId="0" applyFont="1" applyFill="1" applyAlignment="1">
      <alignment horizontal="center" vertical="center"/>
    </xf>
    <xf numFmtId="0" fontId="31" fillId="0" borderId="1" xfId="0" applyFont="1" applyBorder="1" applyAlignment="1">
      <alignment horizontal="center" vertical="center"/>
    </xf>
    <xf numFmtId="0" fontId="19" fillId="8" borderId="1" xfId="0" applyFont="1" applyFill="1" applyBorder="1" applyAlignment="1">
      <alignment horizontal="center" vertical="center"/>
    </xf>
    <xf numFmtId="0" fontId="6" fillId="0" borderId="3" xfId="0" applyFont="1" applyBorder="1" applyAlignment="1">
      <alignment horizontal="center" vertical="center" wrapText="1"/>
    </xf>
    <xf numFmtId="0" fontId="111" fillId="8" borderId="1" xfId="0" applyFont="1" applyFill="1" applyBorder="1" applyAlignment="1">
      <alignment horizontal="center" vertical="center"/>
    </xf>
    <xf numFmtId="14" fontId="19" fillId="0" borderId="1" xfId="0" applyNumberFormat="1" applyFont="1" applyBorder="1" applyAlignment="1">
      <alignment horizontal="center" vertical="center"/>
    </xf>
    <xf numFmtId="14" fontId="33" fillId="0" borderId="1" xfId="0" applyNumberFormat="1" applyFont="1" applyBorder="1" applyAlignment="1">
      <alignment horizontal="center" vertical="center"/>
    </xf>
    <xf numFmtId="0" fontId="80" fillId="8" borderId="1" xfId="0" applyFont="1" applyFill="1" applyBorder="1" applyAlignment="1">
      <alignment horizontal="center" vertical="center"/>
    </xf>
    <xf numFmtId="0" fontId="0" fillId="8" borderId="1" xfId="0" applyFill="1" applyBorder="1" applyAlignment="1">
      <alignment horizontal="center" vertical="center"/>
    </xf>
    <xf numFmtId="0" fontId="31" fillId="0" borderId="3" xfId="0" applyFont="1" applyBorder="1" applyAlignment="1">
      <alignment horizontal="center" vertical="center"/>
    </xf>
    <xf numFmtId="0" fontId="68" fillId="0" borderId="3" xfId="0" applyFont="1" applyBorder="1" applyAlignment="1">
      <alignment horizontal="center" vertical="center"/>
    </xf>
    <xf numFmtId="0" fontId="14" fillId="0" borderId="1" xfId="0" applyFont="1" applyBorder="1" applyAlignment="1">
      <alignment horizontal="center" vertical="center"/>
    </xf>
    <xf numFmtId="0" fontId="14" fillId="0" borderId="3" xfId="0" applyFont="1" applyBorder="1" applyAlignment="1">
      <alignment horizontal="center" vertical="center"/>
    </xf>
    <xf numFmtId="0" fontId="0" fillId="8" borderId="3" xfId="0" applyFill="1" applyBorder="1" applyAlignment="1">
      <alignment horizontal="center" vertical="center"/>
    </xf>
    <xf numFmtId="0" fontId="19" fillId="0" borderId="0" xfId="0" applyFont="1" applyAlignment="1">
      <alignment horizontal="center" vertical="center"/>
    </xf>
    <xf numFmtId="0" fontId="8" fillId="0" borderId="1" xfId="0" applyFont="1" applyBorder="1" applyAlignment="1">
      <alignment horizontal="center" vertical="center"/>
    </xf>
    <xf numFmtId="0" fontId="36" fillId="0" borderId="1" xfId="0" applyFont="1" applyBorder="1" applyAlignment="1">
      <alignment horizontal="center" vertical="center"/>
    </xf>
    <xf numFmtId="0" fontId="134" fillId="8" borderId="0" xfId="0" applyFont="1" applyFill="1" applyAlignment="1">
      <alignment horizontal="center" vertical="center"/>
    </xf>
    <xf numFmtId="0" fontId="77" fillId="0" borderId="18" xfId="0" applyFont="1" applyBorder="1" applyAlignment="1">
      <alignment horizontal="center" vertical="center"/>
    </xf>
    <xf numFmtId="0" fontId="33" fillId="0" borderId="4" xfId="0" applyFont="1" applyBorder="1" applyAlignment="1">
      <alignment horizontal="center" vertical="center" wrapText="1"/>
    </xf>
    <xf numFmtId="0" fontId="33" fillId="0" borderId="7" xfId="0" applyFont="1" applyBorder="1" applyAlignment="1">
      <alignment horizontal="center" vertical="center"/>
    </xf>
    <xf numFmtId="0" fontId="68" fillId="0" borderId="0" xfId="0" applyFont="1" applyAlignment="1">
      <alignment horizontal="center" vertical="center"/>
    </xf>
    <xf numFmtId="0" fontId="68" fillId="0" borderId="1" xfId="0" applyFont="1" applyBorder="1" applyAlignment="1">
      <alignment horizontal="center" vertical="center"/>
    </xf>
    <xf numFmtId="0" fontId="76" fillId="0" borderId="1" xfId="0" applyFont="1" applyBorder="1" applyAlignment="1">
      <alignment horizontal="center" vertical="center"/>
    </xf>
    <xf numFmtId="0" fontId="96" fillId="8" borderId="0" xfId="0" applyFont="1" applyFill="1" applyAlignment="1">
      <alignment horizontal="center" vertical="center"/>
    </xf>
    <xf numFmtId="0" fontId="6" fillId="8" borderId="1" xfId="0" applyFont="1" applyFill="1" applyBorder="1" applyAlignment="1">
      <alignment horizontal="center" vertical="center"/>
    </xf>
    <xf numFmtId="0" fontId="19" fillId="8" borderId="3" xfId="0" applyFont="1" applyFill="1" applyBorder="1" applyAlignment="1">
      <alignment horizontal="center" vertical="center"/>
    </xf>
    <xf numFmtId="0" fontId="19" fillId="0" borderId="18" xfId="0" applyFont="1" applyBorder="1" applyAlignment="1">
      <alignment horizontal="center" vertical="center"/>
    </xf>
    <xf numFmtId="0" fontId="19" fillId="0" borderId="4" xfId="0" applyFont="1" applyBorder="1" applyAlignment="1">
      <alignment horizontal="center" vertical="center"/>
    </xf>
    <xf numFmtId="0" fontId="19" fillId="0" borderId="7" xfId="0" applyFont="1" applyBorder="1" applyAlignment="1">
      <alignment horizontal="center" vertical="center"/>
    </xf>
    <xf numFmtId="0" fontId="6" fillId="8" borderId="3" xfId="0" applyFont="1" applyFill="1" applyBorder="1" applyAlignment="1">
      <alignment horizontal="center" vertical="center"/>
    </xf>
    <xf numFmtId="0" fontId="80" fillId="8" borderId="0" xfId="0" applyFont="1" applyFill="1" applyAlignment="1">
      <alignment horizontal="center" vertical="center"/>
    </xf>
    <xf numFmtId="0" fontId="92" fillId="0" borderId="7" xfId="0" applyFont="1" applyBorder="1" applyAlignment="1">
      <alignment horizontal="center" vertical="center"/>
    </xf>
    <xf numFmtId="0" fontId="1" fillId="0" borderId="3" xfId="0" applyFont="1" applyBorder="1" applyAlignment="1">
      <alignment horizontal="center" vertical="center" wrapText="1"/>
    </xf>
    <xf numFmtId="0" fontId="151" fillId="0" borderId="1" xfId="0" applyFont="1" applyBorder="1" applyAlignment="1">
      <alignment horizontal="center" vertical="center"/>
    </xf>
    <xf numFmtId="0" fontId="153" fillId="8" borderId="1" xfId="0" applyFont="1" applyFill="1" applyBorder="1" applyAlignment="1">
      <alignment horizontal="center" vertical="center"/>
    </xf>
    <xf numFmtId="0" fontId="37" fillId="17" borderId="1" xfId="0" applyFont="1" applyFill="1" applyBorder="1" applyAlignment="1">
      <alignment horizontal="center" vertical="center"/>
    </xf>
    <xf numFmtId="0" fontId="158" fillId="8" borderId="0" xfId="0" applyFont="1" applyFill="1" applyAlignment="1">
      <alignment horizontal="center" vertical="center"/>
    </xf>
    <xf numFmtId="0" fontId="33" fillId="8" borderId="1" xfId="0" applyFont="1" applyFill="1" applyBorder="1" applyAlignment="1">
      <alignment horizontal="center" vertical="center"/>
    </xf>
    <xf numFmtId="0" fontId="22" fillId="0" borderId="1" xfId="0" applyFont="1" applyBorder="1" applyAlignment="1">
      <alignment horizontal="center" vertical="center"/>
    </xf>
    <xf numFmtId="0" fontId="22" fillId="0" borderId="3" xfId="0" applyFont="1" applyBorder="1" applyAlignment="1">
      <alignment horizontal="center" vertical="center"/>
    </xf>
    <xf numFmtId="0" fontId="170" fillId="0" borderId="1" xfId="0" applyFont="1" applyBorder="1" applyAlignment="1">
      <alignment horizontal="center" vertical="center"/>
    </xf>
    <xf numFmtId="0" fontId="168" fillId="0" borderId="1" xfId="0" applyFont="1" applyBorder="1" applyAlignment="1">
      <alignment horizontal="center" vertical="center"/>
    </xf>
    <xf numFmtId="0" fontId="36" fillId="0" borderId="3" xfId="0" applyFont="1" applyBorder="1" applyAlignment="1">
      <alignment horizontal="center" vertical="center"/>
    </xf>
    <xf numFmtId="0" fontId="49" fillId="8" borderId="3" xfId="0" applyFont="1" applyFill="1" applyBorder="1" applyAlignment="1">
      <alignment horizontal="center" vertical="center"/>
    </xf>
    <xf numFmtId="0" fontId="46" fillId="0" borderId="3" xfId="0" applyFont="1" applyBorder="1" applyAlignment="1">
      <alignment horizontal="center" vertical="center"/>
    </xf>
    <xf numFmtId="0" fontId="175" fillId="0" borderId="8" xfId="0" applyFont="1" applyBorder="1" applyAlignment="1">
      <alignment horizontal="center" vertical="center"/>
    </xf>
    <xf numFmtId="0" fontId="49" fillId="0" borderId="1" xfId="0" applyFont="1" applyBorder="1" applyAlignment="1">
      <alignment horizontal="center" vertical="center"/>
    </xf>
    <xf numFmtId="0" fontId="49" fillId="0" borderId="3" xfId="0" applyFont="1" applyBorder="1" applyAlignment="1">
      <alignment horizontal="center" vertical="center"/>
    </xf>
    <xf numFmtId="0" fontId="175" fillId="8" borderId="3" xfId="0" applyFont="1" applyFill="1" applyBorder="1" applyAlignment="1">
      <alignment horizontal="center" vertical="center"/>
    </xf>
    <xf numFmtId="0" fontId="182" fillId="8" borderId="1" xfId="0" applyFont="1" applyFill="1" applyBorder="1" applyAlignment="1">
      <alignment horizontal="center" vertical="center"/>
    </xf>
    <xf numFmtId="0" fontId="185" fillId="0" borderId="1" xfId="0" applyFont="1" applyBorder="1" applyAlignment="1">
      <alignment horizontal="center" vertical="center"/>
    </xf>
    <xf numFmtId="0" fontId="185" fillId="0" borderId="0" xfId="0" applyFont="1" applyAlignment="1">
      <alignment horizontal="center" vertical="center"/>
    </xf>
    <xf numFmtId="0" fontId="19" fillId="8" borderId="4" xfId="0" applyFont="1" applyFill="1" applyBorder="1" applyAlignment="1">
      <alignment horizontal="center" vertical="center"/>
    </xf>
    <xf numFmtId="0" fontId="19" fillId="8" borderId="7" xfId="0" applyFont="1" applyFill="1" applyBorder="1" applyAlignment="1">
      <alignment horizontal="center" vertical="center"/>
    </xf>
    <xf numFmtId="0" fontId="19" fillId="0" borderId="3" xfId="0" applyFont="1" applyBorder="1" applyAlignment="1">
      <alignment horizontal="center" vertical="center"/>
    </xf>
    <xf numFmtId="0" fontId="33" fillId="0" borderId="3" xfId="0" applyFont="1" applyBorder="1" applyAlignment="1">
      <alignment horizontal="center" vertical="center"/>
    </xf>
    <xf numFmtId="0" fontId="190" fillId="0" borderId="1" xfId="0" applyFont="1" applyBorder="1" applyAlignment="1">
      <alignment horizontal="center" vertical="center"/>
    </xf>
    <xf numFmtId="0" fontId="193" fillId="0" borderId="3" xfId="0" applyFont="1" applyBorder="1" applyAlignment="1">
      <alignment horizontal="center" vertical="center"/>
    </xf>
    <xf numFmtId="0" fontId="190" fillId="0" borderId="3" xfId="0" applyFont="1" applyBorder="1" applyAlignment="1">
      <alignment horizontal="center" vertical="center"/>
    </xf>
    <xf numFmtId="0" fontId="128" fillId="0" borderId="7" xfId="0" applyFont="1" applyBorder="1" applyAlignment="1">
      <alignment horizontal="center" vertical="center"/>
    </xf>
    <xf numFmtId="0" fontId="8" fillId="0" borderId="4" xfId="0" applyFont="1" applyBorder="1" applyAlignment="1">
      <alignment horizontal="center" vertical="center"/>
    </xf>
    <xf numFmtId="0" fontId="94" fillId="0" borderId="7" xfId="0" applyFont="1" applyBorder="1" applyAlignment="1">
      <alignment horizontal="center" vertical="center"/>
    </xf>
    <xf numFmtId="0" fontId="31" fillId="0" borderId="7" xfId="0" applyFont="1" applyBorder="1" applyAlignment="1">
      <alignment horizontal="center" vertical="center"/>
    </xf>
    <xf numFmtId="0" fontId="36" fillId="0" borderId="7" xfId="0" applyFont="1" applyBorder="1" applyAlignment="1">
      <alignment horizontal="center" vertical="center"/>
    </xf>
    <xf numFmtId="0" fontId="19" fillId="0" borderId="6" xfId="0" applyFont="1" applyBorder="1" applyAlignment="1">
      <alignment horizontal="center" vertical="center"/>
    </xf>
    <xf numFmtId="0" fontId="8" fillId="0" borderId="7" xfId="0" applyFont="1" applyBorder="1" applyAlignment="1">
      <alignment horizontal="center" vertical="center"/>
    </xf>
    <xf numFmtId="0" fontId="49" fillId="0" borderId="7" xfId="0" applyFont="1" applyBorder="1" applyAlignment="1">
      <alignment horizontal="center" vertical="center"/>
    </xf>
    <xf numFmtId="0" fontId="86" fillId="0" borderId="1" xfId="0" applyFont="1" applyBorder="1" applyAlignment="1">
      <alignment horizontal="center" vertical="center"/>
    </xf>
    <xf numFmtId="0" fontId="39" fillId="8" borderId="1" xfId="0" applyFont="1" applyFill="1" applyBorder="1" applyAlignment="1">
      <alignment horizontal="center" vertical="center"/>
    </xf>
    <xf numFmtId="0" fontId="77" fillId="8" borderId="1" xfId="0" applyFont="1" applyFill="1" applyBorder="1" applyAlignment="1">
      <alignment horizontal="center" vertical="center"/>
    </xf>
    <xf numFmtId="0" fontId="73" fillId="8" borderId="1" xfId="0" applyFont="1" applyFill="1" applyBorder="1" applyAlignment="1">
      <alignment horizontal="center" vertical="center"/>
    </xf>
    <xf numFmtId="0" fontId="217" fillId="8" borderId="0" xfId="0" applyFont="1" applyFill="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10" fillId="8" borderId="0" xfId="0" applyFont="1" applyFill="1" applyAlignment="1">
      <alignment horizontal="center" vertical="center"/>
    </xf>
    <xf numFmtId="0" fontId="19" fillId="0" borderId="2" xfId="0" applyFont="1" applyBorder="1" applyAlignment="1">
      <alignment horizontal="center" vertical="center"/>
    </xf>
    <xf numFmtId="0" fontId="80" fillId="0" borderId="3" xfId="0" applyFont="1" applyBorder="1" applyAlignment="1">
      <alignment horizontal="center" vertical="center"/>
    </xf>
    <xf numFmtId="0" fontId="33" fillId="8" borderId="7" xfId="0" applyFont="1" applyFill="1" applyBorder="1" applyAlignment="1">
      <alignment horizontal="center" vertical="center"/>
    </xf>
    <xf numFmtId="0" fontId="227" fillId="8" borderId="7" xfId="0" applyFont="1" applyFill="1" applyBorder="1" applyAlignment="1">
      <alignment horizontal="center" vertical="center"/>
    </xf>
    <xf numFmtId="0" fontId="76" fillId="8" borderId="7" xfId="0" applyFont="1" applyFill="1" applyBorder="1" applyAlignment="1">
      <alignment horizontal="center" vertical="center"/>
    </xf>
    <xf numFmtId="0" fontId="22" fillId="8" borderId="1" xfId="0" applyFont="1" applyFill="1" applyBorder="1" applyAlignment="1">
      <alignment horizontal="center" vertical="center"/>
    </xf>
    <xf numFmtId="0" fontId="19" fillId="8" borderId="18" xfId="0" applyFont="1" applyFill="1" applyBorder="1" applyAlignment="1">
      <alignment horizontal="center" vertical="center"/>
    </xf>
    <xf numFmtId="0" fontId="159" fillId="21" borderId="1" xfId="0" applyFont="1" applyFill="1" applyBorder="1" applyAlignment="1">
      <alignment horizontal="center" vertical="center"/>
    </xf>
    <xf numFmtId="0" fontId="178" fillId="8" borderId="0" xfId="0" applyFont="1" applyFill="1" applyAlignment="1">
      <alignment horizontal="center" vertical="center"/>
    </xf>
    <xf numFmtId="0" fontId="178" fillId="8" borderId="1" xfId="0" applyFont="1" applyFill="1" applyBorder="1" applyAlignment="1">
      <alignment horizontal="center" vertic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8" borderId="3" xfId="0" applyFont="1" applyFill="1" applyBorder="1" applyAlignment="1">
      <alignment horizontal="center" vertical="center"/>
    </xf>
    <xf numFmtId="0" fontId="236" fillId="22" borderId="7" xfId="0" applyFont="1" applyFill="1" applyBorder="1" applyAlignment="1">
      <alignment horizontal="center" vertical="center"/>
    </xf>
    <xf numFmtId="0" fontId="14" fillId="0" borderId="7" xfId="0" applyFont="1" applyBorder="1" applyAlignment="1">
      <alignment horizontal="center" vertical="center"/>
    </xf>
    <xf numFmtId="0" fontId="236" fillId="22" borderId="4" xfId="0" applyFont="1" applyFill="1" applyBorder="1" applyAlignment="1">
      <alignment horizontal="center" vertical="center"/>
    </xf>
    <xf numFmtId="0" fontId="178" fillId="0" borderId="1" xfId="0" applyFont="1" applyBorder="1" applyAlignment="1">
      <alignment horizontal="center" vertical="center"/>
    </xf>
    <xf numFmtId="0" fontId="152" fillId="0" borderId="7" xfId="0" applyFont="1" applyBorder="1" applyAlignment="1">
      <alignment horizontal="center" vertical="center"/>
    </xf>
    <xf numFmtId="0" fontId="19" fillId="8" borderId="1" xfId="0" applyFont="1" applyFill="1" applyBorder="1" applyAlignment="1">
      <alignment horizontal="center" vertical="center" wrapText="1"/>
    </xf>
    <xf numFmtId="0" fontId="88" fillId="0" borderId="16" xfId="0" applyFont="1" applyBorder="1" applyAlignment="1">
      <alignment horizontal="center" vertical="center"/>
    </xf>
    <xf numFmtId="0" fontId="8" fillId="0" borderId="17" xfId="0" applyFont="1" applyBorder="1" applyAlignment="1">
      <alignment horizontal="center" vertical="center"/>
    </xf>
    <xf numFmtId="0" fontId="31" fillId="0" borderId="22" xfId="0" applyFont="1" applyBorder="1" applyAlignment="1">
      <alignment horizontal="center" vertical="center" wrapText="1"/>
    </xf>
    <xf numFmtId="0" fontId="31" fillId="0" borderId="17" xfId="0" applyFont="1" applyBorder="1" applyAlignment="1">
      <alignment horizontal="center" vertical="center"/>
    </xf>
    <xf numFmtId="0" fontId="19" fillId="23" borderId="3" xfId="0" applyFont="1" applyFill="1" applyBorder="1" applyAlignment="1">
      <alignment horizontal="center" vertical="center" readingOrder="1"/>
    </xf>
    <xf numFmtId="0" fontId="19" fillId="0" borderId="1" xfId="0" applyFont="1" applyBorder="1" applyAlignment="1">
      <alignment horizontal="center" vertical="center" readingOrder="1"/>
    </xf>
    <xf numFmtId="0" fontId="19" fillId="0" borderId="24" xfId="0" applyFont="1" applyBorder="1" applyAlignment="1">
      <alignment horizontal="center" vertical="center" readingOrder="1"/>
    </xf>
    <xf numFmtId="0" fontId="89" fillId="23" borderId="24" xfId="0" applyFont="1" applyFill="1" applyBorder="1" applyAlignment="1">
      <alignment horizontal="center" vertical="center" readingOrder="1"/>
    </xf>
    <xf numFmtId="0" fontId="19" fillId="0" borderId="3" xfId="0" applyFont="1" applyBorder="1" applyAlignment="1">
      <alignment horizontal="center" vertical="center" readingOrder="1"/>
    </xf>
    <xf numFmtId="0" fontId="21" fillId="23" borderId="22" xfId="0" applyFont="1" applyFill="1" applyBorder="1" applyAlignment="1">
      <alignment horizontal="center" vertical="center"/>
    </xf>
    <xf numFmtId="0" fontId="0" fillId="0" borderId="1" xfId="0" applyBorder="1" applyAlignment="1">
      <alignment horizontal="center" vertical="center" readingOrder="1"/>
    </xf>
    <xf numFmtId="0" fontId="31" fillId="0" borderId="29" xfId="0" applyFont="1" applyBorder="1" applyAlignment="1">
      <alignment horizontal="center" vertical="center" wrapText="1"/>
    </xf>
    <xf numFmtId="0" fontId="19" fillId="0" borderId="27" xfId="0" applyFont="1" applyBorder="1" applyAlignment="1">
      <alignment horizontal="center" vertical="center" wrapText="1"/>
    </xf>
    <xf numFmtId="0" fontId="19" fillId="0" borderId="31" xfId="0" applyFont="1" applyBorder="1" applyAlignment="1">
      <alignment horizontal="center" vertical="center" wrapText="1"/>
    </xf>
    <xf numFmtId="0" fontId="19" fillId="0" borderId="31" xfId="0" applyFont="1" applyBorder="1" applyAlignment="1">
      <alignment horizontal="center" vertical="center"/>
    </xf>
    <xf numFmtId="0" fontId="80" fillId="0" borderId="31" xfId="0" applyFont="1" applyBorder="1" applyAlignment="1">
      <alignment horizontal="center" vertical="center"/>
    </xf>
    <xf numFmtId="0" fontId="33" fillId="0" borderId="1" xfId="0" applyFont="1" applyBorder="1" applyAlignment="1">
      <alignment horizontal="center" vertical="center"/>
    </xf>
    <xf numFmtId="0" fontId="1" fillId="0" borderId="1" xfId="0" applyFont="1" applyBorder="1" applyAlignment="1">
      <alignment horizontal="center" vertical="center"/>
    </xf>
    <xf numFmtId="0" fontId="31" fillId="0" borderId="4" xfId="0" applyFont="1" applyBorder="1" applyAlignment="1">
      <alignment horizontal="center" vertical="center"/>
    </xf>
    <xf numFmtId="0" fontId="14" fillId="0" borderId="4" xfId="0" applyFont="1" applyBorder="1" applyAlignment="1">
      <alignment horizontal="center" vertical="center"/>
    </xf>
    <xf numFmtId="0" fontId="0" fillId="8" borderId="4" xfId="0" applyFill="1" applyBorder="1" applyAlignment="1">
      <alignment horizontal="center" vertical="center"/>
    </xf>
    <xf numFmtId="0" fontId="33" fillId="0" borderId="7" xfId="0" applyFont="1" applyBorder="1" applyAlignment="1">
      <alignment horizontal="center" vertical="center" wrapText="1"/>
    </xf>
    <xf numFmtId="0" fontId="1" fillId="0" borderId="7" xfId="0" applyFont="1" applyBorder="1" applyAlignment="1">
      <alignment horizontal="center" vertical="center" wrapText="1"/>
    </xf>
    <xf numFmtId="0" fontId="159" fillId="8" borderId="1" xfId="0" applyFont="1" applyFill="1" applyBorder="1" applyAlignment="1">
      <alignment horizontal="center" vertical="center"/>
    </xf>
    <xf numFmtId="0" fontId="43" fillId="0" borderId="1" xfId="0" applyFont="1" applyBorder="1" applyAlignment="1">
      <alignment horizontal="center" vertical="center"/>
    </xf>
    <xf numFmtId="0" fontId="33" fillId="8" borderId="4" xfId="0" applyFont="1" applyFill="1" applyBorder="1" applyAlignment="1">
      <alignment horizontal="center" vertical="center"/>
    </xf>
    <xf numFmtId="0" fontId="39" fillId="8" borderId="4" xfId="0" applyFont="1" applyFill="1" applyBorder="1" applyAlignment="1">
      <alignment horizontal="center" vertical="center"/>
    </xf>
    <xf numFmtId="0" fontId="19" fillId="8" borderId="5" xfId="0" applyFont="1" applyFill="1" applyBorder="1" applyAlignment="1">
      <alignment horizontal="center" vertical="center"/>
    </xf>
    <xf numFmtId="0" fontId="19" fillId="8" borderId="6" xfId="0" applyFont="1" applyFill="1" applyBorder="1" applyAlignment="1">
      <alignment horizontal="center" vertical="center"/>
    </xf>
    <xf numFmtId="0" fontId="39" fillId="8" borderId="7" xfId="0" applyFont="1" applyFill="1" applyBorder="1" applyAlignment="1">
      <alignment horizontal="center" vertical="center"/>
    </xf>
    <xf numFmtId="0" fontId="33" fillId="22" borderId="1" xfId="0" applyFont="1" applyFill="1" applyBorder="1" applyAlignment="1">
      <alignment horizontal="center" vertical="center"/>
    </xf>
    <xf numFmtId="0" fontId="19" fillId="23" borderId="7" xfId="0" applyFont="1" applyFill="1" applyBorder="1" applyAlignment="1">
      <alignment horizontal="center" vertical="center" readingOrder="1"/>
    </xf>
    <xf numFmtId="0" fontId="19" fillId="0" borderId="7" xfId="0" applyFont="1" applyBorder="1" applyAlignment="1">
      <alignment horizontal="center" vertical="center" readingOrder="1"/>
    </xf>
    <xf numFmtId="0" fontId="19" fillId="8" borderId="2" xfId="0" applyFont="1" applyFill="1" applyBorder="1" applyAlignment="1">
      <alignment horizontal="center" vertical="center"/>
    </xf>
    <xf numFmtId="0" fontId="254" fillId="23" borderId="1" xfId="0" applyFont="1" applyFill="1" applyBorder="1" applyAlignment="1">
      <alignment horizontal="center" vertical="center"/>
    </xf>
    <xf numFmtId="0" fontId="0" fillId="0" borderId="27" xfId="0" applyBorder="1" applyAlignment="1">
      <alignment horizontal="center" vertical="center" wrapText="1"/>
    </xf>
    <xf numFmtId="14" fontId="19" fillId="0" borderId="4" xfId="0" applyNumberFormat="1" applyFont="1" applyBorder="1" applyAlignment="1">
      <alignment horizontal="center" vertical="center"/>
    </xf>
    <xf numFmtId="14" fontId="33" fillId="0" borderId="4" xfId="0" applyNumberFormat="1" applyFont="1" applyBorder="1" applyAlignment="1">
      <alignment horizontal="center" vertical="center"/>
    </xf>
    <xf numFmtId="14" fontId="19" fillId="0" borderId="22" xfId="0" applyNumberFormat="1" applyFont="1" applyBorder="1" applyAlignment="1">
      <alignment horizontal="center" vertical="center"/>
    </xf>
    <xf numFmtId="14" fontId="19" fillId="0" borderId="23" xfId="0" applyNumberFormat="1" applyFont="1" applyBorder="1" applyAlignment="1">
      <alignment horizontal="center" vertical="center"/>
    </xf>
    <xf numFmtId="14" fontId="21" fillId="23" borderId="1" xfId="0" applyNumberFormat="1" applyFont="1" applyFill="1" applyBorder="1" applyAlignment="1">
      <alignment horizontal="center" vertical="center"/>
    </xf>
    <xf numFmtId="14" fontId="19" fillId="0" borderId="18" xfId="0" applyNumberFormat="1" applyFont="1" applyBorder="1" applyAlignment="1">
      <alignment horizontal="center" vertical="center"/>
    </xf>
    <xf numFmtId="14" fontId="0" fillId="0" borderId="1" xfId="0" applyNumberFormat="1" applyBorder="1" applyAlignment="1">
      <alignment horizontal="center" vertical="center"/>
    </xf>
    <xf numFmtId="14" fontId="19" fillId="0" borderId="1" xfId="0" applyNumberFormat="1" applyFont="1" applyBorder="1" applyAlignment="1">
      <alignment horizontal="center" vertical="center" readingOrder="1"/>
    </xf>
    <xf numFmtId="14" fontId="19" fillId="0" borderId="22" xfId="0" applyNumberFormat="1" applyFont="1" applyBorder="1" applyAlignment="1">
      <alignment horizontal="center" vertical="center" wrapText="1"/>
    </xf>
    <xf numFmtId="14" fontId="19" fillId="0" borderId="23" xfId="0" applyNumberFormat="1" applyFont="1" applyBorder="1" applyAlignment="1">
      <alignment horizontal="center" vertical="center" wrapText="1"/>
    </xf>
    <xf numFmtId="0" fontId="152" fillId="0" borderId="4" xfId="0" applyFont="1" applyBorder="1" applyAlignment="1">
      <alignment horizontal="center"/>
    </xf>
    <xf numFmtId="0" fontId="129" fillId="8" borderId="4" xfId="0" applyFont="1" applyFill="1" applyBorder="1" applyAlignment="1">
      <alignment horizontal="center"/>
    </xf>
    <xf numFmtId="0" fontId="129" fillId="8" borderId="7" xfId="0" applyFont="1" applyFill="1" applyBorder="1" applyAlignment="1">
      <alignment horizontal="center"/>
    </xf>
    <xf numFmtId="0" fontId="8" fillId="0" borderId="4" xfId="0" applyFont="1" applyBorder="1" applyAlignment="1">
      <alignment horizontal="center"/>
    </xf>
    <xf numFmtId="0" fontId="19" fillId="0" borderId="18" xfId="0" applyFont="1" applyBorder="1" applyAlignment="1">
      <alignment horizontal="center" readingOrder="1"/>
    </xf>
    <xf numFmtId="0" fontId="122" fillId="0" borderId="0" xfId="0" applyFont="1" applyAlignment="1">
      <alignment horizontal="center"/>
    </xf>
    <xf numFmtId="0" fontId="150" fillId="8" borderId="0" xfId="0" applyFont="1" applyFill="1" applyAlignment="1">
      <alignment horizontal="center"/>
    </xf>
    <xf numFmtId="0" fontId="47" fillId="0" borderId="4" xfId="0" applyFont="1" applyBorder="1" applyAlignment="1">
      <alignment horizontal="center"/>
    </xf>
    <xf numFmtId="0" fontId="69" fillId="8" borderId="7" xfId="0" applyFont="1" applyFill="1" applyBorder="1" applyAlignment="1">
      <alignment horizontal="center"/>
    </xf>
    <xf numFmtId="0" fontId="162" fillId="8" borderId="1" xfId="0" applyFont="1" applyFill="1" applyBorder="1" applyAlignment="1">
      <alignment horizontal="center"/>
    </xf>
    <xf numFmtId="0" fontId="165" fillId="8" borderId="0" xfId="0" applyFont="1" applyFill="1" applyAlignment="1">
      <alignment horizontal="center"/>
    </xf>
    <xf numFmtId="0" fontId="167" fillId="0" borderId="1" xfId="0" applyFont="1" applyBorder="1" applyAlignment="1">
      <alignment horizontal="center"/>
    </xf>
    <xf numFmtId="0" fontId="184" fillId="8" borderId="0" xfId="0" applyFont="1" applyFill="1" applyAlignment="1">
      <alignment horizontal="center"/>
    </xf>
    <xf numFmtId="0" fontId="186" fillId="0" borderId="1" xfId="0" applyFont="1" applyBorder="1" applyAlignment="1">
      <alignment horizontal="center"/>
    </xf>
    <xf numFmtId="0" fontId="196" fillId="0" borderId="7" xfId="0" applyFont="1" applyBorder="1" applyAlignment="1">
      <alignment horizontal="center"/>
    </xf>
    <xf numFmtId="0" fontId="199" fillId="0" borderId="2" xfId="0" applyFont="1" applyBorder="1" applyAlignment="1">
      <alignment horizontal="center"/>
    </xf>
    <xf numFmtId="0" fontId="80" fillId="20" borderId="0" xfId="0" applyFont="1" applyFill="1" applyAlignment="1">
      <alignment horizontal="center"/>
    </xf>
    <xf numFmtId="0" fontId="14" fillId="8" borderId="0" xfId="0" applyFont="1" applyFill="1" applyAlignment="1">
      <alignment horizontal="center"/>
    </xf>
    <xf numFmtId="0" fontId="182" fillId="0" borderId="0" xfId="0" applyFont="1" applyAlignment="1">
      <alignment horizontal="center"/>
    </xf>
    <xf numFmtId="0" fontId="80" fillId="0" borderId="0" xfId="0" applyFont="1" applyAlignment="1">
      <alignment horizontal="center"/>
    </xf>
    <xf numFmtId="0" fontId="80" fillId="0" borderId="6" xfId="0" applyFont="1" applyBorder="1" applyAlignment="1">
      <alignment horizontal="center"/>
    </xf>
    <xf numFmtId="0" fontId="214" fillId="0" borderId="7" xfId="0" applyFont="1" applyBorder="1" applyAlignment="1">
      <alignment horizontal="center"/>
    </xf>
    <xf numFmtId="0" fontId="238" fillId="8" borderId="0" xfId="0" applyFont="1" applyFill="1" applyAlignment="1">
      <alignment horizontal="center"/>
    </xf>
    <xf numFmtId="0" fontId="241" fillId="8" borderId="0" xfId="0" applyFont="1" applyFill="1" applyAlignment="1">
      <alignment horizontal="center"/>
    </xf>
    <xf numFmtId="0" fontId="196" fillId="0" borderId="4" xfId="0" applyFont="1" applyBorder="1" applyAlignment="1">
      <alignment horizontal="center"/>
    </xf>
    <xf numFmtId="0" fontId="252" fillId="0" borderId="0" xfId="0" applyFont="1" applyAlignment="1">
      <alignment horizontal="center"/>
    </xf>
    <xf numFmtId="0" fontId="253" fillId="0" borderId="1" xfId="0" applyFont="1" applyBorder="1" applyAlignment="1">
      <alignment horizontal="center"/>
    </xf>
    <xf numFmtId="0" fontId="19" fillId="0" borderId="17" xfId="0" applyFont="1" applyBorder="1" applyAlignment="1">
      <alignment horizontal="center" readingOrder="1"/>
    </xf>
    <xf numFmtId="0" fontId="39" fillId="23" borderId="4" xfId="0" applyFont="1" applyFill="1" applyBorder="1" applyAlignment="1">
      <alignment horizontal="center" readingOrder="1"/>
    </xf>
    <xf numFmtId="0" fontId="257" fillId="0" borderId="0" xfId="0" applyFont="1" applyAlignment="1">
      <alignment horizontal="center"/>
    </xf>
    <xf numFmtId="0" fontId="0" fillId="0" borderId="16" xfId="0" applyBorder="1" applyAlignment="1">
      <alignment horizontal="center" vertical="center"/>
    </xf>
    <xf numFmtId="0" fontId="80" fillId="0" borderId="27" xfId="0" applyFont="1" applyBorder="1" applyAlignment="1">
      <alignment horizontal="center"/>
    </xf>
    <xf numFmtId="0" fontId="263" fillId="0" borderId="19" xfId="0" applyFont="1" applyBorder="1" applyAlignment="1">
      <alignment horizontal="center"/>
    </xf>
    <xf numFmtId="0" fontId="145" fillId="0" borderId="31" xfId="0" applyFont="1" applyBorder="1" applyAlignment="1">
      <alignment horizontal="center" wrapText="1"/>
    </xf>
    <xf numFmtId="0" fontId="47" fillId="0" borderId="7" xfId="0" applyFont="1" applyBorder="1" applyAlignment="1">
      <alignment horizontal="center"/>
    </xf>
    <xf numFmtId="0" fontId="69" fillId="0" borderId="7" xfId="0" applyFont="1" applyBorder="1" applyAlignment="1">
      <alignment horizontal="center"/>
    </xf>
    <xf numFmtId="0" fontId="163" fillId="8" borderId="1" xfId="0" applyFont="1" applyFill="1" applyBorder="1" applyAlignment="1">
      <alignment horizontal="center" vertical="center" wrapText="1"/>
    </xf>
    <xf numFmtId="0" fontId="197" fillId="0" borderId="7" xfId="0" applyFont="1" applyBorder="1" applyAlignment="1">
      <alignment horizontal="center"/>
    </xf>
    <xf numFmtId="0" fontId="11" fillId="0" borderId="7" xfId="0" applyFont="1" applyBorder="1" applyAlignment="1">
      <alignment horizontal="center"/>
    </xf>
    <xf numFmtId="0" fontId="19" fillId="0" borderId="23" xfId="0" applyFont="1" applyBorder="1" applyAlignment="1">
      <alignment horizontal="center" wrapText="1"/>
    </xf>
    <xf numFmtId="0" fontId="19" fillId="0" borderId="31" xfId="0" quotePrefix="1" applyFont="1" applyBorder="1" applyAlignment="1">
      <alignment horizontal="center" wrapText="1"/>
    </xf>
    <xf numFmtId="0" fontId="19" fillId="0" borderId="31" xfId="0" quotePrefix="1" applyFont="1" applyBorder="1" applyAlignment="1">
      <alignment horizontal="center"/>
    </xf>
    <xf numFmtId="0" fontId="80" fillId="0" borderId="23" xfId="0" applyFont="1" applyBorder="1" applyAlignment="1">
      <alignment horizontal="center" wrapText="1"/>
    </xf>
    <xf numFmtId="0" fontId="14" fillId="8" borderId="7" xfId="0" applyFont="1" applyFill="1" applyBorder="1" applyAlignment="1">
      <alignment horizontal="center"/>
    </xf>
    <xf numFmtId="0" fontId="19" fillId="0" borderId="16" xfId="0" applyFont="1" applyBorder="1" applyAlignment="1">
      <alignment horizontal="center" readingOrder="1"/>
    </xf>
    <xf numFmtId="0" fontId="19" fillId="0" borderId="26" xfId="0" applyFont="1" applyBorder="1" applyAlignment="1">
      <alignment horizontal="center" readingOrder="1"/>
    </xf>
    <xf numFmtId="0" fontId="0" fillId="23" borderId="1" xfId="0" applyFill="1" applyBorder="1" applyAlignment="1">
      <alignment horizontal="center"/>
    </xf>
    <xf numFmtId="0" fontId="0" fillId="0" borderId="2" xfId="0" applyBorder="1" applyAlignment="1">
      <alignment horizontal="center"/>
    </xf>
    <xf numFmtId="0" fontId="0" fillId="0" borderId="19" xfId="0" applyBorder="1" applyAlignment="1">
      <alignment horizontal="center"/>
    </xf>
    <xf numFmtId="0" fontId="0" fillId="0" borderId="4" xfId="0" applyBorder="1" applyAlignment="1">
      <alignment horizontal="center"/>
    </xf>
    <xf numFmtId="0" fontId="19" fillId="0" borderId="22" xfId="0" applyFont="1" applyBorder="1" applyAlignment="1">
      <alignment horizontal="center" vertical="center" wrapText="1"/>
    </xf>
    <xf numFmtId="0" fontId="19" fillId="26" borderId="28" xfId="0" applyFont="1" applyFill="1" applyBorder="1" applyAlignment="1">
      <alignment horizontal="center" vertical="center" wrapText="1"/>
    </xf>
    <xf numFmtId="0" fontId="80" fillId="0" borderId="27" xfId="0" applyFont="1" applyBorder="1" applyAlignment="1">
      <alignment horizontal="center" vertical="center"/>
    </xf>
    <xf numFmtId="0" fontId="250" fillId="26" borderId="27" xfId="1" applyFont="1" applyFill="1" applyBorder="1" applyAlignment="1">
      <alignment horizontal="center" vertical="center" wrapText="1"/>
    </xf>
    <xf numFmtId="0" fontId="19" fillId="0" borderId="23" xfId="0" applyFont="1" applyBorder="1" applyAlignment="1">
      <alignment horizontal="center" vertical="center" wrapText="1"/>
    </xf>
    <xf numFmtId="0" fontId="19" fillId="26" borderId="31" xfId="0" applyFont="1" applyFill="1" applyBorder="1" applyAlignment="1">
      <alignment horizontal="center" vertical="center" wrapText="1"/>
    </xf>
    <xf numFmtId="0" fontId="250" fillId="26" borderId="31" xfId="1" applyFont="1" applyFill="1" applyBorder="1" applyAlignment="1">
      <alignment horizontal="center" vertical="center" wrapText="1"/>
    </xf>
    <xf numFmtId="0" fontId="31" fillId="0" borderId="31" xfId="0" applyFont="1" applyBorder="1" applyAlignment="1">
      <alignment horizontal="center" vertical="center"/>
    </xf>
    <xf numFmtId="0" fontId="250" fillId="26" borderId="31" xfId="1" applyFont="1" applyFill="1" applyBorder="1" applyAlignment="1">
      <alignment horizontal="center" vertical="center"/>
    </xf>
    <xf numFmtId="0" fontId="19" fillId="0" borderId="22" xfId="0" applyFont="1" applyBorder="1" applyAlignment="1">
      <alignment horizontal="center" vertical="center"/>
    </xf>
    <xf numFmtId="0" fontId="80" fillId="0" borderId="27" xfId="0" applyFont="1" applyBorder="1" applyAlignment="1">
      <alignment horizontal="center" vertical="center" wrapText="1"/>
    </xf>
    <xf numFmtId="0" fontId="145" fillId="26" borderId="27" xfId="0" applyFont="1" applyFill="1" applyBorder="1" applyAlignment="1">
      <alignment horizontal="center" vertical="center" wrapText="1"/>
    </xf>
    <xf numFmtId="0" fontId="31" fillId="0" borderId="27" xfId="0" applyFont="1" applyBorder="1" applyAlignment="1">
      <alignment horizontal="center" vertical="center"/>
    </xf>
    <xf numFmtId="0" fontId="250" fillId="0" borderId="27" xfId="1" applyFont="1" applyFill="1" applyBorder="1" applyAlignment="1">
      <alignment horizontal="center" vertical="center"/>
    </xf>
    <xf numFmtId="0" fontId="31" fillId="0" borderId="23" xfId="0" applyFont="1" applyBorder="1" applyAlignment="1">
      <alignment horizontal="center" vertical="center"/>
    </xf>
    <xf numFmtId="0" fontId="250" fillId="0" borderId="31" xfId="1" applyFont="1" applyFill="1" applyBorder="1" applyAlignment="1">
      <alignment horizontal="center" vertical="center"/>
    </xf>
    <xf numFmtId="0" fontId="19" fillId="0" borderId="23" xfId="0" applyFont="1" applyBorder="1" applyAlignment="1">
      <alignment horizontal="center" vertical="center"/>
    </xf>
    <xf numFmtId="0" fontId="102" fillId="26" borderId="31" xfId="0" applyFont="1" applyFill="1" applyBorder="1" applyAlignment="1">
      <alignment horizontal="center" vertical="center" wrapText="1"/>
    </xf>
    <xf numFmtId="0" fontId="39" fillId="0" borderId="23" xfId="0" applyFont="1" applyBorder="1" applyAlignment="1">
      <alignment horizontal="center" vertical="center"/>
    </xf>
    <xf numFmtId="0" fontId="39" fillId="0" borderId="31" xfId="0" applyFont="1" applyBorder="1" applyAlignment="1">
      <alignment horizontal="center" vertical="center"/>
    </xf>
    <xf numFmtId="0" fontId="88" fillId="0" borderId="31" xfId="0" applyFont="1" applyBorder="1" applyAlignment="1">
      <alignment horizontal="center" vertical="center"/>
    </xf>
    <xf numFmtId="0" fontId="97" fillId="0" borderId="31" xfId="0" applyFont="1" applyBorder="1" applyAlignment="1">
      <alignment horizontal="center" vertical="center"/>
    </xf>
    <xf numFmtId="0" fontId="19" fillId="8" borderId="2" xfId="0" applyFont="1" applyFill="1" applyBorder="1" applyAlignment="1">
      <alignment horizontal="center" wrapText="1"/>
    </xf>
    <xf numFmtId="0" fontId="2" fillId="0" borderId="1" xfId="0" applyFont="1" applyBorder="1" applyAlignment="1">
      <alignment vertical="center" wrapText="1"/>
    </xf>
    <xf numFmtId="0" fontId="2" fillId="0" borderId="0" xfId="0" applyFont="1" applyAlignment="1">
      <alignment vertical="center" wrapText="1"/>
    </xf>
    <xf numFmtId="0" fontId="0" fillId="0" borderId="0" xfId="0" applyAlignment="1">
      <alignment vertical="center"/>
    </xf>
    <xf numFmtId="0" fontId="265" fillId="0" borderId="0" xfId="0" applyFont="1" applyAlignment="1">
      <alignment horizontal="center" vertical="center"/>
    </xf>
    <xf numFmtId="0" fontId="265" fillId="0" borderId="1" xfId="0" applyFont="1" applyBorder="1" applyAlignment="1">
      <alignment horizontal="center" vertical="center"/>
    </xf>
    <xf numFmtId="0" fontId="2" fillId="0" borderId="19" xfId="0" applyFont="1" applyBorder="1" applyAlignment="1">
      <alignment horizontal="center" vertical="center" wrapText="1"/>
    </xf>
    <xf numFmtId="0" fontId="6" fillId="0" borderId="2" xfId="0" applyFont="1" applyBorder="1" applyAlignment="1">
      <alignment horizontal="center"/>
    </xf>
    <xf numFmtId="14" fontId="19" fillId="0" borderId="2" xfId="0" applyNumberFormat="1" applyFont="1" applyBorder="1" applyAlignment="1">
      <alignment horizontal="center" vertical="center"/>
    </xf>
    <xf numFmtId="0" fontId="19" fillId="8" borderId="30" xfId="0" applyFont="1" applyFill="1" applyBorder="1" applyAlignment="1">
      <alignment horizontal="center" vertical="center"/>
    </xf>
    <xf numFmtId="0" fontId="19" fillId="8" borderId="15" xfId="0" applyFont="1" applyFill="1" applyBorder="1" applyAlignment="1">
      <alignment horizontal="center"/>
    </xf>
    <xf numFmtId="0" fontId="265" fillId="0" borderId="2" xfId="0" applyFont="1" applyBorder="1" applyAlignment="1">
      <alignment horizontal="center"/>
    </xf>
    <xf numFmtId="0" fontId="6" fillId="8" borderId="2" xfId="0" applyFont="1" applyFill="1" applyBorder="1" applyAlignment="1">
      <alignment horizontal="center"/>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xf>
    <xf numFmtId="0" fontId="0" fillId="0" borderId="19" xfId="0" applyBorder="1"/>
    <xf numFmtId="0" fontId="264" fillId="23" borderId="2" xfId="0" applyFont="1" applyFill="1" applyBorder="1" applyAlignment="1">
      <alignment horizontal="center" vertical="center" wrapText="1"/>
    </xf>
    <xf numFmtId="0" fontId="265" fillId="0" borderId="2" xfId="0" applyFont="1" applyBorder="1" applyAlignment="1">
      <alignment horizontal="center" vertical="center"/>
    </xf>
    <xf numFmtId="0" fontId="6" fillId="8" borderId="2" xfId="0" applyFont="1" applyFill="1" applyBorder="1" applyAlignment="1">
      <alignment horizontal="center" vertical="center"/>
    </xf>
    <xf numFmtId="0" fontId="19" fillId="8" borderId="3" xfId="0" applyFont="1" applyFill="1" applyBorder="1" applyAlignment="1">
      <alignment horizontal="center" vertical="center" wrapText="1"/>
    </xf>
    <xf numFmtId="0" fontId="0" fillId="0" borderId="19" xfId="0" applyBorder="1" applyAlignment="1">
      <alignment vertical="center"/>
    </xf>
    <xf numFmtId="0" fontId="2" fillId="0" borderId="3" xfId="0" applyFont="1" applyBorder="1" applyAlignment="1">
      <alignment vertical="center" wrapText="1"/>
    </xf>
    <xf numFmtId="0" fontId="2" fillId="0" borderId="19" xfId="0" applyFont="1" applyBorder="1" applyAlignment="1">
      <alignment vertical="center" wrapText="1"/>
    </xf>
    <xf numFmtId="0" fontId="2" fillId="0" borderId="2" xfId="0" applyFont="1" applyBorder="1" applyAlignment="1">
      <alignment vertical="center" wrapText="1"/>
    </xf>
    <xf numFmtId="0" fontId="267" fillId="23" borderId="2" xfId="0" applyFont="1" applyFill="1" applyBorder="1" applyAlignment="1">
      <alignment horizontal="center" vertical="center" wrapText="1"/>
    </xf>
    <xf numFmtId="0" fontId="264" fillId="23" borderId="1" xfId="0" applyFont="1" applyFill="1" applyBorder="1" applyAlignment="1">
      <alignment horizontal="center" vertical="center" wrapText="1"/>
    </xf>
    <xf numFmtId="0" fontId="264" fillId="23" borderId="0" xfId="0" applyFont="1" applyFill="1" applyAlignment="1">
      <alignment horizontal="center" vertical="center" wrapText="1"/>
    </xf>
    <xf numFmtId="0" fontId="19" fillId="0" borderId="22" xfId="0" applyFont="1" applyBorder="1" applyAlignment="1">
      <alignment horizontal="center"/>
    </xf>
    <xf numFmtId="0" fontId="33" fillId="0" borderId="32" xfId="0" applyFont="1" applyBorder="1" applyAlignment="1">
      <alignment horizontal="center" vertical="center"/>
    </xf>
    <xf numFmtId="0" fontId="33" fillId="26" borderId="31" xfId="0" applyFont="1" applyFill="1" applyBorder="1" applyAlignment="1">
      <alignment horizontal="center" wrapText="1"/>
    </xf>
    <xf numFmtId="0" fontId="33" fillId="0" borderId="33" xfId="0" applyFont="1" applyBorder="1" applyAlignment="1">
      <alignment horizontal="center" vertical="center"/>
    </xf>
    <xf numFmtId="0" fontId="33" fillId="0" borderId="33" xfId="0" applyFont="1" applyBorder="1" applyAlignment="1">
      <alignment horizontal="center"/>
    </xf>
    <xf numFmtId="0" fontId="268" fillId="0" borderId="33" xfId="1" applyFont="1" applyFill="1" applyBorder="1" applyAlignment="1"/>
    <xf numFmtId="0" fontId="19" fillId="26" borderId="22" xfId="0" applyFont="1" applyFill="1" applyBorder="1" applyAlignment="1">
      <alignment horizontal="center" wrapText="1"/>
    </xf>
    <xf numFmtId="0" fontId="19" fillId="26" borderId="27" xfId="0" quotePrefix="1" applyFont="1" applyFill="1" applyBorder="1" applyAlignment="1">
      <alignment horizontal="center" vertical="center" wrapText="1"/>
    </xf>
    <xf numFmtId="0" fontId="250" fillId="8" borderId="7" xfId="1" applyFont="1" applyFill="1" applyBorder="1"/>
    <xf numFmtId="14" fontId="260" fillId="0" borderId="1" xfId="0" applyNumberFormat="1" applyFont="1" applyBorder="1" applyAlignment="1">
      <alignment horizontal="left" vertical="center"/>
    </xf>
    <xf numFmtId="0" fontId="260" fillId="0" borderId="1" xfId="0" applyFont="1" applyBorder="1" applyAlignment="1">
      <alignment horizontal="left" vertical="center"/>
    </xf>
    <xf numFmtId="0" fontId="250" fillId="8" borderId="4" xfId="1" applyFont="1" applyFill="1" applyBorder="1" applyAlignment="1">
      <alignment horizontal="left"/>
    </xf>
    <xf numFmtId="0" fontId="273" fillId="0" borderId="0" xfId="0" applyFont="1" applyAlignment="1">
      <alignment horizontal="center"/>
    </xf>
    <xf numFmtId="0" fontId="19" fillId="8" borderId="1" xfId="0" quotePrefix="1" applyFont="1" applyFill="1" applyBorder="1" applyAlignment="1">
      <alignment horizontal="center"/>
    </xf>
    <xf numFmtId="0" fontId="0" fillId="8" borderId="2" xfId="0" applyFill="1" applyBorder="1" applyAlignment="1">
      <alignment horizontal="center"/>
    </xf>
    <xf numFmtId="0" fontId="0" fillId="8" borderId="7" xfId="0" applyFill="1" applyBorder="1" applyAlignment="1">
      <alignment horizontal="center" vertical="center"/>
    </xf>
    <xf numFmtId="0" fontId="0" fillId="8" borderId="7" xfId="0" applyFill="1" applyBorder="1" applyAlignment="1">
      <alignment horizontal="center" wrapText="1"/>
    </xf>
    <xf numFmtId="0" fontId="0" fillId="0" borderId="2" xfId="0" applyBorder="1" applyAlignment="1">
      <alignment horizontal="center" vertical="center"/>
    </xf>
    <xf numFmtId="0" fontId="0" fillId="0" borderId="2" xfId="0" applyBorder="1"/>
    <xf numFmtId="0" fontId="274" fillId="0" borderId="1" xfId="0" applyFont="1" applyBorder="1" applyAlignment="1">
      <alignment horizontal="center"/>
    </xf>
    <xf numFmtId="0" fontId="0" fillId="0" borderId="1" xfId="0" applyBorder="1" applyAlignment="1">
      <alignment horizontal="center" wrapText="1"/>
    </xf>
    <xf numFmtId="0" fontId="19" fillId="8" borderId="1" xfId="0" applyFont="1" applyFill="1" applyBorder="1" applyAlignment="1">
      <alignment horizontal="left" vertical="center"/>
    </xf>
    <xf numFmtId="177" fontId="0" fillId="0" borderId="1" xfId="0" applyNumberFormat="1" applyBorder="1" applyAlignment="1">
      <alignment horizontal="center"/>
    </xf>
    <xf numFmtId="177" fontId="0" fillId="0" borderId="0" xfId="0" applyNumberFormat="1" applyAlignment="1">
      <alignment horizontal="center"/>
    </xf>
    <xf numFmtId="177" fontId="1" fillId="0" borderId="0" xfId="0" applyNumberFormat="1" applyFont="1" applyAlignment="1">
      <alignment horizontal="center" vertical="center" wrapText="1"/>
    </xf>
    <xf numFmtId="177" fontId="3" fillId="0" borderId="1" xfId="0" applyNumberFormat="1" applyFont="1" applyBorder="1" applyAlignment="1">
      <alignment horizontal="center" vertical="center" wrapText="1"/>
    </xf>
    <xf numFmtId="177" fontId="1" fillId="4" borderId="1" xfId="0" applyNumberFormat="1" applyFont="1" applyFill="1" applyBorder="1" applyAlignment="1">
      <alignment horizontal="center" vertical="center" wrapText="1"/>
    </xf>
    <xf numFmtId="177" fontId="7" fillId="4" borderId="1" xfId="0" applyNumberFormat="1" applyFont="1" applyFill="1" applyBorder="1" applyAlignment="1">
      <alignment horizontal="center" vertical="center" wrapText="1"/>
    </xf>
    <xf numFmtId="177" fontId="1" fillId="0" borderId="1" xfId="0" applyNumberFormat="1" applyFont="1" applyBorder="1" applyAlignment="1">
      <alignment horizontal="center" vertical="center" wrapText="1"/>
    </xf>
    <xf numFmtId="177" fontId="7" fillId="0" borderId="1" xfId="0" applyNumberFormat="1" applyFont="1" applyBorder="1" applyAlignment="1">
      <alignment horizontal="center" vertical="center" wrapText="1"/>
    </xf>
    <xf numFmtId="177" fontId="8" fillId="0" borderId="1" xfId="0" applyNumberFormat="1" applyFont="1" applyBorder="1" applyAlignment="1">
      <alignment horizontal="center" vertical="center" wrapText="1"/>
    </xf>
    <xf numFmtId="177" fontId="16" fillId="0" borderId="1" xfId="0" applyNumberFormat="1" applyFont="1" applyBorder="1" applyAlignment="1">
      <alignment horizontal="center" vertical="center" wrapText="1"/>
    </xf>
    <xf numFmtId="177" fontId="8" fillId="8" borderId="1" xfId="0" applyNumberFormat="1" applyFont="1" applyFill="1" applyBorder="1" applyAlignment="1">
      <alignment horizontal="center" vertical="center" wrapText="1"/>
    </xf>
    <xf numFmtId="177" fontId="1" fillId="8" borderId="1" xfId="0" applyNumberFormat="1" applyFont="1" applyFill="1" applyBorder="1" applyAlignment="1">
      <alignment horizontal="center" vertical="center" wrapText="1"/>
    </xf>
    <xf numFmtId="177" fontId="23" fillId="0" borderId="1" xfId="0" applyNumberFormat="1" applyFont="1" applyBorder="1" applyAlignment="1">
      <alignment horizontal="center" vertical="center" wrapText="1"/>
    </xf>
    <xf numFmtId="177" fontId="21" fillId="0" borderId="1" xfId="0" applyNumberFormat="1" applyFont="1" applyBorder="1" applyAlignment="1">
      <alignment horizontal="center" vertical="center" wrapText="1"/>
    </xf>
    <xf numFmtId="177" fontId="6" fillId="0" borderId="1" xfId="0" applyNumberFormat="1" applyFont="1" applyBorder="1" applyAlignment="1">
      <alignment horizontal="center" vertical="center" wrapText="1"/>
    </xf>
    <xf numFmtId="177" fontId="8" fillId="10" borderId="1" xfId="0" applyNumberFormat="1" applyFont="1" applyFill="1" applyBorder="1" applyAlignment="1">
      <alignment horizontal="center" vertical="center" wrapText="1"/>
    </xf>
    <xf numFmtId="177" fontId="37" fillId="0" borderId="1" xfId="0" applyNumberFormat="1" applyFont="1" applyBorder="1" applyAlignment="1">
      <alignment horizontal="center" vertical="center" wrapText="1"/>
    </xf>
    <xf numFmtId="177" fontId="37" fillId="11" borderId="1" xfId="0" applyNumberFormat="1" applyFont="1" applyFill="1" applyBorder="1" applyAlignment="1">
      <alignment horizontal="center" vertical="center" wrapText="1"/>
    </xf>
    <xf numFmtId="177" fontId="13" fillId="0" borderId="1" xfId="0" applyNumberFormat="1" applyFont="1" applyBorder="1" applyAlignment="1">
      <alignment horizontal="center" vertical="center" wrapText="1"/>
    </xf>
    <xf numFmtId="177" fontId="13" fillId="0" borderId="3" xfId="0" applyNumberFormat="1" applyFont="1" applyBorder="1" applyAlignment="1">
      <alignment horizontal="center" vertical="center" wrapText="1"/>
    </xf>
    <xf numFmtId="177" fontId="2" fillId="0" borderId="1" xfId="0" applyNumberFormat="1" applyFont="1" applyBorder="1" applyAlignment="1">
      <alignment horizontal="center" vertical="center" wrapText="1"/>
    </xf>
    <xf numFmtId="177" fontId="34" fillId="0" borderId="1" xfId="0" applyNumberFormat="1" applyFont="1" applyBorder="1" applyAlignment="1">
      <alignment horizontal="center" vertical="center" wrapText="1"/>
    </xf>
    <xf numFmtId="177" fontId="36" fillId="0" borderId="1" xfId="0" applyNumberFormat="1" applyFont="1" applyBorder="1" applyAlignment="1">
      <alignment horizontal="center" vertical="center" wrapText="1"/>
    </xf>
    <xf numFmtId="177" fontId="6" fillId="0" borderId="0" xfId="0" applyNumberFormat="1" applyFont="1" applyAlignment="1">
      <alignment horizontal="center" vertical="center" wrapText="1"/>
    </xf>
    <xf numFmtId="177" fontId="2" fillId="8" borderId="1" xfId="0" applyNumberFormat="1" applyFont="1" applyFill="1" applyBorder="1" applyAlignment="1">
      <alignment horizontal="center" vertical="center" wrapText="1"/>
    </xf>
    <xf numFmtId="177" fontId="52" fillId="8" borderId="1" xfId="0" applyNumberFormat="1" applyFont="1" applyFill="1" applyBorder="1" applyAlignment="1">
      <alignment horizontal="center" vertical="center" wrapText="1"/>
    </xf>
    <xf numFmtId="177" fontId="61" fillId="0" borderId="0" xfId="0" applyNumberFormat="1" applyFont="1" applyAlignment="1">
      <alignment horizontal="center" vertical="center" wrapText="1"/>
    </xf>
    <xf numFmtId="177" fontId="2" fillId="8" borderId="5" xfId="0" applyNumberFormat="1" applyFont="1" applyFill="1" applyBorder="1" applyAlignment="1">
      <alignment horizontal="center" vertical="center" wrapText="1"/>
    </xf>
    <xf numFmtId="177" fontId="21" fillId="0" borderId="0" xfId="0" applyNumberFormat="1" applyFont="1" applyAlignment="1">
      <alignment horizontal="center" vertical="center" wrapText="1"/>
    </xf>
    <xf numFmtId="177" fontId="52" fillId="0" borderId="1" xfId="0" applyNumberFormat="1" applyFont="1" applyBorder="1" applyAlignment="1">
      <alignment horizontal="center" vertical="center" wrapText="1"/>
    </xf>
    <xf numFmtId="177" fontId="0" fillId="8" borderId="1" xfId="0" applyNumberFormat="1" applyFill="1" applyBorder="1" applyAlignment="1">
      <alignment horizontal="center" wrapText="1"/>
    </xf>
    <xf numFmtId="177" fontId="0" fillId="8" borderId="4" xfId="0" applyNumberFormat="1" applyFill="1" applyBorder="1" applyAlignment="1">
      <alignment horizontal="center" wrapText="1"/>
    </xf>
    <xf numFmtId="177" fontId="0" fillId="8" borderId="3" xfId="0" applyNumberFormat="1" applyFill="1" applyBorder="1" applyAlignment="1">
      <alignment horizontal="center" wrapText="1"/>
    </xf>
    <xf numFmtId="177" fontId="0" fillId="8" borderId="7" xfId="0" applyNumberFormat="1" applyFill="1" applyBorder="1" applyAlignment="1">
      <alignment horizontal="center" wrapText="1"/>
    </xf>
    <xf numFmtId="177" fontId="19" fillId="0" borderId="10" xfId="0" applyNumberFormat="1" applyFont="1" applyBorder="1" applyAlignment="1">
      <alignment horizontal="center" wrapText="1"/>
    </xf>
    <xf numFmtId="177" fontId="19" fillId="0" borderId="12" xfId="0" applyNumberFormat="1" applyFont="1" applyBorder="1" applyAlignment="1">
      <alignment horizontal="center" wrapText="1"/>
    </xf>
    <xf numFmtId="177" fontId="19" fillId="0" borderId="1" xfId="0" applyNumberFormat="1" applyFont="1" applyBorder="1" applyAlignment="1">
      <alignment horizontal="center" wrapText="1"/>
    </xf>
    <xf numFmtId="177" fontId="19" fillId="0" borderId="6" xfId="0" applyNumberFormat="1" applyFont="1" applyBorder="1" applyAlignment="1">
      <alignment horizontal="center" wrapText="1"/>
    </xf>
    <xf numFmtId="177" fontId="2" fillId="0" borderId="4" xfId="0" applyNumberFormat="1" applyFont="1" applyBorder="1" applyAlignment="1">
      <alignment horizontal="center" wrapText="1"/>
    </xf>
    <xf numFmtId="177" fontId="43" fillId="0" borderId="1" xfId="0" applyNumberFormat="1" applyFont="1" applyBorder="1" applyAlignment="1">
      <alignment horizontal="center" vertical="center" wrapText="1"/>
    </xf>
    <xf numFmtId="177" fontId="6" fillId="8" borderId="1" xfId="0" applyNumberFormat="1" applyFont="1" applyFill="1" applyBorder="1" applyAlignment="1">
      <alignment horizontal="center" vertical="center" wrapText="1"/>
    </xf>
    <xf numFmtId="177" fontId="0" fillId="8" borderId="1" xfId="0" applyNumberFormat="1" applyFill="1" applyBorder="1" applyAlignment="1">
      <alignment horizontal="center" vertical="center" wrapText="1"/>
    </xf>
    <xf numFmtId="177" fontId="86" fillId="8" borderId="1" xfId="0" applyNumberFormat="1" applyFont="1" applyFill="1" applyBorder="1" applyAlignment="1">
      <alignment horizontal="center" wrapText="1"/>
    </xf>
    <xf numFmtId="177" fontId="6" fillId="8" borderId="1" xfId="0" applyNumberFormat="1" applyFont="1" applyFill="1" applyBorder="1" applyAlignment="1">
      <alignment horizontal="center" wrapText="1"/>
    </xf>
    <xf numFmtId="177" fontId="36" fillId="0" borderId="12" xfId="0" applyNumberFormat="1" applyFont="1" applyBorder="1" applyAlignment="1">
      <alignment horizontal="center" wrapText="1"/>
    </xf>
    <xf numFmtId="177" fontId="8" fillId="0" borderId="12" xfId="0" applyNumberFormat="1" applyFont="1" applyBorder="1" applyAlignment="1">
      <alignment horizontal="center" wrapText="1"/>
    </xf>
    <xf numFmtId="177" fontId="19" fillId="8" borderId="1" xfId="0" applyNumberFormat="1" applyFont="1" applyFill="1" applyBorder="1" applyAlignment="1">
      <alignment horizontal="center" wrapText="1"/>
    </xf>
    <xf numFmtId="177" fontId="33" fillId="8" borderId="1" xfId="0" applyNumberFormat="1" applyFont="1" applyFill="1" applyBorder="1" applyAlignment="1">
      <alignment horizontal="center" wrapText="1"/>
    </xf>
    <xf numFmtId="177" fontId="8" fillId="0" borderId="10" xfId="0" applyNumberFormat="1" applyFont="1" applyBorder="1" applyAlignment="1">
      <alignment horizontal="center" wrapText="1"/>
    </xf>
    <xf numFmtId="177" fontId="8" fillId="8" borderId="12" xfId="0" applyNumberFormat="1" applyFont="1" applyFill="1" applyBorder="1" applyAlignment="1">
      <alignment horizontal="center" wrapText="1"/>
    </xf>
    <xf numFmtId="177" fontId="19" fillId="0" borderId="1" xfId="0" applyNumberFormat="1" applyFont="1" applyBorder="1" applyAlignment="1">
      <alignment horizontal="center"/>
    </xf>
    <xf numFmtId="177" fontId="31" fillId="8" borderId="1" xfId="0" applyNumberFormat="1" applyFont="1" applyFill="1" applyBorder="1" applyAlignment="1">
      <alignment horizontal="center"/>
    </xf>
    <xf numFmtId="177" fontId="36" fillId="0" borderId="1" xfId="0" applyNumberFormat="1" applyFont="1" applyBorder="1" applyAlignment="1">
      <alignment horizontal="center"/>
    </xf>
    <xf numFmtId="177" fontId="8" fillId="0" borderId="1" xfId="0" applyNumberFormat="1" applyFont="1" applyBorder="1" applyAlignment="1">
      <alignment horizontal="center"/>
    </xf>
    <xf numFmtId="177" fontId="37" fillId="0" borderId="1" xfId="0" applyNumberFormat="1" applyFont="1" applyBorder="1" applyAlignment="1">
      <alignment horizontal="center"/>
    </xf>
    <xf numFmtId="177" fontId="92" fillId="0" borderId="1" xfId="0" applyNumberFormat="1" applyFont="1" applyBorder="1" applyAlignment="1">
      <alignment horizontal="center"/>
    </xf>
    <xf numFmtId="177" fontId="14" fillId="0" borderId="1" xfId="0" applyNumberFormat="1" applyFont="1" applyBorder="1" applyAlignment="1">
      <alignment horizontal="center"/>
    </xf>
    <xf numFmtId="177" fontId="6" fillId="0" borderId="1" xfId="0" applyNumberFormat="1" applyFont="1" applyBorder="1" applyAlignment="1">
      <alignment horizontal="center"/>
    </xf>
    <xf numFmtId="177" fontId="31" fillId="0" borderId="1" xfId="0" applyNumberFormat="1" applyFont="1" applyBorder="1" applyAlignment="1">
      <alignment horizontal="center"/>
    </xf>
    <xf numFmtId="177" fontId="1" fillId="0" borderId="4" xfId="0" applyNumberFormat="1" applyFont="1" applyBorder="1" applyAlignment="1">
      <alignment horizontal="center"/>
    </xf>
    <xf numFmtId="177" fontId="1" fillId="0" borderId="7" xfId="0" applyNumberFormat="1" applyFont="1" applyBorder="1" applyAlignment="1">
      <alignment horizontal="center"/>
    </xf>
    <xf numFmtId="177" fontId="6" fillId="0" borderId="3" xfId="0" applyNumberFormat="1" applyFont="1" applyBorder="1" applyAlignment="1">
      <alignment horizontal="center"/>
    </xf>
    <xf numFmtId="177" fontId="6" fillId="0" borderId="1" xfId="0" applyNumberFormat="1" applyFont="1" applyBorder="1" applyAlignment="1">
      <alignment horizontal="center" wrapText="1"/>
    </xf>
    <xf numFmtId="177" fontId="80" fillId="8" borderId="1" xfId="0" applyNumberFormat="1" applyFont="1" applyFill="1" applyBorder="1" applyAlignment="1">
      <alignment horizontal="center"/>
    </xf>
    <xf numFmtId="177" fontId="11" fillId="12" borderId="1" xfId="0" applyNumberFormat="1" applyFont="1" applyFill="1" applyBorder="1" applyAlignment="1">
      <alignment horizontal="center"/>
    </xf>
    <xf numFmtId="177" fontId="11" fillId="0" borderId="1" xfId="0" applyNumberFormat="1" applyFont="1" applyBorder="1" applyAlignment="1">
      <alignment horizontal="center"/>
    </xf>
    <xf numFmtId="177" fontId="0" fillId="8" borderId="1" xfId="0" applyNumberFormat="1" applyFill="1" applyBorder="1" applyAlignment="1">
      <alignment horizontal="center"/>
    </xf>
    <xf numFmtId="177" fontId="31" fillId="0" borderId="4" xfId="0" applyNumberFormat="1" applyFont="1" applyBorder="1" applyAlignment="1">
      <alignment horizontal="center"/>
    </xf>
    <xf numFmtId="177" fontId="31" fillId="0" borderId="7" xfId="0" applyNumberFormat="1" applyFont="1" applyBorder="1" applyAlignment="1">
      <alignment horizontal="center"/>
    </xf>
    <xf numFmtId="177" fontId="68" fillId="0" borderId="7" xfId="0" applyNumberFormat="1" applyFont="1" applyBorder="1" applyAlignment="1">
      <alignment horizontal="center"/>
    </xf>
    <xf numFmtId="177" fontId="13" fillId="0" borderId="1" xfId="0" applyNumberFormat="1" applyFont="1" applyBorder="1" applyAlignment="1">
      <alignment horizontal="center" wrapText="1"/>
    </xf>
    <xf numFmtId="177" fontId="14" fillId="0" borderId="4" xfId="0" applyNumberFormat="1" applyFont="1" applyBorder="1" applyAlignment="1">
      <alignment horizontal="center"/>
    </xf>
    <xf numFmtId="177" fontId="14" fillId="0" borderId="7" xfId="0" applyNumberFormat="1" applyFont="1" applyBorder="1" applyAlignment="1">
      <alignment horizontal="center"/>
    </xf>
    <xf numFmtId="177" fontId="0" fillId="8" borderId="4" xfId="0" applyNumberFormat="1" applyFill="1" applyBorder="1" applyAlignment="1">
      <alignment horizontal="center"/>
    </xf>
    <xf numFmtId="177" fontId="0" fillId="8" borderId="7" xfId="0" applyNumberFormat="1" applyFill="1" applyBorder="1" applyAlignment="1">
      <alignment horizontal="center"/>
    </xf>
    <xf numFmtId="177" fontId="8" fillId="0" borderId="0" xfId="0" applyNumberFormat="1" applyFont="1" applyAlignment="1">
      <alignment horizontal="center" wrapText="1"/>
    </xf>
    <xf numFmtId="177" fontId="95" fillId="0" borderId="1" xfId="0" applyNumberFormat="1" applyFont="1" applyBorder="1" applyAlignment="1">
      <alignment horizontal="center" wrapText="1"/>
    </xf>
    <xf numFmtId="177" fontId="8" fillId="0" borderId="1" xfId="0" applyNumberFormat="1" applyFont="1" applyBorder="1" applyAlignment="1">
      <alignment horizontal="center" wrapText="1"/>
    </xf>
    <xf numFmtId="177" fontId="6" fillId="0" borderId="0" xfId="0" applyNumberFormat="1" applyFont="1" applyAlignment="1">
      <alignment horizontal="center"/>
    </xf>
    <xf numFmtId="177" fontId="6" fillId="13" borderId="1" xfId="0" applyNumberFormat="1" applyFont="1" applyFill="1" applyBorder="1" applyAlignment="1">
      <alignment horizontal="center" vertical="center" wrapText="1"/>
    </xf>
    <xf numFmtId="177" fontId="77" fillId="0" borderId="1" xfId="0" applyNumberFormat="1" applyFont="1" applyBorder="1" applyAlignment="1">
      <alignment horizontal="center"/>
    </xf>
    <xf numFmtId="177" fontId="33" fillId="0" borderId="4" xfId="0" applyNumberFormat="1" applyFont="1" applyBorder="1" applyAlignment="1">
      <alignment horizontal="center"/>
    </xf>
    <xf numFmtId="177" fontId="33" fillId="0" borderId="7" xfId="0" applyNumberFormat="1" applyFont="1" applyBorder="1" applyAlignment="1">
      <alignment horizontal="center"/>
    </xf>
    <xf numFmtId="177" fontId="0" fillId="8" borderId="3" xfId="0" applyNumberFormat="1" applyFill="1" applyBorder="1" applyAlignment="1">
      <alignment horizontal="center" vertical="center" wrapText="1"/>
    </xf>
    <xf numFmtId="177" fontId="0" fillId="8" borderId="7" xfId="0" applyNumberFormat="1" applyFill="1" applyBorder="1" applyAlignment="1">
      <alignment horizontal="center" vertical="center" wrapText="1"/>
    </xf>
    <xf numFmtId="177" fontId="68" fillId="0" borderId="1" xfId="0" applyNumberFormat="1" applyFont="1" applyBorder="1" applyAlignment="1">
      <alignment horizontal="center"/>
    </xf>
    <xf numFmtId="177" fontId="6" fillId="0" borderId="0" xfId="0" applyNumberFormat="1" applyFont="1" applyAlignment="1">
      <alignment horizontal="center" vertical="center"/>
    </xf>
    <xf numFmtId="177" fontId="19" fillId="8" borderId="4" xfId="0" applyNumberFormat="1" applyFont="1" applyFill="1" applyBorder="1" applyAlignment="1">
      <alignment horizontal="center"/>
    </xf>
    <xf numFmtId="177" fontId="19" fillId="8" borderId="7" xfId="0" applyNumberFormat="1" applyFont="1" applyFill="1" applyBorder="1" applyAlignment="1">
      <alignment horizontal="center"/>
    </xf>
    <xf numFmtId="177" fontId="19" fillId="8" borderId="4" xfId="0" applyNumberFormat="1" applyFont="1" applyFill="1" applyBorder="1" applyAlignment="1">
      <alignment horizontal="center" vertical="center"/>
    </xf>
    <xf numFmtId="177" fontId="19" fillId="0" borderId="4" xfId="0" applyNumberFormat="1" applyFont="1" applyBorder="1" applyAlignment="1">
      <alignment horizontal="center"/>
    </xf>
    <xf numFmtId="177" fontId="19" fillId="0" borderId="7" xfId="0" applyNumberFormat="1" applyFont="1" applyBorder="1" applyAlignment="1">
      <alignment horizontal="center"/>
    </xf>
    <xf numFmtId="177" fontId="33" fillId="8" borderId="4" xfId="0" applyNumberFormat="1" applyFont="1" applyFill="1" applyBorder="1" applyAlignment="1">
      <alignment horizontal="center"/>
    </xf>
    <xf numFmtId="177" fontId="19" fillId="8" borderId="0" xfId="0" applyNumberFormat="1" applyFont="1" applyFill="1" applyAlignment="1">
      <alignment horizontal="center"/>
    </xf>
    <xf numFmtId="177" fontId="80" fillId="8" borderId="0" xfId="0" applyNumberFormat="1" applyFont="1" applyFill="1" applyAlignment="1">
      <alignment horizontal="center"/>
    </xf>
    <xf numFmtId="177" fontId="0" fillId="0" borderId="7" xfId="0" applyNumberFormat="1" applyBorder="1" applyAlignment="1">
      <alignment horizontal="center"/>
    </xf>
    <xf numFmtId="177" fontId="1" fillId="0" borderId="4" xfId="0" applyNumberFormat="1" applyFont="1" applyBorder="1" applyAlignment="1">
      <alignment horizontal="center" wrapText="1"/>
    </xf>
    <xf numFmtId="177" fontId="1" fillId="0" borderId="7" xfId="0" applyNumberFormat="1" applyFont="1" applyBorder="1" applyAlignment="1">
      <alignment horizontal="center" wrapText="1"/>
    </xf>
    <xf numFmtId="177" fontId="92" fillId="0" borderId="7" xfId="0" applyNumberFormat="1" applyFont="1" applyBorder="1" applyAlignment="1">
      <alignment horizontal="center"/>
    </xf>
    <xf numFmtId="177" fontId="6" fillId="0" borderId="7" xfId="0" applyNumberFormat="1" applyFont="1" applyBorder="1" applyAlignment="1">
      <alignment horizontal="center" wrapText="1"/>
    </xf>
    <xf numFmtId="177" fontId="11" fillId="0" borderId="4" xfId="0" applyNumberFormat="1" applyFont="1" applyBorder="1" applyAlignment="1">
      <alignment horizontal="center"/>
    </xf>
    <xf numFmtId="177" fontId="11" fillId="0" borderId="7" xfId="0" applyNumberFormat="1" applyFont="1" applyBorder="1" applyAlignment="1">
      <alignment horizontal="center"/>
    </xf>
    <xf numFmtId="177" fontId="69" fillId="0" borderId="7" xfId="0" applyNumberFormat="1" applyFont="1" applyBorder="1" applyAlignment="1">
      <alignment horizontal="center"/>
    </xf>
    <xf numFmtId="177" fontId="36" fillId="0" borderId="7" xfId="0" applyNumberFormat="1" applyFont="1" applyBorder="1" applyAlignment="1">
      <alignment horizontal="center"/>
    </xf>
    <xf numFmtId="177" fontId="152" fillId="0" borderId="4" xfId="0" applyNumberFormat="1" applyFont="1" applyBorder="1" applyAlignment="1">
      <alignment horizontal="center"/>
    </xf>
    <xf numFmtId="177" fontId="37" fillId="17" borderId="1" xfId="0" applyNumberFormat="1" applyFont="1" applyFill="1" applyBorder="1" applyAlignment="1">
      <alignment horizontal="center"/>
    </xf>
    <xf numFmtId="177" fontId="160" fillId="0" borderId="1" xfId="0" applyNumberFormat="1" applyFont="1" applyBorder="1" applyAlignment="1">
      <alignment horizontal="center" vertical="center" wrapText="1"/>
    </xf>
    <xf numFmtId="177" fontId="19" fillId="0" borderId="0" xfId="0" applyNumberFormat="1" applyFont="1" applyAlignment="1">
      <alignment horizontal="center"/>
    </xf>
    <xf numFmtId="177" fontId="33" fillId="0" borderId="4" xfId="0" applyNumberFormat="1" applyFont="1" applyBorder="1" applyAlignment="1">
      <alignment horizontal="center" wrapText="1"/>
    </xf>
    <xf numFmtId="177" fontId="36" fillId="0" borderId="3" xfId="0" applyNumberFormat="1" applyFont="1" applyBorder="1" applyAlignment="1">
      <alignment horizontal="center"/>
    </xf>
    <xf numFmtId="177" fontId="49" fillId="8" borderId="3" xfId="0" applyNumberFormat="1" applyFont="1" applyFill="1" applyBorder="1" applyAlignment="1">
      <alignment horizontal="center"/>
    </xf>
    <xf numFmtId="177" fontId="46" fillId="0" borderId="3" xfId="0" applyNumberFormat="1" applyFont="1" applyBorder="1" applyAlignment="1">
      <alignment horizontal="center"/>
    </xf>
    <xf numFmtId="177" fontId="175" fillId="0" borderId="3" xfId="0" applyNumberFormat="1" applyFont="1" applyBorder="1" applyAlignment="1">
      <alignment horizontal="center"/>
    </xf>
    <xf numFmtId="177" fontId="49" fillId="0" borderId="3" xfId="0" applyNumberFormat="1" applyFont="1" applyBorder="1" applyAlignment="1">
      <alignment horizontal="center"/>
    </xf>
    <xf numFmtId="177" fontId="175" fillId="8" borderId="3" xfId="0" applyNumberFormat="1" applyFont="1" applyFill="1" applyBorder="1" applyAlignment="1">
      <alignment horizontal="center"/>
    </xf>
    <xf numFmtId="177" fontId="49" fillId="8" borderId="1" xfId="0" applyNumberFormat="1" applyFont="1" applyFill="1" applyBorder="1" applyAlignment="1">
      <alignment horizontal="center"/>
    </xf>
    <xf numFmtId="177" fontId="19" fillId="0" borderId="4" xfId="0" applyNumberFormat="1" applyFont="1" applyBorder="1" applyAlignment="1">
      <alignment horizontal="center" wrapText="1"/>
    </xf>
    <xf numFmtId="177" fontId="43" fillId="8" borderId="1" xfId="0" applyNumberFormat="1" applyFont="1" applyFill="1" applyBorder="1" applyAlignment="1">
      <alignment horizontal="center"/>
    </xf>
    <xf numFmtId="177" fontId="6" fillId="8" borderId="1" xfId="0" applyNumberFormat="1" applyFont="1" applyFill="1" applyBorder="1" applyAlignment="1">
      <alignment horizontal="center"/>
    </xf>
    <xf numFmtId="177" fontId="6" fillId="8" borderId="4" xfId="0" applyNumberFormat="1" applyFont="1" applyFill="1" applyBorder="1" applyAlignment="1">
      <alignment horizontal="center"/>
    </xf>
    <xf numFmtId="177" fontId="6" fillId="8" borderId="7" xfId="0" applyNumberFormat="1" applyFont="1" applyFill="1" applyBorder="1" applyAlignment="1">
      <alignment horizontal="center"/>
    </xf>
    <xf numFmtId="177" fontId="6" fillId="8" borderId="3" xfId="0" applyNumberFormat="1" applyFont="1" applyFill="1" applyBorder="1" applyAlignment="1">
      <alignment horizontal="center"/>
    </xf>
    <xf numFmtId="177" fontId="8" fillId="0" borderId="4" xfId="0" applyNumberFormat="1" applyFont="1" applyBorder="1" applyAlignment="1">
      <alignment horizontal="center"/>
    </xf>
    <xf numFmtId="177" fontId="6" fillId="0" borderId="4" xfId="0" applyNumberFormat="1" applyFont="1" applyBorder="1" applyAlignment="1">
      <alignment horizontal="center"/>
    </xf>
    <xf numFmtId="177" fontId="6" fillId="0" borderId="7" xfId="0" applyNumberFormat="1" applyFont="1" applyBorder="1" applyAlignment="1">
      <alignment horizontal="center"/>
    </xf>
    <xf numFmtId="177" fontId="49" fillId="0" borderId="7" xfId="0" applyNumberFormat="1" applyFont="1" applyBorder="1" applyAlignment="1">
      <alignment horizontal="center"/>
    </xf>
    <xf numFmtId="177" fontId="6" fillId="0" borderId="6" xfId="0" applyNumberFormat="1" applyFont="1" applyBorder="1" applyAlignment="1">
      <alignment horizontal="center"/>
    </xf>
    <xf numFmtId="177" fontId="6" fillId="0" borderId="5" xfId="0" applyNumberFormat="1" applyFont="1" applyBorder="1" applyAlignment="1">
      <alignment horizontal="center"/>
    </xf>
    <xf numFmtId="177" fontId="86" fillId="0" borderId="1" xfId="0" applyNumberFormat="1" applyFont="1" applyBorder="1" applyAlignment="1">
      <alignment horizontal="center" vertical="center" wrapText="1"/>
    </xf>
    <xf numFmtId="177" fontId="43" fillId="0" borderId="1" xfId="0" applyNumberFormat="1" applyFont="1" applyBorder="1" applyAlignment="1">
      <alignment horizontal="center"/>
    </xf>
    <xf numFmtId="177" fontId="208" fillId="0" borderId="0" xfId="0" applyNumberFormat="1" applyFont="1" applyAlignment="1">
      <alignment horizontal="center"/>
    </xf>
    <xf numFmtId="177" fontId="210" fillId="0" borderId="3" xfId="0" applyNumberFormat="1" applyFont="1" applyBorder="1" applyAlignment="1">
      <alignment horizontal="center"/>
    </xf>
    <xf numFmtId="177" fontId="19" fillId="8" borderId="3" xfId="0" applyNumberFormat="1" applyFont="1" applyFill="1" applyBorder="1" applyAlignment="1">
      <alignment horizontal="center"/>
    </xf>
    <xf numFmtId="177" fontId="60" fillId="8" borderId="1" xfId="0" applyNumberFormat="1" applyFont="1" applyFill="1" applyBorder="1" applyAlignment="1">
      <alignment horizontal="center"/>
    </xf>
    <xf numFmtId="177" fontId="214" fillId="8" borderId="0" xfId="0" applyNumberFormat="1" applyFont="1" applyFill="1" applyAlignment="1">
      <alignment horizontal="center"/>
    </xf>
    <xf numFmtId="177" fontId="178" fillId="0" borderId="0" xfId="0" applyNumberFormat="1" applyFont="1" applyAlignment="1">
      <alignment horizontal="center"/>
    </xf>
    <xf numFmtId="177" fontId="22" fillId="0" borderId="0" xfId="0" applyNumberFormat="1" applyFont="1" applyAlignment="1">
      <alignment horizontal="center"/>
    </xf>
    <xf numFmtId="177" fontId="19" fillId="8" borderId="1" xfId="0" applyNumberFormat="1" applyFont="1" applyFill="1" applyBorder="1" applyAlignment="1">
      <alignment horizontal="center"/>
    </xf>
    <xf numFmtId="177" fontId="80" fillId="0" borderId="4" xfId="0" applyNumberFormat="1" applyFont="1" applyBorder="1" applyAlignment="1">
      <alignment horizontal="center"/>
    </xf>
    <xf numFmtId="177" fontId="19" fillId="8" borderId="5" xfId="0" applyNumberFormat="1" applyFont="1" applyFill="1" applyBorder="1" applyAlignment="1">
      <alignment horizontal="center"/>
    </xf>
    <xf numFmtId="177" fontId="33" fillId="8" borderId="7" xfId="0" applyNumberFormat="1" applyFont="1" applyFill="1" applyBorder="1" applyAlignment="1">
      <alignment horizontal="center"/>
    </xf>
    <xf numFmtId="177" fontId="182" fillId="0" borderId="7" xfId="0" applyNumberFormat="1" applyFont="1" applyBorder="1" applyAlignment="1">
      <alignment horizontal="center"/>
    </xf>
    <xf numFmtId="177" fontId="208" fillId="0" borderId="1" xfId="0" applyNumberFormat="1" applyFont="1" applyBorder="1" applyAlignment="1">
      <alignment horizontal="center"/>
    </xf>
    <xf numFmtId="177" fontId="6" fillId="0" borderId="4" xfId="0" applyNumberFormat="1" applyFont="1" applyBorder="1" applyAlignment="1">
      <alignment horizontal="center" wrapText="1"/>
    </xf>
    <xf numFmtId="177" fontId="178" fillId="0" borderId="7" xfId="0" applyNumberFormat="1" applyFont="1" applyBorder="1" applyAlignment="1">
      <alignment horizontal="center"/>
    </xf>
    <xf numFmtId="177" fontId="228" fillId="8" borderId="1" xfId="0" applyNumberFormat="1" applyFont="1" applyFill="1" applyBorder="1" applyAlignment="1">
      <alignment horizontal="center"/>
    </xf>
    <xf numFmtId="177" fontId="228" fillId="8" borderId="0" xfId="0" applyNumberFormat="1" applyFont="1" applyFill="1" applyAlignment="1">
      <alignment horizontal="center"/>
    </xf>
    <xf numFmtId="177" fontId="80" fillId="0" borderId="7" xfId="0" applyNumberFormat="1" applyFont="1" applyBorder="1" applyAlignment="1">
      <alignment horizontal="center"/>
    </xf>
    <xf numFmtId="177" fontId="39" fillId="0" borderId="4" xfId="0" applyNumberFormat="1" applyFont="1" applyBorder="1" applyAlignment="1">
      <alignment horizontal="center"/>
    </xf>
    <xf numFmtId="177" fontId="160" fillId="21" borderId="1" xfId="0" applyNumberFormat="1" applyFont="1" applyFill="1" applyBorder="1" applyAlignment="1">
      <alignment horizontal="center" vertical="center" wrapText="1"/>
    </xf>
    <xf numFmtId="177" fontId="1" fillId="8" borderId="1" xfId="0" applyNumberFormat="1" applyFont="1" applyFill="1" applyBorder="1" applyAlignment="1">
      <alignment horizontal="center"/>
    </xf>
    <xf numFmtId="177" fontId="39" fillId="0" borderId="7" xfId="0" applyNumberFormat="1" applyFont="1" applyBorder="1" applyAlignment="1">
      <alignment horizontal="center"/>
    </xf>
    <xf numFmtId="177" fontId="43" fillId="22" borderId="1" xfId="0" applyNumberFormat="1" applyFont="1" applyFill="1" applyBorder="1" applyAlignment="1">
      <alignment horizontal="center" vertical="center" wrapText="1"/>
    </xf>
    <xf numFmtId="177" fontId="182" fillId="22" borderId="0" xfId="0" applyNumberFormat="1" applyFont="1" applyFill="1" applyAlignment="1">
      <alignment horizontal="center"/>
    </xf>
    <xf numFmtId="177" fontId="19" fillId="0" borderId="4" xfId="0" applyNumberFormat="1" applyFont="1" applyBorder="1" applyAlignment="1">
      <alignment horizontal="center" vertical="center" wrapText="1" readingOrder="1"/>
    </xf>
    <xf numFmtId="177" fontId="152" fillId="0" borderId="7" xfId="0" applyNumberFormat="1" applyFont="1" applyBorder="1" applyAlignment="1">
      <alignment horizontal="center"/>
    </xf>
    <xf numFmtId="177" fontId="8" fillId="0" borderId="7" xfId="0" applyNumberFormat="1" applyFont="1" applyBorder="1" applyAlignment="1">
      <alignment horizontal="center"/>
    </xf>
    <xf numFmtId="177" fontId="19" fillId="0" borderId="4" xfId="0" applyNumberFormat="1" applyFont="1" applyBorder="1" applyAlignment="1">
      <alignment horizontal="center" wrapText="1" readingOrder="1"/>
    </xf>
    <xf numFmtId="177" fontId="19" fillId="0" borderId="7" xfId="0" applyNumberFormat="1" applyFont="1" applyBorder="1" applyAlignment="1">
      <alignment horizontal="center" wrapText="1" readingOrder="1"/>
    </xf>
    <xf numFmtId="177" fontId="19" fillId="0" borderId="10" xfId="0" applyNumberFormat="1" applyFont="1" applyBorder="1" applyAlignment="1">
      <alignment horizontal="center" readingOrder="1"/>
    </xf>
    <xf numFmtId="177" fontId="19" fillId="0" borderId="4" xfId="0" applyNumberFormat="1" applyFont="1" applyBorder="1" applyAlignment="1">
      <alignment horizontal="center" readingOrder="1"/>
    </xf>
    <xf numFmtId="177" fontId="1" fillId="23" borderId="4" xfId="0" applyNumberFormat="1" applyFont="1" applyFill="1" applyBorder="1" applyAlignment="1">
      <alignment horizontal="center" readingOrder="1"/>
    </xf>
    <xf numFmtId="177" fontId="19" fillId="0" borderId="7" xfId="0" applyNumberFormat="1" applyFont="1" applyBorder="1" applyAlignment="1">
      <alignment horizontal="center" readingOrder="1"/>
    </xf>
    <xf numFmtId="177" fontId="260" fillId="0" borderId="2" xfId="0" applyNumberFormat="1" applyFont="1" applyBorder="1" applyAlignment="1">
      <alignment horizontal="center" vertical="center"/>
    </xf>
    <xf numFmtId="177" fontId="260" fillId="0" borderId="1" xfId="0" applyNumberFormat="1" applyFont="1" applyBorder="1" applyAlignment="1">
      <alignment horizontal="center" vertical="center"/>
    </xf>
    <xf numFmtId="177" fontId="260" fillId="0" borderId="5" xfId="0" applyNumberFormat="1" applyFont="1" applyBorder="1" applyAlignment="1">
      <alignment horizontal="center" vertical="center"/>
    </xf>
    <xf numFmtId="177" fontId="260" fillId="0" borderId="16" xfId="0" applyNumberFormat="1" applyFont="1" applyBorder="1" applyAlignment="1">
      <alignment horizontal="center" vertical="center"/>
    </xf>
    <xf numFmtId="177" fontId="19" fillId="0" borderId="27" xfId="0" applyNumberFormat="1" applyFont="1" applyBorder="1" applyAlignment="1">
      <alignment horizontal="center" wrapText="1"/>
    </xf>
    <xf numFmtId="177" fontId="19" fillId="0" borderId="27" xfId="0" applyNumberFormat="1" applyFont="1" applyBorder="1" applyAlignment="1">
      <alignment horizontal="center"/>
    </xf>
    <xf numFmtId="177" fontId="33" fillId="0" borderId="33" xfId="0" applyNumberFormat="1" applyFont="1" applyBorder="1" applyAlignment="1">
      <alignment horizontal="center" wrapText="1"/>
    </xf>
    <xf numFmtId="177" fontId="33" fillId="0" borderId="33" xfId="0" applyNumberFormat="1" applyFont="1" applyBorder="1" applyAlignment="1">
      <alignment horizontal="center"/>
    </xf>
    <xf numFmtId="177" fontId="262" fillId="0" borderId="1" xfId="0" applyNumberFormat="1" applyFont="1" applyBorder="1" applyAlignment="1">
      <alignment horizontal="center" vertical="center"/>
    </xf>
    <xf numFmtId="177" fontId="262" fillId="0" borderId="18" xfId="0" applyNumberFormat="1" applyFont="1" applyBorder="1" applyAlignment="1">
      <alignment horizontal="center" vertical="center"/>
    </xf>
    <xf numFmtId="177" fontId="80" fillId="0" borderId="27" xfId="0" applyNumberFormat="1" applyFont="1" applyBorder="1" applyAlignment="1">
      <alignment horizontal="center"/>
    </xf>
    <xf numFmtId="177" fontId="19" fillId="0" borderId="31" xfId="0" applyNumberFormat="1" applyFont="1" applyBorder="1" applyAlignment="1">
      <alignment horizontal="center" wrapText="1"/>
    </xf>
    <xf numFmtId="177" fontId="19" fillId="0" borderId="31" xfId="0" applyNumberFormat="1" applyFont="1" applyBorder="1" applyAlignment="1">
      <alignment horizontal="center"/>
    </xf>
    <xf numFmtId="177" fontId="19" fillId="26" borderId="27" xfId="0" applyNumberFormat="1" applyFont="1" applyFill="1" applyBorder="1" applyAlignment="1">
      <alignment horizontal="center" vertical="center" wrapText="1"/>
    </xf>
    <xf numFmtId="177" fontId="80" fillId="0" borderId="31" xfId="0" applyNumberFormat="1" applyFont="1" applyBorder="1" applyAlignment="1">
      <alignment horizontal="center" vertical="center"/>
    </xf>
    <xf numFmtId="177" fontId="19" fillId="26" borderId="31" xfId="0" applyNumberFormat="1" applyFont="1" applyFill="1" applyBorder="1" applyAlignment="1">
      <alignment horizontal="center" vertical="center" wrapText="1"/>
    </xf>
    <xf numFmtId="177" fontId="19" fillId="0" borderId="27" xfId="0" applyNumberFormat="1" applyFont="1" applyBorder="1" applyAlignment="1">
      <alignment horizontal="center" vertical="center"/>
    </xf>
    <xf numFmtId="177" fontId="31" fillId="0" borderId="27" xfId="0" applyNumberFormat="1" applyFont="1" applyBorder="1" applyAlignment="1">
      <alignment horizontal="center" vertical="center"/>
    </xf>
    <xf numFmtId="177" fontId="31" fillId="0" borderId="31" xfId="0" applyNumberFormat="1" applyFont="1" applyBorder="1" applyAlignment="1">
      <alignment horizontal="center" vertical="center"/>
    </xf>
    <xf numFmtId="177" fontId="19" fillId="0" borderId="31" xfId="0" applyNumberFormat="1" applyFont="1" applyBorder="1" applyAlignment="1">
      <alignment horizontal="center" vertical="center"/>
    </xf>
    <xf numFmtId="177" fontId="39" fillId="0" borderId="31" xfId="0" applyNumberFormat="1" applyFont="1" applyBorder="1" applyAlignment="1">
      <alignment horizontal="center" vertical="center"/>
    </xf>
    <xf numFmtId="177" fontId="6" fillId="0" borderId="2" xfId="0" applyNumberFormat="1" applyFont="1" applyBorder="1" applyAlignment="1">
      <alignment horizontal="center" vertical="center" wrapText="1"/>
    </xf>
    <xf numFmtId="177" fontId="6" fillId="0" borderId="30" xfId="0" applyNumberFormat="1" applyFont="1" applyBorder="1" applyAlignment="1">
      <alignment horizontal="center" vertical="center" wrapText="1"/>
    </xf>
    <xf numFmtId="177" fontId="6" fillId="0" borderId="18" xfId="0" applyNumberFormat="1" applyFont="1" applyBorder="1" applyAlignment="1">
      <alignment horizontal="center" vertical="center" wrapText="1"/>
    </xf>
    <xf numFmtId="177" fontId="266" fillId="0" borderId="1" xfId="0" applyNumberFormat="1" applyFont="1" applyBorder="1" applyAlignment="1">
      <alignment horizontal="center" vertical="center"/>
    </xf>
    <xf numFmtId="177" fontId="6" fillId="0" borderId="3" xfId="0" applyNumberFormat="1" applyFont="1" applyBorder="1" applyAlignment="1">
      <alignment horizontal="center" vertical="center" wrapText="1"/>
    </xf>
    <xf numFmtId="177" fontId="6" fillId="0" borderId="9" xfId="0" applyNumberFormat="1" applyFont="1" applyBorder="1" applyAlignment="1">
      <alignment horizontal="center" vertical="center" wrapText="1"/>
    </xf>
    <xf numFmtId="177" fontId="19" fillId="8" borderId="2" xfId="0" applyNumberFormat="1" applyFont="1" applyFill="1" applyBorder="1" applyAlignment="1">
      <alignment horizontal="center"/>
    </xf>
    <xf numFmtId="0" fontId="43" fillId="8" borderId="1" xfId="0" applyFont="1" applyFill="1" applyBorder="1" applyAlignment="1">
      <alignment horizontal="center" vertical="center"/>
    </xf>
    <xf numFmtId="0" fontId="91" fillId="0" borderId="1" xfId="0" applyFont="1" applyBorder="1"/>
    <xf numFmtId="0" fontId="269" fillId="0" borderId="1" xfId="0" applyFont="1" applyBorder="1"/>
    <xf numFmtId="0" fontId="19" fillId="0" borderId="1" xfId="1" applyFont="1" applyBorder="1" applyAlignment="1">
      <alignment horizontal="center"/>
    </xf>
    <xf numFmtId="0" fontId="270" fillId="0" borderId="1" xfId="0" applyFont="1" applyBorder="1" applyAlignment="1">
      <alignment horizontal="left"/>
    </xf>
    <xf numFmtId="0" fontId="270" fillId="0" borderId="1" xfId="0" applyFont="1" applyBorder="1" applyAlignment="1">
      <alignment horizontal="center"/>
    </xf>
    <xf numFmtId="0" fontId="271" fillId="0" borderId="1" xfId="0" applyFont="1" applyBorder="1"/>
    <xf numFmtId="0" fontId="272" fillId="0" borderId="1" xfId="0" applyFont="1" applyBorder="1"/>
    <xf numFmtId="14" fontId="260" fillId="0" borderId="18" xfId="0" applyNumberFormat="1" applyFont="1" applyBorder="1" applyAlignment="1">
      <alignment horizontal="center" vertical="center"/>
    </xf>
    <xf numFmtId="14" fontId="260" fillId="0" borderId="4" xfId="0" applyNumberFormat="1" applyFont="1" applyBorder="1" applyAlignment="1">
      <alignment horizontal="center" vertical="center"/>
    </xf>
    <xf numFmtId="0" fontId="260" fillId="0" borderId="3" xfId="0" applyFont="1" applyBorder="1" applyAlignment="1">
      <alignment horizontal="left" vertical="center"/>
    </xf>
    <xf numFmtId="14" fontId="260" fillId="0" borderId="3" xfId="0" applyNumberFormat="1" applyFont="1" applyBorder="1" applyAlignment="1">
      <alignment horizontal="left" vertical="center"/>
    </xf>
    <xf numFmtId="0" fontId="258" fillId="0" borderId="1" xfId="0" applyFont="1" applyBorder="1" applyAlignment="1">
      <alignment horizontal="center"/>
    </xf>
    <xf numFmtId="178" fontId="260" fillId="0" borderId="1" xfId="0" applyNumberFormat="1" applyFont="1" applyBorder="1" applyAlignment="1">
      <alignment horizontal="left" vertical="center"/>
    </xf>
    <xf numFmtId="0" fontId="276" fillId="0" borderId="1" xfId="0" applyFont="1" applyBorder="1" applyAlignment="1">
      <alignment vertical="center"/>
    </xf>
    <xf numFmtId="0" fontId="0" fillId="8" borderId="1" xfId="0" applyFill="1" applyBorder="1" applyAlignment="1">
      <alignment horizontal="left" vertical="top"/>
    </xf>
    <xf numFmtId="0" fontId="252" fillId="0" borderId="1" xfId="0" applyFont="1" applyBorder="1" applyAlignment="1">
      <alignment horizontal="center"/>
    </xf>
    <xf numFmtId="177" fontId="275" fillId="0" borderId="1" xfId="0" applyNumberFormat="1" applyFont="1" applyBorder="1" applyAlignment="1">
      <alignment horizontal="center"/>
    </xf>
    <xf numFmtId="0" fontId="260" fillId="0" borderId="1" xfId="0" applyFont="1" applyBorder="1" applyAlignment="1">
      <alignment vertical="center" wrapText="1"/>
    </xf>
    <xf numFmtId="0" fontId="260" fillId="0" borderId="1" xfId="0" applyFont="1" applyBorder="1" applyAlignment="1">
      <alignment vertical="center"/>
    </xf>
    <xf numFmtId="178" fontId="260" fillId="0" borderId="1" xfId="0" applyNumberFormat="1" applyFont="1" applyBorder="1" applyAlignment="1">
      <alignment horizontal="center" vertical="center"/>
    </xf>
    <xf numFmtId="178" fontId="91" fillId="0" borderId="1" xfId="0" applyNumberFormat="1" applyFont="1" applyBorder="1"/>
    <xf numFmtId="3" fontId="0" fillId="0" borderId="1" xfId="0" applyNumberFormat="1" applyBorder="1"/>
    <xf numFmtId="0" fontId="273" fillId="23" borderId="1" xfId="0" applyFont="1" applyFill="1" applyBorder="1" applyAlignment="1">
      <alignment readingOrder="1"/>
    </xf>
    <xf numFmtId="0" fontId="270" fillId="0" borderId="1" xfId="0" applyFont="1" applyBorder="1"/>
    <xf numFmtId="0" fontId="0" fillId="26" borderId="1" xfId="0" applyFill="1" applyBorder="1" applyAlignment="1">
      <alignment horizontal="center" vertical="center" wrapText="1"/>
    </xf>
    <xf numFmtId="0" fontId="0" fillId="26" borderId="1" xfId="0" quotePrefix="1" applyFill="1" applyBorder="1" applyAlignment="1">
      <alignment horizontal="center" vertical="center" wrapText="1"/>
    </xf>
    <xf numFmtId="14" fontId="0" fillId="0" borderId="2" xfId="0" applyNumberFormat="1" applyBorder="1" applyAlignment="1">
      <alignment horizontal="center" vertical="center"/>
    </xf>
    <xf numFmtId="0" fontId="6" fillId="0" borderId="2" xfId="0" applyFont="1" applyBorder="1" applyAlignment="1">
      <alignment horizontal="center" vertical="center"/>
    </xf>
    <xf numFmtId="177" fontId="39" fillId="0" borderId="5" xfId="0" applyNumberFormat="1" applyFont="1" applyBorder="1" applyAlignment="1">
      <alignment horizontal="center"/>
    </xf>
    <xf numFmtId="14" fontId="278" fillId="0" borderId="1" xfId="0" applyNumberFormat="1" applyFont="1" applyBorder="1" applyAlignment="1">
      <alignment horizontal="center" vertical="center"/>
    </xf>
    <xf numFmtId="0" fontId="278" fillId="0" borderId="1" xfId="0" applyFont="1" applyBorder="1" applyAlignment="1">
      <alignment horizontal="center" vertical="center"/>
    </xf>
    <xf numFmtId="177" fontId="0" fillId="0" borderId="0" xfId="0" applyNumberFormat="1"/>
    <xf numFmtId="177" fontId="2" fillId="0" borderId="19" xfId="0" applyNumberFormat="1" applyFont="1" applyBorder="1" applyAlignment="1">
      <alignment horizontal="center" vertical="center" wrapText="1"/>
    </xf>
    <xf numFmtId="0" fontId="270" fillId="0" borderId="0" xfId="0" applyFont="1"/>
    <xf numFmtId="0" fontId="0" fillId="0" borderId="27" xfId="0" applyBorder="1"/>
    <xf numFmtId="0" fontId="0" fillId="0" borderId="22" xfId="0" applyBorder="1" applyAlignment="1">
      <alignment horizontal="center"/>
    </xf>
    <xf numFmtId="0" fontId="0" fillId="0" borderId="27" xfId="0" applyBorder="1" applyAlignment="1">
      <alignment horizontal="center" wrapText="1"/>
    </xf>
    <xf numFmtId="0" fontId="0" fillId="0" borderId="27" xfId="0" applyBorder="1" applyAlignment="1">
      <alignment horizontal="right" wrapText="1"/>
    </xf>
    <xf numFmtId="177" fontId="0" fillId="0" borderId="4" xfId="0" applyNumberFormat="1" applyBorder="1" applyAlignment="1">
      <alignment horizontal="center"/>
    </xf>
    <xf numFmtId="0" fontId="80" fillId="0" borderId="2" xfId="0" applyFont="1" applyBorder="1" applyAlignment="1">
      <alignment horizontal="center"/>
    </xf>
    <xf numFmtId="0" fontId="80" fillId="0" borderId="3" xfId="0" applyFont="1" applyBorder="1" applyAlignment="1">
      <alignment horizontal="center"/>
    </xf>
    <xf numFmtId="0" fontId="0" fillId="0" borderId="3" xfId="0" applyBorder="1" applyAlignment="1">
      <alignment horizontal="center"/>
    </xf>
    <xf numFmtId="0" fontId="279" fillId="0" borderId="1" xfId="0" applyFont="1" applyBorder="1" applyAlignment="1">
      <alignment wrapText="1"/>
    </xf>
    <xf numFmtId="0" fontId="0" fillId="0" borderId="18" xfId="0" applyBorder="1"/>
    <xf numFmtId="0" fontId="0" fillId="0" borderId="16" xfId="0" applyBorder="1" applyAlignment="1">
      <alignment horizontal="center"/>
    </xf>
    <xf numFmtId="0" fontId="0" fillId="0" borderId="3" xfId="0" applyBorder="1" applyAlignment="1">
      <alignment horizontal="center" vertical="center"/>
    </xf>
    <xf numFmtId="0" fontId="260" fillId="0" borderId="3" xfId="0" applyFont="1" applyBorder="1" applyAlignment="1">
      <alignment horizontal="center" vertical="center"/>
    </xf>
    <xf numFmtId="14" fontId="260" fillId="0" borderId="3" xfId="0" applyNumberFormat="1" applyFont="1" applyBorder="1" applyAlignment="1">
      <alignment horizontal="center" vertical="center"/>
    </xf>
    <xf numFmtId="177" fontId="0" fillId="0" borderId="3" xfId="0" applyNumberFormat="1" applyBorder="1" applyAlignment="1">
      <alignment horizontal="center"/>
    </xf>
    <xf numFmtId="0" fontId="19" fillId="0" borderId="27" xfId="0" applyFont="1" applyBorder="1" applyAlignment="1">
      <alignment horizontal="right" wrapText="1"/>
    </xf>
    <xf numFmtId="0" fontId="250" fillId="26" borderId="31" xfId="1" applyFont="1" applyFill="1" applyBorder="1" applyAlignment="1">
      <alignment wrapText="1"/>
    </xf>
    <xf numFmtId="0" fontId="0" fillId="0" borderId="8" xfId="0" applyBorder="1" applyAlignment="1">
      <alignment horizontal="center" vertical="center"/>
    </xf>
    <xf numFmtId="0" fontId="260" fillId="0" borderId="8" xfId="0" applyFont="1" applyBorder="1" applyAlignment="1">
      <alignment horizontal="center" vertical="center"/>
    </xf>
    <xf numFmtId="0" fontId="0" fillId="0" borderId="8" xfId="0" applyBorder="1" applyAlignment="1">
      <alignment horizontal="center"/>
    </xf>
    <xf numFmtId="0" fontId="19" fillId="0" borderId="23" xfId="0" applyFont="1" applyBorder="1" applyAlignment="1">
      <alignment horizontal="center"/>
    </xf>
    <xf numFmtId="0" fontId="19" fillId="26" borderId="31" xfId="0" applyFont="1" applyFill="1" applyBorder="1" applyAlignment="1">
      <alignment horizontal="center" wrapText="1"/>
    </xf>
    <xf numFmtId="0" fontId="280" fillId="0" borderId="1" xfId="0" applyFont="1" applyBorder="1"/>
    <xf numFmtId="0" fontId="0" fillId="0" borderId="3" xfId="0" applyBorder="1"/>
    <xf numFmtId="0" fontId="1" fillId="27" borderId="1" xfId="0" applyFont="1" applyFill="1" applyBorder="1" applyAlignment="1">
      <alignment horizontal="center" vertical="center" wrapText="1"/>
    </xf>
    <xf numFmtId="0" fontId="33" fillId="0" borderId="23" xfId="0" applyFont="1" applyBorder="1" applyAlignment="1">
      <alignment horizontal="center"/>
    </xf>
    <xf numFmtId="0" fontId="281" fillId="0" borderId="1" xfId="0" applyFont="1" applyBorder="1"/>
    <xf numFmtId="0" fontId="33" fillId="0" borderId="31" xfId="0" applyFont="1" applyBorder="1" applyAlignment="1">
      <alignment horizontal="center" vertical="center" wrapText="1"/>
    </xf>
    <xf numFmtId="0" fontId="33" fillId="0" borderId="31" xfId="0" applyFont="1" applyBorder="1" applyAlignment="1">
      <alignment horizontal="center"/>
    </xf>
    <xf numFmtId="0" fontId="33" fillId="0" borderId="31" xfId="0" quotePrefix="1" applyFont="1" applyBorder="1" applyAlignment="1">
      <alignment horizontal="center"/>
    </xf>
    <xf numFmtId="0" fontId="33" fillId="0" borderId="31" xfId="0" applyFont="1" applyBorder="1" applyAlignment="1">
      <alignment horizontal="center" wrapText="1"/>
    </xf>
    <xf numFmtId="0" fontId="268" fillId="0" borderId="19" xfId="1" applyFont="1" applyFill="1" applyBorder="1" applyAlignment="1"/>
    <xf numFmtId="0" fontId="1" fillId="8" borderId="4" xfId="0" applyFont="1" applyFill="1" applyBorder="1" applyAlignment="1">
      <alignment wrapText="1"/>
    </xf>
    <xf numFmtId="0" fontId="1" fillId="8" borderId="7" xfId="0" applyFont="1" applyFill="1" applyBorder="1" applyAlignment="1">
      <alignment wrapText="1"/>
    </xf>
    <xf numFmtId="0" fontId="250" fillId="26" borderId="27" xfId="1" applyFont="1" applyFill="1" applyBorder="1" applyAlignment="1"/>
    <xf numFmtId="0" fontId="19" fillId="0" borderId="32" xfId="0" applyFont="1" applyBorder="1" applyAlignment="1">
      <alignment horizontal="center"/>
    </xf>
    <xf numFmtId="0" fontId="19" fillId="0" borderId="33" xfId="0" applyFont="1" applyBorder="1" applyAlignment="1">
      <alignment horizontal="center"/>
    </xf>
    <xf numFmtId="0" fontId="19" fillId="26" borderId="27" xfId="0" applyFont="1" applyFill="1" applyBorder="1" applyAlignment="1">
      <alignment horizontal="center"/>
    </xf>
    <xf numFmtId="0" fontId="19" fillId="26" borderId="31" xfId="0" applyFont="1" applyFill="1" applyBorder="1" applyAlignment="1">
      <alignment horizontal="center"/>
    </xf>
    <xf numFmtId="0" fontId="19" fillId="0" borderId="27" xfId="0" applyFont="1" applyBorder="1"/>
    <xf numFmtId="0" fontId="19" fillId="0" borderId="27" xfId="0" quotePrefix="1" applyFont="1" applyBorder="1" applyAlignment="1">
      <alignment horizontal="center" vertical="center"/>
    </xf>
    <xf numFmtId="0" fontId="204" fillId="0" borderId="0" xfId="0" applyFont="1"/>
    <xf numFmtId="0" fontId="230" fillId="0" borderId="0" xfId="0" applyFont="1" applyAlignment="1">
      <alignment horizontal="center" vertical="center"/>
    </xf>
    <xf numFmtId="0" fontId="230" fillId="0" borderId="0" xfId="0" applyFont="1" applyAlignment="1">
      <alignment horizontal="center"/>
    </xf>
    <xf numFmtId="0" fontId="230" fillId="0" borderId="0" xfId="0" applyFont="1"/>
    <xf numFmtId="0" fontId="204" fillId="0" borderId="19" xfId="0" applyFont="1" applyBorder="1"/>
    <xf numFmtId="0" fontId="204" fillId="0" borderId="1" xfId="0" applyFont="1" applyBorder="1" applyAlignment="1">
      <alignment horizontal="center"/>
    </xf>
    <xf numFmtId="0" fontId="230" fillId="23" borderId="4" xfId="0" applyFont="1" applyFill="1" applyBorder="1" applyAlignment="1">
      <alignment horizontal="center" wrapText="1"/>
    </xf>
    <xf numFmtId="0" fontId="230" fillId="0" borderId="1" xfId="0" applyFont="1" applyBorder="1" applyAlignment="1">
      <alignment horizontal="center"/>
    </xf>
    <xf numFmtId="0" fontId="230" fillId="0" borderId="4" xfId="0" applyFont="1" applyBorder="1" applyAlignment="1">
      <alignment horizontal="center"/>
    </xf>
    <xf numFmtId="0" fontId="204" fillId="0" borderId="4" xfId="0" applyFont="1" applyBorder="1" applyAlignment="1">
      <alignment horizontal="center"/>
    </xf>
    <xf numFmtId="0" fontId="214" fillId="0" borderId="30" xfId="0" applyFont="1" applyBorder="1" applyAlignment="1">
      <alignment horizontal="center" vertical="center"/>
    </xf>
    <xf numFmtId="0" fontId="214" fillId="0" borderId="1" xfId="0" applyFont="1" applyBorder="1" applyAlignment="1">
      <alignment horizontal="center" vertical="center"/>
    </xf>
    <xf numFmtId="0" fontId="80" fillId="0" borderId="1" xfId="0" applyFont="1" applyBorder="1" applyAlignment="1">
      <alignment horizontal="center" vertical="center"/>
    </xf>
    <xf numFmtId="0" fontId="250" fillId="0" borderId="4" xfId="1" applyFont="1" applyBorder="1" applyAlignment="1">
      <alignment vertical="center"/>
    </xf>
    <xf numFmtId="0" fontId="230" fillId="23" borderId="1" xfId="0" applyFont="1" applyFill="1" applyBorder="1" applyAlignment="1">
      <alignment horizontal="center" vertical="center" wrapText="1"/>
    </xf>
    <xf numFmtId="0" fontId="204" fillId="0" borderId="1" xfId="0" applyFont="1" applyBorder="1"/>
    <xf numFmtId="0" fontId="230" fillId="0" borderId="1" xfId="0" applyFont="1" applyBorder="1"/>
    <xf numFmtId="0" fontId="1" fillId="0" borderId="0" xfId="0" applyFont="1" applyAlignment="1">
      <alignment horizontal="center"/>
    </xf>
    <xf numFmtId="0" fontId="230" fillId="0" borderId="19" xfId="0" applyFont="1" applyBorder="1"/>
    <xf numFmtId="0" fontId="80" fillId="0" borderId="2" xfId="0" applyFont="1" applyBorder="1"/>
    <xf numFmtId="0" fontId="230" fillId="23" borderId="1" xfId="0" applyFont="1" applyFill="1" applyBorder="1" applyAlignment="1">
      <alignment wrapText="1"/>
    </xf>
    <xf numFmtId="0" fontId="19" fillId="0" borderId="1" xfId="0" applyFont="1" applyBorder="1"/>
    <xf numFmtId="0" fontId="21" fillId="0" borderId="1" xfId="0" applyFont="1" applyBorder="1"/>
    <xf numFmtId="0" fontId="33" fillId="0" borderId="1" xfId="0" applyFont="1" applyBorder="1"/>
    <xf numFmtId="177" fontId="33" fillId="0" borderId="1" xfId="0" applyNumberFormat="1" applyFont="1" applyBorder="1" applyAlignment="1">
      <alignment horizontal="center"/>
    </xf>
    <xf numFmtId="0" fontId="19" fillId="0" borderId="1" xfId="0" applyFont="1" applyBorder="1" applyAlignment="1">
      <alignment horizontal="center" wrapText="1" readingOrder="1"/>
    </xf>
    <xf numFmtId="0" fontId="19" fillId="0" borderId="1" xfId="0" applyFont="1" applyBorder="1" applyAlignment="1">
      <alignment wrapText="1" readingOrder="1"/>
    </xf>
    <xf numFmtId="0" fontId="33" fillId="0" borderId="1" xfId="0" applyFont="1" applyBorder="1" applyAlignment="1">
      <alignment horizontal="center" wrapText="1"/>
    </xf>
    <xf numFmtId="0" fontId="33" fillId="0" borderId="19" xfId="0" applyFont="1" applyBorder="1"/>
    <xf numFmtId="0" fontId="33" fillId="0" borderId="0" xfId="0" applyFont="1" applyAlignment="1">
      <alignment horizontal="center" vertical="center"/>
    </xf>
    <xf numFmtId="0" fontId="19" fillId="0" borderId="3" xfId="0" applyFont="1" applyBorder="1" applyAlignment="1">
      <alignment horizontal="center" wrapText="1"/>
    </xf>
    <xf numFmtId="164" fontId="6" fillId="0" borderId="1" xfId="0" applyNumberFormat="1" applyFont="1" applyBorder="1" applyAlignment="1">
      <alignment horizontal="center" wrapText="1"/>
    </xf>
    <xf numFmtId="164" fontId="6" fillId="0" borderId="4" xfId="0" applyNumberFormat="1" applyFont="1" applyBorder="1" applyAlignment="1">
      <alignment horizontal="center" wrapText="1"/>
    </xf>
    <xf numFmtId="0" fontId="273" fillId="0" borderId="1" xfId="0" applyFont="1" applyBorder="1" applyAlignment="1">
      <alignment horizontal="center"/>
    </xf>
    <xf numFmtId="0" fontId="282" fillId="0" borderId="19" xfId="0" applyFont="1" applyBorder="1" applyAlignment="1">
      <alignment horizontal="center"/>
    </xf>
    <xf numFmtId="0" fontId="19" fillId="0" borderId="34" xfId="0" applyFont="1" applyBorder="1" applyAlignment="1">
      <alignment horizontal="center"/>
    </xf>
    <xf numFmtId="49" fontId="19" fillId="0" borderId="1" xfId="0" applyNumberFormat="1" applyFont="1" applyBorder="1" applyAlignment="1">
      <alignment horizontal="center"/>
    </xf>
    <xf numFmtId="0" fontId="19" fillId="0" borderId="2" xfId="0" applyFont="1" applyBorder="1" applyAlignment="1">
      <alignment horizontal="center" wrapText="1"/>
    </xf>
    <xf numFmtId="0" fontId="19" fillId="0" borderId="2" xfId="0" applyFont="1" applyBorder="1" applyAlignment="1">
      <alignment horizontal="center"/>
    </xf>
    <xf numFmtId="177" fontId="0" fillId="0" borderId="2" xfId="0" applyNumberFormat="1" applyBorder="1" applyAlignment="1">
      <alignment horizontal="center"/>
    </xf>
    <xf numFmtId="0" fontId="279" fillId="0" borderId="1" xfId="0" applyFont="1" applyBorder="1" applyAlignment="1">
      <alignment horizontal="center" wrapText="1"/>
    </xf>
    <xf numFmtId="0" fontId="0" fillId="0" borderId="31" xfId="0" applyBorder="1"/>
    <xf numFmtId="0" fontId="0" fillId="0" borderId="22" xfId="0" applyBorder="1" applyAlignment="1">
      <alignment horizontal="center" vertical="center"/>
    </xf>
    <xf numFmtId="0" fontId="0" fillId="0" borderId="23" xfId="0" applyBorder="1" applyAlignment="1">
      <alignment horizontal="center" vertical="center"/>
    </xf>
    <xf numFmtId="0" fontId="0" fillId="0" borderId="31" xfId="0" applyBorder="1" applyAlignment="1">
      <alignment horizontal="center" vertical="center"/>
    </xf>
    <xf numFmtId="0" fontId="0" fillId="26" borderId="27" xfId="0" applyFill="1" applyBorder="1" applyAlignment="1">
      <alignment horizontal="center" vertical="center"/>
    </xf>
    <xf numFmtId="0" fontId="0" fillId="26" borderId="31" xfId="0" applyFill="1" applyBorder="1" applyAlignment="1">
      <alignment horizontal="center" vertical="center" wrapText="1"/>
    </xf>
    <xf numFmtId="0" fontId="0" fillId="26" borderId="31" xfId="0" applyFill="1" applyBorder="1" applyAlignment="1">
      <alignment horizontal="center" vertical="center"/>
    </xf>
    <xf numFmtId="0" fontId="279" fillId="0" borderId="1" xfId="0" applyFont="1" applyBorder="1" applyAlignment="1">
      <alignment horizontal="center" vertical="center" wrapText="1"/>
    </xf>
    <xf numFmtId="164" fontId="208" fillId="0" borderId="0" xfId="0" applyNumberFormat="1" applyFont="1" applyAlignment="1">
      <alignment horizontal="center"/>
    </xf>
    <xf numFmtId="0" fontId="273" fillId="23" borderId="1" xfId="0" applyFont="1" applyFill="1" applyBorder="1" applyAlignment="1">
      <alignment horizontal="center" wrapText="1"/>
    </xf>
    <xf numFmtId="0" fontId="0" fillId="0" borderId="9" xfId="0" applyBorder="1" applyAlignment="1">
      <alignment horizontal="center"/>
    </xf>
    <xf numFmtId="0" fontId="273" fillId="0" borderId="3" xfId="0" applyFont="1" applyBorder="1" applyAlignment="1">
      <alignment horizontal="center"/>
    </xf>
    <xf numFmtId="0" fontId="1" fillId="28" borderId="1" xfId="0" applyFont="1" applyFill="1" applyBorder="1" applyAlignment="1">
      <alignment horizontal="center" vertical="center" wrapText="1"/>
    </xf>
    <xf numFmtId="0" fontId="273" fillId="0" borderId="19" xfId="0" applyFont="1" applyBorder="1" applyAlignment="1">
      <alignment horizontal="center"/>
    </xf>
    <xf numFmtId="0" fontId="0" fillId="0" borderId="27" xfId="0" quotePrefix="1" applyBorder="1" applyAlignment="1">
      <alignment horizontal="center" vertical="center"/>
    </xf>
    <xf numFmtId="0" fontId="283" fillId="0" borderId="0" xfId="0" applyFont="1"/>
    <xf numFmtId="0" fontId="250" fillId="0" borderId="0" xfId="1" applyFont="1" applyAlignment="1">
      <alignment wrapText="1"/>
    </xf>
    <xf numFmtId="14" fontId="0" fillId="0" borderId="4" xfId="0" applyNumberFormat="1" applyBorder="1" applyAlignment="1">
      <alignment horizontal="center" vertical="center"/>
    </xf>
    <xf numFmtId="0" fontId="284" fillId="23" borderId="0" xfId="0" applyFont="1" applyFill="1" applyAlignment="1">
      <alignment wrapText="1"/>
    </xf>
    <xf numFmtId="0" fontId="19" fillId="0" borderId="1" xfId="0" quotePrefix="1" applyFont="1" applyBorder="1" applyAlignment="1">
      <alignment horizontal="center"/>
    </xf>
    <xf numFmtId="0" fontId="6" fillId="8" borderId="27" xfId="0" applyFont="1" applyFill="1" applyBorder="1"/>
    <xf numFmtId="0" fontId="6" fillId="8" borderId="22" xfId="0" applyFont="1" applyFill="1" applyBorder="1" applyAlignment="1">
      <alignment horizontal="center" vertical="center"/>
    </xf>
    <xf numFmtId="0" fontId="6" fillId="8" borderId="27" xfId="0" applyFont="1" applyFill="1" applyBorder="1" applyAlignment="1">
      <alignment horizontal="center"/>
    </xf>
    <xf numFmtId="179" fontId="0" fillId="0" borderId="1" xfId="0" applyNumberFormat="1" applyBorder="1" applyAlignment="1">
      <alignment horizontal="center"/>
    </xf>
    <xf numFmtId="0" fontId="0" fillId="0" borderId="18" xfId="0" applyBorder="1" applyAlignment="1">
      <alignment horizontal="center"/>
    </xf>
    <xf numFmtId="0" fontId="0" fillId="0" borderId="0" xfId="0" applyAlignment="1">
      <alignment wrapText="1"/>
    </xf>
    <xf numFmtId="177" fontId="0" fillId="0" borderId="1" xfId="0" applyNumberFormat="1" applyBorder="1" applyAlignment="1">
      <alignment horizontal="center" vertical="center"/>
    </xf>
    <xf numFmtId="0" fontId="1" fillId="0" borderId="0" xfId="0" applyFont="1" applyAlignment="1">
      <alignment vertical="center" wrapText="1"/>
    </xf>
    <xf numFmtId="0" fontId="230" fillId="0" borderId="1" xfId="0" applyFont="1" applyBorder="1" applyAlignment="1">
      <alignment horizontal="center" vertical="center"/>
    </xf>
    <xf numFmtId="0" fontId="230" fillId="0" borderId="19" xfId="0" applyFont="1" applyBorder="1" applyAlignment="1">
      <alignment horizontal="center" vertical="center"/>
    </xf>
    <xf numFmtId="0" fontId="6" fillId="8" borderId="16" xfId="0" applyFont="1" applyFill="1" applyBorder="1" applyAlignment="1">
      <alignment horizontal="center" vertical="center"/>
    </xf>
    <xf numFmtId="0" fontId="0" fillId="0" borderId="4" xfId="0" applyBorder="1" applyAlignment="1">
      <alignment horizontal="center" vertical="center"/>
    </xf>
    <xf numFmtId="0" fontId="0" fillId="0" borderId="19" xfId="0" applyBorder="1" applyAlignment="1">
      <alignment horizontal="center" vertical="center"/>
    </xf>
    <xf numFmtId="0" fontId="230" fillId="0" borderId="3" xfId="0" applyFont="1" applyBorder="1" applyAlignment="1">
      <alignment horizontal="center"/>
    </xf>
    <xf numFmtId="0" fontId="19" fillId="8" borderId="17" xfId="0" applyFont="1" applyFill="1" applyBorder="1" applyAlignment="1">
      <alignment horizontal="center"/>
    </xf>
    <xf numFmtId="0" fontId="285" fillId="0" borderId="1" xfId="0" applyFont="1" applyBorder="1" applyAlignment="1">
      <alignment horizontal="center"/>
    </xf>
    <xf numFmtId="0" fontId="0" fillId="0" borderId="18" xfId="0" applyBorder="1" applyAlignment="1">
      <alignment horizontal="center" vertical="center"/>
    </xf>
    <xf numFmtId="0" fontId="230" fillId="0" borderId="8" xfId="0" applyFont="1" applyBorder="1" applyAlignment="1">
      <alignment horizontal="center"/>
    </xf>
    <xf numFmtId="0" fontId="19" fillId="8" borderId="19" xfId="0" applyFont="1" applyFill="1" applyBorder="1" applyAlignment="1">
      <alignment horizontal="center"/>
    </xf>
    <xf numFmtId="0" fontId="6" fillId="8" borderId="17" xfId="0" applyFont="1" applyFill="1" applyBorder="1" applyAlignment="1">
      <alignment horizontal="center"/>
    </xf>
    <xf numFmtId="0" fontId="250" fillId="0" borderId="4" xfId="1" applyFont="1" applyBorder="1" applyAlignment="1">
      <alignment wrapText="1"/>
    </xf>
    <xf numFmtId="0" fontId="250" fillId="0" borderId="7" xfId="1" applyFont="1" applyBorder="1" applyAlignment="1">
      <alignment wrapText="1"/>
    </xf>
    <xf numFmtId="0" fontId="277" fillId="0" borderId="4" xfId="0" applyFont="1" applyBorder="1" applyAlignment="1">
      <alignment wrapText="1"/>
    </xf>
    <xf numFmtId="8" fontId="1" fillId="0" borderId="4" xfId="0" applyNumberFormat="1" applyFont="1" applyBorder="1" applyAlignment="1">
      <alignment horizontal="center" wrapText="1"/>
    </xf>
    <xf numFmtId="0" fontId="1" fillId="0" borderId="1" xfId="0" applyFont="1" applyBorder="1" applyAlignment="1">
      <alignment horizontal="center" wrapText="1"/>
    </xf>
    <xf numFmtId="0" fontId="1" fillId="0" borderId="3" xfId="0" applyFont="1" applyBorder="1" applyAlignment="1">
      <alignment horizontal="center" wrapText="1"/>
    </xf>
    <xf numFmtId="0" fontId="250" fillId="0" borderId="7" xfId="1" applyFont="1" applyBorder="1" applyAlignment="1"/>
    <xf numFmtId="0" fontId="32" fillId="0" borderId="1" xfId="1" applyFont="1" applyBorder="1" applyAlignment="1">
      <alignment horizontal="center"/>
    </xf>
    <xf numFmtId="0" fontId="19" fillId="8" borderId="6" xfId="0" applyFont="1" applyFill="1" applyBorder="1" applyAlignment="1">
      <alignment horizontal="center"/>
    </xf>
    <xf numFmtId="14" fontId="19" fillId="0" borderId="4" xfId="0" applyNumberFormat="1" applyFont="1" applyBorder="1" applyAlignment="1">
      <alignment horizontal="center"/>
    </xf>
    <xf numFmtId="0" fontId="13" fillId="26" borderId="4" xfId="0" applyFont="1" applyFill="1" applyBorder="1" applyAlignment="1">
      <alignment horizontal="center" wrapText="1"/>
    </xf>
    <xf numFmtId="0" fontId="13" fillId="0" borderId="4" xfId="0" applyFont="1" applyBorder="1" applyAlignment="1">
      <alignment horizontal="center" wrapText="1"/>
    </xf>
    <xf numFmtId="0" fontId="1" fillId="0" borderId="19" xfId="0" applyFont="1" applyBorder="1" applyAlignment="1">
      <alignment horizontal="center" wrapText="1"/>
    </xf>
    <xf numFmtId="0" fontId="1" fillId="0" borderId="19" xfId="0" applyFont="1" applyBorder="1" applyAlignment="1">
      <alignment horizontal="center"/>
    </xf>
    <xf numFmtId="0" fontId="250" fillId="0" borderId="19" xfId="1" applyFont="1" applyFill="1" applyBorder="1" applyAlignment="1">
      <alignment horizontal="center" wrapText="1"/>
    </xf>
    <xf numFmtId="14" fontId="19" fillId="0" borderId="7" xfId="0" applyNumberFormat="1" applyFont="1" applyBorder="1" applyAlignment="1">
      <alignment horizontal="center"/>
    </xf>
    <xf numFmtId="0" fontId="13" fillId="26" borderId="7" xfId="0" applyFont="1" applyFill="1" applyBorder="1" applyAlignment="1">
      <alignment horizontal="center" wrapText="1"/>
    </xf>
    <xf numFmtId="0" fontId="92" fillId="0" borderId="7" xfId="0" applyFont="1" applyBorder="1" applyAlignment="1">
      <alignment horizontal="center" wrapText="1"/>
    </xf>
    <xf numFmtId="0" fontId="13" fillId="0" borderId="3" xfId="0" applyFont="1" applyBorder="1" applyAlignment="1">
      <alignment horizontal="center" wrapText="1"/>
    </xf>
    <xf numFmtId="0" fontId="13" fillId="0" borderId="7" xfId="0" applyFont="1" applyBorder="1" applyAlignment="1">
      <alignment horizontal="center" wrapText="1"/>
    </xf>
    <xf numFmtId="0" fontId="1" fillId="26" borderId="19" xfId="0" applyFont="1" applyFill="1" applyBorder="1" applyAlignment="1">
      <alignment horizontal="center" wrapText="1"/>
    </xf>
    <xf numFmtId="0" fontId="286" fillId="0" borderId="7" xfId="0" applyFont="1" applyBorder="1" applyAlignment="1">
      <alignment horizontal="center" wrapText="1"/>
    </xf>
    <xf numFmtId="0" fontId="134" fillId="8" borderId="7" xfId="0" applyFont="1" applyFill="1" applyBorder="1" applyAlignment="1">
      <alignment horizontal="center" wrapText="1"/>
    </xf>
    <xf numFmtId="0" fontId="134" fillId="0" borderId="19" xfId="0" applyFont="1" applyBorder="1" applyAlignment="1">
      <alignment horizontal="center" wrapText="1"/>
    </xf>
    <xf numFmtId="0" fontId="250" fillId="0" borderId="19" xfId="1" applyFont="1" applyFill="1" applyBorder="1" applyAlignment="1">
      <alignment horizontal="center"/>
    </xf>
    <xf numFmtId="0" fontId="1" fillId="8" borderId="7" xfId="0" applyFont="1" applyFill="1" applyBorder="1" applyAlignment="1">
      <alignment horizontal="center"/>
    </xf>
    <xf numFmtId="14" fontId="19" fillId="26" borderId="7" xfId="0" applyNumberFormat="1" applyFont="1" applyFill="1" applyBorder="1" applyAlignment="1">
      <alignment horizontal="center"/>
    </xf>
    <xf numFmtId="0" fontId="204" fillId="0" borderId="19" xfId="0" applyFont="1" applyBorder="1" applyAlignment="1">
      <alignment horizontal="center"/>
    </xf>
    <xf numFmtId="0" fontId="1" fillId="8" borderId="1" xfId="0" applyFont="1" applyFill="1" applyBorder="1" applyAlignment="1">
      <alignment horizontal="center"/>
    </xf>
    <xf numFmtId="0" fontId="287" fillId="8" borderId="1" xfId="0" applyFont="1" applyFill="1" applyBorder="1" applyAlignment="1">
      <alignment horizontal="center"/>
    </xf>
    <xf numFmtId="0" fontId="287" fillId="0" borderId="1" xfId="0" applyFont="1" applyBorder="1" applyAlignment="1">
      <alignment horizontal="center"/>
    </xf>
    <xf numFmtId="0" fontId="134" fillId="0" borderId="1" xfId="0" applyFont="1" applyBorder="1" applyAlignment="1">
      <alignment horizontal="center"/>
    </xf>
    <xf numFmtId="0" fontId="1" fillId="26" borderId="1" xfId="0" applyFont="1" applyFill="1" applyBorder="1" applyAlignment="1">
      <alignment horizontal="center"/>
    </xf>
    <xf numFmtId="0" fontId="13" fillId="0" borderId="1" xfId="0" applyFont="1" applyBorder="1" applyAlignment="1">
      <alignment horizontal="center"/>
    </xf>
    <xf numFmtId="0" fontId="6" fillId="0" borderId="17" xfId="0" applyFont="1" applyBorder="1" applyAlignment="1">
      <alignment horizontal="center" wrapText="1"/>
    </xf>
    <xf numFmtId="0" fontId="204" fillId="0" borderId="16" xfId="0" applyFont="1" applyBorder="1" applyAlignment="1">
      <alignment horizontal="center"/>
    </xf>
    <xf numFmtId="0" fontId="6" fillId="0" borderId="6" xfId="0" applyFont="1" applyBorder="1" applyAlignment="1">
      <alignment horizontal="center" wrapText="1"/>
    </xf>
    <xf numFmtId="0" fontId="13" fillId="0" borderId="6" xfId="0" applyFont="1" applyBorder="1" applyAlignment="1">
      <alignment horizontal="center" wrapText="1"/>
    </xf>
    <xf numFmtId="0" fontId="19" fillId="8" borderId="17" xfId="0" applyFont="1" applyFill="1" applyBorder="1" applyAlignment="1">
      <alignment horizontal="left"/>
    </xf>
    <xf numFmtId="0" fontId="19" fillId="8" borderId="30" xfId="0" applyFont="1" applyFill="1" applyBorder="1" applyAlignment="1">
      <alignment horizontal="center"/>
    </xf>
    <xf numFmtId="0" fontId="285" fillId="0" borderId="7" xfId="0" applyFont="1" applyBorder="1" applyAlignment="1">
      <alignment horizontal="center"/>
    </xf>
    <xf numFmtId="0" fontId="0" fillId="8" borderId="3" xfId="0" applyFill="1" applyBorder="1" applyAlignment="1">
      <alignment horizontal="center"/>
    </xf>
    <xf numFmtId="0" fontId="2" fillId="26" borderId="27" xfId="0" applyFont="1" applyFill="1" applyBorder="1" applyAlignment="1">
      <alignment wrapText="1"/>
    </xf>
    <xf numFmtId="0" fontId="19" fillId="26" borderId="31" xfId="0" applyFont="1" applyFill="1" applyBorder="1" applyAlignment="1">
      <alignment wrapText="1"/>
    </xf>
    <xf numFmtId="0" fontId="19" fillId="26" borderId="31" xfId="0" applyFont="1" applyFill="1" applyBorder="1"/>
    <xf numFmtId="0" fontId="250" fillId="26" borderId="31" xfId="1" applyFont="1" applyFill="1" applyBorder="1" applyAlignment="1"/>
    <xf numFmtId="0" fontId="2" fillId="26" borderId="31" xfId="0" applyFont="1" applyFill="1" applyBorder="1" applyAlignment="1">
      <alignment wrapText="1"/>
    </xf>
    <xf numFmtId="0" fontId="31" fillId="26" borderId="31" xfId="0" applyFont="1" applyFill="1" applyBorder="1"/>
    <xf numFmtId="0" fontId="250" fillId="0" borderId="31" xfId="1" applyFont="1" applyFill="1" applyBorder="1" applyAlignment="1">
      <alignment wrapText="1"/>
    </xf>
    <xf numFmtId="0" fontId="2" fillId="0" borderId="31" xfId="0" applyFont="1" applyBorder="1" applyAlignment="1">
      <alignment wrapText="1"/>
    </xf>
    <xf numFmtId="0" fontId="31" fillId="0" borderId="27" xfId="0" applyFont="1" applyBorder="1"/>
    <xf numFmtId="14" fontId="19" fillId="26" borderId="22" xfId="0" applyNumberFormat="1" applyFont="1" applyFill="1" applyBorder="1" applyAlignment="1">
      <alignment horizontal="center" wrapText="1"/>
    </xf>
    <xf numFmtId="14" fontId="19" fillId="0" borderId="22" xfId="0" applyNumberFormat="1" applyFont="1" applyBorder="1" applyAlignment="1">
      <alignment horizontal="center" wrapText="1"/>
    </xf>
    <xf numFmtId="0" fontId="80" fillId="26" borderId="27" xfId="0" applyFont="1" applyFill="1" applyBorder="1" applyAlignment="1">
      <alignment horizontal="center"/>
    </xf>
    <xf numFmtId="0" fontId="80" fillId="26" borderId="31" xfId="0" applyFont="1" applyFill="1" applyBorder="1" applyAlignment="1">
      <alignment horizontal="center"/>
    </xf>
    <xf numFmtId="0" fontId="97" fillId="26" borderId="31" xfId="0" applyFont="1" applyFill="1" applyBorder="1" applyAlignment="1">
      <alignment horizontal="center"/>
    </xf>
    <xf numFmtId="0" fontId="145" fillId="26" borderId="31" xfId="0" applyFont="1" applyFill="1" applyBorder="1" applyAlignment="1">
      <alignment horizontal="center" wrapText="1"/>
    </xf>
    <xf numFmtId="0" fontId="145" fillId="26" borderId="31" xfId="0" applyFont="1" applyFill="1" applyBorder="1" applyAlignment="1">
      <alignment horizontal="center"/>
    </xf>
    <xf numFmtId="0" fontId="214" fillId="26" borderId="31" xfId="0" applyFont="1" applyFill="1" applyBorder="1" applyAlignment="1">
      <alignment horizontal="center" wrapText="1"/>
    </xf>
    <xf numFmtId="0" fontId="31" fillId="26" borderId="31" xfId="0" applyFont="1" applyFill="1" applyBorder="1" applyAlignment="1">
      <alignment horizontal="center"/>
    </xf>
    <xf numFmtId="0" fontId="214" fillId="26" borderId="31" xfId="0" applyFont="1" applyFill="1" applyBorder="1" applyAlignment="1">
      <alignment horizontal="center"/>
    </xf>
    <xf numFmtId="0" fontId="80" fillId="0" borderId="31" xfId="0" applyFont="1" applyBorder="1" applyAlignment="1">
      <alignment horizontal="center" wrapText="1"/>
    </xf>
    <xf numFmtId="0" fontId="31" fillId="0" borderId="27" xfId="0" applyFont="1" applyBorder="1" applyAlignment="1">
      <alignment horizontal="center"/>
    </xf>
    <xf numFmtId="0" fontId="182" fillId="26" borderId="31" xfId="0" applyFont="1" applyFill="1" applyBorder="1" applyAlignment="1">
      <alignment horizontal="center"/>
    </xf>
    <xf numFmtId="0" fontId="33" fillId="26" borderId="27" xfId="0" applyFont="1" applyFill="1" applyBorder="1" applyAlignment="1">
      <alignment horizontal="center" wrapText="1"/>
    </xf>
    <xf numFmtId="0" fontId="201" fillId="26" borderId="31" xfId="0" applyFont="1" applyFill="1" applyBorder="1" applyAlignment="1">
      <alignment horizontal="center"/>
    </xf>
    <xf numFmtId="0" fontId="268" fillId="26" borderId="31" xfId="1" applyFont="1" applyFill="1" applyBorder="1" applyAlignment="1">
      <alignment wrapText="1"/>
    </xf>
    <xf numFmtId="0" fontId="289" fillId="0" borderId="0" xfId="0" applyFont="1" applyAlignment="1">
      <alignment horizontal="center" vertical="center" wrapText="1"/>
    </xf>
    <xf numFmtId="0" fontId="19" fillId="8" borderId="16" xfId="0" applyFont="1" applyFill="1" applyBorder="1"/>
    <xf numFmtId="0" fontId="250" fillId="8" borderId="4" xfId="1" applyFont="1" applyFill="1" applyBorder="1" applyAlignment="1"/>
    <xf numFmtId="0" fontId="2" fillId="0" borderId="19" xfId="0" applyFont="1" applyBorder="1" applyAlignment="1">
      <alignment wrapText="1"/>
    </xf>
    <xf numFmtId="0" fontId="19" fillId="8" borderId="17" xfId="0" applyFont="1" applyFill="1" applyBorder="1"/>
    <xf numFmtId="0" fontId="230" fillId="0" borderId="3" xfId="0" applyFont="1" applyBorder="1"/>
    <xf numFmtId="0" fontId="230" fillId="26" borderId="7" xfId="0" applyFont="1" applyFill="1" applyBorder="1" applyAlignment="1">
      <alignment wrapText="1"/>
    </xf>
    <xf numFmtId="0" fontId="250" fillId="8" borderId="7" xfId="1" applyFont="1" applyFill="1" applyBorder="1" applyAlignment="1"/>
    <xf numFmtId="0" fontId="2" fillId="0" borderId="7" xfId="0" applyFont="1" applyBorder="1" applyAlignment="1">
      <alignment wrapText="1"/>
    </xf>
    <xf numFmtId="0" fontId="271" fillId="0" borderId="3" xfId="0" applyFont="1" applyBorder="1"/>
    <xf numFmtId="0" fontId="271" fillId="0" borderId="7" xfId="0" applyFont="1" applyBorder="1"/>
    <xf numFmtId="0" fontId="290" fillId="0" borderId="3" xfId="0" applyFont="1" applyBorder="1"/>
    <xf numFmtId="0" fontId="290" fillId="0" borderId="7" xfId="0" applyFont="1" applyBorder="1"/>
    <xf numFmtId="0" fontId="19" fillId="0" borderId="1" xfId="0" applyFont="1" applyBorder="1" applyAlignment="1">
      <alignment horizontal="right" wrapText="1"/>
    </xf>
    <xf numFmtId="0" fontId="19" fillId="0" borderId="1" xfId="0" applyFont="1" applyBorder="1" applyAlignment="1">
      <alignment horizontal="right"/>
    </xf>
    <xf numFmtId="0" fontId="0" fillId="0" borderId="1" xfId="0" applyBorder="1" applyAlignment="1">
      <alignment horizontal="right"/>
    </xf>
    <xf numFmtId="0" fontId="291" fillId="0" borderId="19" xfId="0" applyFont="1" applyBorder="1"/>
    <xf numFmtId="0" fontId="33" fillId="26" borderId="31" xfId="0" applyFont="1" applyFill="1" applyBorder="1" applyAlignment="1">
      <alignment horizontal="center"/>
    </xf>
    <xf numFmtId="0" fontId="182" fillId="26" borderId="31" xfId="0" applyFont="1" applyFill="1" applyBorder="1" applyAlignment="1">
      <alignment horizontal="center" wrapText="1"/>
    </xf>
    <xf numFmtId="0" fontId="292" fillId="26" borderId="31" xfId="0" applyFont="1" applyFill="1" applyBorder="1" applyAlignment="1">
      <alignment horizontal="center" wrapText="1"/>
    </xf>
    <xf numFmtId="0" fontId="268" fillId="26" borderId="31" xfId="1" applyFont="1" applyFill="1" applyBorder="1" applyAlignment="1"/>
    <xf numFmtId="0" fontId="161" fillId="26" borderId="31" xfId="0" applyFont="1" applyFill="1" applyBorder="1" applyAlignment="1">
      <alignment wrapText="1"/>
    </xf>
    <xf numFmtId="164" fontId="0" fillId="0" borderId="1" xfId="0" applyNumberFormat="1" applyBorder="1" applyAlignment="1">
      <alignment horizontal="center"/>
    </xf>
    <xf numFmtId="164" fontId="6" fillId="0" borderId="7" xfId="0" applyNumberFormat="1" applyFont="1" applyBorder="1" applyAlignment="1">
      <alignment horizontal="center" wrapText="1"/>
    </xf>
    <xf numFmtId="0" fontId="2" fillId="29" borderId="4" xfId="0" applyFont="1" applyFill="1" applyBorder="1" applyAlignment="1">
      <alignment wrapText="1"/>
    </xf>
    <xf numFmtId="0" fontId="2" fillId="29" borderId="7" xfId="0" applyFont="1" applyFill="1" applyBorder="1" applyAlignment="1">
      <alignment wrapText="1"/>
    </xf>
    <xf numFmtId="0" fontId="0" fillId="29" borderId="1" xfId="0" applyFill="1" applyBorder="1"/>
    <xf numFmtId="0" fontId="2" fillId="30" borderId="7" xfId="0" applyFont="1" applyFill="1" applyBorder="1" applyAlignment="1">
      <alignment wrapText="1"/>
    </xf>
    <xf numFmtId="0" fontId="0" fillId="30" borderId="1" xfId="0" applyFill="1" applyBorder="1"/>
    <xf numFmtId="0" fontId="293" fillId="23" borderId="1" xfId="0" applyFont="1" applyFill="1" applyBorder="1" applyAlignment="1">
      <alignment horizontal="center" wrapText="1"/>
    </xf>
    <xf numFmtId="0" fontId="294" fillId="0" borderId="1" xfId="0" applyFont="1" applyBorder="1" applyAlignment="1">
      <alignment horizontal="center"/>
    </xf>
    <xf numFmtId="14" fontId="278" fillId="31" borderId="1" xfId="0" applyNumberFormat="1" applyFont="1" applyFill="1" applyBorder="1" applyAlignment="1">
      <alignment horizontal="center" vertical="center"/>
    </xf>
    <xf numFmtId="0" fontId="33" fillId="31" borderId="1" xfId="0" applyFont="1" applyFill="1" applyBorder="1" applyAlignment="1">
      <alignment horizontal="center" wrapText="1"/>
    </xf>
    <xf numFmtId="0" fontId="23" fillId="31" borderId="1" xfId="0" applyFont="1" applyFill="1" applyBorder="1" applyAlignment="1">
      <alignment horizontal="center" vertical="center" wrapText="1"/>
    </xf>
    <xf numFmtId="0" fontId="278" fillId="31" borderId="1" xfId="0" applyFont="1" applyFill="1" applyBorder="1" applyAlignment="1">
      <alignment horizontal="center" vertical="center"/>
    </xf>
    <xf numFmtId="0" fontId="33" fillId="31" borderId="1" xfId="0" applyFont="1" applyFill="1" applyBorder="1" applyAlignment="1">
      <alignment horizontal="center"/>
    </xf>
    <xf numFmtId="0" fontId="182" fillId="31" borderId="1" xfId="0" applyFont="1" applyFill="1" applyBorder="1" applyAlignment="1">
      <alignment horizontal="center"/>
    </xf>
    <xf numFmtId="0" fontId="0" fillId="31" borderId="19" xfId="0" applyFill="1" applyBorder="1"/>
    <xf numFmtId="0" fontId="0" fillId="31" borderId="0" xfId="0" applyFill="1"/>
    <xf numFmtId="0" fontId="278" fillId="31" borderId="2" xfId="0" applyFont="1" applyFill="1" applyBorder="1" applyAlignment="1">
      <alignment horizontal="center" vertical="center"/>
    </xf>
    <xf numFmtId="0" fontId="19" fillId="0" borderId="3" xfId="0" quotePrefix="1" applyFont="1" applyBorder="1" applyAlignment="1">
      <alignment horizontal="center"/>
    </xf>
    <xf numFmtId="14" fontId="260" fillId="23" borderId="1" xfId="0" applyNumberFormat="1" applyFont="1" applyFill="1" applyBorder="1" applyAlignment="1">
      <alignment horizontal="center" vertical="center"/>
    </xf>
    <xf numFmtId="0" fontId="19" fillId="23" borderId="1" xfId="0" applyFont="1" applyFill="1" applyBorder="1" applyAlignment="1">
      <alignment horizontal="center" wrapText="1"/>
    </xf>
    <xf numFmtId="0" fontId="0" fillId="23" borderId="1" xfId="0" applyFill="1" applyBorder="1"/>
    <xf numFmtId="0" fontId="0" fillId="23" borderId="1" xfId="0" applyFill="1" applyBorder="1" applyAlignment="1">
      <alignment horizontal="center" vertical="center"/>
    </xf>
    <xf numFmtId="0" fontId="260" fillId="23" borderId="1" xfId="0" applyFont="1" applyFill="1" applyBorder="1" applyAlignment="1">
      <alignment horizontal="center" vertical="center"/>
    </xf>
    <xf numFmtId="0" fontId="80" fillId="23" borderId="1" xfId="0" applyFont="1" applyFill="1" applyBorder="1" applyAlignment="1">
      <alignment horizontal="center"/>
    </xf>
    <xf numFmtId="177" fontId="0" fillId="23" borderId="1" xfId="0" applyNumberFormat="1" applyFill="1" applyBorder="1" applyAlignment="1">
      <alignment horizontal="center"/>
    </xf>
    <xf numFmtId="0" fontId="0" fillId="23" borderId="19" xfId="0" applyFill="1" applyBorder="1"/>
    <xf numFmtId="0" fontId="0" fillId="23" borderId="0" xfId="0" applyFill="1"/>
    <xf numFmtId="14" fontId="278" fillId="32" borderId="1" xfId="0" applyNumberFormat="1" applyFont="1" applyFill="1" applyBorder="1" applyAlignment="1">
      <alignment horizontal="center" vertical="center"/>
    </xf>
    <xf numFmtId="0" fontId="33" fillId="32" borderId="1" xfId="0" applyFont="1" applyFill="1" applyBorder="1" applyAlignment="1">
      <alignment horizontal="center" wrapText="1"/>
    </xf>
    <xf numFmtId="0" fontId="23" fillId="32" borderId="1" xfId="0" applyFont="1" applyFill="1" applyBorder="1" applyAlignment="1">
      <alignment horizontal="center" vertical="center" wrapText="1"/>
    </xf>
    <xf numFmtId="0" fontId="33" fillId="32" borderId="1" xfId="0" applyFont="1" applyFill="1" applyBorder="1" applyAlignment="1">
      <alignment horizontal="center"/>
    </xf>
    <xf numFmtId="0" fontId="182" fillId="32" borderId="1" xfId="0" applyFont="1" applyFill="1" applyBorder="1" applyAlignment="1">
      <alignment horizontal="center"/>
    </xf>
    <xf numFmtId="0" fontId="295" fillId="0" borderId="0" xfId="0" applyFont="1"/>
    <xf numFmtId="0" fontId="285" fillId="0" borderId="0" xfId="0" applyFont="1" applyAlignment="1">
      <alignment horizontal="center"/>
    </xf>
    <xf numFmtId="0" fontId="291" fillId="0" borderId="0" xfId="0" applyFont="1"/>
    <xf numFmtId="0" fontId="250" fillId="0" borderId="27" xfId="1" applyFont="1" applyFill="1" applyBorder="1" applyAlignment="1">
      <alignment wrapText="1"/>
    </xf>
    <xf numFmtId="0" fontId="19" fillId="0" borderId="31" xfId="0" quotePrefix="1" applyFont="1" applyBorder="1" applyAlignment="1">
      <alignment horizontal="center" vertical="center"/>
    </xf>
    <xf numFmtId="0" fontId="52" fillId="0" borderId="31" xfId="0" applyFont="1" applyBorder="1" applyAlignment="1">
      <alignment horizontal="center" vertical="center"/>
    </xf>
    <xf numFmtId="0" fontId="19" fillId="26" borderId="23" xfId="0" applyFont="1" applyFill="1" applyBorder="1" applyAlignment="1">
      <alignment horizontal="center" vertical="center" wrapText="1"/>
    </xf>
    <xf numFmtId="0" fontId="19" fillId="0" borderId="31" xfId="0" quotePrefix="1" applyFont="1" applyBorder="1" applyAlignment="1">
      <alignment horizontal="center" vertical="center" wrapText="1"/>
    </xf>
    <xf numFmtId="0" fontId="19" fillId="26" borderId="27" xfId="0" applyFont="1" applyFill="1" applyBorder="1" applyAlignment="1">
      <alignment horizontal="right"/>
    </xf>
    <xf numFmtId="0" fontId="19" fillId="26" borderId="31" xfId="0" applyFont="1" applyFill="1" applyBorder="1" applyAlignment="1">
      <alignment horizontal="right"/>
    </xf>
    <xf numFmtId="0" fontId="250" fillId="0" borderId="31" xfId="1" applyFont="1" applyBorder="1"/>
    <xf numFmtId="0" fontId="0" fillId="0" borderId="31" xfId="0" quotePrefix="1" applyBorder="1" applyAlignment="1">
      <alignment horizontal="center" vertical="center"/>
    </xf>
    <xf numFmtId="0" fontId="0" fillId="26" borderId="31" xfId="0" applyFill="1" applyBorder="1" applyAlignment="1">
      <alignment horizontal="right"/>
    </xf>
    <xf numFmtId="177" fontId="0" fillId="0" borderId="1" xfId="0" applyNumberFormat="1" applyBorder="1" applyAlignment="1">
      <alignment horizontal="right"/>
    </xf>
    <xf numFmtId="0" fontId="31" fillId="26" borderId="27" xfId="0" applyFont="1" applyFill="1" applyBorder="1"/>
    <xf numFmtId="164" fontId="19" fillId="26" borderId="27" xfId="0" applyNumberFormat="1" applyFont="1" applyFill="1" applyBorder="1"/>
    <xf numFmtId="164" fontId="19" fillId="26" borderId="31" xfId="0" applyNumberFormat="1" applyFont="1" applyFill="1" applyBorder="1"/>
    <xf numFmtId="0" fontId="31" fillId="26" borderId="22" xfId="0" applyFont="1" applyFill="1" applyBorder="1" applyAlignment="1">
      <alignment horizontal="center"/>
    </xf>
    <xf numFmtId="0" fontId="31" fillId="26" borderId="23" xfId="0" applyFont="1" applyFill="1" applyBorder="1" applyAlignment="1">
      <alignment horizontal="center"/>
    </xf>
    <xf numFmtId="0" fontId="31" fillId="26" borderId="27" xfId="0" applyFont="1" applyFill="1" applyBorder="1" applyAlignment="1">
      <alignment horizontal="center"/>
    </xf>
    <xf numFmtId="0" fontId="31" fillId="26" borderId="27" xfId="0" quotePrefix="1" applyFont="1" applyFill="1" applyBorder="1" applyAlignment="1">
      <alignment horizontal="center"/>
    </xf>
    <xf numFmtId="0" fontId="31" fillId="26" borderId="31" xfId="0" quotePrefix="1" applyFont="1" applyFill="1" applyBorder="1" applyAlignment="1">
      <alignment horizontal="center"/>
    </xf>
    <xf numFmtId="164" fontId="0" fillId="26" borderId="27" xfId="0" applyNumberFormat="1" applyFill="1" applyBorder="1"/>
    <xf numFmtId="164" fontId="0" fillId="26" borderId="31" xfId="0" applyNumberFormat="1" applyFill="1" applyBorder="1"/>
    <xf numFmtId="0" fontId="0" fillId="0" borderId="23" xfId="0" applyBorder="1" applyAlignment="1">
      <alignment horizontal="center"/>
    </xf>
    <xf numFmtId="0" fontId="0" fillId="0" borderId="31" xfId="0" applyBorder="1" applyAlignment="1">
      <alignment horizontal="center"/>
    </xf>
    <xf numFmtId="0" fontId="0" fillId="26" borderId="31" xfId="0" applyFill="1" applyBorder="1" applyAlignment="1">
      <alignment horizontal="center" wrapText="1"/>
    </xf>
    <xf numFmtId="0" fontId="1" fillId="23" borderId="22" xfId="0" applyFont="1" applyFill="1" applyBorder="1" applyAlignment="1">
      <alignment horizontal="center" wrapText="1"/>
    </xf>
    <xf numFmtId="0" fontId="1" fillId="23" borderId="23" xfId="0" applyFont="1" applyFill="1" applyBorder="1" applyAlignment="1">
      <alignment horizontal="center" wrapText="1"/>
    </xf>
    <xf numFmtId="0" fontId="13" fillId="23" borderId="23" xfId="0" applyFont="1" applyFill="1" applyBorder="1" applyAlignment="1">
      <alignment horizontal="center" wrapText="1"/>
    </xf>
    <xf numFmtId="0" fontId="31" fillId="26" borderId="22" xfId="0" applyFont="1" applyFill="1" applyBorder="1" applyAlignment="1">
      <alignment horizontal="center" vertical="center"/>
    </xf>
    <xf numFmtId="0" fontId="31" fillId="26" borderId="27" xfId="0" applyFont="1" applyFill="1" applyBorder="1" applyAlignment="1">
      <alignment horizontal="center" vertical="center"/>
    </xf>
    <xf numFmtId="0" fontId="31" fillId="26" borderId="27" xfId="0" quotePrefix="1" applyFont="1" applyFill="1" applyBorder="1" applyAlignment="1">
      <alignment horizontal="center" vertical="center"/>
    </xf>
    <xf numFmtId="0" fontId="31" fillId="26" borderId="31" xfId="0" applyFont="1" applyFill="1" applyBorder="1" applyAlignment="1">
      <alignment horizontal="center" vertical="center"/>
    </xf>
    <xf numFmtId="164" fontId="19" fillId="26" borderId="27" xfId="0" applyNumberFormat="1" applyFont="1" applyFill="1" applyBorder="1" applyAlignment="1">
      <alignment horizontal="right"/>
    </xf>
    <xf numFmtId="164" fontId="19" fillId="26" borderId="31" xfId="0" applyNumberFormat="1" applyFont="1" applyFill="1" applyBorder="1" applyAlignment="1">
      <alignment horizontal="right"/>
    </xf>
    <xf numFmtId="3" fontId="0" fillId="0" borderId="1" xfId="0" applyNumberFormat="1" applyBorder="1" applyAlignment="1">
      <alignment horizontal="center"/>
    </xf>
    <xf numFmtId="164" fontId="19" fillId="0" borderId="1" xfId="0" applyNumberFormat="1" applyFont="1" applyBorder="1" applyAlignment="1">
      <alignment horizontal="center" wrapText="1" readingOrder="1"/>
    </xf>
    <xf numFmtId="164" fontId="19" fillId="26" borderId="27" xfId="0" applyNumberFormat="1" applyFont="1" applyFill="1" applyBorder="1" applyAlignment="1">
      <alignment horizontal="center" wrapText="1"/>
    </xf>
    <xf numFmtId="164" fontId="19" fillId="26" borderId="31" xfId="0" applyNumberFormat="1" applyFont="1" applyFill="1" applyBorder="1" applyAlignment="1">
      <alignment horizontal="center" wrapText="1"/>
    </xf>
    <xf numFmtId="164" fontId="0" fillId="26" borderId="27" xfId="0" applyNumberFormat="1" applyFill="1" applyBorder="1" applyAlignment="1">
      <alignment horizontal="center" wrapText="1"/>
    </xf>
    <xf numFmtId="164" fontId="0" fillId="26" borderId="31" xfId="0" applyNumberFormat="1" applyFill="1" applyBorder="1" applyAlignment="1">
      <alignment horizontal="center" wrapText="1"/>
    </xf>
    <xf numFmtId="0" fontId="0" fillId="0" borderId="4" xfId="0" applyBorder="1" applyAlignment="1">
      <alignment horizontal="center" wrapText="1"/>
    </xf>
    <xf numFmtId="0" fontId="19" fillId="8" borderId="3" xfId="0" applyFont="1" applyFill="1" applyBorder="1" applyAlignment="1">
      <alignment horizontal="center" wrapText="1"/>
    </xf>
    <xf numFmtId="0" fontId="2" fillId="0" borderId="1" xfId="0" applyFont="1" applyBorder="1" applyAlignment="1">
      <alignment wrapText="1"/>
    </xf>
    <xf numFmtId="0" fontId="19" fillId="0" borderId="19" xfId="0" applyFont="1" applyBorder="1"/>
    <xf numFmtId="0" fontId="296" fillId="0" borderId="19" xfId="0" applyFont="1" applyBorder="1"/>
    <xf numFmtId="0" fontId="2" fillId="0" borderId="3" xfId="0" applyFont="1" applyBorder="1" applyAlignment="1">
      <alignment wrapText="1"/>
    </xf>
    <xf numFmtId="0" fontId="1" fillId="0" borderId="23" xfId="0" applyFont="1" applyBorder="1" applyAlignment="1">
      <alignment horizontal="center"/>
    </xf>
    <xf numFmtId="0" fontId="13" fillId="26" borderId="23" xfId="0" applyFont="1" applyFill="1" applyBorder="1" applyAlignment="1">
      <alignment horizontal="center"/>
    </xf>
    <xf numFmtId="0" fontId="296" fillId="0" borderId="19" xfId="0" applyFont="1" applyBorder="1" applyAlignment="1">
      <alignment horizontal="center" vertical="center"/>
    </xf>
    <xf numFmtId="0" fontId="297" fillId="0" borderId="36" xfId="0" applyFont="1" applyBorder="1" applyAlignment="1">
      <alignment horizontal="center" wrapText="1"/>
    </xf>
    <xf numFmtId="0" fontId="297" fillId="26" borderId="23" xfId="0" applyFont="1" applyFill="1" applyBorder="1" applyAlignment="1">
      <alignment horizontal="center" wrapText="1"/>
    </xf>
    <xf numFmtId="0" fontId="297" fillId="0" borderId="23" xfId="0" applyFont="1" applyBorder="1" applyAlignment="1">
      <alignment horizontal="center" wrapText="1"/>
    </xf>
    <xf numFmtId="0" fontId="296" fillId="0" borderId="1" xfId="0" applyFont="1" applyBorder="1"/>
    <xf numFmtId="0" fontId="297" fillId="26" borderId="35" xfId="0" applyFont="1" applyFill="1" applyBorder="1" applyAlignment="1">
      <alignment horizontal="center" wrapText="1"/>
    </xf>
    <xf numFmtId="0" fontId="296" fillId="0" borderId="1" xfId="0" applyFont="1" applyBorder="1" applyAlignment="1">
      <alignment horizontal="center"/>
    </xf>
    <xf numFmtId="0" fontId="296" fillId="0" borderId="18" xfId="0" applyFont="1" applyBorder="1" applyAlignment="1">
      <alignment horizontal="center"/>
    </xf>
    <xf numFmtId="0" fontId="13" fillId="0" borderId="22" xfId="0" applyFont="1" applyBorder="1" applyAlignment="1">
      <alignment horizontal="center"/>
    </xf>
    <xf numFmtId="0" fontId="297" fillId="0" borderId="22" xfId="0" applyFont="1" applyBorder="1" applyAlignment="1">
      <alignment horizontal="center" wrapText="1"/>
    </xf>
    <xf numFmtId="0" fontId="19" fillId="0" borderId="8" xfId="0" applyFont="1" applyBorder="1" applyAlignment="1">
      <alignment horizontal="center"/>
    </xf>
    <xf numFmtId="0" fontId="19" fillId="0" borderId="20" xfId="0" applyFont="1" applyBorder="1" applyAlignment="1">
      <alignment horizontal="center"/>
    </xf>
    <xf numFmtId="0" fontId="2" fillId="0" borderId="6" xfId="0" applyFont="1" applyBorder="1" applyAlignment="1">
      <alignment wrapText="1"/>
    </xf>
    <xf numFmtId="14" fontId="19" fillId="0" borderId="3" xfId="0" applyNumberFormat="1" applyFont="1" applyBorder="1" applyAlignment="1">
      <alignment horizontal="center"/>
    </xf>
    <xf numFmtId="14" fontId="0" fillId="0" borderId="3" xfId="0" applyNumberFormat="1" applyBorder="1" applyAlignment="1">
      <alignment horizontal="center"/>
    </xf>
    <xf numFmtId="0" fontId="21" fillId="8" borderId="1" xfId="0" applyFont="1" applyFill="1" applyBorder="1" applyAlignment="1">
      <alignment horizontal="center" vertical="center"/>
    </xf>
    <xf numFmtId="14" fontId="6" fillId="0" borderId="1" xfId="0" applyNumberFormat="1" applyFont="1" applyBorder="1" applyAlignment="1">
      <alignment horizontal="center" vertical="center" wrapText="1"/>
    </xf>
    <xf numFmtId="0" fontId="0" fillId="0" borderId="7" xfId="0" applyBorder="1"/>
    <xf numFmtId="164" fontId="19" fillId="26" borderId="27" xfId="0" applyNumberFormat="1" applyFont="1" applyFill="1" applyBorder="1" applyAlignment="1">
      <alignment wrapText="1"/>
    </xf>
    <xf numFmtId="0" fontId="6" fillId="0" borderId="3" xfId="0" applyFont="1" applyBorder="1" applyAlignment="1">
      <alignment horizontal="center"/>
    </xf>
    <xf numFmtId="0" fontId="6" fillId="0" borderId="3" xfId="0" applyFont="1" applyBorder="1" applyAlignment="1">
      <alignment horizontal="center" vertical="center"/>
    </xf>
    <xf numFmtId="0" fontId="0" fillId="0" borderId="15" xfId="0" applyBorder="1" applyAlignment="1">
      <alignment horizontal="center"/>
    </xf>
    <xf numFmtId="0" fontId="6" fillId="8" borderId="27" xfId="0" applyFont="1" applyFill="1" applyBorder="1" applyAlignment="1">
      <alignment horizontal="center" vertical="center"/>
    </xf>
    <xf numFmtId="0" fontId="6" fillId="26" borderId="27" xfId="0" applyFont="1" applyFill="1" applyBorder="1" applyAlignment="1">
      <alignment horizontal="center" vertical="center"/>
    </xf>
    <xf numFmtId="4" fontId="6" fillId="8" borderId="27" xfId="0" applyNumberFormat="1" applyFont="1" applyFill="1" applyBorder="1" applyAlignment="1">
      <alignment horizontal="center" vertical="center"/>
    </xf>
    <xf numFmtId="0" fontId="6" fillId="8" borderId="23" xfId="0" applyFont="1" applyFill="1" applyBorder="1" applyAlignment="1">
      <alignment horizontal="center" vertical="center"/>
    </xf>
    <xf numFmtId="0" fontId="6" fillId="8" borderId="31" xfId="0" applyFont="1" applyFill="1" applyBorder="1" applyAlignment="1">
      <alignment horizontal="center" vertical="center"/>
    </xf>
    <xf numFmtId="0" fontId="6" fillId="26" borderId="31" xfId="0" applyFont="1" applyFill="1" applyBorder="1" applyAlignment="1">
      <alignment horizontal="center" vertical="center"/>
    </xf>
    <xf numFmtId="4" fontId="6" fillId="8" borderId="31" xfId="0" applyNumberFormat="1" applyFont="1" applyFill="1" applyBorder="1" applyAlignment="1">
      <alignment horizontal="center" vertical="center"/>
    </xf>
    <xf numFmtId="0" fontId="19" fillId="26" borderId="27" xfId="0" applyFont="1" applyFill="1" applyBorder="1" applyAlignment="1">
      <alignment horizontal="right" vertical="center" wrapText="1"/>
    </xf>
    <xf numFmtId="0" fontId="19" fillId="26" borderId="27" xfId="0" applyFont="1" applyFill="1" applyBorder="1" applyAlignment="1">
      <alignment horizontal="right" vertical="center"/>
    </xf>
    <xf numFmtId="0" fontId="13" fillId="26" borderId="27" xfId="0" applyFont="1" applyFill="1" applyBorder="1"/>
    <xf numFmtId="0" fontId="1" fillId="0" borderId="31" xfId="0" applyFont="1" applyBorder="1"/>
    <xf numFmtId="0" fontId="13" fillId="26" borderId="31" xfId="0" applyFont="1" applyFill="1" applyBorder="1"/>
    <xf numFmtId="0" fontId="31" fillId="0" borderId="31" xfId="0" applyFont="1" applyBorder="1"/>
    <xf numFmtId="0" fontId="13" fillId="26" borderId="27" xfId="0" applyFont="1" applyFill="1" applyBorder="1" applyAlignment="1">
      <alignment horizontal="center"/>
    </xf>
    <xf numFmtId="0" fontId="1" fillId="0" borderId="31" xfId="0" applyFont="1" applyBorder="1" applyAlignment="1">
      <alignment horizontal="center"/>
    </xf>
    <xf numFmtId="0" fontId="31" fillId="0" borderId="31" xfId="0" applyFont="1" applyBorder="1" applyAlignment="1">
      <alignment horizontal="center"/>
    </xf>
    <xf numFmtId="0" fontId="102" fillId="0" borderId="19" xfId="0" applyFont="1" applyBorder="1" applyAlignment="1">
      <alignment horizontal="center"/>
    </xf>
    <xf numFmtId="3" fontId="0" fillId="0" borderId="7" xfId="0" applyNumberFormat="1" applyBorder="1" applyAlignment="1">
      <alignment horizontal="center"/>
    </xf>
    <xf numFmtId="0" fontId="13" fillId="26" borderId="31" xfId="0" applyFont="1" applyFill="1" applyBorder="1" applyAlignment="1">
      <alignment horizontal="center"/>
    </xf>
    <xf numFmtId="0" fontId="13" fillId="26" borderId="27" xfId="0" applyFont="1" applyFill="1" applyBorder="1" applyAlignment="1">
      <alignment horizontal="center" vertical="center"/>
    </xf>
    <xf numFmtId="0" fontId="1" fillId="0" borderId="31" xfId="0" applyFont="1" applyBorder="1" applyAlignment="1">
      <alignment horizontal="center" vertical="center"/>
    </xf>
    <xf numFmtId="0" fontId="13" fillId="26" borderId="31" xfId="0" applyFont="1" applyFill="1" applyBorder="1" applyAlignment="1">
      <alignment horizontal="center" vertical="center"/>
    </xf>
    <xf numFmtId="0" fontId="250" fillId="0" borderId="19" xfId="1" applyFont="1" applyBorder="1" applyAlignment="1">
      <alignment horizontal="center"/>
    </xf>
    <xf numFmtId="0" fontId="43" fillId="8" borderId="23" xfId="0" applyFont="1" applyFill="1" applyBorder="1" applyAlignment="1">
      <alignment horizontal="center" vertical="center"/>
    </xf>
    <xf numFmtId="0" fontId="299" fillId="26" borderId="27" xfId="0" applyFont="1" applyFill="1" applyBorder="1"/>
    <xf numFmtId="0" fontId="201" fillId="0" borderId="31" xfId="0" applyFont="1" applyBorder="1" applyAlignment="1">
      <alignment horizontal="center"/>
    </xf>
    <xf numFmtId="0" fontId="299" fillId="26" borderId="27" xfId="0" applyFont="1" applyFill="1" applyBorder="1" applyAlignment="1">
      <alignment horizontal="center" vertical="center"/>
    </xf>
    <xf numFmtId="0" fontId="23" fillId="0" borderId="31" xfId="0" applyFont="1" applyBorder="1" applyAlignment="1">
      <alignment horizontal="center" vertical="center"/>
    </xf>
    <xf numFmtId="0" fontId="23" fillId="0" borderId="31" xfId="0" applyFont="1" applyBorder="1"/>
    <xf numFmtId="0" fontId="23" fillId="0" borderId="31" xfId="0" applyFont="1" applyBorder="1" applyAlignment="1">
      <alignment horizontal="center"/>
    </xf>
    <xf numFmtId="0" fontId="23" fillId="0" borderId="19" xfId="0" applyFont="1" applyBorder="1" applyAlignment="1">
      <alignment horizontal="center"/>
    </xf>
    <xf numFmtId="0" fontId="288" fillId="0" borderId="0" xfId="0" applyFont="1"/>
    <xf numFmtId="0" fontId="19" fillId="26" borderId="27" xfId="0" applyFont="1" applyFill="1" applyBorder="1" applyAlignment="1">
      <alignment horizontal="right" wrapText="1"/>
    </xf>
    <xf numFmtId="0" fontId="19" fillId="26" borderId="31" xfId="0" applyFont="1" applyFill="1" applyBorder="1" applyAlignment="1">
      <alignment horizontal="right" wrapText="1"/>
    </xf>
    <xf numFmtId="0" fontId="19" fillId="0" borderId="27" xfId="0" quotePrefix="1" applyFont="1" applyBorder="1" applyAlignment="1">
      <alignment horizontal="center" vertical="center" wrapText="1"/>
    </xf>
    <xf numFmtId="0" fontId="19" fillId="26" borderId="27" xfId="0" applyFont="1" applyFill="1" applyBorder="1" applyAlignment="1">
      <alignment horizontal="center" vertical="center"/>
    </xf>
    <xf numFmtId="0" fontId="19" fillId="26" borderId="31" xfId="0" applyFont="1" applyFill="1" applyBorder="1" applyAlignment="1">
      <alignment horizontal="center" vertical="center"/>
    </xf>
    <xf numFmtId="0" fontId="19" fillId="8" borderId="27" xfId="0" applyFont="1" applyFill="1" applyBorder="1" applyAlignment="1">
      <alignment horizontal="center" vertical="center"/>
    </xf>
    <xf numFmtId="0" fontId="33" fillId="8" borderId="27" xfId="0" applyFont="1" applyFill="1" applyBorder="1" applyAlignment="1">
      <alignment horizontal="center" vertical="center"/>
    </xf>
    <xf numFmtId="0" fontId="250" fillId="8" borderId="6" xfId="1" applyFont="1" applyFill="1" applyBorder="1" applyAlignment="1"/>
    <xf numFmtId="0" fontId="2" fillId="26" borderId="4" xfId="0" applyFont="1" applyFill="1" applyBorder="1" applyAlignment="1">
      <alignment wrapText="1"/>
    </xf>
    <xf numFmtId="0" fontId="19" fillId="8" borderId="22" xfId="0" applyFont="1" applyFill="1" applyBorder="1" applyAlignment="1">
      <alignment horizontal="center"/>
    </xf>
    <xf numFmtId="0" fontId="0" fillId="8" borderId="19" xfId="0" applyFill="1" applyBorder="1" applyAlignment="1">
      <alignment horizontal="center"/>
    </xf>
    <xf numFmtId="0" fontId="0" fillId="8" borderId="22" xfId="0" applyFill="1" applyBorder="1" applyAlignment="1">
      <alignment horizontal="center"/>
    </xf>
    <xf numFmtId="0" fontId="0" fillId="8" borderId="31" xfId="0" applyFill="1" applyBorder="1" applyAlignment="1">
      <alignment horizontal="center"/>
    </xf>
    <xf numFmtId="0" fontId="19" fillId="8" borderId="27" xfId="0" applyFont="1" applyFill="1" applyBorder="1" applyAlignment="1">
      <alignment horizontal="center"/>
    </xf>
    <xf numFmtId="0" fontId="230" fillId="0" borderId="19" xfId="0" applyFont="1" applyBorder="1" applyAlignment="1">
      <alignment horizontal="center"/>
    </xf>
    <xf numFmtId="0" fontId="230" fillId="0" borderId="27" xfId="0" applyFont="1" applyBorder="1" applyAlignment="1">
      <alignment horizontal="center"/>
    </xf>
    <xf numFmtId="0" fontId="230" fillId="26" borderId="27" xfId="0" applyFont="1" applyFill="1" applyBorder="1" applyAlignment="1">
      <alignment horizontal="center" wrapText="1"/>
    </xf>
    <xf numFmtId="164" fontId="6" fillId="0" borderId="27" xfId="0" applyNumberFormat="1" applyFont="1" applyBorder="1" applyAlignment="1">
      <alignment horizontal="center" wrapText="1"/>
    </xf>
    <xf numFmtId="0" fontId="80" fillId="0" borderId="15" xfId="0" applyFont="1" applyBorder="1" applyAlignment="1">
      <alignment horizontal="center"/>
    </xf>
    <xf numFmtId="0" fontId="300" fillId="0" borderId="34" xfId="0" applyFont="1" applyBorder="1" applyAlignment="1">
      <alignment horizontal="center"/>
    </xf>
    <xf numFmtId="0" fontId="19" fillId="8" borderId="28" xfId="0" applyFont="1" applyFill="1" applyBorder="1" applyAlignment="1">
      <alignment horizontal="center"/>
    </xf>
    <xf numFmtId="0" fontId="0" fillId="8" borderId="23" xfId="0" applyFill="1" applyBorder="1" applyAlignment="1">
      <alignment horizontal="center"/>
    </xf>
    <xf numFmtId="164" fontId="0" fillId="0" borderId="31" xfId="0" applyNumberFormat="1" applyBorder="1" applyAlignment="1">
      <alignment horizontal="center"/>
    </xf>
    <xf numFmtId="165" fontId="0" fillId="0" borderId="31" xfId="0" applyNumberFormat="1" applyBorder="1" applyAlignment="1">
      <alignment horizontal="center"/>
    </xf>
    <xf numFmtId="0" fontId="0" fillId="8" borderId="4" xfId="0" applyFill="1" applyBorder="1" applyAlignment="1">
      <alignment wrapText="1"/>
    </xf>
    <xf numFmtId="0" fontId="250" fillId="8" borderId="4" xfId="1" applyFont="1" applyFill="1" applyBorder="1" applyAlignment="1">
      <alignment wrapText="1"/>
    </xf>
    <xf numFmtId="0" fontId="0" fillId="8" borderId="4" xfId="0" applyFill="1" applyBorder="1" applyAlignment="1">
      <alignment horizontal="center" wrapText="1"/>
    </xf>
    <xf numFmtId="164" fontId="0" fillId="8" borderId="4" xfId="0" applyNumberFormat="1" applyFill="1" applyBorder="1" applyAlignment="1">
      <alignment horizontal="center" wrapText="1"/>
    </xf>
    <xf numFmtId="164" fontId="6" fillId="8" borderId="4" xfId="0" applyNumberFormat="1" applyFont="1" applyFill="1" applyBorder="1" applyAlignment="1">
      <alignment horizontal="center" wrapText="1"/>
    </xf>
    <xf numFmtId="0" fontId="6" fillId="8" borderId="4" xfId="0" applyFont="1" applyFill="1" applyBorder="1" applyAlignment="1">
      <alignment horizontal="center" wrapText="1"/>
    </xf>
    <xf numFmtId="0" fontId="6" fillId="0" borderId="1" xfId="0" quotePrefix="1" applyFont="1" applyBorder="1" applyAlignment="1">
      <alignment horizontal="center" vertical="center" wrapText="1"/>
    </xf>
    <xf numFmtId="0" fontId="33" fillId="31" borderId="1" xfId="0" applyFont="1" applyFill="1" applyBorder="1"/>
    <xf numFmtId="0" fontId="33" fillId="31" borderId="1" xfId="0" applyFont="1" applyFill="1" applyBorder="1" applyAlignment="1">
      <alignment horizontal="center" vertical="center"/>
    </xf>
    <xf numFmtId="177" fontId="33" fillId="31" borderId="1" xfId="0" applyNumberFormat="1" applyFont="1" applyFill="1" applyBorder="1" applyAlignment="1">
      <alignment horizontal="center"/>
    </xf>
    <xf numFmtId="0" fontId="33" fillId="31" borderId="19" xfId="0" applyFont="1" applyFill="1" applyBorder="1"/>
    <xf numFmtId="0" fontId="33" fillId="32" borderId="1" xfId="0" applyFont="1" applyFill="1" applyBorder="1"/>
    <xf numFmtId="0" fontId="33" fillId="32" borderId="1" xfId="0" applyFont="1" applyFill="1" applyBorder="1" applyAlignment="1">
      <alignment horizontal="center" vertical="center"/>
    </xf>
    <xf numFmtId="177" fontId="33" fillId="32" borderId="1" xfId="0" applyNumberFormat="1" applyFont="1" applyFill="1" applyBorder="1" applyAlignment="1">
      <alignment horizontal="center"/>
    </xf>
    <xf numFmtId="0" fontId="33" fillId="32" borderId="19" xfId="0" applyFont="1" applyFill="1" applyBorder="1"/>
    <xf numFmtId="0" fontId="230" fillId="23" borderId="19" xfId="0" applyFont="1" applyFill="1" applyBorder="1" applyAlignment="1">
      <alignment horizontal="center" wrapText="1"/>
    </xf>
    <xf numFmtId="0" fontId="39" fillId="0" borderId="3" xfId="0" applyFont="1" applyBorder="1" applyAlignment="1">
      <alignment horizontal="center" wrapText="1"/>
    </xf>
    <xf numFmtId="0" fontId="80" fillId="23" borderId="18" xfId="0" applyFont="1" applyFill="1" applyBorder="1" applyAlignment="1">
      <alignment horizontal="center" wrapText="1"/>
    </xf>
    <xf numFmtId="0" fontId="6" fillId="8" borderId="31" xfId="0" applyFont="1" applyFill="1" applyBorder="1" applyAlignment="1">
      <alignment horizontal="center"/>
    </xf>
    <xf numFmtId="164" fontId="6" fillId="0" borderId="31" xfId="0" applyNumberFormat="1" applyFont="1" applyBorder="1" applyAlignment="1">
      <alignment horizontal="center" wrapText="1"/>
    </xf>
    <xf numFmtId="0" fontId="89" fillId="0" borderId="31" xfId="0" applyFont="1" applyBorder="1" applyAlignment="1">
      <alignment horizontal="center"/>
    </xf>
    <xf numFmtId="0" fontId="6" fillId="0" borderId="31" xfId="0" applyFont="1" applyBorder="1" applyAlignment="1">
      <alignment horizontal="center" wrapText="1"/>
    </xf>
    <xf numFmtId="0" fontId="250" fillId="0" borderId="19" xfId="1" applyFont="1" applyBorder="1"/>
    <xf numFmtId="0" fontId="250" fillId="8" borderId="27" xfId="1" applyFont="1" applyFill="1" applyBorder="1" applyAlignment="1"/>
    <xf numFmtId="0" fontId="6" fillId="8" borderId="27" xfId="0" applyFont="1" applyFill="1" applyBorder="1" applyAlignment="1">
      <alignment horizontal="center" wrapText="1"/>
    </xf>
    <xf numFmtId="0" fontId="6" fillId="8" borderId="31" xfId="0" applyFont="1" applyFill="1" applyBorder="1" applyAlignment="1">
      <alignment horizontal="center" wrapText="1"/>
    </xf>
    <xf numFmtId="0" fontId="6" fillId="8" borderId="22" xfId="0" applyFont="1" applyFill="1" applyBorder="1" applyAlignment="1">
      <alignment horizontal="center" wrapText="1"/>
    </xf>
    <xf numFmtId="0" fontId="6" fillId="8" borderId="27" xfId="0" quotePrefix="1" applyFont="1" applyFill="1" applyBorder="1" applyAlignment="1">
      <alignment horizontal="center" wrapText="1"/>
    </xf>
    <xf numFmtId="0" fontId="39" fillId="0" borderId="23" xfId="0" applyFont="1" applyBorder="1" applyAlignment="1">
      <alignment horizontal="center" wrapText="1"/>
    </xf>
    <xf numFmtId="0" fontId="39" fillId="0" borderId="31" xfId="0" applyFont="1" applyBorder="1" applyAlignment="1">
      <alignment horizontal="center" wrapText="1"/>
    </xf>
    <xf numFmtId="0" fontId="19" fillId="26" borderId="31" xfId="0" applyFont="1" applyFill="1" applyBorder="1" applyAlignment="1">
      <alignment horizontal="right" vertical="center" wrapText="1"/>
    </xf>
    <xf numFmtId="0" fontId="19" fillId="26" borderId="31" xfId="0" applyFont="1" applyFill="1" applyBorder="1" applyAlignment="1">
      <alignment horizontal="right" vertical="center"/>
    </xf>
    <xf numFmtId="0" fontId="33" fillId="31" borderId="0" xfId="0" applyFont="1" applyFill="1"/>
    <xf numFmtId="0" fontId="33" fillId="32" borderId="0" xfId="0" applyFont="1" applyFill="1"/>
    <xf numFmtId="0" fontId="19" fillId="0" borderId="19" xfId="0" applyFont="1" applyBorder="1" applyAlignment="1">
      <alignment horizontal="center" vertical="center"/>
    </xf>
    <xf numFmtId="0" fontId="250" fillId="26" borderId="27" xfId="1" applyFont="1" applyFill="1" applyBorder="1" applyAlignment="1">
      <alignment horizontal="center" vertical="center"/>
    </xf>
    <xf numFmtId="0" fontId="19" fillId="26" borderId="27" xfId="0" applyFont="1" applyFill="1" applyBorder="1" applyAlignment="1">
      <alignment horizontal="left"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13" fillId="0" borderId="29" xfId="0" applyFont="1" applyBorder="1" applyAlignment="1">
      <alignment horizontal="center"/>
    </xf>
    <xf numFmtId="0" fontId="0" fillId="0" borderId="0" xfId="0" applyAlignment="1">
      <alignment horizontal="center" wrapText="1"/>
    </xf>
    <xf numFmtId="0" fontId="301" fillId="0" borderId="0" xfId="0" applyFont="1"/>
    <xf numFmtId="0" fontId="301" fillId="0" borderId="0" xfId="0" applyFont="1" applyAlignment="1">
      <alignment horizontal="center"/>
    </xf>
    <xf numFmtId="0" fontId="2" fillId="0" borderId="1" xfId="0" applyFont="1" applyBorder="1" applyAlignment="1">
      <alignment horizontal="center" wrapText="1"/>
    </xf>
    <xf numFmtId="0" fontId="19" fillId="23" borderId="1" xfId="0" applyFont="1" applyFill="1" applyBorder="1" applyAlignment="1">
      <alignment horizontal="center" readingOrder="1"/>
    </xf>
    <xf numFmtId="0" fontId="39" fillId="23" borderId="1" xfId="0" applyFont="1" applyFill="1" applyBorder="1" applyAlignment="1">
      <alignment horizontal="center" readingOrder="1"/>
    </xf>
    <xf numFmtId="0" fontId="39" fillId="0" borderId="1" xfId="0" applyFont="1" applyBorder="1" applyAlignment="1">
      <alignment horizontal="center" readingOrder="1"/>
    </xf>
    <xf numFmtId="0" fontId="19" fillId="26" borderId="1" xfId="0" applyFont="1" applyFill="1" applyBorder="1" applyAlignment="1">
      <alignment horizontal="center" vertical="center" wrapText="1"/>
    </xf>
    <xf numFmtId="0" fontId="19" fillId="26" borderId="1" xfId="0" applyFont="1" applyFill="1" applyBorder="1" applyAlignment="1">
      <alignment horizontal="center" wrapText="1"/>
    </xf>
    <xf numFmtId="0" fontId="33" fillId="26" borderId="1" xfId="0" applyFont="1" applyFill="1" applyBorder="1" applyAlignment="1">
      <alignment horizontal="center" wrapText="1"/>
    </xf>
    <xf numFmtId="0" fontId="19" fillId="26" borderId="1" xfId="0" applyFont="1" applyFill="1" applyBorder="1" applyAlignment="1">
      <alignment horizontal="center"/>
    </xf>
    <xf numFmtId="0" fontId="6" fillId="8" borderId="1" xfId="0" applyFont="1" applyFill="1" applyBorder="1"/>
    <xf numFmtId="0" fontId="0" fillId="26" borderId="1" xfId="0" applyFill="1" applyBorder="1" applyAlignment="1">
      <alignment horizontal="center" wrapText="1"/>
    </xf>
    <xf numFmtId="0" fontId="6" fillId="26" borderId="1" xfId="0" applyFont="1" applyFill="1" applyBorder="1" applyAlignment="1">
      <alignment horizontal="center" vertical="center"/>
    </xf>
    <xf numFmtId="0" fontId="13" fillId="26" borderId="1" xfId="0" applyFont="1" applyFill="1" applyBorder="1" applyAlignment="1">
      <alignment horizontal="center"/>
    </xf>
    <xf numFmtId="0" fontId="23" fillId="0" borderId="1" xfId="0" applyFont="1" applyBorder="1" applyAlignment="1">
      <alignment horizontal="center"/>
    </xf>
    <xf numFmtId="0" fontId="39" fillId="0" borderId="1" xfId="0" applyFont="1" applyBorder="1" applyAlignment="1">
      <alignment horizontal="center" wrapText="1"/>
    </xf>
    <xf numFmtId="0" fontId="285" fillId="0" borderId="1" xfId="0" applyFont="1" applyBorder="1"/>
    <xf numFmtId="0" fontId="1" fillId="0" borderId="19" xfId="0" applyFont="1" applyBorder="1" applyAlignment="1">
      <alignment horizontal="center" vertical="center" wrapText="1"/>
    </xf>
    <xf numFmtId="0" fontId="3" fillId="0" borderId="18" xfId="0" applyFont="1" applyBorder="1" applyAlignment="1">
      <alignment horizontal="center" vertical="center" wrapText="1"/>
    </xf>
    <xf numFmtId="0" fontId="1" fillId="4" borderId="18" xfId="0" applyFont="1" applyFill="1" applyBorder="1" applyAlignment="1">
      <alignment horizontal="center" vertical="center" wrapText="1"/>
    </xf>
    <xf numFmtId="0" fontId="1" fillId="0" borderId="18" xfId="0" applyFont="1" applyBorder="1" applyAlignment="1">
      <alignment horizontal="center" vertical="center" wrapText="1"/>
    </xf>
    <xf numFmtId="0" fontId="8" fillId="0" borderId="18" xfId="0" applyFont="1" applyBorder="1" applyAlignment="1">
      <alignment horizontal="center" vertical="center" wrapText="1"/>
    </xf>
    <xf numFmtId="0" fontId="8" fillId="8" borderId="18" xfId="0" applyFont="1" applyFill="1" applyBorder="1" applyAlignment="1">
      <alignment horizontal="center" vertical="center" wrapText="1"/>
    </xf>
    <xf numFmtId="0" fontId="23" fillId="0" borderId="18" xfId="0" applyFont="1" applyBorder="1" applyAlignment="1">
      <alignment horizontal="center" vertical="center" wrapText="1"/>
    </xf>
    <xf numFmtId="0" fontId="37" fillId="0" borderId="18"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18" xfId="0" quotePrefix="1" applyFont="1" applyBorder="1" applyAlignment="1">
      <alignment horizontal="center" vertical="center" wrapText="1"/>
    </xf>
    <xf numFmtId="0" fontId="34" fillId="0" borderId="18" xfId="0" applyFont="1" applyBorder="1" applyAlignment="1">
      <alignment horizontal="center" vertical="center" wrapText="1"/>
    </xf>
    <xf numFmtId="0" fontId="6" fillId="0" borderId="19" xfId="0" applyFont="1" applyBorder="1" applyAlignment="1">
      <alignment horizontal="center" vertical="center" wrapText="1"/>
    </xf>
    <xf numFmtId="0" fontId="13" fillId="0" borderId="18" xfId="0" applyFont="1" applyBorder="1" applyAlignment="1">
      <alignment horizontal="center" vertical="center" wrapText="1"/>
    </xf>
    <xf numFmtId="0" fontId="36" fillId="0" borderId="18" xfId="0" applyFont="1" applyBorder="1" applyAlignment="1">
      <alignment horizontal="center" vertical="center" wrapText="1"/>
    </xf>
    <xf numFmtId="0" fontId="2" fillId="8" borderId="18" xfId="0" applyFont="1" applyFill="1" applyBorder="1" applyAlignment="1">
      <alignment horizontal="center" vertical="center" wrapText="1"/>
    </xf>
    <xf numFmtId="0" fontId="52" fillId="8" borderId="18" xfId="0" applyFont="1" applyFill="1" applyBorder="1" applyAlignment="1">
      <alignment horizontal="center" vertical="center" wrapText="1"/>
    </xf>
    <xf numFmtId="0" fontId="62" fillId="8" borderId="18" xfId="0" applyFont="1" applyFill="1" applyBorder="1" applyAlignment="1">
      <alignment horizontal="center" vertical="center" wrapText="1"/>
    </xf>
    <xf numFmtId="0" fontId="36" fillId="8" borderId="19" xfId="0" applyFont="1" applyFill="1" applyBorder="1" applyAlignment="1">
      <alignment horizontal="center" vertical="center" wrapText="1"/>
    </xf>
    <xf numFmtId="0" fontId="2" fillId="8" borderId="15" xfId="0" applyFont="1" applyFill="1" applyBorder="1" applyAlignment="1">
      <alignment horizontal="center" vertical="center" wrapText="1"/>
    </xf>
    <xf numFmtId="0" fontId="36" fillId="8" borderId="18" xfId="0" applyFont="1" applyFill="1" applyBorder="1" applyAlignment="1">
      <alignment horizontal="center" vertical="center" wrapText="1"/>
    </xf>
    <xf numFmtId="0" fontId="6" fillId="0" borderId="18" xfId="0" applyFont="1" applyBorder="1" applyAlignment="1">
      <alignment horizontal="center" vertical="center" wrapText="1"/>
    </xf>
    <xf numFmtId="0" fontId="31" fillId="8" borderId="16" xfId="0" applyFont="1" applyFill="1" applyBorder="1" applyAlignment="1">
      <alignment horizontal="center" wrapText="1"/>
    </xf>
    <xf numFmtId="0" fontId="31" fillId="8" borderId="17" xfId="0" applyFont="1" applyFill="1" applyBorder="1" applyAlignment="1">
      <alignment horizontal="center" wrapText="1"/>
    </xf>
    <xf numFmtId="0" fontId="19" fillId="0" borderId="11" xfId="0" applyFont="1" applyBorder="1" applyAlignment="1">
      <alignment horizontal="center" wrapText="1"/>
    </xf>
    <xf numFmtId="0" fontId="19" fillId="0" borderId="38" xfId="0" applyFont="1" applyBorder="1" applyAlignment="1">
      <alignment horizontal="center" wrapText="1"/>
    </xf>
    <xf numFmtId="0" fontId="19" fillId="0" borderId="18" xfId="0" applyFont="1" applyBorder="1" applyAlignment="1">
      <alignment horizontal="center" wrapText="1"/>
    </xf>
    <xf numFmtId="0" fontId="19" fillId="0" borderId="19" xfId="0" applyFont="1" applyBorder="1" applyAlignment="1">
      <alignment horizontal="center" wrapText="1"/>
    </xf>
    <xf numFmtId="0" fontId="2" fillId="0" borderId="16" xfId="0" applyFont="1" applyBorder="1" applyAlignment="1">
      <alignment horizontal="center" wrapText="1"/>
    </xf>
    <xf numFmtId="0" fontId="43" fillId="0" borderId="18" xfId="0" applyFont="1" applyBorder="1" applyAlignment="1">
      <alignment horizontal="center" vertical="center" wrapText="1"/>
    </xf>
    <xf numFmtId="0" fontId="6" fillId="8" borderId="18" xfId="0" applyFont="1" applyFill="1" applyBorder="1" applyAlignment="1">
      <alignment horizontal="center" vertical="center" wrapText="1"/>
    </xf>
    <xf numFmtId="0" fontId="0" fillId="8" borderId="18" xfId="0" applyFill="1" applyBorder="1" applyAlignment="1">
      <alignment horizontal="center" vertical="center" wrapText="1"/>
    </xf>
    <xf numFmtId="0" fontId="86" fillId="8" borderId="18" xfId="0" applyFont="1" applyFill="1" applyBorder="1" applyAlignment="1">
      <alignment horizontal="center" wrapText="1"/>
    </xf>
    <xf numFmtId="0" fontId="6" fillId="8" borderId="18" xfId="0" applyFont="1" applyFill="1" applyBorder="1" applyAlignment="1">
      <alignment horizontal="center" wrapText="1"/>
    </xf>
    <xf numFmtId="0" fontId="0" fillId="8" borderId="18" xfId="0" applyFill="1" applyBorder="1" applyAlignment="1">
      <alignment horizontal="center" wrapText="1"/>
    </xf>
    <xf numFmtId="0" fontId="19" fillId="8" borderId="18" xfId="0" applyFont="1" applyFill="1" applyBorder="1" applyAlignment="1">
      <alignment horizontal="center" wrapText="1"/>
    </xf>
    <xf numFmtId="0" fontId="19" fillId="8" borderId="19" xfId="0" applyFont="1" applyFill="1" applyBorder="1" applyAlignment="1">
      <alignment horizontal="center" wrapText="1"/>
    </xf>
    <xf numFmtId="0" fontId="36" fillId="0" borderId="38" xfId="0" applyFont="1" applyBorder="1" applyAlignment="1">
      <alignment horizontal="center" wrapText="1"/>
    </xf>
    <xf numFmtId="0" fontId="8" fillId="0" borderId="38" xfId="0" applyFont="1" applyBorder="1" applyAlignment="1">
      <alignment horizontal="center" wrapText="1"/>
    </xf>
    <xf numFmtId="0" fontId="33" fillId="8" borderId="18" xfId="0" applyFont="1" applyFill="1" applyBorder="1" applyAlignment="1">
      <alignment horizontal="center" wrapText="1"/>
    </xf>
    <xf numFmtId="0" fontId="86" fillId="0" borderId="18" xfId="0" applyFont="1" applyBorder="1" applyAlignment="1">
      <alignment horizontal="center" vertical="center" wrapText="1"/>
    </xf>
    <xf numFmtId="0" fontId="8" fillId="8" borderId="11" xfId="0" applyFont="1" applyFill="1" applyBorder="1" applyAlignment="1">
      <alignment horizontal="center" wrapText="1"/>
    </xf>
    <xf numFmtId="0" fontId="8" fillId="8" borderId="38" xfId="0" applyFont="1" applyFill="1" applyBorder="1" applyAlignment="1">
      <alignment horizontal="center" wrapText="1"/>
    </xf>
    <xf numFmtId="0" fontId="19" fillId="0" borderId="18" xfId="0" applyFont="1" applyBorder="1" applyAlignment="1">
      <alignment horizontal="center"/>
    </xf>
    <xf numFmtId="0" fontId="68" fillId="8" borderId="18" xfId="0" applyFont="1" applyFill="1" applyBorder="1" applyAlignment="1">
      <alignment horizontal="center"/>
    </xf>
    <xf numFmtId="0" fontId="8" fillId="0" borderId="18" xfId="0" applyFont="1" applyBorder="1" applyAlignment="1">
      <alignment horizontal="center"/>
    </xf>
    <xf numFmtId="0" fontId="37" fillId="0" borderId="18" xfId="0" applyFont="1" applyBorder="1" applyAlignment="1">
      <alignment horizontal="center"/>
    </xf>
    <xf numFmtId="0" fontId="92" fillId="0" borderId="18" xfId="0" applyFont="1" applyBorder="1" applyAlignment="1">
      <alignment horizontal="center"/>
    </xf>
    <xf numFmtId="0" fontId="107" fillId="0" borderId="18" xfId="0" applyFont="1" applyBorder="1" applyAlignment="1">
      <alignment horizontal="center" vertical="center" wrapText="1"/>
    </xf>
    <xf numFmtId="14" fontId="19" fillId="0" borderId="18" xfId="0" applyNumberFormat="1" applyFont="1" applyBorder="1" applyAlignment="1">
      <alignment horizontal="center"/>
    </xf>
    <xf numFmtId="14" fontId="33" fillId="0" borderId="18" xfId="0" applyNumberFormat="1" applyFont="1" applyBorder="1" applyAlignment="1">
      <alignment horizontal="center"/>
    </xf>
    <xf numFmtId="0" fontId="6" fillId="8" borderId="18" xfId="0" applyFont="1" applyFill="1" applyBorder="1" applyAlignment="1">
      <alignment horizontal="center"/>
    </xf>
    <xf numFmtId="0" fontId="31" fillId="0" borderId="16" xfId="0" applyFont="1" applyBorder="1" applyAlignment="1">
      <alignment horizontal="center"/>
    </xf>
    <xf numFmtId="0" fontId="31" fillId="0" borderId="17" xfId="0" applyFont="1" applyBorder="1" applyAlignment="1">
      <alignment horizontal="center"/>
    </xf>
    <xf numFmtId="0" fontId="68" fillId="0" borderId="17" xfId="0" applyFont="1" applyBorder="1" applyAlignment="1">
      <alignment horizontal="center"/>
    </xf>
    <xf numFmtId="0" fontId="31" fillId="8" borderId="18" xfId="0" applyFont="1" applyFill="1" applyBorder="1" applyAlignment="1">
      <alignment horizontal="center"/>
    </xf>
    <xf numFmtId="0" fontId="14" fillId="0" borderId="16" xfId="0" applyFont="1" applyBorder="1" applyAlignment="1">
      <alignment horizontal="center"/>
    </xf>
    <xf numFmtId="0" fontId="14" fillId="0" borderId="17" xfId="0" applyFont="1" applyBorder="1" applyAlignment="1">
      <alignment horizontal="center"/>
    </xf>
    <xf numFmtId="0" fontId="125" fillId="0" borderId="18" xfId="0" applyFont="1" applyBorder="1" applyAlignment="1">
      <alignment horizontal="center" vertical="center" wrapText="1"/>
    </xf>
    <xf numFmtId="0" fontId="6" fillId="8" borderId="16" xfId="0" applyFont="1" applyFill="1" applyBorder="1" applyAlignment="1">
      <alignment horizontal="center"/>
    </xf>
    <xf numFmtId="0" fontId="36" fillId="0" borderId="18" xfId="0" applyFont="1" applyBorder="1" applyAlignment="1">
      <alignment horizontal="center" wrapText="1"/>
    </xf>
    <xf numFmtId="0" fontId="14" fillId="0" borderId="18" xfId="0" applyFont="1" applyBorder="1" applyAlignment="1">
      <alignment horizontal="center"/>
    </xf>
    <xf numFmtId="0" fontId="77" fillId="0" borderId="18" xfId="0" applyFont="1" applyBorder="1" applyAlignment="1">
      <alignment horizontal="center"/>
    </xf>
    <xf numFmtId="0" fontId="46" fillId="0" borderId="16" xfId="0" applyFont="1" applyBorder="1" applyAlignment="1">
      <alignment horizontal="center" wrapText="1"/>
    </xf>
    <xf numFmtId="0" fontId="46" fillId="0" borderId="17" xfId="0" applyFont="1" applyBorder="1" applyAlignment="1">
      <alignment horizontal="center" wrapText="1"/>
    </xf>
    <xf numFmtId="0" fontId="0" fillId="8" borderId="16" xfId="0" applyFill="1" applyBorder="1" applyAlignment="1">
      <alignment horizontal="center"/>
    </xf>
    <xf numFmtId="0" fontId="0" fillId="8" borderId="17" xfId="0" applyFill="1" applyBorder="1" applyAlignment="1">
      <alignment horizontal="center"/>
    </xf>
    <xf numFmtId="0" fontId="68" fillId="0" borderId="18" xfId="0" applyFont="1" applyBorder="1" applyAlignment="1">
      <alignment horizontal="center"/>
    </xf>
    <xf numFmtId="0" fontId="31" fillId="0" borderId="18" xfId="0" applyFont="1" applyBorder="1" applyAlignment="1">
      <alignment horizontal="center"/>
    </xf>
    <xf numFmtId="0" fontId="43" fillId="0" borderId="19" xfId="0" applyFont="1" applyBorder="1" applyAlignment="1">
      <alignment horizontal="center" vertical="center" wrapText="1"/>
    </xf>
    <xf numFmtId="0" fontId="36" fillId="0" borderId="16" xfId="0" applyFont="1" applyBorder="1" applyAlignment="1">
      <alignment horizontal="center"/>
    </xf>
    <xf numFmtId="0" fontId="36" fillId="0" borderId="17" xfId="0" applyFont="1" applyBorder="1" applyAlignment="1">
      <alignment horizontal="center"/>
    </xf>
    <xf numFmtId="0" fontId="1" fillId="0" borderId="16" xfId="0" applyFont="1" applyBorder="1" applyAlignment="1">
      <alignment horizontal="center" wrapText="1"/>
    </xf>
    <xf numFmtId="0" fontId="1" fillId="0" borderId="17" xfId="0" applyFont="1" applyBorder="1" applyAlignment="1">
      <alignment horizontal="center" wrapText="1"/>
    </xf>
    <xf numFmtId="0" fontId="49" fillId="0" borderId="17" xfId="0" applyFont="1" applyBorder="1" applyAlignment="1">
      <alignment horizontal="center"/>
    </xf>
    <xf numFmtId="0" fontId="37" fillId="17" borderId="18" xfId="0" applyFont="1" applyFill="1" applyBorder="1" applyAlignment="1">
      <alignment horizontal="center"/>
    </xf>
    <xf numFmtId="0" fontId="160" fillId="8" borderId="18" xfId="0" applyFont="1" applyFill="1" applyBorder="1" applyAlignment="1">
      <alignment horizontal="center"/>
    </xf>
    <xf numFmtId="0" fontId="43" fillId="8" borderId="18" xfId="0" applyFont="1" applyFill="1" applyBorder="1" applyAlignment="1">
      <alignment horizontal="center"/>
    </xf>
    <xf numFmtId="0" fontId="43" fillId="0" borderId="18" xfId="0" applyFont="1" applyBorder="1" applyAlignment="1">
      <alignment horizontal="center"/>
    </xf>
    <xf numFmtId="0" fontId="33" fillId="8" borderId="18" xfId="0" applyFont="1" applyFill="1" applyBorder="1" applyAlignment="1">
      <alignment horizontal="center"/>
    </xf>
    <xf numFmtId="0" fontId="33" fillId="8" borderId="17" xfId="0" applyFont="1" applyFill="1" applyBorder="1" applyAlignment="1">
      <alignment horizontal="center"/>
    </xf>
    <xf numFmtId="0" fontId="8" fillId="0" borderId="17" xfId="0" applyFont="1" applyBorder="1" applyAlignment="1">
      <alignment horizontal="center"/>
    </xf>
    <xf numFmtId="0" fontId="8" fillId="0" borderId="16" xfId="0" applyFont="1" applyBorder="1" applyAlignment="1">
      <alignment horizontal="center"/>
    </xf>
    <xf numFmtId="0" fontId="19" fillId="0" borderId="16" xfId="0" applyFont="1" applyBorder="1" applyAlignment="1">
      <alignment horizontal="center"/>
    </xf>
    <xf numFmtId="0" fontId="43" fillId="8" borderId="16" xfId="0" applyFont="1" applyFill="1" applyBorder="1" applyAlignment="1">
      <alignment horizontal="center"/>
    </xf>
    <xf numFmtId="0" fontId="86" fillId="8" borderId="16" xfId="0" applyFont="1" applyFill="1" applyBorder="1" applyAlignment="1">
      <alignment horizontal="center"/>
    </xf>
    <xf numFmtId="0" fontId="86" fillId="8" borderId="18" xfId="0" applyFont="1" applyFill="1" applyBorder="1" applyAlignment="1">
      <alignment horizontal="center"/>
    </xf>
    <xf numFmtId="0" fontId="209" fillId="0" borderId="18" xfId="0" applyFont="1" applyBorder="1" applyAlignment="1">
      <alignment horizontal="center"/>
    </xf>
    <xf numFmtId="0" fontId="209" fillId="0" borderId="9" xfId="0" applyFont="1" applyBorder="1" applyAlignment="1">
      <alignment horizontal="center"/>
    </xf>
    <xf numFmtId="0" fontId="39" fillId="0" borderId="18" xfId="0" applyFont="1" applyBorder="1" applyAlignment="1">
      <alignment horizontal="center"/>
    </xf>
    <xf numFmtId="0" fontId="39" fillId="8" borderId="19" xfId="0" applyFont="1" applyFill="1" applyBorder="1" applyAlignment="1">
      <alignment horizontal="center"/>
    </xf>
    <xf numFmtId="0" fontId="6" fillId="8" borderId="9" xfId="0" applyFont="1" applyFill="1" applyBorder="1" applyAlignment="1">
      <alignment horizontal="center"/>
    </xf>
    <xf numFmtId="0" fontId="160" fillId="21" borderId="18" xfId="0" applyFont="1" applyFill="1" applyBorder="1" applyAlignment="1">
      <alignment horizontal="center"/>
    </xf>
    <xf numFmtId="0" fontId="39" fillId="8" borderId="16" xfId="0" applyFont="1" applyFill="1" applyBorder="1" applyAlignment="1">
      <alignment horizontal="center"/>
    </xf>
    <xf numFmtId="0" fontId="39" fillId="8" borderId="17" xfId="0" applyFont="1" applyFill="1" applyBorder="1" applyAlignment="1">
      <alignment horizontal="center"/>
    </xf>
    <xf numFmtId="0" fontId="43" fillId="22" borderId="18" xfId="0" applyFont="1" applyFill="1" applyBorder="1" applyAlignment="1">
      <alignment horizontal="center"/>
    </xf>
    <xf numFmtId="0" fontId="19" fillId="23" borderId="16" xfId="0" applyFont="1" applyFill="1" applyBorder="1" applyAlignment="1">
      <alignment horizontal="center" vertical="center" readingOrder="1"/>
    </xf>
    <xf numFmtId="0" fontId="19" fillId="23" borderId="16" xfId="0" applyFont="1" applyFill="1" applyBorder="1" applyAlignment="1">
      <alignment horizontal="center" readingOrder="1"/>
    </xf>
    <xf numFmtId="0" fontId="19" fillId="23" borderId="17" xfId="0" applyFont="1" applyFill="1" applyBorder="1" applyAlignment="1">
      <alignment horizontal="center" readingOrder="1"/>
    </xf>
    <xf numFmtId="0" fontId="19" fillId="0" borderId="25" xfId="0" applyFont="1" applyBorder="1" applyAlignment="1">
      <alignment horizontal="center" readingOrder="1"/>
    </xf>
    <xf numFmtId="0" fontId="39" fillId="23" borderId="16" xfId="0" applyFont="1" applyFill="1" applyBorder="1" applyAlignment="1">
      <alignment horizontal="center" readingOrder="1"/>
    </xf>
    <xf numFmtId="0" fontId="39" fillId="0" borderId="16" xfId="0" applyFont="1" applyBorder="1" applyAlignment="1">
      <alignment horizontal="center" readingOrder="1"/>
    </xf>
    <xf numFmtId="0" fontId="39" fillId="0" borderId="17" xfId="0" applyFont="1" applyBorder="1" applyAlignment="1">
      <alignment horizontal="center" readingOrder="1"/>
    </xf>
    <xf numFmtId="0" fontId="19" fillId="0" borderId="37" xfId="0" applyFont="1" applyBorder="1" applyAlignment="1">
      <alignment horizontal="center"/>
    </xf>
    <xf numFmtId="0" fontId="33" fillId="0" borderId="19" xfId="0" applyFont="1" applyBorder="1" applyAlignment="1">
      <alignment horizontal="center"/>
    </xf>
    <xf numFmtId="0" fontId="0" fillId="0" borderId="37" xfId="0" applyBorder="1" applyAlignment="1">
      <alignment horizontal="center"/>
    </xf>
    <xf numFmtId="0" fontId="19" fillId="0" borderId="37" xfId="0" applyFont="1" applyBorder="1" applyAlignment="1">
      <alignment horizontal="center" wrapText="1"/>
    </xf>
    <xf numFmtId="0" fontId="19" fillId="0" borderId="34" xfId="0" applyFont="1" applyBorder="1" applyAlignment="1">
      <alignment horizontal="center" wrapText="1"/>
    </xf>
    <xf numFmtId="0" fontId="19" fillId="26" borderId="37" xfId="0" applyFont="1" applyFill="1" applyBorder="1" applyAlignment="1">
      <alignment horizontal="center" vertical="center" wrapText="1"/>
    </xf>
    <xf numFmtId="0" fontId="19" fillId="26" borderId="34" xfId="0" applyFont="1" applyFill="1" applyBorder="1" applyAlignment="1">
      <alignment horizontal="center" vertical="center" wrapText="1"/>
    </xf>
    <xf numFmtId="0" fontId="19" fillId="0" borderId="34" xfId="0" applyFont="1" applyBorder="1" applyAlignment="1">
      <alignment horizontal="center" vertical="center" wrapText="1"/>
    </xf>
    <xf numFmtId="0" fontId="31" fillId="0" borderId="34" xfId="0" applyFont="1" applyBorder="1" applyAlignment="1">
      <alignment horizontal="center" vertical="center"/>
    </xf>
    <xf numFmtId="0" fontId="6" fillId="8" borderId="15" xfId="0" applyFont="1" applyFill="1" applyBorder="1" applyAlignment="1">
      <alignment horizontal="center"/>
    </xf>
    <xf numFmtId="0" fontId="19" fillId="26" borderId="37" xfId="0" applyFont="1" applyFill="1" applyBorder="1" applyAlignment="1">
      <alignment horizontal="center" wrapText="1"/>
    </xf>
    <xf numFmtId="0" fontId="43" fillId="8" borderId="18" xfId="0" applyFont="1" applyFill="1" applyBorder="1" applyAlignment="1">
      <alignment horizontal="center" vertical="center"/>
    </xf>
    <xf numFmtId="0" fontId="0" fillId="0" borderId="30" xfId="0" applyBorder="1" applyAlignment="1">
      <alignment horizontal="center"/>
    </xf>
    <xf numFmtId="0" fontId="33" fillId="0" borderId="18" xfId="0" applyFont="1" applyBorder="1" applyAlignment="1">
      <alignment horizontal="center"/>
    </xf>
    <xf numFmtId="0" fontId="0" fillId="0" borderId="18" xfId="0" applyBorder="1" applyAlignment="1">
      <alignment horizontal="center" wrapText="1"/>
    </xf>
    <xf numFmtId="0" fontId="6" fillId="8" borderId="30" xfId="0" applyFont="1" applyFill="1" applyBorder="1" applyAlignment="1">
      <alignment horizontal="center"/>
    </xf>
    <xf numFmtId="0" fontId="19" fillId="0" borderId="37" xfId="0" applyFont="1" applyBorder="1" applyAlignment="1">
      <alignment horizontal="center" vertical="center"/>
    </xf>
    <xf numFmtId="0" fontId="19" fillId="26" borderId="34" xfId="0" applyFont="1" applyFill="1" applyBorder="1" applyAlignment="1">
      <alignment horizontal="center" wrapText="1"/>
    </xf>
    <xf numFmtId="0" fontId="33" fillId="26" borderId="34" xfId="0" applyFont="1" applyFill="1" applyBorder="1" applyAlignment="1">
      <alignment horizontal="center" wrapText="1"/>
    </xf>
    <xf numFmtId="0" fontId="19" fillId="0" borderId="34" xfId="0" applyFont="1" applyBorder="1" applyAlignment="1">
      <alignment horizontal="center" vertical="center"/>
    </xf>
    <xf numFmtId="0" fontId="279" fillId="0" borderId="18" xfId="0" applyFont="1" applyBorder="1" applyAlignment="1">
      <alignment horizontal="center" vertical="center" wrapText="1"/>
    </xf>
    <xf numFmtId="0" fontId="0" fillId="0" borderId="37" xfId="0" applyBorder="1" applyAlignment="1">
      <alignment horizontal="center" vertical="center"/>
    </xf>
    <xf numFmtId="0" fontId="0" fillId="0" borderId="34" xfId="0" applyBorder="1" applyAlignment="1">
      <alignment horizontal="center" vertical="center"/>
    </xf>
    <xf numFmtId="0" fontId="0" fillId="26" borderId="37" xfId="0" applyFill="1" applyBorder="1" applyAlignment="1">
      <alignment horizontal="center" vertical="center" wrapText="1"/>
    </xf>
    <xf numFmtId="0" fontId="6" fillId="0" borderId="16" xfId="0" applyFont="1" applyBorder="1" applyAlignment="1">
      <alignment horizontal="center" wrapText="1"/>
    </xf>
    <xf numFmtId="0" fontId="6" fillId="0" borderId="19" xfId="0" applyFont="1" applyBorder="1" applyAlignment="1">
      <alignment horizontal="center" wrapText="1"/>
    </xf>
    <xf numFmtId="0" fontId="6" fillId="0" borderId="18" xfId="0" applyFont="1" applyBorder="1" applyAlignment="1">
      <alignment horizontal="center" wrapText="1"/>
    </xf>
    <xf numFmtId="0" fontId="1" fillId="8" borderId="17" xfId="0" applyFont="1" applyFill="1" applyBorder="1" applyAlignment="1">
      <alignment horizontal="center"/>
    </xf>
    <xf numFmtId="0" fontId="0" fillId="8" borderId="9" xfId="0" applyFill="1" applyBorder="1" applyAlignment="1">
      <alignment horizontal="center"/>
    </xf>
    <xf numFmtId="0" fontId="19" fillId="26" borderId="34" xfId="0" applyFont="1" applyFill="1" applyBorder="1" applyAlignment="1">
      <alignment horizontal="center"/>
    </xf>
    <xf numFmtId="0" fontId="6" fillId="8" borderId="16" xfId="0" applyFont="1" applyFill="1" applyBorder="1"/>
    <xf numFmtId="0" fontId="6" fillId="8" borderId="17" xfId="0" applyFont="1" applyFill="1" applyBorder="1"/>
    <xf numFmtId="0" fontId="33" fillId="31" borderId="18" xfId="0" applyFont="1" applyFill="1" applyBorder="1" applyAlignment="1">
      <alignment horizontal="center"/>
    </xf>
    <xf numFmtId="0" fontId="0" fillId="23" borderId="18" xfId="0" applyFill="1" applyBorder="1" applyAlignment="1">
      <alignment horizontal="center"/>
    </xf>
    <xf numFmtId="0" fontId="33" fillId="32" borderId="18" xfId="0" applyFont="1" applyFill="1" applyBorder="1" applyAlignment="1">
      <alignment horizontal="center"/>
    </xf>
    <xf numFmtId="0" fontId="19" fillId="26" borderId="37" xfId="0" applyFont="1" applyFill="1" applyBorder="1" applyAlignment="1">
      <alignment horizontal="center"/>
    </xf>
    <xf numFmtId="0" fontId="0" fillId="26" borderId="37" xfId="0" applyFill="1" applyBorder="1" applyAlignment="1">
      <alignment horizontal="center"/>
    </xf>
    <xf numFmtId="0" fontId="0" fillId="26" borderId="34" xfId="0" applyFill="1" applyBorder="1" applyAlignment="1">
      <alignment horizontal="center"/>
    </xf>
    <xf numFmtId="0" fontId="1" fillId="0" borderId="18" xfId="0" applyFont="1" applyBorder="1" applyAlignment="1">
      <alignment horizontal="center"/>
    </xf>
    <xf numFmtId="0" fontId="6" fillId="26" borderId="37" xfId="0" applyFont="1" applyFill="1" applyBorder="1" applyAlignment="1">
      <alignment horizontal="center" vertical="center" wrapText="1"/>
    </xf>
    <xf numFmtId="0" fontId="6" fillId="26" borderId="34" xfId="0" applyFont="1" applyFill="1" applyBorder="1" applyAlignment="1">
      <alignment horizontal="center" vertical="center" wrapText="1"/>
    </xf>
    <xf numFmtId="0" fontId="13" fillId="26" borderId="37" xfId="0" applyFont="1" applyFill="1" applyBorder="1" applyAlignment="1">
      <alignment horizontal="center"/>
    </xf>
    <xf numFmtId="0" fontId="1" fillId="0" borderId="34" xfId="0" applyFont="1" applyBorder="1" applyAlignment="1">
      <alignment horizontal="center"/>
    </xf>
    <xf numFmtId="0" fontId="13" fillId="26" borderId="34" xfId="0" applyFont="1" applyFill="1" applyBorder="1" applyAlignment="1">
      <alignment horizontal="center"/>
    </xf>
    <xf numFmtId="0" fontId="23" fillId="0" borderId="34" xfId="0" applyFont="1" applyBorder="1" applyAlignment="1">
      <alignment horizontal="center"/>
    </xf>
    <xf numFmtId="0" fontId="6" fillId="8" borderId="37" xfId="0" applyFont="1" applyFill="1" applyBorder="1" applyAlignment="1">
      <alignment horizontal="center"/>
    </xf>
    <xf numFmtId="0" fontId="6" fillId="8" borderId="34" xfId="0" applyFont="1" applyFill="1" applyBorder="1" applyAlignment="1">
      <alignment horizontal="center"/>
    </xf>
    <xf numFmtId="0" fontId="6" fillId="8" borderId="37" xfId="0" applyFont="1" applyFill="1" applyBorder="1" applyAlignment="1">
      <alignment horizontal="center" wrapText="1"/>
    </xf>
    <xf numFmtId="0" fontId="39" fillId="0" borderId="34" xfId="0" applyFont="1" applyBorder="1" applyAlignment="1">
      <alignment horizontal="center" wrapText="1"/>
    </xf>
    <xf numFmtId="0" fontId="1" fillId="0" borderId="19" xfId="0" applyFont="1" applyBorder="1" applyAlignment="1">
      <alignment horizontal="left" vertical="center" wrapText="1"/>
    </xf>
    <xf numFmtId="0" fontId="3" fillId="0" borderId="4" xfId="0" applyFont="1" applyBorder="1" applyAlignment="1">
      <alignment horizontal="left" vertical="center" wrapText="1"/>
    </xf>
    <xf numFmtId="0" fontId="5" fillId="4" borderId="4" xfId="0" applyFont="1" applyFill="1" applyBorder="1" applyAlignment="1">
      <alignment horizontal="left" vertical="center" wrapText="1"/>
    </xf>
    <xf numFmtId="0" fontId="1" fillId="4" borderId="4" xfId="0" applyFont="1" applyFill="1" applyBorder="1" applyAlignment="1">
      <alignment horizontal="left" vertical="center" wrapText="1"/>
    </xf>
    <xf numFmtId="0" fontId="5" fillId="0" borderId="4" xfId="0" applyFont="1" applyBorder="1" applyAlignment="1">
      <alignment horizontal="left" vertical="center" wrapText="1"/>
    </xf>
    <xf numFmtId="0" fontId="1" fillId="0" borderId="4" xfId="0" applyFont="1" applyBorder="1" applyAlignment="1">
      <alignment horizontal="left" vertical="center" wrapText="1"/>
    </xf>
    <xf numFmtId="0" fontId="12" fillId="0" borderId="4" xfId="0" applyFont="1" applyBorder="1" applyAlignment="1">
      <alignment horizontal="left" vertical="center" wrapText="1"/>
    </xf>
    <xf numFmtId="0" fontId="15" fillId="0" borderId="4" xfId="0" applyFont="1" applyBorder="1" applyAlignment="1">
      <alignment horizontal="left" vertical="center" wrapText="1"/>
    </xf>
    <xf numFmtId="0" fontId="17" fillId="0" borderId="4" xfId="0" applyFont="1" applyBorder="1" applyAlignment="1">
      <alignment horizontal="left" vertical="center" wrapText="1"/>
    </xf>
    <xf numFmtId="0" fontId="18" fillId="0" borderId="4" xfId="0" applyFont="1" applyBorder="1" applyAlignment="1">
      <alignment horizontal="left" vertical="center" wrapText="1"/>
    </xf>
    <xf numFmtId="0" fontId="20" fillId="8" borderId="4" xfId="0" applyFont="1" applyFill="1" applyBorder="1" applyAlignment="1">
      <alignment horizontal="left" vertical="center" wrapText="1"/>
    </xf>
    <xf numFmtId="0" fontId="250" fillId="0" borderId="4" xfId="1" applyFont="1" applyBorder="1" applyAlignment="1">
      <alignment horizontal="left" vertical="center" wrapText="1"/>
    </xf>
    <xf numFmtId="0" fontId="23" fillId="0" borderId="4" xfId="0" applyFont="1" applyBorder="1" applyAlignment="1">
      <alignment horizontal="left" vertical="center" wrapText="1"/>
    </xf>
    <xf numFmtId="0" fontId="6" fillId="0" borderId="4" xfId="0" applyFont="1" applyBorder="1" applyAlignment="1">
      <alignment horizontal="left" vertical="center" wrapText="1"/>
    </xf>
    <xf numFmtId="0" fontId="32" fillId="0" borderId="4" xfId="0" applyFont="1" applyBorder="1" applyAlignment="1">
      <alignment horizontal="left" vertical="center" wrapText="1"/>
    </xf>
    <xf numFmtId="0" fontId="35" fillId="8" borderId="4" xfId="0" applyFont="1" applyFill="1" applyBorder="1" applyAlignment="1">
      <alignment horizontal="left" vertical="center" wrapText="1"/>
    </xf>
    <xf numFmtId="0" fontId="35" fillId="0" borderId="4" xfId="0" applyFont="1" applyBorder="1" applyAlignment="1">
      <alignment horizontal="left" vertical="center" wrapText="1"/>
    </xf>
    <xf numFmtId="0" fontId="38" fillId="0" borderId="4" xfId="0" applyFont="1" applyBorder="1" applyAlignment="1">
      <alignment horizontal="left" vertical="center" wrapText="1"/>
    </xf>
    <xf numFmtId="0" fontId="2" fillId="0" borderId="4" xfId="0" applyFont="1" applyBorder="1" applyAlignment="1">
      <alignment horizontal="left" vertical="center" wrapText="1"/>
    </xf>
    <xf numFmtId="0" fontId="42" fillId="0" borderId="4" xfId="0" applyFont="1" applyBorder="1" applyAlignment="1">
      <alignment horizontal="left" vertical="center" wrapText="1"/>
    </xf>
    <xf numFmtId="0" fontId="44" fillId="0" borderId="4" xfId="0" applyFont="1" applyBorder="1" applyAlignment="1">
      <alignment horizontal="left" vertical="center" wrapText="1"/>
    </xf>
    <xf numFmtId="0" fontId="34" fillId="0" borderId="4" xfId="0" applyFont="1" applyBorder="1" applyAlignment="1">
      <alignment horizontal="left" vertical="center" wrapText="1"/>
    </xf>
    <xf numFmtId="0" fontId="45" fillId="0" borderId="4" xfId="0" applyFont="1" applyBorder="1" applyAlignment="1">
      <alignment horizontal="left" vertical="center" wrapText="1"/>
    </xf>
    <xf numFmtId="0" fontId="13" fillId="0" borderId="4" xfId="0" applyFont="1" applyBorder="1" applyAlignment="1">
      <alignment horizontal="left" vertical="center" wrapText="1"/>
    </xf>
    <xf numFmtId="0" fontId="50" fillId="0" borderId="4" xfId="0" applyFont="1" applyBorder="1" applyAlignment="1">
      <alignment horizontal="left" vertical="center" wrapText="1"/>
    </xf>
    <xf numFmtId="0" fontId="53" fillId="0" borderId="4" xfId="0" applyFont="1" applyBorder="1" applyAlignment="1">
      <alignment horizontal="left" vertical="center" wrapText="1"/>
    </xf>
    <xf numFmtId="0" fontId="12" fillId="0" borderId="19" xfId="0" applyFont="1" applyBorder="1" applyAlignment="1">
      <alignment horizontal="left" vertical="center" wrapText="1"/>
    </xf>
    <xf numFmtId="0" fontId="58" fillId="8" borderId="4" xfId="0" applyFont="1" applyFill="1" applyBorder="1" applyAlignment="1">
      <alignment horizontal="left" vertical="center" wrapText="1"/>
    </xf>
    <xf numFmtId="0" fontId="250" fillId="8" borderId="4" xfId="1" applyFont="1" applyFill="1" applyBorder="1" applyAlignment="1">
      <alignment horizontal="left" vertical="center" wrapText="1"/>
    </xf>
    <xf numFmtId="0" fontId="42" fillId="8" borderId="4" xfId="0" applyFont="1" applyFill="1" applyBorder="1" applyAlignment="1">
      <alignment horizontal="left" vertical="center" wrapText="1"/>
    </xf>
    <xf numFmtId="0" fontId="59" fillId="0" borderId="19" xfId="0" applyFont="1" applyBorder="1" applyAlignment="1">
      <alignment horizontal="left" vertical="center" wrapText="1"/>
    </xf>
    <xf numFmtId="0" fontId="63" fillId="0" borderId="4" xfId="0" applyFont="1" applyBorder="1" applyAlignment="1">
      <alignment horizontal="left" vertical="center" wrapText="1"/>
    </xf>
    <xf numFmtId="0" fontId="64" fillId="0" borderId="4" xfId="0" applyFont="1" applyBorder="1" applyAlignment="1">
      <alignment horizontal="left" vertical="center" wrapText="1"/>
    </xf>
    <xf numFmtId="0" fontId="65" fillId="0" borderId="4" xfId="0" applyFont="1" applyBorder="1" applyAlignment="1">
      <alignment horizontal="left" vertical="center" wrapText="1"/>
    </xf>
    <xf numFmtId="0" fontId="66" fillId="0" borderId="4" xfId="0" applyFont="1" applyBorder="1" applyAlignment="1">
      <alignment horizontal="left" vertical="center" wrapText="1"/>
    </xf>
    <xf numFmtId="0" fontId="12" fillId="0" borderId="19" xfId="0" applyFont="1" applyBorder="1" applyAlignment="1">
      <alignment horizontal="left" wrapText="1"/>
    </xf>
    <xf numFmtId="0" fontId="6" fillId="0" borderId="19" xfId="0" applyFont="1" applyBorder="1" applyAlignment="1">
      <alignment horizontal="left" wrapText="1"/>
    </xf>
    <xf numFmtId="0" fontId="59" fillId="0" borderId="19" xfId="0" applyFont="1" applyBorder="1" applyAlignment="1">
      <alignment horizontal="left" wrapText="1"/>
    </xf>
    <xf numFmtId="0" fontId="32" fillId="8" borderId="4" xfId="0" applyFont="1" applyFill="1" applyBorder="1" applyAlignment="1">
      <alignment horizontal="left" wrapText="1"/>
    </xf>
    <xf numFmtId="0" fontId="35" fillId="8" borderId="4" xfId="0" applyFont="1" applyFill="1" applyBorder="1" applyAlignment="1">
      <alignment horizontal="left" wrapText="1"/>
    </xf>
    <xf numFmtId="0" fontId="59" fillId="0" borderId="4" xfId="0" applyFont="1" applyBorder="1" applyAlignment="1">
      <alignment horizontal="left" vertical="center" wrapText="1"/>
    </xf>
    <xf numFmtId="0" fontId="74" fillId="0" borderId="16" xfId="0" applyFont="1" applyBorder="1" applyAlignment="1">
      <alignment horizontal="left" wrapText="1"/>
    </xf>
    <xf numFmtId="0" fontId="74" fillId="0" borderId="19" xfId="0" applyFont="1" applyBorder="1" applyAlignment="1">
      <alignment horizontal="left" wrapText="1"/>
    </xf>
    <xf numFmtId="0" fontId="35" fillId="0" borderId="4" xfId="0" applyFont="1" applyBorder="1" applyAlignment="1">
      <alignment horizontal="left" wrapText="1"/>
    </xf>
    <xf numFmtId="0" fontId="74" fillId="0" borderId="4" xfId="0" applyFont="1" applyBorder="1" applyAlignment="1">
      <alignment horizontal="left" wrapText="1"/>
    </xf>
    <xf numFmtId="0" fontId="43" fillId="0" borderId="4" xfId="0" applyFont="1" applyBorder="1" applyAlignment="1">
      <alignment horizontal="left" vertical="center" wrapText="1"/>
    </xf>
    <xf numFmtId="0" fontId="82" fillId="8" borderId="19" xfId="0" applyFont="1" applyFill="1" applyBorder="1" applyAlignment="1">
      <alignment horizontal="left" wrapText="1"/>
    </xf>
    <xf numFmtId="0" fontId="12" fillId="8" borderId="4" xfId="0" applyFont="1" applyFill="1" applyBorder="1" applyAlignment="1">
      <alignment horizontal="left" vertical="center" wrapText="1"/>
    </xf>
    <xf numFmtId="0" fontId="59" fillId="8" borderId="4" xfId="0" applyFont="1" applyFill="1" applyBorder="1" applyAlignment="1">
      <alignment horizontal="left" vertical="center" wrapText="1"/>
    </xf>
    <xf numFmtId="0" fontId="63" fillId="0" borderId="19" xfId="0" applyFont="1" applyBorder="1" applyAlignment="1">
      <alignment horizontal="left" wrapText="1"/>
    </xf>
    <xf numFmtId="0" fontId="88" fillId="8" borderId="19" xfId="0" applyFont="1" applyFill="1" applyBorder="1" applyAlignment="1">
      <alignment horizontal="left" wrapText="1"/>
    </xf>
    <xf numFmtId="0" fontId="74" fillId="0" borderId="7" xfId="0" applyFont="1" applyBorder="1" applyAlignment="1">
      <alignment horizontal="left" wrapText="1"/>
    </xf>
    <xf numFmtId="0" fontId="12" fillId="8" borderId="4" xfId="0" applyFont="1" applyFill="1" applyBorder="1" applyAlignment="1">
      <alignment horizontal="left" wrapText="1"/>
    </xf>
    <xf numFmtId="0" fontId="63" fillId="8" borderId="4" xfId="0" applyFont="1" applyFill="1" applyBorder="1" applyAlignment="1">
      <alignment horizontal="left" wrapText="1"/>
    </xf>
    <xf numFmtId="0" fontId="90" fillId="0" borderId="4" xfId="0" applyFont="1" applyBorder="1" applyAlignment="1">
      <alignment horizontal="left" vertical="center" wrapText="1"/>
    </xf>
    <xf numFmtId="0" fontId="94" fillId="0" borderId="39" xfId="0" applyFont="1" applyBorder="1" applyAlignment="1">
      <alignment horizontal="left" wrapText="1"/>
    </xf>
    <xf numFmtId="0" fontId="94" fillId="0" borderId="7" xfId="0" applyFont="1" applyBorder="1" applyAlignment="1">
      <alignment horizontal="left" wrapText="1"/>
    </xf>
    <xf numFmtId="0" fontId="74" fillId="8" borderId="7" xfId="0" applyFont="1" applyFill="1" applyBorder="1" applyAlignment="1">
      <alignment horizontal="left" wrapText="1"/>
    </xf>
    <xf numFmtId="0" fontId="94" fillId="8" borderId="7" xfId="0" applyFont="1" applyFill="1" applyBorder="1" applyAlignment="1">
      <alignment horizontal="left" wrapText="1"/>
    </xf>
    <xf numFmtId="0" fontId="94" fillId="0" borderId="4" xfId="0" applyFont="1" applyBorder="1" applyAlignment="1">
      <alignment horizontal="left" wrapText="1"/>
    </xf>
    <xf numFmtId="0" fontId="94" fillId="0" borderId="40" xfId="0" applyFont="1" applyBorder="1" applyAlignment="1">
      <alignment horizontal="left" wrapText="1"/>
    </xf>
    <xf numFmtId="0" fontId="94" fillId="0" borderId="41" xfId="0" applyFont="1" applyBorder="1" applyAlignment="1">
      <alignment horizontal="left" wrapText="1"/>
    </xf>
    <xf numFmtId="0" fontId="250" fillId="0" borderId="4" xfId="1" applyFont="1" applyBorder="1" applyAlignment="1">
      <alignment horizontal="left" wrapText="1"/>
    </xf>
    <xf numFmtId="0" fontId="12" fillId="0" borderId="19" xfId="0" applyFont="1" applyBorder="1" applyAlignment="1">
      <alignment horizontal="left"/>
    </xf>
    <xf numFmtId="0" fontId="63" fillId="0" borderId="19" xfId="0" applyFont="1" applyBorder="1" applyAlignment="1">
      <alignment horizontal="left"/>
    </xf>
    <xf numFmtId="0" fontId="74" fillId="0" borderId="4" xfId="0" applyFont="1" applyBorder="1" applyAlignment="1">
      <alignment horizontal="left"/>
    </xf>
    <xf numFmtId="0" fontId="19" fillId="0" borderId="4" xfId="0" applyFont="1" applyBorder="1" applyAlignment="1">
      <alignment horizontal="left"/>
    </xf>
    <xf numFmtId="0" fontId="12" fillId="0" borderId="19" xfId="0" applyFont="1" applyBorder="1" applyAlignment="1">
      <alignment horizontal="left" vertical="center"/>
    </xf>
    <xf numFmtId="0" fontId="106" fillId="0" borderId="4" xfId="0" applyFont="1" applyBorder="1" applyAlignment="1">
      <alignment horizontal="left"/>
    </xf>
    <xf numFmtId="0" fontId="109" fillId="0" borderId="4" xfId="0" applyFont="1" applyBorder="1" applyAlignment="1">
      <alignment horizontal="left"/>
    </xf>
    <xf numFmtId="0" fontId="50" fillId="0" borderId="19" xfId="0" applyFont="1" applyBorder="1" applyAlignment="1">
      <alignment horizontal="left"/>
    </xf>
    <xf numFmtId="0" fontId="88" fillId="8" borderId="4" xfId="0" applyFont="1" applyFill="1" applyBorder="1" applyAlignment="1">
      <alignment horizontal="left"/>
    </xf>
    <xf numFmtId="0" fontId="12" fillId="0" borderId="4" xfId="0" applyFont="1" applyBorder="1" applyAlignment="1">
      <alignment horizontal="left"/>
    </xf>
    <xf numFmtId="0" fontId="250" fillId="0" borderId="19" xfId="1" applyFont="1" applyBorder="1" applyAlignment="1">
      <alignment horizontal="left"/>
    </xf>
    <xf numFmtId="0" fontId="59" fillId="0" borderId="4" xfId="0" applyFont="1" applyBorder="1" applyAlignment="1">
      <alignment horizontal="left" wrapText="1"/>
    </xf>
    <xf numFmtId="0" fontId="65" fillId="0" borderId="7" xfId="0" applyFont="1" applyBorder="1" applyAlignment="1">
      <alignment horizontal="left" wrapText="1"/>
    </xf>
    <xf numFmtId="0" fontId="250" fillId="0" borderId="7" xfId="1" applyFont="1" applyBorder="1" applyAlignment="1">
      <alignment horizontal="left" wrapText="1"/>
    </xf>
    <xf numFmtId="0" fontId="6" fillId="0" borderId="19" xfId="0" applyFont="1" applyBorder="1" applyAlignment="1">
      <alignment horizontal="left"/>
    </xf>
    <xf numFmtId="0" fontId="118" fillId="0" borderId="19" xfId="0" applyFont="1" applyBorder="1" applyAlignment="1">
      <alignment horizontal="left"/>
    </xf>
    <xf numFmtId="0" fontId="92" fillId="0" borderId="4" xfId="0" applyFont="1" applyBorder="1" applyAlignment="1">
      <alignment horizontal="left"/>
    </xf>
    <xf numFmtId="0" fontId="126" fillId="0" borderId="19" xfId="0" applyFont="1" applyBorder="1" applyAlignment="1">
      <alignment horizontal="left"/>
    </xf>
    <xf numFmtId="0" fontId="43" fillId="0" borderId="19" xfId="0" applyFont="1" applyBorder="1" applyAlignment="1">
      <alignment horizontal="left"/>
    </xf>
    <xf numFmtId="0" fontId="6" fillId="0" borderId="4" xfId="0" applyFont="1" applyBorder="1" applyAlignment="1">
      <alignment horizontal="left"/>
    </xf>
    <xf numFmtId="0" fontId="127" fillId="0" borderId="4" xfId="0" applyFont="1" applyBorder="1" applyAlignment="1">
      <alignment horizontal="left"/>
    </xf>
    <xf numFmtId="0" fontId="94" fillId="0" borderId="4" xfId="0" applyFont="1" applyBorder="1" applyAlignment="1">
      <alignment horizontal="left"/>
    </xf>
    <xf numFmtId="0" fontId="128" fillId="0" borderId="4" xfId="0" applyFont="1" applyBorder="1" applyAlignment="1">
      <alignment horizontal="left"/>
    </xf>
    <xf numFmtId="0" fontId="127" fillId="0" borderId="19" xfId="0" applyFont="1" applyBorder="1" applyAlignment="1">
      <alignment horizontal="left"/>
    </xf>
    <xf numFmtId="0" fontId="130" fillId="0" borderId="4" xfId="0" applyFont="1" applyBorder="1" applyAlignment="1">
      <alignment horizontal="left"/>
    </xf>
    <xf numFmtId="0" fontId="131" fillId="0" borderId="4" xfId="0" applyFont="1" applyBorder="1" applyAlignment="1">
      <alignment horizontal="left"/>
    </xf>
    <xf numFmtId="0" fontId="94" fillId="0" borderId="19" xfId="0" applyFont="1" applyBorder="1" applyAlignment="1">
      <alignment horizontal="left"/>
    </xf>
    <xf numFmtId="0" fontId="135" fillId="0" borderId="4" xfId="0" applyFont="1" applyBorder="1" applyAlignment="1">
      <alignment horizontal="left"/>
    </xf>
    <xf numFmtId="0" fontId="250" fillId="0" borderId="4" xfId="1" applyFont="1" applyBorder="1" applyAlignment="1">
      <alignment horizontal="left"/>
    </xf>
    <xf numFmtId="0" fontId="70" fillId="0" borderId="4" xfId="0" applyFont="1" applyBorder="1" applyAlignment="1">
      <alignment horizontal="left"/>
    </xf>
    <xf numFmtId="0" fontId="115" fillId="0" borderId="4" xfId="0" applyFont="1" applyBorder="1" applyAlignment="1">
      <alignment horizontal="left"/>
    </xf>
    <xf numFmtId="0" fontId="115" fillId="0" borderId="19" xfId="0" applyFont="1" applyBorder="1" applyAlignment="1">
      <alignment horizontal="left"/>
    </xf>
    <xf numFmtId="0" fontId="138" fillId="0" borderId="4" xfId="0" applyFont="1" applyBorder="1" applyAlignment="1">
      <alignment horizontal="left" vertical="center" wrapText="1"/>
    </xf>
    <xf numFmtId="0" fontId="12" fillId="0" borderId="4" xfId="0" applyFont="1" applyBorder="1" applyAlignment="1">
      <alignment horizontal="left" vertical="center"/>
    </xf>
    <xf numFmtId="0" fontId="43" fillId="0" borderId="4" xfId="0" applyFont="1" applyBorder="1" applyAlignment="1">
      <alignment horizontal="left"/>
    </xf>
    <xf numFmtId="0" fontId="63" fillId="0" borderId="4" xfId="0" applyFont="1" applyBorder="1" applyAlignment="1">
      <alignment horizontal="left"/>
    </xf>
    <xf numFmtId="0" fontId="35" fillId="0" borderId="19" xfId="0" applyFont="1" applyBorder="1" applyAlignment="1">
      <alignment horizontal="left"/>
    </xf>
    <xf numFmtId="0" fontId="126" fillId="0" borderId="4" xfId="0" applyFont="1" applyBorder="1" applyAlignment="1">
      <alignment horizontal="left"/>
    </xf>
    <xf numFmtId="0" fontId="154" fillId="17" borderId="4" xfId="0" applyFont="1" applyFill="1" applyBorder="1" applyAlignment="1">
      <alignment horizontal="left"/>
    </xf>
    <xf numFmtId="0" fontId="102" fillId="0" borderId="4" xfId="0" applyFont="1" applyBorder="1" applyAlignment="1">
      <alignment horizontal="left" vertical="top" wrapText="1"/>
    </xf>
    <xf numFmtId="0" fontId="161" fillId="8" borderId="4" xfId="0" applyFont="1" applyFill="1" applyBorder="1" applyAlignment="1">
      <alignment horizontal="left"/>
    </xf>
    <xf numFmtId="0" fontId="38" fillId="8" borderId="4" xfId="0" applyFont="1" applyFill="1" applyBorder="1" applyAlignment="1">
      <alignment horizontal="left"/>
    </xf>
    <xf numFmtId="0" fontId="164" fillId="0" borderId="4" xfId="0" applyFont="1" applyBorder="1" applyAlignment="1">
      <alignment horizontal="left"/>
    </xf>
    <xf numFmtId="0" fontId="164" fillId="0" borderId="7" xfId="0" applyFont="1" applyBorder="1" applyAlignment="1">
      <alignment horizontal="left"/>
    </xf>
    <xf numFmtId="0" fontId="74" fillId="0" borderId="19" xfId="0" applyFont="1" applyBorder="1" applyAlignment="1">
      <alignment horizontal="left"/>
    </xf>
    <xf numFmtId="0" fontId="166" fillId="0" borderId="19" xfId="0" applyFont="1" applyBorder="1" applyAlignment="1">
      <alignment horizontal="left"/>
    </xf>
    <xf numFmtId="0" fontId="169" fillId="0" borderId="4" xfId="0" applyFont="1" applyBorder="1" applyAlignment="1">
      <alignment horizontal="center"/>
    </xf>
    <xf numFmtId="0" fontId="94" fillId="0" borderId="4" xfId="0" applyFont="1" applyBorder="1" applyAlignment="1">
      <alignment horizontal="center"/>
    </xf>
    <xf numFmtId="0" fontId="35" fillId="8" borderId="4" xfId="0" applyFont="1" applyFill="1" applyBorder="1" applyAlignment="1">
      <alignment horizontal="center"/>
    </xf>
    <xf numFmtId="0" fontId="172" fillId="0" borderId="4" xfId="0" applyFont="1" applyBorder="1" applyAlignment="1">
      <alignment horizontal="left" wrapText="1"/>
    </xf>
    <xf numFmtId="0" fontId="50" fillId="0" borderId="7" xfId="0" applyFont="1" applyBorder="1" applyAlignment="1">
      <alignment horizontal="left" wrapText="1"/>
    </xf>
    <xf numFmtId="0" fontId="173" fillId="8" borderId="7" xfId="0" applyFont="1" applyFill="1" applyBorder="1" applyAlignment="1">
      <alignment horizontal="left" wrapText="1"/>
    </xf>
    <xf numFmtId="0" fontId="174" fillId="0" borderId="7" xfId="0" applyFont="1" applyBorder="1" applyAlignment="1">
      <alignment horizontal="left" wrapText="1"/>
    </xf>
    <xf numFmtId="0" fontId="46" fillId="0" borderId="7" xfId="0" applyFont="1" applyBorder="1" applyAlignment="1">
      <alignment horizontal="left" wrapText="1"/>
    </xf>
    <xf numFmtId="0" fontId="172" fillId="0" borderId="4" xfId="0" applyFont="1" applyBorder="1" applyAlignment="1">
      <alignment horizontal="left"/>
    </xf>
    <xf numFmtId="0" fontId="51" fillId="0" borderId="7" xfId="0" applyFont="1" applyBorder="1" applyAlignment="1">
      <alignment horizontal="left" wrapText="1"/>
    </xf>
    <xf numFmtId="0" fontId="176" fillId="8" borderId="7" xfId="0" applyFont="1" applyFill="1" applyBorder="1" applyAlignment="1">
      <alignment horizontal="left" wrapText="1"/>
    </xf>
    <xf numFmtId="0" fontId="102" fillId="8" borderId="4" xfId="0" applyFont="1" applyFill="1" applyBorder="1" applyAlignment="1">
      <alignment horizontal="left" wrapText="1"/>
    </xf>
    <xf numFmtId="0" fontId="63" fillId="8" borderId="4" xfId="0" applyFont="1" applyFill="1" applyBorder="1" applyAlignment="1">
      <alignment horizontal="center"/>
    </xf>
    <xf numFmtId="0" fontId="12" fillId="8" borderId="4" xfId="0" applyFont="1" applyFill="1" applyBorder="1" applyAlignment="1">
      <alignment horizontal="center"/>
    </xf>
    <xf numFmtId="0" fontId="127" fillId="0" borderId="19" xfId="0" applyFont="1" applyBorder="1"/>
    <xf numFmtId="0" fontId="59" fillId="0" borderId="19" xfId="0" applyFont="1" applyBorder="1"/>
    <xf numFmtId="0" fontId="12" fillId="0" borderId="19" xfId="0" applyFont="1" applyBorder="1"/>
    <xf numFmtId="0" fontId="74" fillId="0" borderId="19" xfId="0" applyFont="1" applyBorder="1"/>
    <xf numFmtId="0" fontId="191" fillId="0" borderId="4" xfId="0" applyFont="1" applyBorder="1" applyAlignment="1">
      <alignment horizontal="left"/>
    </xf>
    <xf numFmtId="0" fontId="191" fillId="0" borderId="7" xfId="0" applyFont="1" applyBorder="1" applyAlignment="1">
      <alignment horizontal="left"/>
    </xf>
    <xf numFmtId="0" fontId="195" fillId="0" borderId="7" xfId="0" applyFont="1" applyBorder="1" applyAlignment="1">
      <alignment horizontal="left"/>
    </xf>
    <xf numFmtId="0" fontId="38" fillId="0" borderId="7" xfId="0" applyFont="1" applyBorder="1" applyAlignment="1">
      <alignment horizontal="left"/>
    </xf>
    <xf numFmtId="0" fontId="126" fillId="8" borderId="4" xfId="0" applyFont="1" applyFill="1" applyBorder="1" applyAlignment="1">
      <alignment horizontal="left"/>
    </xf>
    <xf numFmtId="0" fontId="102" fillId="0" borderId="19" xfId="0" applyFont="1" applyBorder="1"/>
    <xf numFmtId="0" fontId="136" fillId="0" borderId="19" xfId="0" applyFont="1" applyBorder="1"/>
    <xf numFmtId="0" fontId="137" fillId="0" borderId="19" xfId="0" applyFont="1" applyBorder="1"/>
    <xf numFmtId="0" fontId="136" fillId="0" borderId="4" xfId="0" applyFont="1" applyBorder="1" applyAlignment="1">
      <alignment horizontal="left" vertical="top" wrapText="1"/>
    </xf>
    <xf numFmtId="0" fontId="166" fillId="0" borderId="4" xfId="0" applyFont="1" applyBorder="1"/>
    <xf numFmtId="0" fontId="166" fillId="0" borderId="7" xfId="0" applyFont="1" applyBorder="1"/>
    <xf numFmtId="0" fontId="88" fillId="0" borderId="4" xfId="0" applyFont="1" applyBorder="1" applyAlignment="1">
      <alignment horizontal="left" vertical="top" wrapText="1"/>
    </xf>
    <xf numFmtId="0" fontId="38" fillId="0" borderId="4" xfId="0" applyFont="1" applyBorder="1"/>
    <xf numFmtId="0" fontId="211" fillId="0" borderId="4" xfId="0" applyFont="1" applyBorder="1" applyAlignment="1">
      <alignment horizontal="left"/>
    </xf>
    <xf numFmtId="0" fontId="19" fillId="8" borderId="4" xfId="0" applyFont="1" applyFill="1" applyBorder="1" applyAlignment="1">
      <alignment horizontal="left"/>
    </xf>
    <xf numFmtId="0" fontId="70" fillId="0" borderId="19" xfId="0" applyFont="1" applyBorder="1"/>
    <xf numFmtId="0" fontId="231" fillId="8" borderId="4" xfId="0" applyFont="1" applyFill="1" applyBorder="1" applyAlignment="1">
      <alignment horizontal="left"/>
    </xf>
    <xf numFmtId="0" fontId="74" fillId="8" borderId="4" xfId="0" applyFont="1" applyFill="1" applyBorder="1"/>
    <xf numFmtId="0" fontId="233" fillId="21" borderId="4" xfId="0" applyFont="1" applyFill="1" applyBorder="1" applyAlignment="1">
      <alignment horizontal="left"/>
    </xf>
    <xf numFmtId="0" fontId="38" fillId="22" borderId="4" xfId="0" applyFont="1" applyFill="1" applyBorder="1" applyAlignment="1">
      <alignment horizontal="left"/>
    </xf>
    <xf numFmtId="0" fontId="126" fillId="22" borderId="4" xfId="0" applyFont="1" applyFill="1" applyBorder="1" applyAlignment="1">
      <alignment horizontal="left"/>
    </xf>
    <xf numFmtId="0" fontId="250" fillId="0" borderId="4" xfId="1" applyFont="1" applyBorder="1" applyAlignment="1">
      <alignment readingOrder="1"/>
    </xf>
    <xf numFmtId="0" fontId="250" fillId="0" borderId="42" xfId="1" applyFont="1" applyBorder="1" applyAlignment="1">
      <alignment readingOrder="1"/>
    </xf>
    <xf numFmtId="0" fontId="250" fillId="0" borderId="19" xfId="1" applyFont="1" applyBorder="1" applyAlignment="1">
      <alignment readingOrder="1"/>
    </xf>
    <xf numFmtId="0" fontId="250" fillId="0" borderId="5" xfId="1" applyFont="1" applyBorder="1" applyAlignment="1">
      <alignment horizontal="center" vertical="center"/>
    </xf>
    <xf numFmtId="0" fontId="261" fillId="0" borderId="5" xfId="1" applyFont="1" applyBorder="1" applyAlignment="1">
      <alignment vertical="center"/>
    </xf>
    <xf numFmtId="0" fontId="250" fillId="0" borderId="4" xfId="1" applyFont="1" applyBorder="1"/>
    <xf numFmtId="0" fontId="250" fillId="8" borderId="5" xfId="1" applyFont="1" applyFill="1" applyBorder="1" applyAlignment="1">
      <alignment horizontal="left"/>
    </xf>
    <xf numFmtId="0" fontId="250" fillId="8" borderId="5" xfId="1" applyFont="1" applyFill="1" applyBorder="1" applyAlignment="1">
      <alignment vertical="center"/>
    </xf>
    <xf numFmtId="0" fontId="250" fillId="8" borderId="4" xfId="1" applyFont="1" applyFill="1" applyBorder="1" applyAlignment="1">
      <alignment vertical="center"/>
    </xf>
    <xf numFmtId="0" fontId="250" fillId="8" borderId="7" xfId="1" applyFont="1" applyFill="1" applyBorder="1" applyAlignment="1">
      <alignment vertical="center"/>
    </xf>
    <xf numFmtId="0" fontId="268" fillId="8" borderId="4" xfId="1" applyFont="1" applyFill="1" applyBorder="1" applyAlignment="1">
      <alignment horizontal="left" vertical="center"/>
    </xf>
    <xf numFmtId="0" fontId="250" fillId="0" borderId="5" xfId="1" applyFont="1" applyBorder="1"/>
    <xf numFmtId="0" fontId="250" fillId="0" borderId="4" xfId="1" applyFont="1" applyFill="1" applyBorder="1" applyAlignment="1"/>
    <xf numFmtId="0" fontId="250" fillId="0" borderId="4" xfId="1" applyFont="1" applyBorder="1" applyAlignment="1">
      <alignment horizontal="left" vertical="center"/>
    </xf>
    <xf numFmtId="0" fontId="250" fillId="0" borderId="4" xfId="1" applyFont="1" applyBorder="1" applyAlignment="1">
      <alignment horizontal="center" wrapText="1" readingOrder="1"/>
    </xf>
    <xf numFmtId="0" fontId="250" fillId="26" borderId="4" xfId="1" applyFont="1" applyFill="1" applyBorder="1" applyAlignment="1">
      <alignment horizontal="left" vertical="center" wrapText="1"/>
    </xf>
    <xf numFmtId="0" fontId="268" fillId="0" borderId="4" xfId="1" applyFont="1" applyBorder="1"/>
    <xf numFmtId="0" fontId="277" fillId="0" borderId="4" xfId="0" applyFont="1" applyBorder="1"/>
    <xf numFmtId="0" fontId="1" fillId="0" borderId="4" xfId="0" applyFont="1" applyBorder="1"/>
    <xf numFmtId="177" fontId="250" fillId="0" borderId="4" xfId="1" applyNumberFormat="1" applyFont="1" applyBorder="1" applyAlignment="1">
      <alignment horizontal="center"/>
    </xf>
    <xf numFmtId="0" fontId="35" fillId="8" borderId="5" xfId="0" applyFont="1" applyFill="1" applyBorder="1" applyAlignment="1">
      <alignment horizontal="left"/>
    </xf>
    <xf numFmtId="0" fontId="260" fillId="0" borderId="4" xfId="0" applyFont="1" applyBorder="1" applyAlignment="1">
      <alignment horizontal="center" vertical="center"/>
    </xf>
    <xf numFmtId="0" fontId="250" fillId="0" borderId="4" xfId="1" applyFont="1" applyBorder="1" applyAlignment="1">
      <alignment horizontal="center"/>
    </xf>
    <xf numFmtId="0" fontId="279" fillId="0" borderId="4" xfId="0" applyFont="1" applyBorder="1" applyAlignment="1">
      <alignment wrapText="1"/>
    </xf>
    <xf numFmtId="0" fontId="250" fillId="8" borderId="4" xfId="1" applyFont="1" applyFill="1" applyBorder="1" applyAlignment="1">
      <alignment horizontal="center"/>
    </xf>
    <xf numFmtId="0" fontId="250" fillId="0" borderId="4" xfId="1" applyFont="1" applyFill="1" applyBorder="1" applyAlignment="1">
      <alignment horizontal="center"/>
    </xf>
    <xf numFmtId="0" fontId="250" fillId="0" borderId="4" xfId="1" applyFont="1" applyFill="1" applyBorder="1" applyAlignment="1">
      <alignment horizontal="center" readingOrder="1"/>
    </xf>
    <xf numFmtId="0" fontId="268" fillId="0" borderId="4" xfId="1" applyFont="1" applyBorder="1" applyAlignment="1"/>
    <xf numFmtId="0" fontId="250" fillId="0" borderId="4" xfId="1" applyFont="1" applyBorder="1" applyAlignment="1"/>
    <xf numFmtId="0" fontId="250" fillId="0" borderId="19" xfId="1" applyFont="1" applyBorder="1" applyAlignment="1"/>
    <xf numFmtId="0" fontId="268" fillId="31" borderId="4" xfId="1" applyFont="1" applyFill="1" applyBorder="1"/>
    <xf numFmtId="0" fontId="268" fillId="31" borderId="19" xfId="1" applyFont="1" applyFill="1" applyBorder="1"/>
    <xf numFmtId="0" fontId="250" fillId="23" borderId="4" xfId="1" applyFont="1" applyFill="1" applyBorder="1"/>
    <xf numFmtId="0" fontId="250" fillId="23" borderId="19" xfId="1" applyFont="1" applyFill="1" applyBorder="1"/>
    <xf numFmtId="0" fontId="268" fillId="32" borderId="4" xfId="1" applyFont="1" applyFill="1" applyBorder="1"/>
    <xf numFmtId="0" fontId="250" fillId="0" borderId="37" xfId="1" applyFont="1" applyFill="1" applyBorder="1" applyAlignment="1">
      <alignment wrapText="1"/>
    </xf>
    <xf numFmtId="0" fontId="250" fillId="0" borderId="34" xfId="1" applyFont="1" applyFill="1" applyBorder="1" applyAlignment="1">
      <alignment wrapText="1"/>
    </xf>
    <xf numFmtId="0" fontId="250" fillId="0" borderId="7" xfId="1" applyFont="1" applyFill="1" applyBorder="1" applyAlignment="1">
      <alignment wrapText="1"/>
    </xf>
    <xf numFmtId="0" fontId="1" fillId="0" borderId="19" xfId="0" applyFont="1" applyBorder="1"/>
    <xf numFmtId="0" fontId="250" fillId="8" borderId="27" xfId="1" applyFont="1" applyFill="1" applyBorder="1" applyAlignment="1">
      <alignment horizontal="left" vertical="center"/>
    </xf>
    <xf numFmtId="0" fontId="250" fillId="8" borderId="31" xfId="1" applyFont="1" applyFill="1" applyBorder="1" applyAlignment="1">
      <alignment horizontal="left" vertical="center"/>
    </xf>
    <xf numFmtId="165" fontId="264" fillId="0" borderId="1" xfId="0" applyNumberFormat="1" applyFont="1" applyBorder="1" applyAlignment="1">
      <alignment horizontal="center"/>
    </xf>
    <xf numFmtId="165" fontId="19" fillId="0" borderId="1" xfId="0" applyNumberFormat="1" applyFont="1" applyBorder="1" applyAlignment="1">
      <alignment horizontal="center" wrapText="1"/>
    </xf>
    <xf numFmtId="14" fontId="260" fillId="0" borderId="1" xfId="0" applyNumberFormat="1" applyFont="1" applyBorder="1" applyAlignment="1">
      <alignment vertical="center"/>
    </xf>
    <xf numFmtId="0" fontId="0" fillId="0" borderId="1" xfId="0" quotePrefix="1" applyBorder="1" applyAlignment="1">
      <alignment horizontal="center"/>
    </xf>
    <xf numFmtId="0" fontId="80" fillId="0" borderId="1" xfId="0" applyFont="1" applyBorder="1" applyAlignment="1">
      <alignment horizontal="center" wrapText="1"/>
    </xf>
    <xf numFmtId="0" fontId="19" fillId="0" borderId="1" xfId="0" quotePrefix="1" applyFont="1" applyBorder="1" applyAlignment="1">
      <alignment horizontal="center" wrapText="1"/>
    </xf>
    <xf numFmtId="0" fontId="145" fillId="0" borderId="1" xfId="0" applyFont="1" applyBorder="1" applyAlignment="1">
      <alignment horizontal="center" wrapText="1"/>
    </xf>
    <xf numFmtId="0" fontId="31" fillId="0" borderId="19" xfId="0" applyFont="1" applyBorder="1" applyAlignment="1">
      <alignment horizontal="center"/>
    </xf>
    <xf numFmtId="0" fontId="97" fillId="0" borderId="1" xfId="0" applyFont="1" applyBorder="1" applyAlignment="1">
      <alignment horizontal="center"/>
    </xf>
    <xf numFmtId="164" fontId="19" fillId="26" borderId="31" xfId="0" applyNumberFormat="1" applyFont="1" applyFill="1" applyBorder="1" applyAlignment="1">
      <alignment wrapText="1"/>
    </xf>
    <xf numFmtId="0" fontId="19" fillId="26" borderId="31" xfId="0" quotePrefix="1" applyFont="1" applyFill="1" applyBorder="1" applyAlignment="1">
      <alignment horizontal="center" vertical="center" wrapText="1"/>
    </xf>
    <xf numFmtId="178" fontId="19" fillId="0" borderId="1" xfId="0" applyNumberFormat="1" applyFont="1" applyBorder="1" applyAlignment="1">
      <alignment horizontal="center"/>
    </xf>
    <xf numFmtId="0" fontId="19" fillId="26" borderId="22" xfId="0" applyFont="1" applyFill="1" applyBorder="1" applyAlignment="1">
      <alignment wrapText="1"/>
    </xf>
    <xf numFmtId="0" fontId="250" fillId="0" borderId="0" xfId="1" applyFont="1"/>
    <xf numFmtId="0" fontId="302" fillId="0" borderId="3" xfId="0" applyFont="1" applyBorder="1"/>
    <xf numFmtId="0" fontId="152" fillId="0" borderId="1" xfId="0" applyFont="1" applyBorder="1" applyAlignment="1">
      <alignment horizontal="center"/>
    </xf>
    <xf numFmtId="0" fontId="302" fillId="0" borderId="3" xfId="0" applyFont="1" applyBorder="1" applyAlignment="1">
      <alignment horizontal="center"/>
    </xf>
    <xf numFmtId="0" fontId="302" fillId="0" borderId="7" xfId="0" applyFont="1" applyBorder="1" applyAlignment="1">
      <alignment horizontal="center"/>
    </xf>
    <xf numFmtId="165" fontId="152" fillId="0" borderId="1" xfId="0" applyNumberFormat="1" applyFont="1" applyBorder="1" applyAlignment="1">
      <alignment horizontal="center"/>
    </xf>
    <xf numFmtId="0" fontId="250" fillId="0" borderId="3" xfId="1" applyFont="1" applyBorder="1"/>
    <xf numFmtId="0" fontId="80" fillId="26" borderId="1" xfId="0" applyFont="1" applyFill="1" applyBorder="1" applyAlignment="1">
      <alignment horizontal="center" wrapText="1"/>
    </xf>
    <xf numFmtId="165" fontId="80" fillId="0" borderId="1" xfId="0" applyNumberFormat="1" applyFont="1" applyBorder="1" applyAlignment="1">
      <alignment horizontal="center"/>
    </xf>
    <xf numFmtId="165" fontId="80" fillId="26" borderId="1" xfId="0" applyNumberFormat="1" applyFont="1" applyFill="1" applyBorder="1" applyAlignment="1">
      <alignment horizontal="center" wrapText="1"/>
    </xf>
    <xf numFmtId="164" fontId="80" fillId="26" borderId="1" xfId="0" applyNumberFormat="1" applyFont="1" applyFill="1" applyBorder="1" applyAlignment="1">
      <alignment horizontal="center" wrapText="1"/>
    </xf>
    <xf numFmtId="164" fontId="80" fillId="0" borderId="1" xfId="0" applyNumberFormat="1" applyFont="1" applyBorder="1" applyAlignment="1">
      <alignment horizontal="center"/>
    </xf>
    <xf numFmtId="0" fontId="187" fillId="0" borderId="19" xfId="0" applyFont="1" applyBorder="1" applyAlignment="1">
      <alignment horizontal="center" vertical="center"/>
    </xf>
    <xf numFmtId="0" fontId="10" fillId="0" borderId="2" xfId="0" applyFont="1" applyBorder="1" applyAlignment="1">
      <alignment horizontal="center"/>
    </xf>
    <xf numFmtId="14" fontId="19" fillId="0" borderId="1" xfId="0" applyNumberFormat="1" applyFont="1" applyBorder="1" applyAlignment="1">
      <alignment horizontal="left" wrapText="1"/>
    </xf>
    <xf numFmtId="0" fontId="213" fillId="0" borderId="0" xfId="0" applyFont="1"/>
    <xf numFmtId="0" fontId="80" fillId="0" borderId="7" xfId="0" applyFont="1" applyBorder="1" applyAlignment="1">
      <alignment horizontal="center" wrapText="1"/>
    </xf>
    <xf numFmtId="0" fontId="80" fillId="0" borderId="3" xfId="0" applyFont="1" applyBorder="1" applyAlignment="1">
      <alignment horizontal="center" wrapText="1"/>
    </xf>
    <xf numFmtId="0" fontId="302" fillId="0" borderId="3" xfId="0" applyFont="1" applyBorder="1" applyAlignment="1">
      <alignment horizontal="center" wrapText="1"/>
    </xf>
    <xf numFmtId="0" fontId="178" fillId="0" borderId="1" xfId="0" applyFont="1" applyBorder="1" applyAlignment="1">
      <alignment horizontal="center"/>
    </xf>
    <xf numFmtId="165" fontId="80" fillId="0" borderId="3" xfId="0" applyNumberFormat="1" applyFont="1" applyBorder="1" applyAlignment="1">
      <alignment horizontal="center" wrapText="1"/>
    </xf>
    <xf numFmtId="165" fontId="80" fillId="0" borderId="3" xfId="0" applyNumberFormat="1" applyFont="1" applyBorder="1" applyAlignment="1">
      <alignment horizontal="center"/>
    </xf>
    <xf numFmtId="164" fontId="80" fillId="0" borderId="3" xfId="0" applyNumberFormat="1" applyFont="1" applyBorder="1" applyAlignment="1">
      <alignment horizontal="center"/>
    </xf>
    <xf numFmtId="14" fontId="278" fillId="0" borderId="1" xfId="0" applyNumberFormat="1" applyFont="1" applyBorder="1" applyAlignment="1">
      <alignment vertical="center"/>
    </xf>
    <xf numFmtId="164" fontId="182" fillId="0" borderId="1" xfId="0" applyNumberFormat="1" applyFont="1" applyBorder="1" applyAlignment="1">
      <alignment horizontal="center"/>
    </xf>
    <xf numFmtId="0" fontId="304" fillId="0" borderId="1" xfId="0" applyFont="1" applyBorder="1"/>
    <xf numFmtId="0" fontId="268" fillId="0" borderId="4" xfId="1" applyFont="1" applyBorder="1" applyAlignment="1">
      <alignment wrapText="1"/>
    </xf>
    <xf numFmtId="0" fontId="303" fillId="0" borderId="0" xfId="0" applyFont="1"/>
    <xf numFmtId="0" fontId="0" fillId="0" borderId="43" xfId="0" applyBorder="1" applyAlignment="1">
      <alignment horizontal="center" wrapText="1"/>
    </xf>
    <xf numFmtId="0" fontId="35" fillId="0" borderId="7" xfId="0" applyFont="1" applyBorder="1"/>
    <xf numFmtId="0" fontId="39" fillId="28" borderId="1" xfId="0" applyFont="1" applyFill="1" applyBorder="1" applyAlignment="1">
      <alignment horizontal="center" vertical="center" wrapText="1"/>
    </xf>
    <xf numFmtId="0" fontId="305" fillId="0" borderId="7" xfId="1" applyBorder="1"/>
    <xf numFmtId="0" fontId="1" fillId="33"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264" fillId="23" borderId="1" xfId="0" applyFont="1" applyFill="1" applyBorder="1" applyAlignment="1">
      <alignment horizontal="center" wrapText="1"/>
    </xf>
    <xf numFmtId="0" fontId="0" fillId="26" borderId="33" xfId="0" applyFill="1" applyBorder="1" applyAlignment="1">
      <alignment horizontal="center" vertical="center" wrapText="1"/>
    </xf>
    <xf numFmtId="0" fontId="0" fillId="0" borderId="5" xfId="0" applyBorder="1" applyAlignment="1">
      <alignment horizontal="center"/>
    </xf>
    <xf numFmtId="0" fontId="19" fillId="0" borderId="7" xfId="0" applyFont="1" applyBorder="1" applyAlignment="1">
      <alignment horizontal="center" wrapText="1"/>
    </xf>
    <xf numFmtId="0" fontId="35" fillId="0" borderId="1" xfId="0" applyFont="1" applyBorder="1"/>
    <xf numFmtId="177" fontId="0" fillId="0" borderId="9" xfId="0" applyNumberFormat="1" applyBorder="1" applyAlignment="1">
      <alignment horizontal="center"/>
    </xf>
    <xf numFmtId="0" fontId="19" fillId="0" borderId="30" xfId="0" applyFont="1" applyBorder="1" applyAlignment="1">
      <alignment horizontal="center"/>
    </xf>
    <xf numFmtId="0" fontId="0" fillId="0" borderId="30" xfId="0" applyBorder="1" applyAlignment="1">
      <alignment horizontal="center" vertical="center"/>
    </xf>
    <xf numFmtId="0" fontId="250" fillId="0" borderId="31" xfId="1" applyFont="1" applyBorder="1" applyAlignment="1">
      <alignment horizontal="center" vertical="center"/>
    </xf>
    <xf numFmtId="0" fontId="250" fillId="0" borderId="1" xfId="1" applyFont="1" applyFill="1" applyBorder="1" applyAlignment="1"/>
    <xf numFmtId="0" fontId="250" fillId="0" borderId="3" xfId="1" applyFont="1" applyFill="1" applyBorder="1" applyAlignment="1"/>
    <xf numFmtId="0" fontId="250" fillId="0" borderId="7" xfId="1" applyFont="1" applyFill="1" applyBorder="1" applyAlignment="1"/>
    <xf numFmtId="0" fontId="250" fillId="23" borderId="44" xfId="1" applyFont="1" applyFill="1" applyBorder="1" applyAlignment="1">
      <alignment readingOrder="1"/>
    </xf>
    <xf numFmtId="0" fontId="250" fillId="23" borderId="24" xfId="1" applyFont="1" applyFill="1" applyBorder="1" applyAlignment="1">
      <alignment readingOrder="1"/>
    </xf>
    <xf numFmtId="0" fontId="250" fillId="23" borderId="45" xfId="1" applyFont="1" applyFill="1" applyBorder="1" applyAlignment="1">
      <alignment readingOrder="1"/>
    </xf>
    <xf numFmtId="0" fontId="305" fillId="23" borderId="24" xfId="1" applyFill="1" applyBorder="1" applyAlignment="1">
      <alignment readingOrder="1"/>
    </xf>
    <xf numFmtId="0" fontId="306" fillId="27" borderId="1" xfId="0" applyFont="1" applyFill="1" applyBorder="1" applyAlignment="1">
      <alignment horizontal="center" vertical="center" wrapText="1"/>
    </xf>
    <xf numFmtId="0" fontId="305" fillId="8" borderId="4" xfId="1" applyFill="1" applyBorder="1" applyAlignment="1">
      <alignment horizontal="center"/>
    </xf>
    <xf numFmtId="0" fontId="305" fillId="0" borderId="31" xfId="1" applyFill="1" applyBorder="1" applyAlignment="1">
      <alignment horizontal="center"/>
    </xf>
    <xf numFmtId="0" fontId="1" fillId="0" borderId="23" xfId="0" applyFont="1" applyBorder="1" applyAlignment="1">
      <alignment horizontal="center" wrapText="1"/>
    </xf>
    <xf numFmtId="0" fontId="31" fillId="0" borderId="31" xfId="0" applyFont="1" applyBorder="1" applyAlignment="1">
      <alignment horizontal="center" wrapText="1"/>
    </xf>
    <xf numFmtId="0" fontId="31" fillId="0" borderId="23" xfId="0" applyFont="1" applyBorder="1" applyAlignment="1">
      <alignment horizontal="center"/>
    </xf>
    <xf numFmtId="0" fontId="305" fillId="8" borderId="7" xfId="1" applyFill="1" applyBorder="1" applyAlignment="1">
      <alignment horizontal="center"/>
    </xf>
    <xf numFmtId="0" fontId="19" fillId="8" borderId="34" xfId="0" applyFont="1" applyFill="1" applyBorder="1" applyAlignment="1">
      <alignment horizontal="center"/>
    </xf>
    <xf numFmtId="0" fontId="307" fillId="0" borderId="19" xfId="0" applyFont="1" applyBorder="1" applyAlignment="1">
      <alignment horizontal="center"/>
    </xf>
    <xf numFmtId="0" fontId="19" fillId="23" borderId="18" xfId="0" applyFont="1" applyFill="1" applyBorder="1" applyAlignment="1">
      <alignment horizontal="center" readingOrder="1"/>
    </xf>
    <xf numFmtId="0" fontId="80" fillId="23" borderId="1" xfId="0" applyFont="1" applyFill="1" applyBorder="1" applyAlignment="1">
      <alignment horizontal="center" wrapText="1"/>
    </xf>
    <xf numFmtId="0" fontId="19" fillId="23" borderId="1" xfId="0" applyFont="1" applyFill="1" applyBorder="1" applyAlignment="1">
      <alignment horizontal="center" wrapText="1" readingOrder="1"/>
    </xf>
    <xf numFmtId="0" fontId="80" fillId="23" borderId="18" xfId="0" applyFont="1" applyFill="1" applyBorder="1" applyAlignment="1">
      <alignment horizontal="center" readingOrder="1"/>
    </xf>
    <xf numFmtId="0" fontId="80" fillId="23" borderId="1" xfId="0" applyFont="1" applyFill="1" applyBorder="1" applyAlignment="1">
      <alignment horizontal="center" readingOrder="1"/>
    </xf>
    <xf numFmtId="0" fontId="80" fillId="23" borderId="0" xfId="0" applyFont="1" applyFill="1" applyAlignment="1">
      <alignment horizontal="center" wrapText="1"/>
    </xf>
    <xf numFmtId="0" fontId="19" fillId="23" borderId="5" xfId="0" applyFont="1" applyFill="1" applyBorder="1" applyAlignment="1">
      <alignment horizontal="center" readingOrder="1"/>
    </xf>
    <xf numFmtId="0" fontId="308" fillId="0" borderId="1" xfId="0" applyFont="1" applyBorder="1"/>
    <xf numFmtId="0" fontId="308" fillId="0" borderId="4" xfId="0" applyFont="1" applyBorder="1"/>
    <xf numFmtId="0" fontId="305" fillId="0" borderId="4" xfId="1" applyBorder="1" applyAlignment="1">
      <alignment horizontal="left" vertical="center" wrapText="1"/>
    </xf>
    <xf numFmtId="0" fontId="35" fillId="0" borderId="3" xfId="0" applyFont="1" applyBorder="1"/>
    <xf numFmtId="0" fontId="305" fillId="0" borderId="4" xfId="1" applyBorder="1"/>
    <xf numFmtId="0" fontId="305" fillId="0" borderId="31" xfId="1" applyBorder="1" applyAlignment="1">
      <alignment horizontal="center" wrapText="1"/>
    </xf>
    <xf numFmtId="0" fontId="305" fillId="0" borderId="19" xfId="1" applyBorder="1"/>
    <xf numFmtId="0" fontId="305" fillId="0" borderId="31" xfId="1" applyBorder="1" applyAlignment="1">
      <alignment horizontal="center"/>
    </xf>
    <xf numFmtId="0" fontId="309" fillId="34" borderId="1" xfId="0" applyFont="1" applyFill="1" applyBorder="1" applyAlignment="1">
      <alignment horizontal="center" vertical="center" wrapText="1"/>
    </xf>
    <xf numFmtId="164" fontId="1" fillId="0" borderId="1" xfId="0" applyNumberFormat="1" applyFont="1" applyBorder="1" applyAlignment="1">
      <alignment horizontal="center" vertical="center" wrapText="1"/>
    </xf>
    <xf numFmtId="0" fontId="305" fillId="0" borderId="1" xfId="1" applyBorder="1" applyAlignment="1">
      <alignment horizontal="center" vertical="center" wrapText="1"/>
    </xf>
    <xf numFmtId="0" fontId="310" fillId="0" borderId="1" xfId="0" applyFont="1" applyBorder="1" applyAlignment="1">
      <alignment horizontal="center"/>
    </xf>
    <xf numFmtId="0" fontId="310" fillId="0" borderId="1" xfId="0" applyFont="1" applyBorder="1" applyAlignment="1">
      <alignment horizontal="center" vertical="center"/>
    </xf>
    <xf numFmtId="0" fontId="311" fillId="0" borderId="1" xfId="1" applyFont="1" applyBorder="1" applyAlignment="1">
      <alignment horizontal="center"/>
    </xf>
    <xf numFmtId="0" fontId="187" fillId="0" borderId="0" xfId="0" applyFont="1" applyAlignment="1">
      <alignment horizontal="center" wrapText="1"/>
    </xf>
    <xf numFmtId="0" fontId="305" fillId="0" borderId="7" xfId="1" applyBorder="1" applyAlignment="1">
      <alignment wrapText="1"/>
    </xf>
    <xf numFmtId="0" fontId="52" fillId="35" borderId="1" xfId="0" applyFont="1" applyFill="1" applyBorder="1" applyAlignment="1">
      <alignment horizontal="center" vertical="center"/>
    </xf>
    <xf numFmtId="0" fontId="52" fillId="35" borderId="1" xfId="0" applyFont="1" applyFill="1" applyBorder="1" applyAlignment="1">
      <alignment horizontal="center" vertical="center" wrapText="1"/>
    </xf>
    <xf numFmtId="0" fontId="2" fillId="35" borderId="1" xfId="0" applyFont="1" applyFill="1" applyBorder="1" applyAlignment="1">
      <alignment horizontal="center" vertical="center"/>
    </xf>
    <xf numFmtId="0" fontId="305" fillId="36" borderId="0" xfId="1" applyFill="1" applyAlignment="1">
      <alignment vertical="center"/>
    </xf>
    <xf numFmtId="0" fontId="311" fillId="36" borderId="0" xfId="1" applyFont="1" applyFill="1" applyAlignment="1">
      <alignment vertical="center"/>
    </xf>
    <xf numFmtId="0" fontId="305" fillId="0" borderId="1" xfId="1" applyBorder="1" applyAlignment="1">
      <alignment horizontal="center"/>
    </xf>
    <xf numFmtId="0" fontId="305" fillId="0" borderId="4" xfId="1" applyBorder="1" applyAlignment="1">
      <alignment horizontal="left" wrapText="1"/>
    </xf>
    <xf numFmtId="0" fontId="313" fillId="0" borderId="1" xfId="0" applyFont="1" applyBorder="1" applyAlignment="1">
      <alignment horizontal="center"/>
    </xf>
    <xf numFmtId="0" fontId="305" fillId="0" borderId="4" xfId="1" applyBorder="1" applyAlignment="1">
      <alignment horizontal="center"/>
    </xf>
    <xf numFmtId="0" fontId="305" fillId="0" borderId="4" xfId="1" applyBorder="1" applyAlignment="1">
      <alignment horizontal="left" vertical="center"/>
    </xf>
    <xf numFmtId="0" fontId="305" fillId="23" borderId="19" xfId="1" applyFill="1" applyBorder="1" applyAlignment="1">
      <alignment wrapText="1"/>
    </xf>
    <xf numFmtId="0" fontId="305" fillId="0" borderId="3" xfId="1" applyFill="1" applyBorder="1" applyAlignment="1"/>
    <xf numFmtId="0" fontId="305" fillId="0" borderId="4" xfId="1" applyBorder="1" applyAlignment="1">
      <alignment horizontal="left"/>
    </xf>
    <xf numFmtId="0" fontId="305" fillId="0" borderId="27" xfId="1" applyFill="1" applyBorder="1" applyAlignment="1"/>
    <xf numFmtId="0" fontId="305" fillId="8" borderId="4" xfId="1" applyFill="1" applyBorder="1" applyAlignment="1">
      <alignment horizontal="left"/>
    </xf>
    <xf numFmtId="0" fontId="31" fillId="0" borderId="22" xfId="0" applyFont="1" applyBorder="1"/>
    <xf numFmtId="0" fontId="31" fillId="0" borderId="22" xfId="0" applyFont="1" applyBorder="1" applyAlignment="1">
      <alignment horizontal="center"/>
    </xf>
    <xf numFmtId="0" fontId="305" fillId="0" borderId="31" xfId="1" applyFill="1" applyBorder="1" applyAlignment="1"/>
    <xf numFmtId="0" fontId="187" fillId="0" borderId="0" xfId="0" applyFont="1"/>
    <xf numFmtId="0" fontId="305" fillId="0" borderId="7" xfId="1" applyBorder="1" applyAlignment="1">
      <alignment vertical="center"/>
    </xf>
    <xf numFmtId="0" fontId="112" fillId="0" borderId="1" xfId="0" applyFont="1" applyBorder="1" applyAlignment="1">
      <alignment horizontal="left" vertical="center"/>
    </xf>
    <xf numFmtId="0" fontId="314" fillId="0" borderId="0" xfId="0" applyFont="1"/>
    <xf numFmtId="0" fontId="268" fillId="0" borderId="7" xfId="1" applyFont="1" applyBorder="1"/>
    <xf numFmtId="0" fontId="315" fillId="0" borderId="1" xfId="0" applyFont="1" applyBorder="1"/>
    <xf numFmtId="0" fontId="1" fillId="28" borderId="18" xfId="0" applyFont="1" applyFill="1" applyBorder="1" applyAlignment="1">
      <alignment horizontal="center" vertical="center" wrapText="1"/>
    </xf>
    <xf numFmtId="0" fontId="315" fillId="0" borderId="19" xfId="0" applyFont="1" applyBorder="1"/>
    <xf numFmtId="0" fontId="315" fillId="0" borderId="0" xfId="0" applyFont="1"/>
    <xf numFmtId="164" fontId="0" fillId="26" borderId="27" xfId="0" applyNumberFormat="1" applyFill="1" applyBorder="1" applyAlignment="1">
      <alignment wrapText="1"/>
    </xf>
    <xf numFmtId="0" fontId="250" fillId="0" borderId="27" xfId="1" applyFont="1" applyBorder="1"/>
    <xf numFmtId="164" fontId="0" fillId="26" borderId="31" xfId="0" applyNumberFormat="1" applyFill="1" applyBorder="1" applyAlignment="1">
      <alignment wrapText="1"/>
    </xf>
    <xf numFmtId="165" fontId="0" fillId="26" borderId="31" xfId="0" applyNumberFormat="1" applyFill="1" applyBorder="1" applyAlignment="1">
      <alignment wrapText="1"/>
    </xf>
    <xf numFmtId="165" fontId="0" fillId="26" borderId="31" xfId="0" applyNumberFormat="1" applyFill="1" applyBorder="1"/>
    <xf numFmtId="0" fontId="0" fillId="0" borderId="31" xfId="0" applyBorder="1" applyAlignment="1">
      <alignment horizontal="center" vertical="center" wrapText="1"/>
    </xf>
    <xf numFmtId="0" fontId="305" fillId="0" borderId="1" xfId="1" applyBorder="1" applyAlignment="1">
      <alignment horizontal="left"/>
    </xf>
    <xf numFmtId="14" fontId="0" fillId="0" borderId="1" xfId="0" applyNumberFormat="1" applyBorder="1" applyAlignment="1">
      <alignment horizontal="center"/>
    </xf>
    <xf numFmtId="164" fontId="0" fillId="26" borderId="1" xfId="0" applyNumberFormat="1" applyFill="1" applyBorder="1"/>
    <xf numFmtId="0" fontId="305" fillId="0" borderId="1" xfId="1" applyFill="1" applyBorder="1" applyAlignment="1"/>
    <xf numFmtId="0" fontId="305" fillId="0" borderId="1" xfId="1" applyBorder="1"/>
    <xf numFmtId="14" fontId="0" fillId="0" borderId="18" xfId="0" applyNumberFormat="1" applyBorder="1" applyAlignment="1">
      <alignment horizontal="center"/>
    </xf>
    <xf numFmtId="0" fontId="1" fillId="6" borderId="2" xfId="0" applyFont="1" applyFill="1" applyBorder="1" applyAlignment="1">
      <alignment horizontal="center" vertical="center" wrapText="1"/>
    </xf>
    <xf numFmtId="164" fontId="0" fillId="26" borderId="33" xfId="0" applyNumberFormat="1" applyFill="1" applyBorder="1"/>
    <xf numFmtId="0" fontId="305" fillId="0" borderId="2" xfId="1" applyBorder="1" applyAlignment="1">
      <alignment horizontal="left"/>
    </xf>
    <xf numFmtId="177" fontId="0" fillId="0" borderId="19" xfId="0" applyNumberFormat="1" applyBorder="1" applyAlignment="1">
      <alignment horizontal="center"/>
    </xf>
    <xf numFmtId="0" fontId="305" fillId="0" borderId="0" xfId="1"/>
    <xf numFmtId="0" fontId="316" fillId="0" borderId="1" xfId="0" applyFont="1" applyBorder="1" applyAlignment="1">
      <alignment horizontal="center"/>
    </xf>
    <xf numFmtId="0" fontId="305" fillId="8" borderId="7" xfId="1" applyFill="1" applyBorder="1" applyAlignment="1">
      <alignment horizontal="left"/>
    </xf>
    <xf numFmtId="0" fontId="42" fillId="0" borderId="18" xfId="0" applyFont="1" applyBorder="1" applyAlignment="1">
      <alignment horizontal="left" vertical="center" wrapText="1"/>
    </xf>
    <xf numFmtId="170" fontId="1" fillId="0" borderId="2" xfId="0" applyNumberFormat="1" applyFont="1" applyBorder="1" applyAlignment="1">
      <alignment horizontal="center" vertical="center" wrapText="1"/>
    </xf>
    <xf numFmtId="0" fontId="6" fillId="0" borderId="3" xfId="0" applyFont="1" applyBorder="1" applyAlignment="1">
      <alignment horizontal="center"/>
    </xf>
    <xf numFmtId="170" fontId="1" fillId="0" borderId="30" xfId="0" applyNumberFormat="1" applyFont="1" applyBorder="1" applyAlignment="1">
      <alignment horizontal="center" vertical="center" wrapText="1"/>
    </xf>
    <xf numFmtId="0" fontId="6" fillId="0" borderId="9" xfId="0" applyFont="1" applyBorder="1" applyAlignment="1">
      <alignment horizontal="center"/>
    </xf>
    <xf numFmtId="170" fontId="1" fillId="0" borderId="1" xfId="0" applyNumberFormat="1" applyFont="1" applyBorder="1" applyAlignment="1">
      <alignment horizontal="center" vertical="center" wrapText="1"/>
    </xf>
    <xf numFmtId="0" fontId="6" fillId="0" borderId="1" xfId="0" applyFont="1" applyBorder="1" applyAlignment="1">
      <alignment horizontal="center"/>
    </xf>
    <xf numFmtId="170" fontId="5" fillId="0" borderId="5" xfId="0" applyNumberFormat="1" applyFont="1" applyBorder="1" applyAlignment="1">
      <alignment horizontal="left" vertical="center" wrapText="1"/>
    </xf>
    <xf numFmtId="0" fontId="6" fillId="0" borderId="30" xfId="0" applyFont="1" applyBorder="1" applyAlignment="1">
      <alignment horizontal="center" vertical="center" wrapText="1"/>
    </xf>
    <xf numFmtId="0" fontId="6" fillId="0" borderId="1" xfId="0" applyFont="1" applyBorder="1" applyAlignment="1">
      <alignment horizontal="center" vertical="center" wrapText="1"/>
    </xf>
    <xf numFmtId="0" fontId="1" fillId="0" borderId="2" xfId="0" applyFont="1" applyBorder="1" applyAlignment="1">
      <alignment horizontal="center" vertical="center" wrapText="1"/>
    </xf>
    <xf numFmtId="0" fontId="6" fillId="0" borderId="3" xfId="0" applyFont="1" applyBorder="1" applyAlignment="1">
      <alignment horizontal="center" vertical="center"/>
    </xf>
    <xf numFmtId="0" fontId="19" fillId="8" borderId="18" xfId="0" applyFont="1" applyFill="1" applyBorder="1" applyAlignment="1">
      <alignment horizontal="center"/>
    </xf>
    <xf numFmtId="0" fontId="6" fillId="0" borderId="3" xfId="0" applyFont="1" applyBorder="1" applyAlignment="1"/>
    <xf numFmtId="0" fontId="6" fillId="0" borderId="7" xfId="0" applyFont="1" applyBorder="1" applyAlignment="1"/>
    <xf numFmtId="0" fontId="6" fillId="0" borderId="4" xfId="0" applyFont="1" applyBorder="1" applyAlignment="1"/>
  </cellXfs>
  <cellStyles count="2">
    <cellStyle name="Hyperlink" xfId="1" xr:uid="{00000000-0005-0000-0000-000000000000}"/>
    <cellStyle name="Normal" xfId="0" builtinId="0"/>
  </cellStyles>
  <dxfs count="1">
    <dxf>
      <fill>
        <patternFill patternType="solid">
          <fgColor rgb="FFB7E1CD"/>
          <bgColor rgb="FFB7E1CD"/>
        </patternFill>
      </fill>
    </dxf>
  </dxfs>
  <tableStyles count="0" defaultTableStyle="TableStyleMedium2" defaultPivotStyle="PivotStyleLight16"/>
  <colors>
    <mruColors>
      <color rgb="FFB2A1C7"/>
      <color rgb="FFB280D9"/>
      <color rgb="FFCC94F7"/>
      <color rgb="FFD997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digikey.jp/product-detail/en/tdk-corporation/CGA3E2NP01H100D080AA/445-12387-1-ND/3954053" TargetMode="External"/><Relationship Id="rId3182" Type="http://schemas.openxmlformats.org/officeDocument/2006/relationships/hyperlink" Target="https://jp.rs-online.com/web/p/products/2025955/" TargetMode="External"/><Relationship Id="rId4233" Type="http://schemas.openxmlformats.org/officeDocument/2006/relationships/hyperlink" Target="https://jp.rs-online.com/web/p/mlccs-multilayer-ceramic-capacitors/6982995" TargetMode="External"/><Relationship Id="rId3999" Type="http://schemas.openxmlformats.org/officeDocument/2006/relationships/hyperlink" Target="https://www.digikey.jp/product-detail/ja/taiyo-yuden/AMK105ABJ475MV-F/587-5397-1-ND/7067073" TargetMode="External"/><Relationship Id="rId4300" Type="http://schemas.openxmlformats.org/officeDocument/2006/relationships/hyperlink" Target="https://jp.misumi-ec.com/vona2/detail/110300244510/?ProductCode=CBSSTH3-10" TargetMode="External"/><Relationship Id="rId170" Type="http://schemas.openxmlformats.org/officeDocument/2006/relationships/hyperlink" Target="https://www.digikey.jp/product-detail/en/harwin-inc/M50-3501042/952-1386-ND/2264367?cur=JPY&amp;lang=en" TargetMode="External"/><Relationship Id="rId5074" Type="http://schemas.openxmlformats.org/officeDocument/2006/relationships/hyperlink" Target="https://jp.misumi-ec.com/vona2/detail/223004971963/?HissuCode=650S-25-20X20&amp;list=PageDetail" TargetMode="External"/><Relationship Id="rId987" Type="http://schemas.openxmlformats.org/officeDocument/2006/relationships/hyperlink" Target="https://jp.rs-online.com/web/p/breadboard-jumper-wire-kits/7916454/" TargetMode="External"/><Relationship Id="rId2668" Type="http://schemas.openxmlformats.org/officeDocument/2006/relationships/hyperlink" Target="https://www.mouser.jp/ProductDetail/KOA-Speer/UR73VD2ATTD25L0F?qs=%2Fha2pyFaduiA4xDvqPDJincceTgwtwSjElf61IF1ZK1AsA0Sec50PA%3D%3D" TargetMode="External"/><Relationship Id="rId3719" Type="http://schemas.openxmlformats.org/officeDocument/2006/relationships/hyperlink" Target="https://www.mouser.jp/ProductDetail/ON-Semiconductor/NCV7805BD2TG?qs=8sOby8ZxZLFGeln66Q%252BkNw%3D%3D" TargetMode="External"/><Relationship Id="rId4090" Type="http://schemas.openxmlformats.org/officeDocument/2006/relationships/hyperlink" Target="https://www.digikey.jp/products/en?keywords=WM8301CT-ND" TargetMode="External"/><Relationship Id="rId1684" Type="http://schemas.openxmlformats.org/officeDocument/2006/relationships/hyperlink" Target="https://www.mouser.jp/ProductDetail/Measurement-Specialties/GAG10K3976A1?qs=%2Fha2pyFadug7%2Fjc26bz54PaupGsm3MPD%2F%252Brwx%2F20%252BNQYkApfX0t8Ig%3D%3D" TargetMode="External"/><Relationship Id="rId2735" Type="http://schemas.openxmlformats.org/officeDocument/2006/relationships/hyperlink" Target="https://jp.misumi-ec.com/vona2/detail/110302681370/?CategorySpec=00000216936%3a%3amig00000002462621%0900000216922%3a%3amig00000002457393%0900000217004%3a%3aq" TargetMode="External"/><Relationship Id="rId5141" Type="http://schemas.openxmlformats.org/officeDocument/2006/relationships/hyperlink" Target="https://www.askul.co.jp/v/000109617/?searchWord=%E5%82%98%E7%AB%8B%E3%81%A6&amp;fluxSearch=ON&amp;cateId=2&amp;variationItemLImgPath=L1%2F5175411_l1.jpg" TargetMode="External"/><Relationship Id="rId707" Type="http://schemas.openxmlformats.org/officeDocument/2006/relationships/hyperlink" Target="https://www.digikey.jp/product-detail/en/analog-devices-inc/TMP36FSZ-REEL/TMP36FSZ-REELCT-ND/3761261" TargetMode="External"/><Relationship Id="rId1337" Type="http://schemas.openxmlformats.org/officeDocument/2006/relationships/hyperlink" Target="https://www.digikey.jp/products/ja?keywords=NCV7805BD2TG" TargetMode="External"/><Relationship Id="rId1751" Type="http://schemas.openxmlformats.org/officeDocument/2006/relationships/hyperlink" Target="https://www.digikey.jp/products/en?keywords=H10903-ND" TargetMode="External"/><Relationship Id="rId2802" Type="http://schemas.openxmlformats.org/officeDocument/2006/relationships/hyperlink" Target="https://www.digikey.jp/product-detail/ja/J-7-V22/SW817-ND/699997/?itemSeq=284879251" TargetMode="External"/><Relationship Id="rId43" Type="http://schemas.openxmlformats.org/officeDocument/2006/relationships/hyperlink" Target="https://www.digikey.jp/product-detail/en/wurth-electronics-inc/74479887310A/732-4516-1-ND/4120134" TargetMode="External"/><Relationship Id="rId1404" Type="http://schemas.openxmlformats.org/officeDocument/2006/relationships/hyperlink" Target="https://www.digikey.jp/product-detail/en/yageo/RL0805FR-7W0R5L/311-.5LUCT-ND/3885461" TargetMode="External"/><Relationship Id="rId3576" Type="http://schemas.openxmlformats.org/officeDocument/2006/relationships/hyperlink" Target="https://www.mouser.jp/ProductDetail/Molex/87760-5016?qs=W6FIH8d5%2F%2F0sUr9EjlpfrA%3D%3D" TargetMode="External"/><Relationship Id="rId4627" Type="http://schemas.openxmlformats.org/officeDocument/2006/relationships/hyperlink" Target="https://www.digikey.jp/ja/products/detail/texas-instruments/DAC8563SDGSR/2687234?s=N4IgTCBcDaIDoBcAEYCcA2AtGgDAZggF0BfIA" TargetMode="External"/><Relationship Id="rId4974" Type="http://schemas.openxmlformats.org/officeDocument/2006/relationships/hyperlink" Target="https://www.amazon.co.jp/RigExpert-AA-650-ZOOM-%E3%83%AA%E3%82%B0%E3%82%A8%E3%82%AD%E3%82%B9%E3%83%91%E3%83%BC%E3%83%88-%E3%82%A2%E3%83%B3%E3%83%86%E3%83%8A%E3%82%A2%E3%83%8A%E3%83%A9%E3%82%A4%E3%82%B6%E3%83%BC/dp/B08FF9422P/ref=asc_df_B08FF9422P/?tag=jpgo-22&amp;linkCode=df0&amp;hvadid=472481135714&amp;hvpos=&amp;hvnetw=g&amp;hvrand=742477727324605450&amp;hvpone=&amp;hvptwo=&amp;hvqmt=&amp;hvdev=c&amp;hvdvcmdl=&amp;hvlocint=&amp;hvlocphy=1009721&amp;hvtargid=pla-1045193522877&amp;psc=1" TargetMode="External"/><Relationship Id="rId497" Type="http://schemas.openxmlformats.org/officeDocument/2006/relationships/hyperlink" Target="https://www.digikey.jp/product-detail/ja/murata-electronics-north-america/GRM155C80J106ME11D/490-13233-1-ND/5877441" TargetMode="External"/><Relationship Id="rId2178" Type="http://schemas.openxmlformats.org/officeDocument/2006/relationships/hyperlink" Target="https://jp.misumi-ec.com/vona2/detail/221005504346/?CategorySpec=00000217009%3a%3amig00000002465628" TargetMode="External"/><Relationship Id="rId3229" Type="http://schemas.openxmlformats.org/officeDocument/2006/relationships/hyperlink" Target="https://www.mouser.jp/ProductDetail/Cal-Test/CT2942-200?qs=vgjKjNJexTj1ovQem7GxCg%3D%3D" TargetMode="External"/><Relationship Id="rId3990" Type="http://schemas.openxmlformats.org/officeDocument/2006/relationships/hyperlink" Target="https://www.digikey.jp/product-detail/ja/panasonic-electronic-components/ERJ-2BSFR15X/P-15AKCT-ND/671275" TargetMode="External"/><Relationship Id="rId1194" Type="http://schemas.openxmlformats.org/officeDocument/2006/relationships/hyperlink" Target="https://jp.misumi-ec.com/vona2/detail/221006495032/?HissuCode=SNSLG-M3-15" TargetMode="External"/><Relationship Id="rId2592" Type="http://schemas.openxmlformats.org/officeDocument/2006/relationships/hyperlink" Target="https://www.digikey.jp/product-detail/en/koa-speer-electronics-inc/UR73VD2ATTD25L0F/2019-UR73VD2ATTD25L0FCT-ND/9847760" TargetMode="External"/><Relationship Id="rId3643" Type="http://schemas.openxmlformats.org/officeDocument/2006/relationships/hyperlink" Target="https://www.digikey.jp/product-detail/ja/rohm-semiconductor/DTC144EKAT146/DTC144EKAT146CT-ND/650727" TargetMode="External"/><Relationship Id="rId217" Type="http://schemas.openxmlformats.org/officeDocument/2006/relationships/hyperlink" Target="https://www.p-ban.com/kiban/com/csComTop.do" TargetMode="External"/><Relationship Id="rId564" Type="http://schemas.openxmlformats.org/officeDocument/2006/relationships/hyperlink" Target="https://www.digikey.jp/products/en?keywords=445-13459-1-ND" TargetMode="External"/><Relationship Id="rId2245" Type="http://schemas.openxmlformats.org/officeDocument/2006/relationships/hyperlink" Target="http://akizukidenshi.com/catalog/g/gP-03659/" TargetMode="External"/><Relationship Id="rId3710" Type="http://schemas.openxmlformats.org/officeDocument/2006/relationships/hyperlink" Target="https://jp.rs-online.com/web/p/pcb-sockets/1801847/" TargetMode="External"/><Relationship Id="rId631" Type="http://schemas.openxmlformats.org/officeDocument/2006/relationships/hyperlink" Target="https://www.digikey.com/product-detail/en/johanson-technology-inc/S603DS/712-1159-ND/1786608" TargetMode="External"/><Relationship Id="rId1261" Type="http://schemas.openxmlformats.org/officeDocument/2006/relationships/hyperlink" Targe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 TargetMode="External"/><Relationship Id="rId2312" Type="http://schemas.openxmlformats.org/officeDocument/2006/relationships/hyperlink" Target="https://jp.rs-online.com/web/p/usb-connectors/7187224/" TargetMode="External"/><Relationship Id="rId4484" Type="http://schemas.openxmlformats.org/officeDocument/2006/relationships/hyperlink" Target="https://www.mouser.jp/ProductDetail/Murata-Electronics/BLM18AG601SN1D?qs=sGAEpiMZZMt46bMQRT2SLsteriruT1tU" TargetMode="External"/><Relationship Id="rId3086" Type="http://schemas.openxmlformats.org/officeDocument/2006/relationships/hyperlink" Target="https://jp.misumi-ec.com/vona2/detail/110302280540/?ProductCode=CBSTSR2-3" TargetMode="External"/><Relationship Id="rId4137" Type="http://schemas.openxmlformats.org/officeDocument/2006/relationships/hyperlink" Target="https://jp.rs-online.com/web/p/usb-cables/1828844" TargetMode="External"/><Relationship Id="rId4551" Type="http://schemas.openxmlformats.org/officeDocument/2006/relationships/hyperlink" Target="https://www.monotaro.com/p/8822/1016/" TargetMode="External"/><Relationship Id="rId3153" Type="http://schemas.openxmlformats.org/officeDocument/2006/relationships/hyperlink" Target="https://www.digikey.jp/products/en?keywords=100SP1T2B4M6QE" TargetMode="External"/><Relationship Id="rId4204" Type="http://schemas.openxmlformats.org/officeDocument/2006/relationships/hyperlink" Target="https://www.mouser.jp/ProductDetail/TE-Connectivity/1473005-4?qs=sGAEpiMZZMvlX3nhDDO4AENRpMoVgxxl6LYZugs%252BRxU%3D" TargetMode="External"/><Relationship Id="rId141" Type="http://schemas.openxmlformats.org/officeDocument/2006/relationships/hyperlink" Target="https://www.p-ban.com/kiban/com/csComShwOrd.do?summaryOrderNo=18101700156" TargetMode="External"/><Relationship Id="rId3220" Type="http://schemas.openxmlformats.org/officeDocument/2006/relationships/hyperlink" Target="https://www.amazon.co.jp/%E3%83%80%E3%82%A4%E3%83%A4%E3%83%A2%E3%83%B3%E3%83%89-SRH815S-144-1200%EF%BC%8B%E3%82%A8%E3%82%A2%E3%83%BC-%E4%BB%96%E3%83%90%E3%83%B3%E3%83%89/dp/B003MLXB0U" TargetMode="External"/><Relationship Id="rId7" Type="http://schemas.openxmlformats.org/officeDocument/2006/relationships/hyperlink" Target="https://jp.misumi-ec.com/vona2/detail/223005639695/?HissuCode=5-361-01" TargetMode="External"/><Relationship Id="rId2986" Type="http://schemas.openxmlformats.org/officeDocument/2006/relationships/hyperlink" Target="https://www.digikey.jp/product-detail/ja/tdk-corporation/C1608X7S0J106M080AC/445-9104-1-ND/3661624" TargetMode="External"/><Relationship Id="rId958" Type="http://schemas.openxmlformats.org/officeDocument/2006/relationships/hyperlink" Target="https://www.digikey.jp/products/en?keywords=WM8301CT-ND" TargetMode="External"/><Relationship Id="rId1588" Type="http://schemas.openxmlformats.org/officeDocument/2006/relationships/hyperlink" Target="https://www.monotaro.com/p/0177/5262/?t.q=%83R%83%93%83v%83%8C%83b%83T%81%5B" TargetMode="External"/><Relationship Id="rId2639" Type="http://schemas.openxmlformats.org/officeDocument/2006/relationships/hyperlink" Target="https://www.digikey.jp/products/ja?keywords=410-328-35" TargetMode="External"/><Relationship Id="rId5045" Type="http://schemas.openxmlformats.org/officeDocument/2006/relationships/hyperlink" Target="https://www.mouser.jp/ProductDetail/Analog-Devices/LTC4380IMS-1PBF?qs=oahfZPh6IAKlMDOLngpXgA%3D%3D" TargetMode="External"/><Relationship Id="rId1655" Type="http://schemas.openxmlformats.org/officeDocument/2006/relationships/hyperlink" Target="https://www.amazon.co.jp/%E3%83%9E%E3%82%B9%E3%83%97%E3%83%AD-4K%EF%BD%A58K%E8%A1%9B%E6%98%9F%E6%94%BE%E9%80%81%E5%AF%BE%E5%BF%9C-BS%EF%BD%A5110%C2%B0CS%E3%82%A2%E3%83%B3%E3%83%86%E3%83%8A%E3%82%BB%E3%83%83%E3%83%88BC-parabo-BC45RL-SET/dp/B01BR603TI/ref=sr_1_1_sspa?__mk_ja_JP=%E3%82%AB%E3%82%BF%E3%82%AB%E3%83%8A&amp;keywords=%E3%83%91%E3%83%A9%E3%83%9C%E3%83%A9%E3%82%A2%E3%83%B3%E3%83%86%E3%83%8A+60cm&amp;qid=1584076847&amp;sr=8-1-spons&amp;psc=1&amp;spLa=ZW5jcnlwdGVkUXVhbGlmaWVyPUExMDQyWlIwQzBLSE1YJmVuY3J5cHRlZElkPUEwMTk5MzAwM0VOTjZITDFKWUpKTiZlbmNyeXB0ZWRBZElkPUExNk83WlE4SFMxMUU3JndpZGdldE5hbWU9c3BfYXRmJmFjdGlvbj1jbGlja1JlZGlyZWN0JmRvTm90TG9nQ2xpY2s9dHJ1ZQ==" TargetMode="External"/><Relationship Id="rId2706" Type="http://schemas.openxmlformats.org/officeDocument/2006/relationships/hyperlink" Target="https://jp.misumi-ec.com/vona2/detail/110302280540/?HissuCode=CBSTSR2-10&amp;PNSearch=CBSTSR2-10&amp;KWSearch=CBSTSR2-10&amp;searchFlow=results2products" TargetMode="External"/><Relationship Id="rId4061" Type="http://schemas.openxmlformats.org/officeDocument/2006/relationships/hyperlink" Target="https://www.mouser.jp/ProductDetail/TE-Connectivity/1-881545-1?qs=sGAEpiMZZMsyYdr3R27aV9acAOlmvVgm" TargetMode="External"/><Relationship Id="rId5112" Type="http://schemas.openxmlformats.org/officeDocument/2006/relationships/hyperlink" Target="https://www.mouser.jp/ProductDetail/Analog-Devices/LTC4380IMS-1PBF?qs=oahfZPh6IAKlMDOLngpXgA%3D%3D" TargetMode="External"/><Relationship Id="rId1308" Type="http://schemas.openxmlformats.org/officeDocument/2006/relationships/hyperlink" Target="https://www.digikey.jp/product-detail/en/molex/0554600272/WM8301CT-ND/1632945" TargetMode="External"/><Relationship Id="rId1722" Type="http://schemas.openxmlformats.org/officeDocument/2006/relationships/hyperlink" Target="https://jp.misumi-ec.com/vona2/detail/223005159906/?CategorySpec=SP468418%3a%3a201911111040074812404365&amp;clkid=clkid_list_template" TargetMode="External"/><Relationship Id="rId4878" Type="http://schemas.openxmlformats.org/officeDocument/2006/relationships/hyperlink" Target="https://www.monotaro.com/p/0729/5032/" TargetMode="External"/><Relationship Id="rId14" Type="http://schemas.openxmlformats.org/officeDocument/2006/relationships/hyperlink" Target="https://jp.rs-online.com/web/p/surface-mount-fixed-resistors/6790504/?sra=pstk" TargetMode="External"/><Relationship Id="rId3894" Type="http://schemas.openxmlformats.org/officeDocument/2006/relationships/hyperlink" Target="https://www.digikey.jp/ja/supplier-centers/te-connectivity-measurement-specialties" TargetMode="External"/><Relationship Id="rId4945" Type="http://schemas.openxmlformats.org/officeDocument/2006/relationships/hyperlink" Target="https://jp.rs-online.com/web/p/tvs-diodes/2297083" TargetMode="External"/><Relationship Id="rId2496" Type="http://schemas.openxmlformats.org/officeDocument/2006/relationships/hyperlink" Target="https://jp.misumi-ec.com/vona2/detail/221006493827/?HissuCode=SNSS-M2-5-SD&amp;PNSearch=SNSS-M2-5-SD&amp;KWSearch=SNSS-M2-5-SD&amp;searchFlow=results2products" TargetMode="External"/><Relationship Id="rId3547" Type="http://schemas.openxmlformats.org/officeDocument/2006/relationships/hyperlink" Target="https://www.mouser.jp/ProductDetail/TDK/CGA4J3X8R1E474K125AB?qs=xLDY6iXSiQZ1Udk5lH7wgA%3D%3D" TargetMode="External"/><Relationship Id="rId3961" Type="http://schemas.openxmlformats.org/officeDocument/2006/relationships/hyperlink" Target="https://jp.misumi-ec.com/vona2/detail/110302679630/?PNSearch=FABS&amp;HissuCode=FABS&amp;searchFlow=suggesthistory&amp;Keyword=FABS&amp;list=SuggestPreview" TargetMode="External"/><Relationship Id="rId468" Type="http://schemas.openxmlformats.org/officeDocument/2006/relationships/hyperlink" Target="https://www.amazon.co.jp/Raspberry-Pi-Camera-%E3%82%AB%E3%83%A1%E3%83%A9%E3%83%A2%E3%82%B8%E3%83%A5%E3%83%BC%E3%83%AB-Daylight/dp/B01ER2SKFS/" TargetMode="External"/><Relationship Id="rId882" Type="http://schemas.openxmlformats.org/officeDocument/2006/relationships/hyperlink" Target="https://jp.rs-online.com/web/p/mlccs-multilayer-ceramic-capacitors/8015265/" TargetMode="External"/><Relationship Id="rId1098" Type="http://schemas.openxmlformats.org/officeDocument/2006/relationships/hyperlink" Target="https://www.digikey.jp/product-detail/ja/toshiba-semiconductor-and-storage/SSM6K411TU-TE85LF/SSM6K411TU-TE85LFCT-ND/5298038" TargetMode="External"/><Relationship Id="rId2149" Type="http://schemas.openxmlformats.org/officeDocument/2006/relationships/hyperlink" Target="https://www.digikey.jp/products/en/cable-assemblies/usb-cables/455?k=female+usb&amp;k=&amp;pkeyword=female+usb&amp;sv=0&amp;pv207=305692&amp;sf=0&amp;FV=-8%7C455&amp;quantity=&amp;ColumnSort=0&amp;page=1&amp;pageSize=25" TargetMode="External"/><Relationship Id="rId2563" Type="http://schemas.openxmlformats.org/officeDocument/2006/relationships/hyperlink" Target="https://www.digikey.jp/product-detail/ja/texas-instruments/LM358DR/296-1014-1-ND/404838" TargetMode="External"/><Relationship Id="rId3614" Type="http://schemas.openxmlformats.org/officeDocument/2006/relationships/hyperlink" Target="https://jp.rs-online.com/web/p/op-amps/5361350" TargetMode="External"/><Relationship Id="rId535" Type="http://schemas.openxmlformats.org/officeDocument/2006/relationships/hyperlink" Target="https://www.digikey.jp/product-detail/en/sumida-america-components-inc/CDRH5D28RNP-3R3NC/308-2071-1-ND/3946713" TargetMode="External"/><Relationship Id="rId1165" Type="http://schemas.openxmlformats.org/officeDocument/2006/relationships/hyperlink" Target="https://jp.misumi-ec.com/vona2/detail/221006493827/?HissuCode=SNSS-M2-6-SD&amp;PNSearch=SNSS-M2-6-SD&amp;KWSearch=SNSS-M2-6-SD&amp;searchFlow=results2products" TargetMode="External"/><Relationship Id="rId2216" Type="http://schemas.openxmlformats.org/officeDocument/2006/relationships/hyperlink" Target="https://www.digikey.jp/product-detail/en/tdk-corporation/FA18X8R1E104KNU06/445-180563-1-ND/9560689" TargetMode="External"/><Relationship Id="rId2630" Type="http://schemas.openxmlformats.org/officeDocument/2006/relationships/hyperlink" Target="https://biccamera.rakuten.co.jp/item/4957180134987/" TargetMode="External"/><Relationship Id="rId602" Type="http://schemas.openxmlformats.org/officeDocument/2006/relationships/hyperlink" Target="https://jp.misumi-ec.com/vona2/detail/110300258940/?CategorySpec=00000217157%3a%3aa%0900000217161%3a%3aa&amp;clkid=clkid_list_template" TargetMode="External"/><Relationship Id="rId1232" Type="http://schemas.openxmlformats.org/officeDocument/2006/relationships/hyperlink" Target="https://www.digikey.jp/product-detail/ja/taoglas-limited/CGGP.25.4.A.02/931-1126-ND/2690283" TargetMode="External"/><Relationship Id="rId4388" Type="http://schemas.openxmlformats.org/officeDocument/2006/relationships/hyperlink" Target="https://www.askul.co.jp/p/1260050/?int_id=recom_DtVar" TargetMode="External"/><Relationship Id="rId3057" Type="http://schemas.openxmlformats.org/officeDocument/2006/relationships/hyperlink" Target="https://www.digikey.jp/product-detail/ja/abracon-llc/ABLS-16-000MHZ-B4-T/535-10226-1-ND/2184261?cur=JPY&amp;lang=ja" TargetMode="External"/><Relationship Id="rId4108" Type="http://schemas.openxmlformats.org/officeDocument/2006/relationships/hyperlink" Target="https://www.monotaro.com/g/00503795/?monotaroNo=49234534" TargetMode="External"/><Relationship Id="rId4455" Type="http://schemas.openxmlformats.org/officeDocument/2006/relationships/hyperlink" Target="https://akizukidenshi.com/catalog/g/gK-14015/" TargetMode="External"/><Relationship Id="rId3471" Type="http://schemas.openxmlformats.org/officeDocument/2006/relationships/hyperlink" Target="https://www.chip1stop.com/product/detail?partId=VISH-0539446" TargetMode="External"/><Relationship Id="rId4522" Type="http://schemas.openxmlformats.org/officeDocument/2006/relationships/hyperlink" Target="https://www.p-ban.com/" TargetMode="External"/><Relationship Id="rId392" Type="http://schemas.openxmlformats.org/officeDocument/2006/relationships/hyperlink" Target="https://www.digikey.jp/product-detail/en/murata-electronics-north-america/GRM155R60J225KE95D/490-12532-1-ND/5797522" TargetMode="External"/><Relationship Id="rId2073" Type="http://schemas.openxmlformats.org/officeDocument/2006/relationships/hyperlink" Target="https://jp.misumi-ec.com/vona2/detail/221000237669/?PNSearch=SLHS-M3X10&amp;HissuCode=SLHS-M3X10&amp;searchFlow=suggest2products&amp;Keyword=SLHS-M3X10" TargetMode="External"/><Relationship Id="rId3124" Type="http://schemas.openxmlformats.org/officeDocument/2006/relationships/hyperlink" Target="https://www.digikey.jp/product-detail/en/toshiba-semiconductor-and-storage/SSM6K403TU-LF/SSM6K403TULFCT-ND/5298037" TargetMode="External"/><Relationship Id="rId2140" Type="http://schemas.openxmlformats.org/officeDocument/2006/relationships/hyperlink" Target="https://www.monotaro.com/g/02570299/?t.q=%83K%83%89%83G%83%7C" TargetMode="External"/><Relationship Id="rId5296" Type="http://schemas.openxmlformats.org/officeDocument/2006/relationships/hyperlink" Target="https://www.digikey.jp/en/products/detail/yageo/RC0603FR-072RL/727008" TargetMode="External"/><Relationship Id="rId112" Type="http://schemas.openxmlformats.org/officeDocument/2006/relationships/hyperlink" Target="https://www.digikey.jp/products/en?keywords=ARF1725CT-ND" TargetMode="External"/><Relationship Id="rId5363" Type="http://schemas.openxmlformats.org/officeDocument/2006/relationships/hyperlink" Target="https://akizukidenshi.com/catalog/g/gP-08342/" TargetMode="External"/><Relationship Id="rId2957" Type="http://schemas.openxmlformats.org/officeDocument/2006/relationships/hyperlink" Target="https://www.digikey.com/en/products/detail/taiyo-yuden/UMK107ABJ105KAHT/4157347" TargetMode="External"/><Relationship Id="rId5016" Type="http://schemas.openxmlformats.org/officeDocument/2006/relationships/hyperlink" Target="https://www.mouser.jp/ProductDetail/Micro-Crystal/OV-7604-C7-32768k-10PPM-TB-QA?qs=7bTaA%2FLYtSaIPRV8dgEc5Q%3D%3D" TargetMode="External"/><Relationship Id="rId929" Type="http://schemas.openxmlformats.org/officeDocument/2006/relationships/hyperlink" Target="http://akizukidenshi.com/catalog/g/gC-08430/" TargetMode="External"/><Relationship Id="rId1559" Type="http://schemas.openxmlformats.org/officeDocument/2006/relationships/hyperlink" Target="https://www.digikey.jp/products/en?keywords=LAN9514I-JZX" TargetMode="External"/><Relationship Id="rId1973" Type="http://schemas.openxmlformats.org/officeDocument/2006/relationships/hyperlink" Target="https://www.digikey.jp/product-detail/en/kemet/C1206C476M8PACTU/399-5508-1-ND/1950686" TargetMode="External"/><Relationship Id="rId4032" Type="http://schemas.openxmlformats.org/officeDocument/2006/relationships/hyperlink" Target="https://jp.misumi-ec.com/vona2/detail/110300244240/" TargetMode="External"/><Relationship Id="rId1626" Type="http://schemas.openxmlformats.org/officeDocument/2006/relationships/hyperlink" Target="https://www.monotaro.com/p/0572/1886/" TargetMode="External"/><Relationship Id="rId3798" Type="http://schemas.openxmlformats.org/officeDocument/2006/relationships/hyperlink" Target="https://jp.misumi-ec.com/vona2/detail/110100150760/?list=PageCategory" TargetMode="External"/><Relationship Id="rId4849" Type="http://schemas.openxmlformats.org/officeDocument/2006/relationships/hyperlink" Target="https://www.digikey.jp/en/products/filter/discrete-semiconductor-products/diodes-rectifiers-single/onsemi/280?s=N4IgjCBcoLQdIDGUBmBDANgZwKYBoQA3AOygBcAnAV3xAHsoBtEAFgA42QBdAgBzKggAypQCWxAOYgAvrKA" TargetMode="External"/><Relationship Id="rId3865" Type="http://schemas.openxmlformats.org/officeDocument/2006/relationships/hyperlink" Target="https://www.mouser.jp/ProductDetail/Panasonic/ERJ-6GEYJ104V?qs=tQNqqtTOejL5eczyE2lY8g%3D%3D" TargetMode="External"/><Relationship Id="rId4916" Type="http://schemas.openxmlformats.org/officeDocument/2006/relationships/hyperlink" Target="https://www.digikey.jp/ja/products/detail/rf-solutions/ANT-GSM-YAG11/2781750?s=N4IgTCBcDaIIIDkAqBaA4gZQLIoJpzQEZCQBdAXyA" TargetMode="External"/><Relationship Id="rId786" Type="http://schemas.openxmlformats.org/officeDocument/2006/relationships/hyperlink" Target="https://www.digikey.jp/product-detail/en/yageo/CC0805JKX7R9BB105/311-3498-1-ND/7164519" TargetMode="External"/><Relationship Id="rId2467" Type="http://schemas.openxmlformats.org/officeDocument/2006/relationships/hyperlink" Target="https://www.digikey.jp/product-detail/ja/bourns-inc/SRN4018-4R7M/SRN4018-4R7MCT-ND/3821520" TargetMode="External"/><Relationship Id="rId3518" Type="http://schemas.openxmlformats.org/officeDocument/2006/relationships/hyperlink" Target="https://www.mouser.jp/ProductDetail/Analog-Devices/ADUM140E0BRZ?qs=pyvxRoUzNN%2FV1iSSwXFd3A%3D%3D" TargetMode="External"/><Relationship Id="rId439" Type="http://schemas.openxmlformats.org/officeDocument/2006/relationships/hyperlink" Target="https://www.digikey.jp/product-detail/ja/stmicroelectronics/L3GD20HTR/497-13931-1-ND/4357644" TargetMode="External"/><Relationship Id="rId1069" Type="http://schemas.openxmlformats.org/officeDocument/2006/relationships/hyperlink" Target="https://jp.rs-online.com/web/p/mlccs-multilayer-ceramic-capacitors/4515770/" TargetMode="External"/><Relationship Id="rId1483" Type="http://schemas.openxmlformats.org/officeDocument/2006/relationships/hyperlink" Target="https://www.digikey.jp/product-detail/en/3m/1SF26-L120-00C-100-RC/3M158616-ND/3866987" TargetMode="External"/><Relationship Id="rId2881" Type="http://schemas.openxmlformats.org/officeDocument/2006/relationships/hyperlink" Target="https://jp.misumi-ec.com/vona2/detail/110302280540/?CategorySpec=00000217040%3a%3amig00000002457491%0900000217074%3a%3ad" TargetMode="External"/><Relationship Id="rId3932" Type="http://schemas.openxmlformats.org/officeDocument/2006/relationships/hyperlink" Target="https://akizukidenshi.com/catalog/g/gP-10089/" TargetMode="External"/><Relationship Id="rId506" Type="http://schemas.openxmlformats.org/officeDocument/2006/relationships/hyperlink" Target="https://jp.rs-online.com/web/p/surface-mount-fixed-resistors/0432618/" TargetMode="External"/><Relationship Id="rId853" Type="http://schemas.openxmlformats.org/officeDocument/2006/relationships/hyperlink" Target="https://jp.rs-online.com/web/p/latching-relays/6803883P/" TargetMode="External"/><Relationship Id="rId1136" Type="http://schemas.openxmlformats.org/officeDocument/2006/relationships/hyperlink" Target="https://www.mouser.jp/manufacturer/raspberry-pi/" TargetMode="External"/><Relationship Id="rId2534" Type="http://schemas.openxmlformats.org/officeDocument/2006/relationships/hyperlink" Target="https://jp.misumi-ec.com/vona2/detail/110302686450/?HissuCode=GFS6-3030-440&amp;PNSearch=GFS6-3030-440&amp;KWSearch=GFS6-3030-440&amp;searchFlow=results2products" TargetMode="External"/><Relationship Id="rId920" Type="http://schemas.openxmlformats.org/officeDocument/2006/relationships/hyperlink" Target="https://www.askul.co.jp/p/P688162/" TargetMode="External"/><Relationship Id="rId1550" Type="http://schemas.openxmlformats.org/officeDocument/2006/relationships/hyperlink" Target="https://www.digikey.jp/product-detail/en/vishay-siliconix/SQ1922EEH-T1_GE3/SQ1922EEH-T1_GE3CT-ND/7622831" TargetMode="External"/><Relationship Id="rId2601" Type="http://schemas.openxmlformats.org/officeDocument/2006/relationships/hyperlink" Target="https://www.digikey.jp/product-detail/en/micro-crystal-ag/OV-7604-C7-32.768KHZ-20PPM-TA-QC/2195-OV-7604-C7-32.768KHZ-20PPM-TA-QCCT-ND/10431079" TargetMode="External"/><Relationship Id="rId1203" Type="http://schemas.openxmlformats.org/officeDocument/2006/relationships/hyperlink" Target="https://jp.misumi-ec.com/vona2/detail/110310150029/?HissuCode=A5052-BP-100-505" TargetMode="External"/><Relationship Id="rId4359" Type="http://schemas.openxmlformats.org/officeDocument/2006/relationships/hyperlink" Target="https://www.hazaiya.co.jp/item/15988.html" TargetMode="External"/><Relationship Id="rId4773" Type="http://schemas.openxmlformats.org/officeDocument/2006/relationships/hyperlink" Target="https://jp.misumi-ec.com/vona2/detail/221006205109/?HissuCode=TT-0310-20&amp;PNSearch=TT-0310-20&amp;KWSearch=TT-0310-20&amp;searchFlow=results2products&amp;list=PageSearchResult" TargetMode="External"/><Relationship Id="rId3375" Type="http://schemas.openxmlformats.org/officeDocument/2006/relationships/hyperlink" Target="https://www.digikey.jp/product-detail/ja/kemet/C0603C471J5GACTU/399-7922-1-ND/3471645" TargetMode="External"/><Relationship Id="rId4426" Type="http://schemas.openxmlformats.org/officeDocument/2006/relationships/hyperlink" Target="https://www.p-ban.com/" TargetMode="External"/><Relationship Id="rId4840" Type="http://schemas.openxmlformats.org/officeDocument/2006/relationships/hyperlink" Target="https://www.monotaro.com/p/3909/0755/" TargetMode="External"/><Relationship Id="rId296" Type="http://schemas.openxmlformats.org/officeDocument/2006/relationships/hyperlink" Target="https://www.digikey.jp/product-detail/en/aries-electronics/16-35W000-11-RC/16-35W000-11-RC-ND/4208830" TargetMode="External"/><Relationship Id="rId2391" Type="http://schemas.openxmlformats.org/officeDocument/2006/relationships/hyperlink" Target="https://www.mouser.jp/ProductDetail/VORAGO/VA10820-D0000F0PCA?qs=%2Fha2pyFadui%252BWqur9W7BfEY6xGu1atg%252B162MQWUhm0BmXs2MRxutt492x8WSl2x3" TargetMode="External"/><Relationship Id="rId3028" Type="http://schemas.openxmlformats.org/officeDocument/2006/relationships/hyperlink" Target="https://www.digikey.jp/products/en?keywords=%09445-14486-1-ND" TargetMode="External"/><Relationship Id="rId3442" Type="http://schemas.openxmlformats.org/officeDocument/2006/relationships/hyperlink" Target="https://www.amazon.co.jp/dp/B01HCKIFHU/ref=sspa_dk_detail_2?psc=1&amp;pd_rd_i=B01HCKIFHU&amp;pd_rd_w=gFsWw&amp;pf_rd_p=827fc23f-f65d-4f45-827e-1118401362c4&amp;pd_rd_wg=v9ENS&amp;pf_rd_r=EAKKF6N3C3RZR0ZNEC4H&amp;pd_rd_r=9df42740-6201-4959-a023-1eb70cb0cec6&amp;spLa=ZW5jcnlwdGVkUXVhbGlmaWVyPUFISTBUVTRXRk5FVkYmZW5jcnlwdGVkSWQ9QTAzNTMxMzdYTlBUODlUQzgzUUMmZW5jcnlwdGVkQWRJZD1BMTFDUUUzV1pISTRJSSZ3aWRnZXROYW1lPXNwX2RldGFpbCZhY3Rpb249Y2xpY2tSZWRpcmVjdCZkb05vdExvZ0NsaWNrPXRydWU=" TargetMode="External"/><Relationship Id="rId363" Type="http://schemas.openxmlformats.org/officeDocument/2006/relationships/hyperlink" Target="https://www.digikey.jp/products/ja?keywords=490-1170-1-ND" TargetMode="External"/><Relationship Id="rId2044" Type="http://schemas.openxmlformats.org/officeDocument/2006/relationships/hyperlink" Target="https://meviy.misumi-ec.com/" TargetMode="External"/><Relationship Id="rId430" Type="http://schemas.openxmlformats.org/officeDocument/2006/relationships/hyperlink" Target="https://www.digikey.jp/products/ja?keywords=S25FL512SAGMFI011" TargetMode="External"/><Relationship Id="rId1060" Type="http://schemas.openxmlformats.org/officeDocument/2006/relationships/hyperlink" Target="https://www.digikey.jp/product-detail/en/rohm-semiconductor/SML-E12Y8WT86/511-1588-1-ND/1641820" TargetMode="External"/><Relationship Id="rId2111" Type="http://schemas.openxmlformats.org/officeDocument/2006/relationships/hyperlink" Target="https://www.mouser.jp/ProductDetail/Hirose-Connector/DF14-2628SCF?qs=zOgoZG1CgI9e5169erfJug%3D%3D" TargetMode="External"/><Relationship Id="rId5267" Type="http://schemas.openxmlformats.org/officeDocument/2006/relationships/hyperlink" Target="https://akizukidenshi.com/catalog/g/gP-01864/" TargetMode="External"/><Relationship Id="rId1877" Type="http://schemas.openxmlformats.org/officeDocument/2006/relationships/hyperlink" Target="https://www.digikey.jp/product-detail/en/johanson-technology-inc/251R15S200JV4E/712-1381-1-ND/1833703" TargetMode="External"/><Relationship Id="rId2928" Type="http://schemas.openxmlformats.org/officeDocument/2006/relationships/hyperlink" Target="https://jp.misumi-ec.com/vona2/detail/110300467110/?PNSearch=HFHF50-5-%5b50-2000%2f1%5d&amp;HissuCode=HFHF50-5-%5b50-2000%2f1%5d&amp;searchFlow=suggest2products&amp;Keyword=HFHF50-5-%5b50-2000%2f1%5d" TargetMode="External"/><Relationship Id="rId4283" Type="http://schemas.openxmlformats.org/officeDocument/2006/relationships/hyperlink" Target="https://jp.rs-online.com/web/p/development-tool-accessories/6877774" TargetMode="External"/><Relationship Id="rId5334" Type="http://schemas.openxmlformats.org/officeDocument/2006/relationships/hyperlink" Target="https://www.digikey.jp/en/products/detail/txc-corporation/7A-16-000MAAJ-T/2118770?s=N4IgTCBcDaIOwEEC0BGAbAOgAw4LIIQCkkAVEAXQF8g" TargetMode="External"/><Relationship Id="rId1944" Type="http://schemas.openxmlformats.org/officeDocument/2006/relationships/hyperlink" Target="https://www.digikey.jp/product-detail/ja/amphenol-rf/908-22101T/ARF1725CT-ND/2041861" TargetMode="External"/><Relationship Id="rId4350" Type="http://schemas.openxmlformats.org/officeDocument/2006/relationships/hyperlink" Target="https://www.anritsu.com/ja-jp/test-measurement/products/ma5612-series" TargetMode="External"/><Relationship Id="rId4003" Type="http://schemas.openxmlformats.org/officeDocument/2006/relationships/hyperlink" Target="https://www.digikey.jp/product-detail/ja/RG2012N-103-W-T1/RG20N10.0KWCT-ND/600900?itemSeq=377508455" TargetMode="External"/><Relationship Id="rId3769" Type="http://schemas.openxmlformats.org/officeDocument/2006/relationships/hyperlink" Target="https://www.digikey.jp/product-detail/en/LMK212BJ106KG-T/587-1300-1-ND/931077?itemSeq=373418003" TargetMode="External"/><Relationship Id="rId5191" Type="http://schemas.openxmlformats.org/officeDocument/2006/relationships/hyperlink" Target="https://jp.misumi-ec.com/vona2/detail/110302280540/?ProductCode=CBSTSR2-4" TargetMode="External"/><Relationship Id="rId2785" Type="http://schemas.openxmlformats.org/officeDocument/2006/relationships/hyperlink" Target="https://jp.rs-online.com/web/p/wire-wound-surface-mount-inductors/7923953/" TargetMode="External"/><Relationship Id="rId3836" Type="http://schemas.openxmlformats.org/officeDocument/2006/relationships/hyperlink" Target="https://www.nbk1560.com/products/specialscrew/nedzicom/lowsmallheadscrew/SSHS/SSHS-M2/SSHS-M2-8/" TargetMode="External"/><Relationship Id="rId757" Type="http://schemas.openxmlformats.org/officeDocument/2006/relationships/hyperlink" Target="https://www.digikey.jp/product-detail/ja/murata-electronics-north-america/GJM1555C1H7R0BB01D/490-11233-1-ND/5333073" TargetMode="External"/><Relationship Id="rId1387" Type="http://schemas.openxmlformats.org/officeDocument/2006/relationships/hyperlink" Target="https://www.digikey.jp/product-detail/en/murata-electronics/GRM21BD71A226ME44L/490-9959-1-ND/5026434" TargetMode="External"/><Relationship Id="rId2438" Type="http://schemas.openxmlformats.org/officeDocument/2006/relationships/hyperlink" Target="https://akizukidenshi.com/catalog/g/gR-08804/" TargetMode="External"/><Relationship Id="rId2852" Type="http://schemas.openxmlformats.org/officeDocument/2006/relationships/hyperlink" Target="https://www.amazon.co.jp/%E3%80%90%E5%9B%BD%E5%86%85%E6%AD%A3%E8%A6%8F%E4%BB%A3%E7%90%86%E5%BA%97%E5%93%81%E3%80%91Western-Digital-2-5%E3%82%A4%E3%83%B3%E3%83%81-PS4%E3%83%A1%E3%83%BC%E3%82%AB%E3%83%BC%E5%8B%95%E4%BD%9C%E7%A2%BA%E8%AA%8D%E6%B8%88-WDS100T2B0A-EC/dp/B07SPVR762/ref=sr_1_8?__mk_ja_JP=%E3%82%AB%E3%82%BF%E3%82%AB%E3%83%8A&amp;dchild=1&amp;keywords=sata+ssd+1tb+desktop&amp;qid=1607076547&amp;sr=8-8" TargetMode="External"/><Relationship Id="rId3903" Type="http://schemas.openxmlformats.org/officeDocument/2006/relationships/hyperlink" Target="https://www.digikey.jp/product-detail/ja/hirose-electric-co-ltd/DF11-16DS-2C/H2025-ND/141271" TargetMode="External"/><Relationship Id="rId93" Type="http://schemas.openxmlformats.org/officeDocument/2006/relationships/hyperlink" Target="https://www.minicircuits.com/WebStore/dashboard.html?model=TB-626%2B" TargetMode="External"/><Relationship Id="rId824" Type="http://schemas.openxmlformats.org/officeDocument/2006/relationships/hyperlink" Target="https://www.monotaro.com/g/02777510/?t.q=%92%E1%83A%83E%83g%83K%83X%81%40%90%DA%92%85%8D%DC" TargetMode="External"/><Relationship Id="rId1454" Type="http://schemas.openxmlformats.org/officeDocument/2006/relationships/hyperlink" Target="https://www.digikey.jp/product-detail/en/linear-technology-analog-devices/LTC4361ITS8-2-TRMPBF/LTC4361ITS8-2-TRMPBFCT-ND/2351622" TargetMode="External"/><Relationship Id="rId2505" Type="http://schemas.openxmlformats.org/officeDocument/2006/relationships/hyperlink" Target="https://jp.misumi-ec.com/vona2/detail/221000349089/?CategorySpec=00000217040%3a%3amig00000002457491%0900000217056%3a%3amig00000002456996%0900000217074%3a%3ac%2cd%0900000216906%3a%3aa%0900000217098%3a%3ab%0900000217091%3a%3aa" TargetMode="External"/><Relationship Id="rId1107" Type="http://schemas.openxmlformats.org/officeDocument/2006/relationships/hyperlink" Target="https://www.digikey.jp/product-detail/ja/susumu/RL1220T-R050-J/RL12T.05JCT-ND/567358" TargetMode="External"/><Relationship Id="rId1521" Type="http://schemas.openxmlformats.org/officeDocument/2006/relationships/hyperlink" Target="https://www.digikey.jp/product-detail/en/3m/961272-6404-AR/3M9466-72-ND/2071507" TargetMode="External"/><Relationship Id="rId4677" Type="http://schemas.openxmlformats.org/officeDocument/2006/relationships/hyperlink" Target="https://www.aliexpress.com/item/4000108966613.html?gatewayAdapt=glo2ara" TargetMode="External"/><Relationship Id="rId3279" Type="http://schemas.openxmlformats.org/officeDocument/2006/relationships/hyperlink" Target="https://www.mouser.jp/ProductDetail/Texas-Instruments/LM358ADGKRG4?qs=VBduBm9rCJREkxZGX3ccDQ%3D%3D" TargetMode="External"/><Relationship Id="rId3693" Type="http://schemas.openxmlformats.org/officeDocument/2006/relationships/hyperlink" Target="https://www.digikey.jp/product-detail/en/te-connectivity-amp-connectors/534998-6/A26487-ND/352963" TargetMode="External"/><Relationship Id="rId2295" Type="http://schemas.openxmlformats.org/officeDocument/2006/relationships/hyperlink" Target="http://akizukidenshi.com/catalog/g/gP-07214/" TargetMode="External"/><Relationship Id="rId3346" Type="http://schemas.openxmlformats.org/officeDocument/2006/relationships/hyperlink" Target="https://www.digikey.jp/product-detail/en/keystone-electronics/1043/36-1043-ND/2745669" TargetMode="External"/><Relationship Id="rId4744" Type="http://schemas.openxmlformats.org/officeDocument/2006/relationships/hyperlink" Target="https://www.askul.co.jp/p/7888355/" TargetMode="External"/><Relationship Id="rId267" Type="http://schemas.openxmlformats.org/officeDocument/2006/relationships/hyperlink" Target="https://www.monotaro.com/p/4903/6461/" TargetMode="External"/><Relationship Id="rId3760" Type="http://schemas.openxmlformats.org/officeDocument/2006/relationships/hyperlink" Target="https://www.proto-advantage.com/store/product_info.php?products_id=4000001" TargetMode="External"/><Relationship Id="rId4811" Type="http://schemas.openxmlformats.org/officeDocument/2006/relationships/hyperlink" Target="https://www.digikey.jp/en/products/detail/amphenol-rf-division/172123/1011846" TargetMode="External"/><Relationship Id="rId681" Type="http://schemas.openxmlformats.org/officeDocument/2006/relationships/hyperlink" Target="https://www.p-ban.com/kiban/com/csComTop.do" TargetMode="External"/><Relationship Id="rId2362" Type="http://schemas.openxmlformats.org/officeDocument/2006/relationships/hyperlink" Target="https://jp.misumi-ec.com/vona2/detail/221000597545/?ProductCode=ES-M2-0.4-2D-SUS" TargetMode="External"/><Relationship Id="rId3413" Type="http://schemas.openxmlformats.org/officeDocument/2006/relationships/hyperlink" Target="https://jp.misumi-ec.com/vona2/detail/110302280540/?ProductCode=CBSTSR2-6" TargetMode="External"/><Relationship Id="rId334" Type="http://schemas.openxmlformats.org/officeDocument/2006/relationships/hyperlink" Target="https://jp.rs-online.com/web/p/processor-microcontroller-development-kits/9064624/" TargetMode="External"/><Relationship Id="rId2015" Type="http://schemas.openxmlformats.org/officeDocument/2006/relationships/hyperlink" Target="https://www.digikey.jp/products/en?keywords=DF14-30P-1.25H(24)" TargetMode="External"/><Relationship Id="rId401" Type="http://schemas.openxmlformats.org/officeDocument/2006/relationships/hyperlink" Target="https://www.p-ban.com/kiban/com/csComTop.do" TargetMode="External"/><Relationship Id="rId1031" Type="http://schemas.openxmlformats.org/officeDocument/2006/relationships/hyperlink" Target="https://jp.misumi-ec.com/vona2/detail/221000551286/?HissuCode=CSH-STD-M12-55&amp;PNSearch=CSH-STD-M12-55&amp;KWSearch=CSH-STD-M12-55&amp;searchFlow=results2products" TargetMode="External"/><Relationship Id="rId4187" Type="http://schemas.openxmlformats.org/officeDocument/2006/relationships/hyperlink" Target="https://www.mouser.jp/ProductDetail/Vishay-Dale/WSLP0805R0250FEA?qs=l%252BoLuM8chxpEU%252BvdILwPrA%3D%3D" TargetMode="External"/><Relationship Id="rId5238" Type="http://schemas.openxmlformats.org/officeDocument/2006/relationships/hyperlink" Target="https://akizukidenshi.com/catalog/g/gP-01864/" TargetMode="External"/><Relationship Id="rId4254" Type="http://schemas.openxmlformats.org/officeDocument/2006/relationships/hyperlink" Target="https://www.amazon.co.jp/WITMOTION-RM3100-%E5%9C%B0%E7%A3%81%E6%B0%97%E3%80%81%E3%83%9F%E3%83%AA%E3%82%BF%E3%83%AA%E3%83%BC-%E3%82%BB%E3%83%B3%E3%82%B5%E3%80%81%E9%AB%98%E9%80%9F-%E3%83%A2%E3%82%B8%E3%83%A5%E3%83%BC%E3%83%AB%E3%80%81%E7%A3%81%E5%8A%9B%E8%A8%88/dp/B07RZZ9SBR/ref=asc_df_B07RZZ9SBR/?tag=jpgo-" TargetMode="External"/><Relationship Id="rId5305" Type="http://schemas.openxmlformats.org/officeDocument/2006/relationships/hyperlink" Target="https://www.monotaro.com/p/5876/7116/?t.q=%83P%81%5B%83u%83%8B" TargetMode="External"/><Relationship Id="rId1848" Type="http://schemas.openxmlformats.org/officeDocument/2006/relationships/hyperlink" Target="https://www.digikey.jp/product-detail/en/koa-speer-electronics-inc/RK73H1JTTD1002F/2019-RK73H1JTTD1002FCT-ND/9846998" TargetMode="External"/><Relationship Id="rId3270" Type="http://schemas.openxmlformats.org/officeDocument/2006/relationships/hyperlink" Target="https://www.digikey.jp/product-detail/ja/vishay-dale/WSL0805R0250FEA18/WSLB-025CT-ND/713391" TargetMode="External"/><Relationship Id="rId4321" Type="http://schemas.openxmlformats.org/officeDocument/2006/relationships/hyperlink" Target="https://www.digikey.jp/en/products/detail/te-connectivity-measurement-specialties/GAG10K3976B1/5277252?s=N4IgTCBcDaIARjAZgLQEYCsGDsKByAIiALoC%2BQA" TargetMode="External"/><Relationship Id="rId191" Type="http://schemas.openxmlformats.org/officeDocument/2006/relationships/hyperlink" Target="https://www.digikey.jp/products/en?keywords=490-10411-1-ND" TargetMode="External"/><Relationship Id="rId1915" Type="http://schemas.openxmlformats.org/officeDocument/2006/relationships/hyperlink" Target="https://www.marutsu.co.jp/pc/i/836385/" TargetMode="External"/><Relationship Id="rId5095" Type="http://schemas.openxmlformats.org/officeDocument/2006/relationships/hyperlink" Target="https://www.mouser.jp/ProductDetail/Texas-Instruments/SN74LVC2G34DBVR?qs=sGAEpiMZZMutXGli8Ay4kBe1JEI223fXK4J%252BQWEKq4o%3D" TargetMode="External"/><Relationship Id="rId2689" Type="http://schemas.openxmlformats.org/officeDocument/2006/relationships/hyperlink" Target="https://www.mouser.jp/ProductDetail/TE-Connectivity-PB/2337822-1?qs=PzGy0jfpSMuGdKmoWZnXBA%3D%3D" TargetMode="External"/><Relationship Id="rId2756" Type="http://schemas.openxmlformats.org/officeDocument/2006/relationships/hyperlink" Target="https://www.digikey.jp/product-detail/ja/jst-sales-america-inc/EHR-2/455-1000-ND/527224" TargetMode="External"/><Relationship Id="rId3807" Type="http://schemas.openxmlformats.org/officeDocument/2006/relationships/hyperlink" Target="https://akizukidenshi.com/catalog/g/gP-03476/" TargetMode="External"/><Relationship Id="rId5162" Type="http://schemas.openxmlformats.org/officeDocument/2006/relationships/hyperlink" Target="https://www.digikey.jp/en/products/detail/linx-technologies-inc/CONSMA001-SMD-G/4496569" TargetMode="External"/><Relationship Id="rId728" Type="http://schemas.openxmlformats.org/officeDocument/2006/relationships/hyperlink" Target="https://www.digikey.jp/product-detail/ja/ohmite/HVC0805T2504JET/HVC0805T2504JETCT-ND/4809224" TargetMode="External"/><Relationship Id="rId1358" Type="http://schemas.openxmlformats.org/officeDocument/2006/relationships/hyperlink" Target="http://akizukidenshi.com/catalog/g/gK-09421/" TargetMode="External"/><Relationship Id="rId1772" Type="http://schemas.openxmlformats.org/officeDocument/2006/relationships/hyperlink" Target="https://www.digikey.jp/product-detail/ja/murata-electronics-north-america/GJM1555C1H150GB01D/490-8080-1-ND/4380366" TargetMode="External"/><Relationship Id="rId2409" Type="http://schemas.openxmlformats.org/officeDocument/2006/relationships/hyperlink" Target="https://www.digikey.jp/ja/supplier-centers/panduit" TargetMode="External"/><Relationship Id="rId64" Type="http://schemas.openxmlformats.org/officeDocument/2006/relationships/hyperlink" Target="https://www.p-ban.com/kiban/com/csComTop.do" TargetMode="External"/><Relationship Id="rId1425" Type="http://schemas.openxmlformats.org/officeDocument/2006/relationships/hyperlink" Target="https://www.digikey.jp/product-detail/en/vishay-dale/CRCW0805953KFKEA/541-953KCCT-ND/1181125" TargetMode="External"/><Relationship Id="rId2823" Type="http://schemas.openxmlformats.org/officeDocument/2006/relationships/hyperlink" Target="https://jp.misumi-ec.com/vona2/detail/221006202207/?PNSearch=AS-303&amp;HissuCode=AS-303&amp;searchFlow=suggest2products&amp;Keyword=AS-303" TargetMode="External"/><Relationship Id="rId4995" Type="http://schemas.openxmlformats.org/officeDocument/2006/relationships/hyperlink" Target="https://akizukidenshi.com/catalog/g/gM-07385/" TargetMode="External"/><Relationship Id="rId2199" Type="http://schemas.openxmlformats.org/officeDocument/2006/relationships/hyperlink" Target="https://www.digikey.jp/product-detail/en/xp-power/A02N-5/1470-3178-ND/5873488" TargetMode="External"/><Relationship Id="rId3597" Type="http://schemas.openxmlformats.org/officeDocument/2006/relationships/hyperlink" Target="https://www.monotaro.com/g/04137277/?displayId=20" TargetMode="External"/><Relationship Id="rId4648" Type="http://schemas.openxmlformats.org/officeDocument/2006/relationships/hyperlink" Target="https://www.digikey.jp/ja/products/detail/c-k/SDS002R/1007171?s=N4IgTCBcDaIMoBE4AZlgEogLoF8g" TargetMode="External"/><Relationship Id="rId3664" Type="http://schemas.openxmlformats.org/officeDocument/2006/relationships/hyperlink" Target="https://www.digikey.jp/product-detail/en/rohm-semiconductor/DTC144EKAT146/DTC144EKAT146CT-ND/650727" TargetMode="External"/><Relationship Id="rId4715" Type="http://schemas.openxmlformats.org/officeDocument/2006/relationships/hyperlink" Target="https://jp.misumi-ec.com/vona2/detail/110302679970/?PNSearch=MSSFS3-5&amp;HissuCode=MSSFS3-5&amp;searchFlow=suggest2products&amp;Keyword=MSSFS3-5&amp;list=SuggestPreview" TargetMode="External"/><Relationship Id="rId585" Type="http://schemas.openxmlformats.org/officeDocument/2006/relationships/hyperlink" Target="https://www.m2inc.com/FG70CM2PRTPD" TargetMode="External"/><Relationship Id="rId2266" Type="http://schemas.openxmlformats.org/officeDocument/2006/relationships/hyperlink" Target="https://www.monotaro.com/p/3709/9754/" TargetMode="External"/><Relationship Id="rId2680" Type="http://schemas.openxmlformats.org/officeDocument/2006/relationships/hyperlink" Target="https://www.mouser.jp/ProductDetail/KOA-Speer/RK73B1JTTD473J?qs=%2Fha2pyFadugsLOWdTaAvHiLq%2FYVaUgAoNiCSlhlnVbzsKSX%2FmEmGQg%3D%3D" TargetMode="External"/><Relationship Id="rId3317" Type="http://schemas.openxmlformats.org/officeDocument/2006/relationships/hyperlink" Target="https://www.amazon.co.jp/-/en/Sunhayato-SMX-B05-Special-Cream-Solder/dp/B0748B2H51/ref=sr_1_2?dchild=1&amp;keywords=%E3%82%B5%E3%83%B3%E3%83%8F%E3%83%A4%E3%83%88%E3%82%AF%E3%83%AA%E3%83%BC%E3%83%A0&amp;qid=1617877755&amp;sr=8-2" TargetMode="External"/><Relationship Id="rId3731" Type="http://schemas.openxmlformats.org/officeDocument/2006/relationships/hyperlink" Target="http://www.hirosugi.com/product/standard.html" TargetMode="External"/><Relationship Id="rId238" Type="http://schemas.openxmlformats.org/officeDocument/2006/relationships/hyperlink" Target="https://www.digikey.jp/product-detail/ja/LT6106HS5%23TRMPBF/LT6106HS5%23TRMPBFCT-ND/1590294/?itemSeq=279514326" TargetMode="External"/><Relationship Id="rId652" Type="http://schemas.openxmlformats.org/officeDocument/2006/relationships/hyperlink" Target="https://www.digikey.jp/product-detail/en/murata-electronics-north-america/GRM21BR61H475KE51L/490-10751-1-ND/5251349" TargetMode="External"/><Relationship Id="rId1282" Type="http://schemas.openxmlformats.org/officeDocument/2006/relationships/hyperlink" Target="http://p-ban.com/" TargetMode="External"/><Relationship Id="rId2333" Type="http://schemas.openxmlformats.org/officeDocument/2006/relationships/hyperlink" Target="https://www.monotaro.com/p/3324/0313/?displayId=5" TargetMode="External"/><Relationship Id="rId305" Type="http://schemas.openxmlformats.org/officeDocument/2006/relationships/hyperlink" Target="https://www.digikey.jp/product-detail/en/sparkfun-electronics/PRT-12795/1568-1512-ND/5993860" TargetMode="External"/><Relationship Id="rId2400" Type="http://schemas.openxmlformats.org/officeDocument/2006/relationships/hyperlink" Target="https://www.digikey.jp/products/en?keywords=%09H10891-ND" TargetMode="External"/><Relationship Id="rId1002" Type="http://schemas.openxmlformats.org/officeDocument/2006/relationships/hyperlink" Target="http://akizukidenshi.com/catalog/g/gP-01864/" TargetMode="External"/><Relationship Id="rId4158" Type="http://schemas.openxmlformats.org/officeDocument/2006/relationships/hyperlink" Target="https://jp.rs-online.com/web/p/mlccs-multilayer-ceramic-capacitors/8015202" TargetMode="External"/><Relationship Id="rId5209" Type="http://schemas.openxmlformats.org/officeDocument/2006/relationships/hyperlink" Target="https://jp.misumi-ec.com/vona2/detail/110302695910/?HissuCode=ACA-400-400-6&amp;list=PageCategory" TargetMode="External"/><Relationship Id="rId3174" Type="http://schemas.openxmlformats.org/officeDocument/2006/relationships/hyperlink" Target="https://www.digikey.jp/product-detail/ja/l3-narda-miteq/765A-30/1949-1093-ND/9092998" TargetMode="External"/><Relationship Id="rId4572" Type="http://schemas.openxmlformats.org/officeDocument/2006/relationships/hyperlink" Target="https://www.monotaro.com/p/7580/0963/?t.q=vuwf-6.35-v" TargetMode="External"/><Relationship Id="rId1819" Type="http://schemas.openxmlformats.org/officeDocument/2006/relationships/hyperlink" Target="https://www.digikey.jp/product-detail/en/texas-instruments/SN74CB3Q3257DBQR/296-17511-1-ND/700058" TargetMode="External"/><Relationship Id="rId4225" Type="http://schemas.openxmlformats.org/officeDocument/2006/relationships/hyperlink" Target="https://www.mouser.jp/ProductDetail/Texas-Instruments/SN74LVC2G34DCK3?qs=sGAEpiMZZMutXGli8Ay4kJCrMScpRZEi7SiCxwx5uDg%3D" TargetMode="External"/><Relationship Id="rId2190" Type="http://schemas.openxmlformats.org/officeDocument/2006/relationships/hyperlink" Target="https://www.monotaro.com/p/0757/1384/" TargetMode="External"/><Relationship Id="rId3241" Type="http://schemas.openxmlformats.org/officeDocument/2006/relationships/hyperlink" Target="https://www.digikey.jp/product-detail/ja/analog-devices-inc/LTC4361HDC-2-TRMPBF/LTC4361HDC-2-TRMPBFCT-ND/5114546" TargetMode="External"/><Relationship Id="rId162" Type="http://schemas.openxmlformats.org/officeDocument/2006/relationships/hyperlink" Target="http://akizukidenshi.com/catalog/g/gI-02553/" TargetMode="External"/><Relationship Id="rId979" Type="http://schemas.openxmlformats.org/officeDocument/2006/relationships/hyperlink" Target="https://jp.misumi-ec.com/vona2/detail/221000237669/?ProductCode=SLHS-M2X8" TargetMode="External"/><Relationship Id="rId5066" Type="http://schemas.openxmlformats.org/officeDocument/2006/relationships/hyperlink" Target="https://jp.misumi-ec.com/vona2/detail/221000551286/?HissuCode=CSH-SUS-M3-5" TargetMode="External"/><Relationship Id="rId4082" Type="http://schemas.openxmlformats.org/officeDocument/2006/relationships/hyperlink" Target="https://www.digikey.jp/product-detail/en/stackpole-electronics-inc/RNCF0603DTE82K0/RNCF0603DTE82K0CT-ND/9915274" TargetMode="External"/><Relationship Id="rId5133" Type="http://schemas.openxmlformats.org/officeDocument/2006/relationships/hyperlink" Target="https://www.monotaro.com/p/8495/9744/" TargetMode="External"/><Relationship Id="rId1676" Type="http://schemas.openxmlformats.org/officeDocument/2006/relationships/hyperlink" Target="https://www.digikey.jp/product-detail/en/sparkfun-electronics/WRL-11812/1568-1305-ND/5762455" TargetMode="External"/><Relationship Id="rId2727" Type="http://schemas.openxmlformats.org/officeDocument/2006/relationships/hyperlink" Target="https://www.amazon.co.jp/%E3%82%AA%E3%83%BC%E3%83%87%E3%82%A3%E3%82%AA%E3%83%95%E3%82%A1%E3%83%B3-%E3%83%AF%E3%83%8B%E3%82%B0%E3%83%81%E3%82%AF%E3%83%AA%E3%83%83%E3%83%97%E3%82%B3%E3%83%BC%E3%83%89-micro-%EF%BC%88%E3%83%9B%E3%83%AF%E3%82%A4%E3%83%88%E3%83%BB%E3%83%AC%E3%83%83%E3%83%89%E3%83%BB%E3%82%A4%E3%82%A8%E3%83%AD%E3%83%BC%E3%83%BB%E3%82%B0%E3%83%AA%E3%83%BC%E3%83%B3%E3%83%BB%E3%83%96%E3%83%A9%E3%83%83%E3%82%AF-%E6%97%A5%E6%9C%AC%E5%9B%BD%E5%86%85%E3%82%88%E3%82%8A%E7%99%BA%E9%80%81/dp/B07F8T7WYN/ref=sr_1_14?dchild=1&amp;keywords=%E9%9B%BB%E5%AD%90%E9%83%A8%E5%93%81+%E3%82%BB%E3%83%83%E3%83%88&amp;qid=1605091896&amp;sr=8-14" TargetMode="External"/><Relationship Id="rId1329" Type="http://schemas.openxmlformats.org/officeDocument/2006/relationships/hyperlink" Target="https://www.amazon.co.jp/gp/product/B013QV2EQM/ref=ppx_yo_dt_b_asin_title_o02_s00?ie=UTF8&amp;psc=1" TargetMode="External"/><Relationship Id="rId1743" Type="http://schemas.openxmlformats.org/officeDocument/2006/relationships/hyperlink" Target="https://www.digikey.com/product-detail/en/johanson-technology-inc/S603DS/712-1159-ND/1786608" TargetMode="External"/><Relationship Id="rId4899" Type="http://schemas.openxmlformats.org/officeDocument/2006/relationships/hyperlink" Target="https://www.askul.co.jp/p/2062405/" TargetMode="External"/><Relationship Id="rId5200" Type="http://schemas.openxmlformats.org/officeDocument/2006/relationships/hyperlink" Target="https://product.rakuten.co.jp/product/-/ede76d7413d161d2a43d2d610158dae0/" TargetMode="External"/><Relationship Id="rId35" Type="http://schemas.openxmlformats.org/officeDocument/2006/relationships/hyperlink" Target="https://jp.rs-online.com/web/p/solders/4708988/" TargetMode="External"/><Relationship Id="rId1810" Type="http://schemas.openxmlformats.org/officeDocument/2006/relationships/hyperlink" Target="https://www.digikey.jp/product-detail/en/m-a-com-technology-solutions/MABA-010245-CT1160/1465-1309-1-ND/4430006" TargetMode="External"/><Relationship Id="rId4966" Type="http://schemas.openxmlformats.org/officeDocument/2006/relationships/hyperlink" Target="https://www.chip1stop.com/product/detail?partId=LINE-0031476&amp;mpn=LT6106CS5%23TRMPBF" TargetMode="External"/><Relationship Id="rId3568" Type="http://schemas.openxmlformats.org/officeDocument/2006/relationships/hyperlink" Target="https://www.mouser.jp/ProductDetail/Microchip-Technology/MCP3221A5T-E-OT?qs=%2Fha2pyFaduiyCfB0dE34T1%252BY4nlp3wEJ0YyKE4Hi8DDk9ursYHynXw%3D%3D" TargetMode="External"/><Relationship Id="rId3982" Type="http://schemas.openxmlformats.org/officeDocument/2006/relationships/hyperlink" Target="https://www.digikey.jp/product-detail/ja/digi/XB3-24APT-J/602-XB3-24APT-J-ND/13627566" TargetMode="External"/><Relationship Id="rId4619" Type="http://schemas.openxmlformats.org/officeDocument/2006/relationships/hyperlink" Target="https://www.digikey.jp/en/products/detail/adafruit-industries-llc/852/6827042" TargetMode="External"/><Relationship Id="rId489" Type="http://schemas.openxmlformats.org/officeDocument/2006/relationships/hyperlink" Target="https://www.p-ban.com/kiban/com/csComTop.do" TargetMode="External"/><Relationship Id="rId2584" Type="http://schemas.openxmlformats.org/officeDocument/2006/relationships/hyperlink" Target="https://www.digikey.jp/product-detail/en/kemet/C0805C104J4RACTU/399-11163-6-ND/4357876" TargetMode="External"/><Relationship Id="rId3635" Type="http://schemas.openxmlformats.org/officeDocument/2006/relationships/hyperlink" Target="https://www.digikey.jp/product-detail/ja/taiyo-yuden/LMK212B7475KG-T/587-1442-1-ND/1004073" TargetMode="External"/><Relationship Id="rId556" Type="http://schemas.openxmlformats.org/officeDocument/2006/relationships/hyperlink" Target="https://www.digikey.jp/product-detail/en/te-connectivity-amp-connectors/1375820-3/A99614-ND/1864916" TargetMode="External"/><Relationship Id="rId1186" Type="http://schemas.openxmlformats.org/officeDocument/2006/relationships/hyperlink" Target="https://www.cqcqde.com/fs/cqohm/27380" TargetMode="External"/><Relationship Id="rId2237" Type="http://schemas.openxmlformats.org/officeDocument/2006/relationships/hyperlink" Target="https://jp.rs-online.com/web/p/mosfets/6011961/?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32534B31303632267374613D32534B3130363226&amp;searchHistory=%7B%22enabled%22%3Atrue%7D" TargetMode="External"/><Relationship Id="rId209" Type="http://schemas.openxmlformats.org/officeDocument/2006/relationships/hyperlink" Target="https://www.monotaro.com/p/2021/7585/?t.q=%92%BC%97%AC%88%C0%92%E8%89%BB%93d%8C%B9" TargetMode="External"/><Relationship Id="rId970" Type="http://schemas.openxmlformats.org/officeDocument/2006/relationships/hyperlink" Target="https://jp.rs-online.com/web/p/pcb-connector-housings/8201614/" TargetMode="External"/><Relationship Id="rId1253" Type="http://schemas.openxmlformats.org/officeDocument/2006/relationships/hyperlink" Target="https://www.digikey.jp/product-detail/ja/susumu/RR1220P-103-D/RR12P10.0KDCT-ND/432854" TargetMode="External"/><Relationship Id="rId2651" Type="http://schemas.openxmlformats.org/officeDocument/2006/relationships/hyperlink" Target="https://www.monotaro.com/p/2739/9338/?t.q=%83P%81%5B%83u%83%8B%83%5E%83C" TargetMode="External"/><Relationship Id="rId3702" Type="http://schemas.openxmlformats.org/officeDocument/2006/relationships/hyperlink" Target="https://www.monotaro.com/g/03487810/?monotaroNo=89848456" TargetMode="External"/><Relationship Id="rId623" Type="http://schemas.openxmlformats.org/officeDocument/2006/relationships/hyperlink" Target="https://www.digikey.jp/product-detail/en/panasonic-electric-works/AQZ102/255-1567-ND/570705?cur=JPY&amp;lang=en" TargetMode="External"/><Relationship Id="rId2304" Type="http://schemas.openxmlformats.org/officeDocument/2006/relationships/hyperlink" Target="https://jp.misumi-ec.com/vona2/detail/221000551286/?HissuCode=CSH-STD-M12-35&amp;PNSearch=CSH-STD-M12-35&amp;KWSearch=CSH-STD-M12-35&amp;searchFlow=results2products" TargetMode="External"/><Relationship Id="rId1320" Type="http://schemas.openxmlformats.org/officeDocument/2006/relationships/hyperlink" Target="https://www.digikey.jp/product-detail/en/adafruit-industries-llc/1954/1528-1964-ND/6827087" TargetMode="External"/><Relationship Id="rId4476" Type="http://schemas.openxmlformats.org/officeDocument/2006/relationships/hyperlink" Target="https://www.monotaro.com/g/00404991/" TargetMode="External"/><Relationship Id="rId4890" Type="http://schemas.openxmlformats.org/officeDocument/2006/relationships/hyperlink" Target="https://www.marutsu.co.jp/GoodsDetail.jsp?salesGoodsCode=223385&amp;shopNo=3" TargetMode="External"/><Relationship Id="rId3078" Type="http://schemas.openxmlformats.org/officeDocument/2006/relationships/hyperlink" Target="https://www.amazon.co.jp/%E3%83%95%E3%82%A3%E3%83%A9%E3%83%A1%E3%83%B3%E3%83%88-%E3%80%90TINMORRY%E3%80%913d%E3%83%97%E3%83%AA%E3%83%B3%E3%82%BF%E7%94%A8%E9%80%A0%E5%BD%A2%E6%9D%90%E6%96%99-1-75mm-Printer-Filament/dp/B083Y5G2GJ/ref=sr_1_2_sspa?__mk_ja_JP=%E3%82%AB%E3%82%BF%E3%82%AB%E3%83%8A&amp;crid=1GSDBBTH79L1M&amp;dchild=1&amp;keywords=pla+%E3%83%95%E3%82%A3%E3%83%A9%E3%83%A1%E3%83%B3%E3%83%88&amp;qid=1612424121&amp;s=industrial&amp;sprefix=pla+%2Cindustrial%2C269&amp;sr=1-2-spons&amp;psc=1&amp;spLa=ZW5jcnlwdGVkUXVhbGlmaWVyPUEyVFdWWVpJQVpTWUE3JmVuY3J5cHRlZElkPUEwMTExNDEyMzRFQkUxV1dGSldZTyZlbmNyeXB0ZWRBZElkPUExS044Slo3WFlRTEYmd2lkZ2V0TmFtZT1zcF9hdGYmYWN0aW9uPWNsaWNrUmVkaXJlY3QmZG9Ob3RMb2dDbGljaz10cnVl" TargetMode="External"/><Relationship Id="rId3492" Type="http://schemas.openxmlformats.org/officeDocument/2006/relationships/hyperlink" Target="https://www.digikey.jp/product-detail/ja/honeywell-sensing-and-productivity-solutions/HPMA115S0-XXX/480-7035-ND/7202204?utm_adgroup=General&amp;utm_source=google&amp;utm_medium=cpc&amp;utm_campaign=Smart%20Shopping_Product_Zombie%20SKUs&amp;utm_term=&amp;productid=7202204&amp;gclid=CjwKCAjwnPOEBhA0EiwA609Red1k52TQ7Slco_HKnSjA0ZJocTFZ8k0Ah5xdlJs8OcQX4-cki1hcShoCinAQAvD_BwE" TargetMode="External"/><Relationship Id="rId4129" Type="http://schemas.openxmlformats.org/officeDocument/2006/relationships/hyperlink" Target="https://www.digikey.jp/product-detail/ja/samtec-inc/TSW-104-08-G-D/SAM1036-04-ND/1101670" TargetMode="External"/><Relationship Id="rId4543" Type="http://schemas.openxmlformats.org/officeDocument/2006/relationships/hyperlink" Target="https://www.monotaro.com/g/04915056/" TargetMode="External"/><Relationship Id="rId2094" Type="http://schemas.openxmlformats.org/officeDocument/2006/relationships/hyperlink" Target="https://jp.misumi-ec.com/vona2/detail/221006202432/?HissuCode=BSU-315H&amp;PNSearch=BSU-315H&amp;KWSearch=BSU-315H&amp;searchFlow=results2products" TargetMode="External"/><Relationship Id="rId3145" Type="http://schemas.openxmlformats.org/officeDocument/2006/relationships/hyperlink" Target="https://www.digikey.jp/product-detail/en/sullins-connector-solutions/NPPN101BFCN-RC/S5751-10-ND/804812" TargetMode="External"/><Relationship Id="rId4610" Type="http://schemas.openxmlformats.org/officeDocument/2006/relationships/hyperlink" Target="https://www.monotaro.com/p/0705/7924/" TargetMode="External"/><Relationship Id="rId480" Type="http://schemas.openxmlformats.org/officeDocument/2006/relationships/hyperlink" Target="https://jp.rs-online.com/web/p/crystal-units/5476531/" TargetMode="External"/><Relationship Id="rId2161" Type="http://schemas.openxmlformats.org/officeDocument/2006/relationships/hyperlink" Target="https://www.monotaro.com/p/0552/6071/" TargetMode="External"/><Relationship Id="rId3212" Type="http://schemas.openxmlformats.org/officeDocument/2006/relationships/hyperlink" Target="https://akizukidenshi.com/catalog/g/gK-05148/" TargetMode="External"/><Relationship Id="rId133" Type="http://schemas.openxmlformats.org/officeDocument/2006/relationships/hyperlink" Target="https://jp.rs-online.com/web/p/terminal-posts/6459442/" TargetMode="External"/><Relationship Id="rId200" Type="http://schemas.openxmlformats.org/officeDocument/2006/relationships/hyperlink" Target="https://www.digikey.jp/products/en?keywords=455-1719-ND" TargetMode="External"/><Relationship Id="rId2978" Type="http://schemas.openxmlformats.org/officeDocument/2006/relationships/hyperlink" Target="https://www.digikey.jp/product-detail/ja/recom-power/R05P209D/945-2656-5-ND/2301255" TargetMode="External"/><Relationship Id="rId5037" Type="http://schemas.openxmlformats.org/officeDocument/2006/relationships/hyperlink" Target="https://www.mouser.jp/ProductDetail/KEMET/C0805X475J3RACAUTO?qs=%252B6g0mu59x7JZ7yafAnXaIw%3D%3D" TargetMode="External"/><Relationship Id="rId1994" Type="http://schemas.openxmlformats.org/officeDocument/2006/relationships/hyperlink" Target="https://www.digikey.jp/product-detail/en/vishay-dale/CRCW060312K4FKEA/541-12-4KHCT-ND/1179934" TargetMode="External"/><Relationship Id="rId1647" Type="http://schemas.openxmlformats.org/officeDocument/2006/relationships/hyperlink" Target="http://www.ktek.jp/mini-ckt-atten-term-50-ohm.html" TargetMode="External"/><Relationship Id="rId4053" Type="http://schemas.openxmlformats.org/officeDocument/2006/relationships/hyperlink" Target="https://jp.misumi-ec.com/vona2/detail/221006201172/?CategorySpec=00000216919%3a%3ab%0900000216961%3a%3amig00000002734636&amp;list=PageCategory" TargetMode="External"/><Relationship Id="rId5104" Type="http://schemas.openxmlformats.org/officeDocument/2006/relationships/hyperlink" Target="https://www.mouser.jp/ProductDetail/YAGEO/RC0603FR-0733RL?qs=diQw95jMAeMotgif2GSHTQ%3D%3D" TargetMode="External"/><Relationship Id="rId1714" Type="http://schemas.openxmlformats.org/officeDocument/2006/relationships/hyperlink" Target="https://www.monotaro.com/g/00534475/?t.q=COH-4000LVC-T0.5" TargetMode="External"/><Relationship Id="rId4120" Type="http://schemas.openxmlformats.org/officeDocument/2006/relationships/hyperlink" Target="https://www.monotaro.com/g/01214485/?t.q=C-308-5" TargetMode="External"/><Relationship Id="rId2488" Type="http://schemas.openxmlformats.org/officeDocument/2006/relationships/hyperlink" Target="https://www.digikey.jp/product-detail/ja/sullins-connector-solutions/SPN02SXCN-RC/S9339-ND/2618264" TargetMode="External"/><Relationship Id="rId3886" Type="http://schemas.openxmlformats.org/officeDocument/2006/relationships/hyperlink" Target="https://www.monotaro.com/g/00030156/?t.q=%91%E4%95t%82%AB%83X%83R%83%84" TargetMode="External"/><Relationship Id="rId4937" Type="http://schemas.openxmlformats.org/officeDocument/2006/relationships/hyperlink" Target="https://www.mouser.jp/ProductDetail/TDK/CGA4J1X7S1E106K125AC?qs=PqoDHHvF64%2FmsqPneLE%2FRg%3D%3D" TargetMode="External"/><Relationship Id="rId3539" Type="http://schemas.openxmlformats.org/officeDocument/2006/relationships/hyperlink" Target="https://www.mouser.jp/ProductDetail/KEMET/C0805X120J5GACAUTO?qs=PqoDHHvF64%2FG1xFjMXSvqA%3D%3D" TargetMode="External"/><Relationship Id="rId3953" Type="http://schemas.openxmlformats.org/officeDocument/2006/relationships/hyperlink" Target="https://www.digikey.jp/product-detail/ja/tdk-corporation/C2012X7R1A106M125AC/445-7592-1-ND/2733664" TargetMode="External"/><Relationship Id="rId874" Type="http://schemas.openxmlformats.org/officeDocument/2006/relationships/hyperlink" Target="https://jp.rs-online.com/web/p/temperature-sensors-humidity-sensors/6864973/" TargetMode="External"/><Relationship Id="rId2555" Type="http://schemas.openxmlformats.org/officeDocument/2006/relationships/hyperlink" Target="https://jp.rs-online.com/web/p/surface-mount-fixed-resistors/9013361/" TargetMode="External"/><Relationship Id="rId3606" Type="http://schemas.openxmlformats.org/officeDocument/2006/relationships/hyperlink" Target="https://jp.misumi-ec.com/vona2/detail/223000325108/" TargetMode="External"/><Relationship Id="rId527" Type="http://schemas.openxmlformats.org/officeDocument/2006/relationships/hyperlink" Target="https://www.digikey.jp/product-detail/en/microchip-technology/ATMEGA32U4-AUR/ATMEGA32U4-AURCT-ND/3440960" TargetMode="External"/><Relationship Id="rId941" Type="http://schemas.openxmlformats.org/officeDocument/2006/relationships/hyperlink" Target="https://www.digikey.jp/product-detail/ja/murata-electronics-north-america/LQW18CAR48J00D/490-18183-1-ND/9742085?cur=JPY&amp;lang=ja" TargetMode="External"/><Relationship Id="rId1157" Type="http://schemas.openxmlformats.org/officeDocument/2006/relationships/hyperlink" Target="https://www.digikey.jp/product-detail/ja/vishay-thin-film/FC0603E50R0BST1/FC0603-50BWCT-ND/1769795" TargetMode="External"/><Relationship Id="rId1571" Type="http://schemas.openxmlformats.org/officeDocument/2006/relationships/hyperlink" Targe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 TargetMode="External"/><Relationship Id="rId2208" Type="http://schemas.openxmlformats.org/officeDocument/2006/relationships/hyperlink" Target="https://www.digikey.jp/product-detail/en/vishay-dale/CMF555M0000FKEK/CMF5-00MHJ-ND/3622021" TargetMode="External"/><Relationship Id="rId2622" Type="http://schemas.openxmlformats.org/officeDocument/2006/relationships/hyperlink" Target="https://www.digikey.jp/product-detail/ja/bourns-inc/SRN4018TA-3R3M/SRN4018TA-3R3MCT-ND/6565083" TargetMode="External"/><Relationship Id="rId1224" Type="http://schemas.openxmlformats.org/officeDocument/2006/relationships/hyperlink" Target="https://www.digikey.jp/products/ja?keywords=AB7020HF%20" TargetMode="External"/><Relationship Id="rId4794" Type="http://schemas.openxmlformats.org/officeDocument/2006/relationships/hyperlink" Target="https://www.prosistelshop.com/en/pst2051d-propst2051e-combo-78.html?fbclid=IwAR1_UPwERSklF2Bk5C20DdNwuGV4hRYMiyoslR2IsJO9AKgX_lHUTCT69SM" TargetMode="External"/><Relationship Id="rId3396" Type="http://schemas.openxmlformats.org/officeDocument/2006/relationships/hyperlink" Target="https://www.digikey.jp/product-detail/ja/analog-devices-inc/TMP36FSZ/TMP36FSZ-ND/936747" TargetMode="External"/><Relationship Id="rId4447" Type="http://schemas.openxmlformats.org/officeDocument/2006/relationships/hyperlink" Target="https://www.amazon.co.jp/3G%E3%83%99%E3%82%AF%E3%83%88%E3%83%AB%E3%83%8D%E3%83%83%E3%83%88%E3%83%AF%E3%83%BC%E3%82%AF%E3%82%A2%E3%83%8A%E3%83%A9%E3%82%A4%E3%82%B6%E3%83%BC%E3%80%812-8%E3%82%A4%E3%83%B3%E3%83%81NanoVNA-V2-50KHz%E3%80%9C3GHz%E5%A4%A7%E5%9E%8B%E3%82%BF%E3%83%83%E3%83%81%E3%82%B9%E3%82%AF%E3%83%AA%E3%83%BC%E3%83%B3%E3%82%A2%E3%83%B3%E3%83%86%E3%83%8A%E3%82%A2%E3%83%8A%E3%83%A9%E3%82%A4%E3%82%B6%E3%83%BCS-A-A-2%E7%9F%AD%E6%B3%A2HF-VHF-UHF%E5%AE%9A%E5%9C%A8%E6%B3%A2%E3%82%B9%E3%83%9A%E3%82%AF%E3%83%88%E3%83%AB%E3%82%A2%E3%83%8A%E3%83%A9%E3%82%A4%E3%82%B6%E3%83%BC/dp/B08GKQ9SF7/?_encoding=UTF8&amp;pd_rd_w=OiDMH&amp;pf_rd_p=d753a891-bba8-4352-b10c-3c8d00c6b548&amp;pf_rd_r=V7TJTW4GP304ZWQ0GZ4Y&amp;pd_rd_r=0867c9e6-f3d5-4739-807c-c5420d43e189&amp;pd_rd_wg=Mj0cJ&amp;ref_=pd_gw_ci_mcx_mr_hp_atf_m&amp;th=1" TargetMode="External"/><Relationship Id="rId3049" Type="http://schemas.openxmlformats.org/officeDocument/2006/relationships/hyperlink" Target="https://jp.misumi-ec.com/vona2/detail/221000551310/?ProductCode=CSHZ-SUS-M3-90" TargetMode="External"/><Relationship Id="rId3463" Type="http://schemas.openxmlformats.org/officeDocument/2006/relationships/hyperlink" Target="https://www.p-ban.com/kiban/com/csComTop.do" TargetMode="External"/><Relationship Id="rId4861" Type="http://schemas.openxmlformats.org/officeDocument/2006/relationships/hyperlink" Target="https://www.yoshimi-inc.com/shopbrand/ct15/" TargetMode="External"/><Relationship Id="rId384" Type="http://schemas.openxmlformats.org/officeDocument/2006/relationships/hyperlink" Target="https://www.digikey.jp/product-detail/en/johanson-technology-inc/L-07C15NJV6T/712-1408-1-ND/1840086" TargetMode="External"/><Relationship Id="rId2065" Type="http://schemas.openxmlformats.org/officeDocument/2006/relationships/hyperlink" Target="https://jp.misumi-ec.com/vona2/detail/221000349089/?HissuCode=SSH-M3X6-EL" TargetMode="External"/><Relationship Id="rId3116" Type="http://schemas.openxmlformats.org/officeDocument/2006/relationships/hyperlink" Target="https://www.digikey.jp/product-detail/en/kemet/C0402C101K3GACTU/399-7748-1-ND/3471471" TargetMode="External"/><Relationship Id="rId4514" Type="http://schemas.openxmlformats.org/officeDocument/2006/relationships/hyperlink" Target="https://www.monotaro.com/g/00260582/?displayId=11" TargetMode="External"/><Relationship Id="rId1081" Type="http://schemas.openxmlformats.org/officeDocument/2006/relationships/hyperlink" Target="https://jp.rs-online.com/web/p/standoffs/0606692/" TargetMode="External"/><Relationship Id="rId3530" Type="http://schemas.openxmlformats.org/officeDocument/2006/relationships/hyperlink" Target="https://www.digikey.jp/products/en?keywords=296-36413-1-ND" TargetMode="External"/><Relationship Id="rId451" Type="http://schemas.openxmlformats.org/officeDocument/2006/relationships/hyperlink" Target="https://www.nbk1560.com/products/specialscrew/nedzicom/lowsmallheadscrew/SNSS-SD/SNSS-M2-SD/SNSS-M2-6-SD/" TargetMode="External"/><Relationship Id="rId2132" Type="http://schemas.openxmlformats.org/officeDocument/2006/relationships/hyperlink" Target="https://www.digikey.jp/product-detail/en/linx-technologies-inc/CONSMA007-R178/CONSMA007-R178-ND/1577217" TargetMode="External"/><Relationship Id="rId5288" Type="http://schemas.openxmlformats.org/officeDocument/2006/relationships/hyperlink" Target="https://www.digikey.jp/en/products/detail/murata-electronics/GJM1555C1H6R8CB01D/702299" TargetMode="External"/><Relationship Id="rId104" Type="http://schemas.openxmlformats.org/officeDocument/2006/relationships/hyperlink" Target="https://www.digikey.jp/product-detail/en/AIMC-0805-33NJ-T/535-11564-1-ND/2782805/?itemSeq=273199799" TargetMode="External"/><Relationship Id="rId1898" Type="http://schemas.openxmlformats.org/officeDocument/2006/relationships/hyperlink" Target="https://www.monotaro.com/p/2635/4265/" TargetMode="External"/><Relationship Id="rId2949" Type="http://schemas.openxmlformats.org/officeDocument/2006/relationships/hyperlink" Target="https://www.digikey.jp/product-detail/en/A+14-LC-TT/AE9989-ND/821743/?itemSeq=349430836" TargetMode="External"/><Relationship Id="rId5355" Type="http://schemas.openxmlformats.org/officeDocument/2006/relationships/hyperlink" Target="https://akizukidenshi.com/catalog/g/gC-05779/" TargetMode="External"/><Relationship Id="rId4371" Type="http://schemas.openxmlformats.org/officeDocument/2006/relationships/hyperlink" Target="https://jp.misumi-ec.com/vona2/detail/110302280970/" TargetMode="External"/><Relationship Id="rId5008" Type="http://schemas.openxmlformats.org/officeDocument/2006/relationships/hyperlink" Target="https://www.mouser.jp/ProductDetail/TDK/CGA4J3X8R1E474K125AB?qs=xLDY6iXSiQZ1Udk5lH7wgA%3D%3D" TargetMode="External"/><Relationship Id="rId1965" Type="http://schemas.openxmlformats.org/officeDocument/2006/relationships/hyperlink" Target="https://www.digikey.jp/products/en?keywords=%09H10891-ND" TargetMode="External"/><Relationship Id="rId4024" Type="http://schemas.openxmlformats.org/officeDocument/2006/relationships/hyperlink" Target="https://www.mouser.jp/ProductDetail/Nexperia/PMDT290UNEH?qs=zW32dvEIR3vVIEhznF5WTA%3D%3D&amp;gclid=Cj0KCQjwtMCKBhDAARIsAG-2Eu_yFoZ_BxWJls4-snwTUzDM9THCkVtjISH9gBskvAKW18ZCHHQbaEIaAksqEALw_wcB" TargetMode="External"/><Relationship Id="rId1618" Type="http://schemas.openxmlformats.org/officeDocument/2006/relationships/hyperlink" Target="https://jp.misumi-ec.com/vona2/detail/221000572234/?PNSearch=33-0336&amp;HissuCode=33-0336&amp;searchFlow=suggesthistory&amp;Keyword=33-0336" TargetMode="External"/><Relationship Id="rId3040" Type="http://schemas.openxmlformats.org/officeDocument/2006/relationships/hyperlink" Target="https://www.digikey.com/product-detail/en/johanson-technology-inc/S603DS/712-1159-ND/1786608" TargetMode="External"/><Relationship Id="rId3857" Type="http://schemas.openxmlformats.org/officeDocument/2006/relationships/hyperlink" Target="https://jp.misumi-ec.com/vona2/detail/221006204759/?PNSearch=CC-0306-05&amp;HissuCode=CC-0306-05&amp;searchFlow=suggest2products&amp;Keyword=CC-0306-05&amp;isReSearch=1" TargetMode="External"/><Relationship Id="rId4908" Type="http://schemas.openxmlformats.org/officeDocument/2006/relationships/hyperlink" Target="https://www.mouser.jp/ProductDetail/Laird-Connectivity/YS3805?qs=sGAEpiMZZMukHu%252BjC5l7YfEq5W2hefEs7%2FLgh4RC02Q%3D" TargetMode="External"/><Relationship Id="rId778" Type="http://schemas.openxmlformats.org/officeDocument/2006/relationships/hyperlink" Target="https://www.digikey.jp/product-detail/en/on-semiconductor/F143-MINI-2-GEVK/F143-MINI-2-GEVK-ND/5820233" TargetMode="External"/><Relationship Id="rId2459" Type="http://schemas.openxmlformats.org/officeDocument/2006/relationships/hyperlink" Target="https://www.digikey.jp/product-detail/ja/avx-corporation/04026D475KAT2A/478-10669-1-ND/7536540" TargetMode="External"/><Relationship Id="rId2873" Type="http://schemas.openxmlformats.org/officeDocument/2006/relationships/hyperlink" Target="https://www.marutsu.co.jp/pc/i/595659/" TargetMode="External"/><Relationship Id="rId3924" Type="http://schemas.openxmlformats.org/officeDocument/2006/relationships/hyperlink" Target="https://akizukidenshi.com/catalog/g/gC-05336/" TargetMode="External"/><Relationship Id="rId845" Type="http://schemas.openxmlformats.org/officeDocument/2006/relationships/hyperlink" Target="https://jp.rs-online.com/web/p/mlccs-multilayer-ceramic-capacitors/9159237" TargetMode="External"/><Relationship Id="rId1475" Type="http://schemas.openxmlformats.org/officeDocument/2006/relationships/hyperlink" Target="https://www.minicircuits.com/WebStore/dashboard.html?model=NCS1.5-232%2B" TargetMode="External"/><Relationship Id="rId2526" Type="http://schemas.openxmlformats.org/officeDocument/2006/relationships/hyperlink" Target="https://jp.misumi-ec.com/vona2/detail/221006204478/?HissuCode=C-301&amp;PNSearch=C-301&amp;KWSearch=C-301&amp;searchFlow=results2products" TargetMode="External"/><Relationship Id="rId1128" Type="http://schemas.openxmlformats.org/officeDocument/2006/relationships/hyperlink" Target="https://www.monotaro.com/p/0523/2675/?t.q=%2583G%2583i%2583%2581%2583%258B%2590%25FC0.2mm" TargetMode="External"/><Relationship Id="rId1542" Type="http://schemas.openxmlformats.org/officeDocument/2006/relationships/hyperlink" Target="https://www.digikey.jp/product-detail/en/diodes-incorporated/PAM2306AYPKE/PAM2306AYPKEDICT-ND/7794266?_ga=2.51402089.173113791.1579774486-670371556.1558338406" TargetMode="External"/><Relationship Id="rId2940" Type="http://schemas.openxmlformats.org/officeDocument/2006/relationships/hyperlink" Target="https://www.amazon.co.jp/-/en/DVSM-PTV8U3-WH-External-Included-Portable-Manufacturer/dp/B07X41PNSM/ref=sr_1_1?dchild=1&amp;keywords=%E5%A4%96%E4%BB%98%E3%81%91dvdrw&amp;qid=1609139355&amp;sr=8-1&amp;th=1" TargetMode="External"/><Relationship Id="rId4698" Type="http://schemas.openxmlformats.org/officeDocument/2006/relationships/hyperlink" Target="https://www.monotaro.com/p/6854/8365/?t.q=F-155" TargetMode="External"/><Relationship Id="rId912" Type="http://schemas.openxmlformats.org/officeDocument/2006/relationships/hyperlink" Target="https://jp.rs-online.com/web/p/surface-mount-fixed-resistors/6316755/" TargetMode="External"/><Relationship Id="rId4765" Type="http://schemas.openxmlformats.org/officeDocument/2006/relationships/hyperlink" Target="https://tech.orbital-e.co.jp/allproducts/mli%e5%a4%9a%e5%b1%a4%e6%96%ad%e7%86%b1%e6%9d%90%e8%a3%bd%e9%80%a0/" TargetMode="External"/><Relationship Id="rId288" Type="http://schemas.openxmlformats.org/officeDocument/2006/relationships/hyperlink" Target="https://www.digikey.jp/product-detail/en/lumex-opto-components-inc/LCM-S04002DSF/67-1765-ND/469813" TargetMode="External"/><Relationship Id="rId3367" Type="http://schemas.openxmlformats.org/officeDocument/2006/relationships/hyperlink" Target="https://www.digikey.jp/products/en?keywords=GRPB%20122%20VWQS-RC" TargetMode="External"/><Relationship Id="rId3781" Type="http://schemas.openxmlformats.org/officeDocument/2006/relationships/hyperlink" Target="https://www.digikey.jp/product-detail/en/A-MCSP-80050%2fR/AE9969-ND/821723?itemSeq=373424201" TargetMode="External"/><Relationship Id="rId4418" Type="http://schemas.openxmlformats.org/officeDocument/2006/relationships/hyperlink" Target="https://www.digikey.jp/ja/products/detail/crystek-corporation/CCSMA-MFB-RG174-24/4923956" TargetMode="External"/><Relationship Id="rId4832" Type="http://schemas.openxmlformats.org/officeDocument/2006/relationships/hyperlink" Target="https://www.mouser.jp/ProductDetail/Molex/202396-0207?qs=%2Fha2pyFaduilCYVPsmo%2FVjtjoh9mZG9jQCZODRMmoHOf4yWkhtUPZw%3D%3D" TargetMode="External"/><Relationship Id="rId2383" Type="http://schemas.openxmlformats.org/officeDocument/2006/relationships/hyperlink" Target="https://www.digikey.jp/product-detail/ja/jst-sales-america-inc/PAP-10V-S/455-1494-ND/759982" TargetMode="External"/><Relationship Id="rId3434" Type="http://schemas.openxmlformats.org/officeDocument/2006/relationships/hyperlink" Target="https://www.nbk1560.com/products/specialscrew/nedzicom/lowsmallheadscrew/SNSS-SD/SNSS-M2-SD" TargetMode="External"/><Relationship Id="rId355" Type="http://schemas.openxmlformats.org/officeDocument/2006/relationships/hyperlink" Target="https://www.digikey.jp/product-detail/en/yageo/CC0805KRX7R9BB222/311-1129-1-ND/303039" TargetMode="External"/><Relationship Id="rId2036" Type="http://schemas.openxmlformats.org/officeDocument/2006/relationships/hyperlink" Target="https://www.p-ban.com/kiban/com/csComTop.do" TargetMode="External"/><Relationship Id="rId2450" Type="http://schemas.openxmlformats.org/officeDocument/2006/relationships/hyperlink" Target="https://www.digikey.jp/products/en?keywords=WM8301CT-ND" TargetMode="External"/><Relationship Id="rId3501" Type="http://schemas.openxmlformats.org/officeDocument/2006/relationships/hyperlink" Target="https://akizukidenshi.com/catalog/g/gP-00306/" TargetMode="External"/><Relationship Id="rId422" Type="http://schemas.openxmlformats.org/officeDocument/2006/relationships/hyperlink" Target="https://www.digikey.jp/product-detail/en/murata-electronics-north-america/LQP03TG0N5B02D/490-10545-1-ND/5026489" TargetMode="External"/><Relationship Id="rId1052" Type="http://schemas.openxmlformats.org/officeDocument/2006/relationships/hyperlink" Target="https://www.digikey.jp/products/en?keywords=MCP602T-I%2FSNCT-ND" TargetMode="External"/><Relationship Id="rId2103" Type="http://schemas.openxmlformats.org/officeDocument/2006/relationships/hyperlink" Target="https://jp.misumi-ec.com/vona2/detail/221006204478/?HissuCode=C-316&amp;PNSearch=C-316&amp;KWSearch=C-316&amp;searchFlow=results2products" TargetMode="External"/><Relationship Id="rId5259" Type="http://schemas.openxmlformats.org/officeDocument/2006/relationships/hyperlink" Target="https://www.askul.co.jp/p/7203239/" TargetMode="External"/><Relationship Id="rId4275" Type="http://schemas.openxmlformats.org/officeDocument/2006/relationships/hyperlink" Target="https://www.mouser.jp/ProductDetail/onsemi/MBR0520LT1G?qs=3JMERSakebqBWTiPUQp0nw%3D%3D" TargetMode="External"/><Relationship Id="rId5326" Type="http://schemas.openxmlformats.org/officeDocument/2006/relationships/hyperlink" Target="https://www.digikey.jp/en/products/detail/delta-electronics-components/0402HC-5N6ECTS/9763204" TargetMode="External"/><Relationship Id="rId1869" Type="http://schemas.openxmlformats.org/officeDocument/2006/relationships/hyperlink" Target="https://www.digikey.jp/product-detail/en/koa-speer-electronics-inc/RK73H2ATTD1002F/2019-RK73H2ATTD1002FCT-ND/10235438" TargetMode="External"/><Relationship Id="rId3291" Type="http://schemas.openxmlformats.org/officeDocument/2006/relationships/hyperlink" Target="https://www.switch-science.com/catalog/3201/" TargetMode="External"/><Relationship Id="rId1936" Type="http://schemas.openxmlformats.org/officeDocument/2006/relationships/hyperlink" Target="https://www.digikey.jp/product-detail/ja/microchip-technology/MIC5504-1-8YM5-TR/576-4879-1-ND/5209405" TargetMode="External"/><Relationship Id="rId4342" Type="http://schemas.openxmlformats.org/officeDocument/2006/relationships/hyperlink" Target="https://jp.rs-online.com/web/p/digital-isolators/8406686?cm_mmc=JP-PPC-DS3A-_-yahoo-_-3_JP_JP_%E3%83%87%E3%82%B8%E3%82%BF%E3%83%AB%E3%82%A2%E3%82%A4%E3%82%BD%E3%83%AC%E3%83%BC%E3%82%BF_Analog+Devices_Exact-_-Analog+Devices+-+%E3%83%87%E3%82%B8%E3%82%BF%E3%83%AB%E3%82%A2%E3%82%A4%E3%82%BD%E3%83%AC%E3%83%BC%E3%82%BF+-+8406686-_-adum3151arsz&amp;matchtype=e&amp;kwd-347619024903&amp;yclid=YSS.1000425012.EAIaIQobChMIvp2_8u6M9QIVqtpMAh2glACYEAAYAiAAEgK_pPD_BwE&amp;gclid=CMa23PTujPUCFZGYvAodV04DCg&amp;gclsrc=ds" TargetMode="External"/><Relationship Id="rId3011" Type="http://schemas.openxmlformats.org/officeDocument/2006/relationships/hyperlink" Target="https://www.digikey.jp/product-detail/en/CC0805JRNPO9BN621/311-4242-1-ND/8025331/?itemSeq=351552382" TargetMode="External"/><Relationship Id="rId2777" Type="http://schemas.openxmlformats.org/officeDocument/2006/relationships/hyperlink" Target="https://www.monotaro.com/p/1134/8925/" TargetMode="External"/><Relationship Id="rId5183" Type="http://schemas.openxmlformats.org/officeDocument/2006/relationships/hyperlink" Target="https://mou.sr/3tj4GoQ" TargetMode="External"/><Relationship Id="rId749" Type="http://schemas.openxmlformats.org/officeDocument/2006/relationships/hyperlink" Target="https://www.digikey.jp/product-detail/en/tdk-corporation/CGA3E2C0G1H180J080AA/445-5631-1-ND/2443671" TargetMode="External"/><Relationship Id="rId1379" Type="http://schemas.openxmlformats.org/officeDocument/2006/relationships/hyperlink" Target="https://www.digikey.jp/product-detail/en/kemet/C0805C104J4RACTU/399-11163-1-ND/4357875" TargetMode="External"/><Relationship Id="rId3828" Type="http://schemas.openxmlformats.org/officeDocument/2006/relationships/hyperlink" Target="https://jp.misumi-ec.com/vona2/detail/223300279323/?HissuCode=2230GJ-30-1/" TargetMode="External"/><Relationship Id="rId5250" Type="http://schemas.openxmlformats.org/officeDocument/2006/relationships/hyperlink" Target="https://www.monotaro.com/p/3324/0313/?displayId=5" TargetMode="External"/><Relationship Id="rId1793" Type="http://schemas.openxmlformats.org/officeDocument/2006/relationships/hyperlink" Target="https://jp.rs-online.com/web/p/accelerometer-sensors/8805301/" TargetMode="External"/><Relationship Id="rId2844" Type="http://schemas.openxmlformats.org/officeDocument/2006/relationships/hyperlink" Target="https://www.monotaro.com/p/3857/7007/" TargetMode="External"/><Relationship Id="rId85" Type="http://schemas.openxmlformats.org/officeDocument/2006/relationships/hyperlink" Target="https://www.digikey.jp/product-detail/en/toshiba-semiconductor-and-storage/SSM6K411TU-TE85LF/SSM6K411TU-TE85LFCT-ND/5298038?cur=JPY&amp;lang=en" TargetMode="External"/><Relationship Id="rId816" Type="http://schemas.openxmlformats.org/officeDocument/2006/relationships/hyperlink" Target="https://jp.rs-online.com/web/p/pcb-connector-housings/4766899/?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041502D3134562D53267374613D5041502D3134562D5326&amp;searchHistory=%7B%22enabled%22%3Atrue%7D" TargetMode="External"/><Relationship Id="rId1446" Type="http://schemas.openxmlformats.org/officeDocument/2006/relationships/hyperlink" Target="https://www.digikey.jp/product-detail/en/vishay-dale/CRCW08050000Z0EAHP/541-0.0TBCT-ND/2222831" TargetMode="External"/><Relationship Id="rId1860" Type="http://schemas.openxmlformats.org/officeDocument/2006/relationships/hyperlink" Target="https://www.digikey.jp/product-detail/ja/microchip-technology/PIC16F1789-I-MV/PIC16F1789-I-MV-ND/4080207" TargetMode="External"/><Relationship Id="rId2911" Type="http://schemas.openxmlformats.org/officeDocument/2006/relationships/hyperlink" Target="https://jp.rs-online.com/web/p/resistor-networks-resistor-arrays/5225579/" TargetMode="External"/><Relationship Id="rId1513" Type="http://schemas.openxmlformats.org/officeDocument/2006/relationships/hyperlink" Target="https://www.mouser.jp/ProductDetail/Extech/EX355?qs=sGAEpiMZZMtNaRJxj63fb%2Fv0bGPJG22TtrXwIx6NV%2FE%3D" TargetMode="External"/><Relationship Id="rId4669" Type="http://schemas.openxmlformats.org/officeDocument/2006/relationships/hyperlink" Target="https://www.digikey.jp/ja/products/detail/jst-sales-america-inc/PAP-12V-S/759984?s=N4IgTCBcDaIAoEE4FoCMYBqyDKIC6AvkA" TargetMode="External"/><Relationship Id="rId3685" Type="http://schemas.openxmlformats.org/officeDocument/2006/relationships/hyperlink" Target="https://www.digikey.jp/product-detail/en/hirose-electric-co-ltd/DF11CZ-16DP-2V-27/H124552CT-ND/5155855" TargetMode="External"/><Relationship Id="rId4736" Type="http://schemas.openxmlformats.org/officeDocument/2006/relationships/hyperlink" Target="https://www.m2inc.com/FGUHF50" TargetMode="External"/><Relationship Id="rId2287" Type="http://schemas.openxmlformats.org/officeDocument/2006/relationships/hyperlink" Target="https://www.askul.co.jp/p/P212709/?int_id=recom_DtVar" TargetMode="External"/><Relationship Id="rId3338" Type="http://schemas.openxmlformats.org/officeDocument/2006/relationships/hyperlink" Target="https://www.digikey.jp/product-detail/en/toshiba-semiconductor-and-storage/SSM6K411TU-TE85L-F/SSM6K411TU-TE85LFCT-ND/5298038" TargetMode="External"/><Relationship Id="rId3752" Type="http://schemas.openxmlformats.org/officeDocument/2006/relationships/hyperlink" Target="https://www.digikey.jp/product-detail/ja/amphenol-icc-commercial-products/17E-1725-2/17E-1725-2-ND/1242541" TargetMode="External"/><Relationship Id="rId259" Type="http://schemas.openxmlformats.org/officeDocument/2006/relationships/hyperlink" Target="http://radiometrix.mybigcommerce.com/bim1h-500mw-vhf-narrowband-transceiver-frequency-144-390mhz-144-800mhz-145-825mhz-149-250mhz-151-300mhz-155-725mhz-or-169-4125mhz/" TargetMode="External"/><Relationship Id="rId673" Type="http://schemas.openxmlformats.org/officeDocument/2006/relationships/hyperlink" Target="https://www.monotaro.com/g/04030725/?t.q=WXR-1750DHP2" TargetMode="External"/><Relationship Id="rId2354" Type="http://schemas.openxmlformats.org/officeDocument/2006/relationships/hyperlink" Target="https://hirosugi.co.jp/products/POM/C.html" TargetMode="External"/><Relationship Id="rId3405" Type="http://schemas.openxmlformats.org/officeDocument/2006/relationships/hyperlink" Target="https://www.digikey.jp/product-detail/en/kaga-electronics-usa/KTPS24-12020MP-VI-P1/62-1249-ND/5820214" TargetMode="External"/><Relationship Id="rId4803" Type="http://schemas.openxmlformats.org/officeDocument/2006/relationships/hyperlink" Target="https://www.monotaro.com/g/00177883/?monotaroNo=9206154" TargetMode="External"/><Relationship Id="rId326" Type="http://schemas.openxmlformats.org/officeDocument/2006/relationships/hyperlink" Target="https://www.digikey.jp/product-detail/en/vishay-siliconix/SQ1922EEH-T1_GE3/SQ1922EEH-T1_GE3CT-ND/7622831" TargetMode="External"/><Relationship Id="rId1370" Type="http://schemas.openxmlformats.org/officeDocument/2006/relationships/hyperlink" Target="https://www.monotaro.com/p/3257/5794/?displayId=4" TargetMode="External"/><Relationship Id="rId2007" Type="http://schemas.openxmlformats.org/officeDocument/2006/relationships/hyperlink" Target="https://www.digikey.jp/product-detail/en/molex/0554600272/WM8301CT-ND/1632945" TargetMode="External"/><Relationship Id="rId740" Type="http://schemas.openxmlformats.org/officeDocument/2006/relationships/hyperlink" Target="https://www.monotaro.com/p/4531/7824/?t.q=%83%8A%83R%83C%83%8B%20%8DH%8B%EF" TargetMode="External"/><Relationship Id="rId1023" Type="http://schemas.openxmlformats.org/officeDocument/2006/relationships/hyperlink" Target="https://www.digikey.jp/product-detail/ja/texas-instruments/PTH08T230WAD/296-20647-ND/1133653" TargetMode="External"/><Relationship Id="rId2421" Type="http://schemas.openxmlformats.org/officeDocument/2006/relationships/hyperlink" Target="https://www.digikey.jp/products/en?keywords=%09NCP1117ST33T3GOSCT-ND" TargetMode="External"/><Relationship Id="rId4179" Type="http://schemas.openxmlformats.org/officeDocument/2006/relationships/hyperlink" Target="https://www.mouser.jp/ProductDetail/TDK/CGA4J1X8L1A106K125AC?qs=gZXFycFWdANzH%252B2UvJJjtQ%3D%3D" TargetMode="External"/><Relationship Id="rId4593" Type="http://schemas.openxmlformats.org/officeDocument/2006/relationships/hyperlink" Target="https://akizukidenshi.com/catalog/g/gP-01306/" TargetMode="External"/><Relationship Id="rId3195" Type="http://schemas.openxmlformats.org/officeDocument/2006/relationships/hyperlink" Target="https://www.monotaro.com/g/00959160/?t.q=ELPA%209V" TargetMode="External"/><Relationship Id="rId4246" Type="http://schemas.openxmlformats.org/officeDocument/2006/relationships/hyperlink" Target="https://www.mouser.jp/ProductDetail/Texas-Instruments/LMT84QDCKTQ1?qs=xopfAcLiCQSWoRXSolG3dw%3D%3D" TargetMode="External"/><Relationship Id="rId4660" Type="http://schemas.openxmlformats.org/officeDocument/2006/relationships/hyperlink" Target="https://www.digikey.jp/products/en?keywords=NRPN202PAEN-RC" TargetMode="External"/><Relationship Id="rId3262" Type="http://schemas.openxmlformats.org/officeDocument/2006/relationships/hyperlink" Target="https://www.digikey.jp/product-detail/ja/avx-corporation/06035C104KAT2A/478-5052-1-ND/1888263" TargetMode="External"/><Relationship Id="rId4313" Type="http://schemas.openxmlformats.org/officeDocument/2006/relationships/hyperlink" Target="https://www.jp.omega.com/shop/additem.asp" TargetMode="External"/><Relationship Id="rId183" Type="http://schemas.openxmlformats.org/officeDocument/2006/relationships/hyperlink" Target="https://jp.misumi-ec.com/vona2/detail/221000607008/?KWSearch=POM%20%e3%83%97%e3%83%ac%e3%83%bc%e3%83%88&amp;searchFlow=results2products&amp;relatedKeyword=1" TargetMode="External"/><Relationship Id="rId1907" Type="http://schemas.openxmlformats.org/officeDocument/2006/relationships/hyperlink" Target="https://www.marutsu.co.jp/pc/i/1358922/" TargetMode="External"/><Relationship Id="rId250" Type="http://schemas.openxmlformats.org/officeDocument/2006/relationships/hyperlink" Target="https://www.monotaro.com/p/0372/8207/" TargetMode="External"/><Relationship Id="rId5087" Type="http://schemas.openxmlformats.org/officeDocument/2006/relationships/hyperlink" Target="https://www.chip1stop.com/product/detail?partId=MCHP-0065596" TargetMode="External"/><Relationship Id="rId5154" Type="http://schemas.openxmlformats.org/officeDocument/2006/relationships/hyperlink" Target="https://jp.rs-online.com/web/p/through-hole-resistors/0157614" TargetMode="External"/><Relationship Id="rId1697" Type="http://schemas.openxmlformats.org/officeDocument/2006/relationships/hyperlink" Target="https://jp.misumi-ec.com/vona2/detail/221005190583/" TargetMode="External"/><Relationship Id="rId2748" Type="http://schemas.openxmlformats.org/officeDocument/2006/relationships/hyperlink" Target="https://www.monotaro.com/g/00010578/?t.attr_f2=M3&amp;t.attr_f3=4" TargetMode="External"/><Relationship Id="rId1764" Type="http://schemas.openxmlformats.org/officeDocument/2006/relationships/hyperlink" Target="https://www.digikey.jp/product-detail/en/tdk-corporation/C1608X8R1H104K080AB/445-8818-1-ND/3248223" TargetMode="External"/><Relationship Id="rId2815" Type="http://schemas.openxmlformats.org/officeDocument/2006/relationships/hyperlink" Target="https://www.monotaro.com/p/2011/1498/?t.attr_f2778=3%81%605%96%A2%96%9E&amp;t.q=HDMI" TargetMode="External"/><Relationship Id="rId4170" Type="http://schemas.openxmlformats.org/officeDocument/2006/relationships/hyperlink" Target="https://www.mouser.jp/ProductDetail/Hirose-Electric/DF14-15S-125C?qs=sGAEpiMZZMthaSLPVp%252B4aqRMsA4zlSUpupT08N8Ch20%3D" TargetMode="External"/><Relationship Id="rId5221" Type="http://schemas.openxmlformats.org/officeDocument/2006/relationships/hyperlink" Target="https://jp.misumi-ec.com/vona2/detail/110310112049/?ProductCode=C3713P-4F-BXA-NNL-76-40-5" TargetMode="External"/><Relationship Id="rId56" Type="http://schemas.openxmlformats.org/officeDocument/2006/relationships/hyperlink" Target="https://www.nbk1560.com/products/specialscrew/nedzicom/lowsmallheadscrew/SNSS-SD/" TargetMode="External"/><Relationship Id="rId1417" Type="http://schemas.openxmlformats.org/officeDocument/2006/relationships/hyperlink" Target="https://www.digikey.jp/product-detail/en/vishay-dale/CRCW080545K3FKEA/541-45.3KCCT-ND/1180971" TargetMode="External"/><Relationship Id="rId1831" Type="http://schemas.openxmlformats.org/officeDocument/2006/relationships/hyperlink" Target="https://www.digikey.jp/product-detail/ja/tdk-corporation/CGA3E1X8L0J225K080AC/445-175262-1-ND/7930957" TargetMode="External"/><Relationship Id="rId4987" Type="http://schemas.openxmlformats.org/officeDocument/2006/relationships/hyperlink" Target="https://jp.misumi-ec.com/vona2/detail/110302603510/?ProductCode=CBSTS3-14" TargetMode="External"/><Relationship Id="rId3589" Type="http://schemas.openxmlformats.org/officeDocument/2006/relationships/hyperlink" Target="https://jp.misumi-ec.com/vona2/detail/110300539120/?KWSearch=A2017%20%e3%83%97%e3%83%ac%e3%83%bc%e3%83%88&amp;searchFlow=results2products&amp;list=PageSearchResult" TargetMode="External"/><Relationship Id="rId577" Type="http://schemas.openxmlformats.org/officeDocument/2006/relationships/hyperlink" Target="https://www.digikey.jp/en/supplier-centers/m/microchip-technology" TargetMode="External"/><Relationship Id="rId2258" Type="http://schemas.openxmlformats.org/officeDocument/2006/relationships/hyperlink" Target="https://www.monotaro.com/p/0550/5193/?t.q=M8%20%8EM%82%CB%82%B6" TargetMode="External"/><Relationship Id="rId3656" Type="http://schemas.openxmlformats.org/officeDocument/2006/relationships/hyperlink" Target="https://www.digikey.jp/product-detail/en/samsung-electro-mechanics/CL32A107MQVNNNE/1276-1092-1-ND/3889178" TargetMode="External"/><Relationship Id="rId4707" Type="http://schemas.openxmlformats.org/officeDocument/2006/relationships/hyperlink" Target="https://www.minicircuits.com/WebStore/dashboard.html?model=NCS1.5-232%2B" TargetMode="External"/><Relationship Id="rId991" Type="http://schemas.openxmlformats.org/officeDocument/2006/relationships/hyperlink" Target="https://jp.rs-online.com/web/p/microcontrollers/8233908/" TargetMode="External"/><Relationship Id="rId2672" Type="http://schemas.openxmlformats.org/officeDocument/2006/relationships/hyperlink" Target="https://www.mouser.jp/ProductDetail/KOA-Speer/RK73B1JTTD100J?qs=%2Fha2pyFadugsLOWdTaAvHoafTlUqhgCn4svzkGleB7asMR4wj26ytw%3D%3D" TargetMode="External"/><Relationship Id="rId3309" Type="http://schemas.openxmlformats.org/officeDocument/2006/relationships/hyperlink" Target="https://www.digikey.jp/product-detail/ja/murata-electronics/GRT188C81A106ME13D/490-12283-1-ND/5416984" TargetMode="External"/><Relationship Id="rId3723" Type="http://schemas.openxmlformats.org/officeDocument/2006/relationships/hyperlink" Target="https://www.digikey.jp/product-detail/ja/keystone-electronics/1049P/36-1049P-ND/4499390" TargetMode="External"/><Relationship Id="rId644" Type="http://schemas.openxmlformats.org/officeDocument/2006/relationships/hyperlink" Target="https://www.digikey.jp/product-detail/en/adafruit-industries-llc/2548/1528-1982-ND/6827110" TargetMode="External"/><Relationship Id="rId1274" Type="http://schemas.openxmlformats.org/officeDocument/2006/relationships/hyperlink" Target="https://jp.misumi-ec.com/vona2/detail/110302683830/?KWSearch=%e3%82%a2%e3%83%ab%e3%83%9f%e3%83%95%e3%83%ac%e3%83%bc%e3%83%a0&amp;searchFlow=results2products" TargetMode="External"/><Relationship Id="rId2325" Type="http://schemas.openxmlformats.org/officeDocument/2006/relationships/hyperlink" Target="http://www.jackson-labs.com/index.php/products/fury" TargetMode="External"/><Relationship Id="rId711" Type="http://schemas.openxmlformats.org/officeDocument/2006/relationships/hyperlink" Target="https://www.digikey.jp/product-detail/ja/tdk-corporation/CGA3E2NP01H103J080AA/445-12383-1-ND/3954049" TargetMode="External"/><Relationship Id="rId1341" Type="http://schemas.openxmlformats.org/officeDocument/2006/relationships/hyperlink" Target="https://jp.misumi-ec.com/vona2/detail/110302686450/?HissuCode=HFSL6-3030-200&amp;PNSearch=HFSL6-3030-200&amp;KWSearch=HFSL6-3030-200&amp;searchFlow=results2products" TargetMode="External"/><Relationship Id="rId4497" Type="http://schemas.openxmlformats.org/officeDocument/2006/relationships/hyperlink" Target="https://www.mouser.jp/ProductDetail/STMicroelectronics/A3G4250DTR?qs=Ld7sMN6XJzCU8%252BkHd1RE7g%3D%3D" TargetMode="External"/><Relationship Id="rId3099" Type="http://schemas.openxmlformats.org/officeDocument/2006/relationships/hyperlink" Target="https://jp.misumi-ec.com/vona2/detail/221006493726/?ProductCode=SHNS-M1.6-VA" TargetMode="External"/><Relationship Id="rId4564" Type="http://schemas.openxmlformats.org/officeDocument/2006/relationships/hyperlink" Target="https://www.askul.co.jp/p/PE57133/?rtMode=affiliate&amp;SAStruts.method=run&amp;sc_e=cp_a_as_vc_ps_a_p_kakaku" TargetMode="External"/><Relationship Id="rId3166" Type="http://schemas.openxmlformats.org/officeDocument/2006/relationships/hyperlink" Target="https://jp.rs-online.com/web/p/bench-power-supplies/1233565/" TargetMode="External"/><Relationship Id="rId3580" Type="http://schemas.openxmlformats.org/officeDocument/2006/relationships/hyperlink" Target="https://www.digikey.jp/product-detail/ja/toshiba-semiconductor-and-storage/TC74HC04APF/TC74HC04APF-ND/870457" TargetMode="External"/><Relationship Id="rId4217" Type="http://schemas.openxmlformats.org/officeDocument/2006/relationships/hyperlink" Target="https://www.mouser.jp/ProductDetail/Murata-Electronics/GRT32EC81C476KE13L?qs=drgMNd%252BkGPPtGpVNHqAHBg%3D%3D" TargetMode="External"/><Relationship Id="rId2182" Type="http://schemas.openxmlformats.org/officeDocument/2006/relationships/hyperlink" Target="https://jp.misumi-ec.com/vona2/detail/110302610850/" TargetMode="External"/><Relationship Id="rId3233" Type="http://schemas.openxmlformats.org/officeDocument/2006/relationships/hyperlink" Target="https://jp.misumi-ec.com/vona2/detail/110300235320/?ProductCode=WSJE20-4-3" TargetMode="External"/><Relationship Id="rId4631" Type="http://schemas.openxmlformats.org/officeDocument/2006/relationships/hyperlink" Target="https://www.digikey.jp/product-detail/en/anysolar-ltd/KXOB25-02X8F-TR/KXOB25-02X8FCT-ND/9990480" TargetMode="External"/><Relationship Id="rId154" Type="http://schemas.openxmlformats.org/officeDocument/2006/relationships/hyperlink" Target="https://jp.misumi-ec.com/vona2/detail/223000436932/?KWSearch=%e3%83%8f%e3%83%b3%e3%83%89%e3%82%bf%e3%83%83%e3%83%97&amp;searchFlow=results2products&amp;relatedKeyword=1" TargetMode="External"/><Relationship Id="rId2999" Type="http://schemas.openxmlformats.org/officeDocument/2006/relationships/hyperlink" Target="https://jp.rs-online.com/web/p/surface-mount-fixed-resistors/6791190/?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7392D31313930267365617263685F6B6579776F72645F6170703D36373931313930267365617263685F636F6E6669673D3126&amp;searchHistory=%7B%22enabled%22%3Atrue%7D" TargetMode="External"/><Relationship Id="rId3300" Type="http://schemas.openxmlformats.org/officeDocument/2006/relationships/hyperlink" Target="https://www.digikey.jp/product-detail/ja/microchip-technology/PIC18F67J94-I-MR/PIC18F67J94-I-MR-ND/3872480" TargetMode="External"/><Relationship Id="rId221" Type="http://schemas.openxmlformats.org/officeDocument/2006/relationships/hyperlink" Target="https://www.monotaro.com/p/3474/0623/" TargetMode="External"/><Relationship Id="rId5058" Type="http://schemas.openxmlformats.org/officeDocument/2006/relationships/hyperlink" Target="https://jp.misumi-ec.com/vona2/detail/110302696430/?PNSearch=PAA6FNN-%5B20-150%2F0.1%5D-20-20&amp;HissuCode=PAA6FNN-%5B20-150%2F0.1%5D-20-20&amp;searchFlow=suggest2products&amp;Keyword=PAA6FNN-%5B20-150%2F0.1%5D-20-20&amp;isReSearch=1&amp;list=SuggestPreview" TargetMode="External"/><Relationship Id="rId1668" Type="http://schemas.openxmlformats.org/officeDocument/2006/relationships/hyperlink" Target="https://www.digikey.jp/product-detail/en/L7806CD2T-TR/497-7258-1-ND/1884018/?itemSeq=321330536" TargetMode="External"/><Relationship Id="rId2719" Type="http://schemas.openxmlformats.org/officeDocument/2006/relationships/hyperlink" Target="https://www.amazon.co.jp/%E3%83%A9%E3%82%BA%E3%83%99%E3%83%AA%E3%83%BC%E3%83%91%E3%82%A44-%E3%82%B3%E3%83%B3%E3%83%94%E3%83%A5%E3%83%BC%E3%82%BF%E3%83%BC%E3%83%A2%E3%83%87%E3%83%ABB-Raspberry-Computer-Model/dp/B07WR5W2D6" TargetMode="External"/><Relationship Id="rId4074" Type="http://schemas.openxmlformats.org/officeDocument/2006/relationships/hyperlink" Target="https://www.digikey.jp/product-detail/ja/jst-sales-america-inc/S2B-EH-LF-SN/455-1625-ND/926533" TargetMode="External"/><Relationship Id="rId5125" Type="http://schemas.openxmlformats.org/officeDocument/2006/relationships/hyperlink" Target="https://www.monotaro.com/p/1131/7215/" TargetMode="External"/><Relationship Id="rId3090" Type="http://schemas.openxmlformats.org/officeDocument/2006/relationships/hyperlink" Target="https://jp.misumi-ec.com/vona2/detail/221006204478/?ProductCode=C-302.5-5" TargetMode="External"/><Relationship Id="rId4141" Type="http://schemas.openxmlformats.org/officeDocument/2006/relationships/hyperlink" Target="https://drive.google.com/open?id=1xSNLfsiBBX87PVPUI4RBaSummDj7YA6l&amp;authuser=mark_angelo_purio%40dlsu.edu.ph&amp;usp=drive_fs" TargetMode="External"/><Relationship Id="rId1735" Type="http://schemas.openxmlformats.org/officeDocument/2006/relationships/hyperlink" Target="https://www.marutsu.co.jp/pc/i/144023/" TargetMode="External"/><Relationship Id="rId27" Type="http://schemas.openxmlformats.org/officeDocument/2006/relationships/hyperlink" Target="https://jp.rs-online.com/web/p/mosfet-power-drivers/6684219/?sra=pstk" TargetMode="External"/><Relationship Id="rId1802" Type="http://schemas.openxmlformats.org/officeDocument/2006/relationships/hyperlink" Target="https://www.digikey.jp/product-detail/en/vishay-siliconix/SQ1912EH-T1_GE3/SQ1912EH-T1_GE3CT-ND/6709020" TargetMode="External"/><Relationship Id="rId4958" Type="http://schemas.openxmlformats.org/officeDocument/2006/relationships/hyperlink" Target="https://jp.misumi-ec.com/vona2/detail/223007922513/?rid=hs_223007889278_223007922513" TargetMode="External"/><Relationship Id="rId3974" Type="http://schemas.openxmlformats.org/officeDocument/2006/relationships/hyperlink" Target="https://jp.misumi-ec.com/vona2/detail/221006204478/?PNSearch=C-301.5-5&amp;HissuCode=C-301.5-5&amp;searchFlow=suggesthistory&amp;Keyword=C-301.5-5&amp;list=SuggestPreview" TargetMode="External"/><Relationship Id="rId895" Type="http://schemas.openxmlformats.org/officeDocument/2006/relationships/hyperlink" Target="https://jp.rs-online.com/web/p/wire-wound-surface-mount-inductors/1233161/" TargetMode="External"/><Relationship Id="rId2576" Type="http://schemas.openxmlformats.org/officeDocument/2006/relationships/hyperlink" Target="https://jp.rs-online.com/web/p/sensor-accessories/4559758/?sra=pstk" TargetMode="External"/><Relationship Id="rId2990" Type="http://schemas.openxmlformats.org/officeDocument/2006/relationships/hyperlink" Target="https://www.digikey.jp/product-detail/ja/ohmite/HVC0805T5004JET/HVC0805T5004JETCT-ND/2709641" TargetMode="External"/><Relationship Id="rId3627" Type="http://schemas.openxmlformats.org/officeDocument/2006/relationships/hyperlink" Target="https://www.microchipdirect.com/product/ATMEGA32U4RC-MU" TargetMode="External"/><Relationship Id="rId548" Type="http://schemas.openxmlformats.org/officeDocument/2006/relationships/hyperlink" Target="https://www.digikey.jp/products/en?keywords=296-34872-1-ND" TargetMode="External"/><Relationship Id="rId962" Type="http://schemas.openxmlformats.org/officeDocument/2006/relationships/hyperlink" Target="http://www.cirocomm.com/en-global/products_ciro/detail/PA025AA0096" TargetMode="External"/><Relationship Id="rId1178" Type="http://schemas.openxmlformats.org/officeDocument/2006/relationships/hyperlink" Target="https://www.digikey.jp/product-detail/ja/linear-technology-analog-devices/LTC4361IDC-1-TRMPBF/LTC4361IDC-1-TRMPBFCT-ND/2351619" TargetMode="External"/><Relationship Id="rId1592" Type="http://schemas.openxmlformats.org/officeDocument/2006/relationships/hyperlink" Target="https://www.digikey.jp/product-detail/en/harwin-inc/M20-7831046/952-1837-ND/3727804" TargetMode="External"/><Relationship Id="rId2229" Type="http://schemas.openxmlformats.org/officeDocument/2006/relationships/hyperlink" Target="https://www.amazon.co.jp/Transcend-USB3-1-%E3%82%B9%E3%83%AA%E3%83%A0%E3%83%9D%E3%83%BC%E3%82%BF%E3%83%96%E3%83%ABHDD-%E3%82%A2%E3%82%A4%E3%83%AD%E3%83%B3%E3%82%B0%E3%83%AC%E3%83%BC-TS1TSJ25M3S/dp/B07B4CJ4KS/ref=sr_1_5?ie=UTF8&amp;qid=1551255300&amp;sr=8-5&amp;keywords=external+hard+drive" TargetMode="External"/><Relationship Id="rId2643" Type="http://schemas.openxmlformats.org/officeDocument/2006/relationships/hyperlink" Target="https://www.monotaro.com/p/7604/0772/?t.q=TAP-AD1RN" TargetMode="External"/><Relationship Id="rId615" Type="http://schemas.openxmlformats.org/officeDocument/2006/relationships/hyperlink" Target="https://www.digikey.jp/product-detail/en/tdk-corporation/MLF2012DR15JT000/445-181342-1-ND/9740613" TargetMode="External"/><Relationship Id="rId1245" Type="http://schemas.openxmlformats.org/officeDocument/2006/relationships/hyperlink" Target="https://jp.rs-online.com/web/p/desktop-power-supplies/5248847/" TargetMode="External"/><Relationship Id="rId1312" Type="http://schemas.openxmlformats.org/officeDocument/2006/relationships/hyperlink" Target="https://www.digikey.jp/products/en?keywords=1276-3538-1-ND%09" TargetMode="External"/><Relationship Id="rId2710" Type="http://schemas.openxmlformats.org/officeDocument/2006/relationships/hyperlink" Target="https://akizukidenshi.com/catalog/g/gM-08218/" TargetMode="External"/><Relationship Id="rId4468" Type="http://schemas.openxmlformats.org/officeDocument/2006/relationships/hyperlink" Target="https://jp.rs-online.com/web/p/surface-mount-resistors/0431316/?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A5454443333304A267365617263685F6B6579776F72645F6170703D524B373342314A5454443333304A267365617263685F636F6E6669673D3126&amp;searchHistory=%7B%22enabled%22%3Atrue%7D" TargetMode="External"/><Relationship Id="rId4882" Type="http://schemas.openxmlformats.org/officeDocument/2006/relationships/hyperlink" Target="https://jp.misumi-ec.com/vona2/detail/221006204478/?PNSearch=C-2002.5&amp;HissuCode=C-2002.5&amp;searchFlow=suggest2products&amp;Keyword=C-2002.5&amp;list=SuggestPreview" TargetMode="External"/><Relationship Id="rId2086" Type="http://schemas.openxmlformats.org/officeDocument/2006/relationships/hyperlink" Target="https://jp.misumi-ec.com/vona2/detail/110300239250/?HissuCode=SCB3-14&amp;PNSearch=SCB3-14&amp;KWSearch=SCB3-14&amp;searchFlow=results2products" TargetMode="External"/><Relationship Id="rId3484" Type="http://schemas.openxmlformats.org/officeDocument/2006/relationships/hyperlink" Target="https://www.hamradio.com/detail.cfm?pid=H0-012783" TargetMode="External"/><Relationship Id="rId4535" Type="http://schemas.openxmlformats.org/officeDocument/2006/relationships/hyperlink" Target="https://www.monotaro.com/p/5514/2755/" TargetMode="External"/><Relationship Id="rId3137" Type="http://schemas.openxmlformats.org/officeDocument/2006/relationships/hyperlink" Target="https://www.digikey.jp/product-detail/en/koa-speer-electronics-inc/RK73H1JTTD1000F/2019-RK73H1JTTD1000FCT-ND/9846890" TargetMode="External"/><Relationship Id="rId3551" Type="http://schemas.openxmlformats.org/officeDocument/2006/relationships/hyperlink" Target="https://www.mouser.jp/ProductDetail/Panasonic/ERJ-U6RD4701V?qs=sGAEpiMZZMtlubZbdhIBIIPWN1VQSu3wPxunuVB7oN8%3D" TargetMode="External"/><Relationship Id="rId4602" Type="http://schemas.openxmlformats.org/officeDocument/2006/relationships/hyperlink" Target="https://www.askul.co.jp/p/1260078/?int_id=recom_DtVar" TargetMode="External"/><Relationship Id="rId472" Type="http://schemas.openxmlformats.org/officeDocument/2006/relationships/hyperlink" Target="https://www.amazon.co.jp/gp/product/B013PUN1AW/ref=ox_sc_act_title_6?smid=AN1VRQENFRJN5&amp;psc=1" TargetMode="External"/><Relationship Id="rId2153" Type="http://schemas.openxmlformats.org/officeDocument/2006/relationships/hyperlink" Target="https://www.monotaro.com/g/01336074/?t.q=3%83s%83%93%20%89%84%92%B7%83R%81%5B%83h" TargetMode="External"/><Relationship Id="rId3204" Type="http://schemas.openxmlformats.org/officeDocument/2006/relationships/hyperlink" Target="https://product.rakuten.co.jp/product/-/1c33f5396f22402710e1bc922b79d02a/spec/?l2-id=pdt_spec" TargetMode="External"/><Relationship Id="rId125" Type="http://schemas.openxmlformats.org/officeDocument/2006/relationships/hyperlink" Target="https://jp.rs-online.com/web/p/ceramic-multilayer-capacitors/7235783/" TargetMode="External"/><Relationship Id="rId2220" Type="http://schemas.openxmlformats.org/officeDocument/2006/relationships/hyperlink" Target="https://www.digikey.jp/product-detail/en/kemet/C0402C430J3GAC7867/399-15327-1-ND/7386725" TargetMode="External"/><Relationship Id="rId5376" Type="http://schemas.openxmlformats.org/officeDocument/2006/relationships/comments" Target="../comments1.xml"/><Relationship Id="rId4392" Type="http://schemas.openxmlformats.org/officeDocument/2006/relationships/hyperlink" Target="https://www.digikey.jp/ja/products/detail/amphenol-icc-fci/57102-F08-02LF/1486623?s=N4IgTCBcDaIKwHYCMAGMBaAYigHOtAMpiALoC%2BQA" TargetMode="External"/><Relationship Id="rId5029" Type="http://schemas.openxmlformats.org/officeDocument/2006/relationships/hyperlink" Target="https://www.mouser.jp/ProductDetail/Wurth-Elektronik/61302211021?qs=PhR8RmCirEZxdHAo9a5ENQ%3D%3D" TargetMode="External"/><Relationship Id="rId1986" Type="http://schemas.openxmlformats.org/officeDocument/2006/relationships/hyperlink" Target="https://www.digikey.jp/product-detail/en/kemet/C0603C103KARACAUTO/399-17960-1-ND/9084030" TargetMode="External"/><Relationship Id="rId4045" Type="http://schemas.openxmlformats.org/officeDocument/2006/relationships/hyperlink" Target="https://jp.misumi-ec.com/vona2/detail/110400191420/?ProductCode=SMA-PP-C-1" TargetMode="External"/><Relationship Id="rId1639" Type="http://schemas.openxmlformats.org/officeDocument/2006/relationships/hyperlink" Target="https://www.digikey.jp/product-detail/ja/cinch-connectivity-solutions-johnson/415-0204-MM100/24-415-0204-MM100-ND/11205985" TargetMode="External"/><Relationship Id="rId3061" Type="http://schemas.openxmlformats.org/officeDocument/2006/relationships/hyperlink" Target="https://jp.misumi-ec.com/vona2/detail/110300235320/?ProductCode=WSJE20-6-3" TargetMode="External"/><Relationship Id="rId1706" Type="http://schemas.openxmlformats.org/officeDocument/2006/relationships/hyperlink" Target="https://jp.misumi-ec.com/vona2/detail/110302683830" TargetMode="External"/><Relationship Id="rId4112" Type="http://schemas.openxmlformats.org/officeDocument/2006/relationships/hyperlink" Target="https://jp.misumi-ec.com/vona2/detail/221000348314/?ProductCode=SNSS-M1.6X6" TargetMode="External"/><Relationship Id="rId3878" Type="http://schemas.openxmlformats.org/officeDocument/2006/relationships/hyperlink" Target="https://www.mouser.jp/ProductDetail/TE-Connectivity/2-825433-0?qs=Yxch5oR%2FTsPyWO6AE6CpEQ%3D%3D" TargetMode="External"/><Relationship Id="rId4929" Type="http://schemas.openxmlformats.org/officeDocument/2006/relationships/hyperlink" Target="https://lcsc.com/product-detail/NOR-FLASH_Micron-Tech-MT25QL01GBBB8ESF-0AAT_C1352146.html" TargetMode="External"/><Relationship Id="rId799" Type="http://schemas.openxmlformats.org/officeDocument/2006/relationships/hyperlink" Target="https://jp.misumi-ec.com/vona2/detail/110300498770/?ProductCode=PAAL-300-300-1" TargetMode="External"/><Relationship Id="rId2894" Type="http://schemas.openxmlformats.org/officeDocument/2006/relationships/hyperlink" Targe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true%7D" TargetMode="External"/><Relationship Id="rId866" Type="http://schemas.openxmlformats.org/officeDocument/2006/relationships/hyperlink" Target="https://jp.rs-online.com/web/p/interface-development-kits/6877774/" TargetMode="External"/><Relationship Id="rId1496" Type="http://schemas.openxmlformats.org/officeDocument/2006/relationships/hyperlink" Target="https://www.digikey.jp/products/ja?keywords=MAX3490ESA%2B-ND" TargetMode="External"/><Relationship Id="rId2547" Type="http://schemas.openxmlformats.org/officeDocument/2006/relationships/hyperlink" Target="https://www.uctronics.com/camera-modules/camera-for-raspberry-pi/https-www-uctronics-com-index-php-arducam-ov2311-mipi-2mp-global-shutter-mono-camera-module-html-2268.html" TargetMode="External"/><Relationship Id="rId3945" Type="http://schemas.openxmlformats.org/officeDocument/2006/relationships/hyperlink" Target="https://www.edmundoptics.com/p/720nm-cwl-10nm-fwhm-125mm-mounted-diameter/22440/" TargetMode="External"/><Relationship Id="rId519" Type="http://schemas.openxmlformats.org/officeDocument/2006/relationships/hyperlink" Target="https://jp.rs-online.com/web/p/latching-relays/6803883/" TargetMode="External"/><Relationship Id="rId1149" Type="http://schemas.openxmlformats.org/officeDocument/2006/relationships/hyperlink" Target="https://www.mouser.jp/manufacturer/crowd-supply/" TargetMode="External"/><Relationship Id="rId2961" Type="http://schemas.openxmlformats.org/officeDocument/2006/relationships/hyperlink" Target="https://www.digikey.jp/product-detail/ja/kemet/C0603C222K4RECAUTO/399-C0603C222K4RECAUTOCT-ND/13229442" TargetMode="External"/><Relationship Id="rId5020" Type="http://schemas.openxmlformats.org/officeDocument/2006/relationships/hyperlink" Target="https://www.mouser.jp/ProductDetail/STMicroelectronics/A3G4250DTR?qs=Ld7sMN6XJzCU8%252BkHd1RE7g%3D%3D" TargetMode="External"/><Relationship Id="rId933" Type="http://schemas.openxmlformats.org/officeDocument/2006/relationships/hyperlink" Target="https://www.digikey.jp/product-detail/ja/vishay-dale/CRCW12181R00FKEKHP/541-1.00ANCT-ND/5327099?cur=JPY&amp;lang=ja" TargetMode="External"/><Relationship Id="rId1563" Type="http://schemas.openxmlformats.org/officeDocument/2006/relationships/hyperlink" Target="https://www.digikey.jp/product-detail/ja/on-semiconductor/FSUSB42UMX/FSUSB42UMXCT-ND/1642629?utm_adgroup=Interface+Analog+Switches+-+Special+Purpose&amp;utm_source=google&amp;utm_medium=cpc&amp;utm_campaign=Google%20Shopping_Integrated%20Circuits&amp;utm_term=&amp;mkwid=sgE9sgphf&amp;pcrid=317439483774&amp;pkw=&amp;pmt=&amp;pdv=c&amp;productid=1642629&amp;slid=&amp;gclid=Cj0KCQiA0NfvBRCVARIsAO4930mggVLXh5bFAm3F6VLmwBGdA3qpImNHhD_08QxqOz7FRNnS4mDjVaYaAmi8EALw_wcB" TargetMode="External"/><Relationship Id="rId2614" Type="http://schemas.openxmlformats.org/officeDocument/2006/relationships/hyperlink" Target="https://www.digikey.jp/product-detail/en/vishay-siliconix/SI1416EDH-T1-GE3/SI1416EDH-T1-GE3CT-ND/5805416" TargetMode="External"/><Relationship Id="rId1216" Type="http://schemas.openxmlformats.org/officeDocument/2006/relationships/hyperlink" Target="https://www.digikey.jp/product-detail/en/rohm-semiconductor/MR45V064BMAZAATL/MR45V064BMAZAATLCT-ND/8135961?cur=JPY&amp;lang=en" TargetMode="External"/><Relationship Id="rId1630" Type="http://schemas.openxmlformats.org/officeDocument/2006/relationships/hyperlink" Target="https://www.monotaro.com/p/4443/0174/" TargetMode="External"/><Relationship Id="rId4786" Type="http://schemas.openxmlformats.org/officeDocument/2006/relationships/hyperlink" Target="https://www.hamradio.com/detail.cfm?pid=D1-002694" TargetMode="External"/><Relationship Id="rId3388" Type="http://schemas.openxmlformats.org/officeDocument/2006/relationships/hyperlink" Target="https://www.digikey.jp/product-detail/ja/analog-devices-inc/LTC4361HDC-2-TRMPBF/LTC4361HDC-2-TRMPBFCT-ND/5114546" TargetMode="External"/><Relationship Id="rId4439" Type="http://schemas.openxmlformats.org/officeDocument/2006/relationships/hyperlink" Target="https://www.marutsu.co.jp/pc/i/2223350/" TargetMode="External"/><Relationship Id="rId4853" Type="http://schemas.openxmlformats.org/officeDocument/2006/relationships/hyperlink" Target="https://www.digikey.jp/ja/products/detail/yageo/RT0603BRD07453KL/5927956" TargetMode="External"/><Relationship Id="rId3455" Type="http://schemas.openxmlformats.org/officeDocument/2006/relationships/hyperlink" Target="https://www.p-ban.com/kiban/com/csComTop.do" TargetMode="External"/><Relationship Id="rId4506" Type="http://schemas.openxmlformats.org/officeDocument/2006/relationships/hyperlink" Target="https://www.mouser.jp/ProductDetail/Vision-Components/VK003315?qs=KUoIvG%2F9IlZTTZ%252Bhgf1LMg%3D%3D" TargetMode="External"/><Relationship Id="rId376" Type="http://schemas.openxmlformats.org/officeDocument/2006/relationships/hyperlink" Target="https://www.digikey.jp/product-detail/en/semtech-corporation/SX1278IMLTRT/SX1278IMLTRTCT-ND/5226787" TargetMode="External"/><Relationship Id="rId790" Type="http://schemas.openxmlformats.org/officeDocument/2006/relationships/hyperlink" Target="http://hirosugi.co.jp/products/POM/CC.html" TargetMode="External"/><Relationship Id="rId2057" Type="http://schemas.openxmlformats.org/officeDocument/2006/relationships/hyperlink" Target="https://jp.misumi-ec.com/vona2/detail/221000348314/?CategorySpec=00000238958%3a%3amig00000002491693%0900000239159%3a%3amig00000002491674%0900000237540%3a%3aa" TargetMode="External"/><Relationship Id="rId2471" Type="http://schemas.openxmlformats.org/officeDocument/2006/relationships/hyperlink" Target="http://www.p-ban.com/" TargetMode="External"/><Relationship Id="rId3108" Type="http://schemas.openxmlformats.org/officeDocument/2006/relationships/hyperlink" Target="https://jp.misumi-ec.com/vona2/detail/221000349089/?ProductCode=SSHS-M2X6-VA" TargetMode="External"/><Relationship Id="rId3522" Type="http://schemas.openxmlformats.org/officeDocument/2006/relationships/hyperlink" Target="https://jp.rs-online.com/web/p/mlccs-multilayer-ceramic-capacitors/8029951/" TargetMode="External"/><Relationship Id="rId4920" Type="http://schemas.openxmlformats.org/officeDocument/2006/relationships/hyperlink" Target="https://www.digikey.jp/en/products/detail/onsemi/NRVB120VLSFT1G/5817308?s=N4IgTCBcDaIHICUBqAhAjGADEgMgZQDEAVNEAXQF8g" TargetMode="External"/><Relationship Id="rId443" Type="http://schemas.openxmlformats.org/officeDocument/2006/relationships/hyperlink" Target="https://www.nbk1560.com/products/specialscrew/nedzicom/lowsmallheadscrew/SSHS/SSHS-M2/SSHS-M2-8/" TargetMode="External"/><Relationship Id="rId1073" Type="http://schemas.openxmlformats.org/officeDocument/2006/relationships/hyperlink" Target="https://www.digikey.jp/product-detail/ja/J-7-V22/SW817-ND/699997/?itemSeq=284879251" TargetMode="External"/><Relationship Id="rId2124" Type="http://schemas.openxmlformats.org/officeDocument/2006/relationships/hyperlink" Target="https://www.marutsu.co.jp/pc/i/223387/" TargetMode="External"/><Relationship Id="rId1140" Type="http://schemas.openxmlformats.org/officeDocument/2006/relationships/hyperlink" Target="https://www.digikey.jp/en/supplier-centers/f/future-technology-devices-intl" TargetMode="External"/><Relationship Id="rId4296" Type="http://schemas.openxmlformats.org/officeDocument/2006/relationships/hyperlink" Target="https://jp.misumi-ec.com/vona2/detail/110302603510/?ProductCode=CBSTS3-14" TargetMode="External"/><Relationship Id="rId510" Type="http://schemas.openxmlformats.org/officeDocument/2006/relationships/hyperlink" Target="http://www.skytraq.com.tw/products/Venus838FLPx_PB_v1.pdf" TargetMode="External"/><Relationship Id="rId5347" Type="http://schemas.openxmlformats.org/officeDocument/2006/relationships/hyperlink" Target="https://www.monotaro.com/p/1130/0634/?t.q=PSS-220153" TargetMode="External"/><Relationship Id="rId1957" Type="http://schemas.openxmlformats.org/officeDocument/2006/relationships/hyperlink" Target="https://www.digikey.jp/product-detail/ja/panasonic-electric-works/AQZ102/255-1567-ND/570705" TargetMode="External"/><Relationship Id="rId4363" Type="http://schemas.openxmlformats.org/officeDocument/2006/relationships/hyperlink" Target="https://www.digikey.jp/ja/products/detail/adafruit-industries-llc/3295/6238007?utm_adgroup=IoT&amp;utm_source=google&amp;utm_medium=cpc&amp;utm_campaign=Smart%20Shopping_Product_IoT&amp;utm_term=&amp;productid=6238007&amp;gclid=CjwKCAiArOqOBhBmEiwAsgeLmcGGFJ-lXBJrWzEwzo3io6wpVS_fHfYefhTx_uvzzzmcfuFjxgFxgxoCx-0QAvD_BwE" TargetMode="External"/><Relationship Id="rId4016" Type="http://schemas.openxmlformats.org/officeDocument/2006/relationships/hyperlink" Target="https://www.digikey.jp/product-detail/ja/taiyo-yuden/PMK212BBJ107MG-T/587-3978-1-ND/4950532" TargetMode="External"/><Relationship Id="rId4430" Type="http://schemas.openxmlformats.org/officeDocument/2006/relationships/hyperlink" Target="https://www.askul.co.jp/p/9703807/" TargetMode="External"/><Relationship Id="rId3032" Type="http://schemas.openxmlformats.org/officeDocument/2006/relationships/hyperlink" Target="https://www.digikey.jp/products/en?keywords=%09H10891-ND" TargetMode="External"/><Relationship Id="rId2798" Type="http://schemas.openxmlformats.org/officeDocument/2006/relationships/hyperlink" Target="https://www.digikey.jp/product-detail/ja/microchip-technology/MCP6021-E-SN/MCP6021-E-SN-ND/683215" TargetMode="External"/><Relationship Id="rId3849" Type="http://schemas.openxmlformats.org/officeDocument/2006/relationships/hyperlink" Target="https://jp.misumi-ec.com/vona2/detail/221006204478/?HissuCode=C-317-5&amp;PNSearch=C-317-5&amp;KWSearch=C-317-5&amp;searchFlow=results2products" TargetMode="External"/><Relationship Id="rId5271" Type="http://schemas.openxmlformats.org/officeDocument/2006/relationships/hyperlink" Target="https://www.monotaro.com/p/0523/3418/" TargetMode="External"/><Relationship Id="rId2865" Type="http://schemas.openxmlformats.org/officeDocument/2006/relationships/hyperlink" Target="https://www.mouser.jp/ProductDetail/Lime-Microsystems/cs-lime-05?qs=TiOZkKH1s2RNd%252B0xy7toNQ%3D%3D" TargetMode="External"/><Relationship Id="rId3916" Type="http://schemas.openxmlformats.org/officeDocument/2006/relationships/hyperlink" Target="https://jp.misumi-ec.com/vona2/detail/221000544514/?ProductCode=HNT3-SUS-M8" TargetMode="External"/><Relationship Id="rId837" Type="http://schemas.openxmlformats.org/officeDocument/2006/relationships/hyperlink" Target="https://www.digikey.jp/product-detail/ja/jst-sales-america-inc/B14B-PASK-1-LF-SN/455-1844-ND/926750" TargetMode="External"/><Relationship Id="rId1467" Type="http://schemas.openxmlformats.org/officeDocument/2006/relationships/hyperlink" Target="https://www.digikey.jp/product-detail/en/yageo/RC0402FR-0749R9L/311-49.9LRCT-ND/729568" TargetMode="External"/><Relationship Id="rId1881" Type="http://schemas.openxmlformats.org/officeDocument/2006/relationships/hyperlink" Target="https://www.digikey.jp/product-detail/ja/susumu/RL1220S-R50-F/RL12S.50FCT-ND/567351" TargetMode="External"/><Relationship Id="rId2518" Type="http://schemas.openxmlformats.org/officeDocument/2006/relationships/hyperlink" Target="https://jp.misumi-ec.com/vona2/detail/110302280540/?HissuCode=CBSTSR3-10&amp;PNSearch=CBSTSR3-10&amp;KWSearch=CBSTSR3-10&amp;searchFlow=results2products" TargetMode="External"/><Relationship Id="rId2932" Type="http://schemas.openxmlformats.org/officeDocument/2006/relationships/hyperlink" Target="https://jp.misumi-ec.com/vona2/detail/110300239250/?CategorySpec=00000217065%3a%3amig00000002462151%0900000217017%3a%3amig00000002466046%0900000217131%3a%3ab%0900000217026%3a%3aa" TargetMode="External"/><Relationship Id="rId904" Type="http://schemas.openxmlformats.org/officeDocument/2006/relationships/hyperlink" Target="https://jp.rs-online.com/web/p/surface-mount-fixed-resistors/6662266/" TargetMode="External"/><Relationship Id="rId1534" Type="http://schemas.openxmlformats.org/officeDocument/2006/relationships/hyperlink" Target="https://www.digikey.jp/product-detail/en/harwin-inc/S8101-46R/952-1576-1-ND/2281834" TargetMode="External"/><Relationship Id="rId1601" Type="http://schemas.openxmlformats.org/officeDocument/2006/relationships/hyperlink" Target="https://us.misumi-ec.com/vona2/detail/110302280540/?HissuCode=CBSTSR2-4&amp;curSearch=%7b%22field%22%3a%22%40search%22%2c%22seriesCode%22%3a%22110302280540%22%2c%22innerCode%22%3a%22%22%2c%22sort%22%3a1%2c%22specSortFlag%22%3a0%2c%22allSpecFlag%22%3a0%2c%22page%22%3a1%2c%22pageSize%22%3a%2260%22%2c%2200000072016%22%3a%22mig00000001420308%22%2c%2200000072118%22%3a%22mig00000001420304%22%2c%2200000072493%22%3a%22a%22%2c%2200000072376%22%3a%22a%22%2c%22fixedInfo%22%3a%22MDM0000131634811030228054011%7c20%22%7d&amp;Tab=codeList" TargetMode="External"/><Relationship Id="rId4757" Type="http://schemas.openxmlformats.org/officeDocument/2006/relationships/hyperlink" Target="https://www.monotaro.com/p/5107/8676/" TargetMode="External"/><Relationship Id="rId3359" Type="http://schemas.openxmlformats.org/officeDocument/2006/relationships/hyperlink" Target="https://www.digikey.jp/product-detail/ja/samtec-inc/FTM-102-02-L-DV/SAM15173-ND/7327831" TargetMode="External"/><Relationship Id="rId694" Type="http://schemas.openxmlformats.org/officeDocument/2006/relationships/hyperlink" Target="https://www.digikey.jp/product-detail/en/tdk-corporation/C1608X7S0J106M080AC/445-9104-1-ND/3661624" TargetMode="External"/><Relationship Id="rId2375" Type="http://schemas.openxmlformats.org/officeDocument/2006/relationships/hyperlink" Target="https://jp.misumi-ec.com/vona2/detail/221000349089/?HissuCode=SSHS-M2X8" TargetMode="External"/><Relationship Id="rId3773" Type="http://schemas.openxmlformats.org/officeDocument/2006/relationships/hyperlink" Target="https://www.digikey.jp/product-detail/en/A000056/1050-1020-ND/2639008?itemSeq=373418038" TargetMode="External"/><Relationship Id="rId4824" Type="http://schemas.openxmlformats.org/officeDocument/2006/relationships/hyperlink" Target="https://jp.rs-online.com/web/p/heatsinks/0263251/" TargetMode="External"/><Relationship Id="rId347" Type="http://schemas.openxmlformats.org/officeDocument/2006/relationships/hyperlink" Target="https://www.ulvac-es.co.jp/products/grease_z-300/" TargetMode="External"/><Relationship Id="rId2028" Type="http://schemas.openxmlformats.org/officeDocument/2006/relationships/hyperlink" Target="https://www.digikey.jp/products/en?keywords=%09SAM1086-10-ND" TargetMode="External"/><Relationship Id="rId3426" Type="http://schemas.openxmlformats.org/officeDocument/2006/relationships/hyperlink" Target="https://www.monotaro.com/p/0993/9614/" TargetMode="External"/><Relationship Id="rId3840" Type="http://schemas.openxmlformats.org/officeDocument/2006/relationships/hyperlink" Target="https://www.monotaro.com/p/3481/1086/?t.q=TS100-100-05" TargetMode="External"/><Relationship Id="rId761" Type="http://schemas.openxmlformats.org/officeDocument/2006/relationships/hyperlink" Target="https://www.digikey.jp/product-detail/ja/murata-electronics-north-america/LQW18AN82NG8ZD/490-15746-1-ND/6800411" TargetMode="External"/><Relationship Id="rId1391" Type="http://schemas.openxmlformats.org/officeDocument/2006/relationships/hyperlink" Target="https://www.digikey.jp/product-detail/en/murata-electronics/GRM21BR71C475KE51L/490-14466-1-ND/6606927" TargetMode="External"/><Relationship Id="rId2442" Type="http://schemas.openxmlformats.org/officeDocument/2006/relationships/hyperlink" Target="https://www.digikey.jp/product-detail/ja/stmicroelectronics/STM32F446RET6/497-15376-ND/5175962" TargetMode="External"/><Relationship Id="rId414" Type="http://schemas.openxmlformats.org/officeDocument/2006/relationships/hyperlink" Target="https://www.digikey.jp/products/en/kits/capacitor-kits/651?k=capacitor+kits&amp;k=&amp;pkeyword=capacitor+kits&amp;sv=0&amp;pv26=435&amp;sf=0&amp;FV=ffe0028b%2Cfffc02c8&amp;quantity=&amp;ColumnSort=0&amp;page=1&amp;pageSize=25" TargetMode="External"/><Relationship Id="rId1044" Type="http://schemas.openxmlformats.org/officeDocument/2006/relationships/hyperlink" Target="https://www.digikey.jp/product-detail/en/tdk-corporation/C1608X8R1H222K080AE/445-173782-1-ND/5809853" TargetMode="External"/><Relationship Id="rId1111" Type="http://schemas.openxmlformats.org/officeDocument/2006/relationships/hyperlink" Target="https://www.p-ban.com/kiban/com/csComTop.do" TargetMode="External"/><Relationship Id="rId4267" Type="http://schemas.openxmlformats.org/officeDocument/2006/relationships/hyperlink" Target="https://www.digikey.jp/ja/products/detail/jst-sales-america-inc/BM07B-GHS-TBT-LF-SN-N/807805?s=N4IgTCBcDaICwFYEFoCMCAcBmNyByAIiALoC%2BQA" TargetMode="External"/><Relationship Id="rId4681" Type="http://schemas.openxmlformats.org/officeDocument/2006/relationships/hyperlink" Target="https://www.digikey.jp/ja/products/detail/ftdi-future-technology-devices-international-ltd/TTL-232R-3V3/1836393" TargetMode="External"/><Relationship Id="rId5318" Type="http://schemas.openxmlformats.org/officeDocument/2006/relationships/hyperlink" Target="https://www.digikey.jp/en/products/detail/yageo/RC0603FR-07332KL/727165" TargetMode="External"/><Relationship Id="rId3283" Type="http://schemas.openxmlformats.org/officeDocument/2006/relationships/hyperlink" Target="https://www.digikey.jp/product-detail/ja/vishay-siliconix/SQ1922EEH-T1_GE3/SQ1922EEH-T1_GE3CT-ND/7622831" TargetMode="External"/><Relationship Id="rId4334" Type="http://schemas.openxmlformats.org/officeDocument/2006/relationships/hyperlink" Target="https://www.monotaro.com/g/01366222/?t.q=%E3%82%AB%E3%83%97%E3%83%88%E3%83%B3%E3%83%86%E3%83%BC%E3%83%97" TargetMode="External"/><Relationship Id="rId1928" Type="http://schemas.openxmlformats.org/officeDocument/2006/relationships/hyperlink" Target="https://jp.misumi-ec.com/vona2/detail/221000544468/" TargetMode="External"/><Relationship Id="rId3350" Type="http://schemas.openxmlformats.org/officeDocument/2006/relationships/hyperlink" Target="https://www.digikey.jp/product-detail/en/sullins-connector-solutions/PPTC032LFBN-RC/S7071-ND/810210" TargetMode="External"/><Relationship Id="rId271" Type="http://schemas.openxmlformats.org/officeDocument/2006/relationships/hyperlink" Target="https://www.digikey.jp/product-detail/ja/microchip-technology/PIC16F1787-I-MV/PIC16F1787-I-MV-ND/3872375" TargetMode="External"/><Relationship Id="rId3003" Type="http://schemas.openxmlformats.org/officeDocument/2006/relationships/hyperlink" Target="https://www.digikey.jp/product-detail/en/rf-solutions/RFM98W-433S2/RFM98W-433S2-ND/6564924" TargetMode="External"/><Relationship Id="rId4401" Type="http://schemas.openxmlformats.org/officeDocument/2006/relationships/hyperlink" Target="https://jp.misumi-ec.com/vona2/detail/221000551286/?PNSearch=CSH-SUS-M1.6-6&amp;HissuCode=CSH-SUS-M1.6-6&amp;searchFlow=suggest2products&amp;Keyword=CSH-SUS-M1.6-6&amp;list=SuggestPreview" TargetMode="External"/><Relationship Id="rId2769" Type="http://schemas.openxmlformats.org/officeDocument/2006/relationships/hyperlink" Target="https://akizukidenshi.com/catalog/g/gK-14745/" TargetMode="External"/><Relationship Id="rId5175" Type="http://schemas.openxmlformats.org/officeDocument/2006/relationships/hyperlink" Target="https://www.aitendo.com/product/11344" TargetMode="External"/><Relationship Id="rId1785" Type="http://schemas.openxmlformats.org/officeDocument/2006/relationships/hyperlink" Target="https://jp.rs-online.com/web/p/mlccs-multilayer-ceramic-capacitors/1726729/" TargetMode="External"/><Relationship Id="rId2836" Type="http://schemas.openxmlformats.org/officeDocument/2006/relationships/hyperlink" Target="https://jp.misumi-ec.com/vona2/detail/110300442860/?CategorySpec=00000191181%3a%3aa" TargetMode="External"/><Relationship Id="rId4191" Type="http://schemas.openxmlformats.org/officeDocument/2006/relationships/hyperlink" Target="https://www.mouser.jp/ProductDetail/Panasonic/ERJ-PA2J103X?qs=h9NfwcE6J0JWKWH7M%2FoZ4A%3D%3D" TargetMode="External"/><Relationship Id="rId5242" Type="http://schemas.openxmlformats.org/officeDocument/2006/relationships/hyperlink" Target="https://www.digikey.jp/en/products/detail/panasonic-electronic-components/ERA-3AEB102V/1465854" TargetMode="External"/><Relationship Id="rId77" Type="http://schemas.openxmlformats.org/officeDocument/2006/relationships/hyperlink" Target="http://hirosugi.co.jp/products/N/FSM-20.html" TargetMode="External"/><Relationship Id="rId808" Type="http://schemas.openxmlformats.org/officeDocument/2006/relationships/hyperlink" Target="https://jp.rs-online.com/web/p/rectifier-diodes-schottky-diodes/0362294/?searchTerm=1SS301%28F%29%5C&amp;relevancy-data=636F3D3226696E3D4931384E4B6E6F776E41734D504E266C753D6A61266D6D3D6D61746368616C6C7061727469616C26706D3D5E5B5C707B4C7D5C707B4E647D2D2C2F255C2E5D2B242" TargetMode="External"/><Relationship Id="rId1438" Type="http://schemas.openxmlformats.org/officeDocument/2006/relationships/hyperlink" Target="https://www.digikey.jp/product-detail/en/texas-instruments/SN74LVC2G34DCKR/296-13497-1-ND/486433" TargetMode="External"/><Relationship Id="rId1852" Type="http://schemas.openxmlformats.org/officeDocument/2006/relationships/hyperlink" Target="https://www.digikey.jp/product-detail/en/koa-speer-electronics-inc/RK73H1JTTD1203F/2019-RK73H1JTTD1203FCT-ND/9847089" TargetMode="External"/><Relationship Id="rId2903" Type="http://schemas.openxmlformats.org/officeDocument/2006/relationships/hyperlink" Target="https://www.digikey.jp/product-detail/ja/bourns-inc/MF-MSMF050-2/MF-MSMF050-2CT-ND/662842" TargetMode="External"/><Relationship Id="rId1505" Type="http://schemas.openxmlformats.org/officeDocument/2006/relationships/hyperlink" Target="https://www.digikey.jp/product-detail/ja/arduino/A000067/1050-1018-ND/2639006" TargetMode="External"/><Relationship Id="rId3677" Type="http://schemas.openxmlformats.org/officeDocument/2006/relationships/hyperlink" Target="https://www.digikey.jp/product-detail/ja/molex/0151340803/WM15275-ND/6198165" TargetMode="External"/><Relationship Id="rId4728" Type="http://schemas.openxmlformats.org/officeDocument/2006/relationships/hyperlink" Target="https://www.p-ban.com/kiban/com/csComShwOrd.do?summaryOrderNo=22062100139" TargetMode="External"/><Relationship Id="rId598" Type="http://schemas.openxmlformats.org/officeDocument/2006/relationships/hyperlink" Target="https://www.digikey.jp/en/supplier-centers/o/on-semiconductor" TargetMode="External"/><Relationship Id="rId2279" Type="http://schemas.openxmlformats.org/officeDocument/2006/relationships/hyperlink" Target="https://www.digikey.jp/product-detail/ja/sparkfun-electronics/BOB-12035/1568-1194-ND/5673780" TargetMode="External"/><Relationship Id="rId2693" Type="http://schemas.openxmlformats.org/officeDocument/2006/relationships/hyperlink" Target="https://www.mouser.jp/ProductDetail/ON-Semiconductor/DTC144EET1G?qs=2OtswVQKCOGzUGumeHaiRw%3D%3D" TargetMode="External"/><Relationship Id="rId3744" Type="http://schemas.openxmlformats.org/officeDocument/2006/relationships/hyperlink" Target="https://www.monotaro.com/g/04137277/?displayId=20" TargetMode="External"/><Relationship Id="rId665" Type="http://schemas.openxmlformats.org/officeDocument/2006/relationships/hyperlink" Target="https://www.monotaro.com/g/02960802/" TargetMode="External"/><Relationship Id="rId1295" Type="http://schemas.openxmlformats.org/officeDocument/2006/relationships/hyperlink" Target="https://www.digikey.jp/product-detail/en/texas-instruments/SN74CB3Q3257DBQR/296-17511-1-ND/700058" TargetMode="External"/><Relationship Id="rId2346" Type="http://schemas.openxmlformats.org/officeDocument/2006/relationships/hyperlink" Target="https://www.digikey.jp/product-detail/en/adam-tech/PH1-10-UA/2057-PH1-10-UA-ND/9830653" TargetMode="External"/><Relationship Id="rId2760" Type="http://schemas.openxmlformats.org/officeDocument/2006/relationships/hyperlink" Target="https://www.digikey.jp/product-detail/ja/jst-sales-america-inc/SEH-001T-P0-6/455-1042-1-ND/527266" TargetMode="External"/><Relationship Id="rId3811" Type="http://schemas.openxmlformats.org/officeDocument/2006/relationships/hyperlink" Target="https://www.monotaro.com/g/00317061/" TargetMode="External"/><Relationship Id="rId318" Type="http://schemas.openxmlformats.org/officeDocument/2006/relationships/hyperlink" Target="https://www.digikey.jp/product-detail/en/lite-on-inc/LTST-C171KRKT/160-1427-1-ND/386800" TargetMode="External"/><Relationship Id="rId732" Type="http://schemas.openxmlformats.org/officeDocument/2006/relationships/hyperlink" Target="https://www.monotaro.com/g/00254666/?monotaroNo=33240313" TargetMode="External"/><Relationship Id="rId1362" Type="http://schemas.openxmlformats.org/officeDocument/2006/relationships/hyperlink" Target="http://akizukidenshi.com/catalog/g/gM-09059/" TargetMode="External"/><Relationship Id="rId2413" Type="http://schemas.openxmlformats.org/officeDocument/2006/relationships/hyperlink" Target="https://www.digikey.jp/products/en?keywords=296-36413-1-ND" TargetMode="External"/><Relationship Id="rId1015" Type="http://schemas.openxmlformats.org/officeDocument/2006/relationships/hyperlink" Target="https://jp.rs-online.com/web/p/interface-development-kits/6877770/" TargetMode="External"/><Relationship Id="rId4585" Type="http://schemas.openxmlformats.org/officeDocument/2006/relationships/hyperlink" Target="https://jp.rs-online.com/web/p/voltage-regulators/6616721/?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6312D36373231267365617263685F6B6579776F72645F6170703D36363136373231267365617263685F636F6E6669673D3126&amp;searchHistory=%7B%22enabled%22%3Atrue%7D" TargetMode="External"/><Relationship Id="rId3187" Type="http://schemas.openxmlformats.org/officeDocument/2006/relationships/hyperlink" Target="https://www.monotaro.com/p/3469/3714/" TargetMode="External"/><Relationship Id="rId4238" Type="http://schemas.openxmlformats.org/officeDocument/2006/relationships/hyperlink" Target="https://jp.rs-online.com/web/p/mlccs-multilayer-ceramic-capacitors/1034153" TargetMode="External"/><Relationship Id="rId4652" Type="http://schemas.openxmlformats.org/officeDocument/2006/relationships/hyperlink" Target="https://www.digikey.jp/en/products/detail/murata-electronics/BLM18AG601SN1D/584225?s=N4IgTCBcDaIAQBYCcAGAtARhRhm0DkAREAXQF8g" TargetMode="External"/><Relationship Id="rId175" Type="http://schemas.openxmlformats.org/officeDocument/2006/relationships/hyperlink" Target="https://www.monotaro.com/p/3346/0646/?t.q=%8A%EE%94%C2%83z%83%8B%83_%81%5B" TargetMode="External"/><Relationship Id="rId3254" Type="http://schemas.openxmlformats.org/officeDocument/2006/relationships/hyperlink" Target="https://www.digikey.jp/product-detail/ja/tdk-corporation/C1608X7S0J106M080AC/445-9104-1-ND/3661624" TargetMode="External"/><Relationship Id="rId4305" Type="http://schemas.openxmlformats.org/officeDocument/2006/relationships/hyperlink" Target="https://jp.misumi-ec.com/vona2/detail/221005677370/?ProductCode=SSHHI-SUS-M2-8" TargetMode="External"/><Relationship Id="rId2270" Type="http://schemas.openxmlformats.org/officeDocument/2006/relationships/hyperlink" Target="http://akizukidenshi.com/catalog/g/gP-03229/" TargetMode="External"/><Relationship Id="rId3321" Type="http://schemas.openxmlformats.org/officeDocument/2006/relationships/hyperlink" Target="https://www.askul.co.jp/p/015068/" TargetMode="External"/><Relationship Id="rId242" Type="http://schemas.openxmlformats.org/officeDocument/2006/relationships/hyperlink" Target="https://www.nbk1560.com/products/specialscrew/nedzicom/lowsmallheadscrew/SNSS-SD/" TargetMode="External"/><Relationship Id="rId5079" Type="http://schemas.openxmlformats.org/officeDocument/2006/relationships/hyperlink" Target="https://www.monotaro.com/p/8626/3485/?t.q=fr4%8A%EE%94%C2%8C%FA%82%B3" TargetMode="External"/><Relationship Id="rId1689" Type="http://schemas.openxmlformats.org/officeDocument/2006/relationships/hyperlink" Target="https://www.mouser.jp/ProductDetail/Panasonic/ERJ-1GNF2703C?qs=sGAEpiMZZMu61qfTUdNhG1IKPAnaLGej1kZ%2F8VN6P%2Fs%3D" TargetMode="External"/><Relationship Id="rId4095" Type="http://schemas.openxmlformats.org/officeDocument/2006/relationships/hyperlink" Target="https://www.monotaro.com/g/01213354/" TargetMode="External"/><Relationship Id="rId5146" Type="http://schemas.openxmlformats.org/officeDocument/2006/relationships/hyperlink" Target="https://www.digikey.jp/ja/products/detail/microchip-technology/MCP4922-E-SL/716258" TargetMode="External"/><Relationship Id="rId4162" Type="http://schemas.openxmlformats.org/officeDocument/2006/relationships/hyperlink" Target="https://jp.misumi-ec.com/vona2/detail/110302280540/?PNSearch=CBSTSR2-5&amp;HissuCode=CBSTSR2-5&amp;searchFlow=suggest2products&amp;Keyword=CBSTSR2-5&amp;list=SuggestPreview" TargetMode="External"/><Relationship Id="rId5213" Type="http://schemas.openxmlformats.org/officeDocument/2006/relationships/hyperlink" Target="https://jp.misumi-ec.com/vona2/detail/221006203220/?ProductCode=UM-0325-T" TargetMode="External"/><Relationship Id="rId1756" Type="http://schemas.openxmlformats.org/officeDocument/2006/relationships/hyperlink" Target="https://www.digikey.jp/product-detail/en/vishay-dale/WSL0805R0250FEA/WSLA-025CT-ND/713390" TargetMode="External"/><Relationship Id="rId2807" Type="http://schemas.openxmlformats.org/officeDocument/2006/relationships/hyperlink" Target="https://jp.rs-online.com/web/p/harsh-environment-wire/8417153/" TargetMode="External"/><Relationship Id="rId48" Type="http://schemas.openxmlformats.org/officeDocument/2006/relationships/hyperlink" Target="https://jp.misumi-ec.com/vona2/detail/110302679630/?HissuCode=FABS&amp;PNSearch=FABS&amp;KWSearch=FABS&amp;searchFlow=results2products" TargetMode="External"/><Relationship Id="rId1409" Type="http://schemas.openxmlformats.org/officeDocument/2006/relationships/hyperlink" Target="https://www.digikey.jp/product-detail/en/vishay-dale/CRCW080518K7FKEA/541-18.7KCCT-ND/1180926" TargetMode="External"/><Relationship Id="rId1823" Type="http://schemas.openxmlformats.org/officeDocument/2006/relationships/hyperlink" Target="https://www.digikey.jp/product-detail/en/fox-electronics/FT5HNBPK16.0-T1/631-1071-1-ND/1024776" TargetMode="External"/><Relationship Id="rId4979" Type="http://schemas.openxmlformats.org/officeDocument/2006/relationships/hyperlink" Target="https://www.askul.co.jp/p/1260069/?int_id=recom_DtVar" TargetMode="External"/><Relationship Id="rId3995" Type="http://schemas.openxmlformats.org/officeDocument/2006/relationships/hyperlink" Target="https://www.digikey.jp/products/ja?keywords=NCV1117ST18T3GOSCT-ND" TargetMode="External"/><Relationship Id="rId2597" Type="http://schemas.openxmlformats.org/officeDocument/2006/relationships/hyperlink" Target="https://www.digikey.jp/product-detail/en/texas-instruments/SN74LVC2G34DCKR/296-13497-1-ND/486433" TargetMode="External"/><Relationship Id="rId3648" Type="http://schemas.openxmlformats.org/officeDocument/2006/relationships/hyperlink" Target="https://www.digikey.jp/product-detail/en/ndk-america-inc/NX5032GB-16MHZ-STD-CSK-5/644-1192-1-ND/3125581" TargetMode="External"/><Relationship Id="rId569" Type="http://schemas.openxmlformats.org/officeDocument/2006/relationships/hyperlink" Target="https://jp.rs-online.com/web/p/external-hard-drives/8775623/" TargetMode="External"/><Relationship Id="rId983" Type="http://schemas.openxmlformats.org/officeDocument/2006/relationships/hyperlink" Target="https://jp.rs-online.com/web/p/motor-driver-ics/7617201/" TargetMode="External"/><Relationship Id="rId1199" Type="http://schemas.openxmlformats.org/officeDocument/2006/relationships/hyperlink" Target="https://jp.misumi-ec.com/vona2/detail/221000236107/?PNSearch=SHNJ-M8&amp;HissuCode=SHNJ-M8&amp;searchFlow=suggest2products&amp;Keyword=SHNJ-M8&amp;isReSearch=1" TargetMode="External"/><Relationship Id="rId2664" Type="http://schemas.openxmlformats.org/officeDocument/2006/relationships/hyperlink" Target="https://www.mouser.jp/ProductDetail/KEMET/C0603C473J3RACTU?qs=%2Fha2pyFadug%252BqPfG%252BHQTublS4hjFljNz39VKU1WAsKAPpiXxVpLAfQ%3D%3D" TargetMode="External"/><Relationship Id="rId5070" Type="http://schemas.openxmlformats.org/officeDocument/2006/relationships/hyperlink" Target="https://www.monotaro.com/p/3466/5565/" TargetMode="External"/><Relationship Id="rId636" Type="http://schemas.openxmlformats.org/officeDocument/2006/relationships/hyperlink" Target="https://jp.misumi-ec.com/vona2/detail/221005171199/?HissuCode=GR2-30&amp;PNSearch=GR2-30&amp;KWSearch=GR2-30&amp;searchFlow=results2products" TargetMode="External"/><Relationship Id="rId1266" Type="http://schemas.openxmlformats.org/officeDocument/2006/relationships/hyperlink" Target="https://www.digikey.jp/product-detail/ja/amphenol-sv-microwave/3212-40003/3212-40003-ND/6050854" TargetMode="External"/><Relationship Id="rId2317" Type="http://schemas.openxmlformats.org/officeDocument/2006/relationships/hyperlink" Target="https://jp.rs-online.com/web/p/switching-regulators/7962138/" TargetMode="External"/><Relationship Id="rId3715" Type="http://schemas.openxmlformats.org/officeDocument/2006/relationships/hyperlink" Target="https://www.win-source.net/hot-sales-and-eol-components-si4154dy-t1-ge3.html" TargetMode="External"/><Relationship Id="rId1680" Type="http://schemas.openxmlformats.org/officeDocument/2006/relationships/hyperlink" Target="http://akizukidenshi.com/catalog/g/gT-03641/" TargetMode="External"/><Relationship Id="rId2731" Type="http://schemas.openxmlformats.org/officeDocument/2006/relationships/hyperlink" Target="https://www.amazon.co.jp/%E7%99%BD%E5%85%89-HAKKO-%E3%83%8F%E3%83%83%E3%82%B3%E3%83%BC%E3%83%95%E3%83%A9%E3%83%83%E3%82%AF%E3%82%B9%E3%83%9A%E3%83%B3-4ml-%E7%AD%86%E3%83%9A%E3%83%B3%E3%82%BF%E3%82%A4%E3%83%97%EF%BC%89-FS210-81/dp/B00SKSJFZA/ref=sr_1_16?__mk_ja_JP=%E3%82%AB%E3%82%BF%E3%82%AB%E3%83%8A&amp;dchild=1&amp;keywords=%E3%83%95%E3%83%A9%E3%83%83%E3%82%AF%E3%82%B9+%E3%81%AF%E3%82%93%E3%81%A0%E7%94%A8+%E3%83%9A%E3%83%B3&amp;qid=1605092386&amp;sr=8-16" TargetMode="External"/><Relationship Id="rId703" Type="http://schemas.openxmlformats.org/officeDocument/2006/relationships/hyperlink" Target="https://www.digikey.jp/product-detail/en/sullins-connector-solutions/NPPN052AFCN-RC/S5750-05-ND/804790" TargetMode="External"/><Relationship Id="rId1333" Type="http://schemas.openxmlformats.org/officeDocument/2006/relationships/hyperlink" Target="https://www.amazon.co.jp/gp/product/B07W4F87D1/ref=ppx_yo_dt_b_asin_title_o01_s00?ie=UTF8&amp;psc=1" TargetMode="External"/><Relationship Id="rId4489" Type="http://schemas.openxmlformats.org/officeDocument/2006/relationships/hyperlink" Target="https://www.digikey.jp/product-detail/ja/tri-mag-llc/L6R06H-120/364-1254-ND/7682617" TargetMode="External"/><Relationship Id="rId1400" Type="http://schemas.openxmlformats.org/officeDocument/2006/relationships/hyperlink" Target="https://www.digikey.jp/product-detail/en/vishay-dale/CRCW080510K0FKEA/541-10.0KCCT-ND/1180897" TargetMode="External"/><Relationship Id="rId4556" Type="http://schemas.openxmlformats.org/officeDocument/2006/relationships/hyperlink" Target="https://www.chip1stop.com/view/dispDetail/DispDetail?partId=HIRO-0021665&amp;mpn=A3C-50DA-2DSA%2871%29&amp;keyword=A3C-50DA-2DSA%252871%2529" TargetMode="External"/><Relationship Id="rId4970" Type="http://schemas.openxmlformats.org/officeDocument/2006/relationships/hyperlink" Target="https://jp.misumi-ec.com/vona2/detail/110302604820/?PNSearch=UF3-10&amp;HissuCode=UF3-10&amp;searchFlow=suggest2products&amp;Keyword=UF3-10&amp;isReSearch=1&amp;list=SuggestPreview" TargetMode="External"/><Relationship Id="rId3158" Type="http://schemas.openxmlformats.org/officeDocument/2006/relationships/hyperlink" Target="https://www.digikey.jp/product-detail/en/molex/0500798000/WM1142CT-ND/467835" TargetMode="External"/><Relationship Id="rId3572" Type="http://schemas.openxmlformats.org/officeDocument/2006/relationships/hyperlink" Target="https://www.mouser.jp/ProductDetail/Hirose-Connector/DF14-4P-125H24?qs=%2Fha2pyFaduhuSP%252ByOjB3dxqP7iQuTL43Gv1e8Mb64wOCcDUNJg7LbLCcuQO%252B6jS%2F" TargetMode="External"/><Relationship Id="rId4209" Type="http://schemas.openxmlformats.org/officeDocument/2006/relationships/hyperlink" Target="https://www.mouser.jp/ProductDetail/Analog-Devices/LTC4361CDC-2TRMPBF?qs=hVkxg5c3xu%2FJMWfT0rrc%252Bw%3D%3D" TargetMode="External"/><Relationship Id="rId4623" Type="http://schemas.openxmlformats.org/officeDocument/2006/relationships/hyperlink" Target="https://www.amazon.co.jp/-/en/Special-Promotion-Wireless-Transceiver-Communication/dp/B08D3P9QYM/ref=sr_1_4?crid=2NDQ1JER0MZIY&amp;keywords=rfm95&amp;qid=1653051992&amp;sprefix=rfm95%2Caps%2C162&amp;sr=8-4" TargetMode="External"/><Relationship Id="rId493" Type="http://schemas.openxmlformats.org/officeDocument/2006/relationships/hyperlink" Target="https://www.digikey.jp/product-detail/ja/murata-electronics-north-america/GRM1885C1H180FA01D/490-9716-1-ND/4934871" TargetMode="External"/><Relationship Id="rId2174" Type="http://schemas.openxmlformats.org/officeDocument/2006/relationships/hyperlink" Target="https://jp.misumi-ec.com/vona2/detail/221006493827/?HissuCode=SNSS-M2-6-SD&amp;PNSearch=SNSS-M2-6-SD&amp;KWSearch=SNSS-M2-6-SD&amp;searchFlow=results2products" TargetMode="External"/><Relationship Id="rId3225" Type="http://schemas.openxmlformats.org/officeDocument/2006/relationships/hyperlink" Target="https://www.mouser.jp/ProductDetail/Chip-Quik/SMD291?qs=8BX3xQzFIvmwkympZqnNNA%3D%3D" TargetMode="External"/><Relationship Id="rId146" Type="http://schemas.openxmlformats.org/officeDocument/2006/relationships/hyperlink" Target="https://jp.rs-online.com/web/p/products/6488484/" TargetMode="External"/><Relationship Id="rId560" Type="http://schemas.openxmlformats.org/officeDocument/2006/relationships/hyperlink" Target="https://www.digikey.jp/products/en?keywords=311-665KCRCT-ND" TargetMode="External"/><Relationship Id="rId1190" Type="http://schemas.openxmlformats.org/officeDocument/2006/relationships/hyperlink" Target="https://www.digikey.jp/product-detail/ja/terasic-inc/P0466/P0466-ND/6230089" TargetMode="External"/><Relationship Id="rId2241" Type="http://schemas.openxmlformats.org/officeDocument/2006/relationships/hyperlink" Target="https://www.digikey.jp/product-detail/ja/on-semiconductor/FDB8441/FDB8441CT-ND/1245069" TargetMode="External"/><Relationship Id="rId213" Type="http://schemas.openxmlformats.org/officeDocument/2006/relationships/hyperlink" Target="https://www.digikey.jp/product-detail/ja/DA-70119/AE1324-ND/555190/?itemSeq=278556377" TargetMode="External"/><Relationship Id="rId4066" Type="http://schemas.openxmlformats.org/officeDocument/2006/relationships/hyperlink" Target="https://www.amazon.co.jp/KINCREA-620%E5%80%8B-2-54mm-6%E3%83%94%E3%83%B3%E3%83%8F%E3%82%A6%E3%82%B8%E3%83%B3%E3%82%B0%E3%82%B3%E3%83%8D%E3%82%AF%E3%82%BF%E3%81%A8%E3%82%AA%E3%82%B9%E3%83%A1%E3%82%B9%E3%83%87%E3%83%A5%E3%83%9D%E3%83%B3%E3%82%AF%E3%83%AA%E3%83%B3%E3%83%97%E3%83%94%E3%83%B3%E3%82%A2%E3%83%80%E3%83%97%E3%82%BF%E3%83%BC%E8%A9%B0%E3%82%81%E5%90%88%E3%82%8F%E3%81%9B%E3%82%AD%E3%83%83%E3%83%88-4348320851/dp/B07DF9BJKH/ref=pd_rhf_dp_s_ci_mcx_mr_hp_d_2/355-1530653-8391266?pd_rd_w=LHUba&amp;pf_rd_p=7225cbd5-9046-47c0-9711-30772e8cfb94&amp;pf_rd_r=RVN6ESPBV9QVBTFBP2G8&amp;pd_rd_r=f5a37f4a-30a2-491d-b82f-02e6571233fb&amp;pd_rd_wg=qDJC7&amp;pd_rd_i=B07DF9BJKH&amp;psc=1" TargetMode="External"/><Relationship Id="rId4480" Type="http://schemas.openxmlformats.org/officeDocument/2006/relationships/hyperlink" Target="https://www.digikey.jp/ja/products/detail/3m/153240-2020-RB/1145342" TargetMode="External"/><Relationship Id="rId5117" Type="http://schemas.openxmlformats.org/officeDocument/2006/relationships/hyperlink" Target="https://www.mouser.jp/ProductDetail/Molex/79758-1018?qs=%2Fha2pyFaduhNtIA15Sr3cvbjF4muyNFpmSH%252BmAT0CXsXJHLlJlEKEA%3D%3D" TargetMode="External"/><Relationship Id="rId1727" Type="http://schemas.openxmlformats.org/officeDocument/2006/relationships/hyperlink" Target="https://www.marutsu.co.jp/pc/i/1259/" TargetMode="External"/><Relationship Id="rId3082" Type="http://schemas.openxmlformats.org/officeDocument/2006/relationships/hyperlink" Target="https://www.monotaro.com/g/01213354/" TargetMode="External"/><Relationship Id="rId4133" Type="http://schemas.openxmlformats.org/officeDocument/2006/relationships/hyperlink" Target="https://www.monotaro.com/g/04218399/?t.q=%E3%83%AA%E3%83%81%E3%82%A6%E3%83%A0%E3%82%A4%E3%82%AA%E3%83%B3%E5%B0%82%E7%94%A8%E5%85%85%E9%9B%BB%E9%9B%BB%E6%B1%A0%2018650%E5%9E%8B" TargetMode="External"/><Relationship Id="rId19" Type="http://schemas.openxmlformats.org/officeDocument/2006/relationships/hyperlink" Target="https://jp.rs-online.com/web/p/tantalum-capacitors/1213317/?sra=pstk" TargetMode="External"/><Relationship Id="rId3899" Type="http://schemas.openxmlformats.org/officeDocument/2006/relationships/hyperlink" Target="https://www.monotaro.com/g/04150179/?t.q=M2.6%200.45" TargetMode="External"/><Relationship Id="rId4200" Type="http://schemas.openxmlformats.org/officeDocument/2006/relationships/hyperlink" Target="https://www.digikey.jp/product-detail/ja/PPPC022LJBN-RC/S5555-ND/776013?utm_campaign=buynow&amp;utm_medium=aggregator&amp;curr=jpy&amp;utm_source=octopart" TargetMode="External"/><Relationship Id="rId3966" Type="http://schemas.openxmlformats.org/officeDocument/2006/relationships/hyperlink" Target="https://jp.misumi-ec.com/vona2/detail/221006493827/?PNSearch=SNSS-M2-4-SD-VA&amp;HissuCode=SNSS-M2-4-SD-VA&amp;searchFlow=suggesthistory&amp;Keyword=SNSS-M2-4-SD-VA&amp;list=SuggestPreview" TargetMode="External"/><Relationship Id="rId3" Type="http://schemas.openxmlformats.org/officeDocument/2006/relationships/hyperlink" Target="https://jp.rs-online.com/web/p/microcontrollers/6963092/?relevancy-data=636F3D3126696E3D4931384E525353746F636B4E756D6265724D504E266C753D656E266D6D3D6D61746368616C6C26706D3D5E5C647B367D247C5E5C647B377D247C5E5C647B31307D2426706F3D313426736E3D592673723D2673743D52535F53544F434B5F4E554D4245522677633D4E4F4E45267573743D36393633303932267374613D3639363330393226" TargetMode="External"/><Relationship Id="rId887" Type="http://schemas.openxmlformats.org/officeDocument/2006/relationships/hyperlink" Target="https://jp.rs-online.com/web/p/mlccs-multilayer-ceramic-capacitors/8030065/" TargetMode="External"/><Relationship Id="rId2568" Type="http://schemas.openxmlformats.org/officeDocument/2006/relationships/hyperlink" Target="https://www.digikey.jp/product-detail/ja/pi-supply/RPI-030/1910-1001-ND/8136034" TargetMode="External"/><Relationship Id="rId2982" Type="http://schemas.openxmlformats.org/officeDocument/2006/relationships/hyperlink" Target="https://www.digikey.jp/product-detail/ja/taiyo-yuden/UMK107ABJ105KAHT/587-3501-1-ND/4157264" TargetMode="External"/><Relationship Id="rId3619" Type="http://schemas.openxmlformats.org/officeDocument/2006/relationships/hyperlink" Target="https://www.digikey.jp/product-detail/ja/rohm-semiconductor/DTC144EKAT146/DTC144EKAT146CT-ND/650727" TargetMode="External"/><Relationship Id="rId5041" Type="http://schemas.openxmlformats.org/officeDocument/2006/relationships/hyperlink" Target="https://www.mouser.jp/ProductDetail/YAGEO/RC0603FR-07150KL?qs=VU8sRB4EgwAs5t5QrX5iHA%3D%3D" TargetMode="External"/><Relationship Id="rId954" Type="http://schemas.openxmlformats.org/officeDocument/2006/relationships/hyperlink" Target="https://www.monotaro.com/g/01250063/?t.mpn=16716708" TargetMode="External"/><Relationship Id="rId1584" Type="http://schemas.openxmlformats.org/officeDocument/2006/relationships/hyperlink" Target="https://jp.misumi-ec.com/vona2/detail/221000349089/?CategorySpec=00000217040%3a%3amig00000002457491%0900000217056%3a%3amig00000002487723%0900000217074%3a%3ac%0900000216906%3a%3aa&amp;clkid=clkid_list_template" TargetMode="External"/><Relationship Id="rId2635" Type="http://schemas.openxmlformats.org/officeDocument/2006/relationships/hyperlink" Target="https://www.p-ban.com/" TargetMode="External"/><Relationship Id="rId607" Type="http://schemas.openxmlformats.org/officeDocument/2006/relationships/hyperlink" Target="https://www.digikey.jp/products/en?keywords=%09311-1102-1-ND" TargetMode="External"/><Relationship Id="rId1237" Type="http://schemas.openxmlformats.org/officeDocument/2006/relationships/hyperlink" Target="https://www.digikey.jp/products/ja?keywords=MAX3490ESA%2B-ND" TargetMode="External"/><Relationship Id="rId1651" Type="http://schemas.openxmlformats.org/officeDocument/2006/relationships/hyperlink" Target="http://www.ktek.jp/mini-ckt-atten-term-50-ohm.html" TargetMode="External"/><Relationship Id="rId2702" Type="http://schemas.openxmlformats.org/officeDocument/2006/relationships/hyperlink" Target="https://www.mouser.jp/ProductDetail/ON-Semiconductor-Fairchild/FSUSB42UMX?qs=eJLAyKFqilUl3553fx9DLQ%3D%3D" TargetMode="External"/><Relationship Id="rId1304" Type="http://schemas.openxmlformats.org/officeDocument/2006/relationships/hyperlink" Target="https://www.monotaro.com/p/2634/4578/?t.q=PSR-210154-12" TargetMode="External"/><Relationship Id="rId4874" Type="http://schemas.openxmlformats.org/officeDocument/2006/relationships/hyperlink" Target="https://www.minicircuits.com/WebStore/dashboard.html?model=PMA2-43LN%2B" TargetMode="External"/><Relationship Id="rId3476" Type="http://schemas.openxmlformats.org/officeDocument/2006/relationships/hyperlink" Target="https://www.digikey.jp/product-detail/en/microchip-technology/PIC18F67J94-I-MR/PIC18F67J94-I-MR-ND/3872480" TargetMode="External"/><Relationship Id="rId4527" Type="http://schemas.openxmlformats.org/officeDocument/2006/relationships/hyperlink" Target="https://www.monotaro.com/p/3498/2577/" TargetMode="External"/><Relationship Id="rId10" Type="http://schemas.openxmlformats.org/officeDocument/2006/relationships/hyperlink" Target="https://www.monotaro.com/p/0705/7985/" TargetMode="External"/><Relationship Id="rId397" Type="http://schemas.openxmlformats.org/officeDocument/2006/relationships/hyperlink" Target="https://www.digikey.jp/product-detail/en/taiyo-yuden/HK212510NJ-T/587-5854-1-ND/7674974" TargetMode="External"/><Relationship Id="rId2078" Type="http://schemas.openxmlformats.org/officeDocument/2006/relationships/hyperlink" Target="https://jp.misumi-ec.com/vona2/detail/110302280540/?HissuCode=CBSTSR2-10&amp;PNSearch=CBSTSR2-10&amp;KWSearch=CBSTSR2-10&amp;searchFlow=results2products" TargetMode="External"/><Relationship Id="rId2492" Type="http://schemas.openxmlformats.org/officeDocument/2006/relationships/hyperlink" Target="https://www.amazon.co.jp/HD-TPA4U3-B-Compatible-Manufacturer-Prediction-Installation/dp/B07SJXHS8P/ref=sr_1_1_sspa?dchild=1&amp;keywords=4tb%E3%83%9D%E3%83%BC%E3%82%BF%E3%83%96%E3%83%AB&amp;qid=1604035123&amp;sr=8-1-spons&amp;psc=1&amp;spLa=ZW5jcnlwdGVkUXVhbGlmaWVyPUExUlhXUjNEMjRHU0dKJmVuY3J5cHRlZElkPUEwOTY5OTQ5MVQ1REo3WFJWTlM4SyZlbmNyeXB0ZWRBZElkPUEzUkhFQTBLV0YxSkFWJndpZGdldE5hbWU9c3BfYXRmJmFjdGlvbj1jbGlja1JlZGlyZWN0JmRvTm90TG9nQ2xpY2s9dHJ1ZQ==" TargetMode="External"/><Relationship Id="rId3129" Type="http://schemas.openxmlformats.org/officeDocument/2006/relationships/hyperlink" Target="https://www.digikey.jp/product-detail/en/yageo/RC0603FR-0795K3L/311-95-3KHRCT-ND/730383" TargetMode="External"/><Relationship Id="rId3890" Type="http://schemas.openxmlformats.org/officeDocument/2006/relationships/hyperlink" Target="https://jp.rs-online.com/web/p/raspberry-pi/2064868" TargetMode="External"/><Relationship Id="rId4941" Type="http://schemas.openxmlformats.org/officeDocument/2006/relationships/hyperlink" Target="https://www.digikey.jp/ja/products/detail/panasonic-electronic-components/ERA-3APB303V/3070645" TargetMode="External"/><Relationship Id="rId464" Type="http://schemas.openxmlformats.org/officeDocument/2006/relationships/hyperlink" Target="https://jp.misumi-ec.com/vona2/detail/221006204478/?HissuCode=C-318-5&amp;PNSearch=C-318-5&amp;KWSearch=C-318-5&amp;searchFlow=results2products" TargetMode="External"/><Relationship Id="rId1094" Type="http://schemas.openxmlformats.org/officeDocument/2006/relationships/hyperlink" Target="https://jp.rs-online.com/web/p/solder-d-sub-connectors/6918777/" TargetMode="External"/><Relationship Id="rId2145" Type="http://schemas.openxmlformats.org/officeDocument/2006/relationships/hyperlink" Target="https://jp.misumi-ec.com/vona2/detail/110300250540/?CategorySpec=00000217009%3a%3amig00000002488144%0900000217129%3a%3ab%0900000216949%3a%3aa%0900000216985%3a%3aa%0900000216974%3a%3aa%0900000217077%3a%3aa%0900000216929%3a%3aa&amp;rid=ec01_detail_1_110300250540" TargetMode="External"/><Relationship Id="rId3543" Type="http://schemas.openxmlformats.org/officeDocument/2006/relationships/hyperlink" Target="https://www.mouser.jp/ProductDetail/KEMET/C0805C392F8HACAUTO?qs=j%252B1pi9TdxUZfpDAQPghdHA%3D%3D" TargetMode="External"/><Relationship Id="rId117" Type="http://schemas.openxmlformats.org/officeDocument/2006/relationships/hyperlink" Target="https://jp.misumi-ec.com/vona2/detail/221000551286/?CategorySpec=00000217065%3a%3amig00000002463787%0900000217017%3a%3amig00000002463781%0900000217082%3a%3aa%0900000217097%3a%3aa%0900000217131%3a%3aa%0900000217143%3a%3aa%0900000216962%3a%3aj&amp;bid=bid_list_template" TargetMode="External"/><Relationship Id="rId3610" Type="http://schemas.openxmlformats.org/officeDocument/2006/relationships/hyperlink" Target="https://www.digikey.jp/product-detail/ja/texas-instruments/ADS8353IPWR/296-38533-1-ND/5033929" TargetMode="External"/><Relationship Id="rId531" Type="http://schemas.openxmlformats.org/officeDocument/2006/relationships/hyperlink" Target="https://www.digikey.jp/product-detail/en/rf-solutions/RFM98W-433S2/RFM98W-433S2-ND/6564924" TargetMode="External"/><Relationship Id="rId1161" Type="http://schemas.openxmlformats.org/officeDocument/2006/relationships/hyperlink" Target="https://www.digikey.jp/product-detail/en/nkk-switches/HP0315AFKP2-R/360-2595-1-ND/2640558" TargetMode="External"/><Relationship Id="rId2212" Type="http://schemas.openxmlformats.org/officeDocument/2006/relationships/hyperlink" Target="https://www.digikey.jp/product-detail/en/vishay-dale/RN55D2802FB14/RN55D2802FB14-ND/3338244" TargetMode="External"/><Relationship Id="rId5368" Type="http://schemas.openxmlformats.org/officeDocument/2006/relationships/hyperlink" Target="https://jp.rs-online.com/web/p/mlccs-multilayer-ceramic-capacitors/1034219/" TargetMode="External"/><Relationship Id="rId1978" Type="http://schemas.openxmlformats.org/officeDocument/2006/relationships/hyperlink" Target="https://www.digikey.jp/product-detail/en/kemet/C0603C223J3RACTU/399-9043-1-ND/3522560" TargetMode="External"/><Relationship Id="rId4384" Type="http://schemas.openxmlformats.org/officeDocument/2006/relationships/hyperlink" Target="https://jp.rs-online.com/web/p/4-mm-connector-test-leads/3433425/" TargetMode="External"/><Relationship Id="rId4037" Type="http://schemas.openxmlformats.org/officeDocument/2006/relationships/hyperlink" Target="https://jp.rs-online.com/web/p/multimeters/7566891/" TargetMode="External"/><Relationship Id="rId4451" Type="http://schemas.openxmlformats.org/officeDocument/2006/relationships/hyperlink" Target="https://www.amazon.co.jp/-/en/leeyovk-Antenna-Converter-Connector-Receivers/dp/B078MFFJTQ/ref=pd_vtp_4/355-7681945-1338807?pd_rd_w=0bQ1E&amp;pf_rd_p=949e26f5-c2ef-4c96-bfde-49d7614d0317&amp;pf_rd_r=RJZER9Y9BYR4RBWWMZHG&amp;pd_rd_r=a6de7632-8d2f-481e-b1e2-8db8560f2440&amp;pd_rd_wg=hD0xH&amp;pd_rd_i=B078MFFJTQ&amp;th=1" TargetMode="External"/><Relationship Id="rId3053" Type="http://schemas.openxmlformats.org/officeDocument/2006/relationships/hyperlink" Target="https://www.digikey.jp/product-detail/ja/texas-instruments/SN74LVC2G34DBVR/296-13496-1-ND/486431" TargetMode="External"/><Relationship Id="rId4104" Type="http://schemas.openxmlformats.org/officeDocument/2006/relationships/hyperlink" Target="https://jp.misumi-ec.com/vona2/detail/221006204759/?ProductCode=CC-0306-05" TargetMode="External"/><Relationship Id="rId3120" Type="http://schemas.openxmlformats.org/officeDocument/2006/relationships/hyperlink" Target="https://www.digikey.jp/product-detail/en/murata-electronics/GRM21BR71A106KA73L/490-10516-1-ND/5026447" TargetMode="External"/><Relationship Id="rId2886" Type="http://schemas.openxmlformats.org/officeDocument/2006/relationships/hyperlink" Target="https://www.switch-science.com/catalog/3287/" TargetMode="External"/><Relationship Id="rId3937" Type="http://schemas.openxmlformats.org/officeDocument/2006/relationships/hyperlink" Target="https://www.mouser.com/Passive-Components/Capacitors/Ceramic-Capacitors/MLCCs-Multilayer-Ceramic-Capacitors/Multilayer-Ceramic-Capacitors-MLCC-SMD-SMT/_/N-bkrdv?keyword=2.2NF" TargetMode="External"/><Relationship Id="rId5292" Type="http://schemas.openxmlformats.org/officeDocument/2006/relationships/hyperlink" Target="https://www.digikey.jp/en/products/detail/murata-electronics/GRM188R61A226ME15J/6605932" TargetMode="External"/><Relationship Id="rId858" Type="http://schemas.openxmlformats.org/officeDocument/2006/relationships/hyperlink" Target="https://jp.rs-online.com/web/p/microcontrollers/8032434" TargetMode="External"/><Relationship Id="rId1488" Type="http://schemas.openxmlformats.org/officeDocument/2006/relationships/hyperlink" Target="https://www.amazon.co.jp/dp/B07CNNBLML/ref=sr_1_39?keywords=stepper+online&amp;qid=1578376290&amp;sr=8-39" TargetMode="External"/><Relationship Id="rId2539" Type="http://schemas.openxmlformats.org/officeDocument/2006/relationships/hyperlink" Target="https://jp.misumi-ec.com/vona2/detail/110300498770/?HissuCode=PAAL6H-704-524-5-F200-G490-N6&amp;PNSearch=PAAL6H-704-524-5-F200-G490-N6&amp;KWSearch=PAAL6H-704-524-5-F200-G490-N6&amp;searchFlow=results2products" TargetMode="External"/><Relationship Id="rId2953" Type="http://schemas.openxmlformats.org/officeDocument/2006/relationships/hyperlink" Target="https://www.askul.co.jp/p/8435579/?int_id=recom_DtVar" TargetMode="External"/><Relationship Id="rId925" Type="http://schemas.openxmlformats.org/officeDocument/2006/relationships/hyperlink" Target="https://www.digikey.jp/product-detail/ja/rohm-semiconductor/DTC144EKAT146/DTC144EKAT146CT-ND/650727?cur=JPY&amp;lang=ja" TargetMode="External"/><Relationship Id="rId1555" Type="http://schemas.openxmlformats.org/officeDocument/2006/relationships/hyperlink" Target="https://www.mouser.jp/ProductDetail/Raspberry-Pi/1101001000045?qs=sGAEpiMZZMve4%2FbfQkoj%252BMUp9oD6Abn1MSY4MW8Pkys%3D" TargetMode="External"/><Relationship Id="rId2606" Type="http://schemas.openxmlformats.org/officeDocument/2006/relationships/hyperlink" Target="https://www.digikey.jp/product-detail/en/stmicroelectronics/SPV1040TTR/497-11288-1-ND/2672709" TargetMode="External"/><Relationship Id="rId5012" Type="http://schemas.openxmlformats.org/officeDocument/2006/relationships/hyperlink" Target="https://www.mouser.com/ProductDetail/ROHM-Semiconductor/UCR10EVHFSR025?qs=493kPxzlxfL8829SwCRTjA%3D%3D" TargetMode="External"/><Relationship Id="rId1208" Type="http://schemas.openxmlformats.org/officeDocument/2006/relationships/hyperlink" Target="https://www.digikey.jp/product-detail/en/vishay-dale/WSL0805R0250FEA/WSLA-.025DKR-ND/1775805" TargetMode="External"/><Relationship Id="rId1622" Type="http://schemas.openxmlformats.org/officeDocument/2006/relationships/hyperlink" Target="https://www.digikey.jp/product-detail/ja/ecs-inc/ECS-135.6-12-33Q-JES-TR/XC2145CT-ND/6050974" TargetMode="External"/><Relationship Id="rId4778" Type="http://schemas.openxmlformats.org/officeDocument/2006/relationships/hyperlink" Target="https://jp.misumi-ec.com/vona2/detail/110300465870/?list=PageCategory" TargetMode="External"/><Relationship Id="rId3794" Type="http://schemas.openxmlformats.org/officeDocument/2006/relationships/hyperlink" Target="https://www.monotaro.com/g/02608625/?t.q=%83J%83v%83g%83%93%83e%81%5B%83v" TargetMode="External"/><Relationship Id="rId4845" Type="http://schemas.openxmlformats.org/officeDocument/2006/relationships/hyperlink" Target="https://www.digikey.jp/ja/products/filter/%E9%9B%86%E7%A9%8D%E5%9B%9E%E8%B7%AF-ic-/%E3%83%AA%E3%83%8B%E3%82%A2-%E3%82%A2%E3%83%B3%E3%83%97-%E8%A8%88%E5%99%A8-%E3%82%AA%E3%83%9A%E3%82%A2%E3%83%B3%E3%83%97-%E3%83%90%E3%83%83%E3%83%95%E3%82%A1%E3%82%A2%E3%83%B3%E3%83%97/texas-instruments/687?s=N4IgjCBcoLQdIDGUBmBDANgZwKYBoQA3AOygBcAnAV3xAHsoBtEAJgE4A2EAXQIAcyUEAGVKAS2IBzEAF85QA" TargetMode="External"/><Relationship Id="rId2396" Type="http://schemas.openxmlformats.org/officeDocument/2006/relationships/hyperlink" Target="https://www.digikey.jp/products/en?keywords=DF14-30P-1.25H(24)" TargetMode="External"/><Relationship Id="rId3447" Type="http://schemas.openxmlformats.org/officeDocument/2006/relationships/hyperlink" Target="https://www.digikey.jp/product-detail/ja/taiyo-yuden/AMK105ABJ475MV-F/587-5397-1-ND/7067073" TargetMode="External"/><Relationship Id="rId3861" Type="http://schemas.openxmlformats.org/officeDocument/2006/relationships/hyperlink" Target="https://www.jakelectronics.com/productdetail/stmicroelectronics-stm32f446ret6-4812562" TargetMode="External"/><Relationship Id="rId4912" Type="http://schemas.openxmlformats.org/officeDocument/2006/relationships/hyperlink" Target="https://www.amazon.com/HYS-Dual-Band-11-5dBi-Repeater-TC-YG08UV/dp/B086YTJLSH" TargetMode="External"/><Relationship Id="rId368" Type="http://schemas.openxmlformats.org/officeDocument/2006/relationships/hyperlink" Target="https://www.digikey.jp/product-detail/ja/sullins-connector-solutions/NRPN252PARN-RC/S5803-25-ND/805042" TargetMode="External"/><Relationship Id="rId782" Type="http://schemas.openxmlformats.org/officeDocument/2006/relationships/hyperlink" Target="https://www.digikey.jp/products/ja?keywords=1528-1929-ND" TargetMode="External"/><Relationship Id="rId2049" Type="http://schemas.openxmlformats.org/officeDocument/2006/relationships/hyperlink" Target="https://jp.misumi-ec.com/vona2/detail/110302696950/?KWSearch=PEEK&amp;searchFlow=results2products" TargetMode="External"/><Relationship Id="rId2463" Type="http://schemas.openxmlformats.org/officeDocument/2006/relationships/hyperlink" Target="https://www.digikey.jp/product-detail/ja/cinch-connectivity-solutions-johnson/142-0711-301/J717-ND/691804" TargetMode="External"/><Relationship Id="rId3514" Type="http://schemas.openxmlformats.org/officeDocument/2006/relationships/hyperlink" Target="https://www.digikey.jp/product-detail/ja/analog-devices-inc/HMC1060LP3E/1127-2920-ND/5359900" TargetMode="External"/><Relationship Id="rId435" Type="http://schemas.openxmlformats.org/officeDocument/2006/relationships/hyperlink" Target="http://www.ispsupplies.com/MMCX-to-U-fL-LMR100-Pigtail" TargetMode="External"/><Relationship Id="rId1065" Type="http://schemas.openxmlformats.org/officeDocument/2006/relationships/hyperlink" Target="https://www.digikey.jp/product-detail/en/bourns-inc/PVG3A103C01R00/490-2644-1-ND/666220" TargetMode="External"/><Relationship Id="rId2116" Type="http://schemas.openxmlformats.org/officeDocument/2006/relationships/hyperlink" Target="https://www.askul.co.jp/p/9665143/" TargetMode="External"/><Relationship Id="rId2530" Type="http://schemas.openxmlformats.org/officeDocument/2006/relationships/hyperlink" Target="https://jp.misumi-ec.com/vona2/detail/221006204478/?HissuCode=C-307&amp;PNSearch=C-307&amp;KWSearch=C-307&amp;searchFlow=results2products" TargetMode="External"/><Relationship Id="rId502" Type="http://schemas.openxmlformats.org/officeDocument/2006/relationships/hyperlink" Target="https://jp.rs-online.com/web/p/surface-mount-fixed-resistors/0432416/?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437324A267374613D524B37334232415454443437324A26&amp;searchHistory=%7B%22enabled%22%3Atrue%7D" TargetMode="External"/><Relationship Id="rId1132" Type="http://schemas.openxmlformats.org/officeDocument/2006/relationships/hyperlink" Target="https://www.mouser.jp/manufacturer/raspberry-pi/" TargetMode="External"/><Relationship Id="rId4288" Type="http://schemas.openxmlformats.org/officeDocument/2006/relationships/hyperlink" Target="https://jp.misumi-ec.com/vona2/detail/221000551286/?ProductCode=CSH-SUS-M2-8" TargetMode="External"/><Relationship Id="rId5339" Type="http://schemas.openxmlformats.org/officeDocument/2006/relationships/hyperlink" Target="https://www.digikey.jp/en/products/detail/microchip-technology/ATMEGA2560-16AU/735455" TargetMode="External"/><Relationship Id="rId4355" Type="http://schemas.openxmlformats.org/officeDocument/2006/relationships/hyperlink" Target="https://www.questcomp.com/part/phr-4/jst/310487743/0" TargetMode="External"/><Relationship Id="rId1949" Type="http://schemas.openxmlformats.org/officeDocument/2006/relationships/hyperlink" Target="https://www.digikey.jp/product-detail/ja/murata-electronics/BLM18AG601BH1D/490-14039-1-ND/6156039" TargetMode="External"/><Relationship Id="rId4008" Type="http://schemas.openxmlformats.org/officeDocument/2006/relationships/hyperlink" Target="https://www.digikey.jp/product-detail/ja/ohmite/HVC0805T5004JET/HVC0805T5004JETCT-ND/2709641" TargetMode="External"/><Relationship Id="rId292" Type="http://schemas.openxmlformats.org/officeDocument/2006/relationships/hyperlink" Target="https://www.digikey.jp/products/en?keywords=TMDSLCDK138" TargetMode="External"/><Relationship Id="rId3371" Type="http://schemas.openxmlformats.org/officeDocument/2006/relationships/hyperlink" Target="https://www.digikey.jp/product-detail/ja/tdk-corporation/C1608X7S0J106M080AC/445-9104-1-ND/3661624" TargetMode="External"/><Relationship Id="rId4422" Type="http://schemas.openxmlformats.org/officeDocument/2006/relationships/hyperlink" Target="https://jp.misumi-ec.com/vona2/detail/221006204478/?ProductCode=C-2001.5" TargetMode="External"/><Relationship Id="rId3024" Type="http://schemas.openxmlformats.org/officeDocument/2006/relationships/hyperlink" Target="https://www.amazon.co.jp/-/en/Current-Voltage-Checker-Charging-Compatible/dp/B01J74UUD6/ref=sr_1_1?dchild=1&amp;keywords=usb%E9%9B%BB%E5%9C%A7%E8%A8%88&amp;qid=1611548442&amp;sr=8-1" TargetMode="External"/><Relationship Id="rId2040" Type="http://schemas.openxmlformats.org/officeDocument/2006/relationships/hyperlink" Target="https://www.digikey.jp/products/en?keywords=H10903-ND%09" TargetMode="External"/><Relationship Id="rId5196" Type="http://schemas.openxmlformats.org/officeDocument/2006/relationships/hyperlink" Target="https://jp.rs-online.com/web/p/solid-state-relays/6996632?cm_mmc=aff2-_-jp-_-octopart-_-Instock6996632" TargetMode="External"/><Relationship Id="rId5263" Type="http://schemas.openxmlformats.org/officeDocument/2006/relationships/hyperlink" Target="https://jp.misumi-ec.com/vona2/detail/221006204423/?ProductCode=CU-305.5PH" TargetMode="External"/><Relationship Id="rId1459" Type="http://schemas.openxmlformats.org/officeDocument/2006/relationships/hyperlink" Target="https://www.digikey.jp/product-detail/en/samtec-inc/CLM-102-02-F-D/SAM10967-ND/6692087" TargetMode="External"/><Relationship Id="rId2857" Type="http://schemas.openxmlformats.org/officeDocument/2006/relationships/hyperlink" Target="https://www.monotaro.com/g/01379307/?t.q=%83A%83%8B%83%7E%81%40%83u%83%89%83%93%83P%83b%83g" TargetMode="External"/><Relationship Id="rId3908" Type="http://schemas.openxmlformats.org/officeDocument/2006/relationships/hyperlink" Target="https://jp.misumi-ec.com/vona2/detail/221000552007/?ProductCode=WSJS-SUS-M4" TargetMode="External"/><Relationship Id="rId5330" Type="http://schemas.openxmlformats.org/officeDocument/2006/relationships/hyperlink" Target="https://www.digikey.jp/en/products/detail/murata-electronics/LQW15AN18NG80D/4905893" TargetMode="External"/><Relationship Id="rId98" Type="http://schemas.openxmlformats.org/officeDocument/2006/relationships/hyperlink" Target="https://www.digikey.jp/product-detail/en/LG+R971-KN-1/475-1410-1-ND/1802598/?itemSeq=273198293" TargetMode="External"/><Relationship Id="rId829" Type="http://schemas.openxmlformats.org/officeDocument/2006/relationships/hyperlink" Target="https://www.amazon.co.jp/ALUNAR-M518%E3%80%90%E5%B7%A5%E5%A0%B4%E7%9B%B4%E8%B2%A9%E3%80%91DIY%E3%82%B3%E3%83%B3%E3%83%91%E3%82%AF%E3%83%88-%EF%BC%93%EF%BC%A4%E3%83%97%E3%83%AA%E3%83%B3%E3%82%BF%E3%83%BC%E3%82%AD%E3%83%83%E3%83%88-%E3%83%97%E3%83%AA%E3%83%B3%E3%83%88%E3%82%B5%E3%82%A4%E3%82%BA150-150mm-%E5%AD%90%E4%BE%9B%E3%83%97%E3%83%AC%E3%82%BC%E3%83%B3%E3%83%88%E5%90%91%E3%81%91/dp/B074KVZMQW/ref=sr_1_37?__mk_ja_JP=%E3%82%AB%E3%82%BF%E3%82%AB%E3%83%8A&amp;keywords=3D%E3%83%97%E3%83%AA%E3%83%B3%E3%82%BF&amp;qid=1560834519&amp;s=gateway&amp;sr=8-37&amp;th=1" TargetMode="External"/><Relationship Id="rId1873" Type="http://schemas.openxmlformats.org/officeDocument/2006/relationships/hyperlink" Target="https://www.digikey.jp/product-detail/en/koa-speer-electronics-inc/RK73H2ATTD1003F/2019-RK73H2ATTD1003FCT-ND/10235427" TargetMode="External"/><Relationship Id="rId2924" Type="http://schemas.openxmlformats.org/officeDocument/2006/relationships/hyperlink" Target="https://akizukidenshi.com/catalog/g/gP-00013/" TargetMode="External"/><Relationship Id="rId1526" Type="http://schemas.openxmlformats.org/officeDocument/2006/relationships/hyperlink" Target="https://www.digikey.jp/product-detail/en/raspberry-pi/RASPBERRY-PI-3-MODEL-B/1690-1025-ND/8571724" TargetMode="External"/><Relationship Id="rId1940" Type="http://schemas.openxmlformats.org/officeDocument/2006/relationships/hyperlink" Target="https://www.digikey.jp/product-detail/en/murata-electronics/GRM155C80J106ME11J/490-18210-1-ND/9867939" TargetMode="External"/><Relationship Id="rId3698" Type="http://schemas.openxmlformats.org/officeDocument/2006/relationships/hyperlink" Target="https://www.mouser.jp/ProductDetail/Murata-Electronics/GRM187R61A226ME15D?qs=%2Fha2pyFadujm05%252Be9PjYIEYPKl5l9VlVFthICQLKWTrFTyyM%2FAgb56b3bFMfQdW6" TargetMode="External"/><Relationship Id="rId4749" Type="http://schemas.openxmlformats.org/officeDocument/2006/relationships/hyperlink" Target="https://www.digikey.jp/en/products/detail/amphenol-rf/095-902-516-100/10261191" TargetMode="External"/><Relationship Id="rId3765" Type="http://schemas.openxmlformats.org/officeDocument/2006/relationships/hyperlink" Target="https://www.digikey.jp/product-detail/en/ECA-1CM470I/P19515CT-ND/6109413?itemSeq=373417945" TargetMode="External"/><Relationship Id="rId4816" Type="http://schemas.openxmlformats.org/officeDocument/2006/relationships/hyperlink" Target="https://www.digikey.jp/en/products/detail/amphenol-rf-division/112437/1011731" TargetMode="External"/><Relationship Id="rId686" Type="http://schemas.openxmlformats.org/officeDocument/2006/relationships/hyperlink" Target="https://www.digikey.jp/product-detail/en/tdk-corporation/C1608X8R1H104K080AB/445-8818-1-ND/3248223" TargetMode="External"/><Relationship Id="rId2367" Type="http://schemas.openxmlformats.org/officeDocument/2006/relationships/hyperlink" Target="https://jp.misumi-ec.com/vona2/detail/221000237669/?ProductCode=SLHS-M2X8" TargetMode="External"/><Relationship Id="rId2781" Type="http://schemas.openxmlformats.org/officeDocument/2006/relationships/hyperlink" Target="http://radiometrix.mybigcommerce.com/bim1h-500mw-vhf-narrowband-transceiver-frequency-144-390mhz-144-800mhz-145-825mhz-149-250mhz-151-300mhz-155-725mhz-or-169-4125mhz/" TargetMode="External"/><Relationship Id="rId3418" Type="http://schemas.openxmlformats.org/officeDocument/2006/relationships/hyperlink" Target="https://jp.misumi-ec.com/vona2/detail/221006204478/?ProductCode=C-319-5" TargetMode="External"/><Relationship Id="rId339" Type="http://schemas.openxmlformats.org/officeDocument/2006/relationships/hyperlink" Target="https://www.digikey.jp/product-detail/ja/taiyo-yuden/CBC2012T2R2M/587-1601-1-ND/1008216" TargetMode="External"/><Relationship Id="rId753" Type="http://schemas.openxmlformats.org/officeDocument/2006/relationships/hyperlink" Target="https://www.digikey.jp/product-detail/ja/murata-electronics-north-america/GJM1555C1H4R7CB01D/490-3100-1-ND/702366" TargetMode="External"/><Relationship Id="rId1383" Type="http://schemas.openxmlformats.org/officeDocument/2006/relationships/hyperlink" Target="https://www.digikey.jp/product-detail/en/kemet/C0805C120J3GAC7800/399-17427-1-ND/8570394" TargetMode="External"/><Relationship Id="rId2434" Type="http://schemas.openxmlformats.org/officeDocument/2006/relationships/hyperlink" Target="https://www.amazon.co.jp/%E8%AA%AD%E5%8F%96%E3%82%8A%E6%9C%80%E5%A4%A7100MB-%E3%80%90Nintendo-%E3%83%A1%E3%83%BC%E3%82%AB%E3%83%BC%E5%8B%95%E4%BD%9C%E7%A2%BA%E8%AA%8D%E6%B8%88%E3%80%91-SanDisk-SDSQUAR-128G-EPK/dp/B07YLT3ML9/ref=sr_1_4_sspa?__mk_ja_JP=%E3%82%AB%E3%82%BF%E3%82%AB%E3%83%8A&amp;dchild=1&amp;keywords=MicroSD&amp;qid=1602908961&amp;sr=8-4-spons&amp;spLa=ZW5jcnlwdGVkUXVhbGlmaWVyPUExRFhWOThJODBDOFhOJmVuY3J5cHRlZElkPUEwNDAzNzUxMkVNMzRNQkFXQzBNRCZlbmNyeXB0ZWRBZElkPUEySDBVMzJKMlZWWDRMJndpZGdldE5hbWU9c3BfYXRmJmFjdGlvbj1jbGlja1JlZGlyZWN0JmRvTm90TG9nQ2xpY2s9dHJ1ZQ&amp;th=1" TargetMode="External"/><Relationship Id="rId3832" Type="http://schemas.openxmlformats.org/officeDocument/2006/relationships/hyperlink" Target="https://akizukidenshi.com/catalog/g/gC-00365/" TargetMode="External"/><Relationship Id="rId406" Type="http://schemas.openxmlformats.org/officeDocument/2006/relationships/hyperlink" Target="https://www.monotaro.com/g/01594729/?monotaroNo=26767572" TargetMode="External"/><Relationship Id="rId1036" Type="http://schemas.openxmlformats.org/officeDocument/2006/relationships/hyperlink" Target="http://akizukidenshi.com/catalog/g/gM-13200/" TargetMode="External"/><Relationship Id="rId820" Type="http://schemas.openxmlformats.org/officeDocument/2006/relationships/hyperlink" Target="https://www.digikey.jp/product-detail/ja/cinch-connectivity-solutions-johnson/142-0711-301/J717-ND/691804" TargetMode="External"/><Relationship Id="rId1450" Type="http://schemas.openxmlformats.org/officeDocument/2006/relationships/hyperlink" Target="https://www.digikey.jp/product-detail/en/microchip-technology/ATMEGA32U4-MUR/ATMEGA32U4-MURCT-ND/3440961" TargetMode="External"/><Relationship Id="rId2501" Type="http://schemas.openxmlformats.org/officeDocument/2006/relationships/hyperlink" Target="https://jp.misumi-ec.com/vona2/detail/221006451012/?PNSearch=SNSS-M3X12-SD&amp;HissuCode=SNSS-M3X12-SD&amp;searchFlow=suggest2products&amp;Keyword=SNSS-M3X12-SD&amp;isReSearch=1" TargetMode="External"/><Relationship Id="rId1103" Type="http://schemas.openxmlformats.org/officeDocument/2006/relationships/hyperlink" Target="https://www.digikey.jp/product-detail/ja/kemet/C0805C106K8PACTU/399-4925-1-ND/1090920" TargetMode="External"/><Relationship Id="rId4259" Type="http://schemas.openxmlformats.org/officeDocument/2006/relationships/hyperlink" Target="https://jp.rs-online.com/web/p/jumpers-shunts/2518682/" TargetMode="External"/><Relationship Id="rId4673" Type="http://schemas.openxmlformats.org/officeDocument/2006/relationships/hyperlink" Target="https://www.amazon.co.jp/Raspberry-Compute-optional-bluetooth-External/dp/B09HP9MZ96?th=1" TargetMode="External"/><Relationship Id="rId3275" Type="http://schemas.openxmlformats.org/officeDocument/2006/relationships/hyperlink" Target="https://www.mouser.jp/ProductDetail/Analog-Devices/ADUM3151ARSZ/?qs=hpwIUhX6lWxF%2FGelC1MM3Q==" TargetMode="External"/><Relationship Id="rId4326" Type="http://schemas.openxmlformats.org/officeDocument/2006/relationships/hyperlink" Target="https://www.uctronics.com/camera-modules/standalone-camera/arducam-for-raspberry-pi-zero-camera-module-wide-angle-120%C2%B0-1/4-inch-5mp-ov5647-spy-camera-noir.html" TargetMode="External"/><Relationship Id="rId4740" Type="http://schemas.openxmlformats.org/officeDocument/2006/relationships/hyperlink" Target="https://www.m2inc.com/FGLBKCOM" TargetMode="External"/><Relationship Id="rId196" Type="http://schemas.openxmlformats.org/officeDocument/2006/relationships/hyperlink" Target="https://www.digikey.jp/products/en?keywords=296-50345-1-ND" TargetMode="External"/><Relationship Id="rId2291" Type="http://schemas.openxmlformats.org/officeDocument/2006/relationships/hyperlink" Target="https://www.monotaro.com/g/02451795/?t.q=M3%20%8EM%2020mm" TargetMode="External"/><Relationship Id="rId3342" Type="http://schemas.openxmlformats.org/officeDocument/2006/relationships/hyperlink" Target="https://www.digikey.jp/product-detail/en/linx-technologies-inc/CONSMA002-SMD-G-T/343-CONSMA002-SMD-G-TCT-ND/10524521" TargetMode="External"/><Relationship Id="rId263" Type="http://schemas.openxmlformats.org/officeDocument/2006/relationships/hyperlink" Target="http://akizukidenshi.com/catalog/g/gP-03659/" TargetMode="External"/><Relationship Id="rId330" Type="http://schemas.openxmlformats.org/officeDocument/2006/relationships/hyperlink" Target="https://www.digikey.jp/product-detail/ja/memsic-inc/MMC5883MA-B/1267-1073-ND/7063084" TargetMode="External"/><Relationship Id="rId2011" Type="http://schemas.openxmlformats.org/officeDocument/2006/relationships/hyperlink" Target="https://www.digikey.jp/product-detail/en/on-semiconductor/DTC144EET1G/DTC144EET1GOSCT-ND/917916" TargetMode="External"/><Relationship Id="rId5167" Type="http://schemas.openxmlformats.org/officeDocument/2006/relationships/hyperlink" Target="https://www.digikey.jp/en/products/detail/toshiba-semiconductor-and-storage/SSM6K404TU-LF/10380006" TargetMode="External"/><Relationship Id="rId4183" Type="http://schemas.openxmlformats.org/officeDocument/2006/relationships/hyperlink" Target="https://www.mouser.jp/ProductDetail/Kyocera-AVX/0402YD475MAT2A?qs=s6nfgz3miVxwCmHE9M6tUg%3D%3D" TargetMode="External"/><Relationship Id="rId1777" Type="http://schemas.openxmlformats.org/officeDocument/2006/relationships/hyperlink" Target="https://www.digikey.jp/product-detail/en/samsung-electro-mechanics/CL21B105KBFNNNG/1276-6470-1-ND/5958098" TargetMode="External"/><Relationship Id="rId2828" Type="http://schemas.openxmlformats.org/officeDocument/2006/relationships/hyperlink" Target="https://jp.misumi-ec.com/vona2/detail/221004937446/?HissuCode=CG3-20R1J30&amp;PNSearch=CG3-20R1J30&amp;KWSearch=CG3-20R1J30&amp;searchFlow=results2products" TargetMode="External"/><Relationship Id="rId5234" Type="http://schemas.openxmlformats.org/officeDocument/2006/relationships/hyperlink" Target="https://akizukidenshi.com/catalog/g/gP-08996/" TargetMode="External"/><Relationship Id="rId69" Type="http://schemas.openxmlformats.org/officeDocument/2006/relationships/hyperlink" Target="https://www.p-ban.com/kiban/com/csComTop.do" TargetMode="External"/><Relationship Id="rId1844" Type="http://schemas.openxmlformats.org/officeDocument/2006/relationships/hyperlink" Target="https://www.digikey.jp/product-detail/en/koa-speer-electronics-inc/RK73H1JTTD3301F/2019-RK73H1JTTD3301FCT-ND/9846903" TargetMode="External"/><Relationship Id="rId4250" Type="http://schemas.openxmlformats.org/officeDocument/2006/relationships/hyperlink" Target="https://www.monotaro.com/g/01213914/" TargetMode="External"/><Relationship Id="rId5301" Type="http://schemas.openxmlformats.org/officeDocument/2006/relationships/hyperlink" Target="https://jp.rs-online.com/web/p/d-sub-contacts/8126232" TargetMode="External"/><Relationship Id="rId1911" Type="http://schemas.openxmlformats.org/officeDocument/2006/relationships/hyperlink" Target="https://www.marutsu.co.jp/pc/i/107255/" TargetMode="External"/><Relationship Id="rId3669" Type="http://schemas.openxmlformats.org/officeDocument/2006/relationships/hyperlink" Target="https://www.digikey.jp/product-detail/en/murata-electronics/GJM1555C1H4R7CB01D/490-3100-1-ND/702366" TargetMode="External"/><Relationship Id="rId5091" Type="http://schemas.openxmlformats.org/officeDocument/2006/relationships/hyperlink" Target="https://jp.rs-online.com/web/p/pcb-headers/5151349" TargetMode="External"/><Relationship Id="rId1287" Type="http://schemas.openxmlformats.org/officeDocument/2006/relationships/hyperlink" Target="https://www.p-ban.com/kiban/com/csComTop.do" TargetMode="External"/><Relationship Id="rId2685" Type="http://schemas.openxmlformats.org/officeDocument/2006/relationships/hyperlink" Target="https://www.mouser.jp/ProductDetail/Molex/55460-0272?qs=z57USrEQgt05txr3Jqq%2FhA%3D%3D" TargetMode="External"/><Relationship Id="rId3736" Type="http://schemas.openxmlformats.org/officeDocument/2006/relationships/hyperlink" Target="https://jp.misumi-ec.com/vona2/detail/221006204478/?PNSearch=C-302&amp;HissuCode=C-302&amp;searchFlow=suggest2products&amp;Keyword=C-302&amp;list=SuggestPreview" TargetMode="External"/><Relationship Id="rId657" Type="http://schemas.openxmlformats.org/officeDocument/2006/relationships/hyperlink" Target="https://www.monotaro.com/p/3880/5173/?t.q=POM-NC%2583V%2581%255B%2583g" TargetMode="External"/><Relationship Id="rId2338" Type="http://schemas.openxmlformats.org/officeDocument/2006/relationships/hyperlink" Target="https://www.digikey.jp/product-detail/ja/c-k/SDS002R/CKN10231CT-ND/2218821" TargetMode="External"/><Relationship Id="rId2752" Type="http://schemas.openxmlformats.org/officeDocument/2006/relationships/hyperlink" Target="https://www.monotaro.com/p/0705/7994/" TargetMode="External"/><Relationship Id="rId3803" Type="http://schemas.openxmlformats.org/officeDocument/2006/relationships/hyperlink" Target="https://jp.rs-online.com/web/p/products/2101010/" TargetMode="External"/><Relationship Id="rId724" Type="http://schemas.openxmlformats.org/officeDocument/2006/relationships/hyperlink" Target="https://www.digikey.jp/product-detail/ja/samsung-electro-mechanics/CL21F104ZBCNNNC/1276-1007-1-ND/3889093" TargetMode="External"/><Relationship Id="rId1354" Type="http://schemas.openxmlformats.org/officeDocument/2006/relationships/hyperlink" Target="https://jp.misumi-ec.com/vona2/detail/110310113219/?HissuCode=A5052P-6F-BSXB-NNN-99.9-99.9-2.9" TargetMode="External"/><Relationship Id="rId2405" Type="http://schemas.openxmlformats.org/officeDocument/2006/relationships/hyperlink" Target="https://www.digikey.jp/products/ja?keywords=WM6050-ND" TargetMode="External"/><Relationship Id="rId60" Type="http://schemas.openxmlformats.org/officeDocument/2006/relationships/hyperlink" Target="https://jp.misumi-ec.com/vona2/detail/223006486719/?KWSearch=POM&amp;searchFlow=results2products" TargetMode="External"/><Relationship Id="rId1007" Type="http://schemas.openxmlformats.org/officeDocument/2006/relationships/hyperlink" Target="https://www.wifi-rental.com/" TargetMode="External"/><Relationship Id="rId1421" Type="http://schemas.openxmlformats.org/officeDocument/2006/relationships/hyperlink" Target="https://www.digikey.jp/product-detail/en/vishay-dale/CRCW0805510KFKEA/541-510KCCT-ND/1181093" TargetMode="External"/><Relationship Id="rId4577" Type="http://schemas.openxmlformats.org/officeDocument/2006/relationships/hyperlink" Target="https://www.monotaro.com/p/7580/4034/?t.q=VUW-GA-6.35B-V" TargetMode="External"/><Relationship Id="rId4991" Type="http://schemas.openxmlformats.org/officeDocument/2006/relationships/hyperlink" Target="https://www.digikey.jp/ja/products/detail/bourns-inc/CR0402-FX-2402GLF/3783248" TargetMode="External"/><Relationship Id="rId3179" Type="http://schemas.openxmlformats.org/officeDocument/2006/relationships/hyperlink" Target="https://jp.rs-online.com/web/p/debuggers-in-circuit-emulators/1717762/?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2E2A24267365617263685F7061747465726E5F6F726465723D313133267365617263685F73745F6E6F726D616C697365643D59267365617263685F726573706F6E73655F616374696F6E3D267365617263685F747970653D43415443485F414C4C5F44454641554C54267365617263685F77696C645F63617264696E675F6D6F64653D4E4F4E45267365617263685F6B6579776F72643D7069636B69742034267365617263685F6B6579776F72645F6170703D7069636B69742034267365617263685F636F6E6669673D3126&amp;searchHistory=%7B%22enabled%22%3Atrue%7D" TargetMode="External"/><Relationship Id="rId3593" Type="http://schemas.openxmlformats.org/officeDocument/2006/relationships/hyperlink" Target="https://www.digikey.jp/product-detail/ja/dfrobot/DFR0379/1738-1293-ND/7087190?utm_adgroup=IoT&amp;utm_source=google&amp;utm_medium=cpc&amp;utm_campaign=Smart%20Shopping_Product_IoT&amp;utm_term=&amp;productid=7087190&amp;gclid=CjwKCAjw47eFBhA9EiwAy8kzNIk2umIp_TINebcQqJ240KrdLaZcsZPoBZpaKord2yVKcSjVZMpelhoCHTEQAvD_BwE" TargetMode="External"/><Relationship Id="rId4644" Type="http://schemas.openxmlformats.org/officeDocument/2006/relationships/hyperlink" Target="https://www.digikey.jp/product-detail/ja/jst-sales-america-inc/B10B-PASK-1-LF-SN/455-1840-ND/926746" TargetMode="External"/><Relationship Id="rId2195" Type="http://schemas.openxmlformats.org/officeDocument/2006/relationships/hyperlink" Target="https://www.monotaro.com/p/0552/6105/?t.q=%98Z%8Ap%8C%8A%95t%82%AB%8EM%83%7B%83%8B%83g" TargetMode="External"/><Relationship Id="rId3246" Type="http://schemas.openxmlformats.org/officeDocument/2006/relationships/hyperlink" Target="https://jp.rs-online.com/web/p/line-interface-ics/1526490/" TargetMode="External"/><Relationship Id="rId167" Type="http://schemas.openxmlformats.org/officeDocument/2006/relationships/hyperlink" Target="https://www.digikey.jp/product-detail/en/johanson-technology-inc/251R14S180JV4T/712-1322-1-ND/1786784" TargetMode="External"/><Relationship Id="rId581" Type="http://schemas.openxmlformats.org/officeDocument/2006/relationships/hyperlink" Target="https://www.digikey.jp/product-detail/ja/microchip-technology/MCP601T-E-OT/MCP601T-E-OTCT-ND/1979835" TargetMode="External"/><Relationship Id="rId2262" Type="http://schemas.openxmlformats.org/officeDocument/2006/relationships/hyperlink" Target="https://www.monotaro.com/g/02451802/?t.q=M4%2020mm%20%8EM%82%CB%82%B6" TargetMode="External"/><Relationship Id="rId3660" Type="http://schemas.openxmlformats.org/officeDocument/2006/relationships/hyperlink" Target="https://www.digikey.jp/product-detail/en/rohm-semiconductor/MR45V064BMAZAATL/MR45V064BMAZAATLCT-ND/8135961?cur=JPY&amp;lang=en" TargetMode="External"/><Relationship Id="rId4711" Type="http://schemas.openxmlformats.org/officeDocument/2006/relationships/hyperlink" Target="https://akizukidenshi.com/catalog/g/gR-08805/?fbclid=IwAR0gVk-zYdgKvTtD_jQV_PoJH6nLSAQf-02CqponKwNqaTkXcMV6djRW2G8" TargetMode="External"/><Relationship Id="rId234" Type="http://schemas.openxmlformats.org/officeDocument/2006/relationships/hyperlink" Target="http://akizukidenshi.com/catalog/g/gI-01279/" TargetMode="External"/><Relationship Id="rId3313" Type="http://schemas.openxmlformats.org/officeDocument/2006/relationships/hyperlink" Target="https://www.digikey.jp/en/supplier-centers/cinch-connectivity-solutions" TargetMode="External"/><Relationship Id="rId301" Type="http://schemas.openxmlformats.org/officeDocument/2006/relationships/hyperlink" Target="https://jp.rs-online.com/web/p/microcontrollers/4671707/" TargetMode="External"/><Relationship Id="rId4087" Type="http://schemas.openxmlformats.org/officeDocument/2006/relationships/hyperlink" Target="https://www.digikey.jp/product-detail/en/allegro-microsystems/ACS722LLCTR-10AU-T/620-1636-6-ND/4948888" TargetMode="External"/><Relationship Id="rId5138" Type="http://schemas.openxmlformats.org/officeDocument/2006/relationships/hyperlink" Target="https://jp.rs-online.com/web/p/mlccs-multilayer-ceramic-capacitors/8029923" TargetMode="External"/><Relationship Id="rId1748" Type="http://schemas.openxmlformats.org/officeDocument/2006/relationships/hyperlink" Target="https://www.digikey.jp/product-detail/en/osram-opto-semiconductors-inc/SFH-2430-Z/475-2579-1-ND/1228076" TargetMode="External"/><Relationship Id="rId4154" Type="http://schemas.openxmlformats.org/officeDocument/2006/relationships/hyperlink" Target="https://www.amazon.co.jp/FULARR%C2%AE-3D%E3%83%97%E3%83%AA%E3%83%B3%E3%82%BF%E3%83%BC%E7%94%A8%E5%8A%A0%E7%86%B1%E3%83%96%E3%83%AD%E3%83%83%E3%82%AF%E3%80%816%E5%80%8B-1-75mm%E3%83%86%E3%83%95%E3%83%AD%E3%83%B3%E3%82%B9%E3%83%AD%E3%83%BC%E3%83%88%E3%83%81%E3%83%A5%E3%83%BC%E3%83%96%E3%80%816%E5%80%8B-0-4mm%E6%8A%BC%E5%87%BA%E6%A9%9F%E3%83%8E%E3%82%BA%E3%83%AB%E3%83%97%E3%83%AA%E3%83%B3%E3%83%88%E3%83%98%E3%83%83%E3%83%89%E3%80%81%E3%82%A2%E3%83%AC%E3%83%B3%E3%83%AC%E3%83%B3%E3%83%81-%E3%80%813%E5%80%8B%E3%82%AF%E3%83%AA%E3%83%BC%E3%83%8B%E3%83%B3%E3%82%B0%E3%83%8B%E3%83%BC%E3%83%89%E3%83%AB/dp/B08H163Q5G/ref=sr_1_1_sspa?__mk_ja_JP=%E3%82%AB%E3%82%BF%E3%82%AB%E3%83%8A&amp;dchild=1&amp;keywords=D%E3%83%97%E3%83%AA%E3%83%B3%E3%82%BF%E3%83%BC+%E3%83%8E%E3%82%BA%E3%83%AB+%E3%82%B9%E3%83%AD%E3%83%BC%E3%83%88+%E3%83%81%E3%83%A5%E3%83%BC%E3%83%96&amp;qid=1630290969&amp;s=industrial&amp;sr=1-1-spons&amp;psc=1&amp;smid=AOIR09OL6FIAR&amp;spLa=ZW5jcnlwdGVkUXVhbGlmaWVyPUFJODY4REcxVDAwQ1gmZW5jcnlwdGVkSWQ9QTAwNDE5NTYzS0dHVkI4NloyWUJQJmVuY3J5cHRlZEFkSWQ9QTNVT1lNUFVDQjZWTDQmd2lkZ2V0TmFtZT1zcF9hdGYmYWN0aW9uPWNsaWNrUmVkaXJlY3QmZG9Ob3RMb2dDbGljaz10cnVl" TargetMode="External"/><Relationship Id="rId5205" Type="http://schemas.openxmlformats.org/officeDocument/2006/relationships/hyperlink" Target="https://akizukidenshi.com/catalog/g/gI-02090/" TargetMode="External"/><Relationship Id="rId3170" Type="http://schemas.openxmlformats.org/officeDocument/2006/relationships/hyperlink" Target="https://www.digikey.jp/product-detail/ja/amphenol-rf/135101-01-M0-50/ACX2408-ND/4865154" TargetMode="External"/><Relationship Id="rId4221" Type="http://schemas.openxmlformats.org/officeDocument/2006/relationships/hyperlink" Target="https://www.mouser.jp/ProductDetail/Samtec/HMTSW-126-08-G-D-100?qs=%2Fha2pyFadui497Z9nlyfhEM9G6u35%2F8%252Ba4MvFkDHK4%252B0cfHlyZHkvg%3D%3D" TargetMode="External"/><Relationship Id="rId1815" Type="http://schemas.openxmlformats.org/officeDocument/2006/relationships/hyperlink" Target="http://byonics.com/add_to_cart?cost=25&amp;name=TinyTrak4+Chip" TargetMode="External"/><Relationship Id="rId3987" Type="http://schemas.openxmlformats.org/officeDocument/2006/relationships/hyperlink" Target="https://www.p-ban.com/" TargetMode="External"/><Relationship Id="rId2589" Type="http://schemas.openxmlformats.org/officeDocument/2006/relationships/hyperlink" Target="https://www.digikey.jp/product-detail/en/vishay-dale/CRCW080510K0FKEA/541-10.0KCCT-ND/1180897" TargetMode="External"/><Relationship Id="rId975" Type="http://schemas.openxmlformats.org/officeDocument/2006/relationships/hyperlink" Target="https://www.digikey.jp/product-detail/ja/ADD5043-433-2-GEVK/ADD5043-433-2-GEVK-ND/5820228/?itemSeq=299304149" TargetMode="External"/><Relationship Id="rId2656" Type="http://schemas.openxmlformats.org/officeDocument/2006/relationships/hyperlink" Target="https://www.mouser.jp/ProductDetail/KEMET/C0603C475K8PACTU?qs=%2Fha2pyFadug%252BqPfG%252BHQTueOgfLuE6agFbjHKLabT3NoyK%2FACTa3x1Q%3D%3D" TargetMode="External"/><Relationship Id="rId3707" Type="http://schemas.openxmlformats.org/officeDocument/2006/relationships/hyperlink" Target="https://www.digikey.jp/product-detail/ja/tdk-corporation/C1608X8R1H104K080AB/445-8818-1-ND/3248223" TargetMode="External"/><Relationship Id="rId5062" Type="http://schemas.openxmlformats.org/officeDocument/2006/relationships/hyperlink" Target="https://www.monotaro.com/g/00131983/?t.q=37597025" TargetMode="External"/><Relationship Id="rId628" Type="http://schemas.openxmlformats.org/officeDocument/2006/relationships/hyperlink" Target="https://www.digikey.com/product-detail/en/molex/0734151692/WM3935CT-ND/2421928" TargetMode="External"/><Relationship Id="rId1258" Type="http://schemas.openxmlformats.org/officeDocument/2006/relationships/hyperlink" Target="http://akizukidenshi.com/catalog/g/gC-12255/" TargetMode="External"/><Relationship Id="rId1672" Type="http://schemas.openxmlformats.org/officeDocument/2006/relationships/hyperlink" Target="https://www.digikey.jp/product-detail/en/C320C104K5R5TA/399-4264-ND/818040/?itemSeq=321331267" TargetMode="External"/><Relationship Id="rId2309" Type="http://schemas.openxmlformats.org/officeDocument/2006/relationships/hyperlink" Target="https://jp.misumi-ec.com/vona2/detail/221005681443/?CategorySpec=00000217065%3a%3amig00000002462152%0900000217017%3a%3a22%2cmig00000002466061%0900000217082%3a%3aa%0900000217131%3a%3ab" TargetMode="External"/><Relationship Id="rId2723" Type="http://schemas.openxmlformats.org/officeDocument/2006/relationships/hyperlink" Target="https://www.amazon.co.jp/%E5%A4%AA%E6%B4%8B%E9%9B%BB%E6%A9%9F%E7%94%A3%E6%A5%AD-goot-ST-11-%E3%81%AF%E3%82%93%E3%81%A0%E3%81%93%E3%81%A6%E5%8F%B0/dp/B0016V7JOC/ref=sr_1_4?__mk_ja_JP=%E3%82%AB%E3%82%BF%E3%82%AB%E3%83%8A&amp;dchild=1&amp;keywords=%E3%81%AF%E3%82%93%E3%81%A0+%E5%8F%B0&amp;qid=1605090855&amp;s=diy&amp;sr=1-4" TargetMode="External"/><Relationship Id="rId1325" Type="http://schemas.openxmlformats.org/officeDocument/2006/relationships/hyperlink" Target="https://www.amazon.co.jp/gp/product/B07XQ68Q34/ref=ppx_yo_dt_b_asin_title_o06_s00?ie=UTF8&amp;psc=1" TargetMode="External"/><Relationship Id="rId3497" Type="http://schemas.openxmlformats.org/officeDocument/2006/relationships/hyperlink" Target="https://item.rakuten.co.jp/gshop-r/uv5r/?iasid=07rpp_10095___ey-kp3oxhgp-kua-7d51a8d1-b3da-433e-b74c-16a6a1bf104b" TargetMode="External"/><Relationship Id="rId4895" Type="http://schemas.openxmlformats.org/officeDocument/2006/relationships/hyperlink" Target="https://www.p-ban.com/" TargetMode="External"/><Relationship Id="rId31" Type="http://schemas.openxmlformats.org/officeDocument/2006/relationships/hyperlink" Target="https://jp.rs-online.com/web/p/mosfet-transistors/8123198/?sra=pstk" TargetMode="External"/><Relationship Id="rId2099" Type="http://schemas.openxmlformats.org/officeDocument/2006/relationships/hyperlink" Target="https://jp.misumi-ec.com/vona2/detail/221006204478/?HissuCode=C-306&amp;PNSearch=C-306&amp;KWSearch=C-306&amp;searchFlow=results2products" TargetMode="External"/><Relationship Id="rId4548" Type="http://schemas.openxmlformats.org/officeDocument/2006/relationships/hyperlink" Target="https://www.monotaro.com/g/00966248/?t.q=PKB-10P" TargetMode="External"/><Relationship Id="rId4962" Type="http://schemas.openxmlformats.org/officeDocument/2006/relationships/hyperlink" Target="https://jp.misumi-ec.com/vona2/detail/110600274370/?ProductCode=CU-R-10-40" TargetMode="External"/><Relationship Id="rId3564" Type="http://schemas.openxmlformats.org/officeDocument/2006/relationships/hyperlink" Target="https://www.mouser.jp/ProductDetail/SparkFun/WRL-11697?qs=WyAARYrbSnatN4p%252Buf7q5Q%3D%3D" TargetMode="External"/><Relationship Id="rId4615" Type="http://schemas.openxmlformats.org/officeDocument/2006/relationships/hyperlink" Target="https://www.mouser.jp/ProductDetail/Hirose-Connector/A3C-50DA-2DSA71?qs=eDUdFcBPps0W11ayo6l5uA%3D%3D" TargetMode="External"/><Relationship Id="rId485" Type="http://schemas.openxmlformats.org/officeDocument/2006/relationships/hyperlink" Target="https://www.amazon.co.jp/Transcend-USB3-1-%E3%82%B9%E3%83%AA%E3%83%A0%E3%83%9D%E3%83%BC%E3%82%BF%E3%83%96%E3%83%ABHDD-%E3%82%A2%E3%82%A4%E3%83%AD%E3%83%B3%E3%82%B0%E3%83%AC%E3%83%BC-TS1TSJ25M3S/dp/B07B4CJ4KS/ref=sr_1_5?ie=UTF8&amp;qid=1551255300&amp;sr=8-5&amp;keywords=external+hard+drive" TargetMode="External"/><Relationship Id="rId692" Type="http://schemas.openxmlformats.org/officeDocument/2006/relationships/hyperlink" Target="https://www.digikey.jp/product-detail/ja/tdk-corporation/CGA3E1X8L0J225K080AC/445-175262-1-ND/7930957" TargetMode="External"/><Relationship Id="rId2166" Type="http://schemas.openxmlformats.org/officeDocument/2006/relationships/hyperlink" Target="https://www.monotaro.com/s/b-1305/" TargetMode="External"/><Relationship Id="rId2373" Type="http://schemas.openxmlformats.org/officeDocument/2006/relationships/hyperlink" Target="https://jp.misumi-ec.com/vona2/detail/221000236231/?PNSearch=SNSS-M3X6-FC&amp;HissuCode=SNSS-M3X6-FC&amp;searchFlow=suggest2products&amp;Keyword=SNSS-M3X6-FC" TargetMode="External"/><Relationship Id="rId2580" Type="http://schemas.openxmlformats.org/officeDocument/2006/relationships/hyperlink" Target="https://www.aitendo.com/product/11344" TargetMode="External"/><Relationship Id="rId3217" Type="http://schemas.openxmlformats.org/officeDocument/2006/relationships/hyperlink" Target="https://www.monotaro.com/g/01278016/?monotaroNo=18370485" TargetMode="External"/><Relationship Id="rId3424" Type="http://schemas.openxmlformats.org/officeDocument/2006/relationships/hyperlink" Target="https://jp.misumi-ec.com/vona2/detail/221000348314/?ProductCode=SNSS-M2X5" TargetMode="External"/><Relationship Id="rId3631" Type="http://schemas.openxmlformats.org/officeDocument/2006/relationships/hyperlink" Target="https://www.amazon.co.jp/-/en/Connector-Antenna-Telescope-TH-G71A-Kenwood/dp/B017NIK3CG/ref=sr_1_2?dchild=1&amp;keywords=antenna+uhf+sma&amp;qid=1625643301&amp;sr=8-2" TargetMode="External"/><Relationship Id="rId138" Type="http://schemas.openxmlformats.org/officeDocument/2006/relationships/hyperlink" Target="https://jp.rs-online.com/web/p/products/6983579/" TargetMode="External"/><Relationship Id="rId345" Type="http://schemas.openxmlformats.org/officeDocument/2006/relationships/hyperlink" Target="https://www.digikey.jp/product-detail/ja/bourns-inc/CR0603-J-000ELF/CR0603-J-000ELFCT-ND/3592927" TargetMode="External"/><Relationship Id="rId552" Type="http://schemas.openxmlformats.org/officeDocument/2006/relationships/hyperlink" Target="https://www.digikey.jp/products/en?keywords=296-45125-1-ND" TargetMode="External"/><Relationship Id="rId1182" Type="http://schemas.openxmlformats.org/officeDocument/2006/relationships/hyperlink" Target="https://www.digikey.jp/product-detail/ja/panasonic-electronic-components/ERA-6AEB105V/P1MDACT-ND/1466019" TargetMode="External"/><Relationship Id="rId2026" Type="http://schemas.openxmlformats.org/officeDocument/2006/relationships/hyperlink" Target="https://www.digikey.jp/product-detail/ja/kemet/C0805C101K3GACTU/399-9150-1-ND/3522668" TargetMode="External"/><Relationship Id="rId2233" Type="http://schemas.openxmlformats.org/officeDocument/2006/relationships/hyperlink" Target="https://www.digikey.jp/product-detail/ja/vishay-siliconix/SQA403EJ-T1-GE3/SQA403EJ-T1-GE3CT-ND/9084116" TargetMode="External"/><Relationship Id="rId2440" Type="http://schemas.openxmlformats.org/officeDocument/2006/relationships/hyperlink" Target="https://buy.endevco.com/accelerometer/2225-pe-shock-accelerometer" TargetMode="External"/><Relationship Id="rId205" Type="http://schemas.openxmlformats.org/officeDocument/2006/relationships/hyperlink" Target="https://www.digikey.jp/product-detail/ja/cinch-connectivity-solutions-johnson/415-0028-012/J3612-ND/457090" TargetMode="External"/><Relationship Id="rId412" Type="http://schemas.openxmlformats.org/officeDocument/2006/relationships/hyperlink" Target="https://www.digikey.jp/product-detail/ja/chip-quik-inc/SMD2SW.020-1OZ/SMD2SW.0201OZ-ND/9558141" TargetMode="External"/><Relationship Id="rId1042" Type="http://schemas.openxmlformats.org/officeDocument/2006/relationships/hyperlink" Target="https://www.digikey.jp/product-detail/en/tdk-corporation/C1608X7S0J106M080AC/445-9104-1-ND/3661624" TargetMode="External"/><Relationship Id="rId2300" Type="http://schemas.openxmlformats.org/officeDocument/2006/relationships/hyperlink" Target="https://akizukidenshi.com/catalog/g/gR-25331/" TargetMode="External"/><Relationship Id="rId4198" Type="http://schemas.openxmlformats.org/officeDocument/2006/relationships/hyperlink" Target="https://www.mouser.jp/ProductDetail/Panasonic/ERJ-P06J752V?qs=Zyl8A9hlmJrzIC%252BD7B0bpA%3D%3D" TargetMode="External"/><Relationship Id="rId5249" Type="http://schemas.openxmlformats.org/officeDocument/2006/relationships/hyperlink" Target="https://www.amazon.co.jp/0-001g-100g-digital-precision-function-calibration/dp/B08531FXZ3/ref=rvi_sccl_4/358-7776560-1196104?pd_rd_w=6Y0P8&amp;content-id=amzn1.sym.a4dc92d7-7100-437e-b3e3-2349e8298523&amp;pf_rd_p=a4dc92d7-7100-437e-b3e3-2349e8298523&amp;pf_rd_r=SEQFYM2CE4X6CZ5X6GQC&amp;pd_rd_wg=8Rt6x&amp;pd_rd_r=23591c6a-9d9c-460a-9d06-a22835232058&amp;pd_rd_i=B08531FXZ3&amp;psc=1" TargetMode="External"/><Relationship Id="rId1999" Type="http://schemas.openxmlformats.org/officeDocument/2006/relationships/hyperlink" Target="https://www.digikey.jp/products/ja/resistors/chip-resistor-surface-mount/52?k=&amp;pkeyword=&amp;sv=0&amp;pv2085=u4.7+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4058" Type="http://schemas.openxmlformats.org/officeDocument/2006/relationships/hyperlink" Target="https://www.mouser.jp/ProductDetail/AVX-Kyocera/08055A680J4T4A?qs=XLNwXgtzMM8dACix9IrhUg%3D%3D" TargetMode="External"/><Relationship Id="rId4265" Type="http://schemas.openxmlformats.org/officeDocument/2006/relationships/hyperlink" Target="https://akizukidenshi.com/catalog/g/gR-08805/?fbclid=IwAR0gVk-zYdgKvTtD_jQV_PoJH6nLSAQf-02CqponKwNqaTkXcMV6djRW2G8" TargetMode="External"/><Relationship Id="rId4472" Type="http://schemas.openxmlformats.org/officeDocument/2006/relationships/hyperlink" Target="https://www.monotaro.com/p/3324/0313/?displayId=5" TargetMode="External"/><Relationship Id="rId5109" Type="http://schemas.openxmlformats.org/officeDocument/2006/relationships/hyperlink" Target="https://www.mouser.jp/ProductDetail/Toshiba/SSM6K514NULF?qs=yfGysFjEcj13lHFOvblArQ%3D%3D" TargetMode="External"/><Relationship Id="rId5316" Type="http://schemas.openxmlformats.org/officeDocument/2006/relationships/hyperlink" Target="https://www.digikey.jp/en/products/detail/yageo/RC0603JR-0715KL/726717" TargetMode="External"/><Relationship Id="rId1859" Type="http://schemas.openxmlformats.org/officeDocument/2006/relationships/hyperlink" Target="https://www.digikey.jp/product-detail/ja/microchip-technology/MCP601T-I-OT/MCP601T-I-OTCT-ND/418616" TargetMode="External"/><Relationship Id="rId3074" Type="http://schemas.openxmlformats.org/officeDocument/2006/relationships/hyperlink" Target="https://www.nbk1560.com/products/specialscrew/nedzicom/hexalobularscrew/SNFXS/SNFXS-M2.5/" TargetMode="External"/><Relationship Id="rId4125" Type="http://schemas.openxmlformats.org/officeDocument/2006/relationships/hyperlink" Target="https://www.digikey.jp/product-detail/ja/taiyo-yuden/LMK212B7475MG-T/587-4917-1-ND/6563760" TargetMode="External"/><Relationship Id="rId1719" Type="http://schemas.openxmlformats.org/officeDocument/2006/relationships/hyperlink" Target="https://www.digikey.jp/product-detail/en/jst-sales-america-inc/B12B-PASK-1-LF-SN/455-1842-ND/926748" TargetMode="External"/><Relationship Id="rId1926" Type="http://schemas.openxmlformats.org/officeDocument/2006/relationships/hyperlink" Target="https://www.marutsu.co.jp/pc/i/7710/" TargetMode="External"/><Relationship Id="rId3281" Type="http://schemas.openxmlformats.org/officeDocument/2006/relationships/hyperlink" Target="https://www.digikey.jp/ja/supplier-centers/texas-instruments" TargetMode="External"/><Relationship Id="rId4332" Type="http://schemas.openxmlformats.org/officeDocument/2006/relationships/hyperlink" Target="https://jp.rs-online.com/web/p/op-amps/8122543" TargetMode="External"/><Relationship Id="rId2090" Type="http://schemas.openxmlformats.org/officeDocument/2006/relationships/hyperlink" Target="https://jp.misumi-ec.com/vona2/detail/221006307988/?HissuCode=ERU-3235A" TargetMode="External"/><Relationship Id="rId3141" Type="http://schemas.openxmlformats.org/officeDocument/2006/relationships/hyperlink" Target="https://www.digikey.jp/product-detail/en/stanley-electric-co/VCDB1112H-5AY3B-TR/404-1289-1-ND/9477294" TargetMode="External"/><Relationship Id="rId3001" Type="http://schemas.openxmlformats.org/officeDocument/2006/relationships/hyperlink" Target="https://jlcpcb.com/" TargetMode="External"/><Relationship Id="rId3958" Type="http://schemas.openxmlformats.org/officeDocument/2006/relationships/hyperlink" Target="https://jp.misumi-ec.com/vona2/detail/110302280540/?PNSearch=CBSTSR2-5&amp;HissuCode=CBSTSR2-5&amp;searchFlow=suggest2products&amp;Keyword=CBSTSR2-5&amp;list=SuggestPreview" TargetMode="External"/><Relationship Id="rId879" Type="http://schemas.openxmlformats.org/officeDocument/2006/relationships/hyperlink" Target="https://jp.rs-online.com/web/p/mlccs-multilayer-ceramic-capacitors/8151358/" TargetMode="External"/><Relationship Id="rId2767" Type="http://schemas.openxmlformats.org/officeDocument/2006/relationships/hyperlink" Target="https://message.alibaba.com/msgsend/contact.htm?action=contact_action&amp;appForm=s_en&amp;chkProductIds=1600089246511&amp;chkProductIds_f=IDX1PrtqW0atGrEw4Juzh37nHDTkmPyeE0ZYMS4IMXLk0TcPGVvmA-cwEfY8xaJWFfh0&amp;tracelog=contactOrg&amp;mloca=main_en_search_list" TargetMode="External"/><Relationship Id="rId5173" Type="http://schemas.openxmlformats.org/officeDocument/2006/relationships/hyperlink" Target="https://www.chip1stop.com/view/searchResUpt/InventryInfo?unqPartId=TI01*0054002&amp;unqPartNm=REF3012AIDBZT&amp;partId=TI01-0291653&amp;keyword=REF3012AIDBZT" TargetMode="External"/><Relationship Id="rId739" Type="http://schemas.openxmlformats.org/officeDocument/2006/relationships/hyperlink" Target="https://www.monotaro.com/p/0815/0773/" TargetMode="External"/><Relationship Id="rId1369" Type="http://schemas.openxmlformats.org/officeDocument/2006/relationships/hyperlink" Target="https://www.monotaro.com/p/3466/5565/?t.q=%83A%83%89%83%8B%83_%83C%83g" TargetMode="External"/><Relationship Id="rId1576" Type="http://schemas.openxmlformats.org/officeDocument/2006/relationships/hyperlink" Target="https://jp.misumi-ec.com/vona2/detail/110300439630/" TargetMode="External"/><Relationship Id="rId2974" Type="http://schemas.openxmlformats.org/officeDocument/2006/relationships/hyperlink" Target="https://www.monotaro.com/p/1940/2048/?t.q=19402048" TargetMode="External"/><Relationship Id="rId3818" Type="http://schemas.openxmlformats.org/officeDocument/2006/relationships/hyperlink" Target="https://www.monotaro.com/p/1706/7907/" TargetMode="External"/><Relationship Id="rId5033" Type="http://schemas.openxmlformats.org/officeDocument/2006/relationships/hyperlink" Target="https://www.mouser.jp/ProductDetail/Microchip-Technology-Atmel/PIC18F97J94-I-PF?qs=X98pPdo4MrvAjQYCsjfLPg%3D%3D" TargetMode="External"/><Relationship Id="rId5240" Type="http://schemas.openxmlformats.org/officeDocument/2006/relationships/hyperlink" Target="https://www.amazon.co.jp/-/en/Industrial-Machine-Vision-Camera-Brightness/dp/B017SVSYBK/ref=sr_1_23?crid=2BMX3MIXZ142U&amp;keywords=elp+%E3%82%AB%E3%83%A1%E3%83%A9+usb&amp;qid=1671168142&amp;sprefix=elp+camera+usb+%2Caps%2C201&amp;sr=8-23" TargetMode="External"/><Relationship Id="rId946" Type="http://schemas.openxmlformats.org/officeDocument/2006/relationships/hyperlink" Target="http://www.onk-phnx.co.jp/" TargetMode="External"/><Relationship Id="rId1229" Type="http://schemas.openxmlformats.org/officeDocument/2006/relationships/hyperlink" Target="https://jp.misumi-ec.com/vona2/detail/221006493827/?HissuCode=SNSS-M2-6-SD&amp;PNSearch=SNSS-M2-6-SD&amp;KWSearch=SNSS-M2-6-SD&amp;searchFlow=results2products" TargetMode="External"/><Relationship Id="rId1783" Type="http://schemas.openxmlformats.org/officeDocument/2006/relationships/hyperlink" Target="https://www.digikey.jp/product-detail/en/tdk-corporation/CGA4J1X8L1E475K125AC/445-181605-1-ND/9991483" TargetMode="External"/><Relationship Id="rId1990" Type="http://schemas.openxmlformats.org/officeDocument/2006/relationships/hyperlink" Target="https://www.digikey.jp/product-detail/ja/koa-speer-electronics-inc/RK73H1JTTD49R9F/2019-RK73H1JTTD49R9FCT-ND/9846895" TargetMode="External"/><Relationship Id="rId2627" Type="http://schemas.openxmlformats.org/officeDocument/2006/relationships/hyperlink" Target="https://www.digikey.jp/product-detail/en/sullins-connector-solutions/PPTC032LFBN-RC/S7071-ND/810210" TargetMode="External"/><Relationship Id="rId2834" Type="http://schemas.openxmlformats.org/officeDocument/2006/relationships/hyperlink" Target="https://jp.misumi-ec.com/vona2/detail/221000347548/?PNSearch=UCF201JL2E4&amp;HissuCode=UCF201JL2E4&amp;searchFlow=suggest2products&amp;Keyword=UCF201JL2E4" TargetMode="External"/><Relationship Id="rId5100" Type="http://schemas.openxmlformats.org/officeDocument/2006/relationships/hyperlink" Target="https://www.mouser.jp/ProductDetail/Murata-Electronics/GRM32ER71E226ME15L?qs=YdfiU6IJg98WGjVSjKXg5Q%3D%3D" TargetMode="External"/><Relationship Id="rId75" Type="http://schemas.openxmlformats.org/officeDocument/2006/relationships/hyperlink" Target="https://www.digikey.jp/product-detail/en/on-semiconductor/NRVB120VLSFT1G/NRVB120VLSFT1GOSCT-ND/8538727?cur=JPY&amp;lang=en" TargetMode="External"/><Relationship Id="rId806" Type="http://schemas.openxmlformats.org/officeDocument/2006/relationships/hyperlink" Target="https://www.digikey.jp/product-detail/ja/microchip-technology/PIC16F1788-I-SS/PIC16F1788-I-SS-ND/4080108" TargetMode="External"/><Relationship Id="rId1436" Type="http://schemas.openxmlformats.org/officeDocument/2006/relationships/hyperlink" Target="https://www.digikey.jp/product-detail/en/texas-instruments/SN74CB3Q3257DBQR/296-17511-1-ND/700058" TargetMode="External"/><Relationship Id="rId1643" Type="http://schemas.openxmlformats.org/officeDocument/2006/relationships/hyperlink" Target="https://www.minicircuits.com/pdfs/ADP-2-1W.pdf" TargetMode="External"/><Relationship Id="rId1850" Type="http://schemas.openxmlformats.org/officeDocument/2006/relationships/hyperlink" Target="https://www.digikey.jp/product-detail/en/koa-speer-electronics-inc/RK73H1JTTD4702F/2019-RK73H1JTTD4702FCT-ND/9846902" TargetMode="External"/><Relationship Id="rId2901" Type="http://schemas.openxmlformats.org/officeDocument/2006/relationships/hyperlink" Target="https://www.digikey.jp/product-detail/ja/on-semiconductor/MBRS360BT3G/MBRS360BT3GOSCT-ND/2623453" TargetMode="External"/><Relationship Id="rId4799" Type="http://schemas.openxmlformats.org/officeDocument/2006/relationships/hyperlink" Target="https://akizukidenshi.com/catalog/g/gC-00378/" TargetMode="External"/><Relationship Id="rId1503" Type="http://schemas.openxmlformats.org/officeDocument/2006/relationships/hyperlink" Target="https://www.digikey.jp/product-detail/ja/harwin-inc/M80-8672622/952-2396-5-ND/2272043" TargetMode="External"/><Relationship Id="rId1710" Type="http://schemas.openxmlformats.org/officeDocument/2006/relationships/hyperlink" Target="https://jp.misumi-ec.com/vona2/detail/110303061830/" TargetMode="External"/><Relationship Id="rId4659" Type="http://schemas.openxmlformats.org/officeDocument/2006/relationships/hyperlink" Target="https://www.digikey.jp/ja/products/detail/jst-sales-america-inc/SPHD-001T-P0-5/608766" TargetMode="External"/><Relationship Id="rId4866" Type="http://schemas.openxmlformats.org/officeDocument/2006/relationships/hyperlink" Target="https://www.digikey.jp/ja/products/detail/analog-devices-inc/LTC4361HTS8-1-TRMPBF/3455503" TargetMode="External"/><Relationship Id="rId3468" Type="http://schemas.openxmlformats.org/officeDocument/2006/relationships/hyperlink" Target="https://www.digikey.jp/product-detail/ja/molex/0733910680/WM9473-ND/3878259" TargetMode="External"/><Relationship Id="rId3675" Type="http://schemas.openxmlformats.org/officeDocument/2006/relationships/hyperlink" Target="https://www.minicircuits.com/WebStore/dashboard.html?model=ADP-2-1W%2B" TargetMode="External"/><Relationship Id="rId3882" Type="http://schemas.openxmlformats.org/officeDocument/2006/relationships/hyperlink" Target="https://www.mouser.jp/ProductDetail/Adafruit/4482?qs=CUBnOrq4ZJzhDKaBhomrSA%3D%3D" TargetMode="External"/><Relationship Id="rId4519" Type="http://schemas.openxmlformats.org/officeDocument/2006/relationships/hyperlink" Target="https://www.monotaro.com/p/3148/4897/" TargetMode="External"/><Relationship Id="rId4726" Type="http://schemas.openxmlformats.org/officeDocument/2006/relationships/hyperlink" Target="https://www.p-ban.com/kiban/com/csComShwOrd.do?summaryOrderNo=22062100139" TargetMode="External"/><Relationship Id="rId4933" Type="http://schemas.openxmlformats.org/officeDocument/2006/relationships/hyperlink" Target="https://www.mouser.jp/ProductDetail/Murata-Electronics/GCM21BR91H104KA37L?qs=AgWb9queBCgEvfdz8pGcnQ%3D%3D" TargetMode="External"/><Relationship Id="rId389" Type="http://schemas.openxmlformats.org/officeDocument/2006/relationships/hyperlink" Target="https://www.digikey.jp/product-detail/en/murata-electronics-north-america/LQW18AN39NJ00D/490-1176-1-ND/584621" TargetMode="External"/><Relationship Id="rId596" Type="http://schemas.openxmlformats.org/officeDocument/2006/relationships/hyperlink" Target="https://www.digikey.jp/en/supplier-centers/d/diodes" TargetMode="External"/><Relationship Id="rId2277" Type="http://schemas.openxmlformats.org/officeDocument/2006/relationships/hyperlink" Target="https://www.monotaro.com/p/1798/7402/?t.q=USB%83P%81%5B%83u%83%8B%20MicroB" TargetMode="External"/><Relationship Id="rId2484" Type="http://schemas.openxmlformats.org/officeDocument/2006/relationships/hyperlink" Target="https://www.digikey.jp/product-detail/en/linx-technologies-inc/CONSMA002-SMD-G-T/343-CONSMA002-SMD-G-TCT-ND/10524521" TargetMode="External"/><Relationship Id="rId2691" Type="http://schemas.openxmlformats.org/officeDocument/2006/relationships/hyperlink" Target="https://www.mouser.jp/ProductDetail/Murata-Electronics/BLM18AG601SN1D?qs=%2Fha2pyFadugaXrdTm9z6ujoHK9ziqVaZDl9lDPSbK0ptDeQWgq1exg%3D%3D" TargetMode="External"/><Relationship Id="rId3328" Type="http://schemas.openxmlformats.org/officeDocument/2006/relationships/hyperlink" Target="https://www.mouser.jp/ProductDetail/ON-Semiconductor/NRVB120VLSFT1G?qs=tCMd4XlZ%2FiDc2vkUzw3hig==&amp;gclid=Cj0KCQjwse-DBhC7ARIsAI8YcWJhfRYPbcSJpxhRYJG2zS4ncjg8_RsFjP0Azcn8uQkhbDnKn6U0KhgaAmRuEALw_wcB" TargetMode="External"/><Relationship Id="rId3535" Type="http://schemas.openxmlformats.org/officeDocument/2006/relationships/hyperlink" Target="https://www.monotaro.com/g/04232116/?t.attr_f7447=%97L%90%FC&amp;t.attr_f87=%83u%83%89%83b%83N&amp;t.pt=1500&amp;t.q=%83L%81%5B%83%7B%81%5B%83h" TargetMode="External"/><Relationship Id="rId3742" Type="http://schemas.openxmlformats.org/officeDocument/2006/relationships/hyperlink" Target="https://www.monotaro.com/g/01366222/?t.q=%83J%83v%83g%83%93%83e%81%5B%83v" TargetMode="External"/><Relationship Id="rId249" Type="http://schemas.openxmlformats.org/officeDocument/2006/relationships/hyperlink" Target="https://www.askul.co.jp/p/8475270/" TargetMode="External"/><Relationship Id="rId456" Type="http://schemas.openxmlformats.org/officeDocument/2006/relationships/hyperlink" Target="https://www.nbk1560.com/products/specialscrew/nedzicom/miniaturescrew/SHNS/SHNS-M2/" TargetMode="External"/><Relationship Id="rId663" Type="http://schemas.openxmlformats.org/officeDocument/2006/relationships/hyperlink" Target="https://www.digikey.jp/product-detail/en/texas-instruments/TPS22941DCKR/296-25217-1-ND/2172704" TargetMode="External"/><Relationship Id="rId870" Type="http://schemas.openxmlformats.org/officeDocument/2006/relationships/hyperlink" Target="https://jp.rs-online.com/web/p/pcb-mounts/1769047/" TargetMode="External"/><Relationship Id="rId1086" Type="http://schemas.openxmlformats.org/officeDocument/2006/relationships/hyperlink" Target="https://www.digikey.jp/product-detail/ja/m-a-com-technology-solutions/MABACT0059/1465-1311-1-ND/4430008" TargetMode="External"/><Relationship Id="rId1293" Type="http://schemas.openxmlformats.org/officeDocument/2006/relationships/hyperlink" Target="https://www.p-ban.com/kiban/com/csComTop.do" TargetMode="External"/><Relationship Id="rId2137" Type="http://schemas.openxmlformats.org/officeDocument/2006/relationships/hyperlink" Target="https://www.monotaro.com/p/0751/0755/" TargetMode="External"/><Relationship Id="rId2344" Type="http://schemas.openxmlformats.org/officeDocument/2006/relationships/hyperlink" Target="https://www.digikey.jp/products/en?keywords=GRPB%20122%20VWQS-RC" TargetMode="External"/><Relationship Id="rId2551" Type="http://schemas.openxmlformats.org/officeDocument/2006/relationships/hyperlink" Target="https://www.uctronics.com/camera-modules/camera-multiplexer/arducam-multi-camera-adapter-doubleplexer-stereo-module-v2-for-raspberry-pi-zero-pi-3-3-b-4b.html" TargetMode="External"/><Relationship Id="rId109" Type="http://schemas.openxmlformats.org/officeDocument/2006/relationships/hyperlink" Target="https://www.digikey.jp/product-detail/en/08055C104KAT2A/478-1395-1-ND/564427/?itemSeq=273207630" TargetMode="External"/><Relationship Id="rId316" Type="http://schemas.openxmlformats.org/officeDocument/2006/relationships/hyperlink" Target="https://jp.rs-online.com/web/p/multiplexer-switch-ics/7097777/" TargetMode="External"/><Relationship Id="rId523" Type="http://schemas.openxmlformats.org/officeDocument/2006/relationships/hyperlink" Target="https://www.digikey.jp/product-detail/en/murata-electronics-north-america/GRM21BC81A106KE18L/490-6466-1-ND/3845663" TargetMode="External"/><Relationship Id="rId1153" Type="http://schemas.openxmlformats.org/officeDocument/2006/relationships/hyperlink" Target="https://www.digikey.jp/ja/supplier-centers/a/assmann-wsw-components" TargetMode="External"/><Relationship Id="rId2204" Type="http://schemas.openxmlformats.org/officeDocument/2006/relationships/hyperlink" Target="https://www.digikey.jp/product-detail/en/stmicroelectronics/LM358AST/497-7332-1-ND/1883996" TargetMode="External"/><Relationship Id="rId3602" Type="http://schemas.openxmlformats.org/officeDocument/2006/relationships/hyperlink" Target="https://akizukidenshi.com/catalog/g/gM-15855/" TargetMode="External"/><Relationship Id="rId730" Type="http://schemas.openxmlformats.org/officeDocument/2006/relationships/hyperlink" Target="https://www.digikey.jp/product-detail/ja/standex-meder-electronics/ALNICO500-19X3.2X3.2MM/374-1130-ND/695282" TargetMode="External"/><Relationship Id="rId1013" Type="http://schemas.openxmlformats.org/officeDocument/2006/relationships/hyperlink" Target="https://www.monotaro.com/p/4900/2493/?t.q=1450BK" TargetMode="External"/><Relationship Id="rId1360" Type="http://schemas.openxmlformats.org/officeDocument/2006/relationships/hyperlink" Target="http://akizukidenshi.com/catalog/g/gC-07606/" TargetMode="External"/><Relationship Id="rId2411" Type="http://schemas.openxmlformats.org/officeDocument/2006/relationships/hyperlink" Target="https://jp.rs-online.com/web/p/ceramic-multilayer-capacitors/4515770/" TargetMode="External"/><Relationship Id="rId4169" Type="http://schemas.openxmlformats.org/officeDocument/2006/relationships/hyperlink" Target="https://www.digikey.jp/product-detail/ja/hirose-electric-co-ltd/DF14-15P-1-25H-56/H126009CT-ND/9489733" TargetMode="External"/><Relationship Id="rId1220" Type="http://schemas.openxmlformats.org/officeDocument/2006/relationships/hyperlink" Target="https://www.digikey.jp/product-detail/en/johanson-technology-inc/L-07C8N2JV6T/712-1420-1-ND/1840098" TargetMode="External"/><Relationship Id="rId4376" Type="http://schemas.openxmlformats.org/officeDocument/2006/relationships/hyperlink" Target="https://www.amazon.co.jp/TAKAMIYA-%E3%82%BF%E3%82%AB%E3%83%9F%E3%83%A4-%E4%BC%9D%E8%A1%9B%E9%96%80%E4%B8%B8-150m-KFS1003/dp/B00K2GEU8K/ref=sr_1_1?__mk_ja_JP=%E3%82%AB%E3%82%BF%E3%82%AB%E3%83%8A&amp;crid=UFKYJRLVNT5D&amp;keywords=%E4%BC%9D%E8%A1%9B%E9%96%80%E4%B8%B8+PE&amp;qid=1642398543&amp;sprefix=%E4%BC%9D%E8%A1%9B%E9%96%80%E4%B8%B8+pe%2Caps%2C196&amp;sr=8-1" TargetMode="External"/><Relationship Id="rId4583" Type="http://schemas.openxmlformats.org/officeDocument/2006/relationships/hyperlink" Target="https://jp.rs-online.com/web/p/products/7883054/" TargetMode="External"/><Relationship Id="rId4790" Type="http://schemas.openxmlformats.org/officeDocument/2006/relationships/hyperlink" Target="https://www.digikey.jp/en/products/detail/samsung-electro-mechanics/CL21B105KBFNNNG/3894467?s=N4IgTCBcDaIIxgOwDYC0yAsiAMq6oDkAREAXQF8g" TargetMode="External"/><Relationship Id="rId3185" Type="http://schemas.openxmlformats.org/officeDocument/2006/relationships/hyperlink" Target="https://www.monotaro.com/g/02774768/" TargetMode="External"/><Relationship Id="rId3392" Type="http://schemas.openxmlformats.org/officeDocument/2006/relationships/hyperlink" Target="https://www.digikey.jp/product-detail/ja/hirose-electric-co-ltd/DF61-2P-2-2V-21/H121972DKR-ND/4040844" TargetMode="External"/><Relationship Id="rId4029" Type="http://schemas.openxmlformats.org/officeDocument/2006/relationships/hyperlink" Target="https://www.switch-science.com/catalog/2630/" TargetMode="External"/><Relationship Id="rId4236" Type="http://schemas.openxmlformats.org/officeDocument/2006/relationships/hyperlink" Target="https://jp.rs-online.com/web/p/solid-state-relays/2056922/" TargetMode="External"/><Relationship Id="rId4443" Type="http://schemas.openxmlformats.org/officeDocument/2006/relationships/hyperlink" Target="https://jp.misumi-ec.com/vona2/detail/110300244510/?ProductCode=CBSST3-10" TargetMode="External"/><Relationship Id="rId4650" Type="http://schemas.openxmlformats.org/officeDocument/2006/relationships/hyperlink" Target="https://www.digikey.jp/ja/products/detail/te-connectivity-measurement-specialties/GAG10K3976B1/5277252" TargetMode="External"/><Relationship Id="rId3045" Type="http://schemas.openxmlformats.org/officeDocument/2006/relationships/hyperlink" Target="https://www.digikey.jp/product-detail/en/panasonic-electric-works/AQZ102/255-1567-ND/570705?cur=JPY&amp;lang=en" TargetMode="External"/><Relationship Id="rId3252" Type="http://schemas.openxmlformats.org/officeDocument/2006/relationships/hyperlink" Target="https://www.digikey.jp/product-detail/ja/yageo/CC0805JRNPO0BN180/311-4219-1-ND/8025308" TargetMode="External"/><Relationship Id="rId4303" Type="http://schemas.openxmlformats.org/officeDocument/2006/relationships/hyperlink" Target="https://jp.misumi-ec.com/vona2/detail/110300250540/?ProductCode=SLBNR2" TargetMode="External"/><Relationship Id="rId4510" Type="http://schemas.openxmlformats.org/officeDocument/2006/relationships/hyperlink" Target="https://www.monotaro.com/g/00177883/?monotaroNo=9206154" TargetMode="External"/><Relationship Id="rId173" Type="http://schemas.openxmlformats.org/officeDocument/2006/relationships/hyperlink" Target="https://www.monotaro.com/g/00005163/?monotaroNo=2208543" TargetMode="External"/><Relationship Id="rId380" Type="http://schemas.openxmlformats.org/officeDocument/2006/relationships/hyperlink" Target="https://www.digikey.jp/products/ja?keywords=863-1643-1-ND" TargetMode="External"/><Relationship Id="rId2061" Type="http://schemas.openxmlformats.org/officeDocument/2006/relationships/hyperlink" Target="https://jp.misumi-ec.com/vona2/detail/221000349089/?HissuCode=SSH-M2X6-EL" TargetMode="External"/><Relationship Id="rId3112" Type="http://schemas.openxmlformats.org/officeDocument/2006/relationships/hyperlink" Target="https://www.digikey.com/en/products/detail/kyocera-international-inc-electronic-components/CX3225SB16000D0GZJC1/5995241" TargetMode="External"/><Relationship Id="rId240" Type="http://schemas.openxmlformats.org/officeDocument/2006/relationships/hyperlink" Target="https://www.monotaro.com/p/3545/6942/" TargetMode="External"/><Relationship Id="rId5077" Type="http://schemas.openxmlformats.org/officeDocument/2006/relationships/hyperlink" Target="https://www.monotaro.com/g/02608625/?monotaroNo=56388508" TargetMode="External"/><Relationship Id="rId5284" Type="http://schemas.openxmlformats.org/officeDocument/2006/relationships/hyperlink" Target="https://www.monotaro.com/g/01213754/?t.q=PSS-720453-06" TargetMode="External"/><Relationship Id="rId100" Type="http://schemas.openxmlformats.org/officeDocument/2006/relationships/hyperlink" Target="https://www.digikey.jp/product-detail/ja/microchip-technology/ATMEGA2560V-8AUR/ATMEGA2560V-8AURCT-ND/3440931" TargetMode="External"/><Relationship Id="rId2878" Type="http://schemas.openxmlformats.org/officeDocument/2006/relationships/hyperlink" Target="https://www.monotaro.com/g/02114739/?t.q=%82l%82b%82o%82X%82V%82O%82O%81%7C%82d%81%5E%82s%82n" TargetMode="External"/><Relationship Id="rId3929" Type="http://schemas.openxmlformats.org/officeDocument/2006/relationships/hyperlink" Target="https://akizukidenshi.com/catalog/g/gM-11995/" TargetMode="External"/><Relationship Id="rId4093" Type="http://schemas.openxmlformats.org/officeDocument/2006/relationships/hyperlink" Target="https://drive.google.com/file/d/1rEdW1rqslHO6wVg4za53Av3F9sg6Z5Ea/view?usp=sharing" TargetMode="External"/><Relationship Id="rId5144" Type="http://schemas.openxmlformats.org/officeDocument/2006/relationships/hyperlink" Target="https://jp.rs-online.com/web/p/op-amps/7140827" TargetMode="External"/><Relationship Id="rId1687" Type="http://schemas.openxmlformats.org/officeDocument/2006/relationships/hyperlink" Target="https://www.mouser.jp/ProductDetail/Molex/120341-0503?qs=%2Fha2pyFaduiCu7R5nMuV2sVbFJL%2Fd9m5GN%2F2GRxQoL9jn%2FkMkxFG5wDCBVxghudpyJnC1vwJlak%3D" TargetMode="External"/><Relationship Id="rId1894" Type="http://schemas.openxmlformats.org/officeDocument/2006/relationships/hyperlink" Target="https://www.digikey.jp/products/en?keywords=DF14-30P-1.25H(24)" TargetMode="External"/><Relationship Id="rId2738" Type="http://schemas.openxmlformats.org/officeDocument/2006/relationships/hyperlink" Target="https://jp.misumi-ec.com/vona2/detail/110300465870/?CategorySpec=00000173432%3a%3amig00000002495279" TargetMode="External"/><Relationship Id="rId2945" Type="http://schemas.openxmlformats.org/officeDocument/2006/relationships/hyperlink" Target="https://www.monotaro.com/p/3769/6531/?utm_medium=cpc&amp;utm_source=Adwords&amp;utm_campaign=246-833-4061_6466659573&amp;utm_content=77481174396&amp;utm_term=_380615463259__pla-798797411482&amp;gclid=Cj0KCQiAoab_BRCxARIsANMx4S6_Hs4Ecp2ZonIvciU7an_zpqtrAw1YXgRwBVPiAvSPs_8zkMPqxT4aAi9YEALw_wcB" TargetMode="External"/><Relationship Id="rId5351" Type="http://schemas.openxmlformats.org/officeDocument/2006/relationships/hyperlink" Target="https://www.digikey.jp/ja/products/detail/microchip-technology/PIC18F67J94-I-PT/3872481?s=N4IgTCBcDaIAoEkDCBGAHAMQGwHYBSAnACwC0CA9HACogC6AvkA" TargetMode="External"/><Relationship Id="rId917" Type="http://schemas.openxmlformats.org/officeDocument/2006/relationships/hyperlink" Target="https://jp.rs-online.com/web/p/4-mm-connector-test-leads/3433431/" TargetMode="External"/><Relationship Id="rId1547" Type="http://schemas.openxmlformats.org/officeDocument/2006/relationships/hyperlink" Target="https://www.digikey.jp/product-detail/en/rohm-semiconductor/SML-210MTT86/511-1287-1-ND/637100" TargetMode="External"/><Relationship Id="rId1754" Type="http://schemas.openxmlformats.org/officeDocument/2006/relationships/hyperlink" Target="https://www.digikey.jp/product-detail/en/tdk-corporation/C1608X7R1C105K080AC/445-1604-1-ND/634399" TargetMode="External"/><Relationship Id="rId1961" Type="http://schemas.openxmlformats.org/officeDocument/2006/relationships/hyperlink" Target="https://jp.rs-online.com/web/p/ceramic-multilayer-capacitors/4515770/" TargetMode="External"/><Relationship Id="rId2805" Type="http://schemas.openxmlformats.org/officeDocument/2006/relationships/hyperlink" Target="https://www.digikey.jp/products/en?keywords=%09H10891-ND" TargetMode="External"/><Relationship Id="rId4160" Type="http://schemas.openxmlformats.org/officeDocument/2006/relationships/hyperlink" Target="https://akizukidenshi.com/catalog/g/gC-09313/" TargetMode="External"/><Relationship Id="rId5004" Type="http://schemas.openxmlformats.org/officeDocument/2006/relationships/hyperlink" Target="https://www.mouser.com/ProductDetail/Taiyo-Yuden/LMR212BD7106KG-T?qs=DRkmTr78QATXuUQGmCCYPQ%3D%3D" TargetMode="External"/><Relationship Id="rId5211" Type="http://schemas.openxmlformats.org/officeDocument/2006/relationships/hyperlink" Target="https://jp.misumi-ec.com/vona2/detail/221006203220/?ProductCode=UM-0310-T" TargetMode="External"/><Relationship Id="rId46" Type="http://schemas.openxmlformats.org/officeDocument/2006/relationships/hyperlink" Target="https://jp.misumi-ec.com/vona2/detail/110302280540/?HissuCode=CBSTSR&amp;PNSearch=CBSTSR&amp;KWSearch=CBSTSR&amp;searchFlow=results2products" TargetMode="External"/><Relationship Id="rId1407" Type="http://schemas.openxmlformats.org/officeDocument/2006/relationships/hyperlink" Target="https://www.digikey.jp/product-detail/en/vishay-dale/CRCW0805105KFKEA/541-105KCCT-ND/1181015" TargetMode="External"/><Relationship Id="rId1614" Type="http://schemas.openxmlformats.org/officeDocument/2006/relationships/hyperlink" Target="https://www.digikey.jp/products/en?keywords=1241-1103-ND" TargetMode="External"/><Relationship Id="rId1821" Type="http://schemas.openxmlformats.org/officeDocument/2006/relationships/hyperlink" Target="https://www.digikey.jp/product-detail/en/amphenol-rf-division/908-22101T/ARF1725CT-ND/2041861" TargetMode="External"/><Relationship Id="rId4020" Type="http://schemas.openxmlformats.org/officeDocument/2006/relationships/hyperlink" Target="https://akizukidenshi.com/catalog/g/gC-05159/" TargetMode="External"/><Relationship Id="rId4977" Type="http://schemas.openxmlformats.org/officeDocument/2006/relationships/hyperlink" Target="https://www.amazon.co.jp/-/en/Function-Operation-Disaster-Earthquake-Emergency/dp/B0863H5TN3/ref=sr_1_15?keywords=uv-5r&amp;qid=1652864964&amp;sprefix=Uv-5R%2Caps%2C284&amp;sr=8-15&amp;th=1" TargetMode="External"/><Relationship Id="rId3579" Type="http://schemas.openxmlformats.org/officeDocument/2006/relationships/hyperlink" Target="https://www.digikey.jp/product-detail/ja/stmicroelectronics/A3G4250DTR/497-13200-1-ND/3594324" TargetMode="External"/><Relationship Id="rId3786" Type="http://schemas.openxmlformats.org/officeDocument/2006/relationships/hyperlink" Target="https://www.thorlabs.com/thorproduct.cfm?partnumber=MS2R/M" TargetMode="External"/><Relationship Id="rId2388" Type="http://schemas.openxmlformats.org/officeDocument/2006/relationships/hyperlink" Target="https://jp.misumi-ec.com/vona2/detail/221000768107/?CategorySpec=00000217160%3a%3aa%0900000217157%3a%3aa%0900000217161%3a%3aa%0900000217156%3a%3amig00000002477238%0900000217153%3a%3ae" TargetMode="External"/><Relationship Id="rId2595" Type="http://schemas.openxmlformats.org/officeDocument/2006/relationships/hyperlink" Target="https://www.digikey.jp/product-detail/en/microchip-technology/PIC18F67J94-I-MR/PIC18F67J94-I-MR-ND/3872480" TargetMode="External"/><Relationship Id="rId3439" Type="http://schemas.openxmlformats.org/officeDocument/2006/relationships/hyperlink" Target="https://www.digikey.jp/product-detail/ja/analog-devices-inc/TMP36FSZ/TMP36FSZ-ND" TargetMode="External"/><Relationship Id="rId3993" Type="http://schemas.openxmlformats.org/officeDocument/2006/relationships/hyperlink" Target="https://www.chip1stop.com/view/searchResUpt/InventryInfo?unqPartId=HIRO*0021665&amp;unqPartNm=A3C-50DA-2DSA%2871%29&amp;keyword=A3C-50DA-2DSA%2871%29&amp;partId=HIRO-0021665" TargetMode="External"/><Relationship Id="rId4837" Type="http://schemas.openxmlformats.org/officeDocument/2006/relationships/hyperlink" Target="https://jp.misumi-ec.com/vona2/detail/110300465870/?list=PageCategory" TargetMode="External"/><Relationship Id="rId567" Type="http://schemas.openxmlformats.org/officeDocument/2006/relationships/hyperlink" Target="https://www.p-ban.com/kiban/com/csComTop.do" TargetMode="External"/><Relationship Id="rId1197" Type="http://schemas.openxmlformats.org/officeDocument/2006/relationships/hyperlink" Target="https://jp.misumi-ec.com/vona2/detail/221006495032/?HissuCode=SNSLG-M6-20&amp;PNSearch=SNSLG-M6-20&amp;KWSearch=SNSLG-M6-20&amp;searchFlow=results2products" TargetMode="External"/><Relationship Id="rId2248" Type="http://schemas.openxmlformats.org/officeDocument/2006/relationships/hyperlink" Target="http://akizukidenshi.com/catalog/g/gP-08890/" TargetMode="External"/><Relationship Id="rId3646" Type="http://schemas.openxmlformats.org/officeDocument/2006/relationships/hyperlink" Target="https://jp.rs-online.com/web/p/temperature-humidity-sensor-ics/0412973/?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44D50333646535A267365617263685F6B6579776F72645F6170703D544D50333646535A267365617263685F636F6E6669673D3126&amp;searchHistory=%7B%22enabled%22%3Atrue%7D" TargetMode="External"/><Relationship Id="rId3853" Type="http://schemas.openxmlformats.org/officeDocument/2006/relationships/hyperlink" Target="https://www.nbk1560.com/products/specialscrew/nedzicom/lowsmallheadscrew/SSHS/" TargetMode="External"/><Relationship Id="rId4904" Type="http://schemas.openxmlformats.org/officeDocument/2006/relationships/hyperlink" Target="https://jp.misumi-ec.com/vona2/detail/110302280540/?PNSearch=CBSTSR2-5&amp;HissuCode=CBSTSR2-5&amp;searchFlow=suggest2products&amp;Keyword=CBSTSR2-5&amp;list=SuggestPreview" TargetMode="External"/><Relationship Id="rId774" Type="http://schemas.openxmlformats.org/officeDocument/2006/relationships/hyperlink" Target="https://www.digikey.jp/products/ja?keywords=ATMEGA32U4-MURCT-ND" TargetMode="External"/><Relationship Id="rId981" Type="http://schemas.openxmlformats.org/officeDocument/2006/relationships/hyperlink" Target="https://jp.misumi-ec.com/vona2/detail/221000349089/?ProductCode=SSHS-M2X6" TargetMode="External"/><Relationship Id="rId1057" Type="http://schemas.openxmlformats.org/officeDocument/2006/relationships/hyperlink" Target="https://www.digikey.jp/product-detail/en/tdk-corporation/MLH2012F22NKT000/445-174893-1-ND/6642485" TargetMode="External"/><Relationship Id="rId2455" Type="http://schemas.openxmlformats.org/officeDocument/2006/relationships/hyperlink" Target="https://www.digikey.jp/product-detail/en/sullins-connector-solutions/SFH11-PBPC-D10-RA-BK/S9205-ND/1990098" TargetMode="External"/><Relationship Id="rId2662" Type="http://schemas.openxmlformats.org/officeDocument/2006/relationships/hyperlink" Target="https://www.digikey.jp/product-detail/en/kemet/C0603C332J3GAC7867/399-15394-1-ND/7386792" TargetMode="External"/><Relationship Id="rId3506" Type="http://schemas.openxmlformats.org/officeDocument/2006/relationships/hyperlink" Target="http://www.azurspace.com/images/products/0003401-01-01_DB_3G30A.pdf" TargetMode="External"/><Relationship Id="rId3713" Type="http://schemas.openxmlformats.org/officeDocument/2006/relationships/hyperlink" Target="https://jp.rs-online.com/web/p/wire-wound-surface-mount-inductors/7496405/" TargetMode="External"/><Relationship Id="rId3920" Type="http://schemas.openxmlformats.org/officeDocument/2006/relationships/hyperlink" Target="https://akizukidenshi.com/catalog/g/gP-03230/" TargetMode="External"/><Relationship Id="rId427" Type="http://schemas.openxmlformats.org/officeDocument/2006/relationships/hyperlink" Target="https://www.digikey.jp/product-detail/en/murata-electronics-north-america/LQP03TN0N9B02D/490-12971-1-ND/5802358" TargetMode="External"/><Relationship Id="rId634" Type="http://schemas.openxmlformats.org/officeDocument/2006/relationships/hyperlink" Target="https://jp.rs-online.com/web/p/industrial-automation-circular-connectors/3594407/" TargetMode="External"/><Relationship Id="rId841" Type="http://schemas.openxmlformats.org/officeDocument/2006/relationships/hyperlink" Target="https://jp.rs-online.com/web/p/mlccs-multilayer-ceramic-capacitors/9038720/" TargetMode="External"/><Relationship Id="rId1264" Type="http://schemas.openxmlformats.org/officeDocument/2006/relationships/hyperlink" Target="https://www.cureuv.com/products/loctite-349-impruv-uv-light-cure-adhesive-50ml" TargetMode="External"/><Relationship Id="rId1471" Type="http://schemas.openxmlformats.org/officeDocument/2006/relationships/hyperlink" Target="https://www.minicircuits.com/WebStore/dashboard.html?model=AD4PS-1%2B" TargetMode="External"/><Relationship Id="rId2108" Type="http://schemas.openxmlformats.org/officeDocument/2006/relationships/hyperlink" Target="https://jp.misumi-ec.com/vona2/detail/221006204478/?HissuCode=C-2003&amp;PNSearch=C-2003&amp;KWSearch=C-2003&amp;searchFlow=results2products" TargetMode="External"/><Relationship Id="rId2315" Type="http://schemas.openxmlformats.org/officeDocument/2006/relationships/hyperlink" Target="https://jp.rs-online.com/web/p/pcb-mounts/1676951/" TargetMode="External"/><Relationship Id="rId2522" Type="http://schemas.openxmlformats.org/officeDocument/2006/relationships/hyperlink" Target="https://jp.misumi-ec.com/vona2/detail/110300232520/?HissuCode=TWTAS6-3-3&amp;PNSearch=TWTAS6-3-3&amp;KWSearch=TWTAS6-3-3&amp;searchFlow=results2products" TargetMode="External"/><Relationship Id="rId701" Type="http://schemas.openxmlformats.org/officeDocument/2006/relationships/hyperlink" Target="https://www.digikey.jp/products/en?keywords=GRPB%20122%20VWQS-RC" TargetMode="External"/><Relationship Id="rId1124" Type="http://schemas.openxmlformats.org/officeDocument/2006/relationships/hyperlink" Target="https://www.digikey.jp/product-detail/en/kemet/CBR06C820F5GAC/399-16259-6-ND/7650123" TargetMode="External"/><Relationship Id="rId1331" Type="http://schemas.openxmlformats.org/officeDocument/2006/relationships/hyperlink" Target="https://www.amazon.co.jp/gp/product/B0728HBNCX/ref=ppx_yo_dt_b_asin_title_o00_s00?ie=UTF8&amp;psc=1" TargetMode="External"/><Relationship Id="rId4487" Type="http://schemas.openxmlformats.org/officeDocument/2006/relationships/hyperlink" Target="https://www.digikey.jp/product-detail/en/cui-inc/MD-60/CP-2060-ND/96916" TargetMode="External"/><Relationship Id="rId4694" Type="http://schemas.openxmlformats.org/officeDocument/2006/relationships/hyperlink" Target="https://www.mouser.jp/ProductDetail/667-ERJ-6ENF1002V" TargetMode="External"/><Relationship Id="rId3089" Type="http://schemas.openxmlformats.org/officeDocument/2006/relationships/hyperlink" Target="https://jp.misumi-ec.com/vona2/detail/110302280540/?ProductCode=CBSTSR3-10" TargetMode="External"/><Relationship Id="rId3296" Type="http://schemas.openxmlformats.org/officeDocument/2006/relationships/hyperlink" Target="https://www.digikey.jp/product-detail/ja/cinch-connectivity-solutions-johnson/142-0711-301/J717-ND/691804" TargetMode="External"/><Relationship Id="rId4347" Type="http://schemas.openxmlformats.org/officeDocument/2006/relationships/hyperlink" Target="https://jp.banggood.com/LILYGO-TTGO-T-Beam-v1_0-ESP32-LoRa-433-or-868-or-915Mhz-WiFi-GPS-NEO-6M-18650-WiFi-bluetooth-Board-Module-p-1609523.html?cur_warehouse=CN&amp;ID=513922" TargetMode="External"/><Relationship Id="rId4554" Type="http://schemas.openxmlformats.org/officeDocument/2006/relationships/hyperlink" Target="https://www.digikey.jp/ja/products/detail/amphenol-rf/135101-R2-48-00/4948048" TargetMode="External"/><Relationship Id="rId4761" Type="http://schemas.openxmlformats.org/officeDocument/2006/relationships/hyperlink" Target="https://www.digikey.jp/en/products/detail/advanced-thermal-solutions-inc/ATS-TCP-1001/10491155?s=N4IgTCBcDaIIIBUDKBaBBhACigjABjxxAF0BfIA" TargetMode="External"/><Relationship Id="rId3156" Type="http://schemas.openxmlformats.org/officeDocument/2006/relationships/hyperlink" Target="https://www.digikey.jp/product-detail/en/molex/0510210400/WM1722-ND/242844" TargetMode="External"/><Relationship Id="rId3363" Type="http://schemas.openxmlformats.org/officeDocument/2006/relationships/hyperlink" Target="https://akizukidenshi.com/catalog/g/gP-06863/" TargetMode="External"/><Relationship Id="rId4207" Type="http://schemas.openxmlformats.org/officeDocument/2006/relationships/hyperlink" Target="https://www.mouser.jp/ProductDetail/Diodes-Incorporated/AP7115-25SEG-7?qs=%2Fha2pyFaduiLIap5lx5FKOzYyNoNKFJPabxqk2arxBxaC7RrEcQw0Q%3D%3D" TargetMode="External"/><Relationship Id="rId4414" Type="http://schemas.openxmlformats.org/officeDocument/2006/relationships/hyperlink" Target="https://www.amazon.co.jp/%E3%83%80%E3%82%A4%E3%83%A4%E3%83%A2%E3%83%B3%E3%83%89-SRH815S-144-1200%EF%BC%8B%E3%82%A8%E3%82%A2%E3%83%BC-%E4%BB%96%E3%83%90%E3%83%B3%E3%83%89/dp/B003MLXB0U" TargetMode="External"/><Relationship Id="rId284" Type="http://schemas.openxmlformats.org/officeDocument/2006/relationships/hyperlink" Target="https://www.digikey.jp/product-detail/ja/rf-solutions/CON-SMA-EDGE-S/CON-SMA-EDGE-S-ND/5845767" TargetMode="External"/><Relationship Id="rId491" Type="http://schemas.openxmlformats.org/officeDocument/2006/relationships/hyperlink" Target="https://www.digikey.jp/product-detail/ja/murata-electronics-north-america/GRM21BR61E106KA73K/490-16824-1-ND/7595732" TargetMode="External"/><Relationship Id="rId2172" Type="http://schemas.openxmlformats.org/officeDocument/2006/relationships/hyperlink" Target="https://www.monotaro.com/p/5642/0716/?t.q=%8F%AC%8C%5E%83%7B%81%5B%83%8B%94%D5" TargetMode="External"/><Relationship Id="rId3016" Type="http://schemas.openxmlformats.org/officeDocument/2006/relationships/hyperlink" Target="https://www.digikey.jp/products/ja?keywords=A3C-50DA-2DSA(71)" TargetMode="External"/><Relationship Id="rId3223" Type="http://schemas.openxmlformats.org/officeDocument/2006/relationships/hyperlink" Target="https://www.monotaro.com/p/8698/9865/" TargetMode="External"/><Relationship Id="rId3570" Type="http://schemas.openxmlformats.org/officeDocument/2006/relationships/hyperlink" Target="https://www.mouser.jp/ProductDetail/Microchip-Technology/MCP3221A7T-E-OT?qs=%2Fha2pyFaduj%2FJxr8oEGHBmScmNd2E7L6WUwLA7t4eo6wdm4dbBkEo4s9cMwhR6kO" TargetMode="External"/><Relationship Id="rId4621" Type="http://schemas.openxmlformats.org/officeDocument/2006/relationships/hyperlink" Target="https://www.digikey.jp/product-detail/en/abracon-llc/ARRKP7059-S915B/535-14510-ND/8593265?cur=JPY&amp;lang=en" TargetMode="External"/><Relationship Id="rId144" Type="http://schemas.openxmlformats.org/officeDocument/2006/relationships/hyperlink" Target="https://jp.rs-online.com/web/p/products/5151305/" TargetMode="External"/><Relationship Id="rId3430" Type="http://schemas.openxmlformats.org/officeDocument/2006/relationships/hyperlink" Target="https://www.nbk1560.com/products/specialscrew/nedzicom/miniaturescrew/SHNS/SHNS-M2" TargetMode="External"/><Relationship Id="rId5188" Type="http://schemas.openxmlformats.org/officeDocument/2006/relationships/hyperlink" Target="https://akizukidenshi.com/catalog/g/gP-07465/" TargetMode="External"/><Relationship Id="rId351" Type="http://schemas.openxmlformats.org/officeDocument/2006/relationships/hyperlink" Target="https://www.digikey.jp/product-detail/ja/lite-on-inc/LTST-C171KSKT/160-1428-1-ND/386802" TargetMode="External"/><Relationship Id="rId2032" Type="http://schemas.openxmlformats.org/officeDocument/2006/relationships/hyperlink" Target="https://www.monotaro.com/p/4058/9764/" TargetMode="External"/><Relationship Id="rId2989" Type="http://schemas.openxmlformats.org/officeDocument/2006/relationships/hyperlink" Target="https://jp.rs-online.com/web/b/%E5%A4%AA%E9%99%BD%E8%AA%98%E9%9B%BB" TargetMode="External"/><Relationship Id="rId211" Type="http://schemas.openxmlformats.org/officeDocument/2006/relationships/hyperlink" Target="https://www.monotaro.com/p/5875/7973/" TargetMode="External"/><Relationship Id="rId1798" Type="http://schemas.openxmlformats.org/officeDocument/2006/relationships/hyperlink" Target="https://www.digikey.jp/product-detail/en/memsic-inc/MMC5883MA/1267-1072-1-ND/7063085" TargetMode="External"/><Relationship Id="rId2849" Type="http://schemas.openxmlformats.org/officeDocument/2006/relationships/hyperlink" Target="https://www.amazon.co.jp/RTL-SDR-COM-RTL2832U-Sampling-%E3%82%A2%E3%83%AB%E3%83%9F%E3%83%80%E3%82%A4%E3%82%AD%E3%83%A3%E3%82%B9%E3%83%88%E3%82%B1%E3%83%BC%E3%82%B9-RTL-SDR-COM%E6%AD%A3%E8%A6%8F%E5%93%81/dp/B0722LZFWN/ref=sr_1_2?__mk_ja_JP=%E3%82%AB%E3%82%BF%E3%82%AB%E3%83%8A&amp;dchild=1&amp;keywords=RTL&amp;qid=1606985152&amp;sr=8-2" TargetMode="External"/><Relationship Id="rId5048" Type="http://schemas.openxmlformats.org/officeDocument/2006/relationships/hyperlink" Target="https://www.mouser.jp/ProductDetail/Toshiba/SSM6K514NULF?qs=yfGysFjEcj13lHFOvblArQ%3D%3D" TargetMode="External"/><Relationship Id="rId5255" Type="http://schemas.openxmlformats.org/officeDocument/2006/relationships/hyperlink" Target="https://jp.rs-online.com/web/p/mosfets/1780854" TargetMode="External"/><Relationship Id="rId1658" Type="http://schemas.openxmlformats.org/officeDocument/2006/relationships/hyperlink" Target="http://akizukidenshi.com/catalog/g/gC-02569/" TargetMode="External"/><Relationship Id="rId1865" Type="http://schemas.openxmlformats.org/officeDocument/2006/relationships/hyperlink" Target="https://jp.rs-online.com/web/p/general-purpose-adcs/5238604/" TargetMode="External"/><Relationship Id="rId2709" Type="http://schemas.openxmlformats.org/officeDocument/2006/relationships/hyperlink" Target="https://akizukidenshi.com/catalog/g/gP-00306" TargetMode="External"/><Relationship Id="rId4064" Type="http://schemas.openxmlformats.org/officeDocument/2006/relationships/hyperlink" Target="https://www.mouser.jp/ProductDetail/Pomona-Electronics/4532-C-60?qs=%2Fha2pyFaduiLz1eLrF4GqPtMivdNtxLt75KmhqtVAII%3D" TargetMode="External"/><Relationship Id="rId4271" Type="http://schemas.openxmlformats.org/officeDocument/2006/relationships/hyperlink" Target="https://www.amazon.co.jp/RTL-SDR-R820T2-RTL2832U-SMA%E3%82%BD%E3%83%95%E3%83%88%E3%82%A6%E3%82%A7%E3%82%A2%E5%AE%9A%E7%BE%A9%E3%83%A9%E3%82%B8%E3%82%AA-2%E5%80%8D%E4%BC%B8%E7%B8%AE%E3%82%A2%E3%83%B3%E3%83%86%E3%83%8A%E4%BB%98%E3%81%8D/dp/B011HVUEME/ref=asc_df_B011HVUEME/?tag=jpgo-22&amp;linkCode=df0&amp;hvadid=280319774856&amp;hvpos=&amp;hvnetw=g&amp;hvrand=1964381896821738451&amp;hvpone=&amp;hvptwo=&amp;hvqmt=&amp;hvdev=c&amp;hvdvcmdl=&amp;hvlocint=&amp;hvlocphy=1009721&amp;hvtargid=pla-521867821094&amp;psc=1" TargetMode="External"/><Relationship Id="rId5115" Type="http://schemas.openxmlformats.org/officeDocument/2006/relationships/hyperlink" Target="https://jp.rs-online.com/web/p/hook-up-wire/2094798" TargetMode="External"/><Relationship Id="rId5322" Type="http://schemas.openxmlformats.org/officeDocument/2006/relationships/hyperlink" Target="https://www.digikey.jp/en/products/detail/texas-instruments/TPS61230ARNSR/6191705?s=N4IgTCBcDaICoAUDKA2AjGAzABgIICUA5JfEAXQF8g" TargetMode="External"/><Relationship Id="rId1518" Type="http://schemas.openxmlformats.org/officeDocument/2006/relationships/hyperlink" Target="https://www.mouser.jp/ProductDetail/Raspberry-Pi/1101001000045?qs=sGAEpiMZZMve4%2FbfQkoj%252BMUp9oD6Abn1MSY4MW8Pkys%3D" TargetMode="External"/><Relationship Id="rId2916" Type="http://schemas.openxmlformats.org/officeDocument/2006/relationships/hyperlink" Target="https://jp.rs-online.com/web/p/microcontrollers/1717834/" TargetMode="External"/><Relationship Id="rId3080" Type="http://schemas.openxmlformats.org/officeDocument/2006/relationships/hyperlink" Target="https://www.monotaro.com/g/04472281/?t.q=%8C%60%8F%F3%8BL%89%AF%83%8F%83C%83%84%81%5B" TargetMode="External"/><Relationship Id="rId4131" Type="http://schemas.openxmlformats.org/officeDocument/2006/relationships/hyperlink" Target="https://jp.banggood.com/LILYGO-TTGO-T-Beam-v1_0-ESP32-LoRa-433-or-868-or-915Mhz-WiFi-GPS-NEO-6M-18650-WiFi-bluetooth-Board-Module-p-1609523.html?cur_warehouse=CN&amp;ID=6269370" TargetMode="External"/><Relationship Id="rId1725" Type="http://schemas.openxmlformats.org/officeDocument/2006/relationships/hyperlink" Target="https://www.amazon.co.jp/AMPCOM-LAN%E3%82%B1%E3%83%BC%E3%83%96%E3%83%AB-%E5%BB%B6%E9%95%B7%E3%82%B3%E3%83%8D%E3%82%AF%E3%82%BF-%E9%87%91%E5%B1%9E%E3%82%B7%E3%83%BC%E3%83%AB%E3%83%89-%E3%82%AE%E3%82%AC%E3%83%93%E3%83%83%E3%83%88%E5%AF%BE%E5%BF%9C/dp/B07JBBKMRG/ref=psdc_2151853051_t3_B07CVPRYDL" TargetMode="External"/><Relationship Id="rId1932" Type="http://schemas.openxmlformats.org/officeDocument/2006/relationships/hyperlink" Target="https://www.digikey.jp/products/ja?keywords=%0936-118CT-ND" TargetMode="External"/><Relationship Id="rId17" Type="http://schemas.openxmlformats.org/officeDocument/2006/relationships/hyperlink" Target="https://jp.rs-online.com/web/p/ceramic-multilayer-capacitors/7492150/?sra=pstk" TargetMode="External"/><Relationship Id="rId3897" Type="http://schemas.openxmlformats.org/officeDocument/2006/relationships/hyperlink" Target="https://www.monotaro.com/p/0639/3624/?t.q=%83J%83v%83g%83%93%83e%81%5B%83v" TargetMode="External"/><Relationship Id="rId4948" Type="http://schemas.openxmlformats.org/officeDocument/2006/relationships/hyperlink" Target="https://jp.misumi-ec.com/vona2/detail/221000551286/?HissuCode=CSH-SUS-M3-8" TargetMode="External"/><Relationship Id="rId2499" Type="http://schemas.openxmlformats.org/officeDocument/2006/relationships/hyperlink" Target="https://jp.misumi-ec.com/vona2/detail/221000349089/?HissuCode=SSHS-M2X6" TargetMode="External"/><Relationship Id="rId3757" Type="http://schemas.openxmlformats.org/officeDocument/2006/relationships/hyperlink" Target="https://www.digikey.jp/product-detail/en/1141/1528-1044-ND/5011060?itemSeq=372570252" TargetMode="External"/><Relationship Id="rId3964" Type="http://schemas.openxmlformats.org/officeDocument/2006/relationships/hyperlink" Target="https://jp.misumi-ec.com/vona2/detail/221006204478/?PNSearch=C-305.5-5&amp;HissuCode=C-305.5-5&amp;searchFlow=suggesthistory&amp;Keyword=C-305.5-5&amp;list=SuggestPreview" TargetMode="External"/><Relationship Id="rId4808" Type="http://schemas.openxmlformats.org/officeDocument/2006/relationships/hyperlink" Target="https://navspark.mybigcommerce.com/12mm-x-16mm-gnss-receiver-module-for-leo-applications/" TargetMode="External"/><Relationship Id="rId1" Type="http://schemas.openxmlformats.org/officeDocument/2006/relationships/hyperlink" Target="https://jp.rs-online.com/web/p/ic-socket-adapters/7419391/?relevancy-data=636F3D3126696E3D4931384E525353746F636B4E756D6265724D504E266C753D656E266D6D3D6D61746368616C6C26706D3D5E283F69292852537C5253207C52532D293F5C647B337D285C73293F5B5C732D2F255C2E2C5D285C73293F5C647B332C347D2426706F3D313426736E3D592673723D2673743D52535F53544F434B5F4E554D4245522677633D4E4F4E45267573743D3734312D39333931267374613D3734313933393126" TargetMode="External"/><Relationship Id="rId678" Type="http://schemas.openxmlformats.org/officeDocument/2006/relationships/hyperlink" Target="https://www.p-ban.com/kiban/com/csComTop.do" TargetMode="External"/><Relationship Id="rId885" Type="http://schemas.openxmlformats.org/officeDocument/2006/relationships/hyperlink" Target="https://jp.rs-online.com/web/p/mlccs-multilayer-ceramic-capacitors/0147522/" TargetMode="External"/><Relationship Id="rId2359" Type="http://schemas.openxmlformats.org/officeDocument/2006/relationships/hyperlink" Target="https://hirosugi.co.jp/products/POM/C.html" TargetMode="External"/><Relationship Id="rId2566" Type="http://schemas.openxmlformats.org/officeDocument/2006/relationships/hyperlink" Target="https://www.digikey.jp/product-detail/ja/recom-power/R05P209D/945-2656-5-ND/2301255" TargetMode="External"/><Relationship Id="rId2773" Type="http://schemas.openxmlformats.org/officeDocument/2006/relationships/hyperlink" Target="https://www.digikey.jp/product-detail/ja/J-7-V22/SW817-ND/699997/?itemSeq=284879251" TargetMode="External"/><Relationship Id="rId2980" Type="http://schemas.openxmlformats.org/officeDocument/2006/relationships/hyperlink" Target="https://www.digikey.jp/product-detail/ja/avx-corporation/06035C104KAT2A/478-5052-1-ND/1888263" TargetMode="External"/><Relationship Id="rId3617" Type="http://schemas.openxmlformats.org/officeDocument/2006/relationships/hyperlink" Target="https://www.digikey.jp/product-detail/ja/vishay-siliconix/SQ1922EEH-T1_GE3/SQ1922EEH-T1_GE3CT-ND/7622831" TargetMode="External"/><Relationship Id="rId3824" Type="http://schemas.openxmlformats.org/officeDocument/2006/relationships/hyperlink" Target="https://www.monotaro.com/p/3493/3543/" TargetMode="External"/><Relationship Id="rId538" Type="http://schemas.openxmlformats.org/officeDocument/2006/relationships/hyperlink" Target="https://www.digikey.jp/product-detail/en/linx-technologies-inc/CONSMA001-SMD-G/CONSMA001-SMD-G-ND/4496569" TargetMode="External"/><Relationship Id="rId745" Type="http://schemas.openxmlformats.org/officeDocument/2006/relationships/hyperlink" Target="https://www.digikey.jp/product-detail/ja/microchip-technology/PIC18F67J94-I-MR/PIC18F67J94-I-MR-ND/3872480" TargetMode="External"/><Relationship Id="rId952" Type="http://schemas.openxmlformats.org/officeDocument/2006/relationships/hyperlink" Target="https://www.monotaro.com/g/03016338/?t.q=70567988" TargetMode="External"/><Relationship Id="rId1168" Type="http://schemas.openxmlformats.org/officeDocument/2006/relationships/hyperlink" Target="https://jp.misumi-ec.com/vona2/detail/221000348314/?HissuCode=SNSS-M2X5" TargetMode="External"/><Relationship Id="rId1375" Type="http://schemas.openxmlformats.org/officeDocument/2006/relationships/hyperlink" Target="http://akizukidenshi.com/catalog/g/gP-03472/" TargetMode="External"/><Relationship Id="rId1582" Type="http://schemas.openxmlformats.org/officeDocument/2006/relationships/hyperlink" Target="https://jp.misumi-ec.com/vona2/detail/221000544288/?rid=c14_detail_1_221000544288" TargetMode="External"/><Relationship Id="rId2219" Type="http://schemas.openxmlformats.org/officeDocument/2006/relationships/hyperlink" Target="https://www.digikey.jp/product-detail/en/kemet/C412C334M5U5TA7200/399-4489-1-ND/818346" TargetMode="External"/><Relationship Id="rId2426" Type="http://schemas.openxmlformats.org/officeDocument/2006/relationships/hyperlink" Target="https://www.mouser.jp/ProductDetail/Molex/51090-0200?qs=%2Fha2pyFaduiIJB7HQllyVGJiZeRQ7%252BFhu0zeatcnmMM%3D" TargetMode="External"/><Relationship Id="rId2633" Type="http://schemas.openxmlformats.org/officeDocument/2006/relationships/hyperlink" Target="https://jp.misumi-ec.com/vona2/detail/110302280540/?HissuCode=CBSTSR2.5-6&amp;PNSearch=CBSTSR2.5-6&amp;KWSearch=CBSTSR2.5-6&amp;searchFlow=results2products" TargetMode="External"/><Relationship Id="rId81" Type="http://schemas.openxmlformats.org/officeDocument/2006/relationships/hyperlink" Target="https://www.askul.co.jp/p/9445589/" TargetMode="External"/><Relationship Id="rId605" Type="http://schemas.openxmlformats.org/officeDocument/2006/relationships/hyperlink" Target="https://jp.misumi-ec.com/vona2/detail/221005172662/?HissuCode=HA349&amp;PNSearch=HA349&amp;KWSearch=HA349&amp;searchFlow=results2products" TargetMode="External"/><Relationship Id="rId812" Type="http://schemas.openxmlformats.org/officeDocument/2006/relationships/hyperlink" Target="https://www.digikey.jp/products/ja?keywords=s9012E-12-nd" TargetMode="External"/><Relationship Id="rId1028" Type="http://schemas.openxmlformats.org/officeDocument/2006/relationships/hyperlink" Target="https://jp.misumi-ec.com/vona2/detail/221000551286/?HissuCode=CSH-STD-M12-35&amp;PNSearch=CSH-STD-M12-35&amp;KWSearch=CSH-STD-M12-35&amp;searchFlow=results2products" TargetMode="External"/><Relationship Id="rId1235" Type="http://schemas.openxmlformats.org/officeDocument/2006/relationships/hyperlink" Target="https://www.digikey.jp/products/ja?keywords=478-1244-1-ND" TargetMode="External"/><Relationship Id="rId1442" Type="http://schemas.openxmlformats.org/officeDocument/2006/relationships/hyperlink" Target="https://www.digikey.jp/product-detail/en/texas-instruments/TPS62130ARGTR/296-39446-1-ND/5143394" TargetMode="External"/><Relationship Id="rId2840" Type="http://schemas.openxmlformats.org/officeDocument/2006/relationships/hyperlink" Target="https://jp.misumi-ec.com/vona2/detail/110300538670/?HissuCode=PNFNN-150-150-35" TargetMode="External"/><Relationship Id="rId4598" Type="http://schemas.openxmlformats.org/officeDocument/2006/relationships/hyperlink" Target="https://jp.misumi-ec.com/vona2/detail/110500037760/?KWSearch=SMB%20&#22793;&#25563;&amp;searchFlow=results2products&amp;relatedKeyword=1" TargetMode="External"/><Relationship Id="rId1302" Type="http://schemas.openxmlformats.org/officeDocument/2006/relationships/hyperlink" Target="https://www.monotaro.com/p/1886/4003/?t.q=UV%83J%83b%83g%93%A7%96%BE%83J%83o%81%5B%83t%83B%83%8B%83%80" TargetMode="External"/><Relationship Id="rId2700" Type="http://schemas.openxmlformats.org/officeDocument/2006/relationships/hyperlink" Target="https://www.mouser.jp/ProductDetail/VCC/CMD17-21VGD-TR8?qs=%2Fha2pyFadujK5pGAVS%252BdLuVaZNVMOBUmnLaBiILp9bMbhVvV2lBbGA%3D%3D" TargetMode="External"/><Relationship Id="rId4458" Type="http://schemas.openxmlformats.org/officeDocument/2006/relationships/hyperlink" Target="https://jp.misumi-ec.com/vona2/detail/222000426705/" TargetMode="External"/><Relationship Id="rId3267" Type="http://schemas.openxmlformats.org/officeDocument/2006/relationships/hyperlink" Target="https://www.digikey.jp/product-detail/ja/avx-corporation/0603YD334KAT2A/478-1247-1-ND/564279" TargetMode="External"/><Relationship Id="rId4665" Type="http://schemas.openxmlformats.org/officeDocument/2006/relationships/hyperlink" Target="https://www.digikey.jp/ja/products/detail/onsemi/MBR0520LT1G/918574?s=N4IgTCBcDaILICEBKAGArGFAZAKgRgHEB5AZQGEcBaAOQBEQBdAXyA" TargetMode="External"/><Relationship Id="rId4872" Type="http://schemas.openxmlformats.org/officeDocument/2006/relationships/hyperlink" Target="https://jp.misumi-ec.com/vona2/detail/221006204401/?PNSearch=CU-305.5H&amp;HissuCode=CU-305.5H&amp;searchFlow=suggesthistory&amp;Keyword=CU-305.5H&amp;list=SuggestPreview" TargetMode="External"/><Relationship Id="rId188" Type="http://schemas.openxmlformats.org/officeDocument/2006/relationships/hyperlink" Target="https://www.monotaro.com/g/02887413/?t.q=F-310-L" TargetMode="External"/><Relationship Id="rId395" Type="http://schemas.openxmlformats.org/officeDocument/2006/relationships/hyperlink" Target="https://www.digikey.jp/product-detail/en/avx-corporation/08051A6R8CAT2A/478-5025-1-ND/1888236" TargetMode="External"/><Relationship Id="rId2076" Type="http://schemas.openxmlformats.org/officeDocument/2006/relationships/hyperlink" Target="https://jp.misumi-ec.com/vona2/detail/110302280540/?HissuCode=CBSTSR2-5&amp;PNSearch=CBSTSR2-5&amp;KWSearch=CBSTSR2-5&amp;searchFlow=results2products" TargetMode="External"/><Relationship Id="rId3474" Type="http://schemas.openxmlformats.org/officeDocument/2006/relationships/hyperlink" Target="https://www.digikey.jp/product-detail/ja/tripp-lite/U336-U03-GB/TL2301-ND/5359358" TargetMode="External"/><Relationship Id="rId3681" Type="http://schemas.openxmlformats.org/officeDocument/2006/relationships/hyperlink" Target="https://jp.rs-online.com/web/p/wire-housings-plugs/6322081/" TargetMode="External"/><Relationship Id="rId4318" Type="http://schemas.openxmlformats.org/officeDocument/2006/relationships/hyperlink" Target="https://www.jp.omega.com/pptst/KHRA-KHLVA-KHA-SERIES.html" TargetMode="External"/><Relationship Id="rId4525" Type="http://schemas.openxmlformats.org/officeDocument/2006/relationships/hyperlink" Target="https://www.amazon.co.jp/-/en/BSH4U125U3BK-Chromebook-Compatible-Lightweight-Telework/dp/B09922RYBK/ref=psdc_2151899051_t1_B096WYLTRV?th=1" TargetMode="External"/><Relationship Id="rId4732" Type="http://schemas.openxmlformats.org/officeDocument/2006/relationships/hyperlink" Target="https://www.digikey.jp/en/products/detail/sullins-connector-solutions/GRPB122VWQS-RC/1786421?s=N4IgTCBcDaIOICUAKAhABARjGNA1A6gIoDKAtAgMIgC6AvkA" TargetMode="External"/><Relationship Id="rId2283" Type="http://schemas.openxmlformats.org/officeDocument/2006/relationships/hyperlink" Target="https://www.digikey.jp/product-detail/ja/tensility-international-corp/10-03390/839-10-03390-ND/11193733" TargetMode="External"/><Relationship Id="rId2490" Type="http://schemas.openxmlformats.org/officeDocument/2006/relationships/hyperlink" Target="https://akizukidenshi.com/catalog/g/gP-15758/" TargetMode="External"/><Relationship Id="rId3127" Type="http://schemas.openxmlformats.org/officeDocument/2006/relationships/hyperlink" Target="https://www.digikey.jp/product-detail/en/koa-speer-electronics-inc/RK73B1JTTD103J/2019-RK73B1JTTD103JCT-ND/9846741" TargetMode="External"/><Relationship Id="rId3334" Type="http://schemas.openxmlformats.org/officeDocument/2006/relationships/hyperlink" Target="https://www.digikey.jp/product-detail/en/microchip-technology/ATMEGA32U4RC-AU/ATMEGA32U4RC-AU-ND/2507982?cur=JPY&amp;lang=en" TargetMode="External"/><Relationship Id="rId3541" Type="http://schemas.openxmlformats.org/officeDocument/2006/relationships/hyperlink" Target="https://www.mouser.jp/ProductDetail/TDK/CGA4J1X8L1A106K125AC?qs=gZXFycFWdANzH%252B2UvJJjtQ%3D%3D" TargetMode="External"/><Relationship Id="rId255" Type="http://schemas.openxmlformats.org/officeDocument/2006/relationships/hyperlink" Target="https://www.amazon.co.uk/Arctic-MX-4-Compound-Micro-particles-Durability/dp/B0045JCFLY/ref=pd_sbs_147_1?_encoding=UTF8&amp;pd_rd_i=B0045JCFLY&amp;pd_rd_r=96709fbf-14b5-11e9-8d94-abdc97f28b64&amp;pd_rd_w=oz2qG&amp;pd_rd_wg=Hkyy4&amp;pf_rd_p=18edf98b-139a-41ee-bb40-d725dd59d1d3&amp;pf_rd_r=ADFKKBT9HZMKFVVM53HW&amp;psc=1&amp;refRID=ADFKKBT9HZMKFVVM53HW" TargetMode="External"/><Relationship Id="rId462" Type="http://schemas.openxmlformats.org/officeDocument/2006/relationships/hyperlink" Target="https://jp.misumi-ec.com/vona2/detail/221006204478/?HissuCode=C-309.5-5&amp;PNSearch=C-309.5-5&amp;KWSearch=C-309.5-5&amp;searchFlow=results2products" TargetMode="External"/><Relationship Id="rId1092" Type="http://schemas.openxmlformats.org/officeDocument/2006/relationships/hyperlink" Target="https://www.htkazshop.com/SHOP/HTK_101911.html" TargetMode="External"/><Relationship Id="rId2143" Type="http://schemas.openxmlformats.org/officeDocument/2006/relationships/hyperlink" Target="https://jp.misumi-ec.com/vona2/detail/110300250540/?CategorySpec=00000217009%3a%3amig00000002488144%0900000217129%3a%3ab%0900000216949%3a%3aa%0900000216985%3a%3aa%0900000216974%3a%3aa%0900000217077%3a%3aa%0900000216929%3a%3aa&amp;rid=ec01_detail_1_110300250540" TargetMode="External"/><Relationship Id="rId2350" Type="http://schemas.openxmlformats.org/officeDocument/2006/relationships/hyperlink" Target="https://www.digikey.jp/product-detail/en/ftdi-future-technology-devices-international-ltd/TTL-232R-3V3/768-1015-ND/1836393" TargetMode="External"/><Relationship Id="rId3401" Type="http://schemas.openxmlformats.org/officeDocument/2006/relationships/hyperlink" Target="http://byonics.com/cart" TargetMode="External"/><Relationship Id="rId5299" Type="http://schemas.openxmlformats.org/officeDocument/2006/relationships/hyperlink" Target="https://www.amazon.co.jp/-/en/Signal-Amplifier-5-6000MHz-Medium-Electronic/dp/B089YS2YCF/ref=sr_1_2?crid=2K6WDAKFDVSOV&amp;keywords=rf+%E5%BA%83%E5%B8%AF%E5%9F%9F%E3%82%A2%E3%83%B3%E3%83%97+6000&amp;qid=1674631675&amp;s=industrial&amp;sprefix=rf+wideband+amplifier+6000%2Cindustrial%2C302&amp;sr=1-2" TargetMode="External"/><Relationship Id="rId115" Type="http://schemas.openxmlformats.org/officeDocument/2006/relationships/hyperlink" Target="https://jp.misumi-ec.com/vona2/detail/221000551286/?CategorySpec=00000217065%3a%3amig00000002463787%0900000217017%3a%3amig00000002463781%0900000217082%3a%3aa%0900000217097%3a%3aa%0900000217131%3a%3aa%0900000217143%3a%3aa%0900000216962%3a%3aj&amp;bid=bid_list_template" TargetMode="External"/><Relationship Id="rId322" Type="http://schemas.openxmlformats.org/officeDocument/2006/relationships/hyperlink" Target="https://www.monotaro.com/p/0570/8997/" TargetMode="External"/><Relationship Id="rId2003" Type="http://schemas.openxmlformats.org/officeDocument/2006/relationships/hyperlink" Target="https://www.digikey.jp/product-detail/en/molex/0532610271/WM7620CT-ND/699107" TargetMode="External"/><Relationship Id="rId2210" Type="http://schemas.openxmlformats.org/officeDocument/2006/relationships/hyperlink" Target="https://www.digikey.jp/product-detail/en/te-connectivity-passive-product/CCR21K0KB/A105582-ND/2365079" TargetMode="External"/><Relationship Id="rId5159" Type="http://schemas.openxmlformats.org/officeDocument/2006/relationships/hyperlink" Target="https://www.digikey.jp/ja/products/detail/microchip-technology/ATMEGA32U4-AU/1914602" TargetMode="External"/><Relationship Id="rId5366" Type="http://schemas.openxmlformats.org/officeDocument/2006/relationships/hyperlink" Target="https://www.monotaro.com/p/4901/9582/?t.q=jst%20%83R%83l%83N%83%5E%20eh" TargetMode="External"/><Relationship Id="rId4175" Type="http://schemas.openxmlformats.org/officeDocument/2006/relationships/hyperlink" Target="https://www.p-ban.com/kiban/com/csComTop.do" TargetMode="External"/><Relationship Id="rId4382" Type="http://schemas.openxmlformats.org/officeDocument/2006/relationships/hyperlink" Target="https://www.monotaro.com/g/01213834/" TargetMode="External"/><Relationship Id="rId5019" Type="http://schemas.openxmlformats.org/officeDocument/2006/relationships/hyperlink" Target="https://www.mouser.jp/ProductDetail/Micron/MT25QL01GBBB8ESF-0AAT?qs=rrS6PyfT74cvqiYCIFe86w%3D%3D" TargetMode="External"/><Relationship Id="rId5226" Type="http://schemas.openxmlformats.org/officeDocument/2006/relationships/hyperlink" Target="https://jp.misumi-ec.com/vona2/detail/110300229450/?ProductCode=RDOS8-50" TargetMode="External"/><Relationship Id="rId1769" Type="http://schemas.openxmlformats.org/officeDocument/2006/relationships/hyperlink" Target="https://www.digikey.jp/product-detail/ja/murata-electronics-north-america/GJM1555C1H100JB01D/490-3113-1-ND/702379" TargetMode="External"/><Relationship Id="rId1976" Type="http://schemas.openxmlformats.org/officeDocument/2006/relationships/hyperlink" Target="https://www.digikey.jp/product-detail/en/kemet/C0603C475K8PACTU/399-5503-1-ND/1950681" TargetMode="External"/><Relationship Id="rId3191" Type="http://schemas.openxmlformats.org/officeDocument/2006/relationships/hyperlink" Target="https://www.monotaro.com/p/3989/5118/" TargetMode="External"/><Relationship Id="rId4035" Type="http://schemas.openxmlformats.org/officeDocument/2006/relationships/hyperlink" Target="https://jp.rs-online.com/web/p/products/5443834/" TargetMode="External"/><Relationship Id="rId4242" Type="http://schemas.openxmlformats.org/officeDocument/2006/relationships/hyperlink" Target="https://jp.rs-online.com/web/p/products/1828831/" TargetMode="External"/><Relationship Id="rId1629" Type="http://schemas.openxmlformats.org/officeDocument/2006/relationships/hyperlink" Target="https://www.monotaro.com/brand/1769/" TargetMode="External"/><Relationship Id="rId1836" Type="http://schemas.openxmlformats.org/officeDocument/2006/relationships/hyperlink" Target="https://www.digikey.jp/product-detail/en/rohm-semiconductor/SML-E12Y8WT86/511-1588-1-ND/1641820" TargetMode="External"/><Relationship Id="rId1903" Type="http://schemas.openxmlformats.org/officeDocument/2006/relationships/hyperlink" Target="https://www.marutsu.co.jp/pc/i/1259/" TargetMode="External"/><Relationship Id="rId3051" Type="http://schemas.openxmlformats.org/officeDocument/2006/relationships/hyperlink" Target="https://www.digikey.jp/products/ja?keywords=BA50DD0T" TargetMode="External"/><Relationship Id="rId4102" Type="http://schemas.openxmlformats.org/officeDocument/2006/relationships/hyperlink" Target="https://jp.misumi-ec.com/vona2/detail/221006204478/?ProductCode=C-315-5" TargetMode="External"/><Relationship Id="rId3868" Type="http://schemas.openxmlformats.org/officeDocument/2006/relationships/hyperlink" Target="https://www.mouser.jp/ProductDetail/BusBoard-Prototype-Systems/SP1-50x50-G?qs=NGErKr1RxMDD3GIS2t7UcQ==" TargetMode="External"/><Relationship Id="rId4919" Type="http://schemas.openxmlformats.org/officeDocument/2006/relationships/hyperlink" Target="https://www.monotaro.com/p/1135/5977/" TargetMode="External"/><Relationship Id="rId789" Type="http://schemas.openxmlformats.org/officeDocument/2006/relationships/hyperlink" Target="https://www.digikey.jp/product-detail/en/memsic-inc/MMC5883MA/1267-1072-1-ND/7063085" TargetMode="External"/><Relationship Id="rId996" Type="http://schemas.openxmlformats.org/officeDocument/2006/relationships/hyperlink" Target="https://www.digikey.jp/product-detail/ja/micron-technology-inc/MT25QL01GBBB8ESF-0SIT-TR/557-1981-1-ND/9673962" TargetMode="External"/><Relationship Id="rId2677" Type="http://schemas.openxmlformats.org/officeDocument/2006/relationships/hyperlink" Target="https://www.mouser.jp/ProductDetail/KOA-Speer/RK73B1JTTD123J?qs=%2Fha2pyFadugsLOWdTaAvHtpumARLFlCgB9KAn63jd1v29qD701%2FUtQ%3D%3D" TargetMode="External"/><Relationship Id="rId2884" Type="http://schemas.openxmlformats.org/officeDocument/2006/relationships/hyperlink" Target="https://www.switch-science.com/catalog/3200/" TargetMode="External"/><Relationship Id="rId3728" Type="http://schemas.openxmlformats.org/officeDocument/2006/relationships/hyperlink" Target="https://jp.rs-online.com/web/p/cartridge-fuses/5234725/" TargetMode="External"/><Relationship Id="rId5083" Type="http://schemas.openxmlformats.org/officeDocument/2006/relationships/hyperlink" Target="https://jp.misumi-ec.com/vona2/detail/110302280540/?rid=c14_keywsrchview_5_110302280540&amp;list=HistoryViewedProducts" TargetMode="External"/><Relationship Id="rId5290" Type="http://schemas.openxmlformats.org/officeDocument/2006/relationships/hyperlink" Target="https://www.digikey.jp/en/products/detail/murata-electronics/GJM1555C1H200FB01D/2592908" TargetMode="External"/><Relationship Id="rId649" Type="http://schemas.openxmlformats.org/officeDocument/2006/relationships/hyperlink" Target="https://www.digikey.jp/product-detail/en/yageo/CC0805JRNPO9BN220/311-1103-1-ND/303013" TargetMode="External"/><Relationship Id="rId856" Type="http://schemas.openxmlformats.org/officeDocument/2006/relationships/hyperlink" Target="https://jp.rs-online.com/web/p/optocouplers/1611266/" TargetMode="External"/><Relationship Id="rId1279" Type="http://schemas.openxmlformats.org/officeDocument/2006/relationships/hyperlink" Target="https://www.rfsupplier.com/ufl-right-angle-jack-to-mmcx-plug-right-angle-cable-using-rg178-coax_p6621.html" TargetMode="External"/><Relationship Id="rId1486" Type="http://schemas.openxmlformats.org/officeDocument/2006/relationships/hyperlink" Target="https://www.digikey.jp/product-detail/ja/samtec-inc/CLM-103-02-F-D-TR/SAM13368CT-ND/9593662" TargetMode="External"/><Relationship Id="rId2537" Type="http://schemas.openxmlformats.org/officeDocument/2006/relationships/hyperlink" Target="https://jp.misumi-ec.com/vona2/detail/110302686450/?HissuCode=GFS6-3030-440&amp;PNSearch=GFS6-3030-440&amp;KWSearch=GFS6-3030-440&amp;searchFlow=results2products" TargetMode="External"/><Relationship Id="rId3935" Type="http://schemas.openxmlformats.org/officeDocument/2006/relationships/hyperlink" Target="https://www.mouser.com/Passive-Components/Capacitors/Ceramic-Capacitors/MLCCs-Multilayer-Ceramic-Capacitors/Multilayer-Ceramic-Capacitors-MLCC-SMD-SMT/_/N-bkrdv?P=1z0wrkmZ1yzmou0" TargetMode="External"/><Relationship Id="rId5150" Type="http://schemas.openxmlformats.org/officeDocument/2006/relationships/hyperlink" Target="https://jp.rs-online.com/web/p/pcb-terminal-blocks/1930586" TargetMode="External"/><Relationship Id="rId509" Type="http://schemas.openxmlformats.org/officeDocument/2006/relationships/hyperlink" Target="https://jp.misumi-ec.com/vona2/detail/110302280540/?PNSearch=CBSTSR2-6&amp;HissuCode=CBSTSR2-6&amp;searchFlow=suggest2products&amp;Keyword=CBSTSR2-6" TargetMode="External"/><Relationship Id="rId1139" Type="http://schemas.openxmlformats.org/officeDocument/2006/relationships/hyperlink" Target="https://www.digikey.jp/products/ja/development-boards-kits-programmers/evaluation-boards-expansion-boards-daughter-cards/797?k=raspberry%20pi%20compute" TargetMode="External"/><Relationship Id="rId1346" Type="http://schemas.openxmlformats.org/officeDocument/2006/relationships/hyperlink" Target="https://jp.misumi-ec.com/vona2/detail/110302685050/?CategorySpec=00000173432%3a%3amig00000002491549%0900000173392%3a%3ab&amp;clkid=clkid_list_template" TargetMode="External"/><Relationship Id="rId1693" Type="http://schemas.openxmlformats.org/officeDocument/2006/relationships/hyperlink" Target="https://www.mouser.jp/ProductDetail/KEMET/C0603C391J1HACTU?qs=sGAEpiMZZMs0AnBnWHyRQN7%2FAA2D2lPP4lqDDvnOuEU%252Bgte7Wt19Fg%3D%3D" TargetMode="External"/><Relationship Id="rId2744" Type="http://schemas.openxmlformats.org/officeDocument/2006/relationships/hyperlink" Target="https://www.monotaro.com/g/00452765/?t.attr_f1=%8E%F7%8E%89&amp;t.attr_f2=M3&amp;t.attr_f2553=1&amp;t.attr_f2600=%95%BD%8D%C0%8B%E0%28%83%8F%83b%83V%83%83%81%5B%29&amp;t.attr_f860=10" TargetMode="External"/><Relationship Id="rId2951" Type="http://schemas.openxmlformats.org/officeDocument/2006/relationships/hyperlink" Target="https://www.digikey.jp/product-detail/en/CF14JT10K0/CF14JT10K0CT-ND/1830374/?itemSeq=349430649" TargetMode="External"/><Relationship Id="rId5010" Type="http://schemas.openxmlformats.org/officeDocument/2006/relationships/hyperlink" Target="https://www.mouser.jp/ProductDetail/Panasonic/ERJ-6GEYJ104V?qs=tQNqqtTOejL5eczyE2lY8g%3D%3D" TargetMode="External"/><Relationship Id="rId716" Type="http://schemas.openxmlformats.org/officeDocument/2006/relationships/hyperlink" Target="https://www.digikey.jp/product-detail/ja/abracon-llc/AIMC-0805-33NJ-T/535-11564-1-ND/2782805" TargetMode="External"/><Relationship Id="rId923" Type="http://schemas.openxmlformats.org/officeDocument/2006/relationships/hyperlink" Target="https://www.digikey.jp/product-detail/ja/sullins-connector-solutions/LPPB052NFSP-RC/S9007E-05-ND/1786351?cur=JPY&amp;lang=ja" TargetMode="External"/><Relationship Id="rId1553" Type="http://schemas.openxmlformats.org/officeDocument/2006/relationships/hyperlink" Target="https://www.mouser.jp/ProductDetail/Crowd-Supply/cs-lime-05?qs=sGAEpiMZZMve4%2FbfQkoj%252BMhQML8ddRrgClCLPhd9F2o%3D" TargetMode="External"/><Relationship Id="rId1760" Type="http://schemas.openxmlformats.org/officeDocument/2006/relationships/hyperlink" Target="https://www.digikey.jp/product-detail/en/murata-electronics/GRM155R71H103KA88D/490-4516-1-ND/1033275" TargetMode="External"/><Relationship Id="rId2604" Type="http://schemas.openxmlformats.org/officeDocument/2006/relationships/hyperlink" Target="https://www.digikey.jp/product-detail/ja/harwin-inc/M80-8672622/952-2396-5-ND/2272043" TargetMode="External"/><Relationship Id="rId2811" Type="http://schemas.openxmlformats.org/officeDocument/2006/relationships/hyperlink" Target="https://jp.rs-online.com/web/p/coaxial-cable/4987585/" TargetMode="External"/><Relationship Id="rId52" Type="http://schemas.openxmlformats.org/officeDocument/2006/relationships/hyperlink" Target="https://www.nbk1560.com/products/specialscrew/nedzicom/lowsmallheadscrew/SLHS/" TargetMode="External"/><Relationship Id="rId1206" Type="http://schemas.openxmlformats.org/officeDocument/2006/relationships/hyperlink" Target="https://www.digikey.jp/product-detail/en/memsic-inc/MMC5883MA/1267-1072-1-ND/7063085" TargetMode="External"/><Relationship Id="rId1413" Type="http://schemas.openxmlformats.org/officeDocument/2006/relationships/hyperlink" Target="https://www.digikey.jp/product-detail/en/vishay-dale/CRCW0805261KFKEA/541-261KCCT-ND/1181058" TargetMode="External"/><Relationship Id="rId1620" Type="http://schemas.openxmlformats.org/officeDocument/2006/relationships/hyperlink" Target="https://www.askul.co.jp/p/K180192/" TargetMode="External"/><Relationship Id="rId4569" Type="http://schemas.openxmlformats.org/officeDocument/2006/relationships/hyperlink" Target="https://jp.misumi-ec.com/vona2/detail/110310148319/?HissuCode=SUS304-BPL-95-155&amp;PNSearch=SUS304-BPL-95-155&amp;KWSearch=SUS304-BPL-95-155&amp;searchFlow=results2products&amp;list=PageSearchResult" TargetMode="External"/><Relationship Id="rId4776" Type="http://schemas.openxmlformats.org/officeDocument/2006/relationships/hyperlink" Target="https://jp.misumi-ec.com/vona2/detail/110300465870/?list=PageCategory" TargetMode="External"/><Relationship Id="rId4983" Type="http://schemas.openxmlformats.org/officeDocument/2006/relationships/hyperlink" Target="https://www.isispace.nl/product/isis-magnetorquer-board/" TargetMode="External"/><Relationship Id="rId3378" Type="http://schemas.openxmlformats.org/officeDocument/2006/relationships/hyperlink" Target="https://www.digikey.jp/product-detail/ja/murata-electronics/GRM1885C1H430JA01D/490-1418-1-ND/587617?utm_adgroup=Ceramic%20Capacitor&amp;utm_source=google&amp;utm_medium=cpc&amp;utm_campaign=Shopping_Product_Capacitors_NEW&amp;utm_term=&amp;productid=587617&amp;gclid=Cj0KCQjwsqmEBhDiARIsANV8H3Z7NzXgrmBF3ILrNrJ43WsFOzMsGFxwsPJ20CwvEVyLxOr9D3zrAgQaAgUGEALw_wcB" TargetMode="External"/><Relationship Id="rId3585" Type="http://schemas.openxmlformats.org/officeDocument/2006/relationships/hyperlink" Target="https://www.digikey.jp/product-detail/ja/seeed-technology-co-ltd/113990662/1597-1750-ND/10060370" TargetMode="External"/><Relationship Id="rId3792" Type="http://schemas.openxmlformats.org/officeDocument/2006/relationships/hyperlink" Target="https://www.digikey.jp/product-detail/en/w%C3%BCrth-elektronik/970270321/732-10620-ND/6174840" TargetMode="External"/><Relationship Id="rId4429" Type="http://schemas.openxmlformats.org/officeDocument/2006/relationships/hyperlink" Target="https://www.p-ban.com/" TargetMode="External"/><Relationship Id="rId4636" Type="http://schemas.openxmlformats.org/officeDocument/2006/relationships/hyperlink" Target="https://jp.misumi-ec.com/vona2/detail/110302603510/?HissuCode=CBSS6-8" TargetMode="External"/><Relationship Id="rId4843" Type="http://schemas.openxmlformats.org/officeDocument/2006/relationships/hyperlink" Target="https://jp.misumi-ec.com/vona2/detail/223005097390/?HissuCode=243-10" TargetMode="External"/><Relationship Id="rId299" Type="http://schemas.openxmlformats.org/officeDocument/2006/relationships/hyperlink" Target="https://www.digikey.jp/product-detail/ja/allegro-microsystems-llc/ACS722LLCTR-05AB-T/620-1634-1-ND/4948902" TargetMode="External"/><Relationship Id="rId2187" Type="http://schemas.openxmlformats.org/officeDocument/2006/relationships/hyperlink" Target="http://akizukidenshi.com/catalog/g/gP-13016/" TargetMode="External"/><Relationship Id="rId2394" Type="http://schemas.openxmlformats.org/officeDocument/2006/relationships/hyperlink" Target="https://www.digikey.jp/products/en?keywords=490-14466-1-ND" TargetMode="External"/><Relationship Id="rId3238" Type="http://schemas.openxmlformats.org/officeDocument/2006/relationships/hyperlink" Target="http://amazon.com/" TargetMode="External"/><Relationship Id="rId3445" Type="http://schemas.openxmlformats.org/officeDocument/2006/relationships/hyperlink" Target="https://www.digikey.jp/products/ja?keywords=A3C-50DA-2DSA(71)" TargetMode="External"/><Relationship Id="rId3652" Type="http://schemas.openxmlformats.org/officeDocument/2006/relationships/hyperlink" Target="https://www.digikey.jp/product-detail/en/yageo/RC0402FR-0749R9L/311-49.9LRCT-ND/729568" TargetMode="External"/><Relationship Id="rId4703" Type="http://schemas.openxmlformats.org/officeDocument/2006/relationships/hyperlink" Target="https://jp.misumi-ec.com/vona2/detail/221000233306/?ProductCode=SPE-M2X6-P" TargetMode="External"/><Relationship Id="rId159" Type="http://schemas.openxmlformats.org/officeDocument/2006/relationships/hyperlink" Target="https://jp.rs-online.com/web/p/mosfet-transistors/7800517/" TargetMode="External"/><Relationship Id="rId366" Type="http://schemas.openxmlformats.org/officeDocument/2006/relationships/hyperlink" Target="https://www.digikey.jp/products/ja?keywords=490-1173-1-ND" TargetMode="External"/><Relationship Id="rId573" Type="http://schemas.openxmlformats.org/officeDocument/2006/relationships/hyperlink" Target="https://www.digikey.jp/en/supplier-centers/t/taiwan-semiconductor" TargetMode="External"/><Relationship Id="rId780" Type="http://schemas.openxmlformats.org/officeDocument/2006/relationships/hyperlink" Target="https://www.digikey.jp/product-detail/ja/hirose-electric-co-ltd/U.FL-2LP-068N1T-AC-200/H122296-ND/4867038" TargetMode="External"/><Relationship Id="rId2047" Type="http://schemas.openxmlformats.org/officeDocument/2006/relationships/hyperlink" Target="https://www.latticestore.com/products/tabid/417/searchid/1/searchvalue/lsc-sw-isplever/default.aspx" TargetMode="External"/><Relationship Id="rId2254" Type="http://schemas.openxmlformats.org/officeDocument/2006/relationships/hyperlink" Target="https://www.monotaro.com/g/00384182/?t.q=%89%F1%93%5D%91%E4" TargetMode="External"/><Relationship Id="rId2461" Type="http://schemas.openxmlformats.org/officeDocument/2006/relationships/hyperlink" Target="https://www.digikey.jp/product-detail/ja/murata-electronics/GRM155C80J106ME11J/490-18210-1-ND/9867939" TargetMode="External"/><Relationship Id="rId3305" Type="http://schemas.openxmlformats.org/officeDocument/2006/relationships/hyperlink" Target="https://www.digikey.jp/product-detail/ja/texas-instruments/SN74LVC2G34DBVR/296-13496-1-ND/486431" TargetMode="External"/><Relationship Id="rId3512" Type="http://schemas.openxmlformats.org/officeDocument/2006/relationships/hyperlink" Target="https://www.monotaro.com/p/0639/3624/" TargetMode="External"/><Relationship Id="rId4910" Type="http://schemas.openxmlformats.org/officeDocument/2006/relationships/hyperlink" Target="https://jp.rs-online.com/web/p/ethernet-cable/2115759?cm_mmc=JP-PLA-DS3A-_-google-_-PLA_JP_JP_%E3%82%B1%E3%83%BC%E3%83%96%E3%83%AB_Whoop-_-(JP:Whoop!)+%E3%82%A4%E3%83%BC%E3%82%B5%E3%83%8D%E3%83%83%E3%83%88%E3%82%B1%E3%83%BC%E3%83%96%E3%83%AB-_-2115759&amp;matchtype=&amp;pla-341401857057&amp;gclid=CjwKCAjw7IeUBhBbEiwADhiEMU00XsyBdkIWRkh_QV5trMYj2j7yDINCK2kjBqB9ykEZ26eco60NShoCZ1YQAvD_BwE&amp;gclsrc=aw.ds" TargetMode="External"/><Relationship Id="rId226" Type="http://schemas.openxmlformats.org/officeDocument/2006/relationships/hyperlink" Target="https://jp.rs-online.com/web/p/products/1367681/" TargetMode="External"/><Relationship Id="rId433" Type="http://schemas.openxmlformats.org/officeDocument/2006/relationships/hyperlink" Target="http://jp.rs-online.com/web/p/microcontrollers/6670056/" TargetMode="External"/><Relationship Id="rId1063" Type="http://schemas.openxmlformats.org/officeDocument/2006/relationships/hyperlink" Target="https://www.digikey.jp/product-detail/en/rohm-semiconductor/SML-E12M8WT86/511-1584-1-ND/1641816" TargetMode="External"/><Relationship Id="rId1270" Type="http://schemas.openxmlformats.org/officeDocument/2006/relationships/hyperlink" Target="https://www.digikey.jp/product-detail/en/ftdi-future-technology-devices-international-ltd/TTL-232R-3V3/768-1015-ND/1836393" TargetMode="External"/><Relationship Id="rId2114" Type="http://schemas.openxmlformats.org/officeDocument/2006/relationships/hyperlink" Target="https://www.digikey.jp/product-detail/en/apex-tool-group/T0054443599N/T0054443599N-ND/267991" TargetMode="External"/><Relationship Id="rId640" Type="http://schemas.openxmlformats.org/officeDocument/2006/relationships/hyperlink" Target="https://www.askul.co.jp/p/8889043/" TargetMode="External"/><Relationship Id="rId2321" Type="http://schemas.openxmlformats.org/officeDocument/2006/relationships/hyperlink" Target="https://jp.rs-online.com/web/p/pcb-headers/5151305/" TargetMode="External"/><Relationship Id="rId4079" Type="http://schemas.openxmlformats.org/officeDocument/2006/relationships/hyperlink" Targe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false%7D" TargetMode="External"/><Relationship Id="rId4286" Type="http://schemas.openxmlformats.org/officeDocument/2006/relationships/hyperlink" Target="https://www.monotaro.com/monotaroMain.py" TargetMode="External"/><Relationship Id="rId500" Type="http://schemas.openxmlformats.org/officeDocument/2006/relationships/hyperlink" Target="https://jp.rs-online.com/web/p/surface-mount-fixed-resistors/0432337/?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130324A267374613D524B37334232415454443130324A26&amp;searchHistory=%7B%22enabled%22%3Atrue%7D" TargetMode="External"/><Relationship Id="rId1130" Type="http://schemas.openxmlformats.org/officeDocument/2006/relationships/hyperlink" Target="http://skytraq.com.tw/" TargetMode="External"/><Relationship Id="rId4493" Type="http://schemas.openxmlformats.org/officeDocument/2006/relationships/hyperlink" Target="https://jp.rs-online.com/web/p/solder-flux-removers/6642903/?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6342D32393033267365617263685F6B6579776F72645F6170703D36363432393033267365617263685F636F6E6669673D3126&amp;searchHistory=%7B%22enabled%22%3Atrue%7D" TargetMode="External"/><Relationship Id="rId5337" Type="http://schemas.openxmlformats.org/officeDocument/2006/relationships/hyperlink" Target="https://www.digikey.jp/en/products/detail/analog-devices-inc/ADL5324ARKZ-R7/3196896?s=N4IgTCBcDaIIIBEAyBWAzGALCAugXyA" TargetMode="External"/><Relationship Id="rId1947" Type="http://schemas.openxmlformats.org/officeDocument/2006/relationships/hyperlink" Target="https://www.digikey.jp/product-detail/ja/murata-electronics/GRM219R60J476ME44D/490-13249-1-ND/5877457" TargetMode="External"/><Relationship Id="rId3095" Type="http://schemas.openxmlformats.org/officeDocument/2006/relationships/hyperlink" Target="https://jp.misumi-ec.com/vona2/detail/221006204478/?ProductCode=C-307.5-5" TargetMode="External"/><Relationship Id="rId4146" Type="http://schemas.openxmlformats.org/officeDocument/2006/relationships/hyperlink" Target="https://www.digikey.jp/product-detail/en/molex/0554600272/WM8301CT-ND/1632945" TargetMode="External"/><Relationship Id="rId4353" Type="http://schemas.openxmlformats.org/officeDocument/2006/relationships/hyperlink" Target="https://www.monotaro.com/p/3324/0313/?displayId=5" TargetMode="External"/><Relationship Id="rId4560" Type="http://schemas.openxmlformats.org/officeDocument/2006/relationships/hyperlink" Target="https://www.monotaro.com/g/01213834/?t.q=FSM-21045-12" TargetMode="External"/><Relationship Id="rId1807" Type="http://schemas.openxmlformats.org/officeDocument/2006/relationships/hyperlink" Target="http://skytraq.com.tw/" TargetMode="External"/><Relationship Id="rId3162" Type="http://schemas.openxmlformats.org/officeDocument/2006/relationships/hyperlink" Target="https://www.digikey.jp/product-detail/en/xsens-technologies-bv/MTI-3-T/MTI-3-T-ND/9607411" TargetMode="External"/><Relationship Id="rId4006" Type="http://schemas.openxmlformats.org/officeDocument/2006/relationships/hyperlink" Target="https://jp.rs-online.com/web/p/polyphenylene-sulphide-film-capacitors/7270316/" TargetMode="External"/><Relationship Id="rId4213" Type="http://schemas.openxmlformats.org/officeDocument/2006/relationships/hyperlink" Target="https://www.mouser.jp/ProductDetail/Texas-Instruments/SN74LVC2G34DBVR?qs=gqbMQSs93zOw%2FyHBVKqhZQ%3D%3D" TargetMode="External"/><Relationship Id="rId4420" Type="http://schemas.openxmlformats.org/officeDocument/2006/relationships/hyperlink" Target="https://www.amazon.co.jp/iBUFFALO-USB2-0&#24310;&#38263;&#12465;&#12540;&#12502;&#12523;-&#12473;&#12522;&#12512;&#12479;&#12452;&#12503;-&#12502;&#12521;&#12483;&#12463;-BSUAASM205BK/dp/B007STDMKG/ref=sr_1_6?__mk_ja_JP=&#12459;&#12479;&#12459;&#12490;&amp;crid=1OOM016L6B6VJ&amp;keywords=usb%2B&#24310;&#38263;&#12465;&#12540;&#12502;&#12523;%2B0.5m&amp;qid=1643254971&amp;sprefix=usb%2B&#24310;&#38263;&#12465;&#12540;&#12502;&#12523;%2B0.5%2Caps%2C272&amp;sr=8-6&amp;th=1" TargetMode="External"/><Relationship Id="rId290" Type="http://schemas.openxmlformats.org/officeDocument/2006/relationships/hyperlink" Target="https://www.digikey.jp/products/en?keywords=296-9213-5-ND" TargetMode="External"/><Relationship Id="rId3022" Type="http://schemas.openxmlformats.org/officeDocument/2006/relationships/hyperlink" Target="https://www.digikey.jp/product-detail/ja/pi-supply/RPI-029/1910-1000-ND/8136033" TargetMode="External"/><Relationship Id="rId150" Type="http://schemas.openxmlformats.org/officeDocument/2006/relationships/hyperlink" Target="https://www.digikey.jp/product-detail/en/memsic-inc/MMC5883MA/1267-1072-1-ND/7063085" TargetMode="External"/><Relationship Id="rId3979" Type="http://schemas.openxmlformats.org/officeDocument/2006/relationships/hyperlink" Target="https://www.digikey.jp/products/en?keywords=GAG10K3976b1" TargetMode="External"/><Relationship Id="rId5194" Type="http://schemas.openxmlformats.org/officeDocument/2006/relationships/hyperlink" Target="https://www.chip1stop.com/view/dispDetail/DispDetail?partId=TI01-0137404&amp;utm_medium=cpc&amp;utm_campaign=aggregator&amp;utm_source=octopart&amp;utm_term=TI01-0137404&amp;cid=octopart_TI01-0137404" TargetMode="External"/><Relationship Id="rId2788" Type="http://schemas.openxmlformats.org/officeDocument/2006/relationships/hyperlink" Target="https://www.digikey.jp/product-detail/en/koa-speer-electronics-inc/RK73H1JTTD5101F/2019-RK73H1JTTD5101FCT-ND/9846941" TargetMode="External"/><Relationship Id="rId2995" Type="http://schemas.openxmlformats.org/officeDocument/2006/relationships/hyperlink" Target="https://www.digikey.jp/ja/supplier-centers/microchip-technology" TargetMode="External"/><Relationship Id="rId3839" Type="http://schemas.openxmlformats.org/officeDocument/2006/relationships/hyperlink" Target="https://jp.misumi-ec.com/vona2/detail/110300250540/?PNSearch=SLBNR3&amp;HissuCode=SLBNR3&amp;searchFlow=suggest2products&amp;Keyword=SLBNR3" TargetMode="External"/><Relationship Id="rId5054" Type="http://schemas.openxmlformats.org/officeDocument/2006/relationships/hyperlink" Target="https://www.amazon.co.jp/dp/B07HHRDTJZ/ref=sspa_dk_detail_2?pd_rd_i=B07HHRDTJZ&amp;pd_rd_w=wYSla&amp;content-id=amzn1.sym.a710bf95-cf8c-4200-b800-fda98510a454&amp;pf_rd_p=a710bf95-cf8c-4200-b800-fda98510a454&amp;pf_rd_r=YZ5S7NHPGF0C1KEHMVS8&amp;pd_rd_wg=5CUFQ&amp;pd_rd_r=e2fd687a-1ab9-4358-8004-635c49a501a3&amp;s=home&amp;sp_csd=d2lkZ2V0TmFtZT1zcF9kZXRhaWxfdGhlbWF0aWM&amp;spLa=ZW5jcnlwdGVkUXVhbGlmaWVyPUFRRUQ4NkgwRVVDRlAmZW5jcnlwdGVkSWQ9QTA3ODA4NDAzTE45S005VkJJU0xVJmVuY3J5cHRlZEFkSWQ9QTNKRjhWWTZERUJXVkgmd2lkZ2V0TmFtZT1zcF9kZXRhaWxfdGhlbWF0aWMmYWN0aW9uPWNsaWNrUmVkaXJlY3QmZG9Ob3RMb2dDbGljaz10cnVl&amp;th=1" TargetMode="External"/><Relationship Id="rId967" Type="http://schemas.openxmlformats.org/officeDocument/2006/relationships/hyperlink" Target="https://jp.rs-online.com/web/p/pcb-headers/8201589/" TargetMode="External"/><Relationship Id="rId1597" Type="http://schemas.openxmlformats.org/officeDocument/2006/relationships/hyperlink" Target="https://jp.misumi-ec.com/vona2/detail/110302679630/?HissuCode=FABS3-%5b20-150%2f1%5d" TargetMode="External"/><Relationship Id="rId2648" Type="http://schemas.openxmlformats.org/officeDocument/2006/relationships/hyperlink" Target="https://www.monotaro.com/p/1134/4323/" TargetMode="External"/><Relationship Id="rId2855" Type="http://schemas.openxmlformats.org/officeDocument/2006/relationships/hyperlink" Target="https://www.monotaro.com/g/04911417/?t.q=%8C%60%8F%F3%8BL%89%AF%81%40%83t%83B%83%89%83%81%83%93%83g" TargetMode="External"/><Relationship Id="rId3906" Type="http://schemas.openxmlformats.org/officeDocument/2006/relationships/hyperlink" Target="https://jp.misumi-ec.com/vona2/detail/221000552007/?ProductCode=WSJS-SUS-M8" TargetMode="External"/><Relationship Id="rId5261" Type="http://schemas.openxmlformats.org/officeDocument/2006/relationships/hyperlink" Target="https://jp.misumi-ec.com/vona2/detail/221303783852/?ProductCode=CSHBTT-SUS-M2-6" TargetMode="External"/><Relationship Id="rId96" Type="http://schemas.openxmlformats.org/officeDocument/2006/relationships/hyperlink" Target="https://www.digikey.jp/products/ja?keywords=1276-6171-1-ND" TargetMode="External"/><Relationship Id="rId827" Type="http://schemas.openxmlformats.org/officeDocument/2006/relationships/hyperlink" Target="https://jp.misumi-ec.com/vona2/detail/223004986408/?rid=rid3" TargetMode="External"/><Relationship Id="rId1457" Type="http://schemas.openxmlformats.org/officeDocument/2006/relationships/hyperlink" Target="https://www.digikey.jp/product-detail/en/micron-technology-inc/MT25QL01GBBB8ESF-0SIT/557-1789-ND/6622725" TargetMode="External"/><Relationship Id="rId1664" Type="http://schemas.openxmlformats.org/officeDocument/2006/relationships/hyperlink" Target="https://www.askul.co.jp/p/2702684/" TargetMode="External"/><Relationship Id="rId1871" Type="http://schemas.openxmlformats.org/officeDocument/2006/relationships/hyperlink" Target="https://www.digikey.jp/product-detail/en/koa-speer-electronics-inc/RK73H2ATTD2000F/2019-RK73H2ATTD2000FCT-ND/10235398" TargetMode="External"/><Relationship Id="rId2508" Type="http://schemas.openxmlformats.org/officeDocument/2006/relationships/hyperlink" Target="https://jp.misumi-ec.com/vona2/detail/221000237669/?PNSearch=SLHS-M3X10&amp;HissuCode=SLHS-M3X10&amp;searchFlow=suggest2products&amp;Keyword=SLHS-M3X10" TargetMode="External"/><Relationship Id="rId2715" Type="http://schemas.openxmlformats.org/officeDocument/2006/relationships/hyperlink" Target="https://akizukidenshi.com/catalog/g/gK-05489/" TargetMode="External"/><Relationship Id="rId2922" Type="http://schemas.openxmlformats.org/officeDocument/2006/relationships/hyperlink" Target="https://www.digikey.jp/product-detail/ja/bourns-inc/CG0603MLC-05E/CG0603MLC-05ECT-ND/3438061" TargetMode="External"/><Relationship Id="rId4070" Type="http://schemas.openxmlformats.org/officeDocument/2006/relationships/hyperlink" Target="https://jp.rs-online.com/web/p/surface-mount-fixed-resistors/6318212" TargetMode="External"/><Relationship Id="rId5121" Type="http://schemas.openxmlformats.org/officeDocument/2006/relationships/hyperlink" Target="https://ja.aliexpress.com/item/1005002583444714.html" TargetMode="External"/><Relationship Id="rId1317" Type="http://schemas.openxmlformats.org/officeDocument/2006/relationships/hyperlink" Target="https://www.digikey.jp/products/en?keywords=296-36413-1-ND" TargetMode="External"/><Relationship Id="rId1524" Type="http://schemas.openxmlformats.org/officeDocument/2006/relationships/hyperlink" Target="https://www.digikey.jp/product-detail/ja/mikroelektronika/MIKROE-2314/1471-1970-ND/8564418" TargetMode="External"/><Relationship Id="rId1731" Type="http://schemas.openxmlformats.org/officeDocument/2006/relationships/hyperlink" Target="https://www.marutsu.co.jp/pc/i/132145/" TargetMode="External"/><Relationship Id="rId4887" Type="http://schemas.openxmlformats.org/officeDocument/2006/relationships/hyperlink" Target="https://jp.misumi-ec.com/vona2/detail/221006204478/?PNSearch=C-2002&amp;HissuCode=C-2002&amp;searchFlow=suggest2products&amp;Keyword=C-2002&amp;list=SuggestPreview" TargetMode="External"/><Relationship Id="rId23" Type="http://schemas.openxmlformats.org/officeDocument/2006/relationships/hyperlink" Target="https://jp.rs-online.com/web/p/current-sensors/8660767/?sra=pstk" TargetMode="External"/><Relationship Id="rId3489" Type="http://schemas.openxmlformats.org/officeDocument/2006/relationships/hyperlink" Target="https://www.digikey.jp/product-detail/en/norcomp-inc/171-015-103L001/215ME-ND/858117" TargetMode="External"/><Relationship Id="rId3696" Type="http://schemas.openxmlformats.org/officeDocument/2006/relationships/hyperlink" Target="https://www.mouser.jp/ProductDetail/Murata-Electronics/GCM188R71E104KA57D?qs=%2Fha2pyFadujk%252BFlUnTffCVnZTfOX0qwJLsfZfnrqYOoPPge%2FKYSVIIAGAH25lSPW" TargetMode="External"/><Relationship Id="rId4747" Type="http://schemas.openxmlformats.org/officeDocument/2006/relationships/hyperlink" Target="https://www.monotaro.com/g/01366154/?t.q=&#37509;&#12486;&#12540;&#12503;%E3%80%80&#23566;&#38651;&#24615;%205mm" TargetMode="External"/><Relationship Id="rId2298" Type="http://schemas.openxmlformats.org/officeDocument/2006/relationships/hyperlink" Target="https://akizukidenshi.com/catalog/g/gR-25102/" TargetMode="External"/><Relationship Id="rId3349" Type="http://schemas.openxmlformats.org/officeDocument/2006/relationships/hyperlink" Target="https://www.digikey.jp/product-detail/en/sullins-connector-solutions/PPTC022LFBN-RC/S7070-ND/810209" TargetMode="External"/><Relationship Id="rId3556" Type="http://schemas.openxmlformats.org/officeDocument/2006/relationships/hyperlink" Target="https://www.mouser.jp/ProductDetail/Nexperia/PMEG2010ER115?qs=%2Fha2pyFadujp3dcHNPxbXRc0to8rNi1zAJyCRgSrARKx1if86CV9yw%3D%3D" TargetMode="External"/><Relationship Id="rId4954" Type="http://schemas.openxmlformats.org/officeDocument/2006/relationships/hyperlink" Target="https://jp.misumi-ec.com/vona2/detail/110302603510/?HissuCode=CBSA2-6" TargetMode="External"/><Relationship Id="rId477" Type="http://schemas.openxmlformats.org/officeDocument/2006/relationships/hyperlink" Target="https://www.nbk1560.com/products/specialscrew/nedzicom/lowsmallheadscrew/SSHS/SSHS-M2/" TargetMode="External"/><Relationship Id="rId684" Type="http://schemas.openxmlformats.org/officeDocument/2006/relationships/hyperlink" Target="https://www.p-ban.com/kiban/com/csComTop.do" TargetMode="External"/><Relationship Id="rId2158" Type="http://schemas.openxmlformats.org/officeDocument/2006/relationships/hyperlink" Target="https://www.monotaro.com/p/3324/0313/?displayId=5" TargetMode="External"/><Relationship Id="rId2365" Type="http://schemas.openxmlformats.org/officeDocument/2006/relationships/hyperlink" Target="https://jp.misumi-ec.com/vona2/detail/110302280540/?HissuCode=CBSTSR&amp;PNSearch=CBSTSR&amp;KWSearch=CBSTSR&amp;searchFlow=results2products" TargetMode="External"/><Relationship Id="rId3209" Type="http://schemas.openxmlformats.org/officeDocument/2006/relationships/hyperlink" Target="https://jp.misumi-ec.com/vona2/detail/110302374430/?PNSearch=HFSFIN6-1530&amp;HissuCode=HFSFIN6-1530&amp;searchFlow=suggest2products&amp;Keyword=HFSFIN6-1530" TargetMode="External"/><Relationship Id="rId3763" Type="http://schemas.openxmlformats.org/officeDocument/2006/relationships/hyperlink" Target="https://www.digikey.jp/product-detail/en/450BXC10MEFC10X20/1189-1894-ND/3563744?itemSeq=373417864" TargetMode="External"/><Relationship Id="rId3970" Type="http://schemas.openxmlformats.org/officeDocument/2006/relationships/hyperlink" Target="https://jp.misumi-ec.com/vona2/detail/221006204478/?PNSearch=C-308-5&amp;HissuCode=C-308-5&amp;searchFlow=suggest2products&amp;Keyword=C-308-5&amp;list=SuggestPreview" TargetMode="External"/><Relationship Id="rId4607" Type="http://schemas.openxmlformats.org/officeDocument/2006/relationships/hyperlink" Target="https://www.amazon.co.jp/-/en/Doshisha-Tabletop-Compact-Supply-Battery/dp/B08XM7CNHT/ref=sr_1_7?crid=2YMER5HQQROW1&amp;keywords=%E3%82%B3%E3%83%BC%E3%83%89%E3%83%AC%E3%82%B9%E3%83%86%E3%83%BC%E3%83%96%E3%83%AB%E3%83%95%E3%82%A1%E3%83%B3&amp;qid=1652417348&amp;sprefix=table%2Bfan%2Caps%2C187&amp;sr=8-7&amp;th=1" TargetMode="External"/><Relationship Id="rId4814" Type="http://schemas.openxmlformats.org/officeDocument/2006/relationships/hyperlink" Target="https://www.digikey.jp/en/products/detail/rf-solutions/ADP-NF-BNCM/5866901" TargetMode="External"/><Relationship Id="rId337" Type="http://schemas.openxmlformats.org/officeDocument/2006/relationships/hyperlink" Target="https://jp.rs-online.com/web/p/motor-driver-ics/7703797/" TargetMode="External"/><Relationship Id="rId891" Type="http://schemas.openxmlformats.org/officeDocument/2006/relationships/hyperlink" Target="https://jp.rs-online.com/web/p/mlccs-multilayer-ceramic-capacitors/9040142/" TargetMode="External"/><Relationship Id="rId2018" Type="http://schemas.openxmlformats.org/officeDocument/2006/relationships/hyperlink" Target="https://www.digikey.jp/product-detail/ja/visual-communications-company-vcc/CMD17-21VGD-TR8/L62505CT-ND/254936" TargetMode="External"/><Relationship Id="rId2572" Type="http://schemas.openxmlformats.org/officeDocument/2006/relationships/hyperlink" Target="https://www.p-ban.com/" TargetMode="External"/><Relationship Id="rId3416" Type="http://schemas.openxmlformats.org/officeDocument/2006/relationships/hyperlink" Target="https://jp.misumi-ec.com/vona2/detail/221006204478/?ProductCode=C-305.5-5" TargetMode="External"/><Relationship Id="rId3623" Type="http://schemas.openxmlformats.org/officeDocument/2006/relationships/hyperlink" Target="https://www.digikey.jp/product-detail/ja/xp-power/A02N-5/1470-3178-ND/5873488" TargetMode="External"/><Relationship Id="rId3830" Type="http://schemas.openxmlformats.org/officeDocument/2006/relationships/hyperlink" Target="https://www.p-ban.com/kiban/com/csComShwOrd.do?summaryOrderNo=21082700152" TargetMode="External"/><Relationship Id="rId544" Type="http://schemas.openxmlformats.org/officeDocument/2006/relationships/hyperlink" Target="https://www.digikey.jp/products/en?keywords=296-27885-1-ND" TargetMode="External"/><Relationship Id="rId751" Type="http://schemas.openxmlformats.org/officeDocument/2006/relationships/hyperlink" Target="https://www.digikey.jp/product-detail/en/amphenol-rf-division/908-22101T/ARF1725CT-ND/2041861" TargetMode="External"/><Relationship Id="rId1174" Type="http://schemas.openxmlformats.org/officeDocument/2006/relationships/hyperlink" Target="https://jp.misumi-ec.com/vona2/detail/110302280540/?HissuCode=CBSTSR&amp;PNSearch=CBSTSR&amp;KWSearch=CBSTSR&amp;searchFlow=results2products" TargetMode="External"/><Relationship Id="rId1381" Type="http://schemas.openxmlformats.org/officeDocument/2006/relationships/hyperlink" Target="https://www.digikey.jp/product-detail/en/murata-electronics/GRM21BR60J107ME15L/490-13981-1-ND/6155811" TargetMode="External"/><Relationship Id="rId2225" Type="http://schemas.openxmlformats.org/officeDocument/2006/relationships/hyperlink" Target="https://jp.misumi-ec.com/vona2/detail/110300239250/?CategorySpec=00000217065%3a%3amig00000002462152%0900000217017%3a%3amig00000002466048%0900000217082%3a%3aa%0900000258275%3a%3anvd00000000000003%0900000217131%3a%3ab%0900000216960%3a%3aa%0900000258260%3a%3aa%0900000217143%3a%3aa%0900000216927%3a%3aa%0900000217097%3a%3aa%0900000217026%3a%3aa" TargetMode="External"/><Relationship Id="rId2432" Type="http://schemas.openxmlformats.org/officeDocument/2006/relationships/hyperlink" Target="https://akizukidenshi.com/catalog/g/gK-11354/" TargetMode="External"/><Relationship Id="rId404" Type="http://schemas.openxmlformats.org/officeDocument/2006/relationships/hyperlink" Target="https://www.digikey.jp/product-detail/en/416501U00000G/416501U00000G-ND/6131502/?itemSeq=284870313" TargetMode="External"/><Relationship Id="rId611" Type="http://schemas.openxmlformats.org/officeDocument/2006/relationships/hyperlink" Target="https://www.digikey.jp/products/en?keywords=MCP602T-I%2FSNCT-ND" TargetMode="External"/><Relationship Id="rId1034" Type="http://schemas.openxmlformats.org/officeDocument/2006/relationships/hyperlink" Target="https://jp.misumi-ec.com/vona2/detail/221000768141/?CategorySpec=00000217157%3a%3aa%0900000217158%3a%3ab%0900000217161%3a%3ad&amp;clkid=clkid_list_template" TargetMode="External"/><Relationship Id="rId1241" Type="http://schemas.openxmlformats.org/officeDocument/2006/relationships/hyperlink" Target="https://www.p-ban.com/kiban/com/csComDocPrint:exec.do?receiptNo=19112500158&amp;doc=1" TargetMode="External"/><Relationship Id="rId4397" Type="http://schemas.openxmlformats.org/officeDocument/2006/relationships/hyperlink" Target="https://jp.misumi-ec.com/vona2/detail/221000551286/?PNSearch=CSH-SUS-M3-10&amp;HissuCode=CSH-SUS-M3-10&amp;searchFlow=suggest2products&amp;Keyword=CSH-SUS-M3-10&amp;list=SuggestPreview" TargetMode="External"/><Relationship Id="rId1101" Type="http://schemas.openxmlformats.org/officeDocument/2006/relationships/hyperlink" Target="https://www.digikey.jp/product-detail/ja/analog-devices-inc/AD7888ARZ-REEL7/AD7888ARZ-REEL7CT-ND/3694573" TargetMode="External"/><Relationship Id="rId4257" Type="http://schemas.openxmlformats.org/officeDocument/2006/relationships/hyperlink" Target="https://www.monotaro.com/p/1131/6987/" TargetMode="External"/><Relationship Id="rId4464" Type="http://schemas.openxmlformats.org/officeDocument/2006/relationships/hyperlink" Target="https://jp.rs-online.com/web/p/surface-mount-resistors/631639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8314A5454443130303146267365617263685F6B6579776F72645F6170703D524B373348314A5454443130303146267365617263685F636F6E6669673D3126&amp;searchHistory=%7B%22enabled%22%3Atrue%7D" TargetMode="External"/><Relationship Id="rId4671" Type="http://schemas.openxmlformats.org/officeDocument/2006/relationships/hyperlink" Target="https://www.digikey.jp/ja/products/detail/microchip-technology/MCP2221A-I-ST/6009298" TargetMode="External"/><Relationship Id="rId5308" Type="http://schemas.openxmlformats.org/officeDocument/2006/relationships/hyperlink" Target="https://www.monotaro.com/p/0872/9402/" TargetMode="External"/><Relationship Id="rId3066" Type="http://schemas.openxmlformats.org/officeDocument/2006/relationships/hyperlink" Target="https://jp.misumi-ec.com/vona2/detail/110300241010/?PNSearch=SFB2-5&amp;HissuCode=SFB2-5&amp;searchFlow=suggest2products&amp;Keyword=SFB2-5" TargetMode="External"/><Relationship Id="rId3273" Type="http://schemas.openxmlformats.org/officeDocument/2006/relationships/hyperlink" Target="https://www.digikey.jp/product-detail/ja/analog-devices-inc/ADP7142AUJZ-5-0-R7/ADP7142AUJZ-5-0-R7CT-ND/6568649" TargetMode="External"/><Relationship Id="rId3480" Type="http://schemas.openxmlformats.org/officeDocument/2006/relationships/hyperlink" Target="https://www.digikey.jp/product-detail/ja/sparkfun-electronics/PRT-12796/1568-1513-ND/5993861" TargetMode="External"/><Relationship Id="rId4117" Type="http://schemas.openxmlformats.org/officeDocument/2006/relationships/hyperlink" Target="https://jp.misumi-ec.com/vona2/result/?Keyword=CBSTSE2-10&amp;isReSearch=0" TargetMode="External"/><Relationship Id="rId4324" Type="http://schemas.openxmlformats.org/officeDocument/2006/relationships/hyperlink" Target="https://akizukidenshi.com/catalog/cart/cart.aspx" TargetMode="External"/><Relationship Id="rId4531" Type="http://schemas.openxmlformats.org/officeDocument/2006/relationships/hyperlink" Target="https://www.p-ban.com/" TargetMode="External"/><Relationship Id="rId194" Type="http://schemas.openxmlformats.org/officeDocument/2006/relationships/hyperlink" Target="https://www.digikey.jp/products/en?keywords=296-24934-1-ND" TargetMode="External"/><Relationship Id="rId1918" Type="http://schemas.openxmlformats.org/officeDocument/2006/relationships/hyperlink" Target="https://www.marutsu.co.jp/pc/i/595796/" TargetMode="External"/><Relationship Id="rId2082" Type="http://schemas.openxmlformats.org/officeDocument/2006/relationships/hyperlink" Target="https://jp.misumi-ec.com/vona2/detail/110302280540/?HissuCode=CBSTSR3-10&amp;PNSearch=CBSTSR3-10&amp;KWSearch=CBSTSR3-10&amp;searchFlow=results2products" TargetMode="External"/><Relationship Id="rId3133" Type="http://schemas.openxmlformats.org/officeDocument/2006/relationships/hyperlink" Target="https://www.digikey.jp/product-detail/en/panasonic-electronic-components/ERJ-6BWFR025V/P17580CT-ND/5648064" TargetMode="External"/><Relationship Id="rId261" Type="http://schemas.openxmlformats.org/officeDocument/2006/relationships/hyperlink" Target="https://www.amazon.co.jp/Attitude-Stabilization-Cubesat-Concepts-Technology/dp/1527506517/ref=sr_1_1?ie=UTF8&amp;qid=1547532626&amp;sr=8-1&amp;keywords=9781527506510" TargetMode="External"/><Relationship Id="rId3340" Type="http://schemas.openxmlformats.org/officeDocument/2006/relationships/hyperlink" Target="https://www.digikey.jp/product-detail/en/rf-solutions/RFM98W-433S2/RFM98W-433S2-ND/6564924" TargetMode="External"/><Relationship Id="rId5098" Type="http://schemas.openxmlformats.org/officeDocument/2006/relationships/hyperlink" Target="https://www.mouser.jp/ProductDetail/YAGEO/CC0603KRX7R7BB224?qs=AgBp2OyFlx8P2PCI15vyCA%3D%3D" TargetMode="External"/><Relationship Id="rId2899" Type="http://schemas.openxmlformats.org/officeDocument/2006/relationships/hyperlink" Target="https://akizukidenshi.com/catalog/g/gP-14526/" TargetMode="External"/><Relationship Id="rId3200" Type="http://schemas.openxmlformats.org/officeDocument/2006/relationships/hyperlink" Target="https://www.digikey.jp/products/ja?keywords=TTL-232RG-VSW3V3-WE" TargetMode="External"/><Relationship Id="rId121" Type="http://schemas.openxmlformats.org/officeDocument/2006/relationships/hyperlink" Target="https://jp.misumi-ec.com/vona2/detail/221000530294/?CategorySpec=00000217065%3a%3amig00000002463787%0900000217017%3a%3amig00000002463781%0900000217082%3a%3aa%0900000217097%3a%3aa%0900000217131%3a%3aa%0900000217143%3a%3aa%0900000216962%3a%3aj&amp;bid=bid_list_template" TargetMode="External"/><Relationship Id="rId2759" Type="http://schemas.openxmlformats.org/officeDocument/2006/relationships/hyperlink" Target="https://www.digikey.jp/product-detail/ja/jst-sales-america-inc/S3B-EH-LF-SN/455-1626-ND/926534" TargetMode="External"/><Relationship Id="rId2966" Type="http://schemas.openxmlformats.org/officeDocument/2006/relationships/hyperlink" Target="https://www.digikey.jp/product-detail/ja/analog-devices-inc/LTC4361HDC-2-TRMPBF/LTC4361HDC-2-TRMPBFCT-ND/5114546" TargetMode="External"/><Relationship Id="rId5165" Type="http://schemas.openxmlformats.org/officeDocument/2006/relationships/hyperlink" Target="https://www.digikey.jp/product-detail/en/sullins-connector-solutions/PPTC032LFBN-RC/S7071-ND/810210" TargetMode="External"/><Relationship Id="rId5372" Type="http://schemas.openxmlformats.org/officeDocument/2006/relationships/hyperlink" Target="https://www.digikey.jp/en/products/detail/hirose-electric-co-ltd/A3C-50DA-2DSA-71/1033031" TargetMode="External"/><Relationship Id="rId938" Type="http://schemas.openxmlformats.org/officeDocument/2006/relationships/hyperlink" Target="https://www.digikey.jp/products/en?keywords=1276-6470-1-ND" TargetMode="External"/><Relationship Id="rId1568" Type="http://schemas.openxmlformats.org/officeDocument/2006/relationships/hyperlink" Target="https://www.digikey.jp/product-detail/en/rohm-semiconductor/DTC144EKAT146/DTC144EKAT146CT-ND/650727" TargetMode="External"/><Relationship Id="rId1775" Type="http://schemas.openxmlformats.org/officeDocument/2006/relationships/hyperlink" Target="https://www.digikey.jp/product-detail/en/yageo/CC0805JRNPO9BN180/311-1102-1-ND/303012" TargetMode="External"/><Relationship Id="rId2619" Type="http://schemas.openxmlformats.org/officeDocument/2006/relationships/hyperlink" Target="https://www.digikey.jp/product-detail/ja/texas-instruments/LM2830XMF-NOPB/LM2830XMF-NOPBCT-ND/1206386" TargetMode="External"/><Relationship Id="rId2826" Type="http://schemas.openxmlformats.org/officeDocument/2006/relationships/hyperlink" Target="https://jp.misumi-ec.com/vona2/detail/221000120367/?HissuCode=W3SR1%3dC&amp;PNSearch=W3SR1%3dC&amp;KWSearch=W3SR1%3dC&amp;searchFlow=results2products" TargetMode="External"/><Relationship Id="rId4181" Type="http://schemas.openxmlformats.org/officeDocument/2006/relationships/hyperlink" Target="https://www.mouser.jp/ProductDetail/KEMET/C0805C332G5GEC7210?qs=%2Fha2pyFaduixvi%2Fjlcs4zpamUBERKCh9oXjO3BV%252B1KcFXq9Ekahj1IGGJtH6GbsQ" TargetMode="External"/><Relationship Id="rId5025" Type="http://schemas.openxmlformats.org/officeDocument/2006/relationships/hyperlink" Target="https://www.mouser.jp/ProductDetail/Texas-Instruments/LM2904LVQDGKRQ1?qs=sGAEpiMZZMv0NwlthflBi%252BLdEViitgumyGmSpWmdlAc%3D" TargetMode="External"/><Relationship Id="rId5232" Type="http://schemas.openxmlformats.org/officeDocument/2006/relationships/hyperlink" Target="https://akizukidenshi.com/catalog/g/gP-00288/" TargetMode="External"/><Relationship Id="rId67" Type="http://schemas.openxmlformats.org/officeDocument/2006/relationships/hyperlink" Target="https://www.p-ban.com/kiban/com/csComTop.do" TargetMode="External"/><Relationship Id="rId1428" Type="http://schemas.openxmlformats.org/officeDocument/2006/relationships/hyperlink" Target="https://www.digikey.com/product-detail/en/on-semiconductor/DTC144EET1G/DTC144EET1GOSCT-ND/917916" TargetMode="External"/><Relationship Id="rId1635" Type="http://schemas.openxmlformats.org/officeDocument/2006/relationships/hyperlink" Target="https://www.monotaro.com/g/00862427/?t.q=USB%89%84%92%B7" TargetMode="External"/><Relationship Id="rId1982" Type="http://schemas.openxmlformats.org/officeDocument/2006/relationships/hyperlink" Target="https://www.digikey.jp/product-detail/en/kemet/C0603C332J3GAC7867/399-15394-1-ND/7386792" TargetMode="External"/><Relationship Id="rId4041" Type="http://schemas.openxmlformats.org/officeDocument/2006/relationships/hyperlink" Target="https://www.monotaro.com/p/0718/1781/" TargetMode="External"/><Relationship Id="rId1842" Type="http://schemas.openxmlformats.org/officeDocument/2006/relationships/hyperlink" Target="https://www.digikey.jp/product-detail/en/koa-speer-electronics-inc/RK73H1JTTD1001F/2019-RK73H1JTTD1001FCT-ND/9846888" TargetMode="External"/><Relationship Id="rId4998" Type="http://schemas.openxmlformats.org/officeDocument/2006/relationships/hyperlink" Target="https://www.askul.co.jp/p/P220287/" TargetMode="External"/><Relationship Id="rId1702" Type="http://schemas.openxmlformats.org/officeDocument/2006/relationships/hyperlink" Target="https://www.amazon.co.jp/dp/B07TKKS9PM/ref=cm_sw_r_tw_dp_U_x_7YDHEbMGZ4V46" TargetMode="External"/><Relationship Id="rId4858" Type="http://schemas.openxmlformats.org/officeDocument/2006/relationships/hyperlink" Target="https://jlcpcb.com/" TargetMode="External"/><Relationship Id="rId3667" Type="http://schemas.openxmlformats.org/officeDocument/2006/relationships/hyperlink" Target="https://www.minicircuits.com/WebStore/dashboard.html?model=TCCH-80%2B" TargetMode="External"/><Relationship Id="rId3874" Type="http://schemas.openxmlformats.org/officeDocument/2006/relationships/hyperlink" Target="https://www.mouser.jp/ProductDetail/Toshiba/SSM6K403TULF?qs=%2Fha2pyFadujmkw7934ewz1LrNmabTgSH0qboFKxKLdYV0vhBMEKO9g%3D%3D" TargetMode="External"/><Relationship Id="rId4718" Type="http://schemas.openxmlformats.org/officeDocument/2006/relationships/hyperlink" Target="https://www.mouser.jp/c/?q=R0402%20240" TargetMode="External"/><Relationship Id="rId4925" Type="http://schemas.openxmlformats.org/officeDocument/2006/relationships/hyperlink" Target="https://www.monotaro.com/g/00005163/?t.q=%E3%82%B0%E3%83%A9%E3%83%B3%E3%83%89%E3%82%A2%E3%83%BC%E3%82%B9%E7%B7%9A" TargetMode="External"/><Relationship Id="rId588" Type="http://schemas.openxmlformats.org/officeDocument/2006/relationships/hyperlink" Target="http://oyaide.com/" TargetMode="External"/><Relationship Id="rId795" Type="http://schemas.openxmlformats.org/officeDocument/2006/relationships/hyperlink" Target="https://www.nbk1560.com/products/specialscrew/nedzicom/miniaturescrew/SHNS/SHNS-M2/" TargetMode="External"/><Relationship Id="rId2269" Type="http://schemas.openxmlformats.org/officeDocument/2006/relationships/hyperlink" Target="http://akizukidenshi.com/catalog/g/gK-15200/" TargetMode="External"/><Relationship Id="rId2476" Type="http://schemas.openxmlformats.org/officeDocument/2006/relationships/hyperlink" Target="http://www.p-ban.com/" TargetMode="External"/><Relationship Id="rId2683" Type="http://schemas.openxmlformats.org/officeDocument/2006/relationships/hyperlink" Target="https://www.mouser.jp/ProductDetail/KOA-Speer/RK73B1JTTD330J?qs=auxgSZmE2KzYtUkyrgB%2FLg%3D%3D" TargetMode="External"/><Relationship Id="rId2890" Type="http://schemas.openxmlformats.org/officeDocument/2006/relationships/hyperlink" Target="https://www.monotaro.com/g/00404991/" TargetMode="External"/><Relationship Id="rId3527" Type="http://schemas.openxmlformats.org/officeDocument/2006/relationships/hyperlink" Target="https://www.blueschip-store.com/parts/NRVB120VLSFT1G/6029475.html" TargetMode="External"/><Relationship Id="rId3734" Type="http://schemas.openxmlformats.org/officeDocument/2006/relationships/hyperlink" Target="https://www.mouser.jp/ProductDetail/Amphenol-SV-Microwave/7032-7241?qs=j%252B1pi9TdxUbWWTv%252BygiApw%3D%3D" TargetMode="External"/><Relationship Id="rId3941" Type="http://schemas.openxmlformats.org/officeDocument/2006/relationships/hyperlink" Target="https://www.uctronics.com/m2508zh02.html" TargetMode="External"/><Relationship Id="rId448" Type="http://schemas.openxmlformats.org/officeDocument/2006/relationships/hyperlink" Target="https://www.nbk1560.com/products/specialscrew/nedzicom/miniaturescrew/SNSS/SNSS-M2/SNSS-M2-5/" TargetMode="External"/><Relationship Id="rId655" Type="http://schemas.openxmlformats.org/officeDocument/2006/relationships/hyperlink" Target="https://www.digikey.jp/product-detail/en/texas-instruments/SN74CB3Q3257PWR/296-19138-1-ND/864369" TargetMode="External"/><Relationship Id="rId862" Type="http://schemas.openxmlformats.org/officeDocument/2006/relationships/hyperlink" Target="https://jp.rs-online.com/web/p/linear-voltage-regulators/7857428" TargetMode="External"/><Relationship Id="rId1078" Type="http://schemas.openxmlformats.org/officeDocument/2006/relationships/hyperlink" Target="https://jp.rs-online.com/web/p/test-lead-wire/4737740/" TargetMode="External"/><Relationship Id="rId1285" Type="http://schemas.openxmlformats.org/officeDocument/2006/relationships/hyperlink" Target="http://p-ban.com/" TargetMode="External"/><Relationship Id="rId1492" Type="http://schemas.openxmlformats.org/officeDocument/2006/relationships/hyperlink" Target="http://akizukidenshi.com/catalog/g/gK-10347/" TargetMode="External"/><Relationship Id="rId2129" Type="http://schemas.openxmlformats.org/officeDocument/2006/relationships/hyperlink" Target="https://www.askul.co.jp/p/9445589/?int_id=recom_DtTogether" TargetMode="External"/><Relationship Id="rId2336" Type="http://schemas.openxmlformats.org/officeDocument/2006/relationships/hyperlink" Target="https://coax-cable.net/custom/" TargetMode="External"/><Relationship Id="rId2543" Type="http://schemas.openxmlformats.org/officeDocument/2006/relationships/hyperlink" Target="https://jp.misumi-ec.com/vona2/detail/110300498770/?HissuCode=PAAL6H-464-224-1.5-F150-G194-N6&amp;PNSearch=PAAL6H-464-224-1.5-F150-G194-N6&amp;KWSearch=PAAL6H-464-224-1.5-F150-G194-N6&amp;searchFlow=results2products" TargetMode="External"/><Relationship Id="rId2750" Type="http://schemas.openxmlformats.org/officeDocument/2006/relationships/hyperlink" Target="https://jp.rs-online.com/web/p/pcb-sockets/7793068/" TargetMode="External"/><Relationship Id="rId3801" Type="http://schemas.openxmlformats.org/officeDocument/2006/relationships/hyperlink" Target="https://jp.rs-online.com/web/p/products/5443834/" TargetMode="External"/><Relationship Id="rId308" Type="http://schemas.openxmlformats.org/officeDocument/2006/relationships/hyperlink" Target="https://www.tokyoparts.co.jp/wp-content/uploads/2017/02/SD12E.pdf" TargetMode="External"/><Relationship Id="rId515" Type="http://schemas.openxmlformats.org/officeDocument/2006/relationships/hyperlink" Target="https://www.digikey.jp/product-detail/en/qualtek/3025030-03/Q966-ND/6188812" TargetMode="External"/><Relationship Id="rId722" Type="http://schemas.openxmlformats.org/officeDocument/2006/relationships/hyperlink" Target="https://www.digikey.jp/product-detail/ja/fox-electronics/FC4SDCBMM16.0-T1/631-1404-1-ND/4862606" TargetMode="External"/><Relationship Id="rId1145" Type="http://schemas.openxmlformats.org/officeDocument/2006/relationships/hyperlink" Target="https://www.digikey.jp/product-detail/ja/microchip-technology/PG164140/PG164140-ND/8536593" TargetMode="External"/><Relationship Id="rId1352" Type="http://schemas.openxmlformats.org/officeDocument/2006/relationships/hyperlink" Target="https://jp.misumi-ec.com/vona2/detail/110302685050/?CategorySpec=00000173432%3a%3amig00000002491549%0900000173392%3a%3ab&amp;clkid=clkid_list_template" TargetMode="External"/><Relationship Id="rId2403" Type="http://schemas.openxmlformats.org/officeDocument/2006/relationships/hyperlink" Target="https://www.latticestore.com/products/tabid/417/searchid/1/searchvalue/lsc-sw-isplever/default.aspx" TargetMode="External"/><Relationship Id="rId1005" Type="http://schemas.openxmlformats.org/officeDocument/2006/relationships/hyperlink" Target="http://akizukidenshi.com/catalog/g/gC-00167/" TargetMode="External"/><Relationship Id="rId1212" Type="http://schemas.openxmlformats.org/officeDocument/2006/relationships/hyperlink" Target="https://jp.rs-online.com/web/p/microcontrollers/1106621/" TargetMode="External"/><Relationship Id="rId2610" Type="http://schemas.openxmlformats.org/officeDocument/2006/relationships/hyperlink" Target="https://www.digikey.jp/product-detail/en/abracon-llc/ABLS-16.000MHZ-B4-T/535-10226-1-ND/2184261?cur=JPY&amp;lang=en" TargetMode="External"/><Relationship Id="rId4368" Type="http://schemas.openxmlformats.org/officeDocument/2006/relationships/hyperlink" Target="https://jp.misumi-ec.com/vona2/detail/110302696950/?PNSearch=PKCA2FQ-115-60-12&amp;HissuCode=PKCA2FQ-115-60-12&amp;searchFlow=suggest2products&amp;Keyword=PKCA2FQ-115-60-12&amp;list=SuggestPreview" TargetMode="External"/><Relationship Id="rId4575" Type="http://schemas.openxmlformats.org/officeDocument/2006/relationships/hyperlink" Target="https://www.monotaro.com/p/7580/5565/?t.q=VUWH-6.35BF-FJS-V" TargetMode="External"/><Relationship Id="rId3177" Type="http://schemas.openxmlformats.org/officeDocument/2006/relationships/hyperlink" Target="https://www.digikey.jp/product-detail/ja/industrial-shields/IS-ACIOTANT868WRA/2198-IS-ACIOTANT868WRA-ND/11192398" TargetMode="External"/><Relationship Id="rId4228" Type="http://schemas.openxmlformats.org/officeDocument/2006/relationships/hyperlink" Target="https://www.digikey.jp/ja/products/detail/lattice-semiconductor-corporation/LCMXO2-7000HE-B-EVN/3906092?s=N4IgTCBcDaILYEMDGALAHgBggXQL5A" TargetMode="External"/><Relationship Id="rId4782" Type="http://schemas.openxmlformats.org/officeDocument/2006/relationships/hyperlink" Target="https://www.monotaro.com/p/1940/2048/?t.q=19402048" TargetMode="External"/><Relationship Id="rId3037" Type="http://schemas.openxmlformats.org/officeDocument/2006/relationships/hyperlink" Target="https://jp.misumi-ec.com/vona2/detail/110300250540/?HissuCode=SLBNR3" TargetMode="External"/><Relationship Id="rId3384" Type="http://schemas.openxmlformats.org/officeDocument/2006/relationships/hyperlink" Target="https://www.digikey.jp/product-detail/ja/texas-instruments/LM358ADGKR/296-18455-1-ND/809890" TargetMode="External"/><Relationship Id="rId3591" Type="http://schemas.openxmlformats.org/officeDocument/2006/relationships/hyperlink" Target="https://www.amazon.com/BTECH-AMP-V25-Amplifier-136-174MHz-Compatible/dp/B076H972DH" TargetMode="External"/><Relationship Id="rId4435" Type="http://schemas.openxmlformats.org/officeDocument/2006/relationships/hyperlink" Target="https://www.digikey.jp/ja/products/detail/vishay-siliconix/IRL620PBF/811814" TargetMode="External"/><Relationship Id="rId4642" Type="http://schemas.openxmlformats.org/officeDocument/2006/relationships/hyperlink" Target="https://jp.misumi-ec.com/vona2/detail/221000368013/?KWSearch=%e3%82%b9%e3%83%97%e3%83%aa%e3%83%b3%e3%82%b0%e3%83%97%e3%83%a9%e3%83%b3%e3%82%b8%e3%83%a3%e3%83%bc&amp;searchFlow=results2products&amp;list=PageSearchResult" TargetMode="External"/><Relationship Id="rId2193" Type="http://schemas.openxmlformats.org/officeDocument/2006/relationships/hyperlink" Target="https://www.monotaro.com/p/4927/7803/?t.q=%92%E1%93%AA%82%CB%82%B6%20M2" TargetMode="External"/><Relationship Id="rId3244" Type="http://schemas.openxmlformats.org/officeDocument/2006/relationships/hyperlink" Target="https://www.digikey.jp/products/ja?keywords=SPH2-12-U-SMT" TargetMode="External"/><Relationship Id="rId3451" Type="http://schemas.openxmlformats.org/officeDocument/2006/relationships/hyperlink" Target="https://www.askul.co.jp/p/1260069/" TargetMode="External"/><Relationship Id="rId4502" Type="http://schemas.openxmlformats.org/officeDocument/2006/relationships/hyperlink" Target="https://jp.rs-online.com/web/p/surface-mount-resistors/6791768" TargetMode="External"/><Relationship Id="rId165" Type="http://schemas.openxmlformats.org/officeDocument/2006/relationships/hyperlink" Target="https://www.digikey.jp/product-detail/en/panasonic-electric-works/AQZ102/255-1567-ND/5707" TargetMode="External"/><Relationship Id="rId372" Type="http://schemas.openxmlformats.org/officeDocument/2006/relationships/hyperlink" Target="https://www.p-ban.com/kiban/com/csComTop.do" TargetMode="External"/><Relationship Id="rId2053" Type="http://schemas.openxmlformats.org/officeDocument/2006/relationships/hyperlink" Target="https://www.monotaro.com/p/4035/6477/?t.q=%83A%83%8B%83%7E%83p%83C%83v" TargetMode="External"/><Relationship Id="rId2260" Type="http://schemas.openxmlformats.org/officeDocument/2006/relationships/hyperlink" Target="https://www.monotaro.com/p/0550/3276/?t.q=M3%206mm%20%82%CB%82%B6" TargetMode="External"/><Relationship Id="rId3104" Type="http://schemas.openxmlformats.org/officeDocument/2006/relationships/hyperlink" Target="https://jp.misumi-ec.com/vona2/detail/221000348314/?ProductCode=SNSS-M1.6X6-VA" TargetMode="External"/><Relationship Id="rId3311" Type="http://schemas.openxmlformats.org/officeDocument/2006/relationships/hyperlink" Target="https://www.amazon.co.jp/-/en/gp/product/B00FZTNX8W/ref=ox_sc_act_title_1?smid=AN1VRQENFRJN5&amp;psc=1" TargetMode="External"/><Relationship Id="rId232" Type="http://schemas.openxmlformats.org/officeDocument/2006/relationships/hyperlink" Target="https://jp.rs-online.com/web/p/products/6727647/" TargetMode="External"/><Relationship Id="rId2120" Type="http://schemas.openxmlformats.org/officeDocument/2006/relationships/hyperlink" Target="https://jp.misumi-ec.com/vona2/detail/222005903407/?HissuCode=RK73H1ETTP2400F&amp;PNSearch=RK73H1ETTP2400F&amp;KWSearch=RK73H1ETTP2400F&amp;searchFlow=results2products" TargetMode="External"/><Relationship Id="rId5069" Type="http://schemas.openxmlformats.org/officeDocument/2006/relationships/hyperlink" Target="https://www.monotaro.com/p/0523/3418/" TargetMode="External"/><Relationship Id="rId5276" Type="http://schemas.openxmlformats.org/officeDocument/2006/relationships/hyperlink" Target="https://antenna1st.com/home/product/ncr18650ga" TargetMode="External"/><Relationship Id="rId1679" Type="http://schemas.openxmlformats.org/officeDocument/2006/relationships/hyperlink" Target="http://akizukidenshi.com/catalog/g/gT-03640/" TargetMode="External"/><Relationship Id="rId4085" Type="http://schemas.openxmlformats.org/officeDocument/2006/relationships/hyperlink" Target="https://www.digikey.jp/product-detail/en/yageo/RT0603DRD0724K9L/311-24-9KDCT-ND/1035759" TargetMode="External"/><Relationship Id="rId4292" Type="http://schemas.openxmlformats.org/officeDocument/2006/relationships/hyperlink" Target="https://jp.misumi-ec.com/vona2/detail/221000551286/?ProductCode=CSH-SUS-M2-5" TargetMode="External"/><Relationship Id="rId5136" Type="http://schemas.openxmlformats.org/officeDocument/2006/relationships/hyperlink" Target="https://mou.sr/3DrC1E2" TargetMode="External"/><Relationship Id="rId5343" Type="http://schemas.openxmlformats.org/officeDocument/2006/relationships/hyperlink" Target="https://www.mouser.jp/ProductDetail/Vishay-Dale/CRCW08051K00FKEAC?qs=CZ6xfwOSLTXmQIgaYvN%2FBA%3D%3D" TargetMode="External"/><Relationship Id="rId1886" Type="http://schemas.openxmlformats.org/officeDocument/2006/relationships/hyperlink" Target="https://www.digikey.jp/product-detail/en/texas-instruments/LMT84QDCKTQ1/296-36413-1-ND/4271788" TargetMode="External"/><Relationship Id="rId2937" Type="http://schemas.openxmlformats.org/officeDocument/2006/relationships/hyperlink" Target="https://www.monotaro.com/p/7592/9917/?t.q=3.5mm%20%83v%83%89%83O%81%40L%8C%5E" TargetMode="External"/><Relationship Id="rId4152" Type="http://schemas.openxmlformats.org/officeDocument/2006/relationships/hyperlink" Target="https://www.askul.co.jp/p/1260050/?int_id=recom_DtVar" TargetMode="External"/><Relationship Id="rId5203" Type="http://schemas.openxmlformats.org/officeDocument/2006/relationships/hyperlink" Target="https://www.monotaro.com/g/00283395/?monotaroNo=36792743" TargetMode="External"/><Relationship Id="rId909" Type="http://schemas.openxmlformats.org/officeDocument/2006/relationships/hyperlink" Target="https://jp.rs-online.com/web/p/surface-mount-fixed-resistors/1229007/" TargetMode="External"/><Relationship Id="rId1539" Type="http://schemas.openxmlformats.org/officeDocument/2006/relationships/hyperlink" Target="https://www.digikey.jp/product-detail/ja/amphenol-rf/135104-02-12.00/ACX1606-ND/2003939" TargetMode="External"/><Relationship Id="rId1746" Type="http://schemas.openxmlformats.org/officeDocument/2006/relationships/hyperlink" Target="https://www.digikey.jp/product-detail/ja/hirose-electric-co-ltd/U.FL-R-SMT-01/H9161-ND/513010" TargetMode="External"/><Relationship Id="rId1953" Type="http://schemas.openxmlformats.org/officeDocument/2006/relationships/hyperlink" Target="https://www.digikey.jp/products/ja?keywords=L62501CT-ND" TargetMode="External"/><Relationship Id="rId38" Type="http://schemas.openxmlformats.org/officeDocument/2006/relationships/hyperlink" Target="https://www.monotaro.com/p/3494/3754/" TargetMode="External"/><Relationship Id="rId1606" Type="http://schemas.openxmlformats.org/officeDocument/2006/relationships/hyperlink" Target="https://jp.misumi-ec.com/vona2/detail/221005814351/" TargetMode="External"/><Relationship Id="rId1813" Type="http://schemas.openxmlformats.org/officeDocument/2006/relationships/hyperlink" Target="https://www.digikey.jp/product-detail/en/ecs-inc/ECS-80-18-20BQ-DS/XC2015CT-ND/4073726" TargetMode="External"/><Relationship Id="rId4012" Type="http://schemas.openxmlformats.org/officeDocument/2006/relationships/hyperlink" Target="https://jp.rs-online.com/web/p/mlccs-multilayer-ceramic-capacitors/8015202" TargetMode="External"/><Relationship Id="rId4969" Type="http://schemas.openxmlformats.org/officeDocument/2006/relationships/hyperlink" Target="https://www.monotaro.com/p/4926/7276/?t.q=peek%20%83l%83W" TargetMode="External"/><Relationship Id="rId3778" Type="http://schemas.openxmlformats.org/officeDocument/2006/relationships/hyperlink" Target="https://www.mouser.jp/ProductDetail/Texas-Instruments/LMT84QDCKTQ1?qs=xopfAcLiCQSWoRXSolG3dw%3D%3D" TargetMode="External"/><Relationship Id="rId3985" Type="http://schemas.openxmlformats.org/officeDocument/2006/relationships/hyperlink" Target="https://jp.misumi-ec.com/vona2/detail/110302610510/?ProductCode=PACK-HNTT6-6" TargetMode="External"/><Relationship Id="rId4829" Type="http://schemas.openxmlformats.org/officeDocument/2006/relationships/hyperlink" Target="https://www.monotaro.com/g/01213914/" TargetMode="External"/><Relationship Id="rId699" Type="http://schemas.openxmlformats.org/officeDocument/2006/relationships/hyperlink" Target="https://www.digikey.jp/products/en?keywords=DTC144EKAT146CT-ND" TargetMode="External"/><Relationship Id="rId2587" Type="http://schemas.openxmlformats.org/officeDocument/2006/relationships/hyperlink" Target="https://www.digikey.jp/product-detail/en/panasonic-electronic-components/ERA-6AEB104V/P100KDACT-ND/1465995" TargetMode="External"/><Relationship Id="rId2794" Type="http://schemas.openxmlformats.org/officeDocument/2006/relationships/hyperlink" Target="https://www.digikey.jp/product-detail/en/koa-speer-electronics-inc/RK73H1JTTD1203F/2019-RK73H1JTTD1203FCT-ND/9847089" TargetMode="External"/><Relationship Id="rId3638" Type="http://schemas.openxmlformats.org/officeDocument/2006/relationships/hyperlink" Target="https://www.digikey.jp/products/ja?keywords=490-1014-1-ND" TargetMode="External"/><Relationship Id="rId3845" Type="http://schemas.openxmlformats.org/officeDocument/2006/relationships/hyperlink" Target="https://jp.misumi-ec.com/vona2/detail/221000348314/?searchFlow=combo2products&amp;KWSearch=SNSS-M2-5&amp;HissuCode=SNSS-M2X5&amp;PNSearch=SNSS-M2X5" TargetMode="External"/><Relationship Id="rId559" Type="http://schemas.openxmlformats.org/officeDocument/2006/relationships/hyperlink" Target="https://www.digikey.jp/product-detail/en/sullins-connector-solutions/QPC02SXGN-RC/S9337-ND/2618262" TargetMode="External"/><Relationship Id="rId766" Type="http://schemas.openxmlformats.org/officeDocument/2006/relationships/hyperlink" Target="https://www.digikey.jp/products/ja?keywords=712-1460-1-ND" TargetMode="External"/><Relationship Id="rId1189" Type="http://schemas.openxmlformats.org/officeDocument/2006/relationships/hyperlink" Target="http://www.trophy-seikatsu.com/shopping/1473317048-489017/" TargetMode="External"/><Relationship Id="rId1396" Type="http://schemas.openxmlformats.org/officeDocument/2006/relationships/hyperlink" Target="https://www.digikey.jp/product-detail/en/w-rth-elektronik/885012207032/732-8032-1-ND/5454659" TargetMode="External"/><Relationship Id="rId2447" Type="http://schemas.openxmlformats.org/officeDocument/2006/relationships/hyperlink" Target="https://www.digikey.jp/product-detail/ja/standex-meder-electronics/ALNICO500-19X3.2X3.2MM/374-1130-ND/695282" TargetMode="External"/><Relationship Id="rId5060" Type="http://schemas.openxmlformats.org/officeDocument/2006/relationships/hyperlink" Target="https://www.marutsu.co.jp/pc/i/223387/" TargetMode="External"/><Relationship Id="rId419" Type="http://schemas.openxmlformats.org/officeDocument/2006/relationships/hyperlink" Target="https://www.digikey.jp/product-detail/en/johanson-technology-inc/L603DC/712-1451-ND/1915219" TargetMode="External"/><Relationship Id="rId626" Type="http://schemas.openxmlformats.org/officeDocument/2006/relationships/hyperlink" Target="https://www.digikey.jp/products/ja?keywords=ARF1725CT-ND" TargetMode="External"/><Relationship Id="rId973" Type="http://schemas.openxmlformats.org/officeDocument/2006/relationships/hyperlink" Target="https://www.digikey.jp/product-detail/ja/BC-32625/377-2093-ND/4156446/?itemSeq=299164026" TargetMode="External"/><Relationship Id="rId1049" Type="http://schemas.openxmlformats.org/officeDocument/2006/relationships/hyperlink" Target="https://www.digikey.jp/products/ja?keywords=ATMEGA2560V-8AURCT-ND" TargetMode="External"/><Relationship Id="rId1256" Type="http://schemas.openxmlformats.org/officeDocument/2006/relationships/hyperlink" Target="http://akizukidenshi.com/catalog/g/gM-08403/" TargetMode="External"/><Relationship Id="rId2307" Type="http://schemas.openxmlformats.org/officeDocument/2006/relationships/hyperlink" Target="https://jp.misumi-ec.com/vona2/detail/221000551286/?HissuCode=CSH-STD-M12-55&amp;PNSearch=CSH-STD-M12-55&amp;KWSearch=CSH-STD-M12-55&amp;searchFlow=results2products" TargetMode="External"/><Relationship Id="rId2654" Type="http://schemas.openxmlformats.org/officeDocument/2006/relationships/hyperlink" Target="https://www.mouser.jp/ProductDetail/KEMET/C0603C104J3RACTU?qs=%2Fha2pyFadugh8U7pV%252BrBGm4J%2FFCrZM3dsd8y0ECC0emdYSNm5UGziA%3D%3D" TargetMode="External"/><Relationship Id="rId2861" Type="http://schemas.openxmlformats.org/officeDocument/2006/relationships/hyperlink" Target="https://www.monotaro.com/g/02795467/?monotaroNo=62927174&amp;displayId=15" TargetMode="External"/><Relationship Id="rId3705" Type="http://schemas.openxmlformats.org/officeDocument/2006/relationships/hyperlink" Target="https://jp.rs-online.com/web/p/mlccs-multilayer-ceramic-capacitors/9155446/" TargetMode="External"/><Relationship Id="rId3912" Type="http://schemas.openxmlformats.org/officeDocument/2006/relationships/hyperlink" Target="https://jp.misumi-ec.com/vona2/detail/221000551286/?ProductCode=CSH-SUS-M4-13" TargetMode="External"/><Relationship Id="rId833" Type="http://schemas.openxmlformats.org/officeDocument/2006/relationships/hyperlink" Target="https://www.digikey.jp/product-detail/ja/scs/1001014/SCP365-ND/3430399" TargetMode="External"/><Relationship Id="rId1116" Type="http://schemas.openxmlformats.org/officeDocument/2006/relationships/hyperlink" Target="https://www.p-ban.com/kiban/com/csComDocPrint:exec.do?receiptNo=19092500151&amp;doc=1" TargetMode="External"/><Relationship Id="rId1463" Type="http://schemas.openxmlformats.org/officeDocument/2006/relationships/hyperlink" Target="https://www.digikey.jp/product-detail/en/murata-electronics/GJM1555C1H4R7CB01D/490-3100-1-ND/702366" TargetMode="External"/><Relationship Id="rId1670" Type="http://schemas.openxmlformats.org/officeDocument/2006/relationships/hyperlink" Target="https://www.digikey.jp/product-detail/en/L7808ABD2T-TR/497-1173-1-ND/586173/?itemSeq=321331017" TargetMode="External"/><Relationship Id="rId2514" Type="http://schemas.openxmlformats.org/officeDocument/2006/relationships/hyperlink" Target="https://jp.misumi-ec.com/vona2/detail/110302280540/?HissuCode=CBSTSR2-10&amp;PNSearch=CBSTSR2-10&amp;KWSearch=CBSTSR2-10&amp;searchFlow=results2products" TargetMode="External"/><Relationship Id="rId2721" Type="http://schemas.openxmlformats.org/officeDocument/2006/relationships/hyperlink" Target="https://item.rakuten.co.jp/fujino-netshop/12478503/?scid=af_pc_etc&amp;sc2id=af_117_0_10002089" TargetMode="External"/><Relationship Id="rId900" Type="http://schemas.openxmlformats.org/officeDocument/2006/relationships/hyperlink" Target="https://jp.rs-online.com/web/p/dc-power-sockets/7051516/" TargetMode="External"/><Relationship Id="rId1323" Type="http://schemas.openxmlformats.org/officeDocument/2006/relationships/hyperlink" Target="https://www.amazon.co.jp/gp/product/B07SH7ZYTV/ref=ppx_yo_dt_b_asin_title_o08_s00?ie=UTF8&amp;psc=1" TargetMode="External"/><Relationship Id="rId1530" Type="http://schemas.openxmlformats.org/officeDocument/2006/relationships/hyperlink" Target="https://www.amazon.co.jp/%E3%80%902020%E6%98%87%E7%B4%9A%E7%89%88%E3%80%91%E7%B2%BE%E5%AF%86%E3%83%89%E3%83%A9%E3%82%A4%E3%83%90%E3%83%BC%E3%82%BB%E3%83%83%E3%83%88-%E7%A3%81%E6%B0%97%E3%83%89%E3%83%A9%E3%82%A4%E3%83%90%E3%83%BC-%E6%BB%91%E3%82%8A%E6%AD%A2%E3%82%81%E3%83%8F%E3%83%B3%E3%83%89%E3%83%AB-%E7%89%B9%E6%AE%8A%E3%83%89%E3%83%A9%E3%82%A4%E3%83%90%E3%83%BC-%E5%A4%9A%E6%A9%9F%E8%83%BD%E3%83%84%E3%83%BC%E3%83%AB%E3%82%AD%E3%83%83%E3%83%88/dp/B07V9MG2KM/ref=sr_1_5?__mk_ja_JP=%E3%82%AB%E3%82%BF%E3%82%AB%E3%83%8A&amp;crid=1E8LKQ46BY36U&amp;keywords=screwdriver+set&amp;qid=1579224092&amp;sprefix=screwdriver%2Caps%2C227&amp;sr=8-5" TargetMode="External"/><Relationship Id="rId4479" Type="http://schemas.openxmlformats.org/officeDocument/2006/relationships/hyperlink" Target="https://www.mouser.jp/ProductDetail/Analog-Devices/LTC4380HDD-1PBF?qs=oahfZPh6IAK6vXT%252BHggvpA%3D%3D" TargetMode="External"/><Relationship Id="rId4686" Type="http://schemas.openxmlformats.org/officeDocument/2006/relationships/hyperlink" Target="https://www.mouser.jp/ProductDetail/Micro-Crystal/OV-7604-C7-32768k-10PPM-TB-QA?qs=7bTaA%2FLYtSaIPRV8dgEc5Q%3D%3D" TargetMode="External"/><Relationship Id="rId4893" Type="http://schemas.openxmlformats.org/officeDocument/2006/relationships/hyperlink" Target="https://www.p-ban.com/" TargetMode="External"/><Relationship Id="rId3288" Type="http://schemas.openxmlformats.org/officeDocument/2006/relationships/hyperlink" Target="https://www.edmundoptics.com/p/790nm-cwl-10nm-fwhm-125mm-mounted-diameter/22446/" TargetMode="External"/><Relationship Id="rId3495" Type="http://schemas.openxmlformats.org/officeDocument/2006/relationships/hyperlink" Target="https://www.askul.co.jp/p/8438928/" TargetMode="External"/><Relationship Id="rId4339" Type="http://schemas.openxmlformats.org/officeDocument/2006/relationships/hyperlink" Target="https://www.monotaro.com/g/00178193/?t.q=%E9%9D%99%E9%9B%BB%E6%B0%97%E9%98%B2%E6%AD%A2%E3%82%B9%E3%83%88%E3%83%A9%E3%83%83%E3%83%97" TargetMode="External"/><Relationship Id="rId4546" Type="http://schemas.openxmlformats.org/officeDocument/2006/relationships/hyperlink" Target="https://www.monotaro.com/p/8821/7744/" TargetMode="External"/><Relationship Id="rId4753" Type="http://schemas.openxmlformats.org/officeDocument/2006/relationships/hyperlink" Target="https://www.digikey.jp/en/products/detail/amphenol-sv-microwave/SF1132-6026/6050900" TargetMode="External"/><Relationship Id="rId4960" Type="http://schemas.openxmlformats.org/officeDocument/2006/relationships/hyperlink" Target="https://www.monotaro.com/p/4950/4666/" TargetMode="External"/><Relationship Id="rId2097" Type="http://schemas.openxmlformats.org/officeDocument/2006/relationships/hyperlink" Target="https://jp.misumi-ec.com/vona2/detail/221006204478/?HissuCode=C-303&amp;PNSearch=C-303&amp;KWSearch=C-303&amp;searchFlow=results2products" TargetMode="External"/><Relationship Id="rId3148" Type="http://schemas.openxmlformats.org/officeDocument/2006/relationships/hyperlink" Target="https://www.digikey.jp/product-detail/en/molex/0530480210/WM1742-ND/242864" TargetMode="External"/><Relationship Id="rId3355" Type="http://schemas.openxmlformats.org/officeDocument/2006/relationships/hyperlink" Target="https://www.cqnet.co.jp/musen2/1645_7055.html" TargetMode="External"/><Relationship Id="rId3562" Type="http://schemas.openxmlformats.org/officeDocument/2006/relationships/hyperlink" Target="https://www.mouser.jp/ProductDetail/Micron/MT25QL01GBBB8ESF-0AAT?qs=rrS6PyfT74cvqiYCIFe86w%3D%3D" TargetMode="External"/><Relationship Id="rId4406" Type="http://schemas.openxmlformats.org/officeDocument/2006/relationships/hyperlink" Target="https://www.ni.com/ja-jp/shop/hardware/products/compactdaq-chassis.html" TargetMode="External"/><Relationship Id="rId4613" Type="http://schemas.openxmlformats.org/officeDocument/2006/relationships/hyperlink" Target="https://jlcpcb.com/" TargetMode="External"/><Relationship Id="rId276" Type="http://schemas.openxmlformats.org/officeDocument/2006/relationships/hyperlink" Target="https://www.digikey.jp/product-detail/ja/microchip-technology/MCP601T-E-OT/MCP601T-E-OTCT-ND/1979835" TargetMode="External"/><Relationship Id="rId483" Type="http://schemas.openxmlformats.org/officeDocument/2006/relationships/hyperlink" Target="http://akizukidenshi.com/catalog/g/gI-02553/" TargetMode="External"/><Relationship Id="rId690" Type="http://schemas.openxmlformats.org/officeDocument/2006/relationships/hyperlink" Target="https://www.digikey.jp/product-detail/en/tdk-corporation/C1608NP01H100D080AA/445-14053-1-ND/3955719" TargetMode="External"/><Relationship Id="rId2164" Type="http://schemas.openxmlformats.org/officeDocument/2006/relationships/hyperlink" Target="https://www.monotaro.com/g/00334431/" TargetMode="External"/><Relationship Id="rId2371" Type="http://schemas.openxmlformats.org/officeDocument/2006/relationships/hyperlink" Target="https://jp.misumi-ec.com/vona2/detail/221000348314/?HissuCode=SNSS-M2X4" TargetMode="External"/><Relationship Id="rId3008" Type="http://schemas.openxmlformats.org/officeDocument/2006/relationships/hyperlink" Target="https://www.digikey.jp/product-detail/en/ATMEGA32U4-AU/ATMEGA32U4-AU-ND/1914602/?itemSeq=351524762" TargetMode="External"/><Relationship Id="rId3215" Type="http://schemas.openxmlformats.org/officeDocument/2006/relationships/hyperlink" Target="https://www.monotaro.com/g/02774233/?monotaroNo=60789426" TargetMode="External"/><Relationship Id="rId3422" Type="http://schemas.openxmlformats.org/officeDocument/2006/relationships/hyperlink" Target="https://jp.misumi-ec.com/vona2/detail/221000348314/?ProductCode=SNSS-M1.6X6" TargetMode="External"/><Relationship Id="rId4820" Type="http://schemas.openxmlformats.org/officeDocument/2006/relationships/hyperlink" Target="https://www.digikey.jp/en/products/detail/amphenol-rf-division/172135/1011804" TargetMode="External"/><Relationship Id="rId136" Type="http://schemas.openxmlformats.org/officeDocument/2006/relationships/hyperlink" Target="https://www.monotaro.com/p/3324/0313/?displayId=5" TargetMode="External"/><Relationship Id="rId343" Type="http://schemas.openxmlformats.org/officeDocument/2006/relationships/hyperlink" Target="http://www.skytraq.com.tw/products/Venus838FLPx_PB_v1.pdf" TargetMode="External"/><Relationship Id="rId550" Type="http://schemas.openxmlformats.org/officeDocument/2006/relationships/hyperlink" Target="https://www.digikey.jp/products/en?keywords=296-50875-1-ND" TargetMode="External"/><Relationship Id="rId1180" Type="http://schemas.openxmlformats.org/officeDocument/2006/relationships/hyperlink" Target="https://www.digikey.jp/product-detail/ja/susumu/RL1220T-R050-J/RL12T.05JCT-ND/567358" TargetMode="External"/><Relationship Id="rId2024" Type="http://schemas.openxmlformats.org/officeDocument/2006/relationships/hyperlink" Target="https://www.digikey.jp/product-detail/en/molex/0510900200/23-0510900200-ND/1632891" TargetMode="External"/><Relationship Id="rId2231" Type="http://schemas.openxmlformats.org/officeDocument/2006/relationships/hyperlink" Target="https://www.digikey.jp/product-detail/ja/rohm-semiconductor/DTC144EKAT146/DTC144EKAT146CT-ND/650727" TargetMode="External"/><Relationship Id="rId203" Type="http://schemas.openxmlformats.org/officeDocument/2006/relationships/hyperlink" Target="https://www.amazon.com/Authentic-Genuine-Nagoya-UT-72-Magnetic/dp/B0744Q3RDM/ref=pd_rhf_ee_s_vtp_ses_clicks_0_2?_encoding=UTF8&amp;pd_rd_i=B016SIJX28&amp;pd_rd_r=03c47ed7-8ef6-4d53-a72f-ff4cae994fc7&amp;pd_rd_w=bUQBb&amp;pd_rd_wg=V91CY&amp;pf_rd_i=desktop-rhf&amp;pf_rd_m=ATVPDKIKX0DER&amp;pf_rd_p=05d75987-58ed-4d36-bbfa-515cd87e4ee3&amp;pf_rd_r=EEF790HG335Q0Z5991WV&amp;pf_rd_s=desktop-rhf&amp;pf_rd_t=40701&amp;refRID=EEF790HG335Q0Z5991WV&amp;th=1" TargetMode="External"/><Relationship Id="rId1040" Type="http://schemas.openxmlformats.org/officeDocument/2006/relationships/hyperlink" Target="https://www.digikey.jp/product-detail/en/tdk-corporation/CGA3E2NP01H100D080AA/445-12387-1-ND/3954053" TargetMode="External"/><Relationship Id="rId4196" Type="http://schemas.openxmlformats.org/officeDocument/2006/relationships/hyperlink" Target="https://www.mouser.jp/ProductDetail/Panasonic/ERJ-T06J392V?qs=iIVTEDlrHA12whJphrzDPg%3D%3D" TargetMode="External"/><Relationship Id="rId5247" Type="http://schemas.openxmlformats.org/officeDocument/2006/relationships/hyperlink" Target="https://jp.misumi-ec.com/vona2/detail/221303786811/?CategorySpec=00000216944%3a%3aa%0900000217003%3a%3amig00000002465376%0900000216919%3a%3aa%0900000216961%3a%3amig00000002465441%0900000217136%3a%3ah%0900000216979%3a%3aa&amp;list=PageCategory" TargetMode="External"/><Relationship Id="rId410" Type="http://schemas.openxmlformats.org/officeDocument/2006/relationships/hyperlink" Target="https://www.digikey.jp/product-detail/ja/chip-quik-inc/PCB3005A1/PCB3005A1-ND/5978207" TargetMode="External"/><Relationship Id="rId1997" Type="http://schemas.openxmlformats.org/officeDocument/2006/relationships/hyperlink" Target="https://www.digikey.jp/product-detail/en/koa-speer-electronics-inc/RK73B1JTTD102J/2019-RK73B1JTTD102JCT-ND/9846742" TargetMode="External"/><Relationship Id="rId4056" Type="http://schemas.openxmlformats.org/officeDocument/2006/relationships/hyperlink" Target="https://www.mouser.jp/ProductDetail/AVX-Kyocera/08055A7R0DAT2A?qs=67CtzMuHUrtpZ7bF4ip%252B%252Bw%3D%3D" TargetMode="External"/><Relationship Id="rId1857" Type="http://schemas.openxmlformats.org/officeDocument/2006/relationships/hyperlink" Target="https://www.digikey.jp/product-detail/en/linear-technology-analog-devices/LTC4361CTS8-2-TRMPBF/LTC4361CTS8-2-TRMPBFCT-ND/2297165?cur=JPY&amp;lang=en" TargetMode="External"/><Relationship Id="rId2908" Type="http://schemas.openxmlformats.org/officeDocument/2006/relationships/hyperlink" Target="https://akizukidenshi.com/catalog/g/gI-06423/" TargetMode="External"/><Relationship Id="rId4263" Type="http://schemas.openxmlformats.org/officeDocument/2006/relationships/hyperlink" Target="https://www.mouser.jp/ProductDetail/Molex/87758-0216?qs=%2Fha2pyFadug6p7sOVvUPkHBXoJLCYt8bfLNRmiRZ6Xk%3D" TargetMode="External"/><Relationship Id="rId4470" Type="http://schemas.openxmlformats.org/officeDocument/2006/relationships/hyperlink" Target="https://www.digikey.jp/ja/products/detail/koa-speer-electronics-inc/RK73H1ETTP11R0F/9844600?s=N4IgTCBcDaIEoGkDsBmAEgRgKIBUcAUMM4AGAMRAF0BfIA" TargetMode="External"/><Relationship Id="rId5107" Type="http://schemas.openxmlformats.org/officeDocument/2006/relationships/hyperlink" Target="https://www.mouser.jp/ProductDetail/Analog-Devices/LTC4361CTS8-1TRMPBF?qs=hVkxg5c3xu%252BEByIi1%2FUu3w%3D%3D" TargetMode="External"/><Relationship Id="rId5314" Type="http://schemas.openxmlformats.org/officeDocument/2006/relationships/hyperlink" Target="https://www.digikey.jp/en/products/detail/yageo/RC0603JR-07820KL/726833" TargetMode="External"/><Relationship Id="rId1717" Type="http://schemas.openxmlformats.org/officeDocument/2006/relationships/hyperlink" Target="https://www.digikey.jp/products/ja?keywords=298-13413-ND" TargetMode="External"/><Relationship Id="rId1924" Type="http://schemas.openxmlformats.org/officeDocument/2006/relationships/hyperlink" Target="https://www.marutsu.co.jp/pc/i/857942/" TargetMode="External"/><Relationship Id="rId3072" Type="http://schemas.openxmlformats.org/officeDocument/2006/relationships/hyperlink" Target="https://jp.misumi-ec.com/vona2/detail/221000551286/?HissuCode=CSH-SUS-M2.5-6&amp;PNSearch=CSH-SUS-M2.5-6&amp;KWSearch=CSH-SUS-M2.5-6&amp;searchFlow=results2products" TargetMode="External"/><Relationship Id="rId4123" Type="http://schemas.openxmlformats.org/officeDocument/2006/relationships/hyperlink" Target="https://www.digikey.jp/product-detail/ja/ftdi-future-technology-devices-international-ltd/USB-RS232-WE-1800-BT-3-3/768-1077-ND/2441366" TargetMode="External"/><Relationship Id="rId4330" Type="http://schemas.openxmlformats.org/officeDocument/2006/relationships/hyperlink" Target="https://www.monotaro.com/p/1133/3832/" TargetMode="External"/><Relationship Id="rId3889" Type="http://schemas.openxmlformats.org/officeDocument/2006/relationships/hyperlink" Target="https://jp.rs-online.com/web/p/raspberry-pi/2064859/" TargetMode="External"/><Relationship Id="rId2698" Type="http://schemas.openxmlformats.org/officeDocument/2006/relationships/hyperlink" Target="https://www.mouser.jp/ProductDetail/Texas-Instruments/SN74CB3Q3257DBQR?qs=mE33ZKBHyE7nUNkzi4gkbQ%3D%3D" TargetMode="External"/><Relationship Id="rId3749" Type="http://schemas.openxmlformats.org/officeDocument/2006/relationships/hyperlink" Target="http://www.rflink.co.jp/lev1-sdk.html" TargetMode="External"/><Relationship Id="rId3956" Type="http://schemas.openxmlformats.org/officeDocument/2006/relationships/hyperlink" Target="https://jp.misumi-ec.com/vona2/detail/221000348314/?PNSearch=SNSS-M1.6X6&amp;HissuCode=SNSS-M1.6X6&amp;searchFlow=suggesthistory&amp;Keyword=SNSS-M1.6X6" TargetMode="External"/><Relationship Id="rId5171" Type="http://schemas.openxmlformats.org/officeDocument/2006/relationships/hyperlink" Target="https://jp.rs-online.com/web/p/mosfets/7259344" TargetMode="External"/><Relationship Id="rId877" Type="http://schemas.openxmlformats.org/officeDocument/2006/relationships/hyperlink" Target="https://jp.rs-online.com/web/p/tantalum-capacitors/1213317/" TargetMode="External"/><Relationship Id="rId2558" Type="http://schemas.openxmlformats.org/officeDocument/2006/relationships/hyperlink" Target="https://www.askul.co.jp/p/X393096/" TargetMode="External"/><Relationship Id="rId2765" Type="http://schemas.openxmlformats.org/officeDocument/2006/relationships/hyperlink" Target="https://www.digikey.jp/product-detail/en/analog-devices-inc/LT1357CS8-PBF/LT1357CS8-PBF-ND/889980" TargetMode="External"/><Relationship Id="rId2972" Type="http://schemas.openxmlformats.org/officeDocument/2006/relationships/hyperlink" Target="https://www.uctronics.com/m12x-p05-small-camera-lens-plastic-mount-for-raspberry-pi-12mm.html" TargetMode="External"/><Relationship Id="rId3609" Type="http://schemas.openxmlformats.org/officeDocument/2006/relationships/hyperlink" Target="https://www.digikey.jp/product-detail/ja/analog-devices-inc/ADP7142AUJZ-5-0-R7/ADP7142AUJZ-5-0-R7CT-ND/6568649" TargetMode="External"/><Relationship Id="rId3816" Type="http://schemas.openxmlformats.org/officeDocument/2006/relationships/hyperlink" Target="https://www.monotaro.com/p/0641/9673/" TargetMode="External"/><Relationship Id="rId737" Type="http://schemas.openxmlformats.org/officeDocument/2006/relationships/hyperlink" Target="https://jp.misumi-ec.com/vona2/detail/221000559161/?KWSearch=%e3%82%b9%e3%82%a4%e3%83%83%e3%83%81%20%e3%82%aa%e3%83%a0%e3%83%ad%e3%83%b3%20J&amp;searchFlow=results2products" TargetMode="External"/><Relationship Id="rId944" Type="http://schemas.openxmlformats.org/officeDocument/2006/relationships/hyperlink" Target="https://www.digikey.jp/product-detail/en/adafruit-industries-llc/1954/1528-1964-ND/6827087" TargetMode="External"/><Relationship Id="rId1367" Type="http://schemas.openxmlformats.org/officeDocument/2006/relationships/hyperlink" Target="https://www.monotaro.com/p/3473/0674/?t.q=%83%8F%83%93%83%5E%83b%83%60%83J%83v%83%89" TargetMode="External"/><Relationship Id="rId1574" Type="http://schemas.openxmlformats.org/officeDocument/2006/relationships/hyperlink" Target="https://jp.misumi-ec.com/vona2/detail/221000551444/?KWSearch=%e6%a8%b9%e8%84%82%e3%83%9c%e3%83%ab%e3%83%88&amp;searchFlow=results2products" TargetMode="External"/><Relationship Id="rId1781" Type="http://schemas.openxmlformats.org/officeDocument/2006/relationships/hyperlink" Target="https://www.digikey.jp/product-detail/en/koa-speer-electronics-inc/RK73B2ATTD472J/2019-RK73B2ATTD472JCT-ND/10237768" TargetMode="External"/><Relationship Id="rId2418" Type="http://schemas.openxmlformats.org/officeDocument/2006/relationships/hyperlink" Target="https://www.monotaro.com/p/1134/8934/" TargetMode="External"/><Relationship Id="rId2625" Type="http://schemas.openxmlformats.org/officeDocument/2006/relationships/hyperlink" Target="https://www.digikey.jp/product-detail/ja/ohmite/FCSL20R050FER/FCSL20R050FERCT-ND/9599188" TargetMode="External"/><Relationship Id="rId2832" Type="http://schemas.openxmlformats.org/officeDocument/2006/relationships/hyperlink" Target="https://jp.misumi-ec.com/vona2/detail/221000347548/?PNSearch=UCF204JC&amp;HissuCode=UCF204JC&amp;searchFlow=suggest2products&amp;Keyword=UCF204JC" TargetMode="External"/><Relationship Id="rId5031" Type="http://schemas.openxmlformats.org/officeDocument/2006/relationships/hyperlink" Target="https://www.mouser.jp/ProductDetail/Molex/202396-0207?qs=5aG0NVq1C4yNVNVdbFIdrw%3D%3D&amp;gclid=CjwKCAiA1aiMBhAUEiwACw25MXB6b74p63uH5GbuGzyNOqMGtOEzeOQ9kd8QPj8gMGJp4aZWKiEghBoCrBIQAvD_BwE" TargetMode="External"/><Relationship Id="rId73" Type="http://schemas.openxmlformats.org/officeDocument/2006/relationships/hyperlink" Target="https://www.p-ban.com/kiban/com/csComTop.do" TargetMode="External"/><Relationship Id="rId804" Type="http://schemas.openxmlformats.org/officeDocument/2006/relationships/hyperlink" Target="https://www.mouser.jp/ProductDetail/Analog-Devices/ADG774ABRQZ/?qs=sGAEpiMZZMtxrAS98ir%252bs4YpfXGcyaottj9R6BtLBFY=" TargetMode="External"/><Relationship Id="rId1227" Type="http://schemas.openxmlformats.org/officeDocument/2006/relationships/hyperlink" Target="https://www.monotaro.com/p/3324/0313/?displayId=5" TargetMode="External"/><Relationship Id="rId1434" Type="http://schemas.openxmlformats.org/officeDocument/2006/relationships/hyperlink" Target="https://www.digikey.jp/product-detail/en/microchip-technology/PIC16F1789-I-MV/PIC16F1789-I-MV-ND/4080207" TargetMode="External"/><Relationship Id="rId1641" Type="http://schemas.openxmlformats.org/officeDocument/2006/relationships/hyperlink" Target="https://datasheet.octopart.com/ADC-10-1R%2B-Mini-Circuits-datasheet-8615193.pdf" TargetMode="External"/><Relationship Id="rId4797" Type="http://schemas.openxmlformats.org/officeDocument/2006/relationships/hyperlink" Target="https://jp.misumi-ec.com/vona2/detail/221000551286/?CategorySpec=00000217065%3a%3amig00000002462151%0900000217017%3a%3amig00000002463780%0900000217131%3a%3ab%0900000258275%3a%3anvd00000000000002%0900000216927%3a%3aa%0900000217097%3a%3aa&amp;list=PageCategory" TargetMode="External"/><Relationship Id="rId1501" Type="http://schemas.openxmlformats.org/officeDocument/2006/relationships/hyperlink" Target="http://akizukidenshi.com/catalog/g/gC-00167/" TargetMode="External"/><Relationship Id="rId3399" Type="http://schemas.openxmlformats.org/officeDocument/2006/relationships/hyperlink" Target="https://jp.rs-online.com/web/p/sensor-accessories/4559764/" TargetMode="External"/><Relationship Id="rId4657" Type="http://schemas.openxmlformats.org/officeDocument/2006/relationships/hyperlink" Target="https://www.mouser.jp/ProductDetail/Murata-Electronics/GRM187R61A226ME15D?qs=I53XXhTNm8uUaeh8Eawx4Q%3D%3D" TargetMode="External"/><Relationship Id="rId4864" Type="http://schemas.openxmlformats.org/officeDocument/2006/relationships/hyperlink" Target="https://jp.rs-online.com/web/p/crystal-units/6936236" TargetMode="External"/><Relationship Id="rId3259" Type="http://schemas.openxmlformats.org/officeDocument/2006/relationships/hyperlink" Target="https://www.mouser.jp/ProductDetail/MEMSIC/MMC5883MA?qs=iuLH8FrUFAsG35KkrO6uSA==" TargetMode="External"/><Relationship Id="rId3466" Type="http://schemas.openxmlformats.org/officeDocument/2006/relationships/hyperlink" Target="https://www.p-ban.com/kiban/com/csComTop.do" TargetMode="External"/><Relationship Id="rId4517" Type="http://schemas.openxmlformats.org/officeDocument/2006/relationships/hyperlink" Target="https://www.monotaro.com/p/3148/5292/?t.q=wsp80" TargetMode="External"/><Relationship Id="rId387" Type="http://schemas.openxmlformats.org/officeDocument/2006/relationships/hyperlink" Target="https://www.digikey.jp/product-detail/en/johanson-technology-inc/L-07C5N1SV6T/712-1461-1-ND/1915240" TargetMode="External"/><Relationship Id="rId594" Type="http://schemas.openxmlformats.org/officeDocument/2006/relationships/hyperlink" Target="https://www.digikey.jp/en/supplier-centers/v/vishay" TargetMode="External"/><Relationship Id="rId2068" Type="http://schemas.openxmlformats.org/officeDocument/2006/relationships/hyperlink" Target="https://jp.misumi-ec.com/vona2/detail/221000349089/?HissuCode=SSHS-M3X10&amp;PNSearch=SSHS-M3X10&amp;KWSearch=SSHS-M3X10&amp;searchFlow=results2products" TargetMode="External"/><Relationship Id="rId2275" Type="http://schemas.openxmlformats.org/officeDocument/2006/relationships/hyperlink" Target="http://akizukidenshi.com/catalog/g/gP-02333/" TargetMode="External"/><Relationship Id="rId3119" Type="http://schemas.openxmlformats.org/officeDocument/2006/relationships/hyperlink" Target="https://www.digikey.jp/product-detail/en/murata-electronics/GRM21BD71A226ME44L/490-9959-1-ND/5026434" TargetMode="External"/><Relationship Id="rId3326" Type="http://schemas.openxmlformats.org/officeDocument/2006/relationships/hyperlink" Target="https://www.digikey.jp/products/en?keywords=296-36413-1-ND" TargetMode="External"/><Relationship Id="rId3673" Type="http://schemas.openxmlformats.org/officeDocument/2006/relationships/hyperlink" Target="https://www.digikey.jp/product-detail/en/samtec-inc/CLM-102-02-F-D/SAM10967-ND/6692087" TargetMode="External"/><Relationship Id="rId3880" Type="http://schemas.openxmlformats.org/officeDocument/2006/relationships/hyperlink" Target="https://www.mouser.jp/ProductDetail/CUI-Devices/TB002-500-02BE?qs=vLWxofP3U2x9716kcgva%2Fw==" TargetMode="External"/><Relationship Id="rId4724" Type="http://schemas.openxmlformats.org/officeDocument/2006/relationships/hyperlink" Target="https://www.monotaro.com/p/0948/2636%20%20%20%20%20%20https:/www.digikey.com/product-detail/en/430854-500/926-1181-ND/2269541/?itemSeq=274400485/" TargetMode="External"/><Relationship Id="rId4931" Type="http://schemas.openxmlformats.org/officeDocument/2006/relationships/hyperlink" Target="https://www.p-ban.com/" TargetMode="External"/><Relationship Id="rId247" Type="http://schemas.openxmlformats.org/officeDocument/2006/relationships/hyperlink" Target="https://www.digikey.jp/products/ja?keywords=WM6050-ND" TargetMode="External"/><Relationship Id="rId1084" Type="http://schemas.openxmlformats.org/officeDocument/2006/relationships/hyperlink" Target="https://www.digikey.jp/product-detail/ja/cinch-connectivity-solutions-johnson/142-0711-301/J717-ND/691804" TargetMode="External"/><Relationship Id="rId2482" Type="http://schemas.openxmlformats.org/officeDocument/2006/relationships/hyperlink" Target="https://www.digikey.jp/product-detail/en/panasonic-electric-works/AQZ102/255-1567-ND/570705?cur=JPY&amp;lang=en" TargetMode="External"/><Relationship Id="rId3533" Type="http://schemas.openxmlformats.org/officeDocument/2006/relationships/hyperlink" Target="https://www.digikey.jp/product-detail/en/ftdi-future-technology-devices-international-ltd/TTL-232R-3V3/768-1015-ND/1836393" TargetMode="External"/><Relationship Id="rId3740" Type="http://schemas.openxmlformats.org/officeDocument/2006/relationships/hyperlink" Target="https://jp.rs-online.com/web/p/non-latching-relays/7821261/?cm_mmc=JP-PLA-DS3A-_-google-_-PLA_JP_JP_%E3%83%AA%E3%83%AC%E3%83%BC_Whoop-_-(JP:Whoop!)+%E3%83%AA%E3%83%AC%E3%83%BC:+%E3%83%8E%E3%83%B3%E3%83%A9%E3%83%83%E3%83%81%E3%83%B3%E3%82%B0-_-7821261&amp;matchtype=&amp;aud-827186183926:pla-413507610922&amp;gclid=CjwKCAjw3MSHBhB3EiwAxcaEu1UUc5AE4xaT5MXeCaPtVUL-MU-GThEU3VGZKB6JYyVl-GPUHY1SgRoCMowQAvD_BwE&amp;gclsrc=aw.ds" TargetMode="External"/><Relationship Id="rId107" Type="http://schemas.openxmlformats.org/officeDocument/2006/relationships/hyperlink" Target="https://www.digikey.jp/product-detail/en/TMK107BJ105KA-T/587-1248-1-ND/931025/?itemSeq=273206271" TargetMode="External"/><Relationship Id="rId454" Type="http://schemas.openxmlformats.org/officeDocument/2006/relationships/hyperlink" Target="https://jp.misumi-ec.com/vona2/detail/110302280540/?PNSearch=CBSTSR2-5&amp;HissuCode=CBSTSR2-5&amp;searchFlow=suggest2products&amp;Keyword=CBSTSR2-5" TargetMode="External"/><Relationship Id="rId661" Type="http://schemas.openxmlformats.org/officeDocument/2006/relationships/hyperlink" Target="https://www.amazon.co.jp/TSdrena-%E3%82%AB%E3%83%86%E3%82%B4%E3%83%AA6%E5%AF%BE%E5%BF%9C-LAN%E7%94%A8RJ45%E3%82%B3%E3%83%8D%E3%82%AF%E3%82%BF-100%E5%80%8B%E5%85%A5%E3%82%8A-SPM-TLLC6100B/dp/B00IFV2KZE/ref=sr_1_3?keywords=rj-45+cat6&amp;qid=1555922730&amp;s=computers&amp;sr=1-3" TargetMode="External"/><Relationship Id="rId1291" Type="http://schemas.openxmlformats.org/officeDocument/2006/relationships/hyperlink" Target="http://p-ban.com/" TargetMode="External"/><Relationship Id="rId2135" Type="http://schemas.openxmlformats.org/officeDocument/2006/relationships/hyperlink" Target="https://jp.misumi-ec.com/vona2/detail/221000597545/?ProductCode=ES-M2-0.4-2D-SUS" TargetMode="External"/><Relationship Id="rId2342" Type="http://schemas.openxmlformats.org/officeDocument/2006/relationships/hyperlink" Target="https://www.monotaro.com/p/3880/5313/?t.q=POM" TargetMode="External"/><Relationship Id="rId3600" Type="http://schemas.openxmlformats.org/officeDocument/2006/relationships/hyperlink" Target="https://www.p-ban.com/kiban/com/csComTop.do" TargetMode="External"/><Relationship Id="rId314" Type="http://schemas.openxmlformats.org/officeDocument/2006/relationships/hyperlink" Target="https://jp.rs-online.com/web/p/usb-cables/1445699/" TargetMode="External"/><Relationship Id="rId521" Type="http://schemas.openxmlformats.org/officeDocument/2006/relationships/hyperlink" Target="https://www.digikey.jp/product-detail/en/panasonic-electronic-components/ERA-6AEB6492V/P64.9KDACT-ND/3075217" TargetMode="External"/><Relationship Id="rId1151" Type="http://schemas.openxmlformats.org/officeDocument/2006/relationships/hyperlink" Target="https://www.digikey.jp/ja/supplier-centers/t/tripp-lite" TargetMode="External"/><Relationship Id="rId2202" Type="http://schemas.openxmlformats.org/officeDocument/2006/relationships/hyperlink" Target="https://www.digikey.jp/product-detail/en/texas-instruments/OPA2170AIDR/296-30291-1-ND/3072334" TargetMode="External"/><Relationship Id="rId5358" Type="http://schemas.openxmlformats.org/officeDocument/2006/relationships/hyperlink" Target="https://www.monotaro.com/p/1212/2626/" TargetMode="External"/><Relationship Id="rId1011" Type="http://schemas.openxmlformats.org/officeDocument/2006/relationships/hyperlink" Target="https://www.digikey.jp/products/ja?keywords=ACX2410-ND" TargetMode="External"/><Relationship Id="rId1968" Type="http://schemas.openxmlformats.org/officeDocument/2006/relationships/hyperlink" Target="https://www.monotaro.com/p/1134/7717/" TargetMode="External"/><Relationship Id="rId4167" Type="http://schemas.openxmlformats.org/officeDocument/2006/relationships/hyperlink" Target="https://www.monotaro.com/p/8698/9865/" TargetMode="External"/><Relationship Id="rId4374" Type="http://schemas.openxmlformats.org/officeDocument/2006/relationships/hyperlink" Target="https://www.monotaro.com/p/3576/7051/" TargetMode="External"/><Relationship Id="rId4581" Type="http://schemas.openxmlformats.org/officeDocument/2006/relationships/hyperlink" Target="https://jp.misumi-ec.com/vona2/detail/110300308730/?rid=c24-alluser_detail_7_110300308730&amp;list=RecoCustomersPurchased" TargetMode="External"/><Relationship Id="rId5218" Type="http://schemas.openxmlformats.org/officeDocument/2006/relationships/hyperlink" Target="https://jp.misumi-ec.com/vona2/detail/110302699660/?ProductCode=JSDAS-AM-A50-B15-T2-L30-N8" TargetMode="External"/><Relationship Id="rId3183" Type="http://schemas.openxmlformats.org/officeDocument/2006/relationships/hyperlink" Target="https://jp.rs-online.com/web/p/oscilloscope-probes/7158743/?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1352D38373433267365617263685F6B6579776F72645F6170703D37313538373433267365617263685F636F6E6669673D3126&amp;searchHistory=%7B%22enabled%22%3Atrue%7D" TargetMode="External"/><Relationship Id="rId3390" Type="http://schemas.openxmlformats.org/officeDocument/2006/relationships/hyperlink" Target="https://jp.rs-online.com/web/p/mosfets/8123120/" TargetMode="External"/><Relationship Id="rId4027" Type="http://schemas.openxmlformats.org/officeDocument/2006/relationships/hyperlink" Target="https://www.monotaro.com/p/3880/5313/?t.q=POM" TargetMode="External"/><Relationship Id="rId4234" Type="http://schemas.openxmlformats.org/officeDocument/2006/relationships/hyperlink" Target="https://jp.rs-online.com/web/p/isolated-dc-to-high-voltage-dc-converters/1238289/?cm_mmc=JP-PLA-DS3A-_-google-_-PLA_JP_JP_%E9%9B%BB%E6%BA%90%E3%83%BB%E3%83%88%E3%83%A9%E3%83%B3%E3%82%B9_Whoop-_-(JP:Whoop!)+DC-DC%E3%82%B3%E3%83%B3%E3%83%90%E3%83%BC%E3%82%BF+:+%E7%B5%B6%E7%B8%81%E5%9E%8B+(%E9%AB%98%E9%9B%BB%E5%9C%A7)-_-1238289&amp;matchtype=&amp;aud-821594433763:pla-300610967209&amp;gclid=CjwKCAiAqIKNBhAIEiwAu_ZLDst39mzIbuKz3jIxHZg0QrXir5ElabYy4-IxlNxSD2bUOx1NKUYPiRoCQAsQAvD_BwE&amp;gclsrc=aw.ds" TargetMode="External"/><Relationship Id="rId4441" Type="http://schemas.openxmlformats.org/officeDocument/2006/relationships/hyperlink" Target="https://jp.misumi-ec.com/vona2/detail/223000305689/?ProductCode=ST01256T" TargetMode="External"/><Relationship Id="rId1828" Type="http://schemas.openxmlformats.org/officeDocument/2006/relationships/hyperlink" Target="https://www.digikey.jp/product-detail/en/tdk-corporation/C1608X7S0J106M080AC/445-9104-1-ND/3661624" TargetMode="External"/><Relationship Id="rId3043" Type="http://schemas.openxmlformats.org/officeDocument/2006/relationships/hyperlink" Target="https://www.digikey.jp/product-detail/en/tdk-corporation/MLZ1608DR22DT000/445-6387-1-ND/2465714" TargetMode="External"/><Relationship Id="rId3250" Type="http://schemas.openxmlformats.org/officeDocument/2006/relationships/hyperlink" Target="https://www.digikey.jp/product-detail/en/vishay-dale/WSL0805R0250FEA18/WSLB-.025CT-ND/713391?cur=JPY&amp;lang=en" TargetMode="External"/><Relationship Id="rId171" Type="http://schemas.openxmlformats.org/officeDocument/2006/relationships/hyperlink" Target="https://www.digikey.jp/products/ja?keywords=WM6050-ND" TargetMode="External"/><Relationship Id="rId4301" Type="http://schemas.openxmlformats.org/officeDocument/2006/relationships/hyperlink" Target="https://jp.misumi-ec.com/vona2/detail/110302280540/?ProductCode=CBSTSR2-6" TargetMode="External"/><Relationship Id="rId3110" Type="http://schemas.openxmlformats.org/officeDocument/2006/relationships/hyperlink" Target="https://www.digikey.jp/product-detail/en/adafruit-industries-llc/1083/1528-1014-ND/4990763" TargetMode="External"/><Relationship Id="rId988" Type="http://schemas.openxmlformats.org/officeDocument/2006/relationships/hyperlink" Target="https://jp.rs-online.com/web/p/linear-voltage-regulators/6616733/" TargetMode="External"/><Relationship Id="rId2669" Type="http://schemas.openxmlformats.org/officeDocument/2006/relationships/hyperlink" Target="https://www.mouser.jp/ProductDetail/KOA-Speer/RK73B1JTTD103J?qs=%2Fha2pyFadugsLOWdTaAvHnkGICu6mNQR1NdgrIUELcFuDtYxeOFIHQ%3D%3D" TargetMode="External"/><Relationship Id="rId2876" Type="http://schemas.openxmlformats.org/officeDocument/2006/relationships/hyperlink" Target="http://byonics.com/add_to_cart?cost=35&amp;name=TinyTrak4+Chip" TargetMode="External"/><Relationship Id="rId3927" Type="http://schemas.openxmlformats.org/officeDocument/2006/relationships/hyperlink" Target="https://akizukidenshi.com/catalog/g/gP-05407/" TargetMode="External"/><Relationship Id="rId5075" Type="http://schemas.openxmlformats.org/officeDocument/2006/relationships/hyperlink" Target="https://www.yoshimi-inc.com/" TargetMode="External"/><Relationship Id="rId5282" Type="http://schemas.openxmlformats.org/officeDocument/2006/relationships/hyperlink" Target="https://www.monotaro.com/g/01213824/?t.q=PSR-210154-12" TargetMode="External"/><Relationship Id="rId848" Type="http://schemas.openxmlformats.org/officeDocument/2006/relationships/hyperlink" Target="https://jp.rs-online.com/web/p/pcb-headers/5151434" TargetMode="External"/><Relationship Id="rId1478" Type="http://schemas.openxmlformats.org/officeDocument/2006/relationships/hyperlink" Target="https://www.digikey.jp/product-detail/ja/molex/0733910680/WM9473-ND/3878259" TargetMode="External"/><Relationship Id="rId1685" Type="http://schemas.openxmlformats.org/officeDocument/2006/relationships/hyperlink" Target="https://www.mouser.jp/ProductDetail/Bulgin/PXMBNI12RPM08XPCM16?qs=%2Fha2pyFaduji3F57AxiKs4InznzC6D%2F60qE38Ku6wOKMLZX0mZbSLGiBctQbtQ7M" TargetMode="External"/><Relationship Id="rId1892" Type="http://schemas.openxmlformats.org/officeDocument/2006/relationships/hyperlink" Target="https://www.digikey.jp/products/en?keywords=DF14-2P-1.25H(24)" TargetMode="External"/><Relationship Id="rId2529" Type="http://schemas.openxmlformats.org/officeDocument/2006/relationships/hyperlink" Target="https://jp.misumi-ec.com/vona2/detail/221006204478/?HissuCode=C-306&amp;PNSearch=C-306&amp;KWSearch=C-306&amp;searchFlow=results2products" TargetMode="External"/><Relationship Id="rId2736" Type="http://schemas.openxmlformats.org/officeDocument/2006/relationships/hyperlink" Target="https://jp.misumi-ec.com/vona2/detail/110300258940/?CategorySpec=00000217156%3a%3amig00000002477238" TargetMode="External"/><Relationship Id="rId4091" Type="http://schemas.openxmlformats.org/officeDocument/2006/relationships/hyperlink" Target="https://www.mouser.jp/ProductDetail/Texas-Instruments/LMT84QDCKTQ1?qs=xopfAcLiCQSWoRXSolG3dw%3D%3D" TargetMode="External"/><Relationship Id="rId5142" Type="http://schemas.openxmlformats.org/officeDocument/2006/relationships/hyperlink" Target="https://www.askul.co.jp/v/32968/?searchWord=%E5%82%98%E7%AB%8B%E3%81%A6&amp;fluxSearch=ON&amp;cateId=2&amp;variationItemLImgPath=L1%2F6215253_l1.jpg" TargetMode="External"/><Relationship Id="rId708" Type="http://schemas.openxmlformats.org/officeDocument/2006/relationships/hyperlink" Target="http://hirosugi.co.jp/products/N/FSM-20.html" TargetMode="External"/><Relationship Id="rId915" Type="http://schemas.openxmlformats.org/officeDocument/2006/relationships/hyperlink" Target="https://jp.rs-online.com/web/p/voltage-references/5237011/" TargetMode="External"/><Relationship Id="rId1338" Type="http://schemas.openxmlformats.org/officeDocument/2006/relationships/hyperlink" Target="https://jp.rs-online.com/web/p/pcb-connector-housings/6322081" TargetMode="External"/><Relationship Id="rId1545" Type="http://schemas.openxmlformats.org/officeDocument/2006/relationships/hyperlink" Target="https://www.digikey.jp/product-detail/en/diodes-incorporated/DMG1012T-7/DMG1012T-7DICT-ND/2181232?cur=JPY&amp;lang=en" TargetMode="External"/><Relationship Id="rId2943" Type="http://schemas.openxmlformats.org/officeDocument/2006/relationships/hyperlink" Target="https://www.digikey.jp/product-detail/ja/microchip-technology/PIC18F67J94-I-PT/PIC18F67J94-I-PT-ND/3872481" TargetMode="External"/><Relationship Id="rId5002" Type="http://schemas.openxmlformats.org/officeDocument/2006/relationships/hyperlink" Target="https://www.mouser.jp/ProductDetail/KEMET/C0805X120J5GACAUTO?qs=PqoDHHvF64%2FG1xFjMXSvqA%3D%3D" TargetMode="External"/><Relationship Id="rId1405" Type="http://schemas.openxmlformats.org/officeDocument/2006/relationships/hyperlink" Target="https://www.digikey.jp/product-detail/en/koa-speer-electronics-inc/SG73S2ATTD1R00F/2019-SG73S2ATTD1R00FCT-ND/10280138" TargetMode="External"/><Relationship Id="rId1752" Type="http://schemas.openxmlformats.org/officeDocument/2006/relationships/hyperlink" Target="https://www.digikey.jp/product-detail/en/koa-speer-electronics-inc/RK73Z2BTTD/2019-RK73Z2BTTDCT-ND/10248473" TargetMode="External"/><Relationship Id="rId2803" Type="http://schemas.openxmlformats.org/officeDocument/2006/relationships/hyperlink" Target="https://www.digikey.jp/product-detail/ja/c-k/SDS002R/CKN10231CT-ND/2218821" TargetMode="External"/><Relationship Id="rId44" Type="http://schemas.openxmlformats.org/officeDocument/2006/relationships/hyperlink" Target="https://jp.misumi-ec.com/vona2/detail/110302280540/?HissuCode=CBSTSR&amp;PNSearch=CBSTSR&amp;KWSearch=CBSTSR&amp;searchFlow=results2products" TargetMode="External"/><Relationship Id="rId1612" Type="http://schemas.openxmlformats.org/officeDocument/2006/relationships/hyperlink" Target="https://www.digikey.jp/product-detail/en/mikroelektronika/MIKROE-1943/1471-1685-ND/6490568" TargetMode="External"/><Relationship Id="rId4768" Type="http://schemas.openxmlformats.org/officeDocument/2006/relationships/hyperlink" Target="https://www.texio.co.jp/en/product/detail/11" TargetMode="External"/><Relationship Id="rId4975" Type="http://schemas.openxmlformats.org/officeDocument/2006/relationships/hyperlink" Target="https://www.digikey.jp/ja/products/detail/adafruit-industries-llc/1085/5761229?utm_adgroup=General&amp;utm_source=google&amp;utm_medium=cpc&amp;utm_campaign=PMax%20Shopping_Product_Zombie%20SKUs&amp;utm_term=&amp;productid=5761229&amp;gclid=Cj0KCQjwmouZBhDSARIsALYcoupkCPiWq-wFWAqnw39TXufocMWMHr-XV7QR5OIxdPXVmvXfKH5QkUQaAsGREALw_wcB" TargetMode="External"/><Relationship Id="rId498" Type="http://schemas.openxmlformats.org/officeDocument/2006/relationships/hyperlink" Target="https://jp.rs-online.com/web/p/surface-mount-fixed-resistors/6315178/" TargetMode="External"/><Relationship Id="rId2179" Type="http://schemas.openxmlformats.org/officeDocument/2006/relationships/hyperlink" Target="https://jp.misumi-ec.com/vona2/detail/110300258940/?Tab=codeList" TargetMode="External"/><Relationship Id="rId3577" Type="http://schemas.openxmlformats.org/officeDocument/2006/relationships/hyperlink" Target="https://www.mouser.jp/ProductDetail/Wurth-Elektronik/61302211021?qs=PhR8RmCirEZxdHAo9a5ENQ%3D%3D" TargetMode="External"/><Relationship Id="rId3784" Type="http://schemas.openxmlformats.org/officeDocument/2006/relationships/hyperlink" Target="https://www.thorlabs.com/thorproduct.cfm?partnumber=LMR1/M" TargetMode="External"/><Relationship Id="rId3991" Type="http://schemas.openxmlformats.org/officeDocument/2006/relationships/hyperlink" Target="https://www.digikey.jp/product-detail/ja/taiyo-yuden/AMK105CBJ106MV-F/587-3237-1-ND/3660099" TargetMode="External"/><Relationship Id="rId4628" Type="http://schemas.openxmlformats.org/officeDocument/2006/relationships/hyperlink" Target="https://jp.misumi-ec.com/vona2/detail/110300258940/?HissuCode=HLTS6-12" TargetMode="External"/><Relationship Id="rId4835" Type="http://schemas.openxmlformats.org/officeDocument/2006/relationships/hyperlink" Target="https://jp.misumi-ec.com/vona2/detail/110300465870/?list=PageCategory" TargetMode="External"/><Relationship Id="rId2386" Type="http://schemas.openxmlformats.org/officeDocument/2006/relationships/hyperlink" Target="http://www.cirocomm.com/en-global/products_ciro/detail/PA025AA0096" TargetMode="External"/><Relationship Id="rId2593" Type="http://schemas.openxmlformats.org/officeDocument/2006/relationships/hyperlink" Target="https://www.digikey.jp/products/ja?keywords=DTC144EET1GOSCT-ND" TargetMode="External"/><Relationship Id="rId3437" Type="http://schemas.openxmlformats.org/officeDocument/2006/relationships/hyperlink" Target="https://jp.misumi-ec.com/vona2/detail/110302280540/" TargetMode="External"/><Relationship Id="rId3644" Type="http://schemas.openxmlformats.org/officeDocument/2006/relationships/hyperlink" Target="https://jp.rs-online.com/web/p/op-amps/8122527" TargetMode="External"/><Relationship Id="rId3851" Type="http://schemas.openxmlformats.org/officeDocument/2006/relationships/hyperlink" Target="https://www.nbk1560.com/products/specialscrew/nedzicom/lowsmallheadscrew/SLHS/" TargetMode="External"/><Relationship Id="rId4902" Type="http://schemas.openxmlformats.org/officeDocument/2006/relationships/hyperlink" Target="https://jp.misumi-ec.com/vona2/detail/221000348314/?ProductCode=SNSS-M1.6X5" TargetMode="External"/><Relationship Id="rId358" Type="http://schemas.openxmlformats.org/officeDocument/2006/relationships/hyperlink" Target="https://www.digikey.jp/product-detail/ja/molex/0734150963/WM3786CT-ND/2421674" TargetMode="External"/><Relationship Id="rId565" Type="http://schemas.openxmlformats.org/officeDocument/2006/relationships/hyperlink" Target="https://www.digikey.jp/product-detail/en/panasonic-electronic-components/ERA-6AEB104V/P100KDACT-ND/1465995" TargetMode="External"/><Relationship Id="rId772" Type="http://schemas.openxmlformats.org/officeDocument/2006/relationships/hyperlink" Target="https://www.digikey.jp/product-detail/ja/linear-technology-analog-devices/LTC4361ITS8-2-TRMPBF/LTC4361ITS8-2-TRMPBFCT-ND/2351622" TargetMode="External"/><Relationship Id="rId1195" Type="http://schemas.openxmlformats.org/officeDocument/2006/relationships/hyperlink" Target="https://jp.misumi-ec.com/vona2/detail/221006495032/?HissuCode=SNSLG-M3-10&amp;PNSearch=SNSLG-M3-10&amp;KWSearch=SNSLG-M3-10&amp;searchFlow=results2products" TargetMode="External"/><Relationship Id="rId2039" Type="http://schemas.openxmlformats.org/officeDocument/2006/relationships/hyperlink" Target="https://www.digikey.jp/products/en?keywords=490-16433-1-ND" TargetMode="External"/><Relationship Id="rId2246" Type="http://schemas.openxmlformats.org/officeDocument/2006/relationships/hyperlink" Target="http://akizukidenshi.com/catalog/g/gP-07352/" TargetMode="External"/><Relationship Id="rId2453" Type="http://schemas.openxmlformats.org/officeDocument/2006/relationships/hyperlink" Target="https://www.monotaro.com/p/3481/1086/?t.q=TS100-100-05" TargetMode="External"/><Relationship Id="rId2660" Type="http://schemas.openxmlformats.org/officeDocument/2006/relationships/hyperlink" Target="https://www.digikey.jp/product-detail/en/kemet/C0603C106M8PAC7867/399-14945-1-ND/7382494" TargetMode="External"/><Relationship Id="rId3504" Type="http://schemas.openxmlformats.org/officeDocument/2006/relationships/hyperlink" Target="https://www.switch-science.com/catalog/2716/" TargetMode="External"/><Relationship Id="rId3711" Type="http://schemas.openxmlformats.org/officeDocument/2006/relationships/hyperlink" Target="https://jp.rs-online.com/web/p/gate-drivers/6684219/" TargetMode="External"/><Relationship Id="rId218" Type="http://schemas.openxmlformats.org/officeDocument/2006/relationships/hyperlink" Target="https://www.p-ban.com/kiban/com/csComTop.do" TargetMode="External"/><Relationship Id="rId425" Type="http://schemas.openxmlformats.org/officeDocument/2006/relationships/hyperlink" Target="https://www.digikey.jp/product-detail/en/murata-electronics-north-america/LQP03TN0N8B02D/490-6709-1-ND/5802357" TargetMode="External"/><Relationship Id="rId632" Type="http://schemas.openxmlformats.org/officeDocument/2006/relationships/hyperlink" Target="https://www.digikey.jp/product-detail/ja/johanson-technology-inc/L603DC/712-1451-ND/1915219" TargetMode="External"/><Relationship Id="rId1055" Type="http://schemas.openxmlformats.org/officeDocument/2006/relationships/hyperlink" Target="https://www.digikey.jp/products/en?keywords=DTC144EKAT146CT-ND" TargetMode="External"/><Relationship Id="rId1262" Type="http://schemas.openxmlformats.org/officeDocument/2006/relationships/hyperlink" Target="https://www.askul.co.jp/p/2062405/" TargetMode="External"/><Relationship Id="rId2106" Type="http://schemas.openxmlformats.org/officeDocument/2006/relationships/hyperlink" Target="https://jp.misumi-ec.com/vona2/detail/221006204478/?HissuCode=C-323&amp;PNSearch=C-323&amp;KWSearch=C-323&amp;searchFlow=results2products" TargetMode="External"/><Relationship Id="rId2313" Type="http://schemas.openxmlformats.org/officeDocument/2006/relationships/hyperlink" Target="https://jp.rs-online.com/web/p/usb-connectors/7378805/" TargetMode="External"/><Relationship Id="rId2520" Type="http://schemas.openxmlformats.org/officeDocument/2006/relationships/hyperlink" Target="https://jp.misumi-ec.com/vona2/detail/110300239250/?HissuCode=SCB2-8&amp;PNSearch=SCB2-8&amp;KWSearch=SCB2-8&amp;searchFlow=results2products" TargetMode="External"/><Relationship Id="rId1122" Type="http://schemas.openxmlformats.org/officeDocument/2006/relationships/hyperlink" Target="https://www.digikey.jp/product-detail/ja/m-a-com-technology-solutions/MABACT0059/1465-1311-1-ND/4430008?cur=JPY&amp;lang=ja" TargetMode="External"/><Relationship Id="rId4278" Type="http://schemas.openxmlformats.org/officeDocument/2006/relationships/hyperlink" Target="https://www.digikey.jp/ja/products/detail/amphenol-icc-fci/20021121-00008C4LF/2209054" TargetMode="External"/><Relationship Id="rId4485" Type="http://schemas.openxmlformats.org/officeDocument/2006/relationships/hyperlink" Target="https://www.mouser.jp/ProductDetail/Molex/202396-1507?qs=%2Fha2pyFaduilCYVPsmo%2FVif9l7JpBe9%252BzaNNzk%2Fv652GYl8oMnqI6Q%3D%3D" TargetMode="External"/><Relationship Id="rId5329" Type="http://schemas.openxmlformats.org/officeDocument/2006/relationships/hyperlink" Target="https://www.digikey.jp/en/products/detail/delta-electronics-components/0402HM-150EKTS/9763110" TargetMode="External"/><Relationship Id="rId3087" Type="http://schemas.openxmlformats.org/officeDocument/2006/relationships/hyperlink" Target="https://jp.misumi-ec.com/vona2/detail/110302280540/?ProductCode=CBSTSR2-5" TargetMode="External"/><Relationship Id="rId3294" Type="http://schemas.openxmlformats.org/officeDocument/2006/relationships/hyperlink" Target="https://item.rakuten.co.jp/robotshopjapan/rb-wav-88/" TargetMode="External"/><Relationship Id="rId4138" Type="http://schemas.openxmlformats.org/officeDocument/2006/relationships/hyperlink" Target="https://jp.rs-online.com/web/p/usb-cables/1863051" TargetMode="External"/><Relationship Id="rId4345" Type="http://schemas.openxmlformats.org/officeDocument/2006/relationships/hyperlink" Target="https://www.digikey.jp/ja/products/detail/recom-power/R05P209D/2301255" TargetMode="External"/><Relationship Id="rId4692" Type="http://schemas.openxmlformats.org/officeDocument/2006/relationships/hyperlink" Target="https://www.mouser.jp/ProductDetail/TE-Connectivity/2-825433-0?qs=Yxch5oR%2FTsPyWO6AE6CpEQ%3D%3D" TargetMode="External"/><Relationship Id="rId1939" Type="http://schemas.openxmlformats.org/officeDocument/2006/relationships/hyperlink" Target="https://www.digikey.jp/product-detail/en/microchip-technology/MCP6001UT-I-OT/MCP6001UT-I-OTCT-ND/697159" TargetMode="External"/><Relationship Id="rId4552" Type="http://schemas.openxmlformats.org/officeDocument/2006/relationships/hyperlink" Target="https://www.monotaro.com/g/01410555/?t.q=STP&#12465;&#12540;&#12502;&#12523;" TargetMode="External"/><Relationship Id="rId3154" Type="http://schemas.openxmlformats.org/officeDocument/2006/relationships/hyperlink" Target="https://www.digikey.jp/product-detail/en/molex/0510210300/WM1721-ND/242843" TargetMode="External"/><Relationship Id="rId3361" Type="http://schemas.openxmlformats.org/officeDocument/2006/relationships/hyperlink" Target="https://www.digikey.jp/product-detail/ja/samtec-inc/FTM-105-02-F-DV/SAM15621-ND/6692276" TargetMode="External"/><Relationship Id="rId4205" Type="http://schemas.openxmlformats.org/officeDocument/2006/relationships/hyperlink" Target="https://www.mouser.jp/ProductDetail/onsemi/NTK3134NT1G?qs=g97OBWmz8%2FXjV%2Fg5rjrz3Q%3D%3D" TargetMode="External"/><Relationship Id="rId4412" Type="http://schemas.openxmlformats.org/officeDocument/2006/relationships/hyperlink" Target="https://www.digikey.jp/product-detail/en/norcomp-inc/977-015-010R031/915GPE-ND/858499" TargetMode="External"/><Relationship Id="rId282" Type="http://schemas.openxmlformats.org/officeDocument/2006/relationships/hyperlink" Target="https://www.digikey.jp/product-detail/ja/pulse-electronics-network/PE-0805CM121JTT/553-1043-1-ND/754462" TargetMode="External"/><Relationship Id="rId2170" Type="http://schemas.openxmlformats.org/officeDocument/2006/relationships/hyperlink" Target="https://www.digikey.jp/product-detail/en/3m/12226-5150-00FR/MSDR26-ND/1092158" TargetMode="External"/><Relationship Id="rId3014" Type="http://schemas.openxmlformats.org/officeDocument/2006/relationships/hyperlink" Target="https://www.digikey.jp/product-detail/en/hammond-manufacturing/1554D2GY/HM1790-ND/2359934" TargetMode="External"/><Relationship Id="rId3221" Type="http://schemas.openxmlformats.org/officeDocument/2006/relationships/hyperlink" Target="https://www.mouser.jp/ProductDetail/SanDisk/SDSDQAF3-064G-XI?qs=F5EMLAvA7ID%2Fx3Z%252BZWB28g==" TargetMode="External"/><Relationship Id="rId8" Type="http://schemas.openxmlformats.org/officeDocument/2006/relationships/hyperlink" Target="https://jp.misumi-ec.com/vona2/detail/221006205109/?ProductCode=TT-2606-08" TargetMode="External"/><Relationship Id="rId142" Type="http://schemas.openxmlformats.org/officeDocument/2006/relationships/hyperlink" Target="https://www.digikey.jp/product-detail/ja/A3C-50DA-2DSA(71)/H10903-ND/1033031/?itemSeq=274683285" TargetMode="External"/><Relationship Id="rId2030" Type="http://schemas.openxmlformats.org/officeDocument/2006/relationships/hyperlink" Target="https://www.digikey.jp/product-detail/ja/hirose-electric-co-ltd/U-FL-R-SMT-1-01/H122041-ND/3978494" TargetMode="External"/><Relationship Id="rId2987" Type="http://schemas.openxmlformats.org/officeDocument/2006/relationships/hyperlink" Target="https://www.digikey.jp/product-detail/ja/kemet/C0603C225K9PACTU/399-3362-1-ND/650351" TargetMode="External"/><Relationship Id="rId5186" Type="http://schemas.openxmlformats.org/officeDocument/2006/relationships/hyperlink" Target="https://mou.sr/3toseZf" TargetMode="External"/><Relationship Id="rId959" Type="http://schemas.openxmlformats.org/officeDocument/2006/relationships/hyperlink" Target="https://www.digikey.jp/product-detail/en/samsung-electro-mechanics/RC0402J000CS/1276-3538-1-ND/3966510?_ga=2.40119717.626115283.1563703700-33209779.1563703700" TargetMode="External"/><Relationship Id="rId1589" Type="http://schemas.openxmlformats.org/officeDocument/2006/relationships/hyperlink" Target="https://www.digikey.jp/product-detail/en/adafruit-industries-llc/1950/1528-1961-ND/6827084" TargetMode="External"/><Relationship Id="rId5046" Type="http://schemas.openxmlformats.org/officeDocument/2006/relationships/hyperlink" Target="https://www.mouser.jp/ProductDetail/Analog-Devices/LTC4361CTS8-1TRMPBF?qs=hVkxg5c3xu%252BEByIi1%2FUu3w%3D%3D" TargetMode="External"/><Relationship Id="rId5253" Type="http://schemas.openxmlformats.org/officeDocument/2006/relationships/hyperlink" Target="https://www.monotaro.com/p/5095/8328/" TargetMode="External"/><Relationship Id="rId1449" Type="http://schemas.openxmlformats.org/officeDocument/2006/relationships/hyperlink" Target="https://www.digikey.jp/product-detail/en/linx-technologies-inc/CONUFL001-SMD-T/CONUFL001-SMD-TCT-ND/7427733" TargetMode="External"/><Relationship Id="rId1796" Type="http://schemas.openxmlformats.org/officeDocument/2006/relationships/hyperlink" Target="https://www.digikey.jp/products/ja?keywords=ATMEGA32U4-MURCT-ND" TargetMode="External"/><Relationship Id="rId2847" Type="http://schemas.openxmlformats.org/officeDocument/2006/relationships/hyperlink" Target="https://jp.misumi-ec.com/vona2/detail/110310113399/?ProductCode=A2017P-KQ6-400-350-6" TargetMode="External"/><Relationship Id="rId4062" Type="http://schemas.openxmlformats.org/officeDocument/2006/relationships/hyperlink" Target="https://www.mouser.jp/ProductDetail/BusBoard-Prototype-Systems/SP1-50x50-G?qs=NGErKr1RxMDD3GIS2t7UcQ==" TargetMode="External"/><Relationship Id="rId5113" Type="http://schemas.openxmlformats.org/officeDocument/2006/relationships/hyperlink" Target="https://www.mouser.jp/ProductDetail/Samtec/HMTSW-126-08-G-D-100?qs=%2Fha2pyFadui497Z9nlyfhEM9G6u35%2F8%252Ba4MvFkDHK4%252B0cfHlyZHkvg%3D%3D" TargetMode="External"/><Relationship Id="rId88" Type="http://schemas.openxmlformats.org/officeDocument/2006/relationships/hyperlink" Target="https://www.digikey.jp/product-detail/en/linear-technology-analog-devices/LTC4361CTS8-2-TRMPBF/LTC4361CTS8-2-TRMPBFCT-ND/2297165?cur=JPY&amp;lang=en" TargetMode="External"/><Relationship Id="rId819" Type="http://schemas.openxmlformats.org/officeDocument/2006/relationships/hyperlink" Target="https://www.digikey.jp/product-detail/en/vishay-dale/CRCW12181R00FKEKHP/541-1.00ANCT-ND/5327099" TargetMode="External"/><Relationship Id="rId1656" Type="http://schemas.openxmlformats.org/officeDocument/2006/relationships/hyperlink" Target="https://www.hazaiya.co.jp/item/15000030.html" TargetMode="External"/><Relationship Id="rId1863" Type="http://schemas.openxmlformats.org/officeDocument/2006/relationships/hyperlink" Target="https://www.digikey.jp/product-detail/en/infineon-technologies/IRLML5203TRPBF/IRLML5203TRPBFCT-ND/2441088" TargetMode="External"/><Relationship Id="rId2707" Type="http://schemas.openxmlformats.org/officeDocument/2006/relationships/hyperlink" Target="https://jp.misumi-ec.com/vona2/detail/221000579174/?HissuCode=POM-NC2.0-500-1000&amp;PNSearch=POM-NC2.0-500-1000&amp;KWSearch=POM-NC2.0-500-1000&amp;searchFlow=results2products" TargetMode="External"/><Relationship Id="rId2914" Type="http://schemas.openxmlformats.org/officeDocument/2006/relationships/hyperlink" Target="https://jp.rs-online.com/web/p/low-dropout-voltage-regulators/8022130/" TargetMode="External"/><Relationship Id="rId5320" Type="http://schemas.openxmlformats.org/officeDocument/2006/relationships/hyperlink" Target="https://www.digikey.jp/en/products/detail/vishay-siliconix/SI7997DP-T1-GE3/2441756?s=N4IgTCBcDaIMoEkDsBOFSAiAFAtAFQEYcBxAUQGYQBdAXyA" TargetMode="External"/><Relationship Id="rId1309" Type="http://schemas.openxmlformats.org/officeDocument/2006/relationships/hyperlink" Target="https://www.digikey.jp/product-detail/en/sullins-connector-solutions/SPN02SXCN-RC/S9339-ND/2618264" TargetMode="External"/><Relationship Id="rId1516" Type="http://schemas.openxmlformats.org/officeDocument/2006/relationships/hyperlink" Target="https://www.mouser.jp/manufacturer/phoenix-contact/" TargetMode="External"/><Relationship Id="rId1723" Type="http://schemas.openxmlformats.org/officeDocument/2006/relationships/hyperlink" Target="https://www.minicircuits.com/pdfs/ADE-2+.pdf" TargetMode="External"/><Relationship Id="rId1930" Type="http://schemas.openxmlformats.org/officeDocument/2006/relationships/hyperlink" Target="https://www.digikey.jp/product-detail/en/harwin-inc/S8091-46R/952-1738-1-ND/3131067" TargetMode="External"/><Relationship Id="rId4879" Type="http://schemas.openxmlformats.org/officeDocument/2006/relationships/hyperlink" Target="https://www.monotaro.com/p/0030/9426/" TargetMode="External"/><Relationship Id="rId15" Type="http://schemas.openxmlformats.org/officeDocument/2006/relationships/hyperlink" Target="https://jp.rs-online.com/web/p/aluminium-capacitors/5233025/?sra=pstk" TargetMode="External"/><Relationship Id="rId3688" Type="http://schemas.openxmlformats.org/officeDocument/2006/relationships/hyperlink" Target="https://www.digikey.jp/products/en?keywords=%09NCV1117ST18T3GOSCT-ND" TargetMode="External"/><Relationship Id="rId3895" Type="http://schemas.openxmlformats.org/officeDocument/2006/relationships/hyperlink" Target="https://www.digikey.jp/products/ja?keywords=GAG10K3976B1" TargetMode="External"/><Relationship Id="rId4739" Type="http://schemas.openxmlformats.org/officeDocument/2006/relationships/hyperlink" Target="https://www.m2inc.com/FG2M2PRTPD" TargetMode="External"/><Relationship Id="rId4946" Type="http://schemas.openxmlformats.org/officeDocument/2006/relationships/hyperlink" Target="https://www.digikey.jp/ja/products/detail/diodes-incorporated/AP22653W6-7/10481162" TargetMode="External"/><Relationship Id="rId2497" Type="http://schemas.openxmlformats.org/officeDocument/2006/relationships/hyperlink" Target="https://jp.misumi-ec.com/vona2/detail/221006493827/?HissuCode=SNSS-M2-6-SD&amp;PNSearch=SNSS-M2-6-SD&amp;KWSearch=SNSS-M2-6-SD&amp;searchFlow=results2products" TargetMode="External"/><Relationship Id="rId3548" Type="http://schemas.openxmlformats.org/officeDocument/2006/relationships/hyperlink" Target="https://www.mouser.jp/ProductDetail/Vishay-Dale/WSLP0805R0250FEA?qs=l%252BoLuM8chxpEU%252BvdILwPrA%3D%3D" TargetMode="External"/><Relationship Id="rId3755" Type="http://schemas.openxmlformats.org/officeDocument/2006/relationships/hyperlink" Target="https://www.digikey.jp/product-detail/en/LM2904BTQDGKRQ1/296-LM2904BTQDGKRQ1CT-ND/14634115?itemSeq=372569841" TargetMode="External"/><Relationship Id="rId4806" Type="http://schemas.openxmlformats.org/officeDocument/2006/relationships/hyperlink" Target="https://www.digikey.jp/en/products/detail/advanced-thermal-solutions-inc/ATS-TCP-1001/10491155?s=N4IgTCBcDaIIIBUDKBaBBhACigjABjxxAF0BfIA" TargetMode="External"/><Relationship Id="rId469" Type="http://schemas.openxmlformats.org/officeDocument/2006/relationships/hyperlink" Target="https://www.amazon.co.jp/gp/product/B01ER2SMHY/ref=ox_sc_act_title_1?smid=A2XCLC244FCEX4&amp;psc=1" TargetMode="External"/><Relationship Id="rId676" Type="http://schemas.openxmlformats.org/officeDocument/2006/relationships/hyperlink" Target="https://www.monotaro.com/p/0962/8238/?utm_medium=cpc&amp;utm_source=Adwords&amp;gclid=CjwKCAjw_MnmBRAoEiwAPRRWW7GKRhrVyGFcx_Ca7dxVoMeT4ejK0SPNWmWi_bs-6x-eQoA0tfRP8BoC6IgQAvD_BwE" TargetMode="External"/><Relationship Id="rId883" Type="http://schemas.openxmlformats.org/officeDocument/2006/relationships/hyperlink" Target="https://jp.rs-online.com/web/p/mlccs-multilayer-ceramic-capacitors/6476835/" TargetMode="External"/><Relationship Id="rId1099" Type="http://schemas.openxmlformats.org/officeDocument/2006/relationships/hyperlink" Target="https://www.digikey.jp/product-detail/ja/micron-technology-inc/MT25QL01GBBB8ESF-0SIT-TR/557-1981-1-ND/9673962" TargetMode="External"/><Relationship Id="rId2357" Type="http://schemas.openxmlformats.org/officeDocument/2006/relationships/hyperlink" Target="https://hirosugi.co.jp/products/POM/C.html" TargetMode="External"/><Relationship Id="rId2564" Type="http://schemas.openxmlformats.org/officeDocument/2006/relationships/hyperlink" Target="https://www.digikey.jp/product-detail/ja/analog-devices-inc/ADUM4190BRIZ/ADUM4190BRIZ-ND/3882157" TargetMode="External"/><Relationship Id="rId3408" Type="http://schemas.openxmlformats.org/officeDocument/2006/relationships/hyperlink" Target="https://www.digikey.jp/product-detail/en/norcomp-inc/977-015-010R031/915GPE-ND/858499" TargetMode="External"/><Relationship Id="rId3615" Type="http://schemas.openxmlformats.org/officeDocument/2006/relationships/hyperlink" Target="https://www.digikey.jp/product-detail/ja/texas-instruments/OPA170AIDBVT/296-29496-1-ND/2748511" TargetMode="External"/><Relationship Id="rId3962" Type="http://schemas.openxmlformats.org/officeDocument/2006/relationships/hyperlink" Target="https://jp.misumi-ec.com/vona2/detail/221006204478/?PNSearch=C-319-5&amp;HissuCode=C-319-5&amp;searchFlow=suggesthistory&amp;Keyword=C-319-5&amp;list=SuggestPreview" TargetMode="External"/><Relationship Id="rId329" Type="http://schemas.openxmlformats.org/officeDocument/2006/relationships/hyperlink" Target="https://strawberry-linux.com/catalog/items?code=12120" TargetMode="External"/><Relationship Id="rId536" Type="http://schemas.openxmlformats.org/officeDocument/2006/relationships/hyperlink" Target="https://www.digikey.jp/product-detail/en/bourns-inc/SRR0604-1R5ML/SRR0604-1R5MLCT-ND/2352990" TargetMode="External"/><Relationship Id="rId1166" Type="http://schemas.openxmlformats.org/officeDocument/2006/relationships/hyperlink" Target="https://jp.misumi-ec.com/vona2/detail/221000348314/?ProductCode=SNSS-M1.6X5" TargetMode="External"/><Relationship Id="rId1373" Type="http://schemas.openxmlformats.org/officeDocument/2006/relationships/hyperlink" Target="http://akizukidenshi.com/catalog/g/gP-02933/" TargetMode="External"/><Relationship Id="rId2217" Type="http://schemas.openxmlformats.org/officeDocument/2006/relationships/hyperlink" Target="https://www.digikey.jp/product-detail/en/tdk-corporation/FG18C0G1H471JNT06/445-173197-1-ND/5811802" TargetMode="External"/><Relationship Id="rId2771" Type="http://schemas.openxmlformats.org/officeDocument/2006/relationships/hyperlink" Target="https://akizukidenshi.com/catalog/g/gC-10102/" TargetMode="External"/><Relationship Id="rId3822" Type="http://schemas.openxmlformats.org/officeDocument/2006/relationships/hyperlink" Target="https://www.monotaro.com/p/3484/5072" TargetMode="External"/><Relationship Id="rId743" Type="http://schemas.openxmlformats.org/officeDocument/2006/relationships/hyperlink" Target="https://www.digikey.jp/product-detail/ja/analog-devices-inc/AD7888ARZ-REEL7/AD7888ARZ-REEL7CT-ND/3694573" TargetMode="External"/><Relationship Id="rId950" Type="http://schemas.openxmlformats.org/officeDocument/2006/relationships/hyperlink" Target="https://www.monotaro.com/g/00176853/?t.q=9182047" TargetMode="External"/><Relationship Id="rId1026" Type="http://schemas.openxmlformats.org/officeDocument/2006/relationships/hyperlink" Target="http://hamradio.com/" TargetMode="External"/><Relationship Id="rId1580" Type="http://schemas.openxmlformats.org/officeDocument/2006/relationships/hyperlink" Target="https://jp.misumi-ec.com/vona2/detail/221000551444/?KWSearch=%e6%a8%b9%e8%84%82%e3%83%9c%e3%83%ab%e3%83%88&amp;searchFlow=results2products" TargetMode="External"/><Relationship Id="rId2424" Type="http://schemas.openxmlformats.org/officeDocument/2006/relationships/hyperlink" Target="https://www.digikey.jp/product-detail/ja/amphenol-icc-fci/84513-101LF/609-84513-101LFCT-ND/10521394" TargetMode="External"/><Relationship Id="rId2631" Type="http://schemas.openxmlformats.org/officeDocument/2006/relationships/hyperlink" Target="https://item.rakuten.co.jp/robotshopjapan/rb-wav-88/" TargetMode="External"/><Relationship Id="rId4389" Type="http://schemas.openxmlformats.org/officeDocument/2006/relationships/hyperlink" Target="https://www.monotaro.com/g/00404991/" TargetMode="External"/><Relationship Id="rId603" Type="http://schemas.openxmlformats.org/officeDocument/2006/relationships/hyperlink" Target="https://jp.misumi-ec.com/vona2/detail/110302360250/?HissuCode=HHDFA20&amp;PNSearch=HHDFA20&amp;KWSearch=HHDFA20&amp;searchFlow=results2products" TargetMode="External"/><Relationship Id="rId810" Type="http://schemas.openxmlformats.org/officeDocument/2006/relationships/hyperlink" Target="http://www.cirocomm.com/en-global/products_ciro/detail/PA025AA0096" TargetMode="External"/><Relationship Id="rId1233" Type="http://schemas.openxmlformats.org/officeDocument/2006/relationships/hyperlink" Target="https://www.digikey.jp/product-detail/ja/murata-electronics/GQM2195C1H220JB01D/490-3608-1-ND/789608" TargetMode="External"/><Relationship Id="rId1440" Type="http://schemas.openxmlformats.org/officeDocument/2006/relationships/hyperlink" Target="https://www.digikey.jp/product-detail/en/stmicroelectronics/STWD100NYWY3F/497-10058-1-ND/2175107" TargetMode="External"/><Relationship Id="rId4596" Type="http://schemas.openxmlformats.org/officeDocument/2006/relationships/hyperlink" Target="https://www.mouser.jp/ProductDetail/Vishay-Semiconductors/SI7106DN-T1-E3?qs=jcx%252B0HVgj2ZDhrm0OLlKVQ%3D%3D" TargetMode="External"/><Relationship Id="rId1300" Type="http://schemas.openxmlformats.org/officeDocument/2006/relationships/hyperlink" Target="https://www.monotaro.com/p/3273/5875/?t.q=UV" TargetMode="External"/><Relationship Id="rId3198" Type="http://schemas.openxmlformats.org/officeDocument/2006/relationships/hyperlink" Target="https://www.monotaro.com/p/0718/1781/?displayId=4" TargetMode="External"/><Relationship Id="rId4249" Type="http://schemas.openxmlformats.org/officeDocument/2006/relationships/hyperlink" Target="https://www.monotaro.com/p/1134/7717/?t.q=FSS-41035-13" TargetMode="External"/><Relationship Id="rId4456" Type="http://schemas.openxmlformats.org/officeDocument/2006/relationships/hyperlink" Target="https://jp.misumi-ec.com/vona2/detail/222000426705" TargetMode="External"/><Relationship Id="rId4663" Type="http://schemas.openxmlformats.org/officeDocument/2006/relationships/hyperlink" Target="https://www.mouser.jp/ProductDetail/Molex/202396-1507?qs=%2Fha2pyFaduilCYVPsmo%2FVif9l7JpBe9%252BzaNNzk%2Fv652GYl8oMnqI6Q==" TargetMode="External"/><Relationship Id="rId4870" Type="http://schemas.openxmlformats.org/officeDocument/2006/relationships/hyperlink" Target="https://jp.misumi-ec.com/vona2/detail/221303783852/?PNSearch=CSHBTT-SUS-M3-25&amp;HissuCode=CSHBTT-SUS-M3-25&amp;searchFlow=suggest2products&amp;Keyword=CSHBTT-SUS-M3-25&amp;list=SuggestPreview" TargetMode="External"/><Relationship Id="rId3058" Type="http://schemas.openxmlformats.org/officeDocument/2006/relationships/hyperlink" Target="https://jp.misumi-ec.com/vona2/detail/221006205109/?ProductCode=TT-0310-20" TargetMode="External"/><Relationship Id="rId3265" Type="http://schemas.openxmlformats.org/officeDocument/2006/relationships/hyperlink" Target="https://www.digikey.jp/product-detail/ja/tdk-corporation/C1608X7S0J106M080AC/445-9104-1-ND/3661624" TargetMode="External"/><Relationship Id="rId3472" Type="http://schemas.openxmlformats.org/officeDocument/2006/relationships/hyperlink" Target="https://www.amazon.co.jp/-/en/dp/B0951RXNJ1/ref=sr_1_7?dchild=1&amp;keywords=raspberry+pi+compute+module+3&amp;qid=1621485714&amp;sr=8-7" TargetMode="External"/><Relationship Id="rId4109" Type="http://schemas.openxmlformats.org/officeDocument/2006/relationships/hyperlink" Target="https://www.monotaro.com/g/00503795/?monotaroNo=49234491" TargetMode="External"/><Relationship Id="rId4316" Type="http://schemas.openxmlformats.org/officeDocument/2006/relationships/hyperlink" Target="https://www.digikey.jp/en/products/detail/alpha-wire/2841-7-YL005/3708251" TargetMode="External"/><Relationship Id="rId4523" Type="http://schemas.openxmlformats.org/officeDocument/2006/relationships/hyperlink" Target="https://www.amazon.co.jp/Aoje-Link%E7%89%87%E9%9D%A2%E9%8A%85%E5%BC%B5PCB%E3%83%A9%E3%83%9F%E3%83%8D%E3%83%BC%E3%83%88%E5%9B%9E%E8%B7%AF%E5%9F%BA%E6%9D%BF%E3%80%81FR-4%E3%82%B0%E3%83%A9%E3%82%B9%E3%83%95%E3%82%A1%E3%82%A4%E3%83%90%E3%83%BC%E3%80%81-300-200-1mm-2%E5%80%8B/dp/B091Y1VPW4/ref=sr_1_16?__mk_ja_JP=%E3%82%AB%E3%82%BF%E3%82%AB%E3%83%8A&amp;crid=2TW4ODC7FIB9E&amp;keywords=FR-4%2Bboard&amp;qid=1646886680&amp;sprefix=fr-4%2Bboar%2Caps%2C160&amp;sr=8-16&amp;th=1" TargetMode="External"/><Relationship Id="rId4730" Type="http://schemas.openxmlformats.org/officeDocument/2006/relationships/hyperlink" Target="https://www.p-ban.com/kiban/com/csComShwOrd.do?summaryOrderNo=22062100139" TargetMode="External"/><Relationship Id="rId186" Type="http://schemas.openxmlformats.org/officeDocument/2006/relationships/hyperlink" Target="http://tospa.shop-pro.jp/?pid=8765028" TargetMode="External"/><Relationship Id="rId393" Type="http://schemas.openxmlformats.org/officeDocument/2006/relationships/hyperlink" Target="https://www.amazon.co.jp/%E5%AE%B6%E5%BA%AD%E7%94%A8%E3%81%AB%E7%9B%B8%E5%BF%9C%E3%81%97%E3%81%84-HDMI%E3%82%B1%E3%83%BC%E3%83%96%E3%83%AB%E4%BB%98%E5%B1%9E-1080p%E3%83%95%E3%83%ABHD%E5%AF%BE%E5%BF%9C-%EF%BC%92%E3%81%A4%E5%86%85%E8%94%B5%E3%82%B9%E3%83%94%E3%83%BC%E3%82%AB%E3%83%BC-%E3%83%A1%E3%83%A2%E3%83%AA%E3%83%BC%E3%82%AB%E3%83%BC%E3%83%89%E3%81%AA%E3%81%A9%E6%8E%A5%E7%B6%9A%E5%8F%AF%E8%83%BD/dp/B07H5D8ZTC/ref=sr_1_3?ie=UTF8&amp;qid=1549948686&amp;sr=8-3&amp;keywords=projector+3000+lm" TargetMode="External"/><Relationship Id="rId2074" Type="http://schemas.openxmlformats.org/officeDocument/2006/relationships/hyperlink" Target="https://jp.misumi-ec.com/vona2/detail/221006493726/?CategorySpec=00000217009%3a%3amig00000002613646%0900000217129%3a%3ab" TargetMode="External"/><Relationship Id="rId2281" Type="http://schemas.openxmlformats.org/officeDocument/2006/relationships/hyperlink" Target="https://www.digikey.jp/product-detail/en/amphenol-icc-fci/10103594-0001LF/609-4050-1-ND/2350357" TargetMode="External"/><Relationship Id="rId3125" Type="http://schemas.openxmlformats.org/officeDocument/2006/relationships/hyperlink" Target="https://www.digikey.jp/product-detail/en/analog-devices-inc/LT6106HS5-TRMPBF/LT6106HS5-TRMPBFCT-ND/1590294" TargetMode="External"/><Relationship Id="rId3332" Type="http://schemas.openxmlformats.org/officeDocument/2006/relationships/hyperlink" Target="https://www.minicircuits.com/pdfs/ADP-2-1W.pdf" TargetMode="External"/><Relationship Id="rId253" Type="http://schemas.openxmlformats.org/officeDocument/2006/relationships/hyperlink" Target="https://www.monotaro.com/g/01859161/?displayId=24" TargetMode="External"/><Relationship Id="rId460" Type="http://schemas.openxmlformats.org/officeDocument/2006/relationships/hyperlink" Target="https://jp.misumi-ec.com/vona2/detail/221006204478/?HissuCode=C-306-5&amp;PNSearch=C-306-5&amp;KWSearch=C-306-5&amp;searchFlow=results2products" TargetMode="External"/><Relationship Id="rId1090" Type="http://schemas.openxmlformats.org/officeDocument/2006/relationships/hyperlink" Target="https://www.digikey.jp/products/en?keywords=H10903-ND%09" TargetMode="External"/><Relationship Id="rId2141" Type="http://schemas.openxmlformats.org/officeDocument/2006/relationships/hyperlink" Target="https://www.monotaro.com/p/4146/3134/?t.q=%83L%83%83%83b%83v%83%7B%83%8B%83g" TargetMode="External"/><Relationship Id="rId5297" Type="http://schemas.openxmlformats.org/officeDocument/2006/relationships/hyperlink" Target="https://www.digikey.jp/en/products/detail/yageo/RC0603FR-1022KL/13694111" TargetMode="External"/><Relationship Id="rId113" Type="http://schemas.openxmlformats.org/officeDocument/2006/relationships/hyperlink" Target="https://www.p-ban.com/kiban/com/csComTop.do" TargetMode="External"/><Relationship Id="rId320" Type="http://schemas.openxmlformats.org/officeDocument/2006/relationships/hyperlink" Target="https://www.monotaro.com/p/3466/4682/" TargetMode="External"/><Relationship Id="rId2001" Type="http://schemas.openxmlformats.org/officeDocument/2006/relationships/hyperlink" Target="https://www.digikey.jp/product-detail/ja/koa-speer-electronics-inc/RK73B1JTTD330J/2019-RK73B1JTTD330JCT-ND/9846754" TargetMode="External"/><Relationship Id="rId5157" Type="http://schemas.openxmlformats.org/officeDocument/2006/relationships/hyperlink" Target="https://www.digikey.jp/ja/products/detail/ecs-inc/ECS-250-18-33-JGN-TR/6821632" TargetMode="External"/><Relationship Id="rId2958" Type="http://schemas.openxmlformats.org/officeDocument/2006/relationships/hyperlink" Target="https://www.digikey.at/product-detail/en/yageo/CC0805JRNPO9BN180/311-1102-1-ND/303012" TargetMode="External"/><Relationship Id="rId5017" Type="http://schemas.openxmlformats.org/officeDocument/2006/relationships/hyperlink" Target="https://www.mouser.com/ProductDetail/Texas-Instruments/SN74TVC3010DGVR?qs=bvCpHSZmQjlTSQXUy99pjQ%3D%3D" TargetMode="External"/><Relationship Id="rId5364" Type="http://schemas.openxmlformats.org/officeDocument/2006/relationships/hyperlink" Target="https://www.monotaro.com/p/5642/0716/?t.q=%83%7B%81%5B%83%8B%94%D5" TargetMode="External"/><Relationship Id="rId1767" Type="http://schemas.openxmlformats.org/officeDocument/2006/relationships/hyperlink" Target="https://www.digikey.jp/product-detail/en/koa-speer-electronics-inc/RK73H1ETTP1002F/2019-RK73H1ETTP1002FCT-ND/9846198" TargetMode="External"/><Relationship Id="rId1974" Type="http://schemas.openxmlformats.org/officeDocument/2006/relationships/hyperlink" Target="https://www.digikey.jp/product-detail/en/kemet/C0603C104J3RACTU/399-1282-1-ND/416058" TargetMode="External"/><Relationship Id="rId2818" Type="http://schemas.openxmlformats.org/officeDocument/2006/relationships/hyperlink" Target="https://akizukidenshi.com/catalog/g/gC-02569/" TargetMode="External"/><Relationship Id="rId4173" Type="http://schemas.openxmlformats.org/officeDocument/2006/relationships/hyperlink" Target="https://www.digikey.jp/product-detail/ja/hirose-electric-co-ltd/DF14-3032SCFA/H1579CT-ND/557617" TargetMode="External"/><Relationship Id="rId4380" Type="http://schemas.openxmlformats.org/officeDocument/2006/relationships/hyperlink" Target="https://jp.banggood.com/LILYGO-TTGO-T-Beam-v1_0-ESP32-LoRa-433-or-868-or-915Mhz-WiFi-GPS-NEO-6M-18650-WiFi-bluetooth-Board-Module-p-1609523.html?cur_warehouse=CN&amp;ID=6269370" TargetMode="External"/><Relationship Id="rId5224" Type="http://schemas.openxmlformats.org/officeDocument/2006/relationships/hyperlink" Target="https://jp.rs-online.com/web/p/crystal-units/5476317" TargetMode="External"/><Relationship Id="rId59" Type="http://schemas.openxmlformats.org/officeDocument/2006/relationships/hyperlink" Target="https://www.nbk1560.com/products/specialscrew/nedzicom/lowsmallheadscrew/SSHS/" TargetMode="External"/><Relationship Id="rId1627" Type="http://schemas.openxmlformats.org/officeDocument/2006/relationships/hyperlink" Target="https://www.monotaro.com/brand/1769/" TargetMode="External"/><Relationship Id="rId1834" Type="http://schemas.openxmlformats.org/officeDocument/2006/relationships/hyperlink" Target="https://jp.rs-online.com/web/p/leds/7526868/?sra=pmpn" TargetMode="External"/><Relationship Id="rId4033" Type="http://schemas.openxmlformats.org/officeDocument/2006/relationships/hyperlink" Target="https://www.digikey.jp/products/ja?keywords=WM8301CT-ND" TargetMode="External"/><Relationship Id="rId4240" Type="http://schemas.openxmlformats.org/officeDocument/2006/relationships/hyperlink" Target="https://www.digikey.jp/ja/products/detail/vishay-beyschlag-draloric-bc-components/MCA1206MD5004BP100/11196604" TargetMode="External"/><Relationship Id="rId3799" Type="http://schemas.openxmlformats.org/officeDocument/2006/relationships/hyperlink" Target="https://jp.misumi-ec.com/vona2/detail/222302353383/?ProductCode=UL1330-20-W-100" TargetMode="External"/><Relationship Id="rId4100" Type="http://schemas.openxmlformats.org/officeDocument/2006/relationships/hyperlink" Target="https://jp.misumi-ec.com/vona2/detail/110302280540/?ProductCode=CBSTSR3-10" TargetMode="External"/><Relationship Id="rId1901" Type="http://schemas.openxmlformats.org/officeDocument/2006/relationships/hyperlink" Target="https://www.marutsu.co.jp/pc/i/1259/" TargetMode="External"/><Relationship Id="rId3659" Type="http://schemas.openxmlformats.org/officeDocument/2006/relationships/hyperlink" Target="https://www.digikey.jp/product-detail/en/ecs-inc/ECS-320-10-36B-CKM-TR/50-ECS-320-10-36B-CKM-CT-ND/12349503" TargetMode="External"/><Relationship Id="rId3866" Type="http://schemas.openxmlformats.org/officeDocument/2006/relationships/hyperlink" Target="https://www.mouser.jp/ProductDetail/KEMET/C0805C220K5GACAUTO?qs=2FIyTMJ0hNn9t4xY4mAJ1g%3D%3D" TargetMode="External"/><Relationship Id="rId4917" Type="http://schemas.openxmlformats.org/officeDocument/2006/relationships/hyperlink" Target="https://www.mouser.jp/ProductDetail/Microchip-Technology/PIC18F67J94-I-MR?qs=X98pPdo4Mrtoz2bAc5J%252B2Q%3D%3D" TargetMode="External"/><Relationship Id="rId5081" Type="http://schemas.openxmlformats.org/officeDocument/2006/relationships/hyperlink" Target="https://www.monotaro.com/p/4926/7276/?t.q=peek%20%83l%83W" TargetMode="External"/><Relationship Id="rId787" Type="http://schemas.openxmlformats.org/officeDocument/2006/relationships/hyperlink" Target="https://www.digikey.jp/product-detail/en/avx-corporation/08055C104JAT4A/478-7609-1-ND/6797633" TargetMode="External"/><Relationship Id="rId994" Type="http://schemas.openxmlformats.org/officeDocument/2006/relationships/hyperlink" Target="https://jp.rs-online.com/web/p/pcb-headers/8201582/" TargetMode="External"/><Relationship Id="rId2468" Type="http://schemas.openxmlformats.org/officeDocument/2006/relationships/hyperlink" Target="https://www.digikey.jp/product-detail/ja/te-connectivity-amp-connectors/1473005-4/A114851-ND/2187756" TargetMode="External"/><Relationship Id="rId2675" Type="http://schemas.openxmlformats.org/officeDocument/2006/relationships/hyperlink" Target="https://www.mouser.jp/ProductDetail/Vishay-Dale/CRCW060312K4FKEA?qs=8tsW7z%2Fc78of4VB3wUPkkg%3D%3D" TargetMode="External"/><Relationship Id="rId2882" Type="http://schemas.openxmlformats.org/officeDocument/2006/relationships/hyperlink" Target="https://www.elecrow.com/pcb-manufacturing.html?l=jp" TargetMode="External"/><Relationship Id="rId3519" Type="http://schemas.openxmlformats.org/officeDocument/2006/relationships/hyperlink" Target="https://www.digikey.jp/product-detail/ja/ecs-inc/ECS-TXO-5032-120-TR/XC2065CT-ND/5357898" TargetMode="External"/><Relationship Id="rId3726" Type="http://schemas.openxmlformats.org/officeDocument/2006/relationships/hyperlink" Target="https://jp.rs-online.com/web/p/non-latching-relays/7821261/?cm_mmc=JP-PLA-DS3A-_-google-_-PLA_JP_JP_%E3%83%AA%E3%83%AC%E3%83%BC_Whoop-_-(JP:Whoop!)+%E3%83%AA%E3%83%AC%E3%83%BC:+%E3%83%8E%E3%83%B3%E3%83%A9%E3%83%83%E3%83%81%E3%83%B3%E3%82%B0-_-7821261&amp;matchtype=&amp;aud-827186183926:pla-413507610922&amp;gclid=CjwKCAjw3MSHBhB3EiwAxcaEu1UUc5AE4xaT5MXeCaPtVUL-MU-GThEU3VGZKB6JYyVl-GPUHY1SgRoCMowQAvD_BwE&amp;gclsrc=aw.ds" TargetMode="External"/><Relationship Id="rId3933" Type="http://schemas.openxmlformats.org/officeDocument/2006/relationships/hyperlink" Target="https://www.digikey.com/en/products/detail/stackpole-electronics-inc/CSR0805FK25L0/1742412" TargetMode="External"/><Relationship Id="rId647" Type="http://schemas.openxmlformats.org/officeDocument/2006/relationships/hyperlink" Target="https://www.digikey.jp/product-detail/en/cinch-connectivity-solutions-johnson/142-0711-301/J717-ND/691804" TargetMode="External"/><Relationship Id="rId854" Type="http://schemas.openxmlformats.org/officeDocument/2006/relationships/hyperlink" Target="https://jp.rs-online.com/web/p/wire-wound-surface-mount-inductors/7496405/" TargetMode="External"/><Relationship Id="rId1277" Type="http://schemas.openxmlformats.org/officeDocument/2006/relationships/hyperlink" Target="http://tospa.shop-pro.jp/?pid=8765299" TargetMode="External"/><Relationship Id="rId1484" Type="http://schemas.openxmlformats.org/officeDocument/2006/relationships/hyperlink" Target="http://akizukidenshi.com/catalog/g/gC-00167/" TargetMode="External"/><Relationship Id="rId1691" Type="http://schemas.openxmlformats.org/officeDocument/2006/relationships/hyperlink" Target="https://www.mouser.jp/ProductDetail/Bourns/CR0603-FX-9532ELF?qs=sGAEpiMZZMukHu%252BjC5l7YVbCzci6v%252BkagQSxOC5rxqM%3D" TargetMode="External"/><Relationship Id="rId2328" Type="http://schemas.openxmlformats.org/officeDocument/2006/relationships/hyperlink" Target="https://jp.rs-online.com/web/p/debuggers-programmers-in-circuit-emulators/8633526/?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8572D5553424E2D3242267365617263685F6B6579776F72645F6170703D48572D5553424E2D3242267365617263685F636F6E6669673D3126&amp;searchHistory=%7B%22enabled%22%3Atrue%7D" TargetMode="External"/><Relationship Id="rId2535" Type="http://schemas.openxmlformats.org/officeDocument/2006/relationships/hyperlink" Target="https://jp.misumi-ec.com/vona2/detail/110302686450/?HissuCode=GFS6-3030-440&amp;PNSearch=GFS6-3030-440&amp;KWSearch=GFS6-3030-440&amp;searchFlow=results2products" TargetMode="External"/><Relationship Id="rId2742" Type="http://schemas.openxmlformats.org/officeDocument/2006/relationships/hyperlink" Target="https://jp.misumi-ec.com/vona2/detail/110302280540/?CategorySpec=00000217040%3a%3amig00000002457491%0900000217074%3a%3ad" TargetMode="External"/><Relationship Id="rId507" Type="http://schemas.openxmlformats.org/officeDocument/2006/relationships/hyperlink" Target="http://jp.rs-online.com/web/p/crystal-units/8149535/?sra=pstk" TargetMode="External"/><Relationship Id="rId714" Type="http://schemas.openxmlformats.org/officeDocument/2006/relationships/hyperlink" Target="https://www.digikey.jp/product-detail/en/tdk-corporation/CGA4J1X8L1E475K125AC/445-181605-1-ND/9991483" TargetMode="External"/><Relationship Id="rId921" Type="http://schemas.openxmlformats.org/officeDocument/2006/relationships/hyperlink" Target="https://www.askul.co.jp/p/903137/" TargetMode="External"/><Relationship Id="rId1137" Type="http://schemas.openxmlformats.org/officeDocument/2006/relationships/hyperlink" Target="https://www.mouser.jp/ProductDetail/Raspberry-Pi/1101001000045?qs=sGAEpiMZZMve4%2FbfQkoj%252BMUp9oD6Abn1MSY4MW8Pkys%3D" TargetMode="External"/><Relationship Id="rId1344" Type="http://schemas.openxmlformats.org/officeDocument/2006/relationships/hyperlink" Target="https://jp.misumi-ec.com/vona2/detail/110302685050/?CategorySpec=00000173432%3a%3amig00000002491549%0900000173392%3a%3ab&amp;clkid=clkid_list_template" TargetMode="External"/><Relationship Id="rId1551" Type="http://schemas.openxmlformats.org/officeDocument/2006/relationships/hyperlink" Target="https://www.digikey.jp/product-detail/en/micron-technology-inc/MT25QL01GBBB8ESF-0SIT-TR/557-1981-1-ND/9673962" TargetMode="External"/><Relationship Id="rId2602" Type="http://schemas.openxmlformats.org/officeDocument/2006/relationships/hyperlink" Target="https://www.digikey.jp/product-detail/en/amphenol-icc-fci/D09S33E4GV00LF/609-1486-ND/1001800?cur=JPY&amp;lang=en" TargetMode="External"/><Relationship Id="rId50" Type="http://schemas.openxmlformats.org/officeDocument/2006/relationships/hyperlink" Target="https://www.nbk1560.com/products/specialscrew/nedzicom/miniaturescrew/SHNS/" TargetMode="External"/><Relationship Id="rId1204" Type="http://schemas.openxmlformats.org/officeDocument/2006/relationships/hyperlink" Target="https://www.peetbros.com/shop/item.aspx?itemid=4" TargetMode="External"/><Relationship Id="rId1411" Type="http://schemas.openxmlformats.org/officeDocument/2006/relationships/hyperlink" Target="https://www.digikey.jp/product-detail/en/vishay-dale/CRCW08051K00FKEA/541-1.00KCCT-ND/1180783" TargetMode="External"/><Relationship Id="rId4567" Type="http://schemas.openxmlformats.org/officeDocument/2006/relationships/hyperlink" Target="https://www.mouser.jp/ProductDetail/Amphenol-RF/095-902-475M050?qs=W0yvOO0ixfGit8YUNFykZA%3D%3D" TargetMode="External"/><Relationship Id="rId4774" Type="http://schemas.openxmlformats.org/officeDocument/2006/relationships/hyperlink" Target="https://jp.misumi-ec.com/vona2/detail/110302755570/?PNSearch=HPTBS3&amp;HissuCode=HPTBS3&amp;searchFlow=suggest2products&amp;Keyword=HPTBS3&amp;list=SuggestPreview" TargetMode="External"/><Relationship Id="rId3169" Type="http://schemas.openxmlformats.org/officeDocument/2006/relationships/hyperlink" Target="https://jp.misumi-ec.com/vona2/detail/223005035134/?PNSearch=QL5N&amp;HissuCode=QL5N&amp;searchFlow=suggesthistory&amp;Keyword=QL5N&amp;isReSearch=1" TargetMode="External"/><Relationship Id="rId3376" Type="http://schemas.openxmlformats.org/officeDocument/2006/relationships/hyperlink" Target="https://www.digikey.jp/product-detail/ja/vishay-dale/WSL0805R0250FEA18/WSLB-025CT-ND/713391" TargetMode="External"/><Relationship Id="rId3583" Type="http://schemas.openxmlformats.org/officeDocument/2006/relationships/hyperlink" Target="https://jlcpcb.com/" TargetMode="External"/><Relationship Id="rId4427" Type="http://schemas.openxmlformats.org/officeDocument/2006/relationships/hyperlink" Target="https://www.p-ban.com/" TargetMode="External"/><Relationship Id="rId4981" Type="http://schemas.openxmlformats.org/officeDocument/2006/relationships/hyperlink" Target="https://jp.misumi-ec.com/vona2/detail/110300258940/?ProductCode=HLTS2.5-5" TargetMode="External"/><Relationship Id="rId297" Type="http://schemas.openxmlformats.org/officeDocument/2006/relationships/hyperlink" Target="https://www.digikey.jp/products/en/cable-assemblies/usb-cables/455?k=USB%20Cable%20arduino" TargetMode="External"/><Relationship Id="rId2185" Type="http://schemas.openxmlformats.org/officeDocument/2006/relationships/hyperlink" Target="https://www.mouser.jp/ProductDetail/Hirose-Connector/DF14-2628SCF?qs=zOgoZG1CgI9e5169erfJug%3D%3D" TargetMode="External"/><Relationship Id="rId2392" Type="http://schemas.openxmlformats.org/officeDocument/2006/relationships/hyperlink" Target="https://www.digikey.jp/products/en?keywords=%09311-1796-1-ND" TargetMode="External"/><Relationship Id="rId3029" Type="http://schemas.openxmlformats.org/officeDocument/2006/relationships/hyperlink" Target="https://www.digikey.jp/products/en?keywords=490-14466-1-ND" TargetMode="External"/><Relationship Id="rId3236" Type="http://schemas.openxmlformats.org/officeDocument/2006/relationships/hyperlink" Target="http://amazon.com/" TargetMode="External"/><Relationship Id="rId3790" Type="http://schemas.openxmlformats.org/officeDocument/2006/relationships/hyperlink" Target="https://www.monotaro.com/g/00346922/?t.q=%83V%83%8A%83J%83Q%83%8B" TargetMode="External"/><Relationship Id="rId4634" Type="http://schemas.openxmlformats.org/officeDocument/2006/relationships/hyperlink" Target="https://www.digikey.jp/en/products/detail/panasonic-electronic-components/ERJ-2GE0R00X/146727?s=N4IgTCBcDaIKICUBSBaMBxOAGBWsA0QBdAXyA" TargetMode="External"/><Relationship Id="rId4841" Type="http://schemas.openxmlformats.org/officeDocument/2006/relationships/hyperlink" Target="https://jp.misumi-ec.com/vona2/detail/223004975798/?PNSearch=TMGC2520&amp;HissuCode=TMGC2520&amp;searchFlow=suggesthistory&amp;Keyword=TMGC2520&amp;list=SuggestPreview" TargetMode="External"/><Relationship Id="rId157" Type="http://schemas.openxmlformats.org/officeDocument/2006/relationships/hyperlink" Target="https://jp.rs-online.com/web/p/mosfet-transistors/7259344/" TargetMode="External"/><Relationship Id="rId364" Type="http://schemas.openxmlformats.org/officeDocument/2006/relationships/hyperlink" Target="https://www.digikey.jp/products/ja?keywords=490-1171-1-ND" TargetMode="External"/><Relationship Id="rId2045" Type="http://schemas.openxmlformats.org/officeDocument/2006/relationships/hyperlink" Target="https://meviy.misumi-ec.com/" TargetMode="External"/><Relationship Id="rId3443" Type="http://schemas.openxmlformats.org/officeDocument/2006/relationships/hyperlink" Target="https://www.amazon.co.jp/-/en/uxcell-Double-Bracket-Lithium-Battery/dp/B011HFLFEG/ref=sr_1_40?dchild=1&amp;keywords=battery+holder+for+li+ion+18650+cyclinder&amp;qid=1621240167&amp;sr=8-40" TargetMode="External"/><Relationship Id="rId3650" Type="http://schemas.openxmlformats.org/officeDocument/2006/relationships/hyperlink" Target="https://www.digikey.jp/product-detail/en/analog-devices-inc/LTC4361CTS8-1-TRMPBF/LTC4361CTS8-1-TRMPBFCT-ND/2297163" TargetMode="External"/><Relationship Id="rId4701" Type="http://schemas.openxmlformats.org/officeDocument/2006/relationships/hyperlink" Target="https://www.monotaro.com/g/02564309/?t.q=TTL%20USB" TargetMode="External"/><Relationship Id="rId571" Type="http://schemas.openxmlformats.org/officeDocument/2006/relationships/hyperlink" Target="https://www.digikey.jp/en/supplier-centers/d/diodes" TargetMode="External"/><Relationship Id="rId2252" Type="http://schemas.openxmlformats.org/officeDocument/2006/relationships/hyperlink" Target="https://www.askul.co.jp/p/X805355/" TargetMode="External"/><Relationship Id="rId3303" Type="http://schemas.openxmlformats.org/officeDocument/2006/relationships/hyperlink" Target="https://www.digikey.jp/product-detail/ja/taiyo-yuden/JMK212BJ226MG-T/587-1305-1-ND/931082" TargetMode="External"/><Relationship Id="rId3510" Type="http://schemas.openxmlformats.org/officeDocument/2006/relationships/hyperlink" Target="https://www.digikey.jp/products/ja?keywords=WM6050-ND" TargetMode="External"/><Relationship Id="rId224" Type="http://schemas.openxmlformats.org/officeDocument/2006/relationships/hyperlink" Target="https://jp.rs-online.com/web/p/products/7551215/" TargetMode="External"/><Relationship Id="rId431" Type="http://schemas.openxmlformats.org/officeDocument/2006/relationships/hyperlink" Target="https://www.digikey.jp/product-detail/ja/microchip-technology/MCP6422-E-MS/MCP6422-E-MS-ND/4439803" TargetMode="External"/><Relationship Id="rId1061" Type="http://schemas.openxmlformats.org/officeDocument/2006/relationships/hyperlink" Target="https://www.digikey.jp/product-detail/en/rohm-semiconductor/SML-E12D8WT86/511-1583-1-ND/1641815" TargetMode="External"/><Relationship Id="rId2112" Type="http://schemas.openxmlformats.org/officeDocument/2006/relationships/hyperlink" Target="https://www.mouser.jp/ProductDetail/Hirose-Connector/DF14-2S-125C?qs=%2Fha2pyFaduiLxnqwUn7BSs1j8uBcPj0srwHg8yJlIVMrT5K9Q2DlLg%3D%3D" TargetMode="External"/><Relationship Id="rId5268" Type="http://schemas.openxmlformats.org/officeDocument/2006/relationships/hyperlink" Target="https://akizukidenshi.com/catalog/g/gC-05779/" TargetMode="External"/><Relationship Id="rId1878" Type="http://schemas.openxmlformats.org/officeDocument/2006/relationships/hyperlink" Target="https://www.digikey.jp/product-detail/en/kemet/C0805C103K1RECAUTO/399-17889-1-ND/8640556" TargetMode="External"/><Relationship Id="rId2929" Type="http://schemas.openxmlformats.org/officeDocument/2006/relationships/hyperlink" Target="https://jp.misumi-ec.com/vona2/detail/110302280540/?CategorySpec=00000217040%3a%3amig00000002457491%0900000217074%3a%3ad" TargetMode="External"/><Relationship Id="rId4077" Type="http://schemas.openxmlformats.org/officeDocument/2006/relationships/hyperlink" Target="https://www.digikey.jp/products/ja?keywords=M20-7830542" TargetMode="External"/><Relationship Id="rId4284" Type="http://schemas.openxmlformats.org/officeDocument/2006/relationships/hyperlink" Target="https://jp.misumi-ec.com/vona2/detail/221006204478/?searchFlow=combo2products&amp;KWSearch=C-305-8&amp;HissuCode=C-305&amp;PNSearch=C-305" TargetMode="External"/><Relationship Id="rId4491" Type="http://schemas.openxmlformats.org/officeDocument/2006/relationships/hyperlink" Target="https://www.digikey.jp/product-detail/en/norcomp-inc/977-015-010R031/915GPE-ND/858499" TargetMode="External"/><Relationship Id="rId5128" Type="http://schemas.openxmlformats.org/officeDocument/2006/relationships/hyperlink" Target="https://www.digikey.jp/en/products/detail/sullins-connector-solutions/NRPN202PAEN-RC/804971?s=N4IgTCBcDaIHICUAKcwAYxIIIFE4FoEBhEAXQF8g" TargetMode="External"/><Relationship Id="rId5335" Type="http://schemas.openxmlformats.org/officeDocument/2006/relationships/hyperlink" Target="https://www.digikey.jp/en/products/detail/semtech-corporation/SX1278IMLTRT/5226772?s=N4IgTCBcDaIM4A8CMYDsAOEBdAvkA" TargetMode="External"/><Relationship Id="rId1738" Type="http://schemas.openxmlformats.org/officeDocument/2006/relationships/hyperlink" Target="https://www.digikey.jp/product-detail/en/panasonic-electric-works/AQZ102/255-1567-ND/570705?cur=JPY&amp;lang=en" TargetMode="External"/><Relationship Id="rId3093" Type="http://schemas.openxmlformats.org/officeDocument/2006/relationships/hyperlink" Target="https://jp.misumi-ec.com/vona2/detail/221006204478/?ProductCode=C-305-5" TargetMode="External"/><Relationship Id="rId4144" Type="http://schemas.openxmlformats.org/officeDocument/2006/relationships/hyperlink" Target="https://jp.misumi-ec.com/vona2/detail/222000425782/?HissuCode=DF14-15P-1.25H%2856%29" TargetMode="External"/><Relationship Id="rId4351" Type="http://schemas.openxmlformats.org/officeDocument/2006/relationships/hyperlink" Target="https://www.monotaro.com/p/6836/0014/" TargetMode="External"/><Relationship Id="rId1945" Type="http://schemas.openxmlformats.org/officeDocument/2006/relationships/hyperlink" Target="https://www.digikey.jp/product-detail/ja/amphenol-rf/095-902-485-012/ARF3218-ND/9655887" TargetMode="External"/><Relationship Id="rId3160" Type="http://schemas.openxmlformats.org/officeDocument/2006/relationships/hyperlink" Target="https://www.digikey.jp/product-detail/en/adam-tech/PH1-16-UA/2057-PH1-16-UA-ND/9830344" TargetMode="External"/><Relationship Id="rId4004" Type="http://schemas.openxmlformats.org/officeDocument/2006/relationships/hyperlink" Target="https://www.digikey.jp/product-detail/ja/RG2012P-102-B-T5/RG20P1.0KBCT-ND/1241040?itemSeq=377508610" TargetMode="External"/><Relationship Id="rId4211" Type="http://schemas.openxmlformats.org/officeDocument/2006/relationships/hyperlink" Target="https://www.mouser.jp/ProductDetail/Toshiba/TLP293E?qs=%2Fha2pyFadujZB%2Fyygj66wFOFN1NVoLJ3xH5aePf%2FPO8%3D" TargetMode="External"/><Relationship Id="rId1805" Type="http://schemas.openxmlformats.org/officeDocument/2006/relationships/hyperlink" Target="https://www.digikey.jp/product-detail/ja/toshiba-semiconductor-and-storage/TB6612FNG-C-8-EL/TB6612FNGC8ELCT-ND/1730134" TargetMode="External"/><Relationship Id="rId3020" Type="http://schemas.openxmlformats.org/officeDocument/2006/relationships/hyperlink" Target="https://www.digikey.jp/product-detail/ja/on-semiconductor/NCV1117ST18T3G/NCV1117ST18T3GOSCT-ND/3487436" TargetMode="External"/><Relationship Id="rId3977" Type="http://schemas.openxmlformats.org/officeDocument/2006/relationships/hyperlink" Target="https://jp.misumi-ec.com/vona2/detail/110302280540/?PNSearch=CBSTSR2-10&amp;HissuCode=CBSTSR2-10&amp;searchFlow=suggest2products&amp;Keyword=CBSTSR2-10" TargetMode="External"/><Relationship Id="rId898" Type="http://schemas.openxmlformats.org/officeDocument/2006/relationships/hyperlink" Target="https://jp.rs-online.com/web/p/terminal-posts/6459442/" TargetMode="External"/><Relationship Id="rId2579" Type="http://schemas.openxmlformats.org/officeDocument/2006/relationships/hyperlink" Target="https://akizukidenshi.com/catalog/g/gC-13195/" TargetMode="External"/><Relationship Id="rId2786" Type="http://schemas.openxmlformats.org/officeDocument/2006/relationships/hyperlink" Target="https://www.digikey.jp/product-detail/ja/panasonic-electronic-components/ERJ-U02J221X/10-ERJ-U02J221XCT-ND/" TargetMode="External"/><Relationship Id="rId2993" Type="http://schemas.openxmlformats.org/officeDocument/2006/relationships/hyperlink" Target="https://akizukidenshi.com/catalog/g/gC-08430/" TargetMode="External"/><Relationship Id="rId3837" Type="http://schemas.openxmlformats.org/officeDocument/2006/relationships/hyperlink" Target="https://www.nbk1560.com/products/specialscrew/nedzicom/miniaturescrew/SNSS/" TargetMode="External"/><Relationship Id="rId5192" Type="http://schemas.openxmlformats.org/officeDocument/2006/relationships/hyperlink" Target="https://jp.misumi-ec.com/vona2/detail/110302280540/?ProductCode=CBSTSR2-8" TargetMode="External"/><Relationship Id="rId758" Type="http://schemas.openxmlformats.org/officeDocument/2006/relationships/hyperlink" Target="https://www.digikey.jp/product-detail/ja/murata-electronics-north-america/GJM1555C1H8R0BB01D/490-11238-1-ND/5333078" TargetMode="External"/><Relationship Id="rId965" Type="http://schemas.openxmlformats.org/officeDocument/2006/relationships/hyperlink" Target="https://www.monotaro.com/g/00367556/?t.q=9v%20%8A%A3%93d%92r" TargetMode="External"/><Relationship Id="rId1388" Type="http://schemas.openxmlformats.org/officeDocument/2006/relationships/hyperlink" Target="https://www.digikey.jp/product-detail/en/kemet/C0805C224K4RACTU/399-8051-1-ND/3471774" TargetMode="External"/><Relationship Id="rId1595" Type="http://schemas.openxmlformats.org/officeDocument/2006/relationships/hyperlink" Target="https://www.als-japan.com/1385.html" TargetMode="External"/><Relationship Id="rId2439" Type="http://schemas.openxmlformats.org/officeDocument/2006/relationships/hyperlink" Target="https://jp.misumi-ec.com/vona2/detail/221000768073/?CategorySpec=00000217157%3a%3aa%0900000257495%3a%3amig00000002498015" TargetMode="External"/><Relationship Id="rId2646" Type="http://schemas.openxmlformats.org/officeDocument/2006/relationships/hyperlink" Target="https://www.monotaro.com/p/2489/8247/?t.attr_f1719=USB%28A%29%28%83I%83X%29%20-%20USB%28B%29%28%83I%83X%29&amp;t.attr_f2778=1%81%602%96%A2%96%9E&amp;t.attr_f8886=USB3.0&amp;t.q=usb%83P%81%5B%83u%83%8B" TargetMode="External"/><Relationship Id="rId2853" Type="http://schemas.openxmlformats.org/officeDocument/2006/relationships/hyperlink" Target="https://www.amazon.co.jp/-/en/Seagate-ST2000DM008-BarraCuda-Internal-Authorized/dp/B07K39VRBG/ref=sr_1_6?dchild=1&amp;keywords=2+tb+hdd&amp;qid=1607319808&amp;sr=8-6" TargetMode="External"/><Relationship Id="rId3904" Type="http://schemas.openxmlformats.org/officeDocument/2006/relationships/hyperlink" Target="https://www.digikey.jp/product-detail/ja/hirose-electric-co-ltd/DF11-2428SC/H1504-ND/141470" TargetMode="External"/><Relationship Id="rId5052" Type="http://schemas.openxmlformats.org/officeDocument/2006/relationships/hyperlink" Target="https://www.digikey.jp/ja/products/detail/yageo/RT0603BRE074K7L/1073072" TargetMode="External"/><Relationship Id="rId94" Type="http://schemas.openxmlformats.org/officeDocument/2006/relationships/hyperlink" Target="https://www.minicircuits.com/WebStore/dashboard.html?model=TB-430" TargetMode="External"/><Relationship Id="rId618" Type="http://schemas.openxmlformats.org/officeDocument/2006/relationships/hyperlink" Target="https://www.digikey.com/product-detail/en/molex/0734151692/WM3935CT-ND/2421928" TargetMode="External"/><Relationship Id="rId825" Type="http://schemas.openxmlformats.org/officeDocument/2006/relationships/hyperlink" Target="https://www.monotaro.com/g/01851958/?t.q=LOCTITE%204212" TargetMode="External"/><Relationship Id="rId1248" Type="http://schemas.openxmlformats.org/officeDocument/2006/relationships/hyperlink" Target="https://www.digikey.jp/product-detail/ja/susumu/RL1220T-R025-J/RL12T.025JCT-ND/567356" TargetMode="External"/><Relationship Id="rId1455" Type="http://schemas.openxmlformats.org/officeDocument/2006/relationships/hyperlink" Target="https://www.digikey.jp/product-detail/en/rohm-semiconductor/DTC144EKAT146/DTC144EKAT146CT-ND/650727" TargetMode="External"/><Relationship Id="rId1662" Type="http://schemas.openxmlformats.org/officeDocument/2006/relationships/hyperlink" Target="http://akizukidenshi.com/catalog/g/gR-08806/" TargetMode="External"/><Relationship Id="rId2506" Type="http://schemas.openxmlformats.org/officeDocument/2006/relationships/hyperlink" Target="https://jp.misumi-ec.com/vona2/detail/221000349089/?HissuCode=SSHS-M3X10&amp;PNSearch=SSHS-M3X10&amp;KWSearch=SSHS-M3X10&amp;searchFlow=results2products" TargetMode="External"/><Relationship Id="rId1108" Type="http://schemas.openxmlformats.org/officeDocument/2006/relationships/hyperlink" Target="http://www.mfjenterprises.com/Product.php?productid=MFJ-1702CN" TargetMode="External"/><Relationship Id="rId1315" Type="http://schemas.openxmlformats.org/officeDocument/2006/relationships/hyperlink" Target="https://www.digikey.jp/product-detail/en/murata-electronics/GRT188C81E475KE13D/490-12295-1-ND/5416996" TargetMode="External"/><Relationship Id="rId2713" Type="http://schemas.openxmlformats.org/officeDocument/2006/relationships/hyperlink" Target="https://www.amazon.co.jp/%E3%82%B5%E3%83%B3%E3%83%8F%E3%83%A4%E3%83%88-SRH-32-%E3%83%96%E3%83%AC%E3%83%83%E3%83%89%E3%83%9C%E3%83%BC%E3%83%89/dp/B00J2QO2X4/ref=sr_1_11?__mk_ja_JP=%E3%82%AB%E3%82%BF%E3%82%AB%E3%83%8A&amp;crid=1R87NX41CHJJC&amp;dchild=1&amp;keywords=%E3%83%96%E3%83%AC%E3%83%83%E3%83%89%E3%83%9C%E3%83%BC%E3%83%89&amp;qid=1604974524&amp;s=industrial&amp;sprefix=%E3%83%96%E3%83%AC%E3%83%83%E3%83%89%2Cindustrial%2C297&amp;sr=1-11" TargetMode="External"/><Relationship Id="rId2920" Type="http://schemas.openxmlformats.org/officeDocument/2006/relationships/hyperlink" Target="https://akizukidenshi.com/catalog/g/gP-08671/" TargetMode="External"/><Relationship Id="rId4678" Type="http://schemas.openxmlformats.org/officeDocument/2006/relationships/hyperlink" Target="https://www.digikey.jp/en/products/detail/dfrobot/SEN0385/13590873" TargetMode="External"/><Relationship Id="rId1522" Type="http://schemas.openxmlformats.org/officeDocument/2006/relationships/hyperlink" Target="https://www.digikey.jp/product-detail/ja/tripp-lite/U336-U03-GB/TL2301-ND/5359358" TargetMode="External"/><Relationship Id="rId4885" Type="http://schemas.openxmlformats.org/officeDocument/2006/relationships/hyperlink" Target="https://jp.misumi-ec.com/vona2/detail/221006204478/?PNSearch=C-2005&amp;HissuCode=C-2005&amp;searchFlow=suggest2products&amp;Keyword=C-2005&amp;list=SuggestPreview" TargetMode="External"/><Relationship Id="rId21" Type="http://schemas.openxmlformats.org/officeDocument/2006/relationships/hyperlink" Target="https://jp.rs-online.com/web/p/dc-power-sockets/7051516/?sra=pstk" TargetMode="External"/><Relationship Id="rId2089" Type="http://schemas.openxmlformats.org/officeDocument/2006/relationships/hyperlink" Target="https://jp.misumi-ec.com/vona2/detail/110302679630/?CategorySpec=00000216954%3a%3amig00000002481702%0900000216911%3a%3a32%2cmig00000002480102" TargetMode="External"/><Relationship Id="rId3487" Type="http://schemas.openxmlformats.org/officeDocument/2006/relationships/hyperlink" Target="https://www.digikey.jp/product-detail/en/assmann-wsw-components/A-DS-09-LL-Z/AE10972-ND/1241781" TargetMode="External"/><Relationship Id="rId3694" Type="http://schemas.openxmlformats.org/officeDocument/2006/relationships/hyperlink" Target="https://www.digikey.jp/products/en?keywords=A132446-DS-ND" TargetMode="External"/><Relationship Id="rId4538" Type="http://schemas.openxmlformats.org/officeDocument/2006/relationships/hyperlink" Target="https://www.monotaro.com/p/3715/1746/" TargetMode="External"/><Relationship Id="rId4745" Type="http://schemas.openxmlformats.org/officeDocument/2006/relationships/hyperlink" Target="https://www.digikey.jp/ja/products/detail/adafruit-industries-llc/1950/6827084" TargetMode="External"/><Relationship Id="rId4952" Type="http://schemas.openxmlformats.org/officeDocument/2006/relationships/hyperlink" Target="https://jp.misumi-ec.com/vona2/detail/221000551286/?HissuCode=CSH-SUS-M2-6" TargetMode="External"/><Relationship Id="rId2296" Type="http://schemas.openxmlformats.org/officeDocument/2006/relationships/hyperlink" Target="https://akizukidenshi.com/catalog/g/gP-07465/" TargetMode="External"/><Relationship Id="rId3347" Type="http://schemas.openxmlformats.org/officeDocument/2006/relationships/hyperlink" Target="https://www.digikey.jp/product-detail/en/LTC3119HFE%23PBF/LTC3119HFE%23PBF-ND/6419502/?itemSeq=351524675" TargetMode="External"/><Relationship Id="rId3554" Type="http://schemas.openxmlformats.org/officeDocument/2006/relationships/hyperlink" Target="https://www.mouser.jp/ProductDetail/Panasonic/ERJ-S06J103V?qs=Zyl8A9hlmJqKI11OB00qpA%3D%3D" TargetMode="External"/><Relationship Id="rId3761" Type="http://schemas.openxmlformats.org/officeDocument/2006/relationships/hyperlink" Target="https://www.digikey.jp/product-detail/en/OPA350PA/OPA350PA-ND/275862?itemSeq=373417785" TargetMode="External"/><Relationship Id="rId4605" Type="http://schemas.openxmlformats.org/officeDocument/2006/relationships/hyperlink" Target="https://www.aliexpress.com/item/32893139719.html?spm=2114.12057483.detail.3.4aed76b8p9586n" TargetMode="External"/><Relationship Id="rId4812" Type="http://schemas.openxmlformats.org/officeDocument/2006/relationships/hyperlink" Target="https://www.digikey.jp/en/products/detail/amphenol-rf-division/172122/1011845" TargetMode="External"/><Relationship Id="rId268" Type="http://schemas.openxmlformats.org/officeDocument/2006/relationships/hyperlink" Target="https://www.monotaro.com/p/1940/2048/" TargetMode="External"/><Relationship Id="rId475" Type="http://schemas.openxmlformats.org/officeDocument/2006/relationships/hyperlink" Target="https://www.monotaro.com/p/0523/2675/?t.q=%2583G%2583i%2583%2581%2583%258B%2590%25FC0.2mm" TargetMode="External"/><Relationship Id="rId682" Type="http://schemas.openxmlformats.org/officeDocument/2006/relationships/hyperlink" Target="https://www.p-ban.com/kiban/com/csComTop.do" TargetMode="External"/><Relationship Id="rId2156" Type="http://schemas.openxmlformats.org/officeDocument/2006/relationships/hyperlink" Target="https://www.monotaro.com/p/1041/9552/" TargetMode="External"/><Relationship Id="rId2363" Type="http://schemas.openxmlformats.org/officeDocument/2006/relationships/hyperlink" Target="https://jp.misumi-ec.com/vona2/detail/110302280540/?HissuCode=CBSTSR&amp;PNSearch=CBSTSR&amp;KWSearch=CBSTSR&amp;searchFlow=results2products" TargetMode="External"/><Relationship Id="rId2570" Type="http://schemas.openxmlformats.org/officeDocument/2006/relationships/hyperlink" Target="https://www.monotaro.com/p/2688/1338/?t.q=%83%7D%83C%83N%83%8Dusb%20ac%83A%83_%83v%83%5E%81%5B" TargetMode="External"/><Relationship Id="rId3207" Type="http://schemas.openxmlformats.org/officeDocument/2006/relationships/hyperlink" Target="https://jp.rs-online.com/web/p/raspberry-pi/2067510/" TargetMode="External"/><Relationship Id="rId3414" Type="http://schemas.openxmlformats.org/officeDocument/2006/relationships/hyperlink" Target="https://jp.misumi-ec.com/vona2/detail/110302280540/?ProductCode=CBSTSR3-10" TargetMode="External"/><Relationship Id="rId3621" Type="http://schemas.openxmlformats.org/officeDocument/2006/relationships/hyperlink" Target="https://www.digikey.jp/product-detail/ja/hirose-electric-co-ltd/DF61-2P-2-2V-21/H121972DKR-ND/4040844" TargetMode="External"/><Relationship Id="rId128" Type="http://schemas.openxmlformats.org/officeDocument/2006/relationships/hyperlink" Target="https://jp.rs-online.com/web/p/tantalum-capacitors/1213317/" TargetMode="External"/><Relationship Id="rId335" Type="http://schemas.openxmlformats.org/officeDocument/2006/relationships/hyperlink" Target="https://jp.rs-online.com/web/p/crystal-units/6936078/" TargetMode="External"/><Relationship Id="rId542" Type="http://schemas.openxmlformats.org/officeDocument/2006/relationships/hyperlink" Target="https://www.digikey.jp/products/en?keywords=296-14307-1-ND" TargetMode="External"/><Relationship Id="rId1172" Type="http://schemas.openxmlformats.org/officeDocument/2006/relationships/hyperlink" Target="https://jp.misumi-ec.com/vona2/detail/221000349089/?HissuCode=SSHS-M2X8" TargetMode="External"/><Relationship Id="rId2016" Type="http://schemas.openxmlformats.org/officeDocument/2006/relationships/hyperlink" Target="https://www.digikey.jp/product-detail/en/texas-instruments/SN74CB3Q3257DBQR/296-17511-1-ND/700058" TargetMode="External"/><Relationship Id="rId2223" Type="http://schemas.openxmlformats.org/officeDocument/2006/relationships/hyperlink" Target="https://www.digikey.jp/product-detail/en/twin-industries/TW-E012-000/438-1049-ND/643115" TargetMode="External"/><Relationship Id="rId2430" Type="http://schemas.openxmlformats.org/officeDocument/2006/relationships/hyperlink" Target="https://akizukidenshi.com/catalog/g/gP-14069/" TargetMode="External"/><Relationship Id="rId402" Type="http://schemas.openxmlformats.org/officeDocument/2006/relationships/hyperlink" Target="http://taiyo-web.co.jp/goods/product/%E3%82%B9%E3%83%A9%E3%82%A4%E3%83%89%E3%83%91%E3%82%BA%E3%83%AB/" TargetMode="External"/><Relationship Id="rId1032" Type="http://schemas.openxmlformats.org/officeDocument/2006/relationships/hyperlink" Target="https://jp.misumi-ec.com/vona2/detail/221000552007/?CategorySpec=00000216944%3a%3aa%0900000216994%3a%3aa%0900000217003%3a%3amig00000002465376&amp;clkid=clkid_list_template" TargetMode="External"/><Relationship Id="rId4188" Type="http://schemas.openxmlformats.org/officeDocument/2006/relationships/hyperlink" Target="https://www.mouser.jp/ProductDetail/Vishay/WSL0603R0250FEA18?qs=sGAEpiMZZMsiJ22MVmC6eBQAsmeau6I%252B24y7Hta2aJ0%3D" TargetMode="External"/><Relationship Id="rId4395" Type="http://schemas.openxmlformats.org/officeDocument/2006/relationships/hyperlink" Target="https://jp.misumi-ec.com/vona2/detail/221000551286/?PNSearch=CSH-SUS-M3-8&amp;HissuCode=CSH-SUS-M3-8&amp;searchFlow=suggest2products&amp;Keyword=CSH-SUS-M3-8&amp;list=SuggestPreview" TargetMode="External"/><Relationship Id="rId5239" Type="http://schemas.openxmlformats.org/officeDocument/2006/relationships/hyperlink" Target="https://akizukidenshi.com/catalog/g/gI-12635/" TargetMode="External"/><Relationship Id="rId1989" Type="http://schemas.openxmlformats.org/officeDocument/2006/relationships/hyperlink" Target="https://www.digikey.jp/products/ja/resistors/chip-resistor-surface-mount/52?k=&amp;pkeyword=&amp;sv=0&amp;pv2085=u10+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4048" Type="http://schemas.openxmlformats.org/officeDocument/2006/relationships/hyperlink" Target="https://www.monotaro.com/p/3864/1504/" TargetMode="External"/><Relationship Id="rId4255" Type="http://schemas.openxmlformats.org/officeDocument/2006/relationships/hyperlink" Target="https://www.mouser.jp/ProductDetail/Maxim-Integrated/MAX3490ESA+?qs=LHmEVA8xxfZN%252BAy%252BsbWTkg%3D%3D&amp;gclid=Cj0KCQiA15yNBhDTARIsAGnwe0VgkaIV3dcl4OjkGuzKG3efOB156j3PG6UrIu0daKKe-OL5PELyIHMaApLfEALw_wcB" TargetMode="External"/><Relationship Id="rId5306" Type="http://schemas.openxmlformats.org/officeDocument/2006/relationships/hyperlink" Target="https://www.monotaro.com/p/3506/2264/" TargetMode="External"/><Relationship Id="rId1849" Type="http://schemas.openxmlformats.org/officeDocument/2006/relationships/hyperlink" Target="https://www.digikey.jp/product-detail/en/koa-speer-electronics-inc/RK73H1JTTD1502F/2019-RK73H1JTTD1502FCT-ND/9846896" TargetMode="External"/><Relationship Id="rId3064" Type="http://schemas.openxmlformats.org/officeDocument/2006/relationships/hyperlink" Target="https://www.digikey.jp/product-detail/ja/taiyo-yuden/JMK212BJ106KD-T/587-1304-1-ND/931081" TargetMode="External"/><Relationship Id="rId4462" Type="http://schemas.openxmlformats.org/officeDocument/2006/relationships/hyperlink" Target="https://jp.rs-online.com/web/p/pcb-d-sub-connectors/5443834" TargetMode="External"/><Relationship Id="rId192" Type="http://schemas.openxmlformats.org/officeDocument/2006/relationships/hyperlink" Target="https://www.digikey.jp/product-detail/en/vishay-semiconductor-diodes-division/GF1K-E3-67A/GF1K-E3-67AGICT-ND/4764811" TargetMode="External"/><Relationship Id="rId1709" Type="http://schemas.openxmlformats.org/officeDocument/2006/relationships/hyperlink" Target="https://jp.misumi-ec.com/vona2/detail/110302695550/" TargetMode="External"/><Relationship Id="rId1916" Type="http://schemas.openxmlformats.org/officeDocument/2006/relationships/hyperlink" Target="https://www.marutsu.co.jp/pc/i/40780/" TargetMode="External"/><Relationship Id="rId3271" Type="http://schemas.openxmlformats.org/officeDocument/2006/relationships/hyperlink" Target="https://www.digikey.jp/product-detail/ja/ohmite/HVC0805T5004JET/HVC0805T5004JETCT-ND/2709641" TargetMode="External"/><Relationship Id="rId4115" Type="http://schemas.openxmlformats.org/officeDocument/2006/relationships/hyperlink" Target="https://jp.misumi-ec.com/vona2/result/?Keyword=SSHS-M2&amp;isReSearch=0" TargetMode="External"/><Relationship Id="rId4322" Type="http://schemas.openxmlformats.org/officeDocument/2006/relationships/hyperlink" Target="https://www.digikey.jp/ja/products/detail/5013340000/WM3670CT-ND/2405767?utm_campaign=buynow&amp;utm_medium=aggregator&amp;curr=jpy&amp;utm_source=octopart" TargetMode="External"/><Relationship Id="rId2080" Type="http://schemas.openxmlformats.org/officeDocument/2006/relationships/hyperlink" Target="https://jp.misumi-ec.com/vona2/detail/110302280540/?HissuCode=CBSTSR3-6&amp;PNSearch=CBSTSR3-6&amp;KWSearch=CBSTSR3-6&amp;searchFlow=results2products" TargetMode="External"/><Relationship Id="rId3131" Type="http://schemas.openxmlformats.org/officeDocument/2006/relationships/hyperlink" Target="https://www.digikey.jp/product-detail/en/panasonic-electronic-components/ERJ-3RSFR15V/P-15AJCT-ND/308100" TargetMode="External"/><Relationship Id="rId2897" Type="http://schemas.openxmlformats.org/officeDocument/2006/relationships/hyperlink" Target="https://akizukidenshi.com/catalog/g/gC-10073/" TargetMode="External"/><Relationship Id="rId3948" Type="http://schemas.openxmlformats.org/officeDocument/2006/relationships/hyperlink" Target="https://www.mouser.jp/ProductDetail/SanDisk/SDSDQAF3-064G-I?qs=1mbolxNpo8dCRthbXxAq3w%3D%3D" TargetMode="External"/><Relationship Id="rId5096" Type="http://schemas.openxmlformats.org/officeDocument/2006/relationships/hyperlink" Target="https://www.mouser.jp/ProductDetail/TE-Connectivity/2-825433-0?qs=Yxch5oR%2FTsPyWO6AE6CpEQ%3D%3D" TargetMode="External"/><Relationship Id="rId869" Type="http://schemas.openxmlformats.org/officeDocument/2006/relationships/hyperlink" Target="https://www.digikey.jp/product-detail/ja/samtec-inc/TMM-110-01-F-D-RA/TMM-110-01-F-D-RA-ND/2685424" TargetMode="External"/><Relationship Id="rId1499" Type="http://schemas.openxmlformats.org/officeDocument/2006/relationships/hyperlink" Target="https://www.digikey.jp/product-detail/ja/jst-sales-america-inc/BM07B-GHS-TBT-LF-SN-N/455-1583-1-ND/807851" TargetMode="External"/><Relationship Id="rId5163" Type="http://schemas.openxmlformats.org/officeDocument/2006/relationships/hyperlink" Target="https://www.digikey.jp/en/products/detail/amphenol-cs-fci/10103594-0001LF/2350351?s=N4IgTCBcDaIIwAZEGYCsBOALAWgXuAMgGIgC6AvkA" TargetMode="External"/><Relationship Id="rId5370" Type="http://schemas.openxmlformats.org/officeDocument/2006/relationships/hyperlink" Target="https://www.digikey.jp/ja/products/detail/5013301500/WM7928-ND/1531512?utm_campaign=buynow&amp;utm_medium=aggregator&amp;curr=jpy&amp;utm_source=octopart" TargetMode="External"/><Relationship Id="rId729" Type="http://schemas.openxmlformats.org/officeDocument/2006/relationships/hyperlink" Target="https://www.digikey.jp/product-detail/ja/susumu/RL1220T-R050-J/RL12T.05JCT-ND/567358" TargetMode="External"/><Relationship Id="rId1359" Type="http://schemas.openxmlformats.org/officeDocument/2006/relationships/hyperlink" Target="http://akizukidenshi.com/catalog/g/gM-08264/" TargetMode="External"/><Relationship Id="rId2757" Type="http://schemas.openxmlformats.org/officeDocument/2006/relationships/hyperlink" Target="https://www.digikey.jp/product-detail/ja/jst-sales-america-inc/EHR-3/455-1001-ND/527225" TargetMode="External"/><Relationship Id="rId2964" Type="http://schemas.openxmlformats.org/officeDocument/2006/relationships/hyperlink" Target="https://www.digikey.jp/product-detail/en/on-semiconductor/AX5243-1-TW30/488-AX5243-1-TW30CT-ND/10445419" TargetMode="External"/><Relationship Id="rId3808" Type="http://schemas.openxmlformats.org/officeDocument/2006/relationships/hyperlink" Target="https://www.amazon.co.jp/gp/product/B08FMMPL2L" TargetMode="External"/><Relationship Id="rId5023" Type="http://schemas.openxmlformats.org/officeDocument/2006/relationships/hyperlink" Target="https://www.mouser.jp/ProductDetail/Murata-Electronics/GRT32EC81C476KE13L?qs=drgMNd%252BkGPPtGpVNHqAHBg%3D%3D" TargetMode="External"/><Relationship Id="rId5230" Type="http://schemas.openxmlformats.org/officeDocument/2006/relationships/hyperlink" Target="https://www.dxengineering.com/parts/msq-cb60" TargetMode="External"/><Relationship Id="rId936" Type="http://schemas.openxmlformats.org/officeDocument/2006/relationships/hyperlink" Target="https://www.jp.omega.com/pptst/KHRA-KHLVA-KHA-SERIES.html" TargetMode="External"/><Relationship Id="rId1219" Type="http://schemas.openxmlformats.org/officeDocument/2006/relationships/hyperlink" Target="https://www.digikey.jp/product-detail/en/txc-corporation/7A-16.000MAAJ-T/887-1086-1-ND/2118963?cur=JPY&amp;lang=en" TargetMode="External"/><Relationship Id="rId1566" Type="http://schemas.openxmlformats.org/officeDocument/2006/relationships/hyperlink" Target="https://www.digikey.jp/product-detail/en/rohm-semiconductor/SML-210MTT86/511-1287-1-ND/637100" TargetMode="External"/><Relationship Id="rId1773" Type="http://schemas.openxmlformats.org/officeDocument/2006/relationships/hyperlink" Target="https://www.digikey.jp/product-detail/en/txc-corporation/7A-16.000MAAJ-T/887-1086-1-ND/2118963?cur=JPY&amp;lang=en" TargetMode="External"/><Relationship Id="rId1980" Type="http://schemas.openxmlformats.org/officeDocument/2006/relationships/hyperlink" Target="https://www.digikey.jp/product-detail/en/kemet/C0603C106M8PAC7867/399-14945-1-ND/7382494" TargetMode="External"/><Relationship Id="rId2617" Type="http://schemas.openxmlformats.org/officeDocument/2006/relationships/hyperlink" Target="https://www.digikey.jp/product-detail/ja/murata-electronics/GRM21BR71E225KE11L/490-14467-1-ND/6606928" TargetMode="External"/><Relationship Id="rId2824" Type="http://schemas.openxmlformats.org/officeDocument/2006/relationships/hyperlink" Target="https://jp.rs-online.com/web/p/pcb-headers/5469482/" TargetMode="External"/><Relationship Id="rId65" Type="http://schemas.openxmlformats.org/officeDocument/2006/relationships/hyperlink" Target="https://www.p-ban.com/kiban/com/csComTop.do" TargetMode="External"/><Relationship Id="rId1426" Type="http://schemas.openxmlformats.org/officeDocument/2006/relationships/hyperlink" Target="https://www.digikey.jp/product-detail/en/vishay-dale/CRCW080597K6FKEA/541-97.6KCCT-ND/1181012" TargetMode="External"/><Relationship Id="rId1633" Type="http://schemas.openxmlformats.org/officeDocument/2006/relationships/hyperlink" Target="https://www.monotaro.com/p/5555/1606/" TargetMode="External"/><Relationship Id="rId1840" Type="http://schemas.openxmlformats.org/officeDocument/2006/relationships/hyperlink" Target="https://www.digikey.jp/product-detail/ja/koa-speer-electronics-inc/RK73H1JTTD3300F/2019-RK73H1JTTD3300FCT-ND/9846916" TargetMode="External"/><Relationship Id="rId4789" Type="http://schemas.openxmlformats.org/officeDocument/2006/relationships/hyperlink" Target="https://www.hamradio.com/detail.cfm?pid=H0-012362" TargetMode="External"/><Relationship Id="rId4996" Type="http://schemas.openxmlformats.org/officeDocument/2006/relationships/hyperlink" Target="https://www.digikey.jp/ja/products/detail/dfrobot/SEN0032/6588489" TargetMode="External"/><Relationship Id="rId1700" Type="http://schemas.openxmlformats.org/officeDocument/2006/relationships/hyperlink" Target="https://www.little-bellanca.com/SHOP/19225.html" TargetMode="External"/><Relationship Id="rId3598" Type="http://schemas.openxmlformats.org/officeDocument/2006/relationships/hyperlink" Target="https://www.p-ban.com/kiban/com/csComTop.do" TargetMode="External"/><Relationship Id="rId4649" Type="http://schemas.openxmlformats.org/officeDocument/2006/relationships/hyperlink" Target="https://www.digikey.jp/products/ja?keywords=WM6050-ND" TargetMode="External"/><Relationship Id="rId4856" Type="http://schemas.openxmlformats.org/officeDocument/2006/relationships/hyperlink" Target="https://ja.aliexpress.com/item/32817337435.html?gatewayAdapt=glo2jpn" TargetMode="External"/><Relationship Id="rId3458" Type="http://schemas.openxmlformats.org/officeDocument/2006/relationships/hyperlink" Target="https://www.p-ban.com/kiban/com/csComTop.do" TargetMode="External"/><Relationship Id="rId3665" Type="http://schemas.openxmlformats.org/officeDocument/2006/relationships/hyperlink" Target="https://www.minicircuits.com/WebStore/dashboard.html?model=BP2C%2B" TargetMode="External"/><Relationship Id="rId3872" Type="http://schemas.openxmlformats.org/officeDocument/2006/relationships/hyperlink" Target="https://www.mouser.jp/ProductDetail/Texas-Instruments/OPA380AIDGKR?qs=7nS3%252BbEUL6se7xvHvUhv0w%3D%3D" TargetMode="External"/><Relationship Id="rId4509" Type="http://schemas.openxmlformats.org/officeDocument/2006/relationships/hyperlink" Target="https://www.amazon.co.jp/Concept-%E3%83%AC%E3%83%B3%E3%82%BA%E3%83%9E%E3%82%A6%E3%83%B3%E3%83%88%E3%82%A2%E3%83%80%E3%83%97%E3%82%BF%E3%83%BC-KF-PKC-%E3%83%9A%E3%83%B3%E3%82%BF%E3%83%83%E3%82%AF%E3%82%B9K%E3%83%9E%E3%82%A6%E3%83%B3%E3%83%88%E3%83%AC%E3%83%B3%E3%82%BA-C%E3%83%9E%E3%82%A6%E3%83%B3%E3%83%88%E5%A4%89%E6%8F%9B/dp/B07421STB1/ref=sr_1_1?__mk_ja_JP=%E3%82%AB%E3%82%BF%E3%82%AB%E3%83%8A&amp;crid=KQ51U27UZFQ0&amp;keywords=KF-PKC&amp;qid=1647924191&amp;s=electronics&amp;sprefix=%2Celectronics%2C609&amp;sr=1-1&amp;th=1" TargetMode="External"/><Relationship Id="rId4716" Type="http://schemas.openxmlformats.org/officeDocument/2006/relationships/hyperlink" Target="https://www.p-ban.com/" TargetMode="External"/><Relationship Id="rId379" Type="http://schemas.openxmlformats.org/officeDocument/2006/relationships/hyperlink" Target="https://www.digikey.jp/product-detail/en/txc-corporation/7A-16.000MAAJ-T/887-1086-1-ND/2118963?cur=JPY&amp;lang=en" TargetMode="External"/><Relationship Id="rId586" Type="http://schemas.openxmlformats.org/officeDocument/2006/relationships/hyperlink" Target="https://www.monotaro.com/p/6828/9813/?t.q=THI-1B" TargetMode="External"/><Relationship Id="rId793" Type="http://schemas.openxmlformats.org/officeDocument/2006/relationships/hyperlink" Target="http://hirosugi.co.jp/products/POM/CC.html" TargetMode="External"/><Relationship Id="rId2267" Type="http://schemas.openxmlformats.org/officeDocument/2006/relationships/hyperlink" Target="https://www.monotaro.com/g/00257431/?t.q=%83o%83i%83i" TargetMode="External"/><Relationship Id="rId2474" Type="http://schemas.openxmlformats.org/officeDocument/2006/relationships/hyperlink" Target="http://www.p-ban.com/" TargetMode="External"/><Relationship Id="rId2681" Type="http://schemas.openxmlformats.org/officeDocument/2006/relationships/hyperlink" Target="https://www.mouser.jp/ProductDetail/KOA-Speer/RK73H1JTTD4701F?qs=67CtzMuHUrshZAiyyrY8yQ%3D%3D" TargetMode="External"/><Relationship Id="rId3318" Type="http://schemas.openxmlformats.org/officeDocument/2006/relationships/hyperlink" Target="https://www.icolor.co.jp/index.html" TargetMode="External"/><Relationship Id="rId3525" Type="http://schemas.openxmlformats.org/officeDocument/2006/relationships/hyperlink" Target="https://www.chip1stop.com/view/dispDetail/DispDetail?partId=LATT-0010144&amp;keyword=C1S419900101449" TargetMode="External"/><Relationship Id="rId4923" Type="http://schemas.openxmlformats.org/officeDocument/2006/relationships/hyperlink" Target="https://www.marutsu.co.jp/pc/i/90821/" TargetMode="External"/><Relationship Id="rId239" Type="http://schemas.openxmlformats.org/officeDocument/2006/relationships/hyperlink" Target="https://www.amazon.co.jp/dp/B0007TOR08/ref=asc_df_B0007TOR082550731/?tag=jpgo-22&amp;creative=9339&amp;creativeASIN=B0007TOR08&amp;linkCode=df0&amp;hvadid=249925604622&amp;hvpos=1o1&amp;hvnetw=g&amp;hvrand=194389830810304981&amp;hvpone=&amp;hvptwo=&amp;hvqmt=&amp;hvdev=c&amp;hvdvcmdl=&amp;hvlocint=&amp;hvlocphy=1009721&amp;hvtargid=pla-312399790261" TargetMode="External"/><Relationship Id="rId446" Type="http://schemas.openxmlformats.org/officeDocument/2006/relationships/hyperlink" Target="https://www.nbk1560.com/products/specialscrew/nedzicom/miniaturescrew/SNSS/SNSS-M2/SNSS-M2-4/" TargetMode="External"/><Relationship Id="rId653" Type="http://schemas.openxmlformats.org/officeDocument/2006/relationships/hyperlink" Target="https://www.digikey.jp/product-detail/ja/chip-quik-inc/SMD291AX/SMD291AX-ND/1160002" TargetMode="External"/><Relationship Id="rId1076" Type="http://schemas.openxmlformats.org/officeDocument/2006/relationships/hyperlink" Target="https://www.amazon.co.jp/FTM-100DH-%E5%85%AB%E9%87%8D%E6%B4%B2%E7%84%A1%E7%B7%9A-430MHz%E3%83%87%E3%83%A5%E3%82%A2%E3%83%AB%E3%83%90%E3%83%B3%E3%83%89-%E3%83%88%E3%83%A9%E3%83%B3%E3%82%B7%E3%83%BC%E3%83%90%E3%83%BC-50W%E3%83%90%E3%83%BC%E3%82%B8%E3%83%A7%E3%83%B3/dp/B00YWT7JZY/ref=sr_1_3?__mk_ja_JP=%E3%82%AB%E3%82%BF%E3%82%AB%E3%83%8A&amp;keywords=FTM-100D&amp;qid=1568362306&amp;s=gateway&amp;sr=8-3" TargetMode="External"/><Relationship Id="rId1283" Type="http://schemas.openxmlformats.org/officeDocument/2006/relationships/hyperlink" Target="http://p-ban.com/" TargetMode="External"/><Relationship Id="rId1490" Type="http://schemas.openxmlformats.org/officeDocument/2006/relationships/hyperlink" Target="http://akizukidenshi.com/catalog/g/gM-14935/" TargetMode="External"/><Relationship Id="rId2127" Type="http://schemas.openxmlformats.org/officeDocument/2006/relationships/hyperlink" Target="https://www.marutsu.co.jp/pc/i/223388/" TargetMode="External"/><Relationship Id="rId2334" Type="http://schemas.openxmlformats.org/officeDocument/2006/relationships/hyperlink" Target="https://www.digikey.jp/product-detail/ja/hirose-electric-co-ltd/U.FL-2LP-068N1T-AC-200/H122296-ND/4867038" TargetMode="External"/><Relationship Id="rId3732" Type="http://schemas.openxmlformats.org/officeDocument/2006/relationships/hyperlink" Target="https://www.digikey.jp/product-detail/ja/stmicroelectronics/B-L072Z-LRWAN1/497-17068-ND/6616000" TargetMode="External"/><Relationship Id="rId306" Type="http://schemas.openxmlformats.org/officeDocument/2006/relationships/hyperlink" Target="https://jp.rs-online.com/web/p/microcontrollers/1654810/" TargetMode="External"/><Relationship Id="rId860" Type="http://schemas.openxmlformats.org/officeDocument/2006/relationships/hyperlink" Target="https://jp.rs-online.com/web/p/surface-mount-fixed-resistors/6789670/" TargetMode="External"/><Relationship Id="rId1143" Type="http://schemas.openxmlformats.org/officeDocument/2006/relationships/hyperlink" Target="https://www.digikey.jp/product-detail/en/ftdi-future-technology-devices-international-ltd/TTL-232R-5V/768-1028-ND/2003493" TargetMode="External"/><Relationship Id="rId2541" Type="http://schemas.openxmlformats.org/officeDocument/2006/relationships/hyperlink" Target="https://jp.misumi-ec.com/vona2/detail/110300498770/?HissuCode=PAAL6H-700-520-1.5-F200-G490-N6&amp;PNSearch=PAAL6H-700-520-1.5-F200-G490-N6&amp;KWSearch=PAAL6H-700-520-1.5-F200-G490-N6&amp;searchFlow=results2products" TargetMode="External"/><Relationship Id="rId4299" Type="http://schemas.openxmlformats.org/officeDocument/2006/relationships/hyperlink" Target="https://jp.misumi-ec.com/vona2/detail/110300244510/?ProductCode=CBSST3-12" TargetMode="External"/><Relationship Id="rId513" Type="http://schemas.openxmlformats.org/officeDocument/2006/relationships/hyperlink" Target="https://www.digikey.jp/product-detail/en/stmicroelectronics/STM32F429I-DISC1/497-16140-ND/5731713" TargetMode="External"/><Relationship Id="rId720" Type="http://schemas.openxmlformats.org/officeDocument/2006/relationships/hyperlink" Target="https://www.digikey.jp/product-detail/ja/rohm-semiconductor/DTC144EKAT146/DTC144EKAT146CT-ND/650727" TargetMode="External"/><Relationship Id="rId1350" Type="http://schemas.openxmlformats.org/officeDocument/2006/relationships/hyperlink" Target="https://jp.misumi-ec.com/vona2/detail/110300439970/?CategorySpec=00000191171%3a%3ab&amp;clkid=clkid_list_template" TargetMode="External"/><Relationship Id="rId2401" Type="http://schemas.openxmlformats.org/officeDocument/2006/relationships/hyperlink" Target="https://jp.rs-online.com/web/p/pcb-sockets/7793068/" TargetMode="External"/><Relationship Id="rId4159" Type="http://schemas.openxmlformats.org/officeDocument/2006/relationships/hyperlink" Target="https://www.mouser.jp/ProductDetail/Vishay/WSLP0603R0250FEA?qs=sGAEpiMZZMtdo5lL%2F%252BX2B5K4AdKVKDgNh%2FQ%2FYeLnr9E=" TargetMode="External"/><Relationship Id="rId1003" Type="http://schemas.openxmlformats.org/officeDocument/2006/relationships/hyperlink" Target="http://akizukidenshi.com/catalog/g/gP-04080/" TargetMode="External"/><Relationship Id="rId1210" Type="http://schemas.openxmlformats.org/officeDocument/2006/relationships/hyperlink" Target="https://www.digikey.jp/products/en?keywords=478-3614-1-ND" TargetMode="External"/><Relationship Id="rId4366" Type="http://schemas.openxmlformats.org/officeDocument/2006/relationships/hyperlink" Target="https://www.digikey.jp/ja/products/detail/swissbit/SFSD8192N3BM1TO-I-GE-2B1-STD/6572642?utm_adgroup=General&amp;utm_source=google&amp;utm_medium=cpc&amp;utm_campaign=Smart%20Shopping_Product_Zombie%20SKUs&amp;utm_term=&amp;productid=6572642&amp;gclid=CjwKCAiArOqOBhBmEiwAsgeLmevdedvu6OZJ9gfdXMz7ya_2nuFPOpFC-HVdlXD1_m8OrritYh_XcBoCjDMQAvD_BwE" TargetMode="External"/><Relationship Id="rId4573" Type="http://schemas.openxmlformats.org/officeDocument/2006/relationships/hyperlink" Target="https://www.monotaro.com/p/7580/2905/?t.q=VUWG-6.35BF-PG-V" TargetMode="External"/><Relationship Id="rId4780" Type="http://schemas.openxmlformats.org/officeDocument/2006/relationships/hyperlink" Target="https://www.monotaro.com/p/3576/7103/" TargetMode="External"/><Relationship Id="rId3175" Type="http://schemas.openxmlformats.org/officeDocument/2006/relationships/hyperlink" Target="https://www.digikey.jp/product-detail/ja/w%C3%BCrth-elektronik/AMB1926/1917-1029-ND/8258139" TargetMode="External"/><Relationship Id="rId3382" Type="http://schemas.openxmlformats.org/officeDocument/2006/relationships/hyperlink" Target="https://www.digikey.jp/product-detail/ja/panasonic-electric-works/AQZ104/255-3395-ND/646370" TargetMode="External"/><Relationship Id="rId4019" Type="http://schemas.openxmlformats.org/officeDocument/2006/relationships/hyperlink" Target="https://akizukidenshi.com/catalog/g/gP-09257/" TargetMode="External"/><Relationship Id="rId4226" Type="http://schemas.openxmlformats.org/officeDocument/2006/relationships/hyperlink" Target="https://www.monotaro.com/p/1006/5264/?utm_id=g_pla&amp;utm_medium=cpc&amp;utm_source=Adwords&amp;utm_campaign=246-833-4061_6466659573&amp;utm_content=77481175156&amp;utm_term=_380604198153__aud-906547009128:pla-876688242940&amp;gclid=CjwKCAiA4veMBhAMEiwAU4XRr6Ob88sanHIJ1om2jkysVWmf0unYAxupsOQRdQT0GHmwj2ST5t8CgBoCICIQAvD_BwE" TargetMode="External"/><Relationship Id="rId4433" Type="http://schemas.openxmlformats.org/officeDocument/2006/relationships/hyperlink" Target="https://www.p-ban.com/" TargetMode="External"/><Relationship Id="rId4640" Type="http://schemas.openxmlformats.org/officeDocument/2006/relationships/hyperlink" Target="https://www.digikey.jp/ja/products/detail/te-connectivity-measurement-specialties/G-TPMO-102/9841999?s=N4IgTCBcDaICoGUAiBaAzABgKwogXQF8g" TargetMode="External"/><Relationship Id="rId2191" Type="http://schemas.openxmlformats.org/officeDocument/2006/relationships/hyperlink" Target="https://www.monotaro.com/g/00177883/" TargetMode="External"/><Relationship Id="rId3035" Type="http://schemas.openxmlformats.org/officeDocument/2006/relationships/hyperlink" Target="https://www.nbk1560.com/products/specialscrew/nedzicom/lowsmallheadscrew/SSHS/SSHS-M2/" TargetMode="External"/><Relationship Id="rId3242" Type="http://schemas.openxmlformats.org/officeDocument/2006/relationships/hyperlink" Target="https://www.mouser.jp/ProductDetail/Microchip-Technology/MCP602T-I-SN/?qs=TQnwojwsYvjO8LpVbD0MHw==" TargetMode="External"/><Relationship Id="rId4500" Type="http://schemas.openxmlformats.org/officeDocument/2006/relationships/hyperlink" Target="https://www.mouser.jp/ProductDetail/Mikroe/MIKROE-512?qs=7CTBMF0jTsEZofUYpqZBLw%3D%3D" TargetMode="External"/><Relationship Id="rId163" Type="http://schemas.openxmlformats.org/officeDocument/2006/relationships/hyperlink" Target="http://akizukidenshi.com/catalog/g/gI-00616/" TargetMode="External"/><Relationship Id="rId370" Type="http://schemas.openxmlformats.org/officeDocument/2006/relationships/hyperlink" Target="https://www.digikey.jp/product-detail/ja/microchip-technology/PG164130/PG164130-ND/2171224" TargetMode="External"/><Relationship Id="rId2051" Type="http://schemas.openxmlformats.org/officeDocument/2006/relationships/hyperlink" Target="https://www.digikey.jp/product-detail/ja/hirose-electric-co-ltd/U-FL-2LPHF6-04N1TV-A-200/26-U-FL-2LPHF6-04N1TV-A-200-ND/11688948" TargetMode="External"/><Relationship Id="rId3102" Type="http://schemas.openxmlformats.org/officeDocument/2006/relationships/hyperlink" Target="https://jp.misumi-ec.com/vona2/detail/221006493827/?ProductCode=SNSS-M2-3-SD-VA" TargetMode="External"/><Relationship Id="rId230" Type="http://schemas.openxmlformats.org/officeDocument/2006/relationships/hyperlink" Target="https://jp.rs-online.com/web/p/products/6795599/" TargetMode="External"/><Relationship Id="rId5067" Type="http://schemas.openxmlformats.org/officeDocument/2006/relationships/hyperlink" Target="https://www.monotaro.com/g/04907645/" TargetMode="External"/><Relationship Id="rId5274" Type="http://schemas.openxmlformats.org/officeDocument/2006/relationships/hyperlink" Target="https://www.monotaro.com/g/04907645/" TargetMode="External"/><Relationship Id="rId2868" Type="http://schemas.openxmlformats.org/officeDocument/2006/relationships/hyperlink" Target="https://www.monotaro.com/g/00178190/?t.q=%83n%83%93%83_%82%B1%82%C4%91%E4" TargetMode="External"/><Relationship Id="rId3919" Type="http://schemas.openxmlformats.org/officeDocument/2006/relationships/hyperlink" Target="https://jp.misumi-ec.com/vona2/detail/223013388527/?ProductCode=1173040" TargetMode="External"/><Relationship Id="rId4083" Type="http://schemas.openxmlformats.org/officeDocument/2006/relationships/hyperlink" Target="https://www.digikey.jp/product-detail/en/panasonic-electronic-components/ERJ-3EKF1104V/P1-10MHCT-ND/282726" TargetMode="External"/><Relationship Id="rId1677" Type="http://schemas.openxmlformats.org/officeDocument/2006/relationships/hyperlink" Target="https://www.digikey.jp/product-detail/ja/adafruit-industries-llc/939/1528-2582-ND/6827045" TargetMode="External"/><Relationship Id="rId1884" Type="http://schemas.openxmlformats.org/officeDocument/2006/relationships/hyperlink" Target="https://www.digikey.jp/product-detail/en/on-semiconductor/NRVB120VLSFT1G/NRVB120VLSFT1GOSCT-ND/8538727" TargetMode="External"/><Relationship Id="rId2728" Type="http://schemas.openxmlformats.org/officeDocument/2006/relationships/hyperlink" Target="https://www.amazon.co.jp/BEVA-%E3%83%87%E3%82%B8%E3%82%BF%E3%83%AB%E3%83%86%E3%82%B9%E3%82%BF%E3%83%BC-%E5%B0%8F%E5%9E%8B%E9%9B%BB%E5%AD%90%E8%A8%88%E6%B8%AC%E6%A9%9F%E5%99%A8-%E3%83%80%E3%82%A4%E3%82%AA%E3%83%BC%E3%83%89%E3%81%AA%E3%81%A9%E3%81%AE%E6%B8%AC%E5%AE%9A-NCV%E9%9D%9E%E6%8E%A5%E7%B6%9A%E9%9B%BB%E5%9C%A7%E6%B8%AC%E5%AE%9A/dp/B07H55N66N/ref=sr_1_11?__mk_ja_JP=%E3%82%AB%E3%82%BF%E3%82%AB%E3%83%8A&amp;dchild=1&amp;keywords=%E3%83%86%E3%82%B9%E3%82%BF%E3%83%BC&amp;qid=1605092016&amp;sr=8-11" TargetMode="External"/><Relationship Id="rId2935" Type="http://schemas.openxmlformats.org/officeDocument/2006/relationships/hyperlink" Target="https://www.monotaro.com/p/3545/6942/" TargetMode="External"/><Relationship Id="rId4290" Type="http://schemas.openxmlformats.org/officeDocument/2006/relationships/hyperlink" Target="https://jp.misumi-ec.com/vona2/detail/221000551286/?ProductCode=CSH-SUS-M3-7" TargetMode="External"/><Relationship Id="rId5134" Type="http://schemas.openxmlformats.org/officeDocument/2006/relationships/hyperlink" Target="https://jp.rs-online.com/web/p/wire-housings-plugs/0406708" TargetMode="External"/><Relationship Id="rId5341" Type="http://schemas.openxmlformats.org/officeDocument/2006/relationships/hyperlink" Target="https://www.digikey.jp/en/products/detail/masach-tech-ltd/MS130-10S/13166564" TargetMode="External"/><Relationship Id="rId907" Type="http://schemas.openxmlformats.org/officeDocument/2006/relationships/hyperlink" Target="https://jp.rs-online.com/web/p/surface-mount-fixed-resistors/6316777/" TargetMode="External"/><Relationship Id="rId1537" Type="http://schemas.openxmlformats.org/officeDocument/2006/relationships/hyperlink" Target="https://www.mouser.jp/ProductDetail/SparkFun/GPS-13740?qs=%2Fha2pyFadugcUJrxNHRX1%2F2Iqdn0fUobIDh%252BlV4BMJszmu8a1sFm%2Fw%3D%3D" TargetMode="External"/><Relationship Id="rId1744" Type="http://schemas.openxmlformats.org/officeDocument/2006/relationships/hyperlink" Target="https://www.digikey.com/product-detail/en/johanson-technology-inc/S603DS/712-1159-ND/1786608" TargetMode="External"/><Relationship Id="rId1951" Type="http://schemas.openxmlformats.org/officeDocument/2006/relationships/hyperlink" Target="https://www.digikey.jp/products/ja?keywords=XC2099CT-ND" TargetMode="External"/><Relationship Id="rId4150" Type="http://schemas.openxmlformats.org/officeDocument/2006/relationships/hyperlink" Target="https://www.askul.co.jp/p/1260078/?int_id=recom_DtVar" TargetMode="External"/><Relationship Id="rId5201" Type="http://schemas.openxmlformats.org/officeDocument/2006/relationships/hyperlink" Target="https://jp.misumi-ec.com/vona2/detail/110302280540/?HissuCode=CBSTSR3-10&amp;PNSearch=CBSTSR3-10&amp;KWSearch=CBSTSR3-10&amp;searchFlow=results2products&amp;list=PageSearchResult" TargetMode="External"/><Relationship Id="rId36" Type="http://schemas.openxmlformats.org/officeDocument/2006/relationships/hyperlink" Target="https://www.digikey.jp/products/en?keywords=MAX4198ESA%2B-ND" TargetMode="External"/><Relationship Id="rId1604" Type="http://schemas.openxmlformats.org/officeDocument/2006/relationships/hyperlink" Target="https://jp.misumi-ec.com/vona2/detail/221000572234/?PNSearch=33-0446&amp;HissuCode=33-0446&amp;searchFlow=suggest2products&amp;Keyword=33-0446" TargetMode="External"/><Relationship Id="rId4010" Type="http://schemas.openxmlformats.org/officeDocument/2006/relationships/hyperlink" Target="https://jp.rs-online.com/web/p/mlccs-multilayer-ceramic-capacitors/264454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30363033433437314A354741435455267365617263685F6B6579776F72645F6170703D4330363033433437314A354741435455267365617263685F636F6E6669673D3126&amp;searchHistory=%7B%22enabled%22%3Atrue%7D" TargetMode="External"/><Relationship Id="rId4967" Type="http://schemas.openxmlformats.org/officeDocument/2006/relationships/hyperlink" Target="https://www.chip1stop.com/product/detail?partId=AD01-0150741" TargetMode="External"/><Relationship Id="rId1811" Type="http://schemas.openxmlformats.org/officeDocument/2006/relationships/hyperlink" Target="http://radiometrix.mybigcommerce.com/bim1h-500mw-vhf-narrowband-transceiver-frequency-144-390mhz-144-800mhz-145-825mhz-149-250mhz-151-300mhz-155-725mhz-or-169-4125mhz/" TargetMode="External"/><Relationship Id="rId3569" Type="http://schemas.openxmlformats.org/officeDocument/2006/relationships/hyperlink" Target="https://www.mouser.jp/ProductDetail/Microchip-Technology/MCP3221A6T-E-OT?qs=uHi2%2FQoPa5AeHZNU7T59xQ%3D%3D" TargetMode="External"/><Relationship Id="rId697" Type="http://schemas.openxmlformats.org/officeDocument/2006/relationships/hyperlink" Target="https://www.digikey.jp/product-detail/en/rohm-semiconductor/SML-E12V8WT86/511-1587-1-ND/1641819" TargetMode="External"/><Relationship Id="rId2378" Type="http://schemas.openxmlformats.org/officeDocument/2006/relationships/hyperlink" Target="https://jp.misumi-ec.com/vona2/detail/110302679630/?HissuCode=FABS3-%5b20-150%2f1%5d" TargetMode="External"/><Relationship Id="rId3429" Type="http://schemas.openxmlformats.org/officeDocument/2006/relationships/hyperlink" Target="https://www.monotaro.com/p/0552/8704/" TargetMode="External"/><Relationship Id="rId3776" Type="http://schemas.openxmlformats.org/officeDocument/2006/relationships/hyperlink" Target="https://www.digikey.jp/product-detail/en/te-connectivity-amp-connectors/5-534998-8/A32958-ND/1093029" TargetMode="External"/><Relationship Id="rId3983" Type="http://schemas.openxmlformats.org/officeDocument/2006/relationships/hyperlink" Target="https://jp.misumi-ec.com/vona2/detail/110302686450/?ProductCode=HFS6-3030-400" TargetMode="External"/><Relationship Id="rId4827" Type="http://schemas.openxmlformats.org/officeDocument/2006/relationships/hyperlink" Target="https://www.monotaro.com/p/1131/7172/" TargetMode="External"/><Relationship Id="rId1187" Type="http://schemas.openxmlformats.org/officeDocument/2006/relationships/hyperlink" Target="https://www.digikey.jp/product-detail/en/harwin-inc/M50-3501042/952-1386-ND/2264367?cur=JPY&amp;lang=en" TargetMode="External"/><Relationship Id="rId2585" Type="http://schemas.openxmlformats.org/officeDocument/2006/relationships/hyperlink" Target="https://www.digikey.jp/product-detail/en/kemet/C0805C120J3GAC7800/399-17427-1-ND/8570394" TargetMode="External"/><Relationship Id="rId2792" Type="http://schemas.openxmlformats.org/officeDocument/2006/relationships/hyperlink" Target="https://www.digikey.jp/product-detail/en/koa-speer-electronics-inc/RK73H1JTTD2201F/2019-RK73H1JTTD2201FCT-ND/9846907" TargetMode="External"/><Relationship Id="rId3636" Type="http://schemas.openxmlformats.org/officeDocument/2006/relationships/hyperlink" Target="https://jp.rs-online.com/web/p/buffers/6628963/?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34E37344C56433247333444425652267365617263685F6B6579776F72645F6170703D534E37344C56433247333444425652267365617263685F636F6E6669673D3126&amp;searchHistory=%7B%22enabled%22%3Atrue%7D" TargetMode="External"/><Relationship Id="rId3843" Type="http://schemas.openxmlformats.org/officeDocument/2006/relationships/hyperlink" Target="https://jp.misumi-ec.com/vona2/detail/110302280540/?HissuCode=CBSTSR2-5&amp;PNSearch=CBSTSR2-5&amp;KWSearch=CBSTSR2-5&amp;searchFlow=results2products" TargetMode="External"/><Relationship Id="rId557" Type="http://schemas.openxmlformats.org/officeDocument/2006/relationships/hyperlink" Target="https://www.digikey.jp/products/en?keywords=A99614-ND" TargetMode="External"/><Relationship Id="rId764" Type="http://schemas.openxmlformats.org/officeDocument/2006/relationships/hyperlink" Target="https://www.digikey.jp/products/ja?keywords=712-1409-1-ND" TargetMode="External"/><Relationship Id="rId971" Type="http://schemas.openxmlformats.org/officeDocument/2006/relationships/hyperlink" Target="https://jp.rs-online.com/web/p/pcb-connector-contacts/8201529/" TargetMode="External"/><Relationship Id="rId1394" Type="http://schemas.openxmlformats.org/officeDocument/2006/relationships/hyperlink" Target="https://www.digikey.jp/product-detail/en/kemet/C0805C561K5RACTU/399-1143-1-ND/411418" TargetMode="External"/><Relationship Id="rId2238" Type="http://schemas.openxmlformats.org/officeDocument/2006/relationships/hyperlink" Target="https://jp.misumi-ec.com/vona2/detail/222300401958/?HissuCode=TPCA8107-H%28TE12L.Q.M%29" TargetMode="External"/><Relationship Id="rId2445" Type="http://schemas.openxmlformats.org/officeDocument/2006/relationships/hyperlink" Target="https://jp.rs-online.com/web/p/accelerometer-sensors/8805301/" TargetMode="External"/><Relationship Id="rId2652" Type="http://schemas.openxmlformats.org/officeDocument/2006/relationships/hyperlink" Target="https://www.p-ban.com/" TargetMode="External"/><Relationship Id="rId3703" Type="http://schemas.openxmlformats.org/officeDocument/2006/relationships/hyperlink" Target="https://jp.rs-online.com/web/p/mlccs-multilayer-ceramic-capacitors/9038720/?cm_mmc=JP-PPC-DS3A-_-google-_-3_JP_JP_%E5%8F%97%E5%8B%95%E9%83%A8%E5%93%81_%E7%A9%8D%E5%B1%A4%E3%82%BB%E3%83%A9%E3%83%9F%E3%83%83%E3%82%AF%E3%82%B3%E3%83%B3%E3%83%87%E3%83%B3%E3%82%B5(MLCC)_TDK_Exact-_-TDK+-+9038720+-+CGA4J3X7R1H105K125AB-_-cga4j3x7r1h105k125ab&amp;matchtype=e&amp;aud-772940708119:kwd-337173734281&amp;gclid=CjwKCAjw3MSHBhB3EiwAxcaEu6jyohBu6qAFJnDvKeQmHwA4BfnhgH18u2TQOaB4uxD5Z64MstpRnRoCHW8QAvD_BwE&amp;gclsrc=aw.ds" TargetMode="External"/><Relationship Id="rId3910" Type="http://schemas.openxmlformats.org/officeDocument/2006/relationships/hyperlink" Target="https://jp.misumi-ec.com/vona2/detail/221000551859/?ProductCode=WSP2-SUS-M6" TargetMode="External"/><Relationship Id="rId417" Type="http://schemas.openxmlformats.org/officeDocument/2006/relationships/hyperlink" Target="https://www.digikey.jp/product-detail/en/johanson-technology-inc/251R14S6R2CV4T/712-1363-1-ND/1786825" TargetMode="External"/><Relationship Id="rId624" Type="http://schemas.openxmlformats.org/officeDocument/2006/relationships/hyperlink" Target="https://www.digikey.jp/product-detail/en/analog-devices-inc/TMP36FSZ-REEL/TMP36FSZ-REELCT-ND/3761261" TargetMode="External"/><Relationship Id="rId831" Type="http://schemas.openxmlformats.org/officeDocument/2006/relationships/hyperlink" Target="https://www.amazon.co.jp/3M-3D%E3%83%97%E3%83%AA%E3%83%B3%E3%82%BF%E3%83%BC%E3%83%97%E3%83%A9%E3%83%83%E3%83%88%E3%83%95%E3%82%A9%E3%83%BC%E3%83%A0%E3%82%B7%E3%83%BC%E3%83%88-3%E6%9E%9A%E5%85%A5-PLA%E5%AF%BE%E5%BF%9C-3099AB/dp/B01M11XI4Y/ref=pd_bxgy_328_img_3/355-8382177-2871263?_encoding=UTF8&amp;pd_rd_i=B01M11XI4Y&amp;pd_rd_r=bb4065ea-91a2-11e9-abcd-e3cbe212f482&amp;pd_rd_w=0Ev5f&amp;pd_rd_wg=7bKC9&amp;pf_rd_p=2d39d87c-5ff4-47a9-a2d0-79fb936a2d97&amp;pf_rd_r=KKWX93ZW5ER1ZYXG3RFS&amp;psc=1&amp;refRID=KKWX93ZW5ER1ZYXG3RFS" TargetMode="External"/><Relationship Id="rId1047" Type="http://schemas.openxmlformats.org/officeDocument/2006/relationships/hyperlink" Target="https://www.digikey.jp/products/en?keywords=732-5350-ND" TargetMode="External"/><Relationship Id="rId1254" Type="http://schemas.openxmlformats.org/officeDocument/2006/relationships/hyperlink" Target="http://akizukidenshi.com/catalog/g/gM-12972/" TargetMode="External"/><Relationship Id="rId1461" Type="http://schemas.openxmlformats.org/officeDocument/2006/relationships/hyperlink" Target="https://www.digikey.jp/product-detail/en/johanson-technology-inc/L-07C18NJV6T/712-1409-1-ND/1840087" TargetMode="External"/><Relationship Id="rId2305" Type="http://schemas.openxmlformats.org/officeDocument/2006/relationships/hyperlink" Target="https://jp.misumi-ec.com/vona2/detail/221000551286/?HissuCode=CSH-STD-M12-40&amp;PNSearch=CSH-STD-M12-40&amp;KWSearch=CSH-STD-M12-40&amp;searchFlow=results2products" TargetMode="External"/><Relationship Id="rId2512" Type="http://schemas.openxmlformats.org/officeDocument/2006/relationships/hyperlink" Target="https://jp.misumi-ec.com/vona2/detail/110302280540/?HissuCode=CBSTSR2-5&amp;PNSearch=CBSTSR2-5&amp;KWSearch=CBSTSR2-5&amp;searchFlow=results2products" TargetMode="External"/><Relationship Id="rId1114" Type="http://schemas.openxmlformats.org/officeDocument/2006/relationships/hyperlink" Target="https://www.p-ban.com/kiban/com/csComTop.do" TargetMode="External"/><Relationship Id="rId1321" Type="http://schemas.openxmlformats.org/officeDocument/2006/relationships/hyperlink" Target="https://www.digikey.jp/product-detail/en/twin-industries/TW-E012-000/438-1049-ND/643115" TargetMode="External"/><Relationship Id="rId4477" Type="http://schemas.openxmlformats.org/officeDocument/2006/relationships/hyperlink" Target="https://www.askul.co.jp/p/1260069/?int_id=recom_DtVar" TargetMode="External"/><Relationship Id="rId4684" Type="http://schemas.openxmlformats.org/officeDocument/2006/relationships/hyperlink" Target="https://www.mouser.jp/ProductDetail/Vishay-Dale/WSLP0805R0250FEA?qs=l%252BoLuM8chxpEU%252BvdILwPrA%3D%3D" TargetMode="External"/><Relationship Id="rId4891" Type="http://schemas.openxmlformats.org/officeDocument/2006/relationships/hyperlink" Target="https://www.digikey.jp/products/ja?keywords=255-1567-ND" TargetMode="External"/><Relationship Id="rId3079" Type="http://schemas.openxmlformats.org/officeDocument/2006/relationships/hyperlink" Target="https://www.monotaro.com/g/01361089/?t.q=PET%20%81%400.25" TargetMode="External"/><Relationship Id="rId3286" Type="http://schemas.openxmlformats.org/officeDocument/2006/relationships/hyperlink" Target="https://www.uctronics.com/camera-modules/camera-for-raspberry-pi/https-www-uctronics-com-index-php-arducam-ov2311-mipi-2mp-global-shutter-mono-camera-module-html-2268.html" TargetMode="External"/><Relationship Id="rId3493" Type="http://schemas.openxmlformats.org/officeDocument/2006/relationships/hyperlink" Target="https://www.digikey.jp/product-detail/ja/adafruit-industries-llc/1293/1528-1311-ND/5356796" TargetMode="External"/><Relationship Id="rId4337" Type="http://schemas.openxmlformats.org/officeDocument/2006/relationships/hyperlink" Target="https://www.monotaro.com/g/00029003/?t.q=%E3%83%88%E3%83%AB%E3%82%AF%E3%83%89%E3%83%A9%E3%82%A4%E3%83%90%E3%83%BC%20%E3%83%93%E3%83%83%E3%83%88" TargetMode="External"/><Relationship Id="rId4544" Type="http://schemas.openxmlformats.org/officeDocument/2006/relationships/hyperlink" Target="https://www.monotaro.com/g/00012113/?t.q=&#24310;&#38263;&#12465;&#12540;&#12502;&#12523;%205m" TargetMode="External"/><Relationship Id="rId2095" Type="http://schemas.openxmlformats.org/officeDocument/2006/relationships/hyperlink" Target="https://jp.misumi-ec.com/vona2/detail/221006204478/?HissuCode=C-301&amp;PNSearch=C-301&amp;KWSearch=C-301&amp;searchFlow=results2products" TargetMode="External"/><Relationship Id="rId3146" Type="http://schemas.openxmlformats.org/officeDocument/2006/relationships/hyperlink" Target="https://www.digikey.jp/product-detail/en/stmicroelectronics/STM32F446RET6/497-15376-ND/5175962" TargetMode="External"/><Relationship Id="rId3353" Type="http://schemas.openxmlformats.org/officeDocument/2006/relationships/hyperlink" Target="https://www.p-ban.com/" TargetMode="External"/><Relationship Id="rId4751" Type="http://schemas.openxmlformats.org/officeDocument/2006/relationships/hyperlink" Target="https://www.digikey.jp/en/products/detail/amphenol-sv-microwave/7032-6354/6050883" TargetMode="External"/><Relationship Id="rId274" Type="http://schemas.openxmlformats.org/officeDocument/2006/relationships/hyperlink" Target="https://www.digikey.jp/product-detail/ja/avx-corporation/08055F104K4T2A/478-3614-1-ND/1024967" TargetMode="External"/><Relationship Id="rId481" Type="http://schemas.openxmlformats.org/officeDocument/2006/relationships/hyperlink" Target="https://www.mouser.jp/ProductDetail/Analog-Devices/LT6106HS5TRMPBF?qs=hVkxg5c3xu8OKBLMK7oSuA%3D%3D" TargetMode="External"/><Relationship Id="rId2162" Type="http://schemas.openxmlformats.org/officeDocument/2006/relationships/hyperlink" Target="https://www.monotaro.com/g/00029800/?t.q=Bondhus%2010937" TargetMode="External"/><Relationship Id="rId3006" Type="http://schemas.openxmlformats.org/officeDocument/2006/relationships/hyperlink" Target="https://www.digikey.jp/product-detail/en/LTC3119HFE%23PBF/LTC3119HFE%23PBF-ND/6419502/?itemSeq=351524675" TargetMode="External"/><Relationship Id="rId3560" Type="http://schemas.openxmlformats.org/officeDocument/2006/relationships/hyperlink" Target="https://www.mouser.jp/ProductDetail/Texas-Instruments/SN74CB3Q3305PWRE4?qs=PVVDbbWpW3L24959x0v%252BLQ%3D%3D" TargetMode="External"/><Relationship Id="rId4404" Type="http://schemas.openxmlformats.org/officeDocument/2006/relationships/hyperlink" Target="https://www.ni.com/ja-jp/shop/hardware/products/c-series-temperature-input-module.html" TargetMode="External"/><Relationship Id="rId4611" Type="http://schemas.openxmlformats.org/officeDocument/2006/relationships/hyperlink" Target="https://www.monotaro.com/p/0705/7915/" TargetMode="External"/><Relationship Id="rId134" Type="http://schemas.openxmlformats.org/officeDocument/2006/relationships/hyperlink" Target="https://jp.rs-online.com/web/p/current-sensors/8660767/" TargetMode="External"/><Relationship Id="rId3213" Type="http://schemas.openxmlformats.org/officeDocument/2006/relationships/hyperlink" Target="https://www.monotaro.com/s/?c=&amp;q=%83R%81%5B%83L%83%93%83O%83K%83%93" TargetMode="External"/><Relationship Id="rId3420" Type="http://schemas.openxmlformats.org/officeDocument/2006/relationships/hyperlink" Target="https://jp.misumi-ec.com/vona2/detail/221000348314/?ProductCode=SNSS-M2X4" TargetMode="External"/><Relationship Id="rId341" Type="http://schemas.openxmlformats.org/officeDocument/2006/relationships/hyperlink" Target="https://www.digikey.jp/product-detail/en/rohm-semiconductor/DTC144EETL/DTC144EETLCT-ND/650726?cur=JPY&amp;lang=en" TargetMode="External"/><Relationship Id="rId2022" Type="http://schemas.openxmlformats.org/officeDocument/2006/relationships/hyperlink" Target="https://www.mouser.jp/ProductDetail/Phoenix-Contact/2744830?qs=UXgszm6BlbHBFffPA5rNiw%3D%3D" TargetMode="External"/><Relationship Id="rId2979" Type="http://schemas.openxmlformats.org/officeDocument/2006/relationships/hyperlink" Target="https://www.digikey.jp/product-detail/ja/analog-devices-inc/ADP7142AUJZ-5-0-R7/ADP7142AUJZ-5-0-R7CT-ND/6568649" TargetMode="External"/><Relationship Id="rId5178" Type="http://schemas.openxmlformats.org/officeDocument/2006/relationships/hyperlink" Target="https://mou.sr/3DrC1E2" TargetMode="External"/><Relationship Id="rId201" Type="http://schemas.openxmlformats.org/officeDocument/2006/relationships/hyperlink" Target="https://www.amazon.com/RTL-SDR-Blog-Multipurpose-Dipole-Antenna/dp/B075445JDF?ref_=fsclp_pl_dp_7" TargetMode="External"/><Relationship Id="rId1788" Type="http://schemas.openxmlformats.org/officeDocument/2006/relationships/hyperlink" Target="https://www.digikey.jp/product-detail/ja/murata-electronics-north-america/LQW18AN82NG8ZD/490-15746-1-ND/6800411" TargetMode="External"/><Relationship Id="rId1995" Type="http://schemas.openxmlformats.org/officeDocument/2006/relationships/hyperlink" Target="https://www.digikey.jp/products/ja/resistors/chip-resistor-surface-mount/52?k=&amp;pkeyword=&amp;sv=0&amp;pv2085=u1+M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2839" Type="http://schemas.openxmlformats.org/officeDocument/2006/relationships/hyperlink" Target="https://www.monotaro.com/p/0809/8921/" TargetMode="External"/><Relationship Id="rId4194" Type="http://schemas.openxmlformats.org/officeDocument/2006/relationships/hyperlink" Target="https://www.mouser.jp/ProductDetail/Panasonic/ERJ-U06F1003V?qs=Yyy8avaXlItM0dLuNzztsg%3D%3D" TargetMode="External"/><Relationship Id="rId5038" Type="http://schemas.openxmlformats.org/officeDocument/2006/relationships/hyperlink" Target="https://www.mouser.jp/ProductDetail/Murata-Electronics/GRM32ER71E226ME15L?qs=YdfiU6IJg98WGjVSjKXg5Q%3D%3D" TargetMode="External"/><Relationship Id="rId5245" Type="http://schemas.openxmlformats.org/officeDocument/2006/relationships/hyperlink" Target="https://www.digikey.jp/en/products/detail/u-blox/neo-7m-0/9817995" TargetMode="External"/><Relationship Id="rId1648" Type="http://schemas.openxmlformats.org/officeDocument/2006/relationships/hyperlink" Target="http://www.ktek.jp/mini-ckt-atten-term-50-ohm.html" TargetMode="External"/><Relationship Id="rId4054" Type="http://schemas.openxmlformats.org/officeDocument/2006/relationships/hyperlink" Target="https://jp.misumi-ec.com/vona2/detail/221006204478/?PNSearch=C-2002-4&amp;HissuCode=C-2002-4&amp;searchFlow=suggest2products&amp;Keyword=C-2002-4&amp;list=SuggestPreview" TargetMode="External"/><Relationship Id="rId4261" Type="http://schemas.openxmlformats.org/officeDocument/2006/relationships/hyperlink" Target="https://www.minicircuits.com/WebStore/dashboard.html?model=NCS1.5-232%2B" TargetMode="External"/><Relationship Id="rId5105" Type="http://schemas.openxmlformats.org/officeDocument/2006/relationships/hyperlink" Target="https://www.mouser.jp/ProductDetail/YAGEO/RC0603FR-0710RL?qs=womCuNp6NjhtCUybQ%252B6d6w%3D%3D" TargetMode="External"/><Relationship Id="rId5312" Type="http://schemas.openxmlformats.org/officeDocument/2006/relationships/hyperlink" Target="https://www.digikey.jp/ja/products/detail/skyworks-solutions-inc/SKY13416-485LF/5214213" TargetMode="External"/><Relationship Id="rId1508" Type="http://schemas.openxmlformats.org/officeDocument/2006/relationships/hyperlink" Target="https://jp.rs-online.com/web/p/wlan-modules/8187338" TargetMode="External"/><Relationship Id="rId1855" Type="http://schemas.openxmlformats.org/officeDocument/2006/relationships/hyperlink" Target="https://www.digikey.jp/product-detail/en/tdk-corporation/MLH2012F22NKT000/445-174893-1-ND/6642485" TargetMode="External"/><Relationship Id="rId2906" Type="http://schemas.openxmlformats.org/officeDocument/2006/relationships/hyperlink" Target="https://akizukidenshi.com/catalog/g/gI-06420/" TargetMode="External"/><Relationship Id="rId3070" Type="http://schemas.openxmlformats.org/officeDocument/2006/relationships/hyperlink" Target="https://www.nbk1560.com/products/specialscrew/nedzicom/hexalobularscrew/SNFXS/SNFXS-M2.5/" TargetMode="External"/><Relationship Id="rId4121" Type="http://schemas.openxmlformats.org/officeDocument/2006/relationships/hyperlink" Target="https://www.monotaro.com/g/01214485/?t.q=C-309-5" TargetMode="External"/><Relationship Id="rId1715" Type="http://schemas.openxmlformats.org/officeDocument/2006/relationships/hyperlink" Target="https://www.monotaro.com/g/04241875/?t.q=AD590JF" TargetMode="External"/><Relationship Id="rId1922" Type="http://schemas.openxmlformats.org/officeDocument/2006/relationships/hyperlink" Target="https://www.marutsu.co.jp/pc/i/857943/" TargetMode="External"/><Relationship Id="rId3887" Type="http://schemas.openxmlformats.org/officeDocument/2006/relationships/hyperlink" Target="https://www.digikey.jp/product-detail/en/johanson-technology-inc/251R14S180JV4T/712-1322-1-ND/1786784" TargetMode="External"/><Relationship Id="rId4938" Type="http://schemas.openxmlformats.org/officeDocument/2006/relationships/hyperlink" Target="https://www.mouser.jp/ProductDetail/Panasonic/ERJ-U6RD1201V?qs=TiOZkKH1s2RHQ67F6pJo0g%3D%3D" TargetMode="External"/><Relationship Id="rId2489" Type="http://schemas.openxmlformats.org/officeDocument/2006/relationships/hyperlink" Target="https://www.digikey.jp/product-detail/ja/rf-solutions/ADP-UFLM-SMAM/ADP-UFLM-SMAM-ND/5845797" TargetMode="External"/><Relationship Id="rId2696" Type="http://schemas.openxmlformats.org/officeDocument/2006/relationships/hyperlink" Target="https://www.mouser.jp/ProductDetail/Toshiba/SSM6K514NULF?qs=%2Fha2pyFadugPZabIf%252BUtmC21pD47W7GgElRqNb%2FB80OpRqZXqYJ%2FrA%3D%3D" TargetMode="External"/><Relationship Id="rId3747" Type="http://schemas.openxmlformats.org/officeDocument/2006/relationships/hyperlink" Target="http://www.rflink.co.jp/lev1-sdk.html" TargetMode="External"/><Relationship Id="rId3954" Type="http://schemas.openxmlformats.org/officeDocument/2006/relationships/hyperlink" Target="https://www.digikey.jp/product-detail/ja/yageo/CC0805JRNPO9BN180/311-1102-1-ND/303012" TargetMode="External"/><Relationship Id="rId668" Type="http://schemas.openxmlformats.org/officeDocument/2006/relationships/hyperlink" Target="https://www.monotaro.com/g/03486717/?t.q=%83J%83v%83g%83%93%83e%81%5B%83v" TargetMode="External"/><Relationship Id="rId875" Type="http://schemas.openxmlformats.org/officeDocument/2006/relationships/hyperlink" Target="https://jp.rs-online.com/web/p/cartridge-fuses/5234725/" TargetMode="External"/><Relationship Id="rId1298" Type="http://schemas.openxmlformats.org/officeDocument/2006/relationships/hyperlink" Target="https://jp.misumi-ec.com/vona2/detail/221000551365/?HissuCode=CSHSM-SUS-M3-10" TargetMode="External"/><Relationship Id="rId2349" Type="http://schemas.openxmlformats.org/officeDocument/2006/relationships/hyperlink" Target="https://www.amazon.co.jp/-/en/AVRISP-MK2-USB-insisutemupurogurama-Interface-ATXMega/dp/B07GTJC2CW/ref=sr_1_3?dchild=1&amp;keywords=Atmel+AVR+ISP+MK2+MKII+ATMEL+AVR&amp;qid=1600356492&amp;s=industrial&amp;sr=1-3" TargetMode="External"/><Relationship Id="rId2556" Type="http://schemas.openxmlformats.org/officeDocument/2006/relationships/hyperlink" Target="https://jp.rs-online.com/web/p/ferrite-beads/7241299/" TargetMode="External"/><Relationship Id="rId2763" Type="http://schemas.openxmlformats.org/officeDocument/2006/relationships/hyperlink" Target="https://www.y-ic.com/pdf/Vishay%20-%20Siliconix/SI7228DN-T1-GE3.html" TargetMode="External"/><Relationship Id="rId2970" Type="http://schemas.openxmlformats.org/officeDocument/2006/relationships/hyperlink" Target="https://www.edmundoptics.com/p/550nm-cwl-125mm-dia-hard-coated-od-4-10nm-bandpass-filter/19753/" TargetMode="External"/><Relationship Id="rId3607" Type="http://schemas.openxmlformats.org/officeDocument/2006/relationships/hyperlink" Target="https://jp.misumi-ec.com/vona2/detail/223000329719/" TargetMode="External"/><Relationship Id="rId3814" Type="http://schemas.openxmlformats.org/officeDocument/2006/relationships/hyperlink" Target="https://www.monotaro.com/g/04582469/" TargetMode="External"/><Relationship Id="rId528" Type="http://schemas.openxmlformats.org/officeDocument/2006/relationships/hyperlink" Target="https://www.digikey.jp/product-detail/en/toshiba-semiconductor-and-storage/SSM6K411TU-TE85LF/SSM6K411TU-TE85LFCT-ND/5298038?cur=JPY&amp;lang=en" TargetMode="External"/><Relationship Id="rId735" Type="http://schemas.openxmlformats.org/officeDocument/2006/relationships/hyperlink" Target="https://www.monotaro.com/g/01594729/?monotaroNo=26767572" TargetMode="External"/><Relationship Id="rId942" Type="http://schemas.openxmlformats.org/officeDocument/2006/relationships/hyperlink" Target="https://www.digikey.jp/product-detail/en/adafruit-industries-llc/1950/1528-1961-ND/6827084" TargetMode="External"/><Relationship Id="rId1158" Type="http://schemas.openxmlformats.org/officeDocument/2006/relationships/hyperlink" Target="https://www.digikey.jp/products/en?keywords=GRPB%20122%20VWQS-RC" TargetMode="External"/><Relationship Id="rId1365" Type="http://schemas.openxmlformats.org/officeDocument/2006/relationships/hyperlink" Target="https://www.monotaro.com/p/3661/0201/?t.q=%83A%83N%83%8A%83%8B%94%C2" TargetMode="External"/><Relationship Id="rId1572" Type="http://schemas.openxmlformats.org/officeDocument/2006/relationships/hyperlink" Target="https://jp.misumi-ec.com/vona2/detail/223007851457/" TargetMode="External"/><Relationship Id="rId2209" Type="http://schemas.openxmlformats.org/officeDocument/2006/relationships/hyperlink" Target="https://www.digikey.jp/product-detail/en/vishay-dale/RL20S681GB14/1135-1435-ND/3193732" TargetMode="External"/><Relationship Id="rId2416" Type="http://schemas.openxmlformats.org/officeDocument/2006/relationships/hyperlink" Target="https://jp.rs-online.com/web/p/pcb-sockets/7666593/" TargetMode="External"/><Relationship Id="rId2623" Type="http://schemas.openxmlformats.org/officeDocument/2006/relationships/hyperlink" Target="https://www.digikey.jp/product-detail/ja/microchip-technology/ATMEGA32U4-AUR/ATMEGA32U4-AURCT-ND/3440960" TargetMode="External"/><Relationship Id="rId1018" Type="http://schemas.openxmlformats.org/officeDocument/2006/relationships/hyperlink" Target="https://jp.rs-online.com/web/p/desoldering-wicks-braids/0167756/" TargetMode="External"/><Relationship Id="rId1225" Type="http://schemas.openxmlformats.org/officeDocument/2006/relationships/hyperlink" Target="https://jp.rs-online.com/web/p/pcb-connector-housings/6322081" TargetMode="External"/><Relationship Id="rId1432" Type="http://schemas.openxmlformats.org/officeDocument/2006/relationships/hyperlink" Target="https://www.digikey.jp/product-detail/en/micron-technology-inc/MT25QL01GBBB8ESF-0SIT/557-1789-ND/6622725" TargetMode="External"/><Relationship Id="rId2830" Type="http://schemas.openxmlformats.org/officeDocument/2006/relationships/hyperlink" Target="https://jp.misumi-ec.com/vona2/detail/110300007370/?PNSearch=FSSFJEE-D20-L100-F17-M5-T30-N6-P12-Q12&amp;HissuCode=FSSFJEE-D20-L100-F17-M5-T30-N6-P12-Q12&amp;searchFlow=suggest2products&amp;Keyword=FSSFJEE-D20-L100-F17-M5-T30-N6-P12-Q12&amp;isReSearch=1" TargetMode="External"/><Relationship Id="rId4588" Type="http://schemas.openxmlformats.org/officeDocument/2006/relationships/hyperlink" Target="https://jp.rs-online.com/web/p/arduino/7717667?cm_mmc=JP-PLA-DS3A-_-google-_-PLA_JP_JP_Raspberry_Pi_%26_Arduino%E9%96%8B%E7%99%BA%E3%83%84%E3%83%BC%E3%83%AB_Whoop-_-(JP:Whoop!)+Arduino-_-7717667&amp;matchtype=&amp;pla-475754026213&amp;gclid=Cj0KCQjw3v6SBhCsARIsACyrRAkDYyAdszVPiF5lBcAEFnhWyFvU1EV5GlnG4Dfv6O-_cSYLT_3SMyAaAjDQEALw_wcB&amp;gclsrc=aw.ds" TargetMode="External"/><Relationship Id="rId71" Type="http://schemas.openxmlformats.org/officeDocument/2006/relationships/hyperlink" Target="https://www.monotaro.com/g/00386120/?t.q=39481924" TargetMode="External"/><Relationship Id="rId802" Type="http://schemas.openxmlformats.org/officeDocument/2006/relationships/hyperlink" Target="https://www.minicircuits.com/WebStore/dashboard.html?model=NCS1.5-232%2B" TargetMode="External"/><Relationship Id="rId3397" Type="http://schemas.openxmlformats.org/officeDocument/2006/relationships/hyperlink" Target="https://www.digikey.jp/product-detail/ja/panasonic-electric-works/AQZ102/255-1567-ND/570705" TargetMode="External"/><Relationship Id="rId4795" Type="http://schemas.openxmlformats.org/officeDocument/2006/relationships/hyperlink" Target="https://www.monotaro.com/p/4927/7803/" TargetMode="External"/><Relationship Id="rId4448" Type="http://schemas.openxmlformats.org/officeDocument/2006/relationships/hyperlink" Target="https://www.amazon.co.jp/Elikliv-%E3%82%B9%E3%83%9A%E3%82%AF%E3%83%88%E3%83%A9%E3%83%A0-100kHz-350MHz%E7%94%A8%E3%81%AE%E9%AB%98%E5%85%A5%E5%8A%9B%E3%83%A2%E3%83%BC%E3%83%89%E3%81%A8240MHz-960MHz%E7%94%A8%E3%81%AE%E4%BD%8E%E5%85%A5%E5%8A%9B%E3%83%A2%E3%83%BC%E3%83%89%E4%BB%98%E3%81%8D-2-8%E3%82%A4%E3%83%B3%E3%83%81%E3%82%BF%E3%83%83%E3%83%81%E3%82%B9%E3%82%AF%E3%83%AA%E3%83%BC%E3%83%B3MF-UHF%E3%82%A2%E3%83%8A%E3%83%A9%E3%82%A4%E3%82%B6/dp/B08SHQMR6K/ref=sr_1_3?crid=20G57NNRR8FOM&amp;keywords=micro+spectrum+analyzer&amp;qid=1640584510&amp;sprefix=micro+Spectrum+analy%2Caps%2C471&amp;sr=8-3" TargetMode="External"/><Relationship Id="rId4655" Type="http://schemas.openxmlformats.org/officeDocument/2006/relationships/hyperlink" Target="https://www.mouser.jp/ProductDetail/Murata-Electronics/GCM188R71E104KA57D?qs=bQrJpfqjX%252BJoxmgcl%2F4nig%3D%3D" TargetMode="External"/><Relationship Id="rId4862" Type="http://schemas.openxmlformats.org/officeDocument/2006/relationships/hyperlink" Target="https://www.marutsu.co.jp/pc/i/223387/" TargetMode="External"/><Relationship Id="rId178" Type="http://schemas.openxmlformats.org/officeDocument/2006/relationships/hyperlink" Target="https://jp.misumi-ec.com/vona2/detail/221000551286/?CategorySpec=00000217065%3a%3amig00000002466041%0900000217017%3a%3amig00000002466054%0900000217131%3a%3ab&amp;bid=bid_list_template" TargetMode="External"/><Relationship Id="rId3257" Type="http://schemas.openxmlformats.org/officeDocument/2006/relationships/hyperlink" Target="https://www.digikey.jp/product-detail/en/rohm-semiconductor/SML-E12V8WT86/511-1587-1-ND/1641819" TargetMode="External"/><Relationship Id="rId3464" Type="http://schemas.openxmlformats.org/officeDocument/2006/relationships/hyperlink" Target="https://www.p-ban.com/kiban/com/csComTop.do" TargetMode="External"/><Relationship Id="rId3671" Type="http://schemas.openxmlformats.org/officeDocument/2006/relationships/hyperlink" Target="https://www.digikey.jp/product-detail/en/samsung-electro-mechanics/CL21A106KPFNNNG/1276-6456-1-ND/5958084" TargetMode="External"/><Relationship Id="rId4308" Type="http://schemas.openxmlformats.org/officeDocument/2006/relationships/hyperlink" Target="https://www.robotshop.com/en/arducam-2mp-ov2311-global-shutter-noir-mono-camera-raspberry-pi.html" TargetMode="External"/><Relationship Id="rId4515" Type="http://schemas.openxmlformats.org/officeDocument/2006/relationships/hyperlink" Target="https://www.mouser.jp/ProductDetail/u-blox/NEO-7M-0?qs=KUoIvG%2F9Ilb2dHa1StWjzQ%3D%3D" TargetMode="External"/><Relationship Id="rId4722" Type="http://schemas.openxmlformats.org/officeDocument/2006/relationships/hyperlink" Target="https://www.digikey.jp/en/products/detail/amphenol-cs-fci/20021311-00024T4LF/2209108" TargetMode="External"/><Relationship Id="rId385" Type="http://schemas.openxmlformats.org/officeDocument/2006/relationships/hyperlink" Target="https://www.digikey.jp/product-detail/en/johanson-technology-inc/L-07C12NJV6T/712-1453-1-ND/1915232" TargetMode="External"/><Relationship Id="rId592" Type="http://schemas.openxmlformats.org/officeDocument/2006/relationships/hyperlink" Target="http://oyaide.com/" TargetMode="External"/><Relationship Id="rId2066" Type="http://schemas.openxmlformats.org/officeDocument/2006/relationships/hyperlink" Target="https://jp.misumi-ec.com/vona2/detail/221000349089/?HissuCode=SSH-M3X8-EL" TargetMode="External"/><Relationship Id="rId2273" Type="http://schemas.openxmlformats.org/officeDocument/2006/relationships/hyperlink" Target="http://akizukidenshi.com/catalog/g/gC-08849/" TargetMode="External"/><Relationship Id="rId2480" Type="http://schemas.openxmlformats.org/officeDocument/2006/relationships/hyperlink" Target="https://www.digikey.jp/product-detail/ja/hirose-electric-co-ltd/U.FL-R-SMT-1(10)/H11891CT-ND/2504612?utm_adgroup=Coaxial%20Connectors%20%28RF%29&amp;utm_source=google&amp;utm_medium=cpc&amp;utm_campaign=Shopping_Product_Connectors%2C%20Interconnects_NEW&amp;utm_term=&amp;productid=2504612&amp;gclid=Cj0KCQjwoub3BRC6ARIsABGhnyZpC5Sc8FxHpAadYNMI5rIQdpl28uqNmfCqIPaJSgm16WkepQyrQS4aAqOIEALw_wcB" TargetMode="External"/><Relationship Id="rId3117" Type="http://schemas.openxmlformats.org/officeDocument/2006/relationships/hyperlink" Target="https://www.digikey.jp/product-detail/en/kemet/C0603C474K3RAC7867/399-11934-1-ND/5267654" TargetMode="External"/><Relationship Id="rId3324" Type="http://schemas.openxmlformats.org/officeDocument/2006/relationships/hyperlink" Target="https://www.digikey.jp/product-detail/en/kemet/C0805C104J4RACTU/399-11163-1-ND/4357875" TargetMode="External"/><Relationship Id="rId3531" Type="http://schemas.openxmlformats.org/officeDocument/2006/relationships/hyperlink" Target="https://www.digikey.jp/product-detail/en/alpha-wire/2841-7-YL005/2841-7YL005-ND/3708251" TargetMode="External"/><Relationship Id="rId245" Type="http://schemas.openxmlformats.org/officeDocument/2006/relationships/hyperlink" Target="https://www.nbk1560.com/products/specialscrew/nedzicom/miniaturescrew/SNSS/" TargetMode="External"/><Relationship Id="rId452" Type="http://schemas.openxmlformats.org/officeDocument/2006/relationships/hyperlink" Target="https://jp.misumi-ec.com/vona2/detail/110302280540/?HissuCode=CBSTSR3-10&amp;PNSearch=CBSTSR3-10&amp;KWSearch=CBSTSR3-10&amp;searchFlow=results2products" TargetMode="External"/><Relationship Id="rId1082" Type="http://schemas.openxmlformats.org/officeDocument/2006/relationships/hyperlink" Target="https://jp.rs-online.com/web/p/hex-nuts/0560293/" TargetMode="External"/><Relationship Id="rId2133" Type="http://schemas.openxmlformats.org/officeDocument/2006/relationships/hyperlink" Target="https://jp.misumi-ec.com/vona2/detail/221006493827/?HissuCode=SNSS-M2-6-SD&amp;PNSearch=SNSS-M2-6-SD&amp;KWSearch=SNSS-M2-6-SD&amp;searchFlow=results2products" TargetMode="External"/><Relationship Id="rId2340" Type="http://schemas.openxmlformats.org/officeDocument/2006/relationships/hyperlink" Target="https://www.monotaro.com/g/00261084/?monotaroNo=34933543" TargetMode="External"/><Relationship Id="rId5289" Type="http://schemas.openxmlformats.org/officeDocument/2006/relationships/hyperlink" Target="https://www.digikey.jp/en/products/detail/murata-electronics/GJM1555C1H2R7CB01D/702286" TargetMode="External"/><Relationship Id="rId105" Type="http://schemas.openxmlformats.org/officeDocument/2006/relationships/hyperlink" Target="https://www.digikey.jp/product-detail/en/CL21C200JBANNNC/1276-1829-1-ND/3889915/?itemSeq=273201151" TargetMode="External"/><Relationship Id="rId312" Type="http://schemas.openxmlformats.org/officeDocument/2006/relationships/hyperlink" Target="https://jp.rs-online.com/web/p/temperature-sensors-humidity-sensors/1610157/" TargetMode="External"/><Relationship Id="rId2200" Type="http://schemas.openxmlformats.org/officeDocument/2006/relationships/hyperlink" Target="https://www.digikey.jp/product-detail/en/recom-power/R05P209D/945-2656-5-ND/2301255" TargetMode="External"/><Relationship Id="rId4098" Type="http://schemas.openxmlformats.org/officeDocument/2006/relationships/hyperlink" Target="https://jp.misumi-ec.com/vona2/detail/110302280540/?ProductCode=CBSTSR2-5" TargetMode="External"/><Relationship Id="rId5149" Type="http://schemas.openxmlformats.org/officeDocument/2006/relationships/hyperlink" Target="https://jp.rs-online.com/web/p/schottky-diodes-rectifiers/0362503" TargetMode="External"/><Relationship Id="rId5356" Type="http://schemas.openxmlformats.org/officeDocument/2006/relationships/hyperlink" Target="https://akizukidenshi.com/catalog/g/gC-00167/" TargetMode="External"/><Relationship Id="rId1899" Type="http://schemas.openxmlformats.org/officeDocument/2006/relationships/hyperlink" Target="https://www.monotaro.com/p/1134/3036/?t.q=PSR-420153" TargetMode="External"/><Relationship Id="rId4165" Type="http://schemas.openxmlformats.org/officeDocument/2006/relationships/hyperlink" Target="https://www.monotaro.com/g/00260582/" TargetMode="External"/><Relationship Id="rId4372" Type="http://schemas.openxmlformats.org/officeDocument/2006/relationships/hyperlink" Target="https://jp.misumi-ec.com/vona2/detail/110300250540/" TargetMode="External"/><Relationship Id="rId5009" Type="http://schemas.openxmlformats.org/officeDocument/2006/relationships/hyperlink" Target="https://www.mouser.jp/ProductDetail/Panasonic/ERJ-S06J101V?qs=Zyl8A9hlmJqshrwxn1wW6g%3D%3D" TargetMode="External"/><Relationship Id="rId5216" Type="http://schemas.openxmlformats.org/officeDocument/2006/relationships/hyperlink" Target="https://jp.misumi-ec.com/vona2/detail/110300250540/?ProductCode=SKNTR8" TargetMode="External"/><Relationship Id="rId1759" Type="http://schemas.openxmlformats.org/officeDocument/2006/relationships/hyperlink" Target="https://www.digikey.jp/product-detail/en/koa-speer-electronics-inc/RK73H1ETTP1000F/2019-RK73H1ETTP1000FCT-ND/9846201" TargetMode="External"/><Relationship Id="rId1966" Type="http://schemas.openxmlformats.org/officeDocument/2006/relationships/hyperlink" Target="https://www.monotaro.com/p/1135/0167/" TargetMode="External"/><Relationship Id="rId3181" Type="http://schemas.openxmlformats.org/officeDocument/2006/relationships/hyperlink" Target="https://jp.rs-online.com/web/p/oscilloscopes/2025951/?intcmp=JP-WEB-_-CP-FP9-_-MCC__0121_APAC-_-rigol-2025951" TargetMode="External"/><Relationship Id="rId4025" Type="http://schemas.openxmlformats.org/officeDocument/2006/relationships/hyperlink" Target="https://www.mouser.jp/ProductDetail/Vishay-Siliconix/SQ1922EEH-T1_GE3?qs=5aG0NVq1C4zgswHNsm2zSQ%3D%3D" TargetMode="External"/><Relationship Id="rId1619" Type="http://schemas.openxmlformats.org/officeDocument/2006/relationships/hyperlink" Target="https://jp.misumi-ec.com/vona2/detail/221006203422/?PNSearch=U-1430-01&amp;HissuCode=U-1430-01&amp;searchFlow=suggest2products&amp;Keyword=U-1430-01" TargetMode="External"/><Relationship Id="rId1826" Type="http://schemas.openxmlformats.org/officeDocument/2006/relationships/hyperlink" Target="https://jp.rs-online.com/web/p/mlccs-multilayer-ceramic-capacitors/8851774/" TargetMode="External"/><Relationship Id="rId4232" Type="http://schemas.openxmlformats.org/officeDocument/2006/relationships/hyperlink" Target="https://jp.rs-online.com/web/p/mlccs-multilayer-ceramic-capacitors/9159221" TargetMode="External"/><Relationship Id="rId3041" Type="http://schemas.openxmlformats.org/officeDocument/2006/relationships/hyperlink" Target="https://www.digikey.jp/product-detail/ja/cinch-connectivity-solutions-johnson/142-0711-301/J717-ND/691804" TargetMode="External"/><Relationship Id="rId3998" Type="http://schemas.openxmlformats.org/officeDocument/2006/relationships/hyperlink" Target="https://www.digikey.jp/products/ja?keywords=490-1014-1-ND" TargetMode="External"/><Relationship Id="rId3858" Type="http://schemas.openxmlformats.org/officeDocument/2006/relationships/hyperlink" Target="https://jp.misumi-ec.com/vona2/detail/221006204478/?HissuCode=C-307-5&amp;PNSearch=C-307-5&amp;KWSearch=C-307-5&amp;searchFlow=results2products" TargetMode="External"/><Relationship Id="rId4909" Type="http://schemas.openxmlformats.org/officeDocument/2006/relationships/hyperlink" Target="https://www.digikey.jp/ja/products/detail/amphenol-times-microwave-systems/LMR-400/9644064" TargetMode="External"/><Relationship Id="rId779" Type="http://schemas.openxmlformats.org/officeDocument/2006/relationships/hyperlink" Target="https://www.digikey.jp/product-detail/en/on-semiconductor/AX8052F143-3-TX40/AX8052F143-3-TX40OSCT-ND/9764848" TargetMode="External"/><Relationship Id="rId986" Type="http://schemas.openxmlformats.org/officeDocument/2006/relationships/hyperlink" Target="https://jp.rs-online.com/web/p/breadboard-jumper-wire-kits/7916450/" TargetMode="External"/><Relationship Id="rId2667" Type="http://schemas.openxmlformats.org/officeDocument/2006/relationships/hyperlink" Target="https://www.mouser.jp/ProductDetail/KOA-Speer/RK73B1JTTD104J?qs=%2Fha2pyFadugsLOWdTaAvHpWfy6ZtA5Z1rvA8TPd2gCNIJoJ18v8ayw%3D%3D" TargetMode="External"/><Relationship Id="rId3718" Type="http://schemas.openxmlformats.org/officeDocument/2006/relationships/hyperlink" Target="https://jp.rs-online.com/web/p/surface-mount-fixed-resistors/6790504/" TargetMode="External"/><Relationship Id="rId5073" Type="http://schemas.openxmlformats.org/officeDocument/2006/relationships/hyperlink" Target="https://jp.misumi-ec.com/vona2/detail/223004971963/?HissuCode=650S-50-10X20&amp;list=PageDetail" TargetMode="External"/><Relationship Id="rId5280" Type="http://schemas.openxmlformats.org/officeDocument/2006/relationships/hyperlink" Target="https://www.digikey.jp/ja/products/detail/texas-instruments/LMT84DCKT/3974441?s=N4IgTCBcDaIDIFkAqAOALAEQMIGkkgF0BfIA" TargetMode="External"/><Relationship Id="rId639" Type="http://schemas.openxmlformats.org/officeDocument/2006/relationships/hyperlink" Target="https://jp.misumi-ec.com/vona2/detail/110300282830/?HissuCode=BSKYUA6.7-400-200&amp;PNSearch=BSKYUA6.7-400-200&amp;KWSearch=BSKYUA6.7-400-200&amp;searchFlow=results2products" TargetMode="External"/><Relationship Id="rId1269" Type="http://schemas.openxmlformats.org/officeDocument/2006/relationships/hyperlink" Target="https://www.digikey.jp/product-detail/en/harwin-inc/M50-9021342/952-3355-ND/4953088" TargetMode="External"/><Relationship Id="rId1476" Type="http://schemas.openxmlformats.org/officeDocument/2006/relationships/hyperlink" Target="https://www.minicircuits.com/WebStore/dashboard.html?model=ADT2-1T-1P%2B" TargetMode="External"/><Relationship Id="rId2874" Type="http://schemas.openxmlformats.org/officeDocument/2006/relationships/hyperlink" Target="https://akizukidenshi.com/catalog/g/gP-00185/" TargetMode="External"/><Relationship Id="rId3925" Type="http://schemas.openxmlformats.org/officeDocument/2006/relationships/hyperlink" Target="https://akizukidenshi.com/catalog/g/gM-05840/" TargetMode="External"/><Relationship Id="rId5140" Type="http://schemas.openxmlformats.org/officeDocument/2006/relationships/hyperlink" Target="https://jp.rs-online.com/web/p/crimp-contacts/1235946" TargetMode="External"/><Relationship Id="rId846" Type="http://schemas.openxmlformats.org/officeDocument/2006/relationships/hyperlink" Target="https://jp.rs-online.com/web/p/mlccs-multilayer-ceramic-capacitors/9159211" TargetMode="External"/><Relationship Id="rId1129" Type="http://schemas.openxmlformats.org/officeDocument/2006/relationships/hyperlink" Target="https://www.monotaro.com/g/00260582/?monotaroNo=34665565" TargetMode="External"/><Relationship Id="rId1683" Type="http://schemas.openxmlformats.org/officeDocument/2006/relationships/hyperlink" Target="https://www.mouser.jp/ProductDetail/Vishay-Beyschlag/MBB02070C1002FRP00?qs=sGAEpiMZZMu61qfTUdNhG9wssamZmdp1FZUv0FhDwmc%3D" TargetMode="External"/><Relationship Id="rId1890" Type="http://schemas.openxmlformats.org/officeDocument/2006/relationships/hyperlink" Target="https://www.digikey.jp/products/en?keywords=490-14466-1-ND" TargetMode="External"/><Relationship Id="rId2527" Type="http://schemas.openxmlformats.org/officeDocument/2006/relationships/hyperlink" Target="https://jp.misumi-ec.com/vona2/detail/221006204478/?HissuCode=C-302&amp;PNSearch=C-302&amp;KWSearch=C-302&amp;searchFlow=results2products" TargetMode="External"/><Relationship Id="rId2734" Type="http://schemas.openxmlformats.org/officeDocument/2006/relationships/hyperlink" Target="https://jp.misumi-ec.com/vona2/detail/110300239250/?CategorySpec=00000217065%3a%3amig00000002462151%0900000217017%3a%3amig00000002466048%0900000217131%3a%3ab%0900000217026%3a%3aa" TargetMode="External"/><Relationship Id="rId2941" Type="http://schemas.openxmlformats.org/officeDocument/2006/relationships/hyperlink" Target="https://www.amazon.co.jp/-/en/Mitsubishi-VHR21HDSP10-Single-Recording-Single-Sided-Double-Layer/dp/B000W3UUAU/ref=sr_1_6?dchild=1&amp;keywords=dvd&amp;qid=1609139547&amp;sr=8-6" TargetMode="External"/><Relationship Id="rId5000" Type="http://schemas.openxmlformats.org/officeDocument/2006/relationships/hyperlink" Target="https://www.askul.co.jp/p/1260078/?int_id=recom_DtVar" TargetMode="External"/><Relationship Id="rId706" Type="http://schemas.openxmlformats.org/officeDocument/2006/relationships/hyperlink" Target="https://www.digikey.jp/products/en?keywords=WM8301CT-ND" TargetMode="External"/><Relationship Id="rId913" Type="http://schemas.openxmlformats.org/officeDocument/2006/relationships/hyperlink" Target="https://jp.rs-online.com/web/p/linear-voltage-regulators/7857428" TargetMode="External"/><Relationship Id="rId1336" Type="http://schemas.openxmlformats.org/officeDocument/2006/relationships/hyperlink" Target="https://www.digikey.jp/product-detail/ja/analog-devices-inc/EVAL-ADG902EBZ/EVAL-ADG902EBZ-ND/1556024" TargetMode="External"/><Relationship Id="rId1543" Type="http://schemas.openxmlformats.org/officeDocument/2006/relationships/hyperlink" Target="https://www.digikey.jp/product-detail/en/diodes-incorporated/AP7115-25SEG-7/AP7115-25SEGDICT-ND/2044560?_ga=2.79920215.173113791.1579774486-670371556.1558338406" TargetMode="External"/><Relationship Id="rId1750" Type="http://schemas.openxmlformats.org/officeDocument/2006/relationships/hyperlink" Target="https://www.monotaro.com/p/2634/4578/?t.q=PSR-210154-12" TargetMode="External"/><Relationship Id="rId2801" Type="http://schemas.openxmlformats.org/officeDocument/2006/relationships/hyperlink" Target="https://jp.misumi-ec.com/vona2/detail/110300239250/?ProductCode=SCB3-40" TargetMode="External"/><Relationship Id="rId4699" Type="http://schemas.openxmlformats.org/officeDocument/2006/relationships/hyperlink" Target="https://www.amazon.co.jp/-/en/dp/B077PPN5NN?ref=emc_p_m_5_i" TargetMode="External"/><Relationship Id="rId42" Type="http://schemas.openxmlformats.org/officeDocument/2006/relationships/hyperlink" Target="https://www.minicircuits.com/WebStore/dashboard.html?model=NCS1.5-232%2B" TargetMode="External"/><Relationship Id="rId1403" Type="http://schemas.openxmlformats.org/officeDocument/2006/relationships/hyperlink" Target="https://www.digikey.jp/product-detail/en/vishay-dale/RCWE0805R150FKEA/541-2729-1-ND/5773599" TargetMode="External"/><Relationship Id="rId1610" Type="http://schemas.openxmlformats.org/officeDocument/2006/relationships/hyperlink" Target="https://www.marutsu.co.jp/pc/i/223387/" TargetMode="External"/><Relationship Id="rId4559" Type="http://schemas.openxmlformats.org/officeDocument/2006/relationships/hyperlink" Target="https://www.digikey.jp/ja/products/detail/texas-instruments/LMT84QDCKTQ1/4271780?s=N4IgTCBcDaIDIFkAqAOALARQCIGEDSSGAjCALoC%2BQA" TargetMode="External"/><Relationship Id="rId4766" Type="http://schemas.openxmlformats.org/officeDocument/2006/relationships/hyperlink" Target="https://www.splead.jp/company.html" TargetMode="External"/><Relationship Id="rId4973" Type="http://schemas.openxmlformats.org/officeDocument/2006/relationships/hyperlink" Target="https://www.wimo.com/en/accessories/antenna-accessories/mast-pre-amplifier?product_list_limit=20" TargetMode="External"/><Relationship Id="rId3368" Type="http://schemas.openxmlformats.org/officeDocument/2006/relationships/hyperlink" Target="https://www.digikey.jp/product-detail/ja/avx-corporation/06035C104KAT2A/478-5052-1-ND/1888263" TargetMode="External"/><Relationship Id="rId3575" Type="http://schemas.openxmlformats.org/officeDocument/2006/relationships/hyperlink" Target="https://www.mouser.jp/ProductDetail/Samtec/MMS-110-01-L-SV?qs=%2Fha2pyFaduibr1eae4uMWCm1EsU5IadkrgtR0F2Q5w2hd4dopCv7gg%3D%3D" TargetMode="External"/><Relationship Id="rId3782" Type="http://schemas.openxmlformats.org/officeDocument/2006/relationships/hyperlink" Target="https://www.digikey.jp/product-detail/en/A-2014-2-4-N-T-R/AE10396-ND/2183647?itemSeq=373424816" TargetMode="External"/><Relationship Id="rId4419" Type="http://schemas.openxmlformats.org/officeDocument/2006/relationships/hyperlink" Target="https://www.digikey.jp/ja/products/detail/cinch-connectivity-solutions-aim-cambridge/29-3840/385342" TargetMode="External"/><Relationship Id="rId4626" Type="http://schemas.openxmlformats.org/officeDocument/2006/relationships/hyperlink" Target="https://www.p-ban.com/" TargetMode="External"/><Relationship Id="rId4833" Type="http://schemas.openxmlformats.org/officeDocument/2006/relationships/hyperlink" Target="https://jp.misumi-ec.com/vona2/detail/110300465870/?list=PageCategory" TargetMode="External"/><Relationship Id="rId289" Type="http://schemas.openxmlformats.org/officeDocument/2006/relationships/hyperlink" Target="https://www.digikey.jp/product-detail/en/ecs-inc/ECS-160-20-4X/X1103-ND/827594" TargetMode="External"/><Relationship Id="rId496" Type="http://schemas.openxmlformats.org/officeDocument/2006/relationships/hyperlink" Target="https://www.digikey.jp/product-detail/ja/murata-electronics-north-america/GRM1885C1H103JA01D/490-9666-1-ND/4934772" TargetMode="External"/><Relationship Id="rId2177" Type="http://schemas.openxmlformats.org/officeDocument/2006/relationships/hyperlink" Target="https://www.monotaro.com/g/00029003/" TargetMode="External"/><Relationship Id="rId2384" Type="http://schemas.openxmlformats.org/officeDocument/2006/relationships/hyperlink" Target="https://www.digikey.jp/product-detail/en/jst-sales-america-inc/PAP-04V-S/455-1488-ND/759976" TargetMode="External"/><Relationship Id="rId2591" Type="http://schemas.openxmlformats.org/officeDocument/2006/relationships/hyperlink" Target="https://www.digikey.jp/product-detail/en/koa-speer-electronics-inc/UR73VD2ATTD25L0F/2019-UR73VD2ATTD25L0FCT-ND/9847760" TargetMode="External"/><Relationship Id="rId3228" Type="http://schemas.openxmlformats.org/officeDocument/2006/relationships/hyperlink" Target="https://www.mouser.jp/ProductDetail/Yageo/RT0603BRD0727RL?qs=%2Ff7pOCXLR5edaD1Sb56XGQ%3D%3D" TargetMode="External"/><Relationship Id="rId3435" Type="http://schemas.openxmlformats.org/officeDocument/2006/relationships/hyperlink" Target="https://www.nbk1560.com/products/specialscrew/nedzicom/lowsmallheadscrew/SSHS/SSHS-M2/" TargetMode="External"/><Relationship Id="rId3642" Type="http://schemas.openxmlformats.org/officeDocument/2006/relationships/hyperlink" Target="https://www.monotaro.com/g/01213789/?t.q=PSS-210204-12" TargetMode="External"/><Relationship Id="rId149" Type="http://schemas.openxmlformats.org/officeDocument/2006/relationships/hyperlink" Target="https://www.massflow-online.com/shop/en/mass-view-flow-regulator-with-display-lowest-flow-143%3A00f3ae1202f08ec5d65742157b701e68.html" TargetMode="External"/><Relationship Id="rId356" Type="http://schemas.openxmlformats.org/officeDocument/2006/relationships/hyperlink" Target="https://www.digikey.jp/product-detail/ja/microchip-technology/ATMEGA32U4RC-AU/ATMEGA32U4RC-AU-ND/2507982" TargetMode="External"/><Relationship Id="rId563" Type="http://schemas.openxmlformats.org/officeDocument/2006/relationships/hyperlink" Target="https://www.digikey.jp/products/en?keywords=FCSL64R005DERCT-ND" TargetMode="External"/><Relationship Id="rId770" Type="http://schemas.openxmlformats.org/officeDocument/2006/relationships/hyperlink" Target="https://www.digikey.jp/product-detail/ja/hirose-electric-co-ltd/U.FL-R-SMT-01/H9161-ND/513010" TargetMode="External"/><Relationship Id="rId1193" Type="http://schemas.openxmlformats.org/officeDocument/2006/relationships/hyperlink" Target="http://akizukidenshi.com/catalog/g/gK-09421/" TargetMode="External"/><Relationship Id="rId2037" Type="http://schemas.openxmlformats.org/officeDocument/2006/relationships/hyperlink" Target="https://www.tele.soumu.go.jp/j/ref/material/feestab/" TargetMode="External"/><Relationship Id="rId2244" Type="http://schemas.openxmlformats.org/officeDocument/2006/relationships/hyperlink" Target="http://akizukidenshi.com/catalog/g/gP-13338/" TargetMode="External"/><Relationship Id="rId2451" Type="http://schemas.openxmlformats.org/officeDocument/2006/relationships/hyperlink" Target="https://www.digikey.jp/product-detail/en/molex/0510900200/23-0510900200-ND/1632891" TargetMode="External"/><Relationship Id="rId4900" Type="http://schemas.openxmlformats.org/officeDocument/2006/relationships/hyperlink" Target="https://jp.rs-online.com/web/p/development-tool-accessories/0429307?sra=pmpn" TargetMode="External"/><Relationship Id="rId216" Type="http://schemas.openxmlformats.org/officeDocument/2006/relationships/hyperlink" Target="https://www.p-ban.com/kiban/com/csComTop.do" TargetMode="External"/><Relationship Id="rId423" Type="http://schemas.openxmlformats.org/officeDocument/2006/relationships/hyperlink" Target="https://www.digikey.jp/product-detail/en/murata-electronics-north-america/LQP03TN0N6B02D/490-6707-1-ND/5802355" TargetMode="External"/><Relationship Id="rId1053" Type="http://schemas.openxmlformats.org/officeDocument/2006/relationships/hyperlink" Target="https://www.digikey.jp/products/en?keywords=LTC4361IDC-2%20%23%20TRMPBFCT-ND" TargetMode="External"/><Relationship Id="rId1260" Type="http://schemas.openxmlformats.org/officeDocument/2006/relationships/hyperlink" Targe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 TargetMode="External"/><Relationship Id="rId2104" Type="http://schemas.openxmlformats.org/officeDocument/2006/relationships/hyperlink" Target="https://jp.misumi-ec.com/vona2/detail/221006204478/?HissuCode=C-317&amp;PNSearch=C-317&amp;KWSearch=C-317&amp;searchFlow=results2products" TargetMode="External"/><Relationship Id="rId3502" Type="http://schemas.openxmlformats.org/officeDocument/2006/relationships/hyperlink" Target="https://akizukidenshi.com/catalog/g/gM-08218/" TargetMode="External"/><Relationship Id="rId630" Type="http://schemas.openxmlformats.org/officeDocument/2006/relationships/hyperlink" Target="https://www.digikey.jp/products/ja?keywords=%0936-118CT-ND" TargetMode="External"/><Relationship Id="rId2311" Type="http://schemas.openxmlformats.org/officeDocument/2006/relationships/hyperlink" Target="https://www.amazon.co.jp/gp/product/B086Y8PJSC/ref=ox_sc_act_title_1?smid=A343ZHB67WZLQ2&amp;psc=1" TargetMode="External"/><Relationship Id="rId4069" Type="http://schemas.openxmlformats.org/officeDocument/2006/relationships/hyperlink" Target="https://www.monotaro.com/g/05138356/?t.q=%E3%83%8B%E3%82%AF%E3%83%AD%E3%83%A0%E7%B7%9A" TargetMode="External"/><Relationship Id="rId1120" Type="http://schemas.openxmlformats.org/officeDocument/2006/relationships/hyperlink" Target="https://www.digikey.jp/product-detail/en/rohm-semiconductor/SP8J5FRATB/846-SP8J5FRATBCT-ND/10414084" TargetMode="External"/><Relationship Id="rId4276" Type="http://schemas.openxmlformats.org/officeDocument/2006/relationships/hyperlink" Target="mailto:ao_energy1@zeus.eonet.ne.jp" TargetMode="External"/><Relationship Id="rId4483" Type="http://schemas.openxmlformats.org/officeDocument/2006/relationships/hyperlink" Target="https://www.digikey.jp/ja/products/detail/hirose-electric-co-ltd/A3C-4DA-2DSA-71/1033019?s=N4IgTCBcDaIIIGYDCBaALAETisGDKcAFAOwCMAlCALoC%2BQA" TargetMode="External"/><Relationship Id="rId4690" Type="http://schemas.openxmlformats.org/officeDocument/2006/relationships/hyperlink" Target="https://www.mouser.jp/ProductDetail/Wurth-Elektronik/61302211021?qs=PhR8RmCirEZxdHAo9a5ENQ%3D%3D" TargetMode="External"/><Relationship Id="rId5327" Type="http://schemas.openxmlformats.org/officeDocument/2006/relationships/hyperlink" Target="https://www.digikey.jp/en/products/detail/murata-electronics/LQW2BANR12J00L/5027638" TargetMode="External"/><Relationship Id="rId1937" Type="http://schemas.openxmlformats.org/officeDocument/2006/relationships/hyperlink" Target="https://www.digikey.jp/product-detail/ja/bourns-inc/PVG3G103C01R00/490-6995-1-ND/3846192" TargetMode="External"/><Relationship Id="rId3085" Type="http://schemas.openxmlformats.org/officeDocument/2006/relationships/hyperlink" Target="https://jp.misumi-ec.com/vona2/detail/110302280540/?ProductCode=CBSTSR2-3" TargetMode="External"/><Relationship Id="rId3292" Type="http://schemas.openxmlformats.org/officeDocument/2006/relationships/hyperlink" Target="https://www.switch-science.com/catalog/3561/" TargetMode="External"/><Relationship Id="rId4136" Type="http://schemas.openxmlformats.org/officeDocument/2006/relationships/hyperlink" Target="https://www.uctronics.com/lens/m12-mount-lens/arducam-12mm-m12-lens-m2512zh03-for-usb-camera.html" TargetMode="External"/><Relationship Id="rId4343" Type="http://schemas.openxmlformats.org/officeDocument/2006/relationships/hyperlink" Target="https://jp.rs-online.com/web/p/isolated-dc-to-high-voltage-dc-converters/1238289" TargetMode="External"/><Relationship Id="rId4550" Type="http://schemas.openxmlformats.org/officeDocument/2006/relationships/hyperlink" Target="https://www.monotaro.com/p/4642/5366/" TargetMode="External"/><Relationship Id="rId3152" Type="http://schemas.openxmlformats.org/officeDocument/2006/relationships/hyperlink" Target="https://www.digikey.jp/product-detail/en/te-connectivity-amp-connectors/282837-4/A124423-ND/2187975" TargetMode="External"/><Relationship Id="rId4203" Type="http://schemas.openxmlformats.org/officeDocument/2006/relationships/hyperlink" Target="https://www.mouser.jp/ProductDetail/FCI-Amphenol/10103594-0001LF?qs=sGAEpiMZZMsvbV9l%252Bnr01LTfPs2ld635AVykRMaejgU%3D" TargetMode="External"/><Relationship Id="rId4410" Type="http://schemas.openxmlformats.org/officeDocument/2006/relationships/hyperlink" Target="https://www.monotaro.com/p/3709/9571/" TargetMode="External"/><Relationship Id="rId280" Type="http://schemas.openxmlformats.org/officeDocument/2006/relationships/hyperlink" Target="https://www.digikey.jp/product-detail/ja/pulse-electronics-network/PE-0805CM220KTT/1840-1127-1-ND/8120535" TargetMode="External"/><Relationship Id="rId3012" Type="http://schemas.openxmlformats.org/officeDocument/2006/relationships/hyperlink" Target="https://www.digikey.jp/product-detail/en/3295/1528-1787-ND/6238007/?itemSeq=351552713" TargetMode="External"/><Relationship Id="rId140" Type="http://schemas.openxmlformats.org/officeDocument/2006/relationships/hyperlink" Target="https://www.digikey.com/product-detail/en/430854-500/926-1181-ND/2269541/?itemSeq=274400485" TargetMode="External"/><Relationship Id="rId3969" Type="http://schemas.openxmlformats.org/officeDocument/2006/relationships/hyperlink" Target="https://www.monotaro.com/p/1151/6146/" TargetMode="External"/><Relationship Id="rId5184" Type="http://schemas.openxmlformats.org/officeDocument/2006/relationships/hyperlink" Target="https://mou.sr/3DUdBBW" TargetMode="External"/><Relationship Id="rId6" Type="http://schemas.openxmlformats.org/officeDocument/2006/relationships/hyperlink" Target="https://www.monotaro.com/p/5557/4618/?t.q=f-190" TargetMode="External"/><Relationship Id="rId2778" Type="http://schemas.openxmlformats.org/officeDocument/2006/relationships/hyperlink" Target="https://www.jp.omega.com/pptst/KHRA-KHLVA-KHA-SERIES.html" TargetMode="External"/><Relationship Id="rId2985" Type="http://schemas.openxmlformats.org/officeDocument/2006/relationships/hyperlink" Target="https://www.digikey.jp/product-detail/ja/kemet/C0603C471J5GACTU/399-7922-1-ND/3471645" TargetMode="External"/><Relationship Id="rId3829" Type="http://schemas.openxmlformats.org/officeDocument/2006/relationships/hyperlink" Target="https://www.isispace.nl/product/isis-magnetorquer-board/" TargetMode="External"/><Relationship Id="rId5044" Type="http://schemas.openxmlformats.org/officeDocument/2006/relationships/hyperlink" Target="https://www.mouser.jp/ProductDetail/ROHM-Semiconductor/UCR03EWPFSR024?qs=493kPxzlxfJVlPmrvprtdw%3D%3D" TargetMode="External"/><Relationship Id="rId957" Type="http://schemas.openxmlformats.org/officeDocument/2006/relationships/hyperlink" Target="https://jp.rs-online.com/web/p/products/7793068/" TargetMode="External"/><Relationship Id="rId1587" Type="http://schemas.openxmlformats.org/officeDocument/2006/relationships/hyperlink" Target="http://www.densen-store.com/products/detail.php?product_id=2510" TargetMode="External"/><Relationship Id="rId1794" Type="http://schemas.openxmlformats.org/officeDocument/2006/relationships/hyperlink" Target="https://www.digikey.jp/product-detail/ja/lite-on-inc/LTST-C171TBKT/160-1645-1-ND/573585" TargetMode="External"/><Relationship Id="rId2638" Type="http://schemas.openxmlformats.org/officeDocument/2006/relationships/hyperlink" Target="https://akizukidenshi.com/catalog/g/gC-00167/" TargetMode="External"/><Relationship Id="rId2845" Type="http://schemas.openxmlformats.org/officeDocument/2006/relationships/hyperlink" Target="https://www.digikey.jp/product-detail/en/alpha-wire/6710-WH005/6710WH005-ND/2192800" TargetMode="External"/><Relationship Id="rId5251" Type="http://schemas.openxmlformats.org/officeDocument/2006/relationships/hyperlink" Target="https://www.monotaro.com/p/0875/6307/?t.q=desoldering" TargetMode="External"/><Relationship Id="rId86" Type="http://schemas.openxmlformats.org/officeDocument/2006/relationships/hyperlink" Target="https://www.digikey.jp/product-detail/en/linear-technology-analog-devices/LT6106CS5-TRMPBF/LT6106CS5-TRMPBFCT-ND/1590293" TargetMode="External"/><Relationship Id="rId817" Type="http://schemas.openxmlformats.org/officeDocument/2006/relationships/hyperlink" Target="https://jp.rs-online.com/web/p/pcb-connector-contacts/8201456/" TargetMode="External"/><Relationship Id="rId1447" Type="http://schemas.openxmlformats.org/officeDocument/2006/relationships/hyperlink" Target="https://www.amazon.co.jp/gp/product/B005TCAQVM/ref=ox_sc_act_title_1?smid=A2XCBFGX1AIRK0&amp;psc=1" TargetMode="External"/><Relationship Id="rId1654" Type="http://schemas.openxmlformats.org/officeDocument/2006/relationships/hyperlink" Target="https://www.amazon.co.jp/3M-3D%E3%83%97%E3%83%AA%E3%83%B3%E3%82%BF%E3%83%BC%E3%83%97%E3%83%A9%E3%83%83%E3%83%88%E3%83%95%E3%82%A9%E3%83%BC%E3%83%A0%E3%82%B7%E3%83%BC%E3%83%88-3%E6%9E%9A%E5%85%A5-PLA%E5%AF%BE%E5%BF%9C-3099AB/dp/B01M11XI4Y/ref=pd_bxgy_img_2/358-6677542-2376202?_encoding=UTF8&amp;pd_rd_i=B01M11XI4Y&amp;pd_rd_r=7f6c307c-46a3-438f-acd5-3c4ededfda25&amp;pd_rd_w=ceXuB&amp;pd_rd_wg=038Cp&amp;pf_rd_p=63d0fe32-ccc0-4f51-a060-39d142be22ea&amp;pf_rd_r=5DWKZKHRE8P5SVNMF2PG&amp;psc=1&amp;refRID=5DWKZKHRE8P5SVNMF2PG" TargetMode="External"/><Relationship Id="rId1861" Type="http://schemas.openxmlformats.org/officeDocument/2006/relationships/hyperlink" Target="https://www.digikey.jp/product-detail/ja/vishay-siliconix/SQ1922EEH-T1_GE3/SQ1922EEH-T1_GE3CT-ND/7622831" TargetMode="External"/><Relationship Id="rId2705" Type="http://schemas.openxmlformats.org/officeDocument/2006/relationships/hyperlink" Target="https://www.mouser.jp/ProductDetail/Molex/50212-8000-Cut-Strip?qs=LVm7ROZMjqNrWakD077n9Q%3D%3D" TargetMode="External"/><Relationship Id="rId2912" Type="http://schemas.openxmlformats.org/officeDocument/2006/relationships/hyperlink" Target="https://jp.rs-online.com/web/p/resistor-networks-resistor-arrays/5225620/" TargetMode="External"/><Relationship Id="rId4060" Type="http://schemas.openxmlformats.org/officeDocument/2006/relationships/hyperlink" Target="https://www.mouser.jp/ProductDetail/Panasonic/ERJ-T06J153V?qs=iIVTEDlrHA03g6mmaVrbBg%3D%3D" TargetMode="External"/><Relationship Id="rId5111" Type="http://schemas.openxmlformats.org/officeDocument/2006/relationships/hyperlink" Target="https://www.mouser.jp/ProductDetail/Toshiba/SSM6K407TULF?qs=bZr6mbWTK5lPy8Mm8BrRrQ%3D%3D" TargetMode="External"/><Relationship Id="rId1307" Type="http://schemas.openxmlformats.org/officeDocument/2006/relationships/hyperlink" Target="https://www.digikey.jp/products/en?keywords=732-5334-ND" TargetMode="External"/><Relationship Id="rId1514" Type="http://schemas.openxmlformats.org/officeDocument/2006/relationships/hyperlink" Target="https://www.mouser.jp/manufacturer/sparkfun/" TargetMode="External"/><Relationship Id="rId1721" Type="http://schemas.openxmlformats.org/officeDocument/2006/relationships/hyperlink" Target="https://www.digikey.jp/products/ja?keywords=455-1325-1-ND" TargetMode="External"/><Relationship Id="rId4877" Type="http://schemas.openxmlformats.org/officeDocument/2006/relationships/hyperlink" Target="https://www.monotaro.com/p/4102/9974/?t.q=2P%81%A83P%95%CF%8A%B7%83A%83_%83v%83%5E%81i2P%83A%81%5B%83X%92%5B%8Eq%95t%82%AB%81j" TargetMode="External"/><Relationship Id="rId13" Type="http://schemas.openxmlformats.org/officeDocument/2006/relationships/hyperlink" Target="https://jp.rs-online.com/web/p/ceramic-multilayer-capacitors/8151430/?sra=pstk" TargetMode="External"/><Relationship Id="rId3479" Type="http://schemas.openxmlformats.org/officeDocument/2006/relationships/hyperlink" Target="https://www.digikey.jp/product-detail/ja/sparkfun-electronics/PRT-12795/1568-1512-ND/5993860" TargetMode="External"/><Relationship Id="rId3686" Type="http://schemas.openxmlformats.org/officeDocument/2006/relationships/hyperlink" Target="https://www.digikey.jp/products/en?keywords=%20490-1014-1-ND" TargetMode="External"/><Relationship Id="rId2288" Type="http://schemas.openxmlformats.org/officeDocument/2006/relationships/hyperlink" Target="https://www.digikey.jp/product-detail/en/lattice-semiconductor-corporation/LCMXO2-7000HE-B-EVN/220-2625-ND/3906092" TargetMode="External"/><Relationship Id="rId2495" Type="http://schemas.openxmlformats.org/officeDocument/2006/relationships/hyperlink" Target="https://jp.misumi-ec.com/vona2/detail/221006493827/?HissuCode=SNSS-M2-4-SD&amp;PNSearch=SNSS-M2-4-SD&amp;KWSearch=SNSS-M2-4-SD&amp;searchFlow=results2products" TargetMode="External"/><Relationship Id="rId3339" Type="http://schemas.openxmlformats.org/officeDocument/2006/relationships/hyperlink" Target="https://www.digikey.jp/product-detail/ja/rohm-semiconductor/DTC144EKAT146/DTC144EKAT146CT-ND/650727" TargetMode="External"/><Relationship Id="rId3893" Type="http://schemas.openxmlformats.org/officeDocument/2006/relationships/hyperlink" Target="https://www.monotaro.com/g/02476958/" TargetMode="External"/><Relationship Id="rId4737" Type="http://schemas.openxmlformats.org/officeDocument/2006/relationships/hyperlink" Target="https://www.m2inc.com/FGVHF50" TargetMode="External"/><Relationship Id="rId4944" Type="http://schemas.openxmlformats.org/officeDocument/2006/relationships/hyperlink" Target="https://www.amazon.co.jp/-/en/CM4002000/dp/B0BC9L9HPS/ref=sr_1_5?crid=1SI8EGKNMEZZ0&amp;keywords=raspberry%2Bpi%2Bcm%2B4&amp;qid=1662345632&amp;sprefix=raspberry%2Bpi%2Bcm%2Caps%2C298&amp;sr=8-5&amp;th=1" TargetMode="External"/><Relationship Id="rId467" Type="http://schemas.openxmlformats.org/officeDocument/2006/relationships/hyperlink" Target="https://www.monotaro.com/p/3324/0313/" TargetMode="External"/><Relationship Id="rId1097" Type="http://schemas.openxmlformats.org/officeDocument/2006/relationships/hyperlink" Target="https://www.digikey.jp/product-detail/ja/linear-technology-analog-devices/LTC4361IDC-1-TRMPBF/LTC4361IDC-1-TRMPBFCT-ND/2351619" TargetMode="External"/><Relationship Id="rId2148" Type="http://schemas.openxmlformats.org/officeDocument/2006/relationships/hyperlink" Target="https://jp.misumi-ec.com/vona2/detail/221000546404/?HissuCode=CSPPNP1-SUS-M2-12&amp;PNSearch=CSPPNP1-SUS-M2-12&amp;KWSearch=CSPPNP1-SUS-M2-12&amp;searchFlow=results2products" TargetMode="External"/><Relationship Id="rId3546" Type="http://schemas.openxmlformats.org/officeDocument/2006/relationships/hyperlink" Target="https://www.mouser.jp/ProductDetail/KEMET/C0805C103J5HACAUTO?qs=ds50AKTGxA9dM54VcsSd8w%3D%3D" TargetMode="External"/><Relationship Id="rId3753" Type="http://schemas.openxmlformats.org/officeDocument/2006/relationships/hyperlink" Target="https://www.digikey.jp/product-detail/ja/tensility-international-corp/30-01639/839-30-01639-1-ND/14319964" TargetMode="External"/><Relationship Id="rId3960" Type="http://schemas.openxmlformats.org/officeDocument/2006/relationships/hyperlink" Target="https://jp.misumi-ec.com/vona2/detail/221000348314/?PNSearch=SNSS-M2X5&amp;HissuCode=SNSS-M2X5&amp;searchFlow=suggest2products&amp;Keyword=SNSS-M2X5&amp;list=SuggestPreview" TargetMode="External"/><Relationship Id="rId4804" Type="http://schemas.openxmlformats.org/officeDocument/2006/relationships/hyperlink" Target="https://www.yoshimi-inc.com/" TargetMode="External"/><Relationship Id="rId674" Type="http://schemas.openxmlformats.org/officeDocument/2006/relationships/hyperlink" Target="https://www.anritsu.com/ja-JP/test-measurement/products/ma5612-series" TargetMode="External"/><Relationship Id="rId881" Type="http://schemas.openxmlformats.org/officeDocument/2006/relationships/hyperlink" Target="https://jp.rs-online.com/web/p/mlccs-multilayer-ceramic-capacitors/0147421/" TargetMode="External"/><Relationship Id="rId2355" Type="http://schemas.openxmlformats.org/officeDocument/2006/relationships/hyperlink" Target="https://hirosugi.co.jp/products/POM/C.html" TargetMode="External"/><Relationship Id="rId2562" Type="http://schemas.openxmlformats.org/officeDocument/2006/relationships/hyperlink" Target="https://www.digikey.jp/product-detail/ja/texas-instruments/DAC8563SDGSR/296-29032-1-ND/2687116" TargetMode="External"/><Relationship Id="rId3406" Type="http://schemas.openxmlformats.org/officeDocument/2006/relationships/hyperlink" Target="https://www.digikey.jp/product-detail/ja/tri-mag-llc/L6R06H-120/364-1254-ND/7682617" TargetMode="External"/><Relationship Id="rId3613" Type="http://schemas.openxmlformats.org/officeDocument/2006/relationships/hyperlink" Target="https://www.digikey.jp/product-detail/ja/texas-instruments/DAC8563SDGST/296-32089-1-ND/3505458" TargetMode="External"/><Relationship Id="rId3820" Type="http://schemas.openxmlformats.org/officeDocument/2006/relationships/hyperlink" Target="https://www.monotaro.com/p/2410/9033/" TargetMode="External"/><Relationship Id="rId327" Type="http://schemas.openxmlformats.org/officeDocument/2006/relationships/hyperlink" Target="https://www.digikey.jp/products/en/switches/tactile-switches/197?k=HP0315AFKP2&amp;k=&amp;pkeyword=HP0315AFKP2&amp;sv=0&amp;pv7=2&amp;sf=0&amp;quantity=&amp;ColumnSort=0&amp;page=1&amp;pageSize=25" TargetMode="External"/><Relationship Id="rId534" Type="http://schemas.openxmlformats.org/officeDocument/2006/relationships/hyperlink" Target="https://www.digikey.jp/products/en?keywords=W25Q32JVSSIQCT-ND" TargetMode="External"/><Relationship Id="rId741" Type="http://schemas.openxmlformats.org/officeDocument/2006/relationships/hyperlink" Target="https://www.digikey.jp/product-detail/en/linear-technology-analog-devices/LTC6906HS6-TRPBF/LTC6906HS6-TRPBFDKR-ND/9857271" TargetMode="External"/><Relationship Id="rId1164" Type="http://schemas.openxmlformats.org/officeDocument/2006/relationships/hyperlink" Target="https://jp.misumi-ec.com/vona2/detail/221006493827/?HissuCode=SNSS-M2-6-SD&amp;PNSearch=SNSS-M2-6-SD&amp;KWSearch=SNSS-M2-6-SD&amp;searchFlow=results2products" TargetMode="External"/><Relationship Id="rId1371" Type="http://schemas.openxmlformats.org/officeDocument/2006/relationships/hyperlink" Target="http://akizukidenshi.com/catalog/g/gP-06863/" TargetMode="External"/><Relationship Id="rId2008" Type="http://schemas.openxmlformats.org/officeDocument/2006/relationships/hyperlink" Target="https://www.digikey.jp/product-detail/en/te-connectivity-amp-connectors/2337822-1/A145148CT-ND/10270262" TargetMode="External"/><Relationship Id="rId2215" Type="http://schemas.openxmlformats.org/officeDocument/2006/relationships/hyperlink" Target="https://www.digikey.jp/product-detail/en/united-chemi-con/KVD250L106M55A0T00/565-4718-1-ND/6210716" TargetMode="External"/><Relationship Id="rId2422" Type="http://schemas.openxmlformats.org/officeDocument/2006/relationships/hyperlink" Target="https://www.digikey.jp/products/en?keywords=311-1448-1-ND" TargetMode="External"/><Relationship Id="rId601" Type="http://schemas.openxmlformats.org/officeDocument/2006/relationships/hyperlink" Target="https://jp.misumi-ec.com/vona2/detail/110300258940/?CategorySpec=00000217157%3a%3aa%0900000217161%3a%3aa&amp;clkid=clkid_list_template" TargetMode="External"/><Relationship Id="rId1024" Type="http://schemas.openxmlformats.org/officeDocument/2006/relationships/hyperlink" Target="https://oyaide.com/catalog/products/p-562.html" TargetMode="External"/><Relationship Id="rId1231" Type="http://schemas.openxmlformats.org/officeDocument/2006/relationships/hyperlink" Target="http://airis1.co.jp/" TargetMode="External"/><Relationship Id="rId4387" Type="http://schemas.openxmlformats.org/officeDocument/2006/relationships/hyperlink" Target="https://www.askul.co.jp/p/1260069/?int_id=recom_DtVar" TargetMode="External"/><Relationship Id="rId4594" Type="http://schemas.openxmlformats.org/officeDocument/2006/relationships/hyperlink" Target="https://akizukidenshi.com/catalog/g/gM-05840/" TargetMode="External"/><Relationship Id="rId3196" Type="http://schemas.openxmlformats.org/officeDocument/2006/relationships/hyperlink" Target="https://www.digikey.jp/product-detail/ja/texas-instruments/OPA170AIDBVR/296-39103-1-ND/5143120" TargetMode="External"/><Relationship Id="rId4247" Type="http://schemas.openxmlformats.org/officeDocument/2006/relationships/hyperlink" Target="https://www.mouser.jp/ProductDetail/KEMET/C0805C105K8RACTU?qs=Nnkldhwoc37vJEa%2FkGSWlQ==" TargetMode="External"/><Relationship Id="rId4454" Type="http://schemas.openxmlformats.org/officeDocument/2006/relationships/hyperlink" Target="https://akizukidenshi.com/catalog/g/gM-10661/" TargetMode="External"/><Relationship Id="rId4661" Type="http://schemas.openxmlformats.org/officeDocument/2006/relationships/hyperlink" Target="https://www.digikey.jp/product-detail/ja/3m/153240-2020-RB/3M5427-ND/1145342" TargetMode="External"/><Relationship Id="rId3056" Type="http://schemas.openxmlformats.org/officeDocument/2006/relationships/hyperlink" Target="https://akizukidenshi.com/catalog/g/gK-05148/" TargetMode="External"/><Relationship Id="rId3263" Type="http://schemas.openxmlformats.org/officeDocument/2006/relationships/hyperlink" Target="https://www.digikey.jp/product-detail/ja/kemet/C0603C154K5RACTU/399-9015-1-ND/3522532" TargetMode="External"/><Relationship Id="rId3470" Type="http://schemas.openxmlformats.org/officeDocument/2006/relationships/hyperlink" Target="https://www.minicircuits.com/WebStore/dashboard.html?model=NCS1.5-232%2B" TargetMode="External"/><Relationship Id="rId4107" Type="http://schemas.openxmlformats.org/officeDocument/2006/relationships/hyperlink" Target="https://jp.misumi-ec.com/vona2/detail/110300250540/?ProductCode=SLBNR3" TargetMode="External"/><Relationship Id="rId4314" Type="http://schemas.openxmlformats.org/officeDocument/2006/relationships/hyperlink" Target="https://www.anritsu.com/ja-jp/test-measurement/products/ma5612-series" TargetMode="External"/><Relationship Id="rId184" Type="http://schemas.openxmlformats.org/officeDocument/2006/relationships/hyperlink" Target="https://www.monotaro.com/g/00428191/?t.q=%8E%7E%82%DF%97%D6" TargetMode="External"/><Relationship Id="rId391" Type="http://schemas.openxmlformats.org/officeDocument/2006/relationships/hyperlink" Target="https://www.digikey.jp/product-detail/en/rohm-semiconductor/MR45V064BMAZAATL/MR45V064BMAZAATLCT-ND/8135961?cur=JPY&amp;lang=en" TargetMode="External"/><Relationship Id="rId1908" Type="http://schemas.openxmlformats.org/officeDocument/2006/relationships/hyperlink" Target="https://www.marutsu.co.jp/pc/i/1358923/" TargetMode="External"/><Relationship Id="rId2072" Type="http://schemas.openxmlformats.org/officeDocument/2006/relationships/hyperlink" Target="https://jp.misumi-ec.com/vona2/detail/221006495032/?PNSearch=SNSLG-M3-15&amp;HissuCode=SNSLG-M3-15&amp;searchFlow=suggest2products&amp;Keyword=SNSLG-M3-15" TargetMode="External"/><Relationship Id="rId3123" Type="http://schemas.openxmlformats.org/officeDocument/2006/relationships/hyperlink" Target="https://www.digikey.jp/product-detail/en/analog-devices-inc/LTC4361IDC-2-TRMPBF/LTC4361IDC-2-TRMPBFCT-ND/2351620" TargetMode="External"/><Relationship Id="rId4521" Type="http://schemas.openxmlformats.org/officeDocument/2006/relationships/hyperlink" Target="https://www.p-ban.com/" TargetMode="External"/><Relationship Id="rId251" Type="http://schemas.openxmlformats.org/officeDocument/2006/relationships/hyperlink" Target="https://www.monotaro.com/p/3108/5048/" TargetMode="External"/><Relationship Id="rId3330" Type="http://schemas.openxmlformats.org/officeDocument/2006/relationships/hyperlink" Target="https://www.shop.post.japanpost.jp/shop/g/gKT79856" TargetMode="External"/><Relationship Id="rId5088" Type="http://schemas.openxmlformats.org/officeDocument/2006/relationships/hyperlink" Target="https://jp.rs-online.com/web/p/pcb-headers/5151333" TargetMode="External"/><Relationship Id="rId2889" Type="http://schemas.openxmlformats.org/officeDocument/2006/relationships/hyperlink" Target="https://www.monotaro.com/g/00177883/" TargetMode="External"/><Relationship Id="rId5295" Type="http://schemas.openxmlformats.org/officeDocument/2006/relationships/hyperlink" Target="https://www.digikey.jp/en/products/detail/koa-speer-electronics-inc/RK73B1JTTD470J/9844711?s=N4IgTCBcDaIEoGkDsBmAQgRgFIBUcBEAWJABiwAIQBdAXyA" TargetMode="External"/><Relationship Id="rId111" Type="http://schemas.openxmlformats.org/officeDocument/2006/relationships/hyperlink" Target="http://www.cirocomm.com/en-global/products_ciro/detail/PA025AA0096" TargetMode="External"/><Relationship Id="rId1698" Type="http://schemas.openxmlformats.org/officeDocument/2006/relationships/hyperlink" Target="https://www.amazon.co.jp/dp/B00EVGT3WU/ref=cm_sw_r_tw_dp_U_x_CjqGEbN9764JX" TargetMode="External"/><Relationship Id="rId2749" Type="http://schemas.openxmlformats.org/officeDocument/2006/relationships/hyperlink" Target="https://www.monotaro.com/g/01139074/?es=1" TargetMode="External"/><Relationship Id="rId2956" Type="http://schemas.openxmlformats.org/officeDocument/2006/relationships/hyperlink" Target="https://www.digikey.jp/product-detail/ja/avx-corporation/06035C104KAT2A/478-5052-1-ND/1888263" TargetMode="External"/><Relationship Id="rId5155" Type="http://schemas.openxmlformats.org/officeDocument/2006/relationships/hyperlink" Target="https://jp.rs-online.com/web/p/through-hole-resistors/1743028" TargetMode="External"/><Relationship Id="rId5362" Type="http://schemas.openxmlformats.org/officeDocument/2006/relationships/hyperlink" Target="https://akizukidenshi.com/catalog/g/gP-03659/" TargetMode="External"/><Relationship Id="rId928" Type="http://schemas.openxmlformats.org/officeDocument/2006/relationships/hyperlink" Target="https://www.digikey.jp/product-detail/ja/amphenol-rf-division/132360/ACX1251-ND/1011928" TargetMode="External"/><Relationship Id="rId1558" Type="http://schemas.openxmlformats.org/officeDocument/2006/relationships/hyperlink" Target="https://www.digikey.jp/product-detail/en/linear-technology-analog-devices/LTC4361CTS8-2-TRMPBF/LTC4361CTS8-2-TRMPBFCT-ND/2297165?cur=JPY&amp;lang=en" TargetMode="External"/><Relationship Id="rId1765" Type="http://schemas.openxmlformats.org/officeDocument/2006/relationships/hyperlink" Target="https://www.htkazshop.com/SHOP/HTK_101911.html" TargetMode="External"/><Relationship Id="rId2609" Type="http://schemas.openxmlformats.org/officeDocument/2006/relationships/hyperlink" Target="https://www.digikey.jp/product-detail/en/toshiba-semiconductor-and-storage/SSM6K411TU-TE85LF/SSM6K411TU-TE85LFCT-ND/5298038?cur=JPY&amp;lang=en" TargetMode="External"/><Relationship Id="rId4171" Type="http://schemas.openxmlformats.org/officeDocument/2006/relationships/hyperlink" Target="https://www.mouser.jp/ProductDetail/Analog-Devices-Inc/LTC4361CDC-2TRMPBF?qs=sGAEpiMZZMsKEdP9slC0Yd2vb%2FiFB8pjnl0LwSq0GDk=" TargetMode="External"/><Relationship Id="rId5015" Type="http://schemas.openxmlformats.org/officeDocument/2006/relationships/hyperlink" Target="https://www.mouser.jp/ProductDetail/ECS/ECS-160-20-23A-TR?qs=gmcn8Ik9O3Hh%252BetsovxP4A%3D%3D" TargetMode="External"/><Relationship Id="rId5222" Type="http://schemas.openxmlformats.org/officeDocument/2006/relationships/hyperlink" Target="https://jp.misumi-ec.com/vona2/detail/110310112049/?ProductCode=C3713P-4F-BXA-NNL-76-40-10" TargetMode="External"/><Relationship Id="rId57" Type="http://schemas.openxmlformats.org/officeDocument/2006/relationships/hyperlink" Target="https://www.nbk1560.com/products/specialscrew/nedzicom/lowsmallheadscrew/SNSS-SD/" TargetMode="External"/><Relationship Id="rId1418" Type="http://schemas.openxmlformats.org/officeDocument/2006/relationships/hyperlink" Target="https://www.digikey.jp/product-detail/en/vishay-dale/CRCW080564K9FKEA/541-64.9KCCT-ND/1180990" TargetMode="External"/><Relationship Id="rId1972" Type="http://schemas.openxmlformats.org/officeDocument/2006/relationships/hyperlink" Target="http://www.p-ban.com/" TargetMode="External"/><Relationship Id="rId2816" Type="http://schemas.openxmlformats.org/officeDocument/2006/relationships/hyperlink" Target="https://hirosugi.co.jp/products/U/UUW-H_UW.html" TargetMode="External"/><Relationship Id="rId4031" Type="http://schemas.openxmlformats.org/officeDocument/2006/relationships/hyperlink" Target="https://jp.misumi-ec.com/vona2/detail/110300244240/" TargetMode="External"/><Relationship Id="rId1625" Type="http://schemas.openxmlformats.org/officeDocument/2006/relationships/hyperlink" Target="https://www.monotaro.com/brand/799/" TargetMode="External"/><Relationship Id="rId1832" Type="http://schemas.openxmlformats.org/officeDocument/2006/relationships/hyperlink" Target="https://www.digikey.jp/product-detail/en/avx-corporation/06035A6R8JAT2A/478-11823-1-ND/8573459" TargetMode="External"/><Relationship Id="rId4988" Type="http://schemas.openxmlformats.org/officeDocument/2006/relationships/hyperlink" Target="https://www.digikey.jp/ja/products/detail/kemet/C0805C101K8RAC7800/7382119" TargetMode="External"/><Relationship Id="rId3797" Type="http://schemas.openxmlformats.org/officeDocument/2006/relationships/hyperlink" Target="https://www.monotaro.com/g/01299627/?t.q=%97%7B%90%B6%83e%81%5B%83v" TargetMode="External"/><Relationship Id="rId4848" Type="http://schemas.openxmlformats.org/officeDocument/2006/relationships/hyperlink" Target="https://www.digikey.jp/en/products/detail/onsemi/NRVB120VLSFT1G/5817308?s=N4IgTCBcDaIHICUBqAhAjGADEgMgZQDEAVNEAXQF8g" TargetMode="External"/><Relationship Id="rId2399" Type="http://schemas.openxmlformats.org/officeDocument/2006/relationships/hyperlink" Target="https://www.digikey.jp/product-detail/en/murata-electronics/BLM18AG601SN1D/490-1014-1-ND/584462" TargetMode="External"/><Relationship Id="rId3657" Type="http://schemas.openxmlformats.org/officeDocument/2006/relationships/hyperlink" Target="https://www.digikey.jp/product-detail/en/johanson-technology-inc/L-07C10NJV6T/712-1407-1-ND/1840085" TargetMode="External"/><Relationship Id="rId3864" Type="http://schemas.openxmlformats.org/officeDocument/2006/relationships/hyperlink" Target="https://www.mouser.jp/ProductDetail/Panasonic/ERJ-6ENF1801V?qs=%2Fha2pyFaduiE7JbCgDNWt3j%2F4WupAyOU9kQmJECcL0RABARWmCNtXw%3D%3D" TargetMode="External"/><Relationship Id="rId4708" Type="http://schemas.openxmlformats.org/officeDocument/2006/relationships/hyperlink" Target="https://jp.rs-online.com/web/p/solid-state-relays/6996632" TargetMode="External"/><Relationship Id="rId4915" Type="http://schemas.openxmlformats.org/officeDocument/2006/relationships/hyperlink" Target="https://www.digikey.jp/ja/products/detail/analog-devices-inc/ADALM-PLUTO/6624230?s=N4IgTCBcDaIIYBM4BsC2ACADsgrgFwHsQBdAXyA" TargetMode="External"/><Relationship Id="rId578" Type="http://schemas.openxmlformats.org/officeDocument/2006/relationships/hyperlink" Target="https://www.digikey.jp/product-detail/en/microchip-technology/TN2130K1-G/TN2130K1-GCT-ND/8603363" TargetMode="External"/><Relationship Id="rId785" Type="http://schemas.openxmlformats.org/officeDocument/2006/relationships/hyperlink" Target="https://www.digikey.jp/product-detail/en/yageo/CC0805JRNPO9BN180/311-1102-1-ND/303012" TargetMode="External"/><Relationship Id="rId992" Type="http://schemas.openxmlformats.org/officeDocument/2006/relationships/hyperlink" Target="https://jp.rs-online.com/web/p/mlccs-multilayer-ceramic-capacitors/9155263/" TargetMode="External"/><Relationship Id="rId2259" Type="http://schemas.openxmlformats.org/officeDocument/2006/relationships/hyperlink" Target="https://www.monotaro.com/g/02451792/?t.q=M3%2010mm%20%8EM%82%CB%82%B6" TargetMode="External"/><Relationship Id="rId2466" Type="http://schemas.openxmlformats.org/officeDocument/2006/relationships/hyperlink" Target="https://www.digikey.jp/product-detail/ja/te-connectivity-passive-product/RP73PF1E12K4BTD/A127424CT-ND/8261390" TargetMode="External"/><Relationship Id="rId2673" Type="http://schemas.openxmlformats.org/officeDocument/2006/relationships/hyperlink" Target="https://www.mouser.jp/ProductDetail/KOA-Speer/RK73B1JTTD750J?qs=%2Fha2pyFadugsLOWdTaAvHrRKYiFYT%2FL5R3iENR0DiJ5OR4ie3VvXxw%3D%3D" TargetMode="External"/><Relationship Id="rId2880" Type="http://schemas.openxmlformats.org/officeDocument/2006/relationships/hyperlink" Target="https://www.digikey.jp/product-detail/ja/aries-electronics/LCQT-SOIC16/A886AR-ND/4754594?utm_adgroup=Adapter%2C%20Breakout%20Boards&amp;utm_source=google&amp;utm_medium=cpc&amp;utm_campaign=Shopping_Product_Prototyping%2C%20Fabrication%20Products&amp;utm_term=&amp;productid=4754594&amp;gclid=EAIaIQobChMI7JfM7MLS7QIVKMEWBR1lEA6gEAQYASABEgIPzvD_BwE" TargetMode="External"/><Relationship Id="rId3517" Type="http://schemas.openxmlformats.org/officeDocument/2006/relationships/hyperlink" Target="https://www.mouser.jp/ProductDetail/Analog-Devices/ADM7171ACPZ-33-R7?qs=%2Fha2pyFadugYl7auZr11NABM%2FXNiEBA%252BEnO1IVkjyCBLvr5eNkjlR6nNc738ZuHw" TargetMode="External"/><Relationship Id="rId3724" Type="http://schemas.openxmlformats.org/officeDocument/2006/relationships/hyperlink" Target="https://jp.rs-online.com/web/p/battery-holders-mounts/0489908/" TargetMode="External"/><Relationship Id="rId3931" Type="http://schemas.openxmlformats.org/officeDocument/2006/relationships/hyperlink" Target="https://akizukidenshi.com/catalog/g/gP-01861/" TargetMode="External"/><Relationship Id="rId438" Type="http://schemas.openxmlformats.org/officeDocument/2006/relationships/hyperlink" Target="https://www.tindie.com/products/nsayer/skytraq-venus838lpx-t-timing-gps-module-breakout/" TargetMode="External"/><Relationship Id="rId645" Type="http://schemas.openxmlformats.org/officeDocument/2006/relationships/hyperlink" Target="https://www.digikey.jp/product-detail/en/wurth-electronics-inc/61300511121/732-5318-ND/4846831" TargetMode="External"/><Relationship Id="rId852" Type="http://schemas.openxmlformats.org/officeDocument/2006/relationships/hyperlink" Target="https://jp.rs-online.com/web/p/emi-rfi-inductor-components/9164144/" TargetMode="External"/><Relationship Id="rId1068" Type="http://schemas.openxmlformats.org/officeDocument/2006/relationships/hyperlink" Target="https://www.digikey.jp/products/ja/development-boards-kits-programmers/evaluation-boards-embedded-mcu-dsp/786?k=raspberry+pi&amp;k=&amp;pkeyword=raspberry+pi&amp;sv=0&amp;pv1742=726&amp;sf=0&amp;FV=ffe00312&amp;quantity=&amp;ColumnSort=0&amp;page=1&amp;pageSize=25" TargetMode="External"/><Relationship Id="rId1275" Type="http://schemas.openxmlformats.org/officeDocument/2006/relationships/hyperlink" Target="https://jp.misumi-ec.com/vona2/detail/110300438930/?CategorySpec=00000191172%3a%3ab%0900000191181%3a%3ac&amp;clkid=clkid_list_template" TargetMode="External"/><Relationship Id="rId1482" Type="http://schemas.openxmlformats.org/officeDocument/2006/relationships/hyperlink" Target="https://www.digikey.jp/product-detail/en/3m/12226-5150-00FR/MSDR26-ND/1092158" TargetMode="External"/><Relationship Id="rId2119" Type="http://schemas.openxmlformats.org/officeDocument/2006/relationships/hyperlink" Target="https://www.askul.co.jp/p/P212709/?int_id=recom_DtVar" TargetMode="External"/><Relationship Id="rId2326" Type="http://schemas.openxmlformats.org/officeDocument/2006/relationships/hyperlink" Target="https://www.digikey.jp/product-detail/ja/lattice-semiconductor-corporation/LC4256ZE-B-EVN/220-1146-ND/2641947" TargetMode="External"/><Relationship Id="rId2533" Type="http://schemas.openxmlformats.org/officeDocument/2006/relationships/hyperlink" Target="https://www.amazon.co.jp/-/en/dp/B08LYLSXGX/ref=sr_1_15?dchild=1&amp;keywords=fixed%2Bcaster%2Bwith%2Bshock%2Babsorber&amp;qid=1604402016&amp;sr=8-15&amp;th=1" TargetMode="External"/><Relationship Id="rId2740" Type="http://schemas.openxmlformats.org/officeDocument/2006/relationships/hyperlink" Target="https://jp.misumi-ec.com/vona2/detail/110302755570/?rid=c23-series_c_cart_3_110302755570" TargetMode="External"/><Relationship Id="rId505" Type="http://schemas.openxmlformats.org/officeDocument/2006/relationships/hyperlink" Target="https://jp.rs-online.com/web/p/surface-mount-fixed-resistors/6314456/" TargetMode="External"/><Relationship Id="rId712" Type="http://schemas.openxmlformats.org/officeDocument/2006/relationships/hyperlink" Target="https://www.digikey.jp/product-detail/en/tdk-corporation/C2012X8L0J106K125AC/445-175409-1-ND/8343852" TargetMode="External"/><Relationship Id="rId1135" Type="http://schemas.openxmlformats.org/officeDocument/2006/relationships/hyperlink" Target="https://www.digikey.jp/product-detail/ja/raspberry-pi/RASPBERRY-PI-COMPUTE-BOARD/1690-1003-ND/6152802" TargetMode="External"/><Relationship Id="rId1342" Type="http://schemas.openxmlformats.org/officeDocument/2006/relationships/hyperlink" Target="https://jp.misumi-ec.com/vona2/detail/110300442340/?HissuCode=HBLFSN6-SSU" TargetMode="External"/><Relationship Id="rId4498" Type="http://schemas.openxmlformats.org/officeDocument/2006/relationships/hyperlink" Target="https://www.mouser.jp/ProductDetail/ON-Semiconductor/DTC144EET1G?qs=2OtswVQKCOGzUGumeHaiRw%3D%3D" TargetMode="External"/><Relationship Id="rId1202" Type="http://schemas.openxmlformats.org/officeDocument/2006/relationships/hyperlink" Target="https://jp.misumi-ec.com/vona2/detail/221006495032/?HissuCode=SNSLG-M6-12&amp;PNSearch=SNSLG-M6-12&amp;KWSearch=SNSLG-M6-12&amp;searchFlow=results2products" TargetMode="External"/><Relationship Id="rId2600" Type="http://schemas.openxmlformats.org/officeDocument/2006/relationships/hyperlink" Target="https://www.digikey.jp/product-detail/en/micron-technology-inc/MT25QL01GBBB8ESF-0SIT/557-1789-ND/6622725" TargetMode="External"/><Relationship Id="rId4358" Type="http://schemas.openxmlformats.org/officeDocument/2006/relationships/hyperlink" Target="https://www.hazaiya.co.jp/item/16019.html" TargetMode="External"/><Relationship Id="rId3167" Type="http://schemas.openxmlformats.org/officeDocument/2006/relationships/hyperlink" Target="https://jp.misumi-ec.com/vona2/detail/223005035134/?PNSearch=QL200N4&amp;HissuCode=QL200N4&amp;searchFlow=suggest2products&amp;Keyword=QL200N4" TargetMode="External"/><Relationship Id="rId4565" Type="http://schemas.openxmlformats.org/officeDocument/2006/relationships/hyperlink" Target="https://www.amazon.co.jp/s?k=sd+card+32GB&amp;__mk_ja_JP=%E3%82%AB%E3%82%BF%E3%82%AB%E3%83%8A&amp;crid=3CARHSI43SUB6&amp;sprefix=sd+card+32gb%2Caps%2C216&amp;ref=nb_sb_noss" TargetMode="External"/><Relationship Id="rId4772" Type="http://schemas.openxmlformats.org/officeDocument/2006/relationships/hyperlink" Target="https://jp.misumi-ec.com/vona2/detail/110300239250/?HissuCode=SCB3-6&amp;PNSearch=SCB3-6&amp;KWSearch=SCB3-6&amp;searchFlow=results2products&amp;list=PageSearchResult" TargetMode="External"/><Relationship Id="rId295" Type="http://schemas.openxmlformats.org/officeDocument/2006/relationships/hyperlink" Target="https://www.digikey.jp/product-detail/en/sparkfun-electronics/PRT-12795/1568-1512-ND/5993860" TargetMode="External"/><Relationship Id="rId3374" Type="http://schemas.openxmlformats.org/officeDocument/2006/relationships/hyperlink" Target="https://www.digikey.jp/product-detail/ja/kemet/C0603C225K9PACTU/399-3362-1-ND/650351" TargetMode="External"/><Relationship Id="rId3581" Type="http://schemas.openxmlformats.org/officeDocument/2006/relationships/hyperlink" Target="https://www.hamamatsu.com/jp/en/product/type/S1087/index.html" TargetMode="External"/><Relationship Id="rId4218" Type="http://schemas.openxmlformats.org/officeDocument/2006/relationships/hyperlink" Target="https://www.mouser.jp/ProductDetail/KEMET/C0805C821J5GACAUTO?qs=2FIyTMJ0hNlfxj9XmdZioA%3D%3D" TargetMode="External"/><Relationship Id="rId4425" Type="http://schemas.openxmlformats.org/officeDocument/2006/relationships/hyperlink" Target="https://www.p-ban.com/" TargetMode="External"/><Relationship Id="rId4632" Type="http://schemas.openxmlformats.org/officeDocument/2006/relationships/hyperlink" Target="https://www.digikey.jp/en/products/detail/cinch-connectivity-solutions-johnson/142-0711-301/691804" TargetMode="External"/><Relationship Id="rId2183" Type="http://schemas.openxmlformats.org/officeDocument/2006/relationships/hyperlink" Target="https://www.mouser.jp/ProductDetail/Molex/50079-8000-Cut-Strip?qs=Ky1INM14uHopDqdPLPqGxQ%3D%3D" TargetMode="External"/><Relationship Id="rId2390" Type="http://schemas.openxmlformats.org/officeDocument/2006/relationships/hyperlink" Target="https://www.ni.com/ja-jp/support/model.gpib-usb-hs-.html" TargetMode="External"/><Relationship Id="rId3027" Type="http://schemas.openxmlformats.org/officeDocument/2006/relationships/hyperlink" Target="https://www.digikey.jp/products/en?keywords=311-1448-1-ND" TargetMode="External"/><Relationship Id="rId3234" Type="http://schemas.openxmlformats.org/officeDocument/2006/relationships/hyperlink" Target="https://jp.misumi-ec.com/vona2/detail/110300235320/?ProductCode=WSJE20-6-3" TargetMode="External"/><Relationship Id="rId3441" Type="http://schemas.openxmlformats.org/officeDocument/2006/relationships/hyperlink" Target="https://jp.rs-online.com/web/p/microcontrollers/1106621/?cm_mmc=JP-PPC-DS3A-_-google-_-3_JP_JP_%E5%8D%8A%E5%B0%8E%E4%BD%93_%E3%83%9E%E3%82%A4%E3%82%AF%E3%83%AD%E3%82%B3%E3%83%B3%E3%83%88%E3%83%AD%E3%83%BC%E3%83%A9_Exact-_-STMicroelectronics+-+1106621+-+STM32F446RET6-_-stm32f446ret6&amp;matchtype=e&amp;aud-828197004210:kwd-302941886796&amp;gclid=CjwKCAjwqIiFBhAHEiwANg9szpROjPQko574JAfwK6JlrbhIl96xg5nWvkdqQ5x8a1WhiJwmRW3VwxoCaWQQAvD_BwE&amp;gclsrc=aw.ds" TargetMode="External"/><Relationship Id="rId155" Type="http://schemas.openxmlformats.org/officeDocument/2006/relationships/hyperlink" Target="https://toshiba.semicon-storage.com/jp/product/mosfet/detail.TPCA8107-H.html" TargetMode="External"/><Relationship Id="rId362" Type="http://schemas.openxmlformats.org/officeDocument/2006/relationships/hyperlink" Target="https://www.digikey.jp/products/ja?keywords=490-1169-1-ND" TargetMode="External"/><Relationship Id="rId2043" Type="http://schemas.openxmlformats.org/officeDocument/2006/relationships/hyperlink" Target="https://meviy.misumi-ec.com/" TargetMode="External"/><Relationship Id="rId2250" Type="http://schemas.openxmlformats.org/officeDocument/2006/relationships/hyperlink" Target="https://www.als-japan.com/1385.html" TargetMode="External"/><Relationship Id="rId3301" Type="http://schemas.openxmlformats.org/officeDocument/2006/relationships/hyperlink" Target="https://www.mouser.jp/ProductDetail/Analog-Devices/ADRF6650-EVALZ?qs=wnTfsH77Xs4Cn7OIzo4Oow%3D%3D" TargetMode="External"/><Relationship Id="rId5199" Type="http://schemas.openxmlformats.org/officeDocument/2006/relationships/hyperlink" Target="https://akizukidenshi.com/catalog/g/gP-11431/" TargetMode="External"/><Relationship Id="rId222" Type="http://schemas.openxmlformats.org/officeDocument/2006/relationships/hyperlink" Target="https://jp.rs-online.com/web/p/products/7397957/" TargetMode="External"/><Relationship Id="rId2110" Type="http://schemas.openxmlformats.org/officeDocument/2006/relationships/hyperlink" Target="https://www.mouser.jp/ProductDetail/Hirose-Connector/DF14-30S-125C?qs=%2Fha2pyFadujJHDByw7DO9QMG5tWWHVHL8CI3%2FBogsmX9l5ibRyBvxQ%3D%3D" TargetMode="External"/><Relationship Id="rId5059" Type="http://schemas.openxmlformats.org/officeDocument/2006/relationships/hyperlink" Target="https://www.monotaro.com/p/6078/9426/" TargetMode="External"/><Relationship Id="rId5266" Type="http://schemas.openxmlformats.org/officeDocument/2006/relationships/hyperlink" Target="https://akizukidenshi.com/catalog/g/gP-13310/" TargetMode="External"/><Relationship Id="rId4075" Type="http://schemas.openxmlformats.org/officeDocument/2006/relationships/hyperlink" Target="https://www.digikey.jp/products/ja?keywords=M20-7830346" TargetMode="External"/><Relationship Id="rId4282" Type="http://schemas.openxmlformats.org/officeDocument/2006/relationships/hyperlink" Target="https://www.digikey.jp/en/products/detail/triad-magnetics/WSU075-3200/3094917?s=N4IgTCBcDa4MwHYC0BGOBOFSByAREAugL5A" TargetMode="External"/><Relationship Id="rId5126" Type="http://schemas.openxmlformats.org/officeDocument/2006/relationships/hyperlink" Target="https://www.monotaro.com/p/1134/3072/" TargetMode="External"/><Relationship Id="rId5333" Type="http://schemas.openxmlformats.org/officeDocument/2006/relationships/hyperlink" Target="https://www.digikey.jp/en/products/detail/ndk-america-inc/NX2520SA-32-000000MHZ/1128847?s=N4IgjCBcoExgrABiqAxlAZgQwDYGcBTAGhAHsoBtEAZhgAIBZACQC8QBdEgBwBcoQAqgDsAljwDyGBgSx4ArgCcCIAL4qSMSiAByADRjwYiAMoBBDiqA" TargetMode="External"/><Relationship Id="rId1669" Type="http://schemas.openxmlformats.org/officeDocument/2006/relationships/hyperlink" Target="https://www.digikey.jp/product-detail/en/L7809CD2T-TR/497-1176-1-ND/586176/?itemSeq=321330858" TargetMode="External"/><Relationship Id="rId1876" Type="http://schemas.openxmlformats.org/officeDocument/2006/relationships/hyperlink" Target="https://www.digikey.jp/product-detail/ja/kemet/C0805C106K8PACTU/399-4925-1-ND/1090920" TargetMode="External"/><Relationship Id="rId2927" Type="http://schemas.openxmlformats.org/officeDocument/2006/relationships/hyperlink" Target="https://jp.misumi-ec.com/vona2/detail/110302374340/?HissuCode=HFSFIN5-1020&amp;PNSearch=HFSFIN5-1020&amp;KWSearch=HFSFIN5%ef%bc%8d1020&amp;searchFlow=results2products" TargetMode="External"/><Relationship Id="rId3091" Type="http://schemas.openxmlformats.org/officeDocument/2006/relationships/hyperlink" Target="https://jp.misumi-ec.com/vona2/detail/221006204478/?ProductCode=C-301-5" TargetMode="External"/><Relationship Id="rId4142" Type="http://schemas.openxmlformats.org/officeDocument/2006/relationships/hyperlink" Target="https://www.digikey.jp/product-detail/ja/3m/153240-2020-RB/3M5427-ND/1145342" TargetMode="External"/><Relationship Id="rId1529" Type="http://schemas.openxmlformats.org/officeDocument/2006/relationships/hyperlink" Target="https://www.amazon.co.jp/%E3%80%90Amazon-co-jp%E9%99%90%E5%AE%9A%E3%80%91TP-Link-%E3%82%B9%E3%82%A4%E3%83%83%E3%83%81%E3%83%B3%E3%82%B0%E3%83%8F%E3%83%96-1000Mbps-%E3%83%A9%E3%82%A4%E3%83%95%E3%82%BF%E3%82%A4%E3%83%A0%E4%BF%9D%E8%A8%BC-TL-SG105V4-0/dp/B00A128S24/ref=sr_1_12?__mk_ja_JP=%E3%82%AB%E3%82%BF%E3%82%AB%E3%83%8A&amp;keywords=ethernet+router&amp;qid=1579220631&amp;sr=8-12" TargetMode="External"/><Relationship Id="rId1736" Type="http://schemas.openxmlformats.org/officeDocument/2006/relationships/hyperlink" Target="https://www.marutsu.co.jp/GoodsDetail.jsp?q=&amp;salesGoodsCode=76821&amp;shopNo=3" TargetMode="External"/><Relationship Id="rId1943" Type="http://schemas.openxmlformats.org/officeDocument/2006/relationships/hyperlink" Target="https://www.digikey.jp/product-detail/ja/hirose-electric-co-ltd/U.FL-PR-SMT2.5-1-10/H11809CT-ND/2201793" TargetMode="External"/><Relationship Id="rId28" Type="http://schemas.openxmlformats.org/officeDocument/2006/relationships/hyperlink" Target="https://jp.rs-online.com/web/p/optocouplers/4537556/?sra=pstk" TargetMode="External"/><Relationship Id="rId1803" Type="http://schemas.openxmlformats.org/officeDocument/2006/relationships/hyperlink" Target="https://jp.rs-online.com/web/p/microcontrollers/1106621/" TargetMode="External"/><Relationship Id="rId4002" Type="http://schemas.openxmlformats.org/officeDocument/2006/relationships/hyperlink" Target="https://www.digikey.jp/product-detail/ja/MT25QL512ABB8ESF-0SIT+TR/557-1987-1-ND/9673968?itemSeq=377507757" TargetMode="External"/><Relationship Id="rId4959" Type="http://schemas.openxmlformats.org/officeDocument/2006/relationships/hyperlink" Target="https://www.monotaro.com/p/4950/4614/" TargetMode="External"/><Relationship Id="rId3768" Type="http://schemas.openxmlformats.org/officeDocument/2006/relationships/hyperlink" Target="https://www.digikey.jp/product-detail/en/ERJ-6RQFR68V/P.68DCT-ND/250308?itemSeq=373417992" TargetMode="External"/><Relationship Id="rId3975" Type="http://schemas.openxmlformats.org/officeDocument/2006/relationships/hyperlink" Target="https://jp.misumi-ec.com/vona2/detail/221000551286/?KWSearch=M2%20%e3%83%8d%e3%82%b8&amp;searchFlow=results2products&amp;list=PageSearchResult" TargetMode="External"/><Relationship Id="rId4819" Type="http://schemas.openxmlformats.org/officeDocument/2006/relationships/hyperlink" Target="https://www.digikey.jp/en/products/detail/molex/0732760112/3879177?s=N4IgTCBcDaIOoFkCcBWALANgLQDkAiIAugL5A" TargetMode="External"/><Relationship Id="rId689" Type="http://schemas.openxmlformats.org/officeDocument/2006/relationships/hyperlink" Target="https://www.digikey.jp/product-detail/en/tdk-corporation/CGA3E2NP01H222J080AA/445-12399-1-ND/3954065" TargetMode="External"/><Relationship Id="rId896" Type="http://schemas.openxmlformats.org/officeDocument/2006/relationships/hyperlink" Target="https://jp.rs-online.com/web/p/mosfets/8181306/" TargetMode="External"/><Relationship Id="rId2577" Type="http://schemas.openxmlformats.org/officeDocument/2006/relationships/hyperlink" Target="https://akizukidenshi.com/catalog/g/gP-10282/" TargetMode="External"/><Relationship Id="rId2784" Type="http://schemas.openxmlformats.org/officeDocument/2006/relationships/hyperlink" Target="https://jp.rs-online.com/web/p/aluminium-capacitors/5233025/?sra=pstk" TargetMode="External"/><Relationship Id="rId3628" Type="http://schemas.openxmlformats.org/officeDocument/2006/relationships/hyperlink" Target="https://www.blueschip-store.com/parts/MT25QL01GBBB8ESF-0SIT/102061.html" TargetMode="External"/><Relationship Id="rId5190" Type="http://schemas.openxmlformats.org/officeDocument/2006/relationships/hyperlink" Target="https://jp.rs-online.com/web/p/pcb-headers/5151305" TargetMode="External"/><Relationship Id="rId549" Type="http://schemas.openxmlformats.org/officeDocument/2006/relationships/hyperlink" Target="https://www.digikey.jp/products/en?keywords=LMP7721MA%2FNOPB-ND" TargetMode="External"/><Relationship Id="rId756" Type="http://schemas.openxmlformats.org/officeDocument/2006/relationships/hyperlink" Target="https://www.digikey.jp/product-detail/ja/murata-electronics-north-america/GJM1555C1H150GB01D/490-8080-1-ND/4380366" TargetMode="External"/><Relationship Id="rId1179" Type="http://schemas.openxmlformats.org/officeDocument/2006/relationships/hyperlink" Target="https://www.digikey.jp/product-detail/ja/toshiba-semiconductor-and-storage/SSM6K411TU-TE85LF/SSM6K411TU-TE85LFCT-ND/5298038" TargetMode="External"/><Relationship Id="rId1386" Type="http://schemas.openxmlformats.org/officeDocument/2006/relationships/hyperlink" Target="https://www.digikey.jp/product-detail/en/kemet/C0805C105K8RACTU/399-1172-1-ND/411447" TargetMode="External"/><Relationship Id="rId1593" Type="http://schemas.openxmlformats.org/officeDocument/2006/relationships/hyperlink" Target="https://www.digikey.jp/product-detail/en/harwin-inc/M20-7831542/952-2834-ND/3919506" TargetMode="External"/><Relationship Id="rId2437" Type="http://schemas.openxmlformats.org/officeDocument/2006/relationships/hyperlink" Target="https://akizukidenshi.com/catalog/g/gR-08804/" TargetMode="External"/><Relationship Id="rId2991" Type="http://schemas.openxmlformats.org/officeDocument/2006/relationships/hyperlink" Target="https://www.askindex.co.jp/stock/detail/?stock_id=78359" TargetMode="External"/><Relationship Id="rId3835" Type="http://schemas.openxmlformats.org/officeDocument/2006/relationships/hyperlink" Target="https://jp.misumi-ec.com/vona2/detail/221000348314/?PNSearch=SNSS-M1.6X6&amp;HissuCode=SNSS-M1.6X6&amp;searchFlow=suggest2products&amp;Keyword=SNSS-M1.6X6" TargetMode="External"/><Relationship Id="rId5050" Type="http://schemas.openxmlformats.org/officeDocument/2006/relationships/hyperlink" Target="https://www.mouser.jp/ProductDetail/Toshiba/SSM6K407TULF?qs=bZr6mbWTK5lPy8Mm8BrRrQ%3D%3D" TargetMode="External"/><Relationship Id="rId409" Type="http://schemas.openxmlformats.org/officeDocument/2006/relationships/hyperlink" Target="https://www.digikey.jp/product-detail/ja/aries-electronics/LCQT-TSSOP28/A891AR-ND/4754599" TargetMode="External"/><Relationship Id="rId963" Type="http://schemas.openxmlformats.org/officeDocument/2006/relationships/hyperlink" Target="https://www.amazon.co.jp/%E3%82%B8%E3%82%A7%E3%83%8D%E3%83%AA%E3%83%83%E3%82%AF-PICkit3-KIT3-%E3%82%A8%E3%83%9F%E3%83%A5%E3%83%AC%E3%83%BC%E3%82%BF%E3%83%97%E3%83%AD%E3%82%B0%E3%83%A9%E3%83%9E%E3%83%BCPIC%E3%83%9E%E3%82%A4%E3%82%AF%E3%83%AD%E3%82%B3%E3%83%B3%E3%83%88%E3%83%AD%E3%83%BC%E3%83%A9%E3%83%87%E3%83%90%E3%83%83%E3%82%AC%E3%83%97%E3%83%AD%E3%82%B0%E3%83%A9%E3%83%9E/dp/B01K26W8FQ/ref=sr_1_3?__mk_ja_JP=%E3%82%AB%E3%82%BF%E3%82%AB%E3%83%8A&amp;crid=7J7ARC8LXQ3&amp;keywords=pickit3&amp;qid=1560233824&amp;s=gateway&amp;sprefix=pickit%2Caps%2C247&amp;sr=8-3" TargetMode="External"/><Relationship Id="rId1039" Type="http://schemas.openxmlformats.org/officeDocument/2006/relationships/hyperlink" Target="https://www.digikey.jp/product-detail/en/murata-electronics-north-america/GRM21BR60J107ME15L/490-13981-1-ND/6155811" TargetMode="External"/><Relationship Id="rId1246" Type="http://schemas.openxmlformats.org/officeDocument/2006/relationships/hyperlink" Target="https://www.monotaro.com/p/5031/5597/" TargetMode="External"/><Relationship Id="rId2644" Type="http://schemas.openxmlformats.org/officeDocument/2006/relationships/hyperlink" Target="https://www.monotaro.com/p/3366/0297/?t.attr_f10059=%83Z%83%8B%83t%83p%83%8F%81%5B&amp;t.attr_f4744=USB%203.1%28Type-C%29&amp;t.q=HDD" TargetMode="External"/><Relationship Id="rId2851" Type="http://schemas.openxmlformats.org/officeDocument/2006/relationships/hyperlink" Target="https://jp.misumi-ec.com/vona2/detail/222302221387/?ProductCode=LD-GFT%2FBU10" TargetMode="External"/><Relationship Id="rId3902" Type="http://schemas.openxmlformats.org/officeDocument/2006/relationships/hyperlink" Target="https://www.monotaro.com/g/04994270/?t.q=%83%89%83f%83B%83A%83X%83Q%81%5B%83W%81%400.5" TargetMode="External"/><Relationship Id="rId92" Type="http://schemas.openxmlformats.org/officeDocument/2006/relationships/hyperlink" Target="https://www.digikey.jp/product-detail/en/samsung-electro-mechanics/CL21A106KPFNNNG/1276-6456-1-ND/5958084" TargetMode="External"/><Relationship Id="rId616" Type="http://schemas.openxmlformats.org/officeDocument/2006/relationships/hyperlink" Target="https://www.digikey.jp/product-detail/en/lite-on-inc/LTST-C171KSKT/160-1428-1-ND/386802" TargetMode="External"/><Relationship Id="rId823" Type="http://schemas.openxmlformats.org/officeDocument/2006/relationships/hyperlink" Target="https://www.digikey.jp/product-detail/en/vishay-thin-film/FC0603E50R0BTBST1/FC0603-50BFCT-ND/1769793?cur=JPY&amp;lang=en" TargetMode="External"/><Relationship Id="rId1453" Type="http://schemas.openxmlformats.org/officeDocument/2006/relationships/hyperlink" Target="https://www.digikey.jp/product-detail/en/ndk-america-inc/NX2520SA-32.000000MHZ/644-1065-1-ND/1128937" TargetMode="External"/><Relationship Id="rId1660" Type="http://schemas.openxmlformats.org/officeDocument/2006/relationships/hyperlink" Target="https://www.monotaro.com/p/3579/8682/?t.q=%83v%83%89%83l%83W" TargetMode="External"/><Relationship Id="rId2504" Type="http://schemas.openxmlformats.org/officeDocument/2006/relationships/hyperlink" Target="https://jp.misumi-ec.com/vona2/detail/221000349089/?HissuCode=SSH-M3X6&amp;PNSearch=SSH-M3X6&amp;KWSearch=SSH-M3x6&amp;searchFlow=results2products" TargetMode="External"/><Relationship Id="rId2711" Type="http://schemas.openxmlformats.org/officeDocument/2006/relationships/hyperlink" Target="https://www.amazon.co.jp/1000pcs-%E7%82%AD%E7%B4%A0%E7%9A%AE%E8%86%9C%E6%8A%B5%E6%8A%97%E5%99%A8-%E6%8A%B5%E6%8A%97%E5%99%A8%E3%82%AD%E3%83%83%E3%83%88-1%CE%A9%E3%80%9C1M%CE%A9%E8%A9%B0%E3%82%81%E5%90%88%E3%82%8F%E3%81%9B-%E9%9B%BB%E5%AD%90%E9%83%A8%E5%93%81/dp/B07RB5BP9D/ref=asc_df_B07RB5BP9D/?tag=jpgo-22&amp;linkCode=df0&amp;hvadid=342480885359&amp;hvpos=&amp;hvnetw=g&amp;hvrand=12523011584631172927&amp;hvpone=&amp;hvptwo=&amp;hvqmt=&amp;hvdev=c&amp;hvdvcmdl=&amp;hvlocint=&amp;hvlocphy=1009721&amp;hvtargid=pla-809439694558&amp;psc=1" TargetMode="External"/><Relationship Id="rId1106" Type="http://schemas.openxmlformats.org/officeDocument/2006/relationships/hyperlink" Target="https://www.digikey.jp/product-detail/ja/texas-instruments/INA181A1IDBVR/296-47656-1-ND/8133025" TargetMode="External"/><Relationship Id="rId1313" Type="http://schemas.openxmlformats.org/officeDocument/2006/relationships/hyperlink" Target="https://www.digikey.jp/product-detail/en/tdk-corporation/C1608X8R1H104K080AB/445-8818-1-ND/3248223" TargetMode="External"/><Relationship Id="rId1520" Type="http://schemas.openxmlformats.org/officeDocument/2006/relationships/hyperlink" Target="https://www.digikey.jp/product-detail/ja/mikroelektronika/MIKROE-2313/1471-1969-ND/8564417" TargetMode="External"/><Relationship Id="rId4469" Type="http://schemas.openxmlformats.org/officeDocument/2006/relationships/hyperlink" Target="https://jp.rs-online.com/web/p/esd-grounding-wrist-straps-cord-sets/7989275" TargetMode="External"/><Relationship Id="rId4676" Type="http://schemas.openxmlformats.org/officeDocument/2006/relationships/hyperlink" Target="https://www.amazon.co.jp/-/en/YESKAMO-Round-Battery-Camera-Only/dp/B07STW69VV/ref=sr_1_10?crid=1GAA3UBVNFG4T&amp;keywords=%E3%82%BD%E3%83%BC%E3%83%A9%E3%83%BC%E3%83%91%E3%83%8D%E3%83%AB&amp;qid=1644909252&amp;sprefix=solar+panel%2Caps%2C318&amp;sr=8-10" TargetMode="External"/><Relationship Id="rId4883" Type="http://schemas.openxmlformats.org/officeDocument/2006/relationships/hyperlink" Target="https://jp.misumi-ec.com/vona2/detail/221006204478/?PNSearch=C-2002&amp;HissuCode=C-2002&amp;searchFlow=suggest2products&amp;Keyword=C-2002&amp;list=SuggestPreview" TargetMode="External"/><Relationship Id="rId3278" Type="http://schemas.openxmlformats.org/officeDocument/2006/relationships/hyperlink" Target="https://www.digikey.jp/product-detail/ja/texas-instruments/DAC8563SDGST/296-32089-1-ND/3505458" TargetMode="External"/><Relationship Id="rId3485" Type="http://schemas.openxmlformats.org/officeDocument/2006/relationships/hyperlink" Target="https://www.digikey.jp/product-detail/en/cui-inc/MD-60/CP-2060-ND/96916" TargetMode="External"/><Relationship Id="rId3692" Type="http://schemas.openxmlformats.org/officeDocument/2006/relationships/hyperlink" Target="https://www.digikey.jp/product-detail/en/te-connectivity-amp-connectors/5-534998-8/A32958-ND/1093029" TargetMode="External"/><Relationship Id="rId4329" Type="http://schemas.openxmlformats.org/officeDocument/2006/relationships/hyperlink" Target="https://www.digikey.jp/ja/products/detail/texas-instruments/ADS8353IPWR/5033929" TargetMode="External"/><Relationship Id="rId4536" Type="http://schemas.openxmlformats.org/officeDocument/2006/relationships/hyperlink" Target="https://www.monotaro.com/p/3051/7594/" TargetMode="External"/><Relationship Id="rId4743" Type="http://schemas.openxmlformats.org/officeDocument/2006/relationships/hyperlink" Target="https://www.m2inc.com/FG2MCP22" TargetMode="External"/><Relationship Id="rId4950" Type="http://schemas.openxmlformats.org/officeDocument/2006/relationships/hyperlink" Target="https://jp.misumi-ec.com/vona2/detail/110300244510/?HissuCode=CBSST3-5" TargetMode="External"/><Relationship Id="rId199" Type="http://schemas.openxmlformats.org/officeDocument/2006/relationships/hyperlink" Target="https://www.digikey.jp/products/en?keywords=S6104-ND" TargetMode="External"/><Relationship Id="rId2087" Type="http://schemas.openxmlformats.org/officeDocument/2006/relationships/hyperlink" Target="https://jp.misumi-ec.com/vona2/detail/221000551534/?HissuCode=SSHC-SUS-M2-16&amp;PNSearch=SSHC-SUS-M2-16&amp;KWSearch=SSHC-SUS-M2-16&amp;searchFlow=results2products" TargetMode="External"/><Relationship Id="rId2294" Type="http://schemas.openxmlformats.org/officeDocument/2006/relationships/hyperlink" Target="https://www.digikey.jp/product-detail/en/raspberry-pi/I-O-BOARD/1690-1018-ND/6605501?cur=JPY&amp;lang=en" TargetMode="External"/><Relationship Id="rId3138" Type="http://schemas.openxmlformats.org/officeDocument/2006/relationships/hyperlink" Target="https://www.digikey.jp/product-detail/en/koa-speer-electronics-inc/RK73H1JTTD1001D/2019-RK73H1JTTD1001DCT-ND/9847503" TargetMode="External"/><Relationship Id="rId3345" Type="http://schemas.openxmlformats.org/officeDocument/2006/relationships/hyperlink" Target="https://www.digikey.jp/product-detail/en/linx-technologies-inc/CONSMA001-SMD-G/CONSMA001-SMD-G-ND/4496569" TargetMode="External"/><Relationship Id="rId3552" Type="http://schemas.openxmlformats.org/officeDocument/2006/relationships/hyperlink" Target="https://www.mouser.jp/ProductDetail/Panasonic/ERJ-6ENF4532V?qs=JjxTDIFmKPQwVK3sM442Iw%3D%3D" TargetMode="External"/><Relationship Id="rId4603" Type="http://schemas.openxmlformats.org/officeDocument/2006/relationships/hyperlink" Target="https://www.askul.co.jp/p/1260069/?int_id=recom_DtVar" TargetMode="External"/><Relationship Id="rId266" Type="http://schemas.openxmlformats.org/officeDocument/2006/relationships/hyperlink" Target="https://www.monotaro.com/p/2034/4932/?t.q=PSW-360L80" TargetMode="External"/><Relationship Id="rId473" Type="http://schemas.openxmlformats.org/officeDocument/2006/relationships/hyperlink" Target="https://www.amazon.co.jp/gp/product/B07C741WW8/ref=ox_sc_act_title_5?smid=A3GY9B9316NNTO&amp;psc=1" TargetMode="External"/><Relationship Id="rId680" Type="http://schemas.openxmlformats.org/officeDocument/2006/relationships/hyperlink" Target="https://www.p-ban.com/kiban/com/csComTop.do" TargetMode="External"/><Relationship Id="rId2154" Type="http://schemas.openxmlformats.org/officeDocument/2006/relationships/hyperlink" Target="https://www.monotaro.com/p/3324/0313/?displayId=5" TargetMode="External"/><Relationship Id="rId2361" Type="http://schemas.openxmlformats.org/officeDocument/2006/relationships/hyperlink" Target="https://jp.misumi-ec.com/vona2/detail/221006204423/?HissuCode=CU-305PH&amp;PNSearch=CU-305PH&amp;KWSearch=CU-305PH&amp;searchFlow=results2products" TargetMode="External"/><Relationship Id="rId3205" Type="http://schemas.openxmlformats.org/officeDocument/2006/relationships/hyperlink" Target="https://akizukidenshi.com/catalog/g/gM-12001/" TargetMode="External"/><Relationship Id="rId3412" Type="http://schemas.openxmlformats.org/officeDocument/2006/relationships/hyperlink" Target="https://jp.misumi-ec.com/vona2/detail/110302280540/?ProductCode=CBSTSR2-3" TargetMode="External"/><Relationship Id="rId4810" Type="http://schemas.openxmlformats.org/officeDocument/2006/relationships/hyperlink" Target="https://www.digikey.jp/en/products/detail/cinch-connectivity-solutions-aim-cambridge/26-8014/3830254" TargetMode="External"/><Relationship Id="rId126" Type="http://schemas.openxmlformats.org/officeDocument/2006/relationships/hyperlink" Target="https://jp.rs-online.com/web/product/ceramic-multilayer-capacitors/1034115/" TargetMode="External"/><Relationship Id="rId333" Type="http://schemas.openxmlformats.org/officeDocument/2006/relationships/hyperlink" Target="https://jp.rs-online.com/web/p/microcontrollers/1106621/" TargetMode="External"/><Relationship Id="rId540" Type="http://schemas.openxmlformats.org/officeDocument/2006/relationships/hyperlink" Target="https://www.digikey.jp/product-detail/en/texas-instruments/TPS63020DSJR/296-36491-1-ND/4305306" TargetMode="External"/><Relationship Id="rId1170" Type="http://schemas.openxmlformats.org/officeDocument/2006/relationships/hyperlink" Target="https://jp.misumi-ec.com/vona2/detail/221000348314/?HissuCode=SNSS-M2X4" TargetMode="External"/><Relationship Id="rId2014" Type="http://schemas.openxmlformats.org/officeDocument/2006/relationships/hyperlink" Target="https://www.digikey.jp/product-detail/en/toshiba-semiconductor-and-storage/SSM6K514NU-LF/SSM6K514NULFCT-ND/6622766" TargetMode="External"/><Relationship Id="rId2221" Type="http://schemas.openxmlformats.org/officeDocument/2006/relationships/hyperlink" Target="https://item.rakuten.co.jp/ebinoie/58012c4d3ec047daaea6d34a3e096c1f/" TargetMode="External"/><Relationship Id="rId1030" Type="http://schemas.openxmlformats.org/officeDocument/2006/relationships/hyperlink" Target="https://jp.misumi-ec.com/vona2/detail/221000551286/?HissuCode=CSH-STD-M12-50&amp;PNSearch=CSH-STD-M12-50&amp;KWSearch=CSH-STD-M12-50&amp;searchFlow=results2products" TargetMode="External"/><Relationship Id="rId4186" Type="http://schemas.openxmlformats.org/officeDocument/2006/relationships/hyperlink" Target="https://www.mouser.jp/ProductDetail/KOA-Speer/TLRZ1ETTB?qs=u4fy%2FsgLU9OXExoEt1rCFw%3D%3D" TargetMode="External"/><Relationship Id="rId400" Type="http://schemas.openxmlformats.org/officeDocument/2006/relationships/hyperlink" Target="https://www.digikey.jp/product-detail/en/fox-electronics/FT5HNBPK16.0-T1/631-1071-1-ND/1024776" TargetMode="External"/><Relationship Id="rId1987" Type="http://schemas.openxmlformats.org/officeDocument/2006/relationships/hyperlink" Target="https://www.digikey.jp/products/ja/resistors/chip-resistor-surface-mount/52?k=&amp;pkeyword=&amp;sv=0&amp;pv2085=u100+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4393" Type="http://schemas.openxmlformats.org/officeDocument/2006/relationships/hyperlink" Target="https://jp.misumi-ec.com/vona2/detail/221000551286/?PNSearch=CSH-SUS-M2-4&amp;HissuCode=CSH-SUS-M2-4&amp;searchFlow=suggest2products&amp;Keyword=CSH-SUS-M2-4&amp;list=SuggestPreview" TargetMode="External"/><Relationship Id="rId5237" Type="http://schemas.openxmlformats.org/officeDocument/2006/relationships/hyperlink" Target="https://akizukidenshi.com/catalog/g/gC-08932/" TargetMode="External"/><Relationship Id="rId1847" Type="http://schemas.openxmlformats.org/officeDocument/2006/relationships/hyperlink" Target="https://www.digikey.jp/product-detail/en/koa-speer-electronics-inc/RK73H1JTTD5101F/2019-RK73H1JTTD5101FCT-ND/9846941" TargetMode="External"/><Relationship Id="rId4046" Type="http://schemas.openxmlformats.org/officeDocument/2006/relationships/hyperlink" Target="https://jp.misumi-ec.com/vona2/detail/110400191420/?ProductCode=SMA-PP-C-2.5" TargetMode="External"/><Relationship Id="rId4253" Type="http://schemas.openxmlformats.org/officeDocument/2006/relationships/hyperlink" Target="https://www.monotaro.com/p/2635/4448/" TargetMode="External"/><Relationship Id="rId4460" Type="http://schemas.openxmlformats.org/officeDocument/2006/relationships/hyperlink" Target="https://www.monotaro.com/p/2635/4256/?displayId=5" TargetMode="External"/><Relationship Id="rId5304" Type="http://schemas.openxmlformats.org/officeDocument/2006/relationships/hyperlink" Target="https://www.monotaro.com/p/3398/2875/" TargetMode="External"/><Relationship Id="rId1707" Type="http://schemas.openxmlformats.org/officeDocument/2006/relationships/hyperlink" Target="https://jp.misumi-ec.com/vona2/detail/110302683830/?CategorySpec=00000173364%3a%3aa&amp;clkid=clkid_list_template" TargetMode="External"/><Relationship Id="rId3062" Type="http://schemas.openxmlformats.org/officeDocument/2006/relationships/hyperlink" Target="https://www.digikey.jp/product-detail/ja/taiyo-yuden/JMK212BJ226MG-T/587-1305-1-ND/931082" TargetMode="External"/><Relationship Id="rId4113" Type="http://schemas.openxmlformats.org/officeDocument/2006/relationships/hyperlink" Target="https://jp.misumi-ec.com/vona2/detail/221006493827/?ProductCode=SNSS-M2-6-SD-VA" TargetMode="External"/><Relationship Id="rId4320" Type="http://schemas.openxmlformats.org/officeDocument/2006/relationships/hyperlink" Target="https://jp.rs-online.com/web/p/wire-housings-plugs/6322081/?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35313039302D30323030267365617263685F6B6579776F72645F6170703D35313039302D30323030267365617263685F636F6E6669673D3126&amp;searchHistory=%7B%22enabled%22%3Atrue%7D" TargetMode="External"/><Relationship Id="rId190" Type="http://schemas.openxmlformats.org/officeDocument/2006/relationships/hyperlink" Target="https://www.digikey.jp/products/en?keywords=399-10051-1-ND" TargetMode="External"/><Relationship Id="rId1914" Type="http://schemas.openxmlformats.org/officeDocument/2006/relationships/hyperlink" Target="https://www.marutsu.co.jp/pc/i/8619/" TargetMode="External"/><Relationship Id="rId3879" Type="http://schemas.openxmlformats.org/officeDocument/2006/relationships/hyperlink" Target="https://www.mouser.jp/ProductDetail/3M-Electronic-Solutions-Division/960104-6303-AR?qs=A%252BtsDZJT%252Bi8oD6q1TL3f0Q%3D%3D" TargetMode="External"/><Relationship Id="rId5094" Type="http://schemas.openxmlformats.org/officeDocument/2006/relationships/hyperlink" Target="https://www.mouser.jp/ProductDetail/Texas-Instruments/SN74CB3Q3305PWR?qs=mE33ZKBHyE4JAI6%2FIcDDzg%3D%3D" TargetMode="External"/><Relationship Id="rId2688" Type="http://schemas.openxmlformats.org/officeDocument/2006/relationships/hyperlink" Target="https://www.mouser.jp/ProductDetail/Analog-Devices/LTC4361IDC-2TRMPBF?qs=hVkxg5c3xu8HFOGoKycDRQ%3D%3D" TargetMode="External"/><Relationship Id="rId2895" Type="http://schemas.openxmlformats.org/officeDocument/2006/relationships/hyperlink" Target="https://akizukidenshi.com/catalog/g/gC-05779/" TargetMode="External"/><Relationship Id="rId3739" Type="http://schemas.openxmlformats.org/officeDocument/2006/relationships/hyperlink" Target="https://www.digikey.jp/product-detail/en/cinch-connectivity-solutions-johnson/134-1001-001/24-134-1001-001-ND/13905800?cur=JPY&amp;lang=en" TargetMode="External"/><Relationship Id="rId3946" Type="http://schemas.openxmlformats.org/officeDocument/2006/relationships/hyperlink" Target="https://www.edmundoptics.com/p/680nm-cwl-125mm-dia-hard-coated-od-4-10nm-bandpass-filter/30827/" TargetMode="External"/><Relationship Id="rId5161" Type="http://schemas.openxmlformats.org/officeDocument/2006/relationships/hyperlink" Target="https://www.digikey.jp/en/products/detail/texas-instruments/LM2830XMF-NOPB/1206338" TargetMode="External"/><Relationship Id="rId867" Type="http://schemas.openxmlformats.org/officeDocument/2006/relationships/hyperlink" Target="https://www.digikey.jp/products/en?keywords=237-1391-ND" TargetMode="External"/><Relationship Id="rId1497" Type="http://schemas.openxmlformats.org/officeDocument/2006/relationships/hyperlink" Target="https://www.digikey.jp/product-detail/ja/jst-sales-america-inc/SSHL-002T-P0.2/455-1606-1-ND/1642795" TargetMode="External"/><Relationship Id="rId2548" Type="http://schemas.openxmlformats.org/officeDocument/2006/relationships/hyperlink" Target="https://www.edmundoptics.com/p/80mm-f-8-rugged-blue-series-m12-imaging-lens/38861/" TargetMode="External"/><Relationship Id="rId2755" Type="http://schemas.openxmlformats.org/officeDocument/2006/relationships/hyperlink" Target="https://jp.rs-online.com/web/p/raspberry-pi/2067510/" TargetMode="External"/><Relationship Id="rId2962" Type="http://schemas.openxmlformats.org/officeDocument/2006/relationships/hyperlink" Target="https://www.digikey.jp/product-detail/en/CGA3E2NP01H100D080AA/445-12387-1-ND/3954053" TargetMode="External"/><Relationship Id="rId3806" Type="http://schemas.openxmlformats.org/officeDocument/2006/relationships/hyperlink" Target="https://akizukidenshi.com/catalog/g/gP-03472/" TargetMode="External"/><Relationship Id="rId727" Type="http://schemas.openxmlformats.org/officeDocument/2006/relationships/hyperlink" Target="https://www.digikey.jp/product-detail/ja/susumu/RL1220S-R50-F/RL12S.50FCT-ND/567351" TargetMode="External"/><Relationship Id="rId934" Type="http://schemas.openxmlformats.org/officeDocument/2006/relationships/hyperlink" Target="https://www.digikey.jp/product-detail/ja/cinch-connectivity-solutions-johnson/142-0711-301/J717-ND/691804" TargetMode="External"/><Relationship Id="rId1357" Type="http://schemas.openxmlformats.org/officeDocument/2006/relationships/hyperlink" Target="http://akizukidenshi.com/catalog/g/gC-05159/" TargetMode="External"/><Relationship Id="rId1564" Type="http://schemas.openxmlformats.org/officeDocument/2006/relationships/hyperlink" Target="https://www.digikey.jp/product-detail/en/diodes-incorporated/DMG1012T-7/DMG1012T-7DICT-ND/2181232?cur=JPY&amp;lang=en" TargetMode="External"/><Relationship Id="rId1771" Type="http://schemas.openxmlformats.org/officeDocument/2006/relationships/hyperlink" Target="https://www.digikey.jp/product-detail/ja/johanson-technology-inc/L-07C12NJV6T/712-1453-1-ND/1915232" TargetMode="External"/><Relationship Id="rId2408" Type="http://schemas.openxmlformats.org/officeDocument/2006/relationships/hyperlink" Target="https://www.digikey.jp/product-detail/ja/taica-north-america-corporation/GT-2/1880-1099-ND/8074107" TargetMode="External"/><Relationship Id="rId2615" Type="http://schemas.openxmlformats.org/officeDocument/2006/relationships/hyperlink" Target="https://www.digikey.jp/product-detail/en/diodes-incorporated/AP9101CK6-AETRG1/AP9101CK6-AETRG1DICT-ND/8545970" TargetMode="External"/><Relationship Id="rId2822" Type="http://schemas.openxmlformats.org/officeDocument/2006/relationships/hyperlink" Target="http://www.azurspace.com/images/products/0003401-01-01_DB_3G30A.pdf" TargetMode="External"/><Relationship Id="rId5021" Type="http://schemas.openxmlformats.org/officeDocument/2006/relationships/hyperlink" Target="https://www.mouser.jp/ProductDetail/Panasonic/ERJ-6ENF1801V?qs=%2Fha2pyFaduiE7JbCgDNWt3j%2F4WupAyOU9kQmJECcL0RABARWmCNtXw%3D%3D" TargetMode="External"/><Relationship Id="rId63" Type="http://schemas.openxmlformats.org/officeDocument/2006/relationships/hyperlink" Target="https://www.p-ban.com/kiban/com/csComTop.do" TargetMode="External"/><Relationship Id="rId1217" Type="http://schemas.openxmlformats.org/officeDocument/2006/relationships/hyperlink" Target="https://www.digikey.jp/product-detail/ja/linear-technology-analog-devices/LTC4361IDC-2-TRMPBF/LTC4361IDC-2-TRMPBFCT-ND/2351620" TargetMode="External"/><Relationship Id="rId1424" Type="http://schemas.openxmlformats.org/officeDocument/2006/relationships/hyperlink" Target="https://www.digikey.jp/product-detail/en/vishay-dale/CRCW0805931KFKEA/541-931KCCT-ND/1181124" TargetMode="External"/><Relationship Id="rId1631" Type="http://schemas.openxmlformats.org/officeDocument/2006/relationships/hyperlink" Target="https://www.monotaro.com/p/2554/3465/?utm_medium=cpc&amp;utm_source=Adwords&amp;utm_campaign=246-833-4061_6466659573&amp;utm_content=77481173756&amp;utm_term=_380604238305__aud-299700299220:pla-557385359696&amp;gclid=CjwKCAiAnfjyBRBxEiwA-EECLDQk7UPneFb2AqnHJL76YJS8opIyFDHUZ1Mth_RoEElooKm7RLc7bhoCUHIQAvD_BwE" TargetMode="External"/><Relationship Id="rId4787" Type="http://schemas.openxmlformats.org/officeDocument/2006/relationships/hyperlink" Target="https://www.hamradio.com/detail.cfm?pid=H0-015505" TargetMode="External"/><Relationship Id="rId4994" Type="http://schemas.openxmlformats.org/officeDocument/2006/relationships/hyperlink" Target="https://akizukidenshi.com/catalog/g/gC-05159/" TargetMode="External"/><Relationship Id="rId3389" Type="http://schemas.openxmlformats.org/officeDocument/2006/relationships/hyperlink" Target="https://www.digikey.jp/product-detail/ja/rohm-semiconductor/DTC144EKAT146/DTC144EKAT146CT-ND/650727" TargetMode="External"/><Relationship Id="rId3596" Type="http://schemas.openxmlformats.org/officeDocument/2006/relationships/hyperlink" Target="https://www.digikey.jp/product-detail/ja/arduino---bcmi-us-llc/A000005/1050-1001-ND/2638989" TargetMode="External"/><Relationship Id="rId4647" Type="http://schemas.openxmlformats.org/officeDocument/2006/relationships/hyperlink" Target="https://jp.rs-online.com/web/p/pcb-connector-housings/6322081" TargetMode="External"/><Relationship Id="rId2198" Type="http://schemas.openxmlformats.org/officeDocument/2006/relationships/hyperlink" Target="https://jp.misumi-ec.com/vona2/detail/221000349089/?ProductCode=SSHS-M2X6" TargetMode="External"/><Relationship Id="rId3249" Type="http://schemas.openxmlformats.org/officeDocument/2006/relationships/hyperlink" Target="https://www.digikey.jp/product-detail/en/bourns-inc/PVG3A203C01R00/490-2650-1-ND/666226" TargetMode="External"/><Relationship Id="rId3456" Type="http://schemas.openxmlformats.org/officeDocument/2006/relationships/hyperlink" Target="https://www.p-ban.com/kiban/com/csComTop.do" TargetMode="External"/><Relationship Id="rId4854" Type="http://schemas.openxmlformats.org/officeDocument/2006/relationships/hyperlink" Target="https://www.mouser.jp/ProductDetail/Diodes-Incorporated/PI4MSD5V9544ALEX?qs=A65YvgP4j%252BEJMPnQd0clGg%3D%3D" TargetMode="External"/><Relationship Id="rId377" Type="http://schemas.openxmlformats.org/officeDocument/2006/relationships/hyperlink" Target="https://www.digikey.jp/product-detail/en/microchip-technology/ATMEGA32U4-MUR/ATMEGA32U4-MURCT-ND/3440961" TargetMode="External"/><Relationship Id="rId584" Type="http://schemas.openxmlformats.org/officeDocument/2006/relationships/hyperlink" Target="https://www.tindie.com/products/nsayer/skytraq-venus838lpx-t-timing-gps-module-breakout/" TargetMode="External"/><Relationship Id="rId2058" Type="http://schemas.openxmlformats.org/officeDocument/2006/relationships/hyperlink" Target="https://jp.misumi-ec.com/vona2/detail/221006493827/?HissuCode=SNSS-M2-4-SD&amp;PNSearch=SNSS-M2-4-SD&amp;KWSearch=SNSS-M2-4-SD&amp;searchFlow=results2products" TargetMode="External"/><Relationship Id="rId2265" Type="http://schemas.openxmlformats.org/officeDocument/2006/relationships/hyperlink" Target="https://www.monotaro.com/g/02384991/?t.q=G50BP60" TargetMode="External"/><Relationship Id="rId3109" Type="http://schemas.openxmlformats.org/officeDocument/2006/relationships/hyperlink" Target="https://jp.misumi-ec.com/vona2/detail/221000349089/?ProductCode=SSHS-M2X8-VA" TargetMode="External"/><Relationship Id="rId3663" Type="http://schemas.openxmlformats.org/officeDocument/2006/relationships/hyperlink" Target="https://www.digikey.jp/product-detail/en/samtec-inc/MMCX-J-P-H-RA-TH1/SAM10615-ND/6561608" TargetMode="External"/><Relationship Id="rId3870" Type="http://schemas.openxmlformats.org/officeDocument/2006/relationships/hyperlink" Target="https://www.mouser.jp/ProductDetail/DIGI/XB3-24APT-J?qs=sGAEpiMZZMu3sxpa5v1qrnYAbuEa5EdP4d0tlpX788M%3D" TargetMode="External"/><Relationship Id="rId4507" Type="http://schemas.openxmlformats.org/officeDocument/2006/relationships/hyperlink" Target="https://www.mouser.jp/ProductDetail/Vision-Components/VK000454?qs=KUoIvG%2F9IlbreR%252BEX5Uhew%3D%3D" TargetMode="External"/><Relationship Id="rId4714" Type="http://schemas.openxmlformats.org/officeDocument/2006/relationships/hyperlink" Target="https://jp.misumi-ec.com/vona2/detail/221303481835/?CategorySpec=00000005920%3a%3amig00000002691645%0900000005917%3a%3amig00000002515062%0900000005923%3a%3amig00000002515066&amp;list=PageCategory" TargetMode="External"/><Relationship Id="rId4921" Type="http://schemas.openxmlformats.org/officeDocument/2006/relationships/hyperlink" Target="https://www.digikey.jp/en/products/filter/discrete-semiconductor-products/diodes-rectifiers-single/onsemi/280?s=N4IgjCBcoLQdIDGUBmBDANgZwKYBoQA3AOygBcAnAV3xAHsoBtEAFgA42QBdAgBzKggAypQCWxAOYgAvrKA" TargetMode="External"/><Relationship Id="rId237" Type="http://schemas.openxmlformats.org/officeDocument/2006/relationships/hyperlink" Target="https://www.digikey.jp/product-detail/ja/MX25L25735FMI-10G/1092-1153-ND/4211594/?itemSeq=279513779" TargetMode="External"/><Relationship Id="rId791" Type="http://schemas.openxmlformats.org/officeDocument/2006/relationships/hyperlink" Target="http://hirosugi.co.jp/products/POM/CC.html" TargetMode="External"/><Relationship Id="rId1074" Type="http://schemas.openxmlformats.org/officeDocument/2006/relationships/hyperlink" Target="https://www.digikey.jp/product-detail/en/jst-sales-america-inc/SPHD-001T-P0.5/455-1325-1-ND/608808" TargetMode="External"/><Relationship Id="rId2472" Type="http://schemas.openxmlformats.org/officeDocument/2006/relationships/hyperlink" Target="http://www.p-ban.com/" TargetMode="External"/><Relationship Id="rId3316" Type="http://schemas.openxmlformats.org/officeDocument/2006/relationships/hyperlink" Target="https://www.amazon.co.jp/-/en/sanhayato-Resistance-Replacement-Nozzle-SMX-%E2%80%93-HN5/dp/B011IJR92I/ref=sr_1_1?dchild=1&amp;keywords=%E3%82%B5%E3%83%B3%E3%83%8F%E3%83%A4%E3%83%88%E3%82%AF%E3%83%AA%E3%83%BC%E3%83%A0&amp;qid=1617877755&amp;sr=8-1" TargetMode="External"/><Relationship Id="rId3523" Type="http://schemas.openxmlformats.org/officeDocument/2006/relationships/hyperlink" Target="https://jp.rs-online.com/web/p/mlccs-multilayer-ceramic-capacitors/1843402/" TargetMode="External"/><Relationship Id="rId3730" Type="http://schemas.openxmlformats.org/officeDocument/2006/relationships/hyperlink" Target="http://www.hirosugi.com/product/standard.html" TargetMode="External"/><Relationship Id="rId444" Type="http://schemas.openxmlformats.org/officeDocument/2006/relationships/hyperlink" Target="https://jp.misumi-ec.com/vona2/detail/221000348314/?HissuCode=SNSS-M1.6X5" TargetMode="External"/><Relationship Id="rId651" Type="http://schemas.openxmlformats.org/officeDocument/2006/relationships/hyperlink" Target="https://www.digikey.jp/product-detail/en/yageo/CC0805KRX7R9BB104/311-1140-1-ND/303050" TargetMode="External"/><Relationship Id="rId1281" Type="http://schemas.openxmlformats.org/officeDocument/2006/relationships/hyperlink" Target="https://www.amazon.co.jp/gp/product/B00VUWNN74/ref=oh_aui_detailpage_o01_s00?ie=UTF8&amp;psc=1" TargetMode="External"/><Relationship Id="rId2125" Type="http://schemas.openxmlformats.org/officeDocument/2006/relationships/hyperlink" Target="https://www.marutsu.co.jp/pc/i/223387/" TargetMode="External"/><Relationship Id="rId2332" Type="http://schemas.openxmlformats.org/officeDocument/2006/relationships/hyperlink" Target="https://www.monotaro.com/g/00260582/?monotaroNo=34665565" TargetMode="External"/><Relationship Id="rId304" Type="http://schemas.openxmlformats.org/officeDocument/2006/relationships/hyperlink" Target="https://www.digikey.jp/product-detail/en/sparkfun-electronics/PRT-12796/1568-1513-ND/5993861" TargetMode="External"/><Relationship Id="rId511" Type="http://schemas.openxmlformats.org/officeDocument/2006/relationships/hyperlink" Target="https://www.p-ban.com/kiban/com/csComTop.do" TargetMode="External"/><Relationship Id="rId1141" Type="http://schemas.openxmlformats.org/officeDocument/2006/relationships/hyperlink" Target="https://www.digikey.jp/product-detail/en/ftdi-future-technology-devices-international-ltd/TTL-232R-3V3/768-1015-ND/1836393" TargetMode="External"/><Relationship Id="rId4297" Type="http://schemas.openxmlformats.org/officeDocument/2006/relationships/hyperlink" Target="https://jp.misumi-ec.com/vona2/detail/110302280540/?ProductCode=CBSTSR3-10" TargetMode="External"/><Relationship Id="rId5348" Type="http://schemas.openxmlformats.org/officeDocument/2006/relationships/hyperlink" Target="https://jp.rs-online.com/web/p/dc-dc-power-supply-modules/2525559" TargetMode="External"/><Relationship Id="rId1001" Type="http://schemas.openxmlformats.org/officeDocument/2006/relationships/hyperlink" Target="http://akizukidenshi.com/catalog/g/gP-01306/" TargetMode="External"/><Relationship Id="rId4157" Type="http://schemas.openxmlformats.org/officeDocument/2006/relationships/hyperlink" Target="https://jp.rs-online.com/web/p/mlccs-multilayer-ceramic-capacitors/8015202" TargetMode="External"/><Relationship Id="rId4364" Type="http://schemas.openxmlformats.org/officeDocument/2006/relationships/hyperlink" Target="https://www.digikey.jp/ja/products/detail/dfrobot/KIT0021/7087154?utm_adgroup=IoT&amp;utm_source=google&amp;utm_medium=cpc&amp;utm_campaign=Smart%20Shopping_Product_IoT&amp;utm_term=&amp;productid=7087154&amp;gclid=CjwKCAiArOqOBhBmEiwAsgeLmYezWG0jl4OEN8LeCz4znaIRKjp3pyIdLwahamGhMRgYT5WERlaMSxoCtIEQAvD_BwE" TargetMode="External"/><Relationship Id="rId4571" Type="http://schemas.openxmlformats.org/officeDocument/2006/relationships/hyperlink" Target="https://www.monotaro.com/p/0250/0477/?t.q=solderless%20%20%20terminals" TargetMode="External"/><Relationship Id="rId5208" Type="http://schemas.openxmlformats.org/officeDocument/2006/relationships/hyperlink" Target="https://www.chip1stop.com/view/dispDetail/DispDetail?partId=TOSH-0070617&amp;mpn=TPC8117%28TE12L%2CQ%29&amp;keyword=TPC8117" TargetMode="External"/><Relationship Id="rId1958" Type="http://schemas.openxmlformats.org/officeDocument/2006/relationships/hyperlink" Target="https://www.digikey.jp/product-detail/en/3m/12226-5150-00FR/MSDR26-ND/1092158" TargetMode="External"/><Relationship Id="rId3173" Type="http://schemas.openxmlformats.org/officeDocument/2006/relationships/hyperlink" Target="https://www.digikey.jp/products/ja/rf-if-and-rfid/attenuators/852?k=&amp;pkeyword=&amp;sv=0&amp;pv1989=0&amp;pv331=116007&amp;sf=0&amp;FV=-8%7C852&amp;quantity=&amp;ColumnSort=0&amp;page=1&amp;stock=1&amp;pageSize=25" TargetMode="External"/><Relationship Id="rId3380" Type="http://schemas.openxmlformats.org/officeDocument/2006/relationships/hyperlink" Target="https://www.digikey.jp/product-detail/ja/texas-instruments/ADS8353IPWR/296-38533-1-ND/5033929" TargetMode="External"/><Relationship Id="rId4017" Type="http://schemas.openxmlformats.org/officeDocument/2006/relationships/hyperlink" Target="https://www.digikey.jp/product-detail/ja/samtec-inc/TSW-120-24-F-D/TSW-120-24-F-D-ND/6693090" TargetMode="External"/><Relationship Id="rId4224" Type="http://schemas.openxmlformats.org/officeDocument/2006/relationships/hyperlink" Target="https://www.mouser.jp/ProductDetail/Microchip-Technology/PIC18F67J94-I-MR?qs=X98pPdo4Mrtoz2bAc5J%252B2Q%3D%3D" TargetMode="External"/><Relationship Id="rId4431" Type="http://schemas.openxmlformats.org/officeDocument/2006/relationships/hyperlink" Target="https://www.askul.co.jp/v/4230/" TargetMode="External"/><Relationship Id="rId1818" Type="http://schemas.openxmlformats.org/officeDocument/2006/relationships/hyperlink" Target="https://www.digikey.jp/products/en?keywords=%20PIC18F67J94-I%2FPT" TargetMode="External"/><Relationship Id="rId3033" Type="http://schemas.openxmlformats.org/officeDocument/2006/relationships/hyperlink" Target="https://www.digikey.jp/products/en?keywords=A3C-50DA-2DSA%20(71)" TargetMode="External"/><Relationship Id="rId3240" Type="http://schemas.openxmlformats.org/officeDocument/2006/relationships/hyperlink" Target="https://www.digikey.jp/product-detail/ja/kemet/L0805R100KPWST/399-9588-1-ND/3674050" TargetMode="External"/><Relationship Id="rId161" Type="http://schemas.openxmlformats.org/officeDocument/2006/relationships/hyperlink" Target="https://jp.rs-online.com/web/p/mosfet-transistors/0463038/" TargetMode="External"/><Relationship Id="rId2799" Type="http://schemas.openxmlformats.org/officeDocument/2006/relationships/hyperlink" Target="https://jp.misumi-ec.com/vona2/detail/221006204603/?ProductCode=CT-314" TargetMode="External"/><Relationship Id="rId3100" Type="http://schemas.openxmlformats.org/officeDocument/2006/relationships/hyperlink" Target="https://jp.misumi-ec.com/vona2/detail/110300250540/?ProductCode=SLBNR3" TargetMode="External"/><Relationship Id="rId978" Type="http://schemas.openxmlformats.org/officeDocument/2006/relationships/hyperlink" Target="https://jp.misumi-ec.com/vona2/detail/221000597545/?ProductCode=ES-M2-0.4-2D-SUS" TargetMode="External"/><Relationship Id="rId2659" Type="http://schemas.openxmlformats.org/officeDocument/2006/relationships/hyperlink" Target="https://www.digikey.jp/product-detail/en/kemet/C0603C330J3GAC7867/399-15390-1-ND/7386788" TargetMode="External"/><Relationship Id="rId2866" Type="http://schemas.openxmlformats.org/officeDocument/2006/relationships/hyperlink" Target="https://www.askul.co.jp/p/836464/" TargetMode="External"/><Relationship Id="rId3917" Type="http://schemas.openxmlformats.org/officeDocument/2006/relationships/hyperlink" Target="https://jp.misumi-ec.com/vona2/detail/222302221387/?ProductCode=LD-GFT%2FBU20" TargetMode="External"/><Relationship Id="rId5065" Type="http://schemas.openxmlformats.org/officeDocument/2006/relationships/hyperlink" Target="https://jp.misumi-ec.com/vona2/detail/110302280540/?KWSearch=%e8%b6%85%e6%a5%b5%e4%bd%8e%e9%a0%ad%e5%85%ad%e8%a7%92%e7%a9%b4%e4%bb%98%e3%83%9c%e3%83%ab%e3%83%88&amp;searchFlow=results2products&amp;relatedKeyword=1&amp;list=PageSearchResult" TargetMode="External"/><Relationship Id="rId5272" Type="http://schemas.openxmlformats.org/officeDocument/2006/relationships/hyperlink" Target="https://www.monotaro.com/p/1135/5977/" TargetMode="External"/><Relationship Id="rId838" Type="http://schemas.openxmlformats.org/officeDocument/2006/relationships/hyperlink" Target="https://www.digikey.jp/product-detail/en/jst-sales-america-inc/B10B-PASK-LF-SN/455-1825-ND/926731" TargetMode="External"/><Relationship Id="rId1468" Type="http://schemas.openxmlformats.org/officeDocument/2006/relationships/hyperlink" Target="https://www.digikey.jp/product-detail/en/yageo/RC0402FR-0710KL/311-10.0KLRCT-ND/729470" TargetMode="External"/><Relationship Id="rId1675" Type="http://schemas.openxmlformats.org/officeDocument/2006/relationships/hyperlink" Target="http://akizukidenshi.com/catalog/g/gM-03608/" TargetMode="External"/><Relationship Id="rId1882" Type="http://schemas.openxmlformats.org/officeDocument/2006/relationships/hyperlink" Target="https://www.digikey.jp/product-detail/en/yageo/RC0805FR-072M55L/311-2-55MCRCT-ND/730646" TargetMode="External"/><Relationship Id="rId2519" Type="http://schemas.openxmlformats.org/officeDocument/2006/relationships/hyperlink" Target="https://jp.misumi-ec.com/vona2/detail/221000551286/?HissuCode=CSH-ST-M2-7&amp;PNSearch=CSH-ST-M2-7&amp;KWSearch=CSH-ST-M2-7&amp;searchFlow=results2products" TargetMode="External"/><Relationship Id="rId2726" Type="http://schemas.openxmlformats.org/officeDocument/2006/relationships/hyperlink" Target="https://www.amazon.co.jp/%E3%82%B1%E3%83%B3%E3%82%AA%E3%83%BC-KENOH-24022-%E3%83%9F%E3%83%8B-%E5%85%88%E7%B4%B0%E3%83%A9%E3%82%B8%E3%82%AA%E3%83%9A%E3%83%B3%E3%83%81/dp/B00FB92PJE/ref=sr_1_6?__mk_ja_JP=%E3%82%AB%E3%82%BF%E3%82%AB%E3%83%8A&amp;crid=2ACEEIDXI6WT6&amp;dchild=1&amp;keywords=%E3%83%A9%E3%82%B8%E3%82%AA%E3%83%9A%E3%83%B3%E3%83%81&amp;qid=1605091723&amp;s=diy&amp;sprefix=%E3%83%A9%E3%82%B8%E3%82%AA%2Cdiy%2C303&amp;sr=1-6" TargetMode="External"/><Relationship Id="rId4081" Type="http://schemas.openxmlformats.org/officeDocument/2006/relationships/hyperlink" Target="https://www.digikey.jp/product-detail/en/taoglas-limited/CAB-W05/931-1343-ND/5034718" TargetMode="External"/><Relationship Id="rId5132" Type="http://schemas.openxmlformats.org/officeDocument/2006/relationships/hyperlink" Target="https://www.mouser.jp/ProductDetail/Molex/87758-0216?qs=%2Fha2pyFadug6p7sOVvUPkHBXoJLCYt8bfLNRmiRZ6Xk%3D" TargetMode="External"/><Relationship Id="rId1328" Type="http://schemas.openxmlformats.org/officeDocument/2006/relationships/hyperlink" Target="https://www.amazon.co.jp/gp/product/B07HQQTH7V/ref=ppx_yo_dt_b_asin_title_o03_s00?ie=UTF8&amp;psc=1" TargetMode="External"/><Relationship Id="rId1535" Type="http://schemas.openxmlformats.org/officeDocument/2006/relationships/hyperlink" Target="https://www.hamamatsu.com/jp/en/product/type/S1087-01/index.html" TargetMode="External"/><Relationship Id="rId2933" Type="http://schemas.openxmlformats.org/officeDocument/2006/relationships/hyperlink" Target="https://www.monotaro.com/p/3576/7094/" TargetMode="External"/><Relationship Id="rId905" Type="http://schemas.openxmlformats.org/officeDocument/2006/relationships/hyperlink" Target="https://jp.rs-online.com/web/p/surface-mount-fixed-resistors/6662222/" TargetMode="External"/><Relationship Id="rId1742" Type="http://schemas.openxmlformats.org/officeDocument/2006/relationships/hyperlink" Target="https://www.digikey.jp/product-detail/ja/cinch-connectivity-solutions-johnson/142-0711-301/J717-ND/691804" TargetMode="External"/><Relationship Id="rId4898" Type="http://schemas.openxmlformats.org/officeDocument/2006/relationships/hyperlink" Target="http://www.denka-p.co.jp/shopdetail/000000003345/" TargetMode="External"/><Relationship Id="rId34" Type="http://schemas.openxmlformats.org/officeDocument/2006/relationships/hyperlink" Target="https://jp.rs-online.com/web/p/products/1922608/" TargetMode="External"/><Relationship Id="rId1602" Type="http://schemas.openxmlformats.org/officeDocument/2006/relationships/hyperlink" Target="https://jp.misumi-ec.com/vona2/detail/221000016923/?PNSearch=T008C&amp;HissuCode=T008C&amp;searchFlow=suggest2products&amp;Keyword=T008C" TargetMode="External"/><Relationship Id="rId4758" Type="http://schemas.openxmlformats.org/officeDocument/2006/relationships/hyperlink" Target="https://www.monotaro.com/p/3954/0891/" TargetMode="External"/><Relationship Id="rId4965" Type="http://schemas.openxmlformats.org/officeDocument/2006/relationships/hyperlink" Target="https://jp.rs-online.com/web/p/hard-drives/1871682" TargetMode="External"/><Relationship Id="rId3567" Type="http://schemas.openxmlformats.org/officeDocument/2006/relationships/hyperlink" Target="https://www.mouser.jp/ProductDetail/Microchip-Technology/MCP3221A4T-E-OT?qs=%2Fha2pyFaduiyCfB0dE34T7oEL8xqwYeTmxqMomQlhRhgSQbxch49hQ%3D%3D" TargetMode="External"/><Relationship Id="rId3774" Type="http://schemas.openxmlformats.org/officeDocument/2006/relationships/hyperlink" Target="https://jp.rs-online.com/web/p/wire-housings-plugs/6889058" TargetMode="External"/><Relationship Id="rId3981" Type="http://schemas.openxmlformats.org/officeDocument/2006/relationships/hyperlink" Target="https://www.digi.com/getattachment/about-digi/environment/rohs-reach-directives/RoHS-CoC.pdf" TargetMode="External"/><Relationship Id="rId4618" Type="http://schemas.openxmlformats.org/officeDocument/2006/relationships/hyperlink" Target="https://jp.misumi-ec.com/vona2/detail/110100150760/?HissuCode=FPJL5-3&amp;PNSearch=FPJL5-3&amp;KWSearch=FPJL5-3&amp;searchFlow=results2products&amp;list=PageSearchResult" TargetMode="External"/><Relationship Id="rId4825" Type="http://schemas.openxmlformats.org/officeDocument/2006/relationships/hyperlink" Target="https://www.jameco.com/webapp/wcs/stores/servlet/ProductDisplay?storeId=10001&amp;langId=-1&amp;catalogId=10001&amp;pa=160362&amp;productId=160362" TargetMode="External"/><Relationship Id="rId488" Type="http://schemas.openxmlformats.org/officeDocument/2006/relationships/hyperlink" Target="https://jp.misumi-ec.com/vona2/detail/110302696950/?Keyword=PEEK+%E3%83%97%E3%83%AC%E3%83%BC%E3%83%88&amp;searchFlow=preview2products" TargetMode="External"/><Relationship Id="rId695" Type="http://schemas.openxmlformats.org/officeDocument/2006/relationships/hyperlink" Target="https://www.digikey.jp/product-detail/en/rohm-semiconductor/SML-E12Y8WT86/511-1588-1-ND/1641820" TargetMode="External"/><Relationship Id="rId2169" Type="http://schemas.openxmlformats.org/officeDocument/2006/relationships/hyperlink" Target="https://www.monotaro.com/g/00257431/?t.q=%83o%83i%83i%83N%83%8A%83b%83v" TargetMode="External"/><Relationship Id="rId2376" Type="http://schemas.openxmlformats.org/officeDocument/2006/relationships/hyperlink" Target="https://jp.misumi-ec.com/vona2/detail/221006493726/?rid=c14_keywsrchview_1_221006493726" TargetMode="External"/><Relationship Id="rId2583" Type="http://schemas.openxmlformats.org/officeDocument/2006/relationships/hyperlink" Target="https://www.monotaro.com/p/3954/0137/?utm_medium=cpc&amp;utm_source=Adwords&amp;utm_campaign=246-833-4061_6466659573&amp;utm_content=96539050723&amp;utm_term=_419857551518__pla-878327211808&amp;gclid=CjwKCAiAkan9BRAqEiwAP9X6UalaLBTqHtoeiw305ipue37dqpoPWC1_uhvynKXtIyHu0gluXc8AsBoCUNgQAvD_BwE" TargetMode="External"/><Relationship Id="rId2790" Type="http://schemas.openxmlformats.org/officeDocument/2006/relationships/hyperlink" Target="https://www.digikey.jp/product-detail/en/koa-speer-electronics-inc/RK73H1JTTD1502F/2019-RK73H1JTTD1502FCT-ND/9846896" TargetMode="External"/><Relationship Id="rId3427" Type="http://schemas.openxmlformats.org/officeDocument/2006/relationships/hyperlink" Target="https://www.monotaro.com/p/0993/9605/" TargetMode="External"/><Relationship Id="rId3634" Type="http://schemas.openxmlformats.org/officeDocument/2006/relationships/hyperlink" Target="https://www.digikey.jp/products/ja?keywords=587-5464-1-ND" TargetMode="External"/><Relationship Id="rId3841" Type="http://schemas.openxmlformats.org/officeDocument/2006/relationships/hyperlink" Target="http://wilco.jp/" TargetMode="External"/><Relationship Id="rId348" Type="http://schemas.openxmlformats.org/officeDocument/2006/relationships/hyperlink" Target="https://jp.rs-online.com/web/p/fpc-connectors/6702434/" TargetMode="External"/><Relationship Id="rId555" Type="http://schemas.openxmlformats.org/officeDocument/2006/relationships/hyperlink" Target="https://www.digikey.jp/product-detail/en/te-connectivity-amp-connectors/1375820-3/A99614-ND/1864916" TargetMode="External"/><Relationship Id="rId762" Type="http://schemas.openxmlformats.org/officeDocument/2006/relationships/hyperlink" Target="https://www.digikey.jp/product-detail/ja/johanson-technology-inc/L-07C15NJV6T/712-1408-1-ND/1840086" TargetMode="External"/><Relationship Id="rId1185" Type="http://schemas.openxmlformats.org/officeDocument/2006/relationships/hyperlink" Target="https://www.p-ban.com/" TargetMode="External"/><Relationship Id="rId1392" Type="http://schemas.openxmlformats.org/officeDocument/2006/relationships/hyperlink" Target="https://www.digikey.jp/product-detail/en/kemet/C0805C472K4RAC7800/399-14607-1-ND/7103899" TargetMode="External"/><Relationship Id="rId2029" Type="http://schemas.openxmlformats.org/officeDocument/2006/relationships/hyperlink" Target="https://www.digikey.jp/products/en?keywords=%09SAM1086-15-ND" TargetMode="External"/><Relationship Id="rId2236" Type="http://schemas.openxmlformats.org/officeDocument/2006/relationships/hyperlink" Target="https://www.digikey.jp/product-detail/ja/nexperia-usa-inc/PDTA144EU-115/1727-1973-1-ND/5221916" TargetMode="External"/><Relationship Id="rId2443" Type="http://schemas.openxmlformats.org/officeDocument/2006/relationships/hyperlink" Target="https://www.digikey.jp/ja/supplier-centers/memsic" TargetMode="External"/><Relationship Id="rId2650" Type="http://schemas.openxmlformats.org/officeDocument/2006/relationships/hyperlink" Target="https://www.monotaro.com/p/5714/4378/?t.attr_f1=%8E%F7%8E%89&amp;t.attr_f2=M2&amp;t.q=%83X%83y%81%5B%83T%81%5B%81%40m2" TargetMode="External"/><Relationship Id="rId3701" Type="http://schemas.openxmlformats.org/officeDocument/2006/relationships/hyperlink" Target="https://www.cqnet.co.jp/musen2/62_6808.html" TargetMode="External"/><Relationship Id="rId208" Type="http://schemas.openxmlformats.org/officeDocument/2006/relationships/hyperlink" Target="https://www.amazon.co.jp/%E3%82%A2%E3%82%A4%E3%82%B3%E3%83%A0-PS-126-%EF%BC%88%E7%84%A1%E7%B7%9A%E6%A9%9F%E7%94%A8%E5%A4%96%E9%83%A8%E9%9B%BB%E6%BA%90%EF%BC%89/dp/B005F2IV1S/ref=sr_1_1?ie=UTF8&amp;qid=1543387167&amp;sr=8-1&amp;keywords=iCOM+PS-126" TargetMode="External"/><Relationship Id="rId415" Type="http://schemas.openxmlformats.org/officeDocument/2006/relationships/hyperlink" Target="https://www.digikey.jp/product-detail/en/johanson-technology-inc/251R14S300GV4T/712-1339-1-ND/1786801" TargetMode="External"/><Relationship Id="rId622" Type="http://schemas.openxmlformats.org/officeDocument/2006/relationships/hyperlink" Target="https://www.digikey.jp/product-detail/en/nkk-switches/HP0315AFKP2-R/360-2595-1-ND/2640558" TargetMode="External"/><Relationship Id="rId1045" Type="http://schemas.openxmlformats.org/officeDocument/2006/relationships/hyperlink" Target="https://www.digikey.jp/products/en?keywords=GRPB%20122%20VWQS-RC" TargetMode="External"/><Relationship Id="rId1252" Type="http://schemas.openxmlformats.org/officeDocument/2006/relationships/hyperlink" Target="https://www.digikey.jp/product-detail/ja/panasonic-electronic-components/ERA-6AEB102V/P1.0KDACT-ND/1465947" TargetMode="External"/><Relationship Id="rId2303" Type="http://schemas.openxmlformats.org/officeDocument/2006/relationships/hyperlink" Target="https://www.amazon.co.jp/LG-32UL950-W-DisplayHDR600-Thunderbolt3%C3%972%E3%80%81HDMI%E3%80%81DP-%E3%83%94%E3%83%9C%E3%83%83%E3%83%88%E3%80%81%E9%AB%98%E3%81%95%E8%AA%BF%E7%AF%80/dp/B07HRZJ73M/ref=sr_1_1?__mk_ja_JP=%E3%82%AB%E3%82%BF%E3%82%AB%E3%83%8A&amp;dchild=1&amp;keywords=32UL950-W&amp;qid=1599812191&amp;sr=8-1" TargetMode="External"/><Relationship Id="rId2510" Type="http://schemas.openxmlformats.org/officeDocument/2006/relationships/hyperlink" Target="https://jp.misumi-ec.com/vona2/detail/221006493726/?rid=c14_keywsrchview_1_221006493726" TargetMode="External"/><Relationship Id="rId1112" Type="http://schemas.openxmlformats.org/officeDocument/2006/relationships/hyperlink" Target="https://www.p-ban.com/kiban/com/csComTop.do" TargetMode="External"/><Relationship Id="rId4268" Type="http://schemas.openxmlformats.org/officeDocument/2006/relationships/hyperlink" Target="https://www.mouser.jp/ProductDetail/FTDI/USB-RS232-WE-1800-BT_33?qs=%2Fha2pyFaduh%2F6a%252B%252Bjlll1rf8hqJpmSw%2FEa%252BzFOoTKQA5zGs0Xv2%2FRnhQIHRVIjYZ" TargetMode="External"/><Relationship Id="rId4475" Type="http://schemas.openxmlformats.org/officeDocument/2006/relationships/hyperlink" Target="https://www.amazon.co.jp/-/en/Transceiver-Operation-Earthquake-Emergency-Compatible/dp/B0863H5TN3/ref=sr_1_7?keywords=uv-5r&amp;qid=1645608815&amp;sr=8-7" TargetMode="External"/><Relationship Id="rId5319" Type="http://schemas.openxmlformats.org/officeDocument/2006/relationships/hyperlink" Target="https://www.digikey.jp/en/products/detail/skyworks-solutions-inc/SKY13446-374LF/5214218?s=N4IgTCBcDaIMoGkCaBGAzAFgwNhAXQF8g" TargetMode="External"/><Relationship Id="rId3077" Type="http://schemas.openxmlformats.org/officeDocument/2006/relationships/hyperlink" Target="https://www.amazon.co.jp/Intel-Neural-Compute-Stick-%E3%83%87%E3%82%A3%E3%83%BC%E3%83%97%E3%83%A9%E3%83%BC%E3%83%8B%E3%83%B3%E3%82%B0/dp/B07KT6361R/ref=asc_df_B07KT6361R/?tag=jpgo-22&amp;linkCode=df0&amp;hvadid=280454830493&amp;hvpos=&amp;hvnetw=g&amp;hvrand=14116785203870472872&amp;hvpone=&amp;hvptwo=&amp;hvqmt=&amp;hvdev=c&amp;hvdvcmdl=&amp;hvlocint=&amp;hvlocphy=1009721&amp;hvtargid=pla-628439506973&amp;psc=1" TargetMode="External"/><Relationship Id="rId3284" Type="http://schemas.openxmlformats.org/officeDocument/2006/relationships/hyperlink" Target="https://www.digikey.jp/product-detail/ja/analog-devices-inc/LTC4361HDC-2-TRMPBF/LTC4361HDC-2-TRMPBFCT-ND/5114546" TargetMode="External"/><Relationship Id="rId4128" Type="http://schemas.openxmlformats.org/officeDocument/2006/relationships/hyperlink" Target="https://www.digikey.jp/product-detail/ja/samtec-inc/FTSH-105-01-F-D/SAM9430-ND/6678167" TargetMode="External"/><Relationship Id="rId4682" Type="http://schemas.openxmlformats.org/officeDocument/2006/relationships/hyperlink" Target="https://www.mouser.jp/ProductDetail/Panasonic/ERJ-S06J101V?qs=Zyl8A9hlmJqshrwxn1wW6g%3D%3D" TargetMode="External"/><Relationship Id="rId1929" Type="http://schemas.openxmlformats.org/officeDocument/2006/relationships/hyperlink" Target="https://www.digikey.jp/product-detail/en/harwin-inc/S8101-46R/952-1576-1-ND/2281834" TargetMode="External"/><Relationship Id="rId2093" Type="http://schemas.openxmlformats.org/officeDocument/2006/relationships/hyperlink" Target="https://jp.misumi-ec.com/vona2/detail/221006202421/?CategorySpec=00000229506%3a%3aa%0900000228850%3a%3amig00000002491038%0900000228545%3a%3ab" TargetMode="External"/><Relationship Id="rId3491" Type="http://schemas.openxmlformats.org/officeDocument/2006/relationships/hyperlink" Target="https://axel.as-1.co.jp/asone/d/63-3109-34/" TargetMode="External"/><Relationship Id="rId4335" Type="http://schemas.openxmlformats.org/officeDocument/2006/relationships/hyperlink" Target="https://www.monotaro.com/g/01366222/?t.q=%E3%82%AB%E3%83%97%E3%83%88%E3%83%B3%E3%83%86%E3%83%BC%E3%83%97" TargetMode="External"/><Relationship Id="rId4542" Type="http://schemas.openxmlformats.org/officeDocument/2006/relationships/hyperlink" Target="https://akizukidenshi.com/catalog/g/gM-04012/" TargetMode="External"/><Relationship Id="rId3144" Type="http://schemas.openxmlformats.org/officeDocument/2006/relationships/hyperlink" Target="https://www.digikey.jp/product-detail/en/on-semiconductor/FXMA108BQX/FXMA108BQXFSCT-ND/2287325" TargetMode="External"/><Relationship Id="rId3351" Type="http://schemas.openxmlformats.org/officeDocument/2006/relationships/hyperlink" Target="https://www.digikey.jp/product-detail/en/CC0805JRNPO9BN621/311-4242-1-ND/8025331/?itemSeq=351552382" TargetMode="External"/><Relationship Id="rId4402" Type="http://schemas.openxmlformats.org/officeDocument/2006/relationships/hyperlink" Target="https://jp.misumi-ec.com/vona2/detail/110302280540/?PNSearch=CBSTSR2.5-6&amp;HissuCode=CBSTSR2.5-6&amp;searchFlow=suggesthistory&amp;Keyword=CBSTSR2.5-6&amp;list=SuggestPreview" TargetMode="External"/><Relationship Id="rId272" Type="http://schemas.openxmlformats.org/officeDocument/2006/relationships/hyperlink" Target="https://www.digikey.jp/product-detail/ja/fox-electronics/FC4SDCBMM8.0-T1/631-1399-1-ND/4862601" TargetMode="External"/><Relationship Id="rId2160" Type="http://schemas.openxmlformats.org/officeDocument/2006/relationships/hyperlink" Target="https://www.monotaro.com/p/5225/3426/" TargetMode="External"/><Relationship Id="rId3004" Type="http://schemas.openxmlformats.org/officeDocument/2006/relationships/hyperlink" Target="https://www.digikey.jp/product-detail/en/linx-technologies-inc/CONSMA001-SMD-G/CONSMA001-SMD-G-ND/4496569" TargetMode="External"/><Relationship Id="rId3211" Type="http://schemas.openxmlformats.org/officeDocument/2006/relationships/hyperlink" Target="https://akizukidenshi.com/catalog/g/gP-01864/" TargetMode="External"/><Relationship Id="rId132" Type="http://schemas.openxmlformats.org/officeDocument/2006/relationships/hyperlink" Target="https://jp.rs-online.com/web/p/terminal-posts/6459414/" TargetMode="External"/><Relationship Id="rId2020" Type="http://schemas.openxmlformats.org/officeDocument/2006/relationships/hyperlink" Target="https://www.mouser.jp/ProductDetail/NorComp/858-X08-103RLS4?qs=%2Fha2pyFaduhU3UdubYYxR3EvS0fF8DOVY0DkxljFEUQGsB22c4Ok1w%3D%3D" TargetMode="External"/><Relationship Id="rId5176" Type="http://schemas.openxmlformats.org/officeDocument/2006/relationships/hyperlink" Target="https://www.digikey.jp/en/products/detail/rohm-semiconductor/DTC144EKAT146/650533" TargetMode="External"/><Relationship Id="rId1579" Type="http://schemas.openxmlformats.org/officeDocument/2006/relationships/hyperlink" Target="https://jp.misumi-ec.com/vona2/detail/221000551444/?KWSearch=%e6%a8%b9%e8%84%82%e3%83%9c%e3%83%ab%e3%83%88&amp;searchFlow=results2products" TargetMode="External"/><Relationship Id="rId2977" Type="http://schemas.openxmlformats.org/officeDocument/2006/relationships/hyperlink" Target="https://www.digikey.jp/ja/supplier-centers/recom-power" TargetMode="External"/><Relationship Id="rId4192" Type="http://schemas.openxmlformats.org/officeDocument/2006/relationships/hyperlink" Target="https://www.mouser.jp/ProductDetail/Panasonic/ERJ-S06J103V?qs=Zyl8A9hlmJqKI11OB00qpA%3D%3D" TargetMode="External"/><Relationship Id="rId5036" Type="http://schemas.openxmlformats.org/officeDocument/2006/relationships/hyperlink" Target="https://www.mouser.jp/ProductDetail/YAGEO/CC0603KRX7R7BB224?qs=AgBp2OyFlx8P2PCI15vyCA%3D%3D" TargetMode="External"/><Relationship Id="rId5243" Type="http://schemas.openxmlformats.org/officeDocument/2006/relationships/hyperlink" Target="https://www.digikey.jp/en/products/detail/molex/5013300700/1531504?s=N4IgTCBcDaIKwAYCMBmFCC0CDsCEgF0BfIA" TargetMode="External"/><Relationship Id="rId949" Type="http://schemas.openxmlformats.org/officeDocument/2006/relationships/hyperlink" Target="https://jp.misumi-ec.com/vona2/detail/221006493827/?ProductCode=SNSS-M2-4-SD" TargetMode="External"/><Relationship Id="rId1786" Type="http://schemas.openxmlformats.org/officeDocument/2006/relationships/hyperlink" Target="https://www.digikey.jp/product-detail/ja/murata-electronics-north-america/GJM1555C1H4R0BB01D/490-8100-1-ND/4380386" TargetMode="External"/><Relationship Id="rId1993" Type="http://schemas.openxmlformats.org/officeDocument/2006/relationships/hyperlink" Target="https://www.digikey.jp/product-detail/en/koa-speer-electronics-inc/RK73Z1JRTTD/2019-RK73Z1JRTTDCT-ND/12156274" TargetMode="External"/><Relationship Id="rId2837" Type="http://schemas.openxmlformats.org/officeDocument/2006/relationships/hyperlink" Target="https://www.amazon.co.jp/gp/product/B08LYKHG8L/ref=crt_ewc_title_dp_1?ie=UTF8&amp;smid=AZTB6VHB6RZU3&amp;th=1" TargetMode="External"/><Relationship Id="rId4052" Type="http://schemas.openxmlformats.org/officeDocument/2006/relationships/hyperlink" Target="https://www.monotaro.com/g/00345674/?t.q=%E3%83%92%E3%83%BC%E3%83%88%E3%82%B7%E3%83%B3%E3%82%AF%E3%80%80%E3%82%B7%E3%83%BC%E3%83%AB" TargetMode="External"/><Relationship Id="rId5103" Type="http://schemas.openxmlformats.org/officeDocument/2006/relationships/hyperlink" Target="https://www.mouser.jp/ProductDetail/YAGEO/RC0603FR-07150KL?qs=VU8sRB4EgwAs5t5QrX5iHA%3D%3D" TargetMode="External"/><Relationship Id="rId78" Type="http://schemas.openxmlformats.org/officeDocument/2006/relationships/hyperlink" Target="https://www.nippon-heater.co.jp/products/metal/polyimid/" TargetMode="External"/><Relationship Id="rId809" Type="http://schemas.openxmlformats.org/officeDocument/2006/relationships/hyperlink" Target="https://www.digikey.jp/product-detail/ja/maxim-integrated/MAX3378EEUD-/MAX3378EEUD--ND/1701965" TargetMode="External"/><Relationship Id="rId1439" Type="http://schemas.openxmlformats.org/officeDocument/2006/relationships/hyperlink" Target="https://www.digikey.jp/product-detail/en/toshiba-semiconductor-and-storage/SSM6K411TU-TE85LF/SSM6K411TU-TE85LFCT-ND/5298038" TargetMode="External"/><Relationship Id="rId1646" Type="http://schemas.openxmlformats.org/officeDocument/2006/relationships/hyperlink" Target="http://www.ktek.jp/mini-ckt-atten-term-50-ohm.html" TargetMode="External"/><Relationship Id="rId1853" Type="http://schemas.openxmlformats.org/officeDocument/2006/relationships/hyperlink" Target="https://www.digikey.jp/product-detail/en/koa-speer-electronics-inc/RK73H1JTTD2003F/2019-RK73H1JTTD2003FCT-ND/9846904" TargetMode="External"/><Relationship Id="rId2904" Type="http://schemas.openxmlformats.org/officeDocument/2006/relationships/hyperlink" Target="https://akizukidenshi.com/catalog/g/gC-00080/" TargetMode="External"/><Relationship Id="rId5310" Type="http://schemas.openxmlformats.org/officeDocument/2006/relationships/hyperlink" Target="https://www.amazon.co.jp/-/en/BINGFU-Antenna-Connection-Coaxial-Extension/dp/B08R5KRKHP/ref=d_pd_sbs_sccl_4_5/357-9579109-9054705?pd_rd_w=aYHlk&amp;content-id=amzn1.sym.820591ed-a555-4556-9bf6-5ebd5493c69e&amp;pf_rd_p=820591ed-a555-4556-9bf6-5ebd5493c69e&amp;pf_rd_r=5PAJZKMH20BH89GA9F6V&amp;pd_rd_wg=ShInz&amp;pd_rd_r=338c8c93-47ae-4b6c-a9b4-69c3b97a3810&amp;pd_rd_i=B08R5KRKHP&amp;psc=1" TargetMode="External"/><Relationship Id="rId1506" Type="http://schemas.openxmlformats.org/officeDocument/2006/relationships/hyperlink" Target="https://www.digikey.jp/product-detail/en/atp-electronics-inc/AF16GUD3-OEM/AF16GUD3-OEM-ND/5022269" TargetMode="External"/><Relationship Id="rId1713" Type="http://schemas.openxmlformats.org/officeDocument/2006/relationships/hyperlink" Target="https://www.jp.omega.com/heaters/pdf/KHRA-KHLVA-KHA-SERIES.pdf" TargetMode="External"/><Relationship Id="rId1920" Type="http://schemas.openxmlformats.org/officeDocument/2006/relationships/hyperlink" Target="https://www.marutsu.co.jp/pc/i/858026/" TargetMode="External"/><Relationship Id="rId4869" Type="http://schemas.openxmlformats.org/officeDocument/2006/relationships/hyperlink" Target="https://jp.misumi-ec.com/vona2/detail/221303783818/?PNSearch=CSHELH-SUS-M3-8&amp;HissuCode=CSHELH-SUS-M3-8&amp;searchFlow=suggesthistory&amp;Keyword=CSHELH-SUS-M3-8&amp;list=SuggestPreview" TargetMode="External"/><Relationship Id="rId3678" Type="http://schemas.openxmlformats.org/officeDocument/2006/relationships/hyperlink" Target="https://www.p-ban.com/" TargetMode="External"/><Relationship Id="rId3885" Type="http://schemas.openxmlformats.org/officeDocument/2006/relationships/hyperlink" Target="https://www.monotaro.com/g/00031009/?t.q=%83X%83L%83%7D%83Q%81%5B%83W" TargetMode="External"/><Relationship Id="rId4729" Type="http://schemas.openxmlformats.org/officeDocument/2006/relationships/hyperlink" Target="https://www.p-ban.com/kiban/com/csComShwOrd.do?summaryOrderNo=22062100138" TargetMode="External"/><Relationship Id="rId4936" Type="http://schemas.openxmlformats.org/officeDocument/2006/relationships/hyperlink" Target="https://www.mouser.jp/ProductDetail/KEMET/C0805X120J5GACAUTO?qs=PqoDHHvF64%2FG1xFjMXSvqA%3D%3D" TargetMode="External"/><Relationship Id="rId599" Type="http://schemas.openxmlformats.org/officeDocument/2006/relationships/hyperlink" Target="https://www.digikey.jp/product-detail/en/on-semiconductor/FDV301N/FDV301NCT-ND/458954" TargetMode="External"/><Relationship Id="rId2487" Type="http://schemas.openxmlformats.org/officeDocument/2006/relationships/hyperlink" Target="https://www.digikey.jp/product-detail/ja/harwin-inc/M22-2030205/952-2849-ND/3921394" TargetMode="External"/><Relationship Id="rId2694" Type="http://schemas.openxmlformats.org/officeDocument/2006/relationships/hyperlink" Target="https://www.mouser.jp/ProductDetail/ECS/ECS-250-18-23A-EN-TR?qs=%2Fha2pyFaduhoo%252BoiIKL8w21UOwF1Oa9mg6nca199qeYeco71xfVAyhSli9GdRz84" TargetMode="External"/><Relationship Id="rId3538" Type="http://schemas.openxmlformats.org/officeDocument/2006/relationships/hyperlink" Target="https://www.monotaro.com/g/03484486/?t.q=3d%83v%83%8A%83%93%83%5E%81%5B%81%40%83v%83%89%83b%83g%83t%83H%81%5B%83%80%83V%81%5B%83g" TargetMode="External"/><Relationship Id="rId3745" Type="http://schemas.openxmlformats.org/officeDocument/2006/relationships/hyperlink" Target="http://www.rflink.co.jp/lev1-sdk.html" TargetMode="External"/><Relationship Id="rId459" Type="http://schemas.openxmlformats.org/officeDocument/2006/relationships/hyperlink" Target="https://jp.misumi-ec.com/vona2/detail/221006204478/?HissuCode=C-303.5-5&amp;PNSearch=C-303.5-5&amp;KWSearch=C-303.5-5&amp;searchFlow=results2products" TargetMode="External"/><Relationship Id="rId666" Type="http://schemas.openxmlformats.org/officeDocument/2006/relationships/hyperlink" Target="https://www.monotaro.com/g/00269093/" TargetMode="External"/><Relationship Id="rId873" Type="http://schemas.openxmlformats.org/officeDocument/2006/relationships/hyperlink" Target="https://jp.rs-online.com/web/p/surface-mount-fixed-resistors/2132266" TargetMode="External"/><Relationship Id="rId1089" Type="http://schemas.openxmlformats.org/officeDocument/2006/relationships/hyperlink" Target="https://www.digikey.jp/product-detail/en/molex/0554600272/WM8301CT-ND/1632945" TargetMode="External"/><Relationship Id="rId1296" Type="http://schemas.openxmlformats.org/officeDocument/2006/relationships/hyperlink" Target="https://www.sankyo-ss.co.jp/" TargetMode="External"/><Relationship Id="rId2347" Type="http://schemas.openxmlformats.org/officeDocument/2006/relationships/hyperlink" Target="https://www.digikey.jp/product-detail/en/amphenol-icc-fci/20021121-00024T4LF/609-3733-ND/2209095" TargetMode="External"/><Relationship Id="rId2554" Type="http://schemas.openxmlformats.org/officeDocument/2006/relationships/hyperlink" Target="https://www.amazon.co.jp/Smays-GAZEWALL19810006-1-USB-rj45%E3%82%A4%E3%83%BC%E3%82%B5%E3%83%8D%E3%83%83%E3%83%88%E3%82%A2%E3%83%80%E3%83%97%E3%82%BF/dp/B00L32UUJK/ref=sr_1_3?__mk_ja_JP=%E3%82%AB%E3%82%BF%E3%82%AB%E3%83%8A&amp;dchild=1&amp;keywords=OTG+for+raspberry+pi+zero&amp;s=computers&amp;sr=1-3" TargetMode="External"/><Relationship Id="rId3952" Type="http://schemas.openxmlformats.org/officeDocument/2006/relationships/hyperlink" Target="https://www.digikey.jp/product-detail/ja/murata-electronics/GRM21BC80G107ME15L/490-13978-1-ND/6155808" TargetMode="External"/><Relationship Id="rId319" Type="http://schemas.openxmlformats.org/officeDocument/2006/relationships/hyperlink" Target="https://item.rakuten.co.jp/bp-shop/10008547/" TargetMode="External"/><Relationship Id="rId526" Type="http://schemas.openxmlformats.org/officeDocument/2006/relationships/hyperlink" Target="https://www.digikey.jp/product-detail/en/murata-electronics-north-america/GRM2165C1H621JA01D/490-1618-1-ND/587491" TargetMode="External"/><Relationship Id="rId1156" Type="http://schemas.openxmlformats.org/officeDocument/2006/relationships/hyperlink" Target="https://www.digikey.jp/product-detail/ja/qualtek/1721001-03/Q396-ND/1531323" TargetMode="External"/><Relationship Id="rId1363" Type="http://schemas.openxmlformats.org/officeDocument/2006/relationships/hyperlink" Target="http://akizukidenshi.com/catalog/g/gM-13199/" TargetMode="External"/><Relationship Id="rId2207" Type="http://schemas.openxmlformats.org/officeDocument/2006/relationships/hyperlink" Target="https://www.digikey.jp/product-detail/en/microchip-technology/DSPIC33CK256MP205-E-PT/DSPIC33CK256MP205-E-PT-ND/9342078" TargetMode="External"/><Relationship Id="rId2761" Type="http://schemas.openxmlformats.org/officeDocument/2006/relationships/hyperlink" Target="https://akizukidenshi.com/catalog/g/gP-03690/" TargetMode="External"/><Relationship Id="rId3605" Type="http://schemas.openxmlformats.org/officeDocument/2006/relationships/hyperlink" Target="https://jp.misumi-ec.com/vona2/detail/223004991831/?CategorySpec=00000019223%3a%3aa%0900000019224%3a%3amig00000002463732%0900000019228%3a%3anvd00000000000022%0900000112089%3a%3ab&amp;list=PageCategory" TargetMode="External"/><Relationship Id="rId3812" Type="http://schemas.openxmlformats.org/officeDocument/2006/relationships/hyperlink" Target="https://www.monotaro.com/g/00350142/" TargetMode="External"/><Relationship Id="rId733" Type="http://schemas.openxmlformats.org/officeDocument/2006/relationships/hyperlink" Target="https://www.monotaro.com/g/00260582/?monotaroNo=34665565" TargetMode="External"/><Relationship Id="rId940" Type="http://schemas.openxmlformats.org/officeDocument/2006/relationships/hyperlink" Target="https://www.digikey.jp/product-detail/ja/avx-corporation/06035U910FAT2A/478-11383-1-ND/8019134?cur=JPY&amp;lang=ja" TargetMode="External"/><Relationship Id="rId1016" Type="http://schemas.openxmlformats.org/officeDocument/2006/relationships/hyperlink" Target="https://www.digikey.jp/product-detail/en/sullins-connector-solutions/GRPB032VWQP-RC/S9013E-03-ND/1786426?_ga=2.63194863.1748285464.1566804865-552660735.1562494772" TargetMode="External"/><Relationship Id="rId1570" Type="http://schemas.openxmlformats.org/officeDocument/2006/relationships/hyperlink" Target="https://www.mouser.jp/ProductDetail/Raspberry-Pi/94AC6637?qs=2WXlatMagcGVzbsT0gacDw==&amp;gclid=Cj0KCQiA0NfvBRCVARIsAO4930nYx9WMohEyHrBmgI7dxQtMbitNHi6ehlbaNnjnRaq9rHWXVuaHQpMaAtH2EALw_wcB" TargetMode="External"/><Relationship Id="rId2414" Type="http://schemas.openxmlformats.org/officeDocument/2006/relationships/hyperlink" Target="https://www.digikey.jp/product-detail/en/yageo/RC0805JR-071KL/311-1-0KARCT-ND/731165" TargetMode="External"/><Relationship Id="rId2621" Type="http://schemas.openxmlformats.org/officeDocument/2006/relationships/hyperlink" Target="https://www.digikey.jp/product-detail/ja/w%C3%BCrth-elektronik/74404032015/732-5492-1-ND/4865386" TargetMode="External"/><Relationship Id="rId800" Type="http://schemas.openxmlformats.org/officeDocument/2006/relationships/hyperlink" Target="https://openmv.io/products/openmv-cam-h7" TargetMode="External"/><Relationship Id="rId1223" Type="http://schemas.openxmlformats.org/officeDocument/2006/relationships/hyperlink" Target="https://www.digikey.jp/products/ja?keywords=3M6005D-ND" TargetMode="External"/><Relationship Id="rId1430" Type="http://schemas.openxmlformats.org/officeDocument/2006/relationships/hyperlink" Target="https://www.digikey.jp/product-detail/en/linear-technology-analog-devices/LT6106HS5-TRMPBF/LT6106HS5-TRMPBFCT-ND/1590294" TargetMode="External"/><Relationship Id="rId4379" Type="http://schemas.openxmlformats.org/officeDocument/2006/relationships/hyperlink" Target="https://www.amazon.co.jp/dp/B098MJ358V/ref=sspa_dk_detail_0?psc=1&amp;pd_rd_i=B098MJ358V&amp;pd_rd_w=37Cmz&amp;pf_rd_p=86d545e6-51ff-428d-9903-b93b364247df&amp;pd_rd_wg=d4jAn&amp;pf_rd_r=W2V4NJAV8A93H0ASBBXY&amp;pd_rd_r=d6dc5c42-d8bd-4fad-bab4-52e1eb9d40e9&amp;spLa=ZW5jcnlwdGVkUXVhbGlmaWVyPUFWVFE1UEpLUzZJS1ImZW5jcnlwdGVkSWQ9QTA1NDgzNzNKTDI1SlUxUjdXMCZlbmNyeXB0ZWRBZElkPUEyOUpLNjBGUFcySFhQJndpZGdldE5hbWU9c3BfZGV0YWlsJmFjdGlvbj1jbGlja1JlZGlyZWN0JmRvTm90TG9nQ2xpY2s9dHJ1ZQ==" TargetMode="External"/><Relationship Id="rId4586" Type="http://schemas.openxmlformats.org/officeDocument/2006/relationships/hyperlink" Target="https://www.amazon.co.jp/-/en/Gigastone-MicroSD-Micro-Adapter-Video/dp/B01MSUMC1T/ref=sr_1_13?crid=BL49KT35HEIQ&amp;keywords=%E6%A5%AD%E5%8B%99%E7%94%A8%E3%82%B0%E3%83%AC%E3%83%BC%E3%83%89microsd&amp;qid=1650437755&amp;sprefix=industrial%2BSD%2B%2Caps%2C203&amp;sr=8-13&amp;th=1" TargetMode="External"/><Relationship Id="rId4793" Type="http://schemas.openxmlformats.org/officeDocument/2006/relationships/hyperlink" Target="https://www.p-ban.com/" TargetMode="External"/><Relationship Id="rId3188" Type="http://schemas.openxmlformats.org/officeDocument/2006/relationships/hyperlink" Target="https://www.monotaro.com/p/3133/8965/?t.q=usb%83%81%83%82%83%8A" TargetMode="External"/><Relationship Id="rId3395" Type="http://schemas.openxmlformats.org/officeDocument/2006/relationships/hyperlink" Target="https://www.monotaro.com/p/8922/9856/?utm_id=g_pla&amp;utm_medium=cpc&amp;utm_source=Adwords&amp;utm_campaign=246-833-4061_6466659573&amp;utm_content=77481174476&amp;utm_term=_380604181365__aud-299700299220:pla-799401265600&amp;gclid=Cj0KCQjwsqmEBhDiARIsANV8H3aevSRt5QJCsvrOnAc-qf73u39wrx-vYz0CEAGAGWugI8evLRrstN4aAqsTEALw_wcB" TargetMode="External"/><Relationship Id="rId4239" Type="http://schemas.openxmlformats.org/officeDocument/2006/relationships/hyperlink" Target="https://www.digikey.jp/ja/products/detail/rohm-semiconductor/DTC144EKAT146/650533" TargetMode="External"/><Relationship Id="rId4446" Type="http://schemas.openxmlformats.org/officeDocument/2006/relationships/hyperlink" Target="https://www.amazon.co.jp/RTL-SDR-R820T2-RTL2832U-SMA%E3%82%BD%E3%83%95%E3%83%88%E3%82%A6%E3%82%A7%E3%82%A2%E5%AE%9A%E7%BE%A9%E3%83%A9%E3%82%B8%E3%82%AA-2%E5%80%8D%E4%BC%B8%E7%B8%AE%E3%82%A2%E3%83%B3%E3%83%86%E3%83%8A%E4%BB%98%E3%81%8D/dp/B011HVUEME/ref=sr_1_6?__mk_ja_JP=%E3%82%AB%E3%82%BF%E3%82%AB%E3%83%8A&amp;crid=GJTZKP4LMGN6&amp;keywords=SDR&amp;qid=1640584588&amp;sprefix=sdr%2Caps%2C316&amp;sr=8-6" TargetMode="External"/><Relationship Id="rId4653" Type="http://schemas.openxmlformats.org/officeDocument/2006/relationships/hyperlink" Target="https://www.digikey.jp/en/products/detail/molex/0554600272/1632945" TargetMode="External"/><Relationship Id="rId4860" Type="http://schemas.openxmlformats.org/officeDocument/2006/relationships/hyperlink" Target="https://jp.rs-online.com/web/p/mosfets/5411045" TargetMode="External"/><Relationship Id="rId3048" Type="http://schemas.openxmlformats.org/officeDocument/2006/relationships/hyperlink" Target="https://www.digikey.jp/product-detail/en/m-a-com-technology-solutions/MABA-010245-CT1160/1465-1309-1-ND/4430006" TargetMode="External"/><Relationship Id="rId3255" Type="http://schemas.openxmlformats.org/officeDocument/2006/relationships/hyperlink" Target="https://www.digikey.jp/product-detail/en/rohm-semiconductor/SML-E12Y8WT86/511-1588-1-ND/1641820" TargetMode="External"/><Relationship Id="rId3462" Type="http://schemas.openxmlformats.org/officeDocument/2006/relationships/hyperlink" Target="https://www.p-ban.com/kiban/com/csComTop.do" TargetMode="External"/><Relationship Id="rId4306" Type="http://schemas.openxmlformats.org/officeDocument/2006/relationships/hyperlink" Target="https://www.edmundoptics.com/p/720nm-cwl-10nm-fwhm-125mm-mounted-diameter/22440/" TargetMode="External"/><Relationship Id="rId4513" Type="http://schemas.openxmlformats.org/officeDocument/2006/relationships/hyperlink" Target="https://www.amazon.co.jp/dp/B00Z01FO2S/ref=cm_sw_em_r_mt_dp_9JEEW6J9QA09Q85Z5084?_encoding=UTF8&amp;psc=1" TargetMode="External"/><Relationship Id="rId4720" Type="http://schemas.openxmlformats.org/officeDocument/2006/relationships/hyperlink" Target="https://www.accurate.jp/products/c113/" TargetMode="External"/><Relationship Id="rId176" Type="http://schemas.openxmlformats.org/officeDocument/2006/relationships/hyperlink" Target="https://www.monotaro.com/p/0945/0917/" TargetMode="External"/><Relationship Id="rId383" Type="http://schemas.openxmlformats.org/officeDocument/2006/relationships/hyperlink" Target="https://www.digikey.jp/product-detail/en/murata-electronics-north-america/LQW18AN82NG8ZD/490-15746-1-ND/6800411" TargetMode="External"/><Relationship Id="rId590" Type="http://schemas.openxmlformats.org/officeDocument/2006/relationships/hyperlink" Target="http://oyaide.com/" TargetMode="External"/><Relationship Id="rId2064" Type="http://schemas.openxmlformats.org/officeDocument/2006/relationships/hyperlink" Target="https://jp.misumi-ec.com/vona2/detail/221006451012/?PNSearch=SNSS-M3X12-SD&amp;HissuCode=SNSS-M3X12-SD&amp;searchFlow=suggest2products&amp;Keyword=SNSS-M3X12-SD&amp;isReSearch=1" TargetMode="External"/><Relationship Id="rId2271" Type="http://schemas.openxmlformats.org/officeDocument/2006/relationships/hyperlink" Target="http://akizukidenshi.com/catalog/g/gP-11839/" TargetMode="External"/><Relationship Id="rId3115" Type="http://schemas.openxmlformats.org/officeDocument/2006/relationships/hyperlink" Target="https://www.digikey.jp/product-detail/ja/RT0402BRD07100RL/YAG2301CT-ND/5252415/?itemSeq=354853117" TargetMode="External"/><Relationship Id="rId3322" Type="http://schemas.openxmlformats.org/officeDocument/2006/relationships/hyperlink" Target="https://www.digikey.jp/products/en?keywords=GAG10K3976b1" TargetMode="External"/><Relationship Id="rId243" Type="http://schemas.openxmlformats.org/officeDocument/2006/relationships/hyperlink" Target="https://www.nbk1560.com/products/specialscrew/nedzicom/lowsmallheadscrew/SLHS/" TargetMode="External"/><Relationship Id="rId450" Type="http://schemas.openxmlformats.org/officeDocument/2006/relationships/hyperlink" Target="https://www.nbk1560.com/products/specialscrew/nedzicom/lowsmallheadscrew/SLHS/SLHS-M2/SLHS-M2-12/" TargetMode="External"/><Relationship Id="rId1080" Type="http://schemas.openxmlformats.org/officeDocument/2006/relationships/hyperlink" Target="https://www.amazon.co.jp/%E3%80%90%E4%B8%AD%E5%A4%AE%E9%9B%BB%E5%AD%90%E9%80%9A%E5%95%86%E3%80%91panasonic-%E3%83%91%E3%83%8A%E3%82%BD%E3%83%8B%E3%83%83%E3%82%AF-NCR18650B-3400mAh-%E3%83%97%E3%83%A9%E3%82%B1%E3%83%BC%E3%82%B9%E3%80%81%E3%83%87%E3%83%BC%E3%82%BF%E3%83%BC%E8%A1%A8%E4%BB%98%E5%B1%9E/dp/B07F9TGLTX/ref=pd_sbs_200_1/358-5716605-3835123?_encoding=UTF8&amp;pd_rd_i=B07F9TGLTX&amp;pd_rd_r=16d02905-2828-4715-bea1-4c128f267e97&amp;pd_rd_w=gkhTj&amp;pd_rd_wg=jSeQL&amp;pf_rd_p=ad2ea29d-ea11-483c-9db2-6b5875bb9b73&amp;pf_rd_r=FFXGENPM0FG0X6K8N9GF&amp;psc=1&amp;refRID=FFXGENPM0FG0X6K8N9GF" TargetMode="External"/><Relationship Id="rId2131" Type="http://schemas.openxmlformats.org/officeDocument/2006/relationships/hyperlink" Target="https://www.digikey.jp/product-detail/en/w%C3%BCrth-elektronik/66036011210420/732-14162-ND/10281362" TargetMode="External"/><Relationship Id="rId5287" Type="http://schemas.openxmlformats.org/officeDocument/2006/relationships/hyperlink" Target="https://www.digikey.jp/en/products/detail/murata-electronics/GJM1555C1H4R7CB01D/702293" TargetMode="External"/><Relationship Id="rId103" Type="http://schemas.openxmlformats.org/officeDocument/2006/relationships/hyperlink" Target="https://jp.rs-online.com/web/p/crystal-units/5476452/" TargetMode="External"/><Relationship Id="rId310" Type="http://schemas.openxmlformats.org/officeDocument/2006/relationships/hyperlink" Target="https://www.digikey.jp/product-detail/en/psemi/4259-63/1046-1011-1-ND/2614515" TargetMode="External"/><Relationship Id="rId4096" Type="http://schemas.openxmlformats.org/officeDocument/2006/relationships/hyperlink" Target="https://www.monotaro.com/g/01213354/?monotaroNo=11200577" TargetMode="External"/><Relationship Id="rId5147" Type="http://schemas.openxmlformats.org/officeDocument/2006/relationships/hyperlink" Target="https://jp.rs-online.com/web/p/solid-state-relays/2172719" TargetMode="External"/><Relationship Id="rId1897" Type="http://schemas.openxmlformats.org/officeDocument/2006/relationships/hyperlink" Target="https://www.digikey.jp/products/en?keywords=H10903-ND%09" TargetMode="External"/><Relationship Id="rId2948" Type="http://schemas.openxmlformats.org/officeDocument/2006/relationships/hyperlink" Target="https://www.digikey.jp/product-detail/en/LTC1053CN%23PBF/LTC1053CN%23PBF-ND/891819/?itemSeq=349430002" TargetMode="External"/><Relationship Id="rId5354" Type="http://schemas.openxmlformats.org/officeDocument/2006/relationships/hyperlink" Target="https://akizukidenshi.com/catalog/g/gM-11840/" TargetMode="External"/><Relationship Id="rId1757" Type="http://schemas.openxmlformats.org/officeDocument/2006/relationships/hyperlink" Target="https://www.digikey.jp/product-detail/en/koa-speer-electronics-inc/RK73H1ETTP22R0F/2019-RK73H1ETTP22R0FCT-ND/9846216" TargetMode="External"/><Relationship Id="rId1964" Type="http://schemas.openxmlformats.org/officeDocument/2006/relationships/hyperlink" Target="https://www.digikey.jp/product-detail/en/yageo/RC0805JR-071KL/311-1-0KARCT-ND/731165" TargetMode="External"/><Relationship Id="rId2808" Type="http://schemas.openxmlformats.org/officeDocument/2006/relationships/hyperlink" Target="https://jp.rs-online.com/web/p/detector-switches/7931768/?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3445330303252267374613D5344533030325226&amp;searchHistory=%7B%22enabled%22%3Atrue%7D" TargetMode="External"/><Relationship Id="rId4163" Type="http://schemas.openxmlformats.org/officeDocument/2006/relationships/hyperlink" Target="https://jp.misumi-ec.com/vona2/detail/110300250540/?HissuCode=SLBNR2&amp;PNSearch=SLBNR2&amp;KWSearch=SLBNR2&amp;searchFlow=results2products" TargetMode="External"/><Relationship Id="rId4370" Type="http://schemas.openxmlformats.org/officeDocument/2006/relationships/hyperlink" Target="https://www.monotaro.com/p/0706/4102/" TargetMode="External"/><Relationship Id="rId5007" Type="http://schemas.openxmlformats.org/officeDocument/2006/relationships/hyperlink" Target="https://www.mouser.jp/ProductDetail/KEMET/C0805C103J5HACAUTO?qs=ds50AKTGxA9dM54VcsSd8w%3D%3D" TargetMode="External"/><Relationship Id="rId5214" Type="http://schemas.openxmlformats.org/officeDocument/2006/relationships/hyperlink" Target="https://jp.misumi-ec.com/vona2/detail/221000551725/?ProductCode=WS-PA-M3" TargetMode="External"/><Relationship Id="rId49" Type="http://schemas.openxmlformats.org/officeDocument/2006/relationships/hyperlink" Target="https://jp.misumi-ec.com/vona2/detail/110300250540/?HissuCode=SLBNR3&amp;PNSearch=SLBNR3&amp;KWSearch=SLBNR3&amp;searchFlow=results2products" TargetMode="External"/><Relationship Id="rId1617" Type="http://schemas.openxmlformats.org/officeDocument/2006/relationships/hyperlink" Target="https://jp.misumi-ec.com/vona2/detail/221000572234/?PNSearch=33-0336&amp;HissuCode=33-0336&amp;searchFlow=suggesthistory&amp;Keyword=33-0336" TargetMode="External"/><Relationship Id="rId1824" Type="http://schemas.openxmlformats.org/officeDocument/2006/relationships/hyperlink" Target="https://www.digikey.jp/product-detail/en/koa-speer-electronics-inc/UR73D1JTTD25L0F/2019-UR73D1JTTD25L0FDKR-ND/9849763" TargetMode="External"/><Relationship Id="rId4023" Type="http://schemas.openxmlformats.org/officeDocument/2006/relationships/hyperlink" Target="https://akizukidenshi.com/catalog/g/gK-09991/" TargetMode="External"/><Relationship Id="rId4230" Type="http://schemas.openxmlformats.org/officeDocument/2006/relationships/hyperlink" Target="https://jp.rs-online.com/web/p/surface-mount-resistors/6836066/" TargetMode="External"/><Relationship Id="rId3789" Type="http://schemas.openxmlformats.org/officeDocument/2006/relationships/hyperlink" Target="https://www.monotaro.com/g/01253341/?monotaroNo=17060505" TargetMode="External"/><Relationship Id="rId2598" Type="http://schemas.openxmlformats.org/officeDocument/2006/relationships/hyperlink" Target="https://www.digikey.jp/product-detail/en/toshiba-semiconductor-and-storage/SSM6K411TU-TE85LF/SSM6K411TU-TE85LFCT-ND/5298038" TargetMode="External"/><Relationship Id="rId3996" Type="http://schemas.openxmlformats.org/officeDocument/2006/relationships/hyperlink" Target="https://www.chip1stop.com/view/dispDetail/DispDetail?partId=MCHP-0065596&amp;mpn=PIC18F67J94-I%2FPT&amp;keyword=PIC18F67J94" TargetMode="External"/><Relationship Id="rId3649" Type="http://schemas.openxmlformats.org/officeDocument/2006/relationships/hyperlink" Target="https://www.digikey.jp/product-detail/en/semtech-corporation/SX1276IMLTRT/SX1276IMLTRTDKR-ND/4259552" TargetMode="External"/><Relationship Id="rId3856" Type="http://schemas.openxmlformats.org/officeDocument/2006/relationships/hyperlink" Target="https://jp.misumi-ec.com/vona2/detail/221000348314/?searchFlow=combo2products&amp;KWSearch=SNSS-M1.6-5&amp;HissuCode=SNSS-M1.6X5&amp;PNSearch=SNSS-M1.6X5" TargetMode="External"/><Relationship Id="rId4907" Type="http://schemas.openxmlformats.org/officeDocument/2006/relationships/hyperlink" Target="https://jp.misumi-ec.com/vona2/detail/221000348314/?ProductCode=SNSS-M2X5-VA" TargetMode="External"/><Relationship Id="rId5071" Type="http://schemas.openxmlformats.org/officeDocument/2006/relationships/hyperlink" Target="https://www.monotaro.com/p/3353/3168/" TargetMode="External"/><Relationship Id="rId777" Type="http://schemas.openxmlformats.org/officeDocument/2006/relationships/hyperlink" Target="https://www.digikey.jp/products/ja?keywords=644-1065-1-ND" TargetMode="External"/><Relationship Id="rId984" Type="http://schemas.openxmlformats.org/officeDocument/2006/relationships/hyperlink" Target="https://jp.rs-online.com/web/p/motor-driver-ics/8136444/" TargetMode="External"/><Relationship Id="rId2458" Type="http://schemas.openxmlformats.org/officeDocument/2006/relationships/hyperlink" Target="https://jp.misumi-ec.com/vona2/detail/222000496982/?HissuCode=BM04B-GHS-TBT%28LF%29%28SN%29" TargetMode="External"/><Relationship Id="rId2665" Type="http://schemas.openxmlformats.org/officeDocument/2006/relationships/hyperlink" Target="https://www.mouser.jp/ProductDetail/Murata-Electronics/GRM187R61A226ME15J?qs=5aG0NVq1C4zp9gekqoIe8Q%3D%3D" TargetMode="External"/><Relationship Id="rId2872" Type="http://schemas.openxmlformats.org/officeDocument/2006/relationships/hyperlink" Target="https://www.switch-science.com/catalog/1033/" TargetMode="External"/><Relationship Id="rId3509" Type="http://schemas.openxmlformats.org/officeDocument/2006/relationships/hyperlink" Target="https://www.digikey.jp/product-detail/ja/jst-sales-america-inc/SPHD-001T-P0-5/455-1325-1-ND/608808?utm_adgroup=Connectors%20%26%20Interconnects&amp;utm_source=google&amp;utm_medium=cpc&amp;utm_campaign=Dynamic%20Search_JP_RLSA_Cart&amp;utm_term=&amp;productid=&amp;gclid=CjwKCAjwtdeFBhBAEiwAKOIy52LxeEhShl4w5Qual6qyBy5PcuUq_VUaOaq0G9n3r86NF5kO0W94NRoCPkMQAvD_BwE" TargetMode="External"/><Relationship Id="rId3716" Type="http://schemas.openxmlformats.org/officeDocument/2006/relationships/hyperlink" Target="https://jp.rs-online.com/web/p/through-hole-fixed-resistors/5328369/" TargetMode="External"/><Relationship Id="rId3923" Type="http://schemas.openxmlformats.org/officeDocument/2006/relationships/hyperlink" Target="https://akizukidenshi.com/catalog/g/gP-09828/" TargetMode="External"/><Relationship Id="rId637" Type="http://schemas.openxmlformats.org/officeDocument/2006/relationships/hyperlink" Target="https://jp.misumi-ec.com/vona2/detail/221005171199/?HissuCode=GR2-30&amp;PNSearch=GR2-30&amp;KWSearch=GR2-30&amp;searchFlow=results2products" TargetMode="External"/><Relationship Id="rId844" Type="http://schemas.openxmlformats.org/officeDocument/2006/relationships/hyperlink" Target="https://jp.rs-online.com/web/p/tantalum-capacitors/1213317/" TargetMode="External"/><Relationship Id="rId1267" Type="http://schemas.openxmlformats.org/officeDocument/2006/relationships/hyperlink" Target="https://www.digikey.jp/products/ja?keywords=7032-7527" TargetMode="External"/><Relationship Id="rId1474" Type="http://schemas.openxmlformats.org/officeDocument/2006/relationships/hyperlink" Target="https://www.minicircuits.com/WebStore/dashboard.html?model=ADTL1-12%2B" TargetMode="External"/><Relationship Id="rId1681" Type="http://schemas.openxmlformats.org/officeDocument/2006/relationships/hyperlink" Target="http://akizukidenshi.com/catalog/g/gT-11554/" TargetMode="External"/><Relationship Id="rId2318" Type="http://schemas.openxmlformats.org/officeDocument/2006/relationships/hyperlink" Target="https://jp.rs-online.com/web/p/rectifier-diodes-schottky-diodes/7815818/" TargetMode="External"/><Relationship Id="rId2525" Type="http://schemas.openxmlformats.org/officeDocument/2006/relationships/hyperlink" Target="https://jp.misumi-ec.com/vona2/detail/221006204759/?HissuCode=CC-1704-05&amp;PNSearch=CC-1704-05&amp;KWSearch=CC-1704-05&amp;searchFlow=results2products" TargetMode="External"/><Relationship Id="rId2732" Type="http://schemas.openxmlformats.org/officeDocument/2006/relationships/hyperlink" Target="https://www.amazon.co.jp/%E5%A4%AA%E6%B4%8B%E9%9B%BB%E6%A9%9F%E7%94%A3%E6%A5%AD-goot-SE-06010-%E3%83%AA%E3%83%BC%E3%83%AB%E5%B7%BB%E3%81%AF%E3%82%93%E3%81%A0-100%EF%BD%87/dp/B001PR1L32/ref=sr_1_5?__mk_ja_JP=%E3%82%AB%E3%82%BF%E3%82%AB%E3%83%8A&amp;dchild=1&amp;keywords=%E3%81%AF%E3%82%93%E3%81%A0&amp;qid=1605092486&amp;sr=8-5" TargetMode="External"/><Relationship Id="rId704" Type="http://schemas.openxmlformats.org/officeDocument/2006/relationships/hyperlink" Target="https://www.digikey.jp/product-detail/en/on-semiconductor/AX5043-1-TW30/AX5043-1-TW30OSCT-ND/9923530" TargetMode="External"/><Relationship Id="rId911" Type="http://schemas.openxmlformats.org/officeDocument/2006/relationships/hyperlink" Target="https://jp.rs-online.com/web/p/surface-mount-fixed-resistors/1228867/" TargetMode="External"/><Relationship Id="rId1127" Type="http://schemas.openxmlformats.org/officeDocument/2006/relationships/hyperlink" Target="https://www.zaikostore.com/zaikostore/stockDetail?stockDetail=1&amp;stockID=ST41060653" TargetMode="External"/><Relationship Id="rId1334" Type="http://schemas.openxmlformats.org/officeDocument/2006/relationships/hyperlink" Target="https://www.digikey.jp/products/en?keywords=DM164138" TargetMode="External"/><Relationship Id="rId1541" Type="http://schemas.openxmlformats.org/officeDocument/2006/relationships/hyperlink" Target="https://www.digikey.jp/product-detail/ja/te-connectivity-amp-connectors/1473005-4/A114851-ND/2187756" TargetMode="External"/><Relationship Id="rId4697" Type="http://schemas.openxmlformats.org/officeDocument/2006/relationships/hyperlink" Target="https://www.jakelectronics.com/productdetail/stmicroelectronics-stm32f446vet6-4812717" TargetMode="External"/><Relationship Id="rId40" Type="http://schemas.openxmlformats.org/officeDocument/2006/relationships/hyperlink" Target="https://jp.rs-online.com/web/p/mosfet-transistors/6710312/?relevancy-data=636F3D3126696E3D4931384E525353746F636B4E756D626572266C753D656E266D6D3D6D61746368616C6C26706D3D5E282872737C5253295B205D3F293F2832355C647B387D7C32355C647B317D5C2D5C647B377D7C5C647B337D5B5C2D5D3F5C647B332C347D5B70505D3F292426706F3D3126736E3D592673723D2673743D52535F53544F434B5F4E554D4245522677633D4E4F4E45267573743D3637312D30333132267374613D3637313033313226" TargetMode="External"/><Relationship Id="rId1401" Type="http://schemas.openxmlformats.org/officeDocument/2006/relationships/hyperlink" Target="https://www.digikey.jp/product-detail/en/koa-speer-electronics-inc/UR73VD2ATTD25L0F/2019-UR73VD2ATTD25L0FCT-ND/9847760" TargetMode="External"/><Relationship Id="rId3299" Type="http://schemas.openxmlformats.org/officeDocument/2006/relationships/hyperlink" Target="https://colab.research.google.com/signup" TargetMode="External"/><Relationship Id="rId4557" Type="http://schemas.openxmlformats.org/officeDocument/2006/relationships/hyperlink" Target="https://www.digikey.jp/ja/products/detail/analog-devices-inc-maxim-integrated/MAX4702EUE/1779850" TargetMode="External"/><Relationship Id="rId4764" Type="http://schemas.openxmlformats.org/officeDocument/2006/relationships/hyperlink" Target="https://www.mouser.jp/ProductDetail/Laird-Performance-Materials/A10096-02?qs=%2Fha2pyFadujobulY8zqeM7XphajS7sOPDO0etcSTnwkW5iJ4ymhx0Q%3D%3D&amp;utm_source=octopart&amp;utm_medium=aggregator&amp;utm_campaign=739-A10096-02&amp;utm_content=Laird+Performance+Materials" TargetMode="External"/><Relationship Id="rId3159" Type="http://schemas.openxmlformats.org/officeDocument/2006/relationships/hyperlink" Target="https://akizukidenshi.com/catalog/g/gK-13010/" TargetMode="External"/><Relationship Id="rId3366" Type="http://schemas.openxmlformats.org/officeDocument/2006/relationships/hyperlink" Target="https://www.jakelectronics.com/productdetail/stmicroelectronics-l3gd20tr-3687563" TargetMode="External"/><Relationship Id="rId3573" Type="http://schemas.openxmlformats.org/officeDocument/2006/relationships/hyperlink" Target="https://www.mouser.jp/ProductDetail/Hirose-Connector/DF14-4S-125C?qs=%2Fha2pyFadug%252B8pmd3HiP6kQV6s1%252BzC0a%2F2CFMA25kNDx6b6YogN%2F5Q%3D%3D" TargetMode="External"/><Relationship Id="rId4417" Type="http://schemas.openxmlformats.org/officeDocument/2006/relationships/hyperlink" Target="https://www.digikey.jp/ja/products/detail/tri-mag-llc/L6R06H-120/7682617" TargetMode="External"/><Relationship Id="rId4971" Type="http://schemas.openxmlformats.org/officeDocument/2006/relationships/hyperlink" Target="https://www.yoshimi-inc.com/" TargetMode="External"/><Relationship Id="rId287" Type="http://schemas.openxmlformats.org/officeDocument/2006/relationships/hyperlink" Target="https://www.digikey.jp/product-detail/en/arduino/A000067/1050-1018-ND/2639006" TargetMode="External"/><Relationship Id="rId494" Type="http://schemas.openxmlformats.org/officeDocument/2006/relationships/hyperlink" Target="https://www.digikey.jp/product-detail/ja/murata-electronics-north-america/GRM1885C1H9R0DA01D/490-11483-1-ND/5333323" TargetMode="External"/><Relationship Id="rId2175" Type="http://schemas.openxmlformats.org/officeDocument/2006/relationships/hyperlink" Target="https://jp.misumi-ec.com/vona2/detail/110300250540/?PNSearch=SLBNR3&amp;HissuCode=SLBNR3&amp;searchFlow=suggest2products&amp;Keyword=SLBNR3" TargetMode="External"/><Relationship Id="rId2382" Type="http://schemas.openxmlformats.org/officeDocument/2006/relationships/hyperlink" Target="https://www.digikey.jp/products/en?keywords=GAG10K3976b1" TargetMode="External"/><Relationship Id="rId3019" Type="http://schemas.openxmlformats.org/officeDocument/2006/relationships/hyperlink" Target="https://www.digikey.jp/products/ja?keywords=PIC18F67J94-I%2FPT" TargetMode="External"/><Relationship Id="rId3226" Type="http://schemas.openxmlformats.org/officeDocument/2006/relationships/hyperlink" Target="https://www.mouser.com/ProductDetail/STMicroelectronics/STM32F446VET6TR?qs=5aG0NVq1C4zWtLYRX9crCw%3D%3D" TargetMode="External"/><Relationship Id="rId3780" Type="http://schemas.openxmlformats.org/officeDocument/2006/relationships/hyperlink" Target="https://www.digikey.jp/product-detail/en/PRPC040SACN-RC/S1131EC-40-ND/2776066?itemSeq=373423685" TargetMode="External"/><Relationship Id="rId4624" Type="http://schemas.openxmlformats.org/officeDocument/2006/relationships/hyperlink" Target="https://www.amazon.co.jp/-/en/dp/B0B1N2LYV8/ref=sr_1_35?crid=2F9Z1ZHPD0U2V&amp;keywords=%E3%82%AD%E3%83%BC%E3%83%97%E3%83%91%E3%83%AF%E3%83%BC+18350&amp;qid=1653053589&amp;sprefix=18350+battery%2Caps%2C218&amp;sr=8-35" TargetMode="External"/><Relationship Id="rId4831" Type="http://schemas.openxmlformats.org/officeDocument/2006/relationships/hyperlink" Target="https://jp.rs-online.com/web/p/jumpers-shunts/1809369" TargetMode="External"/><Relationship Id="rId147" Type="http://schemas.openxmlformats.org/officeDocument/2006/relationships/hyperlink" Target="https://jp.misumi-ec.com/vona2/detail/110500138040/?KWSearch=%e3%82%b9%e3%83%9a%e3%83%bc%e3%82%b5%20%e8%b2%ab%e9%80%9a&amp;searchFlow=results2products" TargetMode="External"/><Relationship Id="rId354" Type="http://schemas.openxmlformats.org/officeDocument/2006/relationships/hyperlink" Target="https://www.digikey.jp/product-detail/en/microchip-technology/MCP602T-I-SN/MCP602T-I-SNCT-ND/5013529" TargetMode="External"/><Relationship Id="rId1191" Type="http://schemas.openxmlformats.org/officeDocument/2006/relationships/hyperlink" Target="https://www.p-ban.com/kiban/com/csComTop.do" TargetMode="External"/><Relationship Id="rId2035" Type="http://schemas.openxmlformats.org/officeDocument/2006/relationships/hyperlink" Target="https://www.p-ban.com/kiban/com/csComTop.do" TargetMode="External"/><Relationship Id="rId3433" Type="http://schemas.openxmlformats.org/officeDocument/2006/relationships/hyperlink" Target="https://jp.misumi-ec.com/vona2/detail/221006308653/?HissuCode=FSM-21045-12" TargetMode="External"/><Relationship Id="rId3640" Type="http://schemas.openxmlformats.org/officeDocument/2006/relationships/hyperlink" Target="https://www.digikey.jp/product-detail/ja/panasonic-electronic-components/ERJ-2BSFR15X/P-15AKCT-ND/671275" TargetMode="External"/><Relationship Id="rId561" Type="http://schemas.openxmlformats.org/officeDocument/2006/relationships/hyperlink" Target="https://www.digikey.jp/products/en?keywords=541-105CCT-ND" TargetMode="External"/><Relationship Id="rId2242" Type="http://schemas.openxmlformats.org/officeDocument/2006/relationships/hyperlink" Target="https://www.digikey.jp/product-detail/ja/toshiba-semiconductor-and-storage/SSM6K411TU-TE85L-F/SSM6K411TU-TE85LFCT-ND/5298038" TargetMode="External"/><Relationship Id="rId3500" Type="http://schemas.openxmlformats.org/officeDocument/2006/relationships/hyperlink" Target="https://www.monotaro.com/p/3880/5812/" TargetMode="External"/><Relationship Id="rId214" Type="http://schemas.openxmlformats.org/officeDocument/2006/relationships/hyperlink" Target="https://www.askul.co.jp/p/2702684/" TargetMode="External"/><Relationship Id="rId421" Type="http://schemas.openxmlformats.org/officeDocument/2006/relationships/hyperlink" Target="https://www.digikey.jp/product-detail/en/murata-electronics-north-america/LQP03TG0N3B02D/490-10541-1-ND/5026485" TargetMode="External"/><Relationship Id="rId1051" Type="http://schemas.openxmlformats.org/officeDocument/2006/relationships/hyperlink" Target="https://www.digikey.jp/product-detail/en/analog-devices-inc/ADG774BRQZ/ADG774BRQZ-ND/997645" TargetMode="External"/><Relationship Id="rId2102" Type="http://schemas.openxmlformats.org/officeDocument/2006/relationships/hyperlink" Target="https://jp.misumi-ec.com/vona2/detail/221006204478/?HissuCode=C-312&amp;PNSearch=C-312&amp;KWSearch=C-312&amp;searchFlow=results2products" TargetMode="External"/><Relationship Id="rId5258" Type="http://schemas.openxmlformats.org/officeDocument/2006/relationships/hyperlink" Target="https://www.askul.co.jp/p/AH84825/" TargetMode="External"/><Relationship Id="rId1868" Type="http://schemas.openxmlformats.org/officeDocument/2006/relationships/hyperlink" Target="https://www.digikey.jp/product-detail/en/koa-speer-electronics-inc/RK73H2ATTD1001F/2019-RK73H2ATTD1001FCT-ND/10235379" TargetMode="External"/><Relationship Id="rId4067" Type="http://schemas.openxmlformats.org/officeDocument/2006/relationships/hyperlink" Target="https://www.amazon.co.jp/%E3%82%A2%E3%82%A4%E3%82%A6%E3%82%A3%E3%82%B9-IWISS-%E7%B2%BE%E5%AF%86%E5%90%8C%E6%99%82%E5%9C%A7%E7%9D%80%E3%83%9A%E3%83%B3%E3%83%81-%E3%82%AA%E3%83%BC%E3%83%97%E3%83%B3%E3%83%90%E3%83%AC%E3%83%AB-0-1-1-0mm2%E5%B0%8F%E3%83%BB%E4%B8%AD%E5%9E%8B%E7%AB%AF%E5%AD%90%E5%AF%BE%E5%BF%9C/dp/B00W4WRZPU/ref=sr_1_7?dchild=1&amp;keywords=iwiss%2B%E5%9C%A7%E7%9D%80%E5%B7%A5%E5%85%B7&amp;qid=1633565639&amp;sr=8-7&amp;th=1" TargetMode="External"/><Relationship Id="rId4274" Type="http://schemas.openxmlformats.org/officeDocument/2006/relationships/hyperlink" Target="https://www.digikey.jp/ja/products/detail/amphenol-sv-microwave/7032-7241/8278707?s=N4IgTCBcDaIOwAYDMYC0cwBYCMIC6AvkA" TargetMode="External"/><Relationship Id="rId4481" Type="http://schemas.openxmlformats.org/officeDocument/2006/relationships/hyperlink" Target="https://jp.rs-online.com/web/p/mlccs-multilayer-ceramic-capacitors/8015202" TargetMode="External"/><Relationship Id="rId5118" Type="http://schemas.openxmlformats.org/officeDocument/2006/relationships/hyperlink" Target="https://www.monotaro.com/g/01366222/?monotaroNo=21006213" TargetMode="External"/><Relationship Id="rId5325" Type="http://schemas.openxmlformats.org/officeDocument/2006/relationships/hyperlink" Target="https://www.digikey.jp/en/products/detail/kyocera-avx/HL021R6BTTR/2816250" TargetMode="External"/><Relationship Id="rId2919" Type="http://schemas.openxmlformats.org/officeDocument/2006/relationships/hyperlink" Target="https://akizukidenshi.com/catalog/g/gC-00161/" TargetMode="External"/><Relationship Id="rId3083" Type="http://schemas.openxmlformats.org/officeDocument/2006/relationships/hyperlink" Target="https://www.monotaro.com/p/1120/0577/" TargetMode="External"/><Relationship Id="rId3290" Type="http://schemas.openxmlformats.org/officeDocument/2006/relationships/hyperlink" Target="https://www.edmundoptics.com/p/680nm-cwl-125mm-dia-hard-coated-od-4-10nm-bandpass-filter/30827/" TargetMode="External"/><Relationship Id="rId4134" Type="http://schemas.openxmlformats.org/officeDocument/2006/relationships/hyperlink" Target="https://www.monotaro.com/g/04234189/?t.q=%E3%83%AA%E3%83%81%E3%82%A6%E3%83%A0%E3%82%A4%E3%82%AA%E3%83%B3%E5%B0%82%E7%94%A8%E5%85%85%E9%9B%BB%E9%9B%BB%E6%B1%A0%2018650%E5%9E%8B%20%E5%85%85%E9%9B%BB%E5%99%A8" TargetMode="External"/><Relationship Id="rId4341" Type="http://schemas.openxmlformats.org/officeDocument/2006/relationships/hyperlink" Target="https://jp.rs-online.com/web/p/voltage-regulators/1311225" TargetMode="External"/><Relationship Id="rId1728" Type="http://schemas.openxmlformats.org/officeDocument/2006/relationships/hyperlink" Target="https://www.marutsu.co.jp/pc/i/1244/" TargetMode="External"/><Relationship Id="rId1935" Type="http://schemas.openxmlformats.org/officeDocument/2006/relationships/hyperlink" Target="https://www.digikey.jp/products/en/crystals-oscillators-resonators/vcos-voltage-controlled-oscillators/173?k=&amp;pkeyword=&amp;sv=0&amp;pv344=219962&amp;sf=0&amp;FV=-8%7C173%2C-1%7C744&amp;quantity=&amp;ColumnSort=0&amp;page=1&amp;pageSize=25" TargetMode="External"/><Relationship Id="rId3150" Type="http://schemas.openxmlformats.org/officeDocument/2006/relationships/hyperlink" Target="https://www.digikey.jp/product-detail/en/molex/0530480510/WM1745-ND/242867" TargetMode="External"/><Relationship Id="rId4201" Type="http://schemas.openxmlformats.org/officeDocument/2006/relationships/hyperlink" Target="https://www.mouser.jp/ProductDetail/Hirose-Electric/A3B-4PA-2DS51?qs=sGAEpiMZZMv0NwlthflBi4jsn6btZLXfA%2FJYKzSwQVc%3D" TargetMode="External"/><Relationship Id="rId3010" Type="http://schemas.openxmlformats.org/officeDocument/2006/relationships/hyperlink" Target="https://www.digikey.jp/product-detail/en/sullins-connector-solutions/PPTC032LFBN-RC/S7071-ND/810210" TargetMode="External"/><Relationship Id="rId3967" Type="http://schemas.openxmlformats.org/officeDocument/2006/relationships/hyperlink" Target="https://jp.misumi-ec.com/vona2/detail/221000348314/?PNSearch=SNSS-M1.6X5&amp;HissuCode=SNSS-M1.6X5&amp;searchFlow=suggesthistory&amp;Keyword=SNSS-M1.6X5&amp;list=SuggestPreview" TargetMode="External"/><Relationship Id="rId4" Type="http://schemas.openxmlformats.org/officeDocument/2006/relationships/hyperlink" Target="https://www.askul.co.jp/p/1854654/" TargetMode="External"/><Relationship Id="rId888" Type="http://schemas.openxmlformats.org/officeDocument/2006/relationships/hyperlink" Target="https://jp.rs-online.com/web/p/mlccs-multilayer-ceramic-capacitors/3936716/" TargetMode="External"/><Relationship Id="rId2569" Type="http://schemas.openxmlformats.org/officeDocument/2006/relationships/hyperlink" Target="https://www.monotaro.com/p/7592/5534/?t.q=usb%20%95%CF%8A%B7%83n%83u" TargetMode="External"/><Relationship Id="rId2776" Type="http://schemas.openxmlformats.org/officeDocument/2006/relationships/hyperlink" Target="https://www.digikey.jp/products/en?keywords=%09H10891-ND" TargetMode="External"/><Relationship Id="rId2983" Type="http://schemas.openxmlformats.org/officeDocument/2006/relationships/hyperlink" Target="https://www.digikey.jp/product-detail/ja/avx-corporation/0603YD334KAT2A/478-1247-1-ND/564279" TargetMode="External"/><Relationship Id="rId3827" Type="http://schemas.openxmlformats.org/officeDocument/2006/relationships/hyperlink" Target="https://www.monotaro.com/g/04039644/" TargetMode="External"/><Relationship Id="rId5182" Type="http://schemas.openxmlformats.org/officeDocument/2006/relationships/hyperlink" Target="https://mou.sr/3hxeysx" TargetMode="External"/><Relationship Id="rId748" Type="http://schemas.openxmlformats.org/officeDocument/2006/relationships/hyperlink" Target="https://www.digikey.jp/product-detail/en/ecs-inc/ECS-200-18-30BQ-DS/XC1997DKR-ND/4073674" TargetMode="External"/><Relationship Id="rId955" Type="http://schemas.openxmlformats.org/officeDocument/2006/relationships/hyperlink" Target="https://www.monotaro.com/g/01250064/?t.q=16716717" TargetMode="External"/><Relationship Id="rId1378" Type="http://schemas.openxmlformats.org/officeDocument/2006/relationships/hyperlink" Target="https://www.amazon.co.jp/gp/product/B07XQ68Q34/ref=ppx_yo_dt_b_asin_title_o06_s00?ie=UTF8&amp;psc=1" TargetMode="External"/><Relationship Id="rId1585" Type="http://schemas.openxmlformats.org/officeDocument/2006/relationships/hyperlink" Target="https://jp.misumi-ec.com/vona2/detail/221000351071/?CategorySpec=00000239007%3a%3amig00000002506379%0900000239090%3a%3amig00000002568311%0900000239362%3a%3aa%0900000239175%3a%3ag%0900000237493%3a%3ab%0900000238054%3a%3aa&amp;clkid=clkid_list_template" TargetMode="External"/><Relationship Id="rId1792" Type="http://schemas.openxmlformats.org/officeDocument/2006/relationships/hyperlink" Target="https://jp.rs-online.com/web/p/digital-transistors/2461738/?sra=pstk" TargetMode="External"/><Relationship Id="rId2429" Type="http://schemas.openxmlformats.org/officeDocument/2006/relationships/hyperlink" Target="https://www.amazon.co.jp/Vitade-windows10-%E3%82%B5%E3%83%9D%E3%83%BC%E3%83%88Windows-H-264%E3%82%A8%E3%83%B3%E3%82%B3%E3%83%BC%E3%83%87%E3%82%A3%E3%83%B3%E3%82%B0-45%E6%97%A5%E9%96%93%E8%BF%94%E9%87%91%E8%BF%94%E5%93%81%E5%AF%BE%E5%BF%9C/dp/B07VMMVQMD/ref=sr_1_3?__mk_ja_JP=%E3%82%AB%E3%82%BF%E3%82%AB%E3%83%8A&amp;dchild=1&amp;keywords=Web%E3%82%AB%E3%83%A1%E3%83%A9+%E3%83%A9%E3%82%A4%E3%83%88&amp;qid=1602833167&amp;s=computers&amp;sr=1-3" TargetMode="External"/><Relationship Id="rId2636" Type="http://schemas.openxmlformats.org/officeDocument/2006/relationships/hyperlink" Target="https://www.p-ban.com/" TargetMode="External"/><Relationship Id="rId2843" Type="http://schemas.openxmlformats.org/officeDocument/2006/relationships/hyperlink" Target="https://jp.misumi-ec.com/vona2/detail/110300538670/?HissuCode=PNFNN-160-160-10" TargetMode="External"/><Relationship Id="rId5042" Type="http://schemas.openxmlformats.org/officeDocument/2006/relationships/hyperlink" Target="https://www.mouser.jp/ProductDetail/YAGEO/RC0603FR-0733RL?qs=diQw95jMAeMotgif2GSHTQ%3D%3D" TargetMode="External"/><Relationship Id="rId84" Type="http://schemas.openxmlformats.org/officeDocument/2006/relationships/hyperlink" Target="https://www.digikey.jp/product-detail/en/microchip-technology/ATMEGA32U4-AUR/ATMEGA32U4-AURCT-ND/3440960" TargetMode="External"/><Relationship Id="rId608" Type="http://schemas.openxmlformats.org/officeDocument/2006/relationships/hyperlink" Target="http://byonics.com/add_to_cart?cost=25&amp;name=TinyTrak4+Chip" TargetMode="External"/><Relationship Id="rId815" Type="http://schemas.openxmlformats.org/officeDocument/2006/relationships/hyperlink" Target="https://www.digikey.jp/product-detail/ja/tensility-international-corp/CA-2215/CP-2215-ND/1129478" TargetMode="External"/><Relationship Id="rId1238" Type="http://schemas.openxmlformats.org/officeDocument/2006/relationships/hyperlink" Target="https://www.digikey.jp/products/ja?keywords=455-1583-1-ND" TargetMode="External"/><Relationship Id="rId1445" Type="http://schemas.openxmlformats.org/officeDocument/2006/relationships/hyperlink" Target="https://www.digikey.jp/product-detail/en/tdk-corporation/SPM5020T-3R3M-LR/445-174498-1-ND/5962424" TargetMode="External"/><Relationship Id="rId1652" Type="http://schemas.openxmlformats.org/officeDocument/2006/relationships/hyperlink" Target="http://www.ktek.jp/mini-ckt-atten-term-50-ohm.html" TargetMode="External"/><Relationship Id="rId1305" Type="http://schemas.openxmlformats.org/officeDocument/2006/relationships/hyperlink" Target="https://www.digikey.jp/products/en?keywords=H10903-ND%09" TargetMode="External"/><Relationship Id="rId2703" Type="http://schemas.openxmlformats.org/officeDocument/2006/relationships/hyperlink" Target="https://www.mouser.jp/ProductDetail/Stewart-Connector-Bel/940-SP-3088?qs=SRYZG9HaIQ0x5ZLF0K6Jlg%3D%3D" TargetMode="External"/><Relationship Id="rId2910" Type="http://schemas.openxmlformats.org/officeDocument/2006/relationships/hyperlink" Target="https://jp.rs-online.com/web/p/resistor-networks-resistor-arrays/7408767/" TargetMode="External"/><Relationship Id="rId1512" Type="http://schemas.openxmlformats.org/officeDocument/2006/relationships/hyperlink" Target="https://www.mouser.jp/manufacturer/extech/" TargetMode="External"/><Relationship Id="rId4668" Type="http://schemas.openxmlformats.org/officeDocument/2006/relationships/hyperlink" Target="https://jp.rs-online.com/web/p/wire-housings-plugs/4766782/?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041502D3034562D53267365617263685F6B6579776F72645F6170703D5041502D3034562D53267365617263685F636F6E6669673D3126&amp;searchHistory=%7B%22enabled%22%3Atrue%7D" TargetMode="External"/><Relationship Id="rId4875" Type="http://schemas.openxmlformats.org/officeDocument/2006/relationships/hyperlink" Target="https://www.minicircuits.com/WebStore/dashboard.html?model=PMA2-63LN%2B" TargetMode="External"/><Relationship Id="rId11" Type="http://schemas.openxmlformats.org/officeDocument/2006/relationships/hyperlink" Target="http://www.dxatlas.com/Register.asp" TargetMode="External"/><Relationship Id="rId398" Type="http://schemas.openxmlformats.org/officeDocument/2006/relationships/hyperlink" Target="https://www.digikey.jp/products/en/integrated-circuits-ics/embedded-microcontrollers/685?k=pic16f1789&amp;k=&amp;pkeyword=pic16f1789&amp;sv=0&amp;pv1291=7099&amp;sf=0&amp;quantity=&amp;ColumnSort=0&amp;page=1&amp;stock=1&amp;pageSize=25" TargetMode="External"/><Relationship Id="rId2079" Type="http://schemas.openxmlformats.org/officeDocument/2006/relationships/hyperlink" Target="https://jp.misumi-ec.com/vona2/detail/110302280540/?HissuCode=CBSTSR3-4&amp;PNSearch=CBSTSR3-4&amp;KWSearch=CBSTSR3-4&amp;searchFlow=results2products" TargetMode="External"/><Relationship Id="rId3477" Type="http://schemas.openxmlformats.org/officeDocument/2006/relationships/hyperlink" Target="https://www.amazon.co.jp/WITMOTION-RM3100-%E5%9C%B0%E7%A3%81%E6%B0%97%E3%80%81%E3%83%9F%E3%83%AA%E3%82%BF%E3%83%AA%E3%83%BC-%E3%82%BB%E3%83%B3%E3%82%B5%E3%80%81%E9%AB%98%E9%80%9F-%E3%83%A2%E3%82%B8%E3%83%A5%E3%83%BC%E3%83%AB%E3%80%81%E7%A3%81%E5%8A%9B%E8%A8%88/dp/B07RZZ9SBR/ref=asc_df_B07RZZ9SBR/?tag=jpgo-22&amp;linkCode=df0&amp;hvadid=342436761245&amp;hvpos=&amp;hvnetw=g&amp;hvrand=1580026373453074989&amp;hvpone=&amp;hvptwo=&amp;hvqmt=&amp;hvdev=c&amp;hvdvcmdl=&amp;hvlocint=&amp;hvlocphy=1009721&amp;hvtargid=pla-768825831824&amp;psc=1" TargetMode="External"/><Relationship Id="rId3684" Type="http://schemas.openxmlformats.org/officeDocument/2006/relationships/hyperlink" Target="https://www.digikey.jp/products/en?keywords=%09H10891-ND" TargetMode="External"/><Relationship Id="rId3891" Type="http://schemas.openxmlformats.org/officeDocument/2006/relationships/hyperlink" Target="https://www.amazon.co.jp/%E3%83%91%E3%83%8A%E3%82%BD%E3%83%8B%E3%83%83%E3%82%AF-eneloop-%E5%8D%983%E5%BD%A2%E5%85%85%E9%9B%BB%E6%B1%A0-%E3%82%B9%E3%82%BF%E3%83%B3%E3%83%80%E3%83%BC%E3%83%89%E3%83%A2%E3%83%87%E3%83%AB-BK-3MCC/dp/B00C48U2N6?th=1" TargetMode="External"/><Relationship Id="rId4528" Type="http://schemas.openxmlformats.org/officeDocument/2006/relationships/hyperlink" Target="https://jp.misumi-ec.com/vona2/detail/110400191420/?ProductCode=SMA-PP-C-1" TargetMode="External"/><Relationship Id="rId4735" Type="http://schemas.openxmlformats.org/officeDocument/2006/relationships/hyperlink" Target="https://www.digikey.jp/en/products/detail/metz-connect-usa-inc/PR20208VBNN/13402440" TargetMode="External"/><Relationship Id="rId4942" Type="http://schemas.openxmlformats.org/officeDocument/2006/relationships/hyperlink" Target="https://www.p-ban.com/" TargetMode="External"/><Relationship Id="rId2286" Type="http://schemas.openxmlformats.org/officeDocument/2006/relationships/hyperlink" Target="https://www.askul.co.jp/p/P212709/?int_id=recom_DtVar" TargetMode="External"/><Relationship Id="rId2493" Type="http://schemas.openxmlformats.org/officeDocument/2006/relationships/hyperlink" Target="https://www.digikey.jp/product-detail/ja/johanson-technology-inc/251R14S180JV4T/712-1322-1-ND/1786784" TargetMode="External"/><Relationship Id="rId3337" Type="http://schemas.openxmlformats.org/officeDocument/2006/relationships/hyperlink" Target="https://www.digikey.jp/product-detail/en/edac-inc/690-005-299-043/151-1206-1-ND/4312192" TargetMode="External"/><Relationship Id="rId3544" Type="http://schemas.openxmlformats.org/officeDocument/2006/relationships/hyperlink" Target="https://www.mouser.jp/ProductDetail/Murata-Electronics/GRT32EC81C476KE13L?qs=drgMNd%252BkGPPtGpVNHqAHBg%3D%3D" TargetMode="External"/><Relationship Id="rId3751" Type="http://schemas.openxmlformats.org/officeDocument/2006/relationships/hyperlink" Target="https://www.digikey.jp/product-detail/ja/amphenol-icc-commercial-products/G17S1510110EU/G17S1510110EU-ND/1242623" TargetMode="External"/><Relationship Id="rId4802" Type="http://schemas.openxmlformats.org/officeDocument/2006/relationships/hyperlink" Target="https://www.monotaro.com/p/3319/1961/?t.q=%8D%95%91%CC%83X%83v%83%8C%81%5B" TargetMode="External"/><Relationship Id="rId258" Type="http://schemas.openxmlformats.org/officeDocument/2006/relationships/hyperlink" Target="https://jp.rs-online.com/web/p/products/9158739P/" TargetMode="External"/><Relationship Id="rId465" Type="http://schemas.openxmlformats.org/officeDocument/2006/relationships/hyperlink" Target="https://jp.misumi-ec.com/vona2/detail/221006204423/?HissuCode=CU-305PH&amp;PNSearch=CU-305PH&amp;KWSearch=CU-305PH&amp;searchFlow=results2products" TargetMode="External"/><Relationship Id="rId672" Type="http://schemas.openxmlformats.org/officeDocument/2006/relationships/hyperlink" Target="https://jp.misumi-ec.com/vona2/detail/221000531734/?HissuCode=SPP-2.5-14-SUS" TargetMode="External"/><Relationship Id="rId1095" Type="http://schemas.openxmlformats.org/officeDocument/2006/relationships/hyperlink" Target="https://jp.rs-online.com/web/p/solder-d-sub-connectors/6918752/" TargetMode="External"/><Relationship Id="rId2146" Type="http://schemas.openxmlformats.org/officeDocument/2006/relationships/hyperlink" Target="https://jp.misumi-ec.com/vona2/detail/110302280540/?searchFlow=results2products&amp;KWSearch=CBSTSR2&amp;PNSearch=CBSTSR2-6&amp;HissuCode=CBSTSR2-6" TargetMode="External"/><Relationship Id="rId2353" Type="http://schemas.openxmlformats.org/officeDocument/2006/relationships/hyperlink" Target="https://hirosugi.co.jp/products/POM/C.html" TargetMode="External"/><Relationship Id="rId2560" Type="http://schemas.openxmlformats.org/officeDocument/2006/relationships/hyperlink" Target="https://www.askul.co.jp/p/A600130/" TargetMode="External"/><Relationship Id="rId3404" Type="http://schemas.openxmlformats.org/officeDocument/2006/relationships/hyperlink" Target="https://www.digikey.jp/product-detail/en/tensility-international-corp/30-01055/T1395-1-ND/9607987" TargetMode="External"/><Relationship Id="rId3611" Type="http://schemas.openxmlformats.org/officeDocument/2006/relationships/hyperlink" Target="https://jp.rs-online.com/web/p/isolation-amplifiers/7863158/" TargetMode="External"/><Relationship Id="rId118" Type="http://schemas.openxmlformats.org/officeDocument/2006/relationships/hyperlink" Target="https://jp.misumi-ec.com/vona2/detail/221000552007/" TargetMode="External"/><Relationship Id="rId325" Type="http://schemas.openxmlformats.org/officeDocument/2006/relationships/hyperlink" Target="https://www.digikey.jp/product-detail/en/rohm-semiconductor/DTC144EKAT146/DTC144EKAT146CT-ND/650727" TargetMode="External"/><Relationship Id="rId532" Type="http://schemas.openxmlformats.org/officeDocument/2006/relationships/hyperlink" Target="https://www.digikey.jp/products/en?keywords=BX0035" TargetMode="External"/><Relationship Id="rId1162" Type="http://schemas.openxmlformats.org/officeDocument/2006/relationships/hyperlink" Target="https://www.monotaro.com/g/00402917/" TargetMode="External"/><Relationship Id="rId2006" Type="http://schemas.openxmlformats.org/officeDocument/2006/relationships/hyperlink" Target="https://www.mouser.jp/ProductDetail/Analog-Devices-Linear-Technology/LTC4361IDC-2TRMPBF?qs=%2Fha2pyFaduhRHD2STwkwqrqCS4LMeLFy74nVaX1FKe4Lo55%2Foz%252BOjAtsUjBiOh5yGOUBpK5VhiA%3D" TargetMode="External"/><Relationship Id="rId2213" Type="http://schemas.openxmlformats.org/officeDocument/2006/relationships/hyperlink" Target="https://www.digikey.jp/product-detail/en/stackpole-electronics-inc/RSF2JT10K0/RSF2JT10K0CT-ND/2021808" TargetMode="External"/><Relationship Id="rId2420" Type="http://schemas.openxmlformats.org/officeDocument/2006/relationships/hyperlink" Target="https://www.digikey.jp/products/ja?keywords=455-1606-1-ND" TargetMode="External"/><Relationship Id="rId5369" Type="http://schemas.openxmlformats.org/officeDocument/2006/relationships/hyperlink" Target="https://www.mouser.jp/ProductDetail/Molex/202396-1507?qs=%2Fha2pyFaduilCYVPsmo%2FVif9l7JpBe9%252BzaNNzk%2Fv652GYl8oMnqI6Q==" TargetMode="External"/><Relationship Id="rId1022" Type="http://schemas.openxmlformats.org/officeDocument/2006/relationships/hyperlink" Target="https://www.digikey.jp/ja/supplier-centers/t/texas-instruments" TargetMode="External"/><Relationship Id="rId4178" Type="http://schemas.openxmlformats.org/officeDocument/2006/relationships/hyperlink" Target="https://www.mouser.jp/ProductDetail/TDK/CGA2B1X7R1C104K050BC?qs=NRhsANhppD8tgIeNjgC%2Fqg%3D%3D" TargetMode="External"/><Relationship Id="rId4385" Type="http://schemas.openxmlformats.org/officeDocument/2006/relationships/hyperlink" Target="https://www.mouser.jp/ProductDetail/Taoglas/CGGP254A02?qs=QpZVHcK7GhSAV47sa7%2Fgcg%3D%3D" TargetMode="External"/><Relationship Id="rId4592" Type="http://schemas.openxmlformats.org/officeDocument/2006/relationships/hyperlink" Target="https://akizukidenshi.com/catalog/g/gC-05779/" TargetMode="External"/><Relationship Id="rId5229" Type="http://schemas.openxmlformats.org/officeDocument/2006/relationships/hyperlink" Target="https://www.monotaro.com/p/0856/5401/" TargetMode="External"/><Relationship Id="rId1979" Type="http://schemas.openxmlformats.org/officeDocument/2006/relationships/hyperlink" Target="https://www.digikey.jp/product-detail/en/kemet/C0603C330J3GAC7867/399-15390-1-ND/7386788" TargetMode="External"/><Relationship Id="rId3194" Type="http://schemas.openxmlformats.org/officeDocument/2006/relationships/hyperlink" Target="https://jp.misumi-ec.com/vona2/detail/221005546331/?CategorySpec=00000217067%3a%3aa%0900000216977%3a%3af" TargetMode="External"/><Relationship Id="rId4038" Type="http://schemas.openxmlformats.org/officeDocument/2006/relationships/hyperlink" Target="https://www.amazon.co.jp/-/en/Sanwa-Electric-Instrument-Test-TL-A7M2/dp/B01EAKMN6Y/ref=sr_1_5?dchild=1&amp;keywords=TL-A7M2&amp;qid=1633048022&amp;sr=8-5" TargetMode="External"/><Relationship Id="rId4245" Type="http://schemas.openxmlformats.org/officeDocument/2006/relationships/hyperlink" Target="https://www.digikey.jp/ja/products/detail/anysolar-ltd/KXOB25-02X8F-TR/9990480" TargetMode="External"/><Relationship Id="rId1839" Type="http://schemas.openxmlformats.org/officeDocument/2006/relationships/hyperlink" Target="https://www.digikey.jp/product-detail/ja/koa-speer-electronics-inc/RK73H1JTTD1000F/2019-RK73H1JTTD1000FCT-ND/9846890" TargetMode="External"/><Relationship Id="rId3054" Type="http://schemas.openxmlformats.org/officeDocument/2006/relationships/hyperlink" Target="https://www.digikey.jp/products/ja?keywords=BAJ2DD0T" TargetMode="External"/><Relationship Id="rId4452" Type="http://schemas.openxmlformats.org/officeDocument/2006/relationships/hyperlink" Target="https://akizukidenshi.com/catalog/g/gM-07385/" TargetMode="External"/><Relationship Id="rId182" Type="http://schemas.openxmlformats.org/officeDocument/2006/relationships/hyperlink" Target="https://jp.misumi-ec.com/vona2/detail/221000607008/?KWSearch=POM%20%e3%83%97%e3%83%ac%e3%83%bc%e3%83%88&amp;searchFlow=results2products&amp;relatedKeyword=1" TargetMode="External"/><Relationship Id="rId1906" Type="http://schemas.openxmlformats.org/officeDocument/2006/relationships/hyperlink" Target="https://www.marutsu.co.jp/pc/i/132144/" TargetMode="External"/><Relationship Id="rId3261" Type="http://schemas.openxmlformats.org/officeDocument/2006/relationships/hyperlink" Target="https://www.uctronics.com/camera-modules/camera-for-raspberry-pi/https-www-uctronics-com-index-php-arducam-ov2311-mipi-2mp-global-shutter-mono-camera-module-html-2268.html" TargetMode="External"/><Relationship Id="rId4105" Type="http://schemas.openxmlformats.org/officeDocument/2006/relationships/hyperlink" Target="https://jp.misumi-ec.com/vona2/detail/110302679630/?ProductCode=FABS3-96" TargetMode="External"/><Relationship Id="rId4312" Type="http://schemas.openxmlformats.org/officeDocument/2006/relationships/hyperlink" Target="https://www.amazon.co.jp/-/en/PC3-12800-DDR3-1600-Panram-Laptop-Memory/dp/B00JPXFSDW/ref=sr_1_11?crid=33YUTI836NKU4&amp;keywords=ddr3l+8gb+crucial&amp;qid=1640240316&amp;sprefix=ddr3l+8gb+crucia%2Caps%2C175&amp;sr=8-11" TargetMode="External"/><Relationship Id="rId2070" Type="http://schemas.openxmlformats.org/officeDocument/2006/relationships/hyperlink" Target="https://jp.misumi-ec.com/vona2/detail/221006451056/?HissuCode=SNSL-M3X10&amp;PNSearch=SNSL-M3X10&amp;KWSearch=SNSL-M3X10&amp;searchFlow=results2products" TargetMode="External"/><Relationship Id="rId3121" Type="http://schemas.openxmlformats.org/officeDocument/2006/relationships/hyperlink" Target="https://www.digikey.jp/product-detail/en/kemet/C0603C104J4RACTU/399-1097-1-ND/411372" TargetMode="External"/><Relationship Id="rId999" Type="http://schemas.openxmlformats.org/officeDocument/2006/relationships/hyperlink" Target="http://akizukidenshi.com/catalog/g/gC-05779/" TargetMode="External"/><Relationship Id="rId2887" Type="http://schemas.openxmlformats.org/officeDocument/2006/relationships/hyperlink" Target="https://www.amazon.co.jp/SanDisk-microSDHC-SDSQUNS-016G-Class10-%E3%82%B5%E3%83%B3%E3%83%87%E3%82%A3%E3%82%B9%E3%82%AF/dp/B074B4P7KD/ref=pd_sbs_147_42?_encoding=UTF8&amp;pd_rd_i=B074B4P7KD&amp;pd_rd_r=bfea37b2-2f81-4dd9-82a6-dbea2cea493d&amp;pd_rd_w=OGEIP&amp;pd_rd_wg=mE2Sn&amp;pf_rd_p=c295905f-82f9-4d73-8142-c393a4211258&amp;pf_rd_r=ME0GAE6HC5MS6HENEQTZ&amp;psc=1&amp;refRID=ME0GAE6HC5MS6HENEQTZ" TargetMode="External"/><Relationship Id="rId5086" Type="http://schemas.openxmlformats.org/officeDocument/2006/relationships/hyperlink" Target="https://www.jakelectronics.com/productdetail/texasinstruments-tps82130silr-3701987" TargetMode="External"/><Relationship Id="rId5293" Type="http://schemas.openxmlformats.org/officeDocument/2006/relationships/hyperlink" Target="https://www.digikey.jp/en/products/detail/murata-electronics/GRM155R61A106ME11D/12091056" TargetMode="External"/><Relationship Id="rId859" Type="http://schemas.openxmlformats.org/officeDocument/2006/relationships/hyperlink" Target="https://jp.rs-online.com/web/p/through-hole-fixed-resistors/5328369/" TargetMode="External"/><Relationship Id="rId1489" Type="http://schemas.openxmlformats.org/officeDocument/2006/relationships/hyperlink" Target="http://akizukidenshi.com/catalog/g/gM-14839/" TargetMode="External"/><Relationship Id="rId1696" Type="http://schemas.openxmlformats.org/officeDocument/2006/relationships/hyperlink" Target="https://jp.misumi-ec.com/vona2/detail/221000823839/?KWSearch=%e3%83%95%e3%83%ad%e3%83%bc%e3%82%b9%e3%82%a4%e3%83%83%e3%83%81&amp;searchFlow=results2products" TargetMode="External"/><Relationship Id="rId3938" Type="http://schemas.openxmlformats.org/officeDocument/2006/relationships/hyperlink" Target="https://www.mouser.com/ProductDetail/ROHM-Semiconductor/DTC144EKAT146?qs=4kLU8WoGk0s6Af1cWyUglg%3D%3D&amp;utm_source=digipart&amp;utm_medium=aggregator&amp;utm_campaign=DTC144EKAT146&amp;utm_term=DTC144EKA&amp;utm_content=ROHM%20Semiconductor" TargetMode="External"/><Relationship Id="rId5153" Type="http://schemas.openxmlformats.org/officeDocument/2006/relationships/hyperlink" Target="https://jp.rs-online.com/web/p/sil-sockets/6811320" TargetMode="External"/><Relationship Id="rId5360" Type="http://schemas.openxmlformats.org/officeDocument/2006/relationships/hyperlink" Target="https://www.monotaro.com/p/1005/4256/?t.q=%83t%83%89%83b%83N%83X%90%F4%8F%F2%8D%DC" TargetMode="External"/><Relationship Id="rId1349" Type="http://schemas.openxmlformats.org/officeDocument/2006/relationships/hyperlink" Target="https://jp.misumi-ec.com/vona2/detail/110300437260/?CategorySpec=00000191172%3a%3ab%0900000191176%3a%3ac%0900000191186%3a%3aa&amp;clkid=clkid_list_template" TargetMode="External"/><Relationship Id="rId2747" Type="http://schemas.openxmlformats.org/officeDocument/2006/relationships/hyperlink" Target="https://www.monotaro.com/p/0706/4102/" TargetMode="External"/><Relationship Id="rId2954" Type="http://schemas.openxmlformats.org/officeDocument/2006/relationships/hyperlink" Target="https://www.askul.co.jp/p/8435560/?int_id=recom_DtVar" TargetMode="External"/><Relationship Id="rId5013" Type="http://schemas.openxmlformats.org/officeDocument/2006/relationships/hyperlink" Target="https://www.mouser.jp/ProductDetail/Nexperia/PMEG2010ER115?qs=%2Fha2pyFadujp3dcHNPxbXRc0to8rNi1zAJyCRgSrARKx1if86CV9yw%3D%3D" TargetMode="External"/><Relationship Id="rId5220" Type="http://schemas.openxmlformats.org/officeDocument/2006/relationships/hyperlink" Target="https://jp.misumi-ec.com/vona2/detail/221000550533/?ProductCode=HXN-SUS-M8-250" TargetMode="External"/><Relationship Id="rId719" Type="http://schemas.openxmlformats.org/officeDocument/2006/relationships/hyperlink" Target="https://www.digikey.jp/product-detail/ja/linear-technology-analog-devices/LTC4361IDC-2-TRMPBF/LTC4361IDC-2-TRMPBFCT-ND/2351620" TargetMode="External"/><Relationship Id="rId926" Type="http://schemas.openxmlformats.org/officeDocument/2006/relationships/hyperlink" Target="https://www.digikey.jp/product-detail/ja/tdk-corporation/C1608X8R1H104K080AB/445-8818-1-ND/3248223?cur=JPY&amp;lang=ja" TargetMode="External"/><Relationship Id="rId1556" Type="http://schemas.openxmlformats.org/officeDocument/2006/relationships/hyperlink" Target="https://www.digikey.jp/product-detail/ja/tripp-lite/U336-U03-GB/TL2301-ND/5359358" TargetMode="External"/><Relationship Id="rId1763" Type="http://schemas.openxmlformats.org/officeDocument/2006/relationships/hyperlink" Target="https://www.digikey.jp/product-detail/en/avx-corporation/08055F104K4T2A/478-3614-1-ND/1024967" TargetMode="External"/><Relationship Id="rId1970" Type="http://schemas.openxmlformats.org/officeDocument/2006/relationships/hyperlink" Target="https://www.monotaro.com/p/1134/8934/" TargetMode="External"/><Relationship Id="rId2607" Type="http://schemas.openxmlformats.org/officeDocument/2006/relationships/hyperlink" Target="https://www.digikey.jp/product-detail/en/analog-devices-inc/LT6106CS5-TRMPBF/LT6106CS5-TRMPBFCT-ND/1590293" TargetMode="External"/><Relationship Id="rId2814" Type="http://schemas.openxmlformats.org/officeDocument/2006/relationships/hyperlink" Target="https://www.monotaro.com/p/7606/6952/?t.attr_f4647=3P%28%90%DA%92n2P%29&amp;t.attr_f4648=3P%28%90%DA%92n2P%29%94%B2%8E%7E&amp;t.attr_f566=1&amp;t.attr_f568=6%8C%C2%8C%FB" TargetMode="External"/><Relationship Id="rId55" Type="http://schemas.openxmlformats.org/officeDocument/2006/relationships/hyperlink" Target="https://www.nbk1560.com/products/specialscrew/nedzicom/miniaturescrew/SNSS/" TargetMode="External"/><Relationship Id="rId1209" Type="http://schemas.openxmlformats.org/officeDocument/2006/relationships/hyperlink" Target="https://www.digikey.jp/product-detail/ja/tdk-corporation/CGA3E2NP01H103J080AA/445-12383-1-ND/3954049" TargetMode="External"/><Relationship Id="rId1416" Type="http://schemas.openxmlformats.org/officeDocument/2006/relationships/hyperlink" Target="https://www.digikey.jp/product-detail/en/vishay-dale/CRCW08054K99FKEAC/541-4138-1-ND/7928821" TargetMode="External"/><Relationship Id="rId1623" Type="http://schemas.openxmlformats.org/officeDocument/2006/relationships/hyperlink" Target="https://www.monotaro.com/brand/799/" TargetMode="External"/><Relationship Id="rId1830" Type="http://schemas.openxmlformats.org/officeDocument/2006/relationships/hyperlink" Target="https://jp.rs-online.com/web/p/mlccs-multilayer-ceramic-capacitors/1843832/" TargetMode="External"/><Relationship Id="rId4779" Type="http://schemas.openxmlformats.org/officeDocument/2006/relationships/hyperlink" Target="https://www.monotaro.com/p/0552/4145/?t.attr_f2=M3&amp;t.attr_f3=4" TargetMode="External"/><Relationship Id="rId4986" Type="http://schemas.openxmlformats.org/officeDocument/2006/relationships/hyperlink" Target="https://jp.misumi-ec.com/vona2/detail/221000016945/?ProductCode=C104" TargetMode="External"/><Relationship Id="rId3588" Type="http://schemas.openxmlformats.org/officeDocument/2006/relationships/hyperlink" Target="https://www.transistor-mosfet.com/transistor?search=LTO050FR4700JTE3" TargetMode="External"/><Relationship Id="rId3795" Type="http://schemas.openxmlformats.org/officeDocument/2006/relationships/hyperlink" Target="https://www.monotaro.com/g/02608625/?t.q=%83J%83v%83g%83%93%83e%81%5B%83v" TargetMode="External"/><Relationship Id="rId4639" Type="http://schemas.openxmlformats.org/officeDocument/2006/relationships/hyperlink" Target="https://jp.misumi-ec.com/vona2/mech_material/M1401000000/M1401100000/" TargetMode="External"/><Relationship Id="rId4846" Type="http://schemas.openxmlformats.org/officeDocument/2006/relationships/hyperlink" Target="https://www.digikey.jp/ja/products/base-product/texas-instruments/296/LMP8640/81126" TargetMode="External"/><Relationship Id="rId2397" Type="http://schemas.openxmlformats.org/officeDocument/2006/relationships/hyperlink" Target="https://www.digikey.jp/products/en?keywords=220-1030-ND" TargetMode="External"/><Relationship Id="rId3448" Type="http://schemas.openxmlformats.org/officeDocument/2006/relationships/hyperlink" Target="https://www.digikey.jp/product-detail/ja/rohm-semiconductor/DTC144EKAT146/DTC144EKAT146CT-ND/650727" TargetMode="External"/><Relationship Id="rId3655" Type="http://schemas.openxmlformats.org/officeDocument/2006/relationships/hyperlink" Target="https://www.digikey.jp/product-detail/en/murata-electronics/GJM1555C1H3R3CB01D/490-3095-1-ND/702361" TargetMode="External"/><Relationship Id="rId3862" Type="http://schemas.openxmlformats.org/officeDocument/2006/relationships/hyperlink" Target="https://www.askul.co.jp/p/X805355/" TargetMode="External"/><Relationship Id="rId4706" Type="http://schemas.openxmlformats.org/officeDocument/2006/relationships/hyperlink" Target="https://www.mouser.jp/ProductDetail/Linx-Technologies/CONSMA002-SMD-G-T?qs=%2Fha2pyFaduhQhcxMgrQoIsvLFrsRjW9pIc1sJa4Ph7iJHa7ohZF7HQ%3D%3D" TargetMode="External"/><Relationship Id="rId369" Type="http://schemas.openxmlformats.org/officeDocument/2006/relationships/hyperlink" Target="https://www.digikey.jp/products/ja?keywords=WM18635-ND" TargetMode="External"/><Relationship Id="rId576" Type="http://schemas.openxmlformats.org/officeDocument/2006/relationships/hyperlink" Target="https://www.digikey.jp/product-detail/en/microchip-technology/DN3135K1-G/DN3135K1-GCT-ND/4918723" TargetMode="External"/><Relationship Id="rId783" Type="http://schemas.openxmlformats.org/officeDocument/2006/relationships/hyperlink" Target="https://www.digikey.jp/product-detail/ja/jst-sales-america-inc/PAP-10V-S/455-1494-ND/759982" TargetMode="External"/><Relationship Id="rId990" Type="http://schemas.openxmlformats.org/officeDocument/2006/relationships/hyperlink" Target="https://jp.rs-online.com/web/p/through-hole-fixed-resistors/6636970/" TargetMode="External"/><Relationship Id="rId2257" Type="http://schemas.openxmlformats.org/officeDocument/2006/relationships/hyperlink" Target="https://www.monotaro.com/p/4144/6623/?t.q=M%208%20%20%2012%20mm%20%20%20%8B%C9%20%92%E1%93%AA" TargetMode="External"/><Relationship Id="rId2464" Type="http://schemas.openxmlformats.org/officeDocument/2006/relationships/hyperlink" Target="https://www.digikey.jp/product-detail/ja/stewart-connector/SS-60300-014/380-1327-ND/5824511?utm_adgroup=Modular%20Connectors&amp;utm_source=google&amp;utm_medium=cpc&amp;utm_campaign=Shopping_Product_Connectors%2C%20Interconnects_NEW&amp;utm_term=&amp;productid=5824511&amp;gclid=Cj0KCQjwxNT8BRD9ARIsAJ8S5xbeZXjTkZAhMOOiEvYqtufI-StZctpg4Ey7Sk-NeCH9ybzXPVUYaQwaAh1EEALw_wcB" TargetMode="External"/><Relationship Id="rId2671" Type="http://schemas.openxmlformats.org/officeDocument/2006/relationships/hyperlink" Target="https://www.mouser.jp/ProductDetail/KOA-Speer/RK73H1JTTD49R9F?qs=dA6digunydY3hFjfaq7OOw%3D%3D" TargetMode="External"/><Relationship Id="rId3308" Type="http://schemas.openxmlformats.org/officeDocument/2006/relationships/hyperlink" Target="https://www.digikey.jp/product-detail/ja/murata-electronics/BLM18AG601SN1D/490-1014-1-ND/584462" TargetMode="External"/><Relationship Id="rId3515" Type="http://schemas.openxmlformats.org/officeDocument/2006/relationships/hyperlink" Target="https://www.digikey.jp/product-detail/ja/analog-devices-inc/ADM7170ACPZ-5-0-R7/ADM7170ACPZ-5-0-R7CT-ND/6568635" TargetMode="External"/><Relationship Id="rId4913" Type="http://schemas.openxmlformats.org/officeDocument/2006/relationships/hyperlink" Target="https://www.amazon.co.jp/RTL-SDR-R820T2-RTL2832U-SMA%E3%82%BD%E3%83%95%E3%83%88%E3%82%A6%E3%82%A7%E3%82%A2%E5%AE%9A%E7%BE%A9%E3%83%A9%E3%82%B8%E3%82%AA-2%E5%80%8D%E4%BC%B8%E7%B8%AE%E3%82%A2%E3%83%B3%E3%83%86%E3%83%8A%E4%BB%98%E3%81%8D/dp/B011HVUEME/ref=sr_1_6?__mk_ja_JP=%E3%82%AB%E3%82%BF%E3%82%AB%E3%83%8A&amp;crid=GJTZKP4LMGN6&amp;keywords=SDR&amp;qid=1640584588&amp;sprefix=sdr%2Caps%2C316&amp;sr=8-6" TargetMode="External"/><Relationship Id="rId229" Type="http://schemas.openxmlformats.org/officeDocument/2006/relationships/hyperlink" Target="https://jp.rs-online.com/web/p/products/7427985/" TargetMode="External"/><Relationship Id="rId436" Type="http://schemas.openxmlformats.org/officeDocument/2006/relationships/hyperlink" Target="http://jp.rs-online.com/web/p/pcb-headers/5473150/" TargetMode="External"/><Relationship Id="rId643" Type="http://schemas.openxmlformats.org/officeDocument/2006/relationships/hyperlink" Target="https://www.digikey.jp/product-detail/en/stmicroelectronics/STM32F407VGT6/497-11605-ND/2747117" TargetMode="External"/><Relationship Id="rId1066" Type="http://schemas.openxmlformats.org/officeDocument/2006/relationships/hyperlink" Target="https://www.digikey.jp/product-detail/en/koa-speer-electronics-inc/UR73D1JTTD25L0F/2019-UR73D1JTTD25L0FDKR-ND/9849763" TargetMode="External"/><Relationship Id="rId1273" Type="http://schemas.openxmlformats.org/officeDocument/2006/relationships/hyperlink" Target="https://jp.misumi-ec.com/vona2/detail/110302683830/?KWSearch=%e3%82%a2%e3%83%ab%e3%83%9f%e3%83%95%e3%83%ac%e3%83%bc%e3%83%a0&amp;searchFlow=results2products" TargetMode="External"/><Relationship Id="rId1480" Type="http://schemas.openxmlformats.org/officeDocument/2006/relationships/hyperlink" Target="http://akizukidenshi.com/catalog/g/gM-13199/" TargetMode="External"/><Relationship Id="rId2117" Type="http://schemas.openxmlformats.org/officeDocument/2006/relationships/hyperlink" Target="https://www.askul.co.jp/p/9665152/?int_id=recom_DtRanking" TargetMode="External"/><Relationship Id="rId2324" Type="http://schemas.openxmlformats.org/officeDocument/2006/relationships/hyperlink" Target="https://jp.rs-online.com/web/p/leds/2622933/" TargetMode="External"/><Relationship Id="rId3722" Type="http://schemas.openxmlformats.org/officeDocument/2006/relationships/hyperlink" Target="https://jp.rs-online.com/web/p/mlccs-multilayer-ceramic-capacitors/9038720/?cm_mmc=JP-PPC-DS3A-_-google-_-3_JP_JP_%E5%8F%97%E5%8B%95%E9%83%A8%E5%93%81_%E7%A9%8D%E5%B1%A4%E3%82%BB%E3%83%A9%E3%83%9F%E3%83%83%E3%82%AF%E3%82%B3%E3%83%B3%E3%83%87%E3%83%B3%E3%82%B5(MLCC)_TDK_Exact-_-TDK+-+9038720+-+CGA4J3X7R1H105K125AB-_-cga4j3x7r1h105k125ab&amp;matchtype=e&amp;aud-772940708119:kwd-337173734281&amp;gclid=CjwKCAjw3MSHBhB3EiwAxcaEu6jyohBu6qAFJnDvKeQmHwA4BfnhgH18u2TQOaB4uxD5Z64MstpRnRoCHW8QAvD_BwE&amp;gclsrc=aw.ds" TargetMode="External"/><Relationship Id="rId850" Type="http://schemas.openxmlformats.org/officeDocument/2006/relationships/hyperlink" Target="https://www.digikey.com/product-detail/en/maxim-integrated/MAX4198ESA/MAX4198ESA-ND/1702090" TargetMode="External"/><Relationship Id="rId1133" Type="http://schemas.openxmlformats.org/officeDocument/2006/relationships/hyperlink" Target="https://www.mouser.jp/ProductDetail/Raspberry-Pi/94AC6637?qs=sGAEpiMZZMve4%2FbfQkoj%252BNdX7Jo1kJZksXa8BRFpTkk=" TargetMode="External"/><Relationship Id="rId2531" Type="http://schemas.openxmlformats.org/officeDocument/2006/relationships/hyperlink" Target="https://jp.misumi-ec.com/vona2/detail/221006204478/?HissuCode=C-308&amp;PNSearch=C-308&amp;KWSearch=C-308&amp;searchFlow=results2products" TargetMode="External"/><Relationship Id="rId4289" Type="http://schemas.openxmlformats.org/officeDocument/2006/relationships/hyperlink" Target="https://jp.misumi-ec.com/vona2/detail/221000551286/?ProductCode=CSH-SUS-M3-8" TargetMode="External"/><Relationship Id="rId503" Type="http://schemas.openxmlformats.org/officeDocument/2006/relationships/hyperlink" Target="https://jp.rs-online.com/web/p/surface-mount-fixed-resistors/0432539/?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437334A267374613D524B37334232415454443437334A26&amp;searchHistory=%7B%22enabled%22%3Atrue%7D" TargetMode="External"/><Relationship Id="rId710" Type="http://schemas.openxmlformats.org/officeDocument/2006/relationships/hyperlink" Target="https://www.digikey.jp/product-detail/ja/molex/0545502471/WM8810CT-ND/3197240" TargetMode="External"/><Relationship Id="rId1340" Type="http://schemas.openxmlformats.org/officeDocument/2006/relationships/hyperlink" Target="https://jp.misumi-ec.com/vona2/detail/110302686450/?HissuCode=HFSL6-3030-200&amp;PNSearch=HFSL6-3030-200&amp;KWSearch=HFSL6-3030-200&amp;searchFlow=results2products" TargetMode="External"/><Relationship Id="rId3098" Type="http://schemas.openxmlformats.org/officeDocument/2006/relationships/hyperlink" Target="https://jp.misumi-ec.com/vona2/detail/221006493726/?ProductCode=SHNS-M2-VA" TargetMode="External"/><Relationship Id="rId4496" Type="http://schemas.openxmlformats.org/officeDocument/2006/relationships/hyperlink" Target="https://jp.rs-online.com/web/p/desoldering-wicks-braids/0167728" TargetMode="External"/><Relationship Id="rId1200" Type="http://schemas.openxmlformats.org/officeDocument/2006/relationships/hyperlink" Target="https://jp.misumi-ec.com/vona2/detail/110301996860/?HissuCode=CBCPS8-30&amp;PNSearch=CBCPS8-30&amp;KWSearch=CBCPS8-30&amp;searchFlow=results2products" TargetMode="External"/><Relationship Id="rId4149" Type="http://schemas.openxmlformats.org/officeDocument/2006/relationships/hyperlink" Target="https://www.digikey.jp/products/en?keywords=NRPN202PAEN-RC" TargetMode="External"/><Relationship Id="rId4356" Type="http://schemas.openxmlformats.org/officeDocument/2006/relationships/hyperlink" Target="https://www.digikey.jp/ja/products/detail/crystek-corporation/CCSMA18-MM-141-6/2719019" TargetMode="External"/><Relationship Id="rId4563" Type="http://schemas.openxmlformats.org/officeDocument/2006/relationships/hyperlink" Target="https://www.mouser.jp/ProductDetail/Linx-Technologies/ADP-SMAF-SMAF-G?qs=sGAEpiMZZMvKcUa6gL0RXLNwhS3qh8q314fO3I3%252BDpnDP84SGddedg%3D%3D" TargetMode="External"/><Relationship Id="rId4770" Type="http://schemas.openxmlformats.org/officeDocument/2006/relationships/hyperlink" Target="https://jp.misumi-ec.com/vona2/detail/221303783852/?HissuCode=CSHBTT-SUS-M2-6&amp;PNSearch=CSHBTT-SUS-M2-6&amp;KWSearch=CSHBTT-SUS-M2-6&amp;searchFlow=results2products&amp;list=PageSearchResult" TargetMode="External"/><Relationship Id="rId3165" Type="http://schemas.openxmlformats.org/officeDocument/2006/relationships/hyperlink" Target="https://www.mouser.jp/ProductDetail/STMicroelectronics/P-NUCLEO-IHM03/?qs=%2Fha2pyFadujq%2FclLwJmBlMudZqgZ13tu4METfE%252BEf5LgxmnQxyvxJQ%3D%3D" TargetMode="External"/><Relationship Id="rId3372" Type="http://schemas.openxmlformats.org/officeDocument/2006/relationships/hyperlink" Target="https://www.digikey.jp/product-detail/ja/taiyo-yuden/UMK107ABJ105KAHT/587-3501-1-ND/4157264" TargetMode="External"/><Relationship Id="rId4009" Type="http://schemas.openxmlformats.org/officeDocument/2006/relationships/hyperlink" Target="https://jp.rs-online.com/web/p/surface-mount-fixed-resistors/6836066/" TargetMode="External"/><Relationship Id="rId4216" Type="http://schemas.openxmlformats.org/officeDocument/2006/relationships/hyperlink" Target="https://www.mouser.jp/ProductDetail/KEMET/C0805C220K5GACAUTO?qs=2FIyTMJ0hNn9t4xY4mAJ1g%3D%3D" TargetMode="External"/><Relationship Id="rId4423" Type="http://schemas.openxmlformats.org/officeDocument/2006/relationships/hyperlink" Target="https://jp.misumi-ec.com/vona2/detail/110302696860/?ProductCode=PTFE-120-100-8" TargetMode="External"/><Relationship Id="rId4630" Type="http://schemas.openxmlformats.org/officeDocument/2006/relationships/hyperlink" Target="https://jp.rs-online.com/web/p/solid-state-relays/6996632" TargetMode="External"/><Relationship Id="rId293" Type="http://schemas.openxmlformats.org/officeDocument/2006/relationships/hyperlink" Target="https://www.digikey.jp/product-detail/en/sparkfun-electronics/PRT-12794/1568-1511-ND/5993859" TargetMode="External"/><Relationship Id="rId2181" Type="http://schemas.openxmlformats.org/officeDocument/2006/relationships/hyperlink" Target="https://jp.misumi-ec.com/vona2/detail/110300442340/" TargetMode="External"/><Relationship Id="rId3025" Type="http://schemas.openxmlformats.org/officeDocument/2006/relationships/hyperlink" Target="https://jp.misumi-ec.com/vona2/detail/221000551286/?rid=hs_221000551309_221000551286" TargetMode="External"/><Relationship Id="rId3232" Type="http://schemas.openxmlformats.org/officeDocument/2006/relationships/hyperlink" Target="https://jp.misumi-ec.com/vona2/detail/221006205109/?ProductCode=TT-0310-20" TargetMode="External"/><Relationship Id="rId153" Type="http://schemas.openxmlformats.org/officeDocument/2006/relationships/hyperlink" Target="https://www.amazon.co.jp/dp/B07G3ZQ2ZV/ref=pe_492632_159100282_TE_item" TargetMode="External"/><Relationship Id="rId360" Type="http://schemas.openxmlformats.org/officeDocument/2006/relationships/hyperlink" Target="https://www.digikey.jp/products/ja?keywords=490-1165-1-ND" TargetMode="External"/><Relationship Id="rId2041" Type="http://schemas.openxmlformats.org/officeDocument/2006/relationships/hyperlink" Target="https://meviy.misumi-ec.com/" TargetMode="External"/><Relationship Id="rId5197" Type="http://schemas.openxmlformats.org/officeDocument/2006/relationships/hyperlink" Target="https://www.mouser.jp/ProductDetail/Vishay-Siliconix/SQ1922EEH-T1_GE3?qs=5aG0NVq1C4zgswHNsm2zSQ%3D%3D" TargetMode="External"/><Relationship Id="rId220" Type="http://schemas.openxmlformats.org/officeDocument/2006/relationships/hyperlink" Target="https://www.graphic.jp/" TargetMode="External"/><Relationship Id="rId2998" Type="http://schemas.openxmlformats.org/officeDocument/2006/relationships/hyperlink" Target="https://www.digikey.jp/product-detail/ja/microchip-technology/MCP6021-E-SN/MCP6021-E-SN-ND/683215" TargetMode="External"/><Relationship Id="rId5057" Type="http://schemas.openxmlformats.org/officeDocument/2006/relationships/hyperlink" Target="https://jp.misumi-ec.com/vona2/detail/110300538670/?PNSearch=PNLNM-375-285-6&amp;HissuCode=PNLNM-375-285-6&amp;searchFlow=suggest2products&amp;Keyword=PNLNM-375-285-6&amp;list=SuggestPreview" TargetMode="External"/><Relationship Id="rId5264" Type="http://schemas.openxmlformats.org/officeDocument/2006/relationships/hyperlink" Target="https://www.lenovo.com/jp/ja/p/laptops/thinkpad/thinkpad-e-series/e15-g2/20tds19500" TargetMode="External"/><Relationship Id="rId2858" Type="http://schemas.openxmlformats.org/officeDocument/2006/relationships/hyperlink" Target="https://jp.misumi-ec.com/vona2/detail/221006204478/?HissuCode=C-319" TargetMode="External"/><Relationship Id="rId3909" Type="http://schemas.openxmlformats.org/officeDocument/2006/relationships/hyperlink" Target="https://jp.misumi-ec.com/vona2/detail/221000551859/?ProductCode=WSP2-SUS-M8" TargetMode="External"/><Relationship Id="rId4073" Type="http://schemas.openxmlformats.org/officeDocument/2006/relationships/hyperlink" Target="https://www.chip1stop.com/view/dispDetail/DispDetail?partId=HIRO-0021665&amp;mpn=A3C-50DA-2DSA%2871%29&amp;keyword=A3C-50DA-2DSA%252871%2529" TargetMode="External"/><Relationship Id="rId99" Type="http://schemas.openxmlformats.org/officeDocument/2006/relationships/hyperlink" Target="https://www.digikey.jp/product-detail/ja/rohm-semiconductor/DTC144EKAT146/DTC144EKAT146CT-ND/650727" TargetMode="External"/><Relationship Id="rId1667" Type="http://schemas.openxmlformats.org/officeDocument/2006/relationships/hyperlink" Target="https://coax-cable.net/" TargetMode="External"/><Relationship Id="rId1874" Type="http://schemas.openxmlformats.org/officeDocument/2006/relationships/hyperlink" Target="https://www.digikey.jp/product-detail/en/koa-speer-electronics-inc/RK73H2ATTD1004F/2019-RK73H2ATTD1004FCT-ND/10235124" TargetMode="External"/><Relationship Id="rId2718" Type="http://schemas.openxmlformats.org/officeDocument/2006/relationships/hyperlink" Target="https://www.switch-science.com/catalog/6266/" TargetMode="External"/><Relationship Id="rId2925" Type="http://schemas.openxmlformats.org/officeDocument/2006/relationships/hyperlink" Target="https://www.digikey.jp/product-detail/ja/e-switch/TL3301NF260QG/EG1868CT-ND/271603" TargetMode="External"/><Relationship Id="rId4280" Type="http://schemas.openxmlformats.org/officeDocument/2006/relationships/hyperlink" Target="https://coax-cable.net/custom/" TargetMode="External"/><Relationship Id="rId5124" Type="http://schemas.openxmlformats.org/officeDocument/2006/relationships/hyperlink" Target="https://www.monotaro.com/p/1131/7172/" TargetMode="External"/><Relationship Id="rId5331" Type="http://schemas.openxmlformats.org/officeDocument/2006/relationships/hyperlink" Target="https://www.digikey.jp/en/products/detail/abracon-llc/AMDLA3020S-1R5MT/13244875?s=N4IgTCBcDaIIIFkAiAZOBmADGTBlAtAIwBKArAgCogC6AvkA" TargetMode="External"/><Relationship Id="rId1527" Type="http://schemas.openxmlformats.org/officeDocument/2006/relationships/hyperlink" Target="https://www.digikey.jp/product-detail/en/atp-electronics-inc/AF16GUD3-OEM/AF16GUD3-OEM-ND/5022269" TargetMode="External"/><Relationship Id="rId1734" Type="http://schemas.openxmlformats.org/officeDocument/2006/relationships/hyperlink" Target="https://www.marutsu.co.jp/pc/i/1358923/" TargetMode="External"/><Relationship Id="rId1941" Type="http://schemas.openxmlformats.org/officeDocument/2006/relationships/hyperlink" Target="https://www.mouser.jp/ProductDetail/Analog-Devices/ADG901BRMZ-REEL7?qs=BpaRKvA4VqGtXy7JBFLGiA==" TargetMode="External"/><Relationship Id="rId4140" Type="http://schemas.openxmlformats.org/officeDocument/2006/relationships/hyperlink" Target="https://www.amazon.co.jp/%E3%82%B5%E3%83%B3%E3%83%AF%E3%82%B5%E3%83%97%E3%83%A9%E3%82%A4-LAN%E3%82%B1%E3%83%BC%E3%83%96%E3%83%AB-%E3%82%AB%E3%83%86%E3%82%B4%E3%83%AA6A-%E3%82%B9%E3%83%88%E3%83%AC%E3%83%BC%E3%83%88%E7%B5%90%E7%B7%9A-KB-T6ASTP-01GY/dp/B089GRPYVF/ref=asc_df_B089GRD5FY/?tag=jpgo-22&amp;linkCode=df0&amp;hvadid=441124471565&amp;hvpos=&amp;hvnetw=g&amp;hvrand=12508081134621833523&amp;hvpone=&amp;hvptwo=&amp;hvqmt=&amp;hvdev=c&amp;hvdvcmdl=&amp;hvlocint=&amp;hvlocphy=1009721&amp;hvtargid=pla-973020443265&amp;th=1" TargetMode="External"/><Relationship Id="rId26" Type="http://schemas.openxmlformats.org/officeDocument/2006/relationships/hyperlink" Target="https://jp.rs-online.com/web/p/pcb-headers/5151434/?sra=pstk" TargetMode="External"/><Relationship Id="rId3699" Type="http://schemas.openxmlformats.org/officeDocument/2006/relationships/hyperlink" Target="https://www.mouser.jp/ProductDetail/Microchip-Technology/MCP602T-I-SN?qs=TQnwojwsYvjO8LpVbD0MHw%3D%3D" TargetMode="External"/><Relationship Id="rId4000" Type="http://schemas.openxmlformats.org/officeDocument/2006/relationships/hyperlink" Target="https://www.digikey.jp/products/ja?keywords=296-46210-1-ND" TargetMode="External"/><Relationship Id="rId1801" Type="http://schemas.openxmlformats.org/officeDocument/2006/relationships/hyperlink" Target="https://www.digikey.jp/product-detail/en/psemi/4259-63/1046-1011-1-ND/2614515" TargetMode="External"/><Relationship Id="rId3559" Type="http://schemas.openxmlformats.org/officeDocument/2006/relationships/hyperlink" Target="https://www.mouser.jp/ProductDetail/Micro-Crystal/OV-7604-C7-32768k-10PPM-TB-QA?qs=7bTaA%2FLYtSaIPRV8dgEc5Q%3D%3D" TargetMode="External"/><Relationship Id="rId4957" Type="http://schemas.openxmlformats.org/officeDocument/2006/relationships/hyperlink" Target="https://jp.misumi-ec.com/vona2/detail/221000551286/?HissuCode=CSH-SUS-M1.6-4" TargetMode="External"/><Relationship Id="rId687" Type="http://schemas.openxmlformats.org/officeDocument/2006/relationships/hyperlink" Target="https://www.digikey.jp/product-detail/en/tdk-corporation/CGA3E2C0G1H180J080AA/445-5631-1-ND/2443671" TargetMode="External"/><Relationship Id="rId2368" Type="http://schemas.openxmlformats.org/officeDocument/2006/relationships/hyperlink" Target="https://jp.misumi-ec.com/vona2/detail/221000348314/?HissuCode=SNSS-M2X5" TargetMode="External"/><Relationship Id="rId3766" Type="http://schemas.openxmlformats.org/officeDocument/2006/relationships/hyperlink" Target="https://www.digikey.jp/product-detail/en/B32529C1104J189/495-5055-1-ND/3913355?itemSeq=373417957" TargetMode="External"/><Relationship Id="rId3973" Type="http://schemas.openxmlformats.org/officeDocument/2006/relationships/hyperlink" Target="https://jp.misumi-ec.com/vona2/detail/221006204478/?PNSearch=C-301-5&amp;HissuCode=C-301-5&amp;searchFlow=suggest2products&amp;Keyword=C-301-5&amp;list=SuggestPreview" TargetMode="External"/><Relationship Id="rId4817" Type="http://schemas.openxmlformats.org/officeDocument/2006/relationships/hyperlink" Target="https://www.digikey.jp/en/products/detail/pomona-electronics/3288/1014898" TargetMode="External"/><Relationship Id="rId894" Type="http://schemas.openxmlformats.org/officeDocument/2006/relationships/hyperlink" Target="https://jp.rs-online.com/web/p/wire-wound-surface-mount-inductors/7923953/" TargetMode="External"/><Relationship Id="rId1177" Type="http://schemas.openxmlformats.org/officeDocument/2006/relationships/hyperlink" Target="https://jp.rs-online.com/web/p/digital-transistors/2461738/" TargetMode="External"/><Relationship Id="rId2575" Type="http://schemas.openxmlformats.org/officeDocument/2006/relationships/hyperlink" Target="https://jp.rs-online.com/web/p/sensor-accessories/4559764/?sra=pstk" TargetMode="External"/><Relationship Id="rId2782" Type="http://schemas.openxmlformats.org/officeDocument/2006/relationships/hyperlink" Target="https://www.digikey.jp/product-detail/ja/kemet/C1206C106M3RACAUTO/399-15731-1-ND/" TargetMode="External"/><Relationship Id="rId3419" Type="http://schemas.openxmlformats.org/officeDocument/2006/relationships/hyperlink" Target="https://jp.misumi-ec.com/vona2/detail/110302679630/?ProductCode=FABS3-96" TargetMode="External"/><Relationship Id="rId3626" Type="http://schemas.openxmlformats.org/officeDocument/2006/relationships/hyperlink" Target="https://www.digikey.jp/products/ja?keywords=PIC18F67J94-IMR" TargetMode="External"/><Relationship Id="rId3833" Type="http://schemas.openxmlformats.org/officeDocument/2006/relationships/hyperlink" Target="https://jp.misumi-ec.com/vona2/detail/221006493827/?HissuCode=SNSS-M2-6-SD&amp;PNSearch=SNSS-M2-6-SD&amp;KWSearch=SNSS-M2-6-SD&amp;searchFlow=results2products" TargetMode="External"/><Relationship Id="rId547" Type="http://schemas.openxmlformats.org/officeDocument/2006/relationships/hyperlink" Target="https://www.digikey.jp/products/en?keywords=MCP6032-E%2FSN-ND" TargetMode="External"/><Relationship Id="rId754" Type="http://schemas.openxmlformats.org/officeDocument/2006/relationships/hyperlink" Target="https://www.digikey.jp/product-detail/ja/murata-electronics-north-america/GJM1555C1H470GB01D/490-16375-1-ND/7363357" TargetMode="External"/><Relationship Id="rId961" Type="http://schemas.openxmlformats.org/officeDocument/2006/relationships/hyperlink" Target="https://www.mouser.jp/ProductDetail/Analog-Devices/ADG774ABRQZ/?qs=sGAEpiMZZMtxrAS98ir%252bs4YpfXGcyaottj9R6BtLBFY=" TargetMode="External"/><Relationship Id="rId1384" Type="http://schemas.openxmlformats.org/officeDocument/2006/relationships/hyperlink" Target="https://www.digikey.jp/product-detail/en/kemet/C0805C181K5GACTU/399-9182-1-ND/3522700" TargetMode="External"/><Relationship Id="rId1591" Type="http://schemas.openxmlformats.org/officeDocument/2006/relationships/hyperlink" Target="https://www.digikey.jp/product-detail/en/adafruit-industries-llc/1954/1528-1964-ND/6827087" TargetMode="External"/><Relationship Id="rId2228" Type="http://schemas.openxmlformats.org/officeDocument/2006/relationships/hyperlink" Target="https://www.monotaro.com/g/00503904/?t.q=SSHS-M2-8" TargetMode="External"/><Relationship Id="rId2435" Type="http://schemas.openxmlformats.org/officeDocument/2006/relationships/hyperlink" Target="https://akizukidenshi.com/catalog/g/gR-08804/" TargetMode="External"/><Relationship Id="rId2642" Type="http://schemas.openxmlformats.org/officeDocument/2006/relationships/hyperlink" Target="https://www.monotaro.com/p/3469/3714/?t.attr_f568=7%8C%C2%8C%FB&amp;t.q=%83%7D%83%8B%83%60%83%5E%83b%83v" TargetMode="External"/><Relationship Id="rId3900" Type="http://schemas.openxmlformats.org/officeDocument/2006/relationships/hyperlink" Target="http://www.hirosugi.com/catalogue/index.html" TargetMode="External"/><Relationship Id="rId90" Type="http://schemas.openxmlformats.org/officeDocument/2006/relationships/hyperlink" Target="https://www.digikey.jp/product-detail/en/rf-solutions/RFM98W-433S2/RFM98W-433S2-ND/6564924" TargetMode="External"/><Relationship Id="rId407" Type="http://schemas.openxmlformats.org/officeDocument/2006/relationships/hyperlink" Target="https://www.digikey.jp/product-detail/ja/J-7-V22/SW817-ND/699997/?itemSeq=284879251" TargetMode="External"/><Relationship Id="rId614" Type="http://schemas.openxmlformats.org/officeDocument/2006/relationships/hyperlink" Target="https://www.digikey.jp/product-detail/en/tdk-corporation/MLH2012F22NKT000/445-174893-1-ND/6642485" TargetMode="External"/><Relationship Id="rId821" Type="http://schemas.openxmlformats.org/officeDocument/2006/relationships/hyperlink" Targe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 TargetMode="External"/><Relationship Id="rId1037" Type="http://schemas.openxmlformats.org/officeDocument/2006/relationships/hyperlink" Target="https://www.digikey.jp/product-detail/en/tdk-corporation/CGA3E3X8R1H104K080AB/445-12606-1-ND/3954272" TargetMode="External"/><Relationship Id="rId1244" Type="http://schemas.openxmlformats.org/officeDocument/2006/relationships/hyperlink" Target="https://www.monotaro.com/p/4514/8442/" TargetMode="External"/><Relationship Id="rId1451" Type="http://schemas.openxmlformats.org/officeDocument/2006/relationships/hyperlink" Target="https://www.digikey.jp/product-detail/en/semtech-corporation/SX1278IMLTRT/SX1278IMLTRTCT-ND/5226787?cur=JPY&amp;lang=en" TargetMode="External"/><Relationship Id="rId2502" Type="http://schemas.openxmlformats.org/officeDocument/2006/relationships/hyperlink" Target="https://jp.misumi-ec.com/vona2/detail/221000349089/?HissuCode=SSH-M3X6-EL" TargetMode="External"/><Relationship Id="rId1104" Type="http://schemas.openxmlformats.org/officeDocument/2006/relationships/hyperlink" Target="https://www.digikey.jp/product-detail/ja/microchip-technology/MCP601T-I-OT/MCP601T-I-OTCT-ND/418616" TargetMode="External"/><Relationship Id="rId1311" Type="http://schemas.openxmlformats.org/officeDocument/2006/relationships/hyperlink" Target="https://www.digikey.jp/product-detail/en/on-semiconductor/NCV1117ST18T3G/NCV1117ST18T3GOSCT-ND/3487436" TargetMode="External"/><Relationship Id="rId4467" Type="http://schemas.openxmlformats.org/officeDocument/2006/relationships/hyperlink" Target="https://www.digikey.jp/ja/products/detail/koa-speer-electronics-inc/RK73B1JTTD154J/9844780?s=N4IgTCBcDaIEoGkDsBmAQgRgFIBUcBEMBWAFixAF0BfIA" TargetMode="External"/><Relationship Id="rId4674" Type="http://schemas.openxmlformats.org/officeDocument/2006/relationships/hyperlink" Target="https://jp.rs-online.com/web/p/mlccs-multilayer-ceramic-capacitors/8015202/?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830312D35323032267365617263685F6B6579776F72645F6170703D38303135323032267365617263685F636F6E6669673D3126&amp;searchHistory=%7B%22enabled%22%3Atrue%7D" TargetMode="External"/><Relationship Id="rId4881" Type="http://schemas.openxmlformats.org/officeDocument/2006/relationships/hyperlink" Target="https://www.pisco-s-net.co.jp/?pid=113464498" TargetMode="External"/><Relationship Id="rId3069" Type="http://schemas.openxmlformats.org/officeDocument/2006/relationships/hyperlink" Target="https://jp.misumi-ec.com/vona2/detail/110302280540/?CategorySpec=00000217040%3a%3amig00000002457000%0900000217056%3a%3amig00000002456996%0900000217074%3a%3ad%0900000216906%3a%3aa%0900000217098%3a%3ab" TargetMode="External"/><Relationship Id="rId3276" Type="http://schemas.openxmlformats.org/officeDocument/2006/relationships/hyperlink" Target="https://www.digikey.jp/product-detail/ja/analog-devices-inc/ADUM4190ARIZ/ADUM4190ARIZ-ND/3882156" TargetMode="External"/><Relationship Id="rId3483" Type="http://schemas.openxmlformats.org/officeDocument/2006/relationships/hyperlink" Target="https://www.hamradio.com/detail.cfm?pid=H0-012362" TargetMode="External"/><Relationship Id="rId3690" Type="http://schemas.openxmlformats.org/officeDocument/2006/relationships/hyperlink" Target="https://www.digikey.jp/product-detail/en/w%C3%BCrth-elektronik/150060SS75000/732-4979-1-ND/4489902" TargetMode="External"/><Relationship Id="rId4327" Type="http://schemas.openxmlformats.org/officeDocument/2006/relationships/hyperlink" Target="https://www.digikey.jp/ja/products/detail/panasonic-electric-works/AQZ104/646370" TargetMode="External"/><Relationship Id="rId4534" Type="http://schemas.openxmlformats.org/officeDocument/2006/relationships/hyperlink" Target="https://www.mouser.jp/ProductDetail/Linx-Technologies/CSI-SGFB-100-UFFR?qs=j%252B1pi9TdxUalr59v4wjxig%3D%3D" TargetMode="External"/><Relationship Id="rId197" Type="http://schemas.openxmlformats.org/officeDocument/2006/relationships/hyperlink" Target="https://www.digikey.jp/products/en?keywords=945-2061-5-ND" TargetMode="External"/><Relationship Id="rId2085" Type="http://schemas.openxmlformats.org/officeDocument/2006/relationships/hyperlink" Target="https://jp.misumi-ec.com/vona2/detail/110300239250/?HissuCode=SCB3-8&amp;PNSearch=SCB3-8&amp;KWSearch=SCB3-8&amp;searchFlow=results2products" TargetMode="External"/><Relationship Id="rId2292" Type="http://schemas.openxmlformats.org/officeDocument/2006/relationships/hyperlink" Target="https://www.monotaro.com/p/4154/7581/?t.q=%83C%83%82%83l%83W" TargetMode="External"/><Relationship Id="rId3136" Type="http://schemas.openxmlformats.org/officeDocument/2006/relationships/hyperlink" Target="https://www.digikey.jp/product-detail/en/rohm-semiconductor/ESR03EZPF2000/RHM200ADCT-ND/1983760" TargetMode="External"/><Relationship Id="rId3343" Type="http://schemas.openxmlformats.org/officeDocument/2006/relationships/hyperlink" Target="https://www.digikey.jp/product-detail/en/samtec-inc/TSW-150-07-T-S/SAM1035-50-ND/1101574" TargetMode="External"/><Relationship Id="rId4741" Type="http://schemas.openxmlformats.org/officeDocument/2006/relationships/hyperlink" Target="https://www.m2inc.com/FGCBLB13" TargetMode="External"/><Relationship Id="rId264" Type="http://schemas.openxmlformats.org/officeDocument/2006/relationships/hyperlink" Target="https://www.schaft-japan.com/service/clock/wall15_request.html" TargetMode="External"/><Relationship Id="rId471" Type="http://schemas.openxmlformats.org/officeDocument/2006/relationships/hyperlink" Target="https://www.amazon.co.jp/gp/product/B00W4T1HSY/ref=ox_sc_act_title_3?smid=A245ZZGYDH3641&amp;psc=1" TargetMode="External"/><Relationship Id="rId2152" Type="http://schemas.openxmlformats.org/officeDocument/2006/relationships/hyperlink" Target="https://www.monotaro.com/p/6738/7784/?utm_medium=cpc&amp;utm_source=Adwords&amp;utm_campaign=246-833-4061_6466659573&amp;utm_content=77481174476&amp;utm_term=_380604181365__pla-799401264920&amp;gclid=Cj0KCQjw3ZX4BRDmARIsAFYh7ZINLp4EP9rrJBsS6c_LqdTlDAw5xZIbWeJUNZUPsP5I6K8xY2gHjP8aAttjEALw_wcB" TargetMode="External"/><Relationship Id="rId3550" Type="http://schemas.openxmlformats.org/officeDocument/2006/relationships/hyperlink" Target="https://www.mouser.jp/ProductDetail/Panasonic/ERJ-6GEYJ202V?qs=tQNqqtTOejIIQ7OKxiM92w%3D%3D" TargetMode="External"/><Relationship Id="rId4601" Type="http://schemas.openxmlformats.org/officeDocument/2006/relationships/hyperlink" Target="https://store.shopping.yahoo.co.jp/yorozuryutu/?sc_i=shp_pc_store-item_strh" TargetMode="External"/><Relationship Id="rId124" Type="http://schemas.openxmlformats.org/officeDocument/2006/relationships/hyperlink" Target="https://www.lensation.de/product/B5M2916C/" TargetMode="External"/><Relationship Id="rId3203" Type="http://schemas.openxmlformats.org/officeDocument/2006/relationships/hyperlink" Target="https://akizukidenshi.com/catalog/g/gS-15845/" TargetMode="External"/><Relationship Id="rId3410" Type="http://schemas.openxmlformats.org/officeDocument/2006/relationships/hyperlink" Target="https://www.digikey.jp/product-detail/en/cinch-connectivity-solutions-aim-cambridge/40-9709H/367-1139-ND/3830261" TargetMode="External"/><Relationship Id="rId331" Type="http://schemas.openxmlformats.org/officeDocument/2006/relationships/hyperlink" Target="https://jp.rs-online.com/web/p/ufl-connectors/1250330/" TargetMode="External"/><Relationship Id="rId2012" Type="http://schemas.openxmlformats.org/officeDocument/2006/relationships/hyperlink" Target="https://www.digikey.jp/product-detail/en/ecs-inc/ECS-250-18-23A-EN-TR/XC1671CT-ND/2213823" TargetMode="External"/><Relationship Id="rId2969" Type="http://schemas.openxmlformats.org/officeDocument/2006/relationships/hyperlink" Target="https://www.digikey.jp/product-detail/ja/texas-instruments/LM19CIZ-NOPB/LM19CIZ-NOPB-ND/562175" TargetMode="External"/><Relationship Id="rId5168" Type="http://schemas.openxmlformats.org/officeDocument/2006/relationships/hyperlink" Target="https://www.aliexpress.com/item/32990515324.html?spm=a2g0o.store_pc_allProduct.8148356.4.47f27f88LAEfQg&amp;pdp_npi=2%40dis%21JPY%21%EF%BF%A5%20586%21%EF%BF%A5%20421%21%EF%BF%A5%20586%21%21%21%21%40210318d116672275974216948ead3f%2166910568268%21sh" TargetMode="External"/><Relationship Id="rId5375" Type="http://schemas.openxmlformats.org/officeDocument/2006/relationships/vmlDrawing" Target="../drawings/vmlDrawing1.vml"/><Relationship Id="rId1778" Type="http://schemas.openxmlformats.org/officeDocument/2006/relationships/hyperlink" Target="https://www.digikey.jp/product-detail/en/koa-speer-electronics-inc/RK73B2ATTD204J/2019-RK73B2ATTD204JCT-ND/10238130" TargetMode="External"/><Relationship Id="rId1985" Type="http://schemas.openxmlformats.org/officeDocument/2006/relationships/hyperlink" Target="https://www.mouser.jp/ProductDetail/Murata-Electronics/GRM187R61A226ME15J?qs=5aG0NVq1C4zp9gekqoIe8Q%3D%3D" TargetMode="External"/><Relationship Id="rId2829" Type="http://schemas.openxmlformats.org/officeDocument/2006/relationships/hyperlink" Target="https://jp.misumi-ec.com/vona2/detail/110302635960/?PNSearch=SSPJ20-500-LH60&amp;HissuCode=SSPJ20-500-LH60&amp;searchFlow=suggest2products&amp;Keyword=SSPJ20-500-LH60" TargetMode="External"/><Relationship Id="rId4184" Type="http://schemas.openxmlformats.org/officeDocument/2006/relationships/hyperlink" Target="https://www.mouser.jp/ProductDetail/KEMET/C0402C102J4GACAUTO?qs=GedFDFLaBXE%252Bq7wO7r02Mw%3D%3D" TargetMode="External"/><Relationship Id="rId4391" Type="http://schemas.openxmlformats.org/officeDocument/2006/relationships/hyperlink" Target="https://www.digikey.jp/ja/products/detail/adam-tech/2PH2-04-UA/9830374?s=N4IgTCBcDa4AoAkwFoAMAWZBVAgiAugL5A" TargetMode="External"/><Relationship Id="rId5028" Type="http://schemas.openxmlformats.org/officeDocument/2006/relationships/hyperlink" Target="https://jp.rs-online.com/web/p/pcb-headers/1721806/?cm_mmc=aff2-_-jp-_-octopart-_-Instock1721806" TargetMode="External"/><Relationship Id="rId5235" Type="http://schemas.openxmlformats.org/officeDocument/2006/relationships/hyperlink" Target="https://akizukidenshi.com/catalog/g/gC-05159/" TargetMode="External"/><Relationship Id="rId1638" Type="http://schemas.openxmlformats.org/officeDocument/2006/relationships/hyperlink" Target="https://www.digikey.jp/product-detail/ja/cinch-connectivity-solutions-aim-cambridge/29-3840/367-1017-ND/385342" TargetMode="External"/><Relationship Id="rId4044" Type="http://schemas.openxmlformats.org/officeDocument/2006/relationships/hyperlink" Target="https://www.pasternack.jp/sma-%e3%83%a1%e3%82%b9-sma-%e3%83%a1%e3%82%b9-%e3%82%b9%e3%83%88%e3%83%ac%e3%83%bc%e3%83%88-%e3%82%a2%e3%83%80%e3%83%97%e3%82%bf-pe9184-p.aspx" TargetMode="External"/><Relationship Id="rId4251" Type="http://schemas.openxmlformats.org/officeDocument/2006/relationships/hyperlink" Target="https://www.monotaro.com/p/1134/2634/?t.q=PSR-410253-12" TargetMode="External"/><Relationship Id="rId5302" Type="http://schemas.openxmlformats.org/officeDocument/2006/relationships/hyperlink" Target="https://www.mouser.jp/ProductDetail/Molex-FCT/172704-0003?qs=Fg5TsMy7H4sTqKggBqvNZw%3D%3D" TargetMode="External"/><Relationship Id="rId1845" Type="http://schemas.openxmlformats.org/officeDocument/2006/relationships/hyperlink" Target="https://www.digikey.jp/product-detail/en/koa-speer-electronics-inc/RK73B1JTTD432J/2019-RK73B1JTTD432JCT-ND/9846829" TargetMode="External"/><Relationship Id="rId3060" Type="http://schemas.openxmlformats.org/officeDocument/2006/relationships/hyperlink" Target="https://jp.misumi-ec.com/vona2/detail/110300235320/?ProductCode=WSJE20-4-3" TargetMode="External"/><Relationship Id="rId4111" Type="http://schemas.openxmlformats.org/officeDocument/2006/relationships/hyperlink" Target="https://jp.misumi-ec.com/vona2/detail/221006493827/?ProductCode=SNSS-M2-5-SD-VA" TargetMode="External"/><Relationship Id="rId1705" Type="http://schemas.openxmlformats.org/officeDocument/2006/relationships/hyperlink" Target="https://jp.misumi-ec.com/vona2/detail/110302683830" TargetMode="External"/><Relationship Id="rId1912" Type="http://schemas.openxmlformats.org/officeDocument/2006/relationships/hyperlink" Target="https://www.marutsu.co.jp/pc/i/8622/" TargetMode="External"/><Relationship Id="rId3877" Type="http://schemas.openxmlformats.org/officeDocument/2006/relationships/hyperlink" Target="https://www.mouser.jp/ProductDetail/TE-Connectivity/1-881545-1?qs=sGAEpiMZZMsyYdr3R27aV9acAOlmvVgm" TargetMode="External"/><Relationship Id="rId4928" Type="http://schemas.openxmlformats.org/officeDocument/2006/relationships/hyperlink" Target="https://www.digikey.jp/en/products/detail/molex/5011938000/12142063" TargetMode="External"/><Relationship Id="rId5092" Type="http://schemas.openxmlformats.org/officeDocument/2006/relationships/hyperlink" Target="https://jp.rs-online.com/web/p/wire-housings-plugs/3116243" TargetMode="External"/><Relationship Id="rId798" Type="http://schemas.openxmlformats.org/officeDocument/2006/relationships/hyperlink" Target="https://jp.misumi-ec.com/vona2/detail/110302280540/?HissuCode=CBSTSR&amp;PNSearch=CBSTSR&amp;KWSearch=CBSTSR&amp;searchFlow=results2products" TargetMode="External"/><Relationship Id="rId2479" Type="http://schemas.openxmlformats.org/officeDocument/2006/relationships/hyperlink" Target="https://jp.rs-online.com/web/p/through-hole-fixed-resistors/1249281/" TargetMode="External"/><Relationship Id="rId2686" Type="http://schemas.openxmlformats.org/officeDocument/2006/relationships/hyperlink" Target="https://www.digikey.jp/product-detail/en/toshiba-semiconductor-and-storage/SSM6K411TU-TE85L-F/SSM6K411TU-TE85LFCT-ND/5298038" TargetMode="External"/><Relationship Id="rId2893" Type="http://schemas.openxmlformats.org/officeDocument/2006/relationships/hyperlink" Target="https://www.htkazshop.com/SHOP/HTK_101911.html" TargetMode="External"/><Relationship Id="rId3737" Type="http://schemas.openxmlformats.org/officeDocument/2006/relationships/hyperlink" Target="https://jp.rs-online.com/web/p/common-mode-chokes/9164144/" TargetMode="External"/><Relationship Id="rId3944" Type="http://schemas.openxmlformats.org/officeDocument/2006/relationships/hyperlink" Target="https://www.edmundoptics.com/p/790nm-cwl-10nm-fwhm-125mm-mounted-diameter/22446/" TargetMode="External"/><Relationship Id="rId658" Type="http://schemas.openxmlformats.org/officeDocument/2006/relationships/hyperlink" Target="https://jp.misumi-ec.com/vona2/detail/221000607008/?KWSearch=POM%20%E6%9D%BF&amp;searchFlow=results2products" TargetMode="External"/><Relationship Id="rId865" Type="http://schemas.openxmlformats.org/officeDocument/2006/relationships/hyperlink" Target="https://jp.rs-online.com/web/p/heatsinks/0263251/" TargetMode="External"/><Relationship Id="rId1288" Type="http://schemas.openxmlformats.org/officeDocument/2006/relationships/hyperlink" Target="http://p-ban.com/" TargetMode="External"/><Relationship Id="rId1495" Type="http://schemas.openxmlformats.org/officeDocument/2006/relationships/hyperlink" Target="https://www.digikey.jp/product-detail/ja/samtec-inc/SLW-150-01-G-S/SAM1089-50-ND/1104587" TargetMode="External"/><Relationship Id="rId2339" Type="http://schemas.openxmlformats.org/officeDocument/2006/relationships/hyperlink" Target="https://www.digikey.jp/product-detail/ja/J-7-V22/SW817-ND/699997/?itemSeq=284879251" TargetMode="External"/><Relationship Id="rId2546" Type="http://schemas.openxmlformats.org/officeDocument/2006/relationships/hyperlink" Target="https://www.amazon.co.jp/Raspberry-Pi-Zero-%E3%83%A9%E3%82%BA%E3%83%99%E3%83%AA%E3%83%BC%E3%83%BB%E3%83%91%E3%82%A4-SRPJ1900/dp/B076BHY12Y/ref=pd_rhf_schuc_p_img_2?_encoding=UTF8&amp;psc=1&amp;refRID=QH4H1AQ2MHSAB9VGWMPE" TargetMode="External"/><Relationship Id="rId2753" Type="http://schemas.openxmlformats.org/officeDocument/2006/relationships/hyperlink" Target="https://www.monotaro.com/p/3324/0313/?displayId=5" TargetMode="External"/><Relationship Id="rId2960" Type="http://schemas.openxmlformats.org/officeDocument/2006/relationships/hyperlink" Target="https://www.digikey.com/en/products/detail/tdk-corporation/C2012X7R1A106M125AC/2733027" TargetMode="External"/><Relationship Id="rId3804" Type="http://schemas.openxmlformats.org/officeDocument/2006/relationships/hyperlink" Target="https://jp.rs-online.com/web/p/products/1164773/" TargetMode="External"/><Relationship Id="rId518" Type="http://schemas.openxmlformats.org/officeDocument/2006/relationships/hyperlink" Target="https://www.p-ban.com/kiban/mft/csMft02CfmEst:exec.do" TargetMode="External"/><Relationship Id="rId725" Type="http://schemas.openxmlformats.org/officeDocument/2006/relationships/hyperlink" Target="https://www.digikey.jp/product-detail/ja/kemet/C0805C473K5RACTU/399-1166-1-ND/411441" TargetMode="External"/><Relationship Id="rId932" Type="http://schemas.openxmlformats.org/officeDocument/2006/relationships/hyperlink" Target="https://www.digikey.jp/product-detail/ja/m-a-com-technology-solutions/MABACT0059/1465-1311-1-ND/4430008?cur=JPY&amp;lang=ja" TargetMode="External"/><Relationship Id="rId1148" Type="http://schemas.openxmlformats.org/officeDocument/2006/relationships/hyperlink" Target="https://www.mouser.jp/ProductDetail/Crowd-Supply/cs-lime-05?qs=sGAEpiMZZMve4%2FbfQkoj%252BMhQML8ddRrgClCLPhd9F2o%3D" TargetMode="External"/><Relationship Id="rId1355" Type="http://schemas.openxmlformats.org/officeDocument/2006/relationships/hyperlink" Target="http://akizukidenshi.com/catalog/g/gM-09059/" TargetMode="External"/><Relationship Id="rId1562" Type="http://schemas.openxmlformats.org/officeDocument/2006/relationships/hyperlink" Target="https://www.digikey.jp/product-detail/en/diodes-incorporated/AP7115-25SEG-7/AP7115-25SEGDICT-ND/2044560?_ga=2.79920215.173113791.1579774486-670371556.1558338406" TargetMode="External"/><Relationship Id="rId2406" Type="http://schemas.openxmlformats.org/officeDocument/2006/relationships/hyperlink" Target="https://www.digikey.jp/products/ja?keywords=Wm8287-ND" TargetMode="External"/><Relationship Id="rId2613" Type="http://schemas.openxmlformats.org/officeDocument/2006/relationships/hyperlink" Target="https://www.digikey.jp/product-detail/en/keystone-electronics/1043/36-1043-ND/2745669" TargetMode="External"/><Relationship Id="rId1008" Type="http://schemas.openxmlformats.org/officeDocument/2006/relationships/hyperlink" Target="https://www.digikey.jp/product-detail/ja/hirose-electric-co-ltd/U.FL-2LP-068N1T-AC-200/H122296-ND/4867038" TargetMode="External"/><Relationship Id="rId1215" Type="http://schemas.openxmlformats.org/officeDocument/2006/relationships/hyperlink" Target="https://www.digikey.jp/product-detail/ja/rohm-semiconductor/DTC144EKAT146/DTC144EKAT146CT-ND/650727?cur=JPY&amp;lang=ja" TargetMode="External"/><Relationship Id="rId1422" Type="http://schemas.openxmlformats.org/officeDocument/2006/relationships/hyperlink" Target="https://www.digikey.jp/product-detail/en/vishay-dale/CRCW0805825KFKEA/541-825KCCT-ND/1181118" TargetMode="External"/><Relationship Id="rId2820" Type="http://schemas.openxmlformats.org/officeDocument/2006/relationships/hyperlink" Target="https://www.digikey.jp/product-detail/en/norcomp-inc/858-X08-103RLS4/NOR1709-ND/6834299" TargetMode="External"/><Relationship Id="rId4578" Type="http://schemas.openxmlformats.org/officeDocument/2006/relationships/hyperlink" Target="https://www.monotaro.com/p/7580/0595/?t.q=VUW-A-6.35B-V" TargetMode="External"/><Relationship Id="rId61" Type="http://schemas.openxmlformats.org/officeDocument/2006/relationships/hyperlink" Target="https://www.p-ban.com/kiban/com/csComTop.do" TargetMode="External"/><Relationship Id="rId3387" Type="http://schemas.openxmlformats.org/officeDocument/2006/relationships/hyperlink" Target="https://www.digikey.jp/product-detail/ja/vishay-siliconix/SQ1922EEH-T1_GE3/SQ1922EEH-T1_GE3CT-ND/7622831" TargetMode="External"/><Relationship Id="rId4785" Type="http://schemas.openxmlformats.org/officeDocument/2006/relationships/hyperlink" Target="https://www.hamradio.com/detail.cfm?pid=H0-013442" TargetMode="External"/><Relationship Id="rId4992" Type="http://schemas.openxmlformats.org/officeDocument/2006/relationships/hyperlink" Target="https://www.digikey.jp/ja/products/detail/onsemi/NRVB120VLSFT1G/5817308" TargetMode="External"/><Relationship Id="rId2196" Type="http://schemas.openxmlformats.org/officeDocument/2006/relationships/hyperlink" Target="https://www.monotaro.com/p/3466/6667/?t.q=%92%E1%93%AA%82%CB%82%B6%81%40M3%206" TargetMode="External"/><Relationship Id="rId3594" Type="http://schemas.openxmlformats.org/officeDocument/2006/relationships/hyperlink" Target="https://www.digikey.jp/product-detail/ja/b-b-battery/BC7-12-T2/522-BC7-12-T2-ND/10478930?utm_adgroup=Batteries%20Rechargeable%20%28Secondary%29&amp;utm_source=google&amp;utm_medium=cpc&amp;utm_campaign=Shopping_Product_Battery%20Products&amp;utm_term=&amp;productid=10478930&amp;gclid=CjwKCAjwiLGGBhAqEiwAgq3q_pqo4KHhgnw3gn6EtI4sMDK7kmcpRWertzpSlzsuTw84ErBVhZveuRoCMTUQAvD_BwE" TargetMode="External"/><Relationship Id="rId4438" Type="http://schemas.openxmlformats.org/officeDocument/2006/relationships/hyperlink" Target="https://jp.misumi-ec.com/vona2/detail/110300244510/?CategorySpec=00000217040%3a%3amig00000002457491%0900000217056%3a%3amig00000002494754%0900000217074%3a%3ab%0900000216906%3a%3aa%0900000216996%3a%3aa" TargetMode="External"/><Relationship Id="rId4645" Type="http://schemas.openxmlformats.org/officeDocument/2006/relationships/hyperlink" Target="https://www.digikey.jp/product-detail/en/harwin-inc/M50-3501042/952-1386-ND/2264367?cur=JPY&amp;lang=en" TargetMode="External"/><Relationship Id="rId4852" Type="http://schemas.openxmlformats.org/officeDocument/2006/relationships/hyperlink" Target="https://www.digikey.jp/ja/products/detail/panasonic-electronic-components/ERA-3AEB6042V/2026909" TargetMode="External"/><Relationship Id="rId168" Type="http://schemas.openxmlformats.org/officeDocument/2006/relationships/hyperlink" Target="https://www.digikey.jp/product-detail/en/susumu/RR0816P-273-D/RR08P27.0KDCT-ND/432758" TargetMode="External"/><Relationship Id="rId3247" Type="http://schemas.openxmlformats.org/officeDocument/2006/relationships/hyperlink" Target="https://jp.rs-online.com/web/p/crystal-units/8149541/" TargetMode="External"/><Relationship Id="rId3454" Type="http://schemas.openxmlformats.org/officeDocument/2006/relationships/hyperlink" Target="https://www.p-ban.com/kiban/com/csComTop.do" TargetMode="External"/><Relationship Id="rId3661" Type="http://schemas.openxmlformats.org/officeDocument/2006/relationships/hyperlink" Target="https://www.digikey.jp/product-detail/en/toshiba-semiconductor-and-storage/SSM6K411TU-TE85LF/SSM6K411TU-TE85LFCT-ND/5298038" TargetMode="External"/><Relationship Id="rId4505" Type="http://schemas.openxmlformats.org/officeDocument/2006/relationships/hyperlink" Target="https://www.amazon.co.jp/dp/B07ZPZC1YW/ref=cm_sw_em_r_mt_dp_QNZG405EY04B2934G216?_encoding=UTF8&amp;th=1" TargetMode="External"/><Relationship Id="rId4712" Type="http://schemas.openxmlformats.org/officeDocument/2006/relationships/hyperlink" Target="https://www.marutsu.co.jp/GoodsDetail.jsp?salesGoodsCode=223385&amp;shopNo=3" TargetMode="External"/><Relationship Id="rId375" Type="http://schemas.openxmlformats.org/officeDocument/2006/relationships/hyperlink" Target="https://www.minicircuits.com/WebStore/dashboard.html?model=TC1-1T%2B" TargetMode="External"/><Relationship Id="rId582" Type="http://schemas.openxmlformats.org/officeDocument/2006/relationships/hyperlink" Target="https://www.digikey.jp/en/supplier-centers/o/osram-opto-semiconductors" TargetMode="External"/><Relationship Id="rId2056" Type="http://schemas.openxmlformats.org/officeDocument/2006/relationships/hyperlink" Target="https://jp.misumi-ec.com/vona2/detail/222005595099/?HissuCode=GRM21BR60G107ME15L" TargetMode="External"/><Relationship Id="rId2263" Type="http://schemas.openxmlformats.org/officeDocument/2006/relationships/hyperlink" Target="https://www.monotaro.com/p/4222/0342/?t.q=M8%81%40%83i%83b%83g" TargetMode="External"/><Relationship Id="rId2470" Type="http://schemas.openxmlformats.org/officeDocument/2006/relationships/hyperlink" Target="https://www.digikey.jp/product-detail/ja/analog-devices-inc/ADG901BRMZ-REEL7/ADG901BRMZ-REEL7CT-ND/4909828" TargetMode="External"/><Relationship Id="rId3107" Type="http://schemas.openxmlformats.org/officeDocument/2006/relationships/hyperlink" Target="https://jp.misumi-ec.com/vona2/detail/221006493827/?ProductCode=SNSS-M2-6-SD-VA" TargetMode="External"/><Relationship Id="rId3314" Type="http://schemas.openxmlformats.org/officeDocument/2006/relationships/hyperlink" Target="https://www.digikey.jp/product-detail/en/cinch-connectivity-solutions/M83513-04-B03N/116-M83513-04-B03N-ND/12471315" TargetMode="External"/><Relationship Id="rId3521" Type="http://schemas.openxmlformats.org/officeDocument/2006/relationships/hyperlink" Target="https://jp.rs-online.com/web/p/mlccs-multilayer-ceramic-capacitors/6983263/" TargetMode="External"/><Relationship Id="rId235" Type="http://schemas.openxmlformats.org/officeDocument/2006/relationships/hyperlink" Target="http://akizukidenshi.com/catalog/g/gC-00167/" TargetMode="External"/><Relationship Id="rId442" Type="http://schemas.openxmlformats.org/officeDocument/2006/relationships/hyperlink" Target="https://www.nbk1560.com/products/specialscrew/nedzicom/lowsmallheadscrew/SSHS/SSHS-M2/SSHS-M2-6/" TargetMode="External"/><Relationship Id="rId1072" Type="http://schemas.openxmlformats.org/officeDocument/2006/relationships/hyperlink" Target="https://www.monotaro.com/p/0120/3938/?t.q=%83A%83%8B%83%7E%83J%83b%83v" TargetMode="External"/><Relationship Id="rId2123" Type="http://schemas.openxmlformats.org/officeDocument/2006/relationships/hyperlink" Target="https://www.marutsu.co.jp/pc/i/223387/" TargetMode="External"/><Relationship Id="rId2330" Type="http://schemas.openxmlformats.org/officeDocument/2006/relationships/hyperlink" Target="http://akizukidenshi.com/catalog/g/gM-13200/" TargetMode="External"/><Relationship Id="rId5279" Type="http://schemas.openxmlformats.org/officeDocument/2006/relationships/hyperlink" Target="https://www.digikey.jp/ja/products/detail/taiyo-yuden/JMK105BBJ475MV-F/2573874?s=N4IgTCBcDaIFIFkDSBGADAVgEJbgFgHYMEA1AWgDEQBdAXyA" TargetMode="External"/><Relationship Id="rId302" Type="http://schemas.openxmlformats.org/officeDocument/2006/relationships/hyperlink" Target="https://jp.rs-online.com/web/p/rectifier-diodes-schottky-diodes/8222441/" TargetMode="External"/><Relationship Id="rId4088" Type="http://schemas.openxmlformats.org/officeDocument/2006/relationships/hyperlink" Target="https://www.monotaro.com/g/01213789/?t.q=PSS-210204-12" TargetMode="External"/><Relationship Id="rId4295" Type="http://schemas.openxmlformats.org/officeDocument/2006/relationships/hyperlink" Target="https://jp.misumi-ec.com/vona2/detail/221303783852/?ProductCode=CSHBTT-SUS-M3-6" TargetMode="External"/><Relationship Id="rId5139" Type="http://schemas.openxmlformats.org/officeDocument/2006/relationships/hyperlink" Target="https://jp.rs-online.com/web/p/surface-mount-resistors/1872725" TargetMode="External"/><Relationship Id="rId5346" Type="http://schemas.openxmlformats.org/officeDocument/2006/relationships/hyperlink" Target="https://www.monotaro.com/p/1131/7258/?t.q=fsm%2021045" TargetMode="External"/><Relationship Id="rId1889" Type="http://schemas.openxmlformats.org/officeDocument/2006/relationships/hyperlink" Target="https://www.digikey.jp/products/en?keywords=%09445-14486-1-ND" TargetMode="External"/><Relationship Id="rId4155" Type="http://schemas.openxmlformats.org/officeDocument/2006/relationships/hyperlink" Target="https://www.amazon.co.jp/FULARR%C2%AE-3D%E3%83%97%E3%83%AA%E3%83%B3%E3%82%BF%E3%83%BC%E7%94%A8%E5%8A%A0%E7%86%B1%E3%83%96%E3%83%AD%E3%83%83%E3%82%AF%E3%80%816%E5%80%8B-1-75mm%E3%83%86%E3%83%95%E3%83%AD%E3%83%B3%E3%82%B9%E3%83%AD%E3%83%BC%E3%83%88%E3%83%81%E3%83%A5%E3%83%BC%E3%83%96%E3%80%816%E5%80%8B-0-4mm%E6%8A%BC%E5%87%BA%E6%A9%9F%E3%83%8E%E3%82%BA%E3%83%AB%E3%83%97%E3%83%AA%E3%83%B3%E3%83%88%E3%83%98%E3%83%83%E3%83%89%E3%80%81%E3%82%A2%E3%83%AC%E3%83%B3%E3%83%AC%E3%83%B3%E3%83%81-%E3%80%813%E5%80%8B%E3%82%AF%E3%83%AA%E3%83%BC%E3%83%8B%E3%83%B3%E3%82%B0%E3%83%8B%E3%83%BC%E3%83%89%E3%83%AB/dp/B08H163Q5G/ref=sr_1_1_sspa?__mk_ja_JP=%E3%82%AB%E3%82%BF%E3%82%AB%E3%83%8A&amp;dchild=1&amp;keywords=D%E3%83%97%E3%83%AA%E3%83%B3%E3%82%BF%E3%83%BC+%E3%83%8E%E3%82%BA%E3%83%AB+%E3%82%B9%E3%83%AD%E3%83%BC%E3%83%88+%E3%83%81%E3%83%A5%E3%83%BC%E3%83%96&amp;qid=1630290969&amp;s=industrial&amp;sr=1-1-spons&amp;psc=1&amp;smid=AOIR09OL6FIAR&amp;spLa=ZW5jcnlwdGVkUXVhbGlmaWVyPUFJODY4REcxVDAwQ1gmZW5jcnlwdGVkSWQ9QTAwNDE5NTYzS0dHVkI4NloyWUJQJmVuY3J5cHRlZEFkSWQ9QTNVT1lNUFVDQjZWTDQmd2lkZ2V0TmFtZT1zcF9hdGYmYWN0aW9uPWNsaWNrUmVkaXJlY3QmZG9Ob3RMb2dDbGljaz10cnVl" TargetMode="External"/><Relationship Id="rId4362" Type="http://schemas.openxmlformats.org/officeDocument/2006/relationships/hyperlink" Target="https://www.monotaro.com/g/00180512/" TargetMode="External"/><Relationship Id="rId5206" Type="http://schemas.openxmlformats.org/officeDocument/2006/relationships/hyperlink" Target="https://jp.misumi-ec.com/vona2/detail/110302696610/?HissuCode=EPXA-110-25-20&amp;list=PageCategory" TargetMode="External"/><Relationship Id="rId1749" Type="http://schemas.openxmlformats.org/officeDocument/2006/relationships/hyperlink" Target="https://www.digikey.jp/product-detail/en/koa-speer-electronics-inc/RK73H1JTTD3001F/2019-RK73H1JTTD3001FCT-ND/9846953" TargetMode="External"/><Relationship Id="rId1956" Type="http://schemas.openxmlformats.org/officeDocument/2006/relationships/hyperlink" Target="https://www.digikey.jp/product-detail/ja/rf-solutions/ADP-UFLM-SMAM/ADP-UFLM-SMAM-ND/5845797" TargetMode="External"/><Relationship Id="rId3171" Type="http://schemas.openxmlformats.org/officeDocument/2006/relationships/hyperlink" Target="https://www.digikey.jp/product-detail/ja/cinch-connectivity-solutions-midwest-microwave/CGA-1040-06-SMA-02/652-CGA-1040-06-SMA-02-ND/11696831" TargetMode="External"/><Relationship Id="rId4015" Type="http://schemas.openxmlformats.org/officeDocument/2006/relationships/hyperlink" Target="https://www.digikey.jp/product-detail/ja/susumu/RL1220T-R010-J/RL12T-010JCT-ND/714416" TargetMode="External"/><Relationship Id="rId1609" Type="http://schemas.openxmlformats.org/officeDocument/2006/relationships/hyperlink" Target="https://item.rakuten.co.jp/upis777/745/" TargetMode="External"/><Relationship Id="rId1816" Type="http://schemas.openxmlformats.org/officeDocument/2006/relationships/hyperlink" Target="https://www.digikey.jp/product-detail/en/stmicroelectronics/STM32F407VGT6/497-11605-ND/2747117" TargetMode="External"/><Relationship Id="rId4222" Type="http://schemas.openxmlformats.org/officeDocument/2006/relationships/hyperlink" Target="https://www.mouser.jp/ProductDetail/Samtec/MMS-110-01-L-SV?qs=%2Fha2pyFaduibr1eae4uMWCm1EsU5IadkrgtR0F2Q5w2hd4dopCv7gg%3D%3D" TargetMode="External"/><Relationship Id="rId3031" Type="http://schemas.openxmlformats.org/officeDocument/2006/relationships/hyperlink" Target="https://www.digikey.jp/products/en?keywords=220-1030-ND" TargetMode="External"/><Relationship Id="rId3988" Type="http://schemas.openxmlformats.org/officeDocument/2006/relationships/hyperlink" Target="https://jp.misumi-ec.com/vona2/detail/110302709030/?PNSearch=LAFSD-AS-T5-A20-B20-L20-P5-V10-S15-N3-X10-H15-NA3-CC1&amp;HissuCode=LAFSD-AS-T5-A20-B20-L20-P5-V10-S15-N3-X10-H15-NA3-CC1&amp;searchFlow=suggest2products&amp;Keyword=LAFSD-AS-T5-A20-B20-L20-P5-V10-S15-N3-X10-H15-NA3-CC1&amp;list=SuggestPreview" TargetMode="External"/><Relationship Id="rId2797" Type="http://schemas.openxmlformats.org/officeDocument/2006/relationships/hyperlink" Target="https://www.digikey.jp/product-detail/en/murata-electronics-north-america/GRM21BR60J107ME15L/490-13981-1-ND/6155811" TargetMode="External"/><Relationship Id="rId3848" Type="http://schemas.openxmlformats.org/officeDocument/2006/relationships/hyperlink" Target="https://jp.misumi-ec.com/vona2/detail/221006204478/?PNSearch=C-305-5&amp;HissuCode=C-305-5&amp;searchFlow=suggesthistory&amp;Keyword=C-305-5" TargetMode="External"/><Relationship Id="rId769" Type="http://schemas.openxmlformats.org/officeDocument/2006/relationships/hyperlink" Target="https://www.digikey.jp/products/ja?keywords=1046-1011-1-ND" TargetMode="External"/><Relationship Id="rId976" Type="http://schemas.openxmlformats.org/officeDocument/2006/relationships/hyperlink" Target="https://www.digikey.jp/product-detail/ja/microchip-technology/PIC18F67J94-I-PT/PIC18F67J94-I-PT-ND/3872481" TargetMode="External"/><Relationship Id="rId1399" Type="http://schemas.openxmlformats.org/officeDocument/2006/relationships/hyperlink" Target="https://www.digikey.jp/product-detail/en/vishay-dale/CRCW0805100RFKEA/541-100CCT-ND/1180669" TargetMode="External"/><Relationship Id="rId2657" Type="http://schemas.openxmlformats.org/officeDocument/2006/relationships/hyperlink" Target="https://www.mouser.jp/ProductDetail/KEMET/C0603C150J3GACAUTO?qs=%2Fha2pyFaduibydODpRo1e12maIitxmctOITk0mLRE4wr3ueR1jFqyZ%2FKCWTFTJew" TargetMode="External"/><Relationship Id="rId5063" Type="http://schemas.openxmlformats.org/officeDocument/2006/relationships/hyperlink" Target="https://jp.misumi-ec.com/vona2/detail/110500137860/?KWSearch=%E3%82%B9%E3%83%9A%E3%83%BC%E3%82%B5%20%E5%85%AD%E8%A7%92&amp;searchFlow=results2products&amp;list=PageSearchResult" TargetMode="External"/><Relationship Id="rId5270" Type="http://schemas.openxmlformats.org/officeDocument/2006/relationships/hyperlink" Target="https://akizukidenshi.com/catalog/g/gP-05154/" TargetMode="External"/><Relationship Id="rId629" Type="http://schemas.openxmlformats.org/officeDocument/2006/relationships/hyperlink" Target="https://www.digikey.jp/products/ja?keywords=36-112CT-ND" TargetMode="External"/><Relationship Id="rId1259" Type="http://schemas.openxmlformats.org/officeDocument/2006/relationships/hyperlink" Target="http://akizukidenshi.com/catalog/g/gC-12264/" TargetMode="External"/><Relationship Id="rId1466" Type="http://schemas.openxmlformats.org/officeDocument/2006/relationships/hyperlink" Target="https://www.digikey.jp/product-detail/en/yageo/RC0402FR-0722RL/311-22.0LRCT-ND/729509" TargetMode="External"/><Relationship Id="rId2864" Type="http://schemas.openxmlformats.org/officeDocument/2006/relationships/hyperlink" Target="https://www.mouser.jp/manufacturer/crowd-supply/" TargetMode="External"/><Relationship Id="rId3708" Type="http://schemas.openxmlformats.org/officeDocument/2006/relationships/hyperlink" Target="https://jp.rs-online.com/web/p/aluminium-capacitors/7392826/?cm_mmc=JP-PPC-DS3A-_-google-_-3_JP_JP_%E5%8F%97%E5%8B%95%E9%83%A8%E5%93%81_%E3%82%A2%E3%83%AB%E3%83%9F%E9%9B%BB%E8%A7%A3%E3%82%B3%E3%83%B3%E3%83%87%E3%83%B3%E3%82%B5_Nichicon_Exact-_-Nichicon+-+7392826+-+UWT1C101MCL1GB-_-uwt1c101mcl1gb&amp;matchtype=e&amp;aud-827186183886:kwd-346706096565&amp;gclid=CjwKCAjw3MSHBhB3EiwAxcaEu0VRc-1gTrr4E_d24aK1qJwjtUUHHayU7V7didlb5d6mo89tGCWF-RoCjkgQAvD_BwE&amp;gclsrc=aw.ds" TargetMode="External"/><Relationship Id="rId3915" Type="http://schemas.openxmlformats.org/officeDocument/2006/relationships/hyperlink" Target="https://jp.misumi-ec.com/vona2/detail/221000544514/?ProductCode=HNT3-SUS-M6" TargetMode="External"/><Relationship Id="rId5130" Type="http://schemas.openxmlformats.org/officeDocument/2006/relationships/hyperlink" Target="https://jp.rs-online.com/web/p/solid-state-relays/6996632" TargetMode="External"/><Relationship Id="rId836" Type="http://schemas.openxmlformats.org/officeDocument/2006/relationships/hyperlink" Target="http://coax-cable.net/" TargetMode="External"/><Relationship Id="rId1119" Type="http://schemas.openxmlformats.org/officeDocument/2006/relationships/hyperlink" Target="https://www.digikey.jp/product-detail/en/panasonic-electric-works/AQZ102/255-1567-ND/570705?cur=JPY&amp;lang=en" TargetMode="External"/><Relationship Id="rId1673" Type="http://schemas.openxmlformats.org/officeDocument/2006/relationships/hyperlink" Target="https://www.amazon.co.jp/dp/B07L36ZYVX/ref=sr_1_34?keywords=weller&amp;qid=1585027136&amp;sr=8-34" TargetMode="External"/><Relationship Id="rId1880" Type="http://schemas.openxmlformats.org/officeDocument/2006/relationships/hyperlink" Target="https://www.digikey.jp/product-detail/ja/susumu/RL1220T-R050-J/RL12T.05JCT-ND/567358" TargetMode="External"/><Relationship Id="rId2517" Type="http://schemas.openxmlformats.org/officeDocument/2006/relationships/hyperlink" Target="https://jp.misumi-ec.com/vona2/detail/110302280540/?HissuCode=CBSTSR3-8&amp;PNSearch=CBSTSR3-8&amp;KWSearch=CBSTSR3-8&amp;searchFlow=results2products" TargetMode="External"/><Relationship Id="rId2724" Type="http://schemas.openxmlformats.org/officeDocument/2006/relationships/hyperlink" Target="https://www.amazon.co.jp/%E3%83%86%E3%82%A3%E3%83%BB%E3%82%A8%E3%82%B9%E3%83%BB%E3%82%B1%E3%82%A4-TX303-TSK-%E3%83%84%E3%83%BC%E3%83%AB%E3%82%AF%E3%83%AA%E3%83%83%E3%83%91%E3%83%BC/dp/B003SBS4EM/ref=pd_sbs_421_44?_encoding=UTF8&amp;pd_rd_i=B003SBS4EM&amp;pd_rd_r=f26736f8-0ad0-4f7b-9be1-11ec1371a5d9&amp;pd_rd_w=5YKOK&amp;pd_rd_wg=QrUh8&amp;pf_rd_p=c295905f-82f9-4d73-8142-c393a4211258&amp;pf_rd_r=2RXH1J0G5QDG98F0QY1X&amp;psc=1&amp;refRID=2RXH1J0G5QDG98F0QY1X" TargetMode="External"/><Relationship Id="rId2931" Type="http://schemas.openxmlformats.org/officeDocument/2006/relationships/hyperlink" Target="https://jp.misumi-ec.com/vona2/detail/110300239250/?CategorySpec=00000217065%3a%3amig00000002462151%0900000217017%3a%3amig00000002466048%0900000217131%3a%3ab%0900000217026%3a%3aa" TargetMode="External"/><Relationship Id="rId903" Type="http://schemas.openxmlformats.org/officeDocument/2006/relationships/hyperlink" Target="https://jp.rs-online.com/web/p/pcb-headers/6812994/" TargetMode="External"/><Relationship Id="rId1326" Type="http://schemas.openxmlformats.org/officeDocument/2006/relationships/hyperlink" Target="https://www.amazon.co.jp/gp/product/B07V3Q3NGV/ref=ppx_yo_dt_b_asin_title_o05_s00?ie=UTF8&amp;psc=1" TargetMode="External"/><Relationship Id="rId1533" Type="http://schemas.openxmlformats.org/officeDocument/2006/relationships/hyperlink" Target="https://www.digikey.jp/product-detail/en/harwin-inc/S8091-46R/952-1738-1-ND/3131067" TargetMode="External"/><Relationship Id="rId1740" Type="http://schemas.openxmlformats.org/officeDocument/2006/relationships/hyperlink" Target="https://www.digikey.jp/product-detail/en/koa-speer-electronics-inc/RK73H1ETTP1001F/2019-RK73H1ETTP1001FCT-ND/9846199" TargetMode="External"/><Relationship Id="rId4689" Type="http://schemas.openxmlformats.org/officeDocument/2006/relationships/hyperlink" Target="https://www.mouser.jp/ProductDetail/Toshiba/SSM6K403TULF?qs=pzVvXTvk9PzSone6Qjzwzg%3D%3D" TargetMode="External"/><Relationship Id="rId4896" Type="http://schemas.openxmlformats.org/officeDocument/2006/relationships/hyperlink" Target="https://www.p-ban.com/" TargetMode="External"/><Relationship Id="rId32" Type="http://schemas.openxmlformats.org/officeDocument/2006/relationships/hyperlink" Target="https://jp.rs-online.com/web/p/thermal-conductive-pads/7580960/?sra=pstk" TargetMode="External"/><Relationship Id="rId1600" Type="http://schemas.openxmlformats.org/officeDocument/2006/relationships/hyperlink" Target="https://www.densen-store.com/products/detail.php?product_id=24" TargetMode="External"/><Relationship Id="rId3498" Type="http://schemas.openxmlformats.org/officeDocument/2006/relationships/hyperlink" Target="https://jp.rs-online.com/web/p/junction-boxes/2630388/" TargetMode="External"/><Relationship Id="rId4549" Type="http://schemas.openxmlformats.org/officeDocument/2006/relationships/hyperlink" Target="https://www.monotaro.com/p/4150/1803/" TargetMode="External"/><Relationship Id="rId4756" Type="http://schemas.openxmlformats.org/officeDocument/2006/relationships/hyperlink" Target="https://www.monotaro.com/p/2004/6854/" TargetMode="External"/><Relationship Id="rId4963" Type="http://schemas.openxmlformats.org/officeDocument/2006/relationships/hyperlink" Target="https://jp.misumi-ec.com/vona2/detail/110310112139/?ProductCode=CRCUP-6F-BXA-NNN-28-28-26.5" TargetMode="External"/><Relationship Id="rId3358" Type="http://schemas.openxmlformats.org/officeDocument/2006/relationships/hyperlink" Target="https://www.digikey.jp/product-detail/ja/samtec-inc/FTM-104-02-L-DV/SAM15174-ND/6692460" TargetMode="External"/><Relationship Id="rId3565" Type="http://schemas.openxmlformats.org/officeDocument/2006/relationships/hyperlink" Target="https://www.mouser.jp/ProductDetail/Microchip-Technology/MCP3221A0T-E-OT?qs=%2Fha2pyFaduj%2FJxr8oEGHBlqS1fyS8o5gkZrtFPFFhfjkTU3H89psbOVKL%252B9UnHRI" TargetMode="External"/><Relationship Id="rId3772" Type="http://schemas.openxmlformats.org/officeDocument/2006/relationships/hyperlink" Target="https://www.digikey.jp/product-detail/en/FIT0193/1738-1005-ND/6588427?itemSeq=373418030" TargetMode="External"/><Relationship Id="rId4409" Type="http://schemas.openxmlformats.org/officeDocument/2006/relationships/hyperlink" Target="https://www.amazon.com/SunFounder-Channel-Optocoupler-Expansion-Raspberry/dp/B00E0NTPP4/ref=sr_1_2_sspa?crid=2D1IT0ETBR1GK&amp;keywords=relay%2Bboard%2B5v&amp;qid=1643004244&amp;sprefix=relay%2Bboard%2B5v%2Caps%2C222&amp;sr=8-2-spons&amp;spLa=ZW5jcnlwdGVkUXVhbGlmaWVyPUEyVUFWSUEyMDdZS1NGJmVuY3J5cHRlZElkPUEwNjk1NjgwMjdSUlMzMkVTWkEwSCZlbmNyeXB0ZWRBZElkPUExMDA5MDk3M1NDQUxaTFAzQ1Y3MyZ3aWRnZXROYW1lPXNwX2F0ZiZhY3Rpb249Y2xpY2tSZWRpcmVjdCZkb05vdExvZ0NsaWNrPXRydWU&amp;th=1" TargetMode="External"/><Relationship Id="rId4616" Type="http://schemas.openxmlformats.org/officeDocument/2006/relationships/hyperlink" Target="https://www.digikey.jp/ja/products/detail/sparkfun-electronics/ROB-09238/5318747?utm_adgroup=Stepper%20Motors&amp;utm_source=google&amp;utm_medium=cpc&amp;utm_campaign=Shopping_Product_Motors%2C%20Solenoids%2C%20Driver%20Boards%2FModules&amp;utm_term=&amp;productid=5318747&amp;gclid=Cj0KCQjwspKUBhCvARIsAB2IYuuTYkw8kvvMOhVrPiVboOdDr_V_W8chz-Av-NTVzGtHDDc0YfUC5wwaAjfZEALw_wcB" TargetMode="External"/><Relationship Id="rId4823" Type="http://schemas.openxmlformats.org/officeDocument/2006/relationships/hyperlink" Target="https://jp.rs-online.com/web/p/through-hole-fixed-resistors/5328369/" TargetMode="External"/><Relationship Id="rId279" Type="http://schemas.openxmlformats.org/officeDocument/2006/relationships/hyperlink" Target="https://www.digikey.jp/product-detail/ja/yageo/RC0805JR-070RL/311-0.0ARCT-ND/731163" TargetMode="External"/><Relationship Id="rId486" Type="http://schemas.openxmlformats.org/officeDocument/2006/relationships/hyperlink" Target="https://jp.misumi-ec.com/vona2/detail/110302243870/?CategorySpec=00000173478%3a%3ae%0900000173301%3a%3amig00000002486654%2c25%0900000173429%3a%3a120%0900000173494%3a%3amig00000002488677%2c20" TargetMode="External"/><Relationship Id="rId693" Type="http://schemas.openxmlformats.org/officeDocument/2006/relationships/hyperlink" Target="https://www.digikey.jp/product-detail/en/avx-corporation/06035A200JAT2A/478-7912-1-ND/3881535" TargetMode="External"/><Relationship Id="rId2167" Type="http://schemas.openxmlformats.org/officeDocument/2006/relationships/hyperlink" Target="https://www.monotaro.com/g/00320029/?t.q=%90%DA%92n%83A%83_%83v%83%5E" TargetMode="External"/><Relationship Id="rId2374" Type="http://schemas.openxmlformats.org/officeDocument/2006/relationships/hyperlink" Target="https://jp.misumi-ec.com/vona2/detail/221000349089/?PNSearch=SSHS-M2X6&amp;HissuCode=SSHS-M2X6&amp;searchFlow=suggest2products&amp;Keyword=SSHS-M2X6" TargetMode="External"/><Relationship Id="rId2581" Type="http://schemas.openxmlformats.org/officeDocument/2006/relationships/hyperlink" Target="https://www.amazon.co.jp/%E3%82%86%E3%82%81%E7%94%BB%E6%9D%90-%E8%85%90%E9%A3%9F%E6%B6%B2-%E5%A1%A9%E5%8C%96%E7%AC%AC%E4%BA%8C%E9%89%84%E6%B6%B2-500ml/dp/B0020VFJ8K/ref=pd_sbs_328_1/355-8816136-3862929?_encoding=UTF8&amp;pd_rd_i=B0020VFJ8K&amp;pd_rd_r=dd5f5e3d-aaac-40a3-b32c-3004dcdc1baf&amp;pd_rd_w=HmEbZ&amp;pd_rd_wg=IfxgE&amp;pf_rd_p=c295905f-82f9-4d73-8142-c393a4211258&amp;pf_rd_r=PVGH7SGEDDX21WWHDFB4&amp;psc=1&amp;refRID=PVGH7SGEDDX21WWHDFB4" TargetMode="External"/><Relationship Id="rId3218" Type="http://schemas.openxmlformats.org/officeDocument/2006/relationships/hyperlink" Target="https://www.monotaro.com/g/01877425/?monotaroNo=31513073" TargetMode="External"/><Relationship Id="rId3425" Type="http://schemas.openxmlformats.org/officeDocument/2006/relationships/hyperlink" Target="https://jp.misumi-ec.com/vona2/detail/221006493827/?ProductCode=SNSS-M2-6-SD" TargetMode="External"/><Relationship Id="rId3632" Type="http://schemas.openxmlformats.org/officeDocument/2006/relationships/hyperlink" Target="https://www.amazon.co.jp/-/en/Crucial-Solid-State-Drive-SSD/dp/B077PPN5NN/ref=sr_1_5?dchild=1&amp;keywords=ssd&amp;qid=1625731299&amp;sr=8-5&amp;th=1" TargetMode="External"/><Relationship Id="rId139" Type="http://schemas.openxmlformats.org/officeDocument/2006/relationships/hyperlink" Target="https://jp.rs-online.com/web/p/products/7793068/" TargetMode="External"/><Relationship Id="rId346" Type="http://schemas.openxmlformats.org/officeDocument/2006/relationships/hyperlink" Target="https://www.digikey.jp/product-detail/ja/rohm-semiconductor/BD63005AMUV-E2/BD63005AMUV-E2CT-ND/7612501" TargetMode="External"/><Relationship Id="rId553" Type="http://schemas.openxmlformats.org/officeDocument/2006/relationships/hyperlink" Target="https://www.digikey.jp/products/en?keywords=296-52316-1-ND" TargetMode="External"/><Relationship Id="rId760" Type="http://schemas.openxmlformats.org/officeDocument/2006/relationships/hyperlink" Target="https://www.digikey.jp/product-detail/ja/murata-electronics-north-america/GJM1555C1H100JB01D/490-3113-1-ND/702379" TargetMode="External"/><Relationship Id="rId1183" Type="http://schemas.openxmlformats.org/officeDocument/2006/relationships/hyperlink" Target="https://www.digikey.jp/product-detail/ja/kemet/C0805C106K8PACTU/399-4925-1-ND/1090920" TargetMode="External"/><Relationship Id="rId1390" Type="http://schemas.openxmlformats.org/officeDocument/2006/relationships/hyperlink" Target="https://www.digikey.jp/product-detail/en/kemet/C0805C391J5GACTU/399-1132-1-ND/411407" TargetMode="External"/><Relationship Id="rId2027" Type="http://schemas.openxmlformats.org/officeDocument/2006/relationships/hyperlink" Target="https://www.digikey.jp/product-detail/en/vishay-dale/CRCW080510K0FKEA/541-10.0KCCT-ND/1180897" TargetMode="External"/><Relationship Id="rId2234" Type="http://schemas.openxmlformats.org/officeDocument/2006/relationships/hyperlink" Target="https://www.digikey.jp/product-detail/ja/vishay-siliconix/SI7106DN-T1-E3/SI7106DN-T1-E3CT-ND/1657079" TargetMode="External"/><Relationship Id="rId2441" Type="http://schemas.openxmlformats.org/officeDocument/2006/relationships/hyperlink" Target="https://www.digikey.jp/product-detail/ja/3m/DP2216/3M156895-ND/7066677?utm_adgroup=Glue%2C%20Adhesives%2C%20Applicators&amp;utm_source=google&amp;utm_medium=cpc&amp;utm_campaign=Shopping_Product_Tapes%2C%20Adhesives%2C%20Materials&amp;utm_term=&amp;productid=7066677&amp;gclid=CjwKCAjwlbr8BRA0EiwAnt4MTgRrSUisriyRvMlAxhKRfmm56W8Qf-Jv2zQGaxcv9Ct5bR2o8ENSQRoComsQAvD_BwE" TargetMode="External"/><Relationship Id="rId206" Type="http://schemas.openxmlformats.org/officeDocument/2006/relationships/hyperlink" Target="https://www.digikey.jp/product-detail/ja/taoglas-limited/CAB.951/931-1285-ND/4759412" TargetMode="External"/><Relationship Id="rId413" Type="http://schemas.openxmlformats.org/officeDocument/2006/relationships/hyperlink" Target="https://www.digikey.jp/product-detail/ja/broadcom-limited/HCPL-7840-000E/516-1482-5-ND/669909" TargetMode="External"/><Relationship Id="rId1043" Type="http://schemas.openxmlformats.org/officeDocument/2006/relationships/hyperlink" Target="https://www.digikey.jp/product-detail/ja/tdk-corporation/CGA3E1X8L0J225K080AC/445-175262-1-ND/7930957" TargetMode="External"/><Relationship Id="rId4199" Type="http://schemas.openxmlformats.org/officeDocument/2006/relationships/hyperlink" Target="https://www.digikey.jp/product-detail/ja/PPPC122LJBN-RC/S5565-ND/776023?utm_campaign=buynow&amp;utm_medium=aggregator&amp;curr=jpy&amp;utm_source=octopart" TargetMode="External"/><Relationship Id="rId620" Type="http://schemas.openxmlformats.org/officeDocument/2006/relationships/hyperlink" Target="http://radiometrix.mybigcommerce.com/bim1h-500mw-vhf-narrowband-transceiver-frequency-144-390mhz-144-800mhz-145-825mhz-149-250mhz-151-300mhz-155-725mhz-or-169-4125mhz/" TargetMode="External"/><Relationship Id="rId1250" Type="http://schemas.openxmlformats.org/officeDocument/2006/relationships/hyperlink" Target="https://www.digikey.jp/product-detail/ja/panasonic-electronic-components/ERA-6AEB361V/P360DACT-ND/1465936" TargetMode="External"/><Relationship Id="rId2301" Type="http://schemas.openxmlformats.org/officeDocument/2006/relationships/hyperlink" Target="https://www.splead.jp/company.html" TargetMode="External"/><Relationship Id="rId4059" Type="http://schemas.openxmlformats.org/officeDocument/2006/relationships/hyperlink" Target="https://www.mouser.jp/ProductDetail/AVX-Kyocera/08055A470J4T2A?qs=mcBJtHuWqlWCW4nxL664Zw%3D%3D" TargetMode="External"/><Relationship Id="rId1110" Type="http://schemas.openxmlformats.org/officeDocument/2006/relationships/hyperlink" Target="https://www.p-ban.com/kiban/com/csComTop.do" TargetMode="External"/><Relationship Id="rId4266" Type="http://schemas.openxmlformats.org/officeDocument/2006/relationships/hyperlink" Target="https://www.marutsu.co.jp/pc/i/223387/" TargetMode="External"/><Relationship Id="rId4473" Type="http://schemas.openxmlformats.org/officeDocument/2006/relationships/hyperlink" Target="https://www.monotaro.com/p/1006/5264/?utm_id=g_pla&amp;utm_medium=cpc&amp;utm_source=Adwords&amp;utm_campaign=246-833-4061_6466659573&amp;utm_content=77481175156&amp;utm_term=_380604198153__aud-906547009128:pla-876688242940&amp;gclid=CjwKCAiA4veMBhAMEiwAU4XRr6Ob88sanHIJ1om2jkysVWmf0unYAxupsOQRdQT0GHmwj2ST5t8CgBoCICIQAvD_BwE" TargetMode="External"/><Relationship Id="rId4680" Type="http://schemas.openxmlformats.org/officeDocument/2006/relationships/hyperlink" Target="https://www.digikey.jp/en/products/detail/dfrobot/FIT0668/13166502?s=N4IgTCBcDaIGIEkAqAGAbGgHCAugXyA" TargetMode="External"/><Relationship Id="rId5317" Type="http://schemas.openxmlformats.org/officeDocument/2006/relationships/hyperlink" Target="https://www.digikey.jp/en/products/detail/yageo/RC0603FR-1049K9L/14008242" TargetMode="External"/><Relationship Id="rId1927" Type="http://schemas.openxmlformats.org/officeDocument/2006/relationships/hyperlink" Target="https://jp.misumi-ec.com/vona2/detail/221000351082/" TargetMode="External"/><Relationship Id="rId3075" Type="http://schemas.openxmlformats.org/officeDocument/2006/relationships/hyperlink" Target="https://jp.misumi-ec.com/vona2/detail/110302672270/?HissuCode=SLCG5.5-6&amp;PNSearch=SLCG5.5-6&amp;KWSearch=SLCG5.5-6&amp;searchFlow=results2products" TargetMode="External"/><Relationship Id="rId3282" Type="http://schemas.openxmlformats.org/officeDocument/2006/relationships/hyperlink" Target="https://www.digikey.jp/product-detail/ja/texas-instruments/OPA2170AIDR/296-30291-1-ND/3072334" TargetMode="External"/><Relationship Id="rId4126" Type="http://schemas.openxmlformats.org/officeDocument/2006/relationships/hyperlink" Target="https://www.digikey.jp/product-detail/ja/samtec-inc/FTSH-104-01-F-D/SAM10498-ND/2649968" TargetMode="External"/><Relationship Id="rId4333" Type="http://schemas.openxmlformats.org/officeDocument/2006/relationships/hyperlink" Target="https://jp.rs-online.com/web/p/op-amps/5361350" TargetMode="External"/><Relationship Id="rId4540" Type="http://schemas.openxmlformats.org/officeDocument/2006/relationships/hyperlink" Target="https://www.amazon.co.jp/Raspberry-RS485-CAN-HAT-UART%E9%80%9A%E4%BF%A1%E3%83%A2%E3%82%B8%E3%83%A5%E3%83%BC%E3%83%AB%E6%8B%A1%E5%BC%B5%E3%83%9C%E3%83%BC%E3%83%89%E7%94%A8/dp/B082ZRYNS3/ref=asc_df_B082ZRYNS3/?tag=jpgo-22&amp;linkCode=df0&amp;hvadid=342506280444&amp;hvpos=&amp;hvnetw=g&amp;hvrand=4889974413298932666&amp;hvpone=&amp;hvptwo=&amp;hvqmt=&amp;hvdev=c&amp;hvdvcmdl=&amp;hvlocint=&amp;hvlocphy=1009250&amp;hvtargid=pla-900479446726&amp;psc=1" TargetMode="External"/><Relationship Id="rId2091" Type="http://schemas.openxmlformats.org/officeDocument/2006/relationships/hyperlink" Target="https://jp.misumi-ec.com/vona2/detail/221006204759/?HissuCode=CC-1704-05&amp;PNSearch=CC-1704-05&amp;KWSearch=CC-1704-05&amp;searchFlow=results2products" TargetMode="External"/><Relationship Id="rId3142" Type="http://schemas.openxmlformats.org/officeDocument/2006/relationships/hyperlink" Target="https://www.digikey.jp/product-detail/en/stanley-electric-co/VCDG1112H-4BY3C-TR/404-1291-1-ND/9477296" TargetMode="External"/><Relationship Id="rId4400" Type="http://schemas.openxmlformats.org/officeDocument/2006/relationships/hyperlink" Target="https://jp.misumi-ec.com/vona2/detail/221006204423/?PNSearch=CU-305.5PH&amp;HissuCode=CU-305.5PH&amp;searchFlow=suggest2products&amp;Keyword=CU-305.5PH&amp;list=SuggestPreview" TargetMode="External"/><Relationship Id="rId270" Type="http://schemas.openxmlformats.org/officeDocument/2006/relationships/hyperlink" Target="https://www.digikey.jp/product-detail/ja/rohm-semiconductor/2SC4081T106R/2SC4081T106RCT-ND/650655" TargetMode="External"/><Relationship Id="rId3002" Type="http://schemas.openxmlformats.org/officeDocument/2006/relationships/hyperlink" Target="https://www.digikey.jp/product-detail/en/analog-devices-inc/LT6106CS5-TRMPBF/LT6106CS5-TRMPBFCT-ND/1590293" TargetMode="External"/><Relationship Id="rId130" Type="http://schemas.openxmlformats.org/officeDocument/2006/relationships/hyperlink" Target="https://jp.rs-online.com/web/p/rectifier-schottky-diodes/8805452/" TargetMode="External"/><Relationship Id="rId3959" Type="http://schemas.openxmlformats.org/officeDocument/2006/relationships/hyperlink" Target="https://jp.misumi-ec.com/vona2/detail/221000348314/?PNSearch=SNSS-M2X4&amp;HissuCode=SNSS-M2X4&amp;searchFlow=suggesthistory&amp;Keyword=SNSS-M2X4&amp;list=SuggestPreview" TargetMode="External"/><Relationship Id="rId5174" Type="http://schemas.openxmlformats.org/officeDocument/2006/relationships/hyperlink" Target="https://www.yoshimi-inc.com/" TargetMode="External"/><Relationship Id="rId2768" Type="http://schemas.openxmlformats.org/officeDocument/2006/relationships/hyperlink" Target="https://akizukidenshi.com/catalog/g/gK-13471/" TargetMode="External"/><Relationship Id="rId2975" Type="http://schemas.openxmlformats.org/officeDocument/2006/relationships/hyperlink" Target="https://www.digikey.jp/product-detail/ja/rohm-semiconductor/DTC144EKAT146/DTC144EKAT146CT-ND/650727" TargetMode="External"/><Relationship Id="rId3819" Type="http://schemas.openxmlformats.org/officeDocument/2006/relationships/hyperlink" Target="https://www.monotaro.com/p/1706/7916/" TargetMode="External"/><Relationship Id="rId5034" Type="http://schemas.openxmlformats.org/officeDocument/2006/relationships/hyperlink" Target="https://www.mouser.jp/ProductDetail/TE-Connectivity/2-825433-0?qs=Yxch5oR%2FTsPyWO6AE6CpEQ%3D%3D" TargetMode="External"/><Relationship Id="rId947" Type="http://schemas.openxmlformats.org/officeDocument/2006/relationships/hyperlink" Target="https://jp.misumi-ec.com/vona2/detail/110302280540/?HissuCode=CBSTSR&amp;PNSearch=CBSTSR&amp;KWSearch=CBSTSR&amp;searchFlow=results2products" TargetMode="External"/><Relationship Id="rId1577" Type="http://schemas.openxmlformats.org/officeDocument/2006/relationships/hyperlink" Target="https://jp.misumi-ec.com/vona2/detail/110302678660/?KWSearch=%e3%82%a2%e3%83%ab%e3%83%9f%e3%83%9c%e3%83%ab%e3%83%88&amp;searchFlow=results2products" TargetMode="External"/><Relationship Id="rId1784" Type="http://schemas.openxmlformats.org/officeDocument/2006/relationships/hyperlink" Target="https://www.digikey.jp/product-detail/ja/murata-electronics-north-america/GJM1555C1H470GB01D/490-16375-1-ND/7363357" TargetMode="External"/><Relationship Id="rId1991" Type="http://schemas.openxmlformats.org/officeDocument/2006/relationships/hyperlink" Target="https://www.digikey.jp/product-detail/ja/koa-speer-electronics-inc/RK73B1JTTD100J/2019-RK73B1JTTD100JCT-ND/9846747" TargetMode="External"/><Relationship Id="rId2628" Type="http://schemas.openxmlformats.org/officeDocument/2006/relationships/hyperlink" Target="https://www.marutsu.co.jp/pc/i/13024386/" TargetMode="External"/><Relationship Id="rId2835" Type="http://schemas.openxmlformats.org/officeDocument/2006/relationships/hyperlink" Target="https://jp.misumi-ec.com/vona2/detail/221000130100/?HissuCode=MRG-25-8-12&amp;PNSearch=MRG-25-8-12&amp;KWSearch=MRG-25-8-12&amp;searchFlow=results2products" TargetMode="External"/><Relationship Id="rId4190" Type="http://schemas.openxmlformats.org/officeDocument/2006/relationships/hyperlink" Target="https://www.mouser.jp/ProductDetail/Panasonic/ERJ-S06J101V?qs=Zyl8A9hlmJqshrwxn1wW6g%3D%3D" TargetMode="External"/><Relationship Id="rId5241" Type="http://schemas.openxmlformats.org/officeDocument/2006/relationships/hyperlink" Target="https://navspark.mybigcommerce.com/12mm-x-16mm-gnss-receiver-module-for-leo-applications/" TargetMode="External"/><Relationship Id="rId76" Type="http://schemas.openxmlformats.org/officeDocument/2006/relationships/hyperlink" Target="https://www.digikey.jp/products/en?keywords=296-36413-1-ND" TargetMode="External"/><Relationship Id="rId807" Type="http://schemas.openxmlformats.org/officeDocument/2006/relationships/hyperlink" Target="https://www.uctronics.com/mini-arducam-module-camera-shield-w-5-mp-ov5642-for-arduino-uno-mega2560-board.html" TargetMode="External"/><Relationship Id="rId1437" Type="http://schemas.openxmlformats.org/officeDocument/2006/relationships/hyperlink" Target="https://www.digikey.jp/product-detail/en/texas-instruments/SN74CB3Q3305PWR/296-16809-1-ND/637175" TargetMode="External"/><Relationship Id="rId1644" Type="http://schemas.openxmlformats.org/officeDocument/2006/relationships/hyperlink" Target="http://www.ktek.jp/mini-ckt-atten-term-50-ohm.html" TargetMode="External"/><Relationship Id="rId1851" Type="http://schemas.openxmlformats.org/officeDocument/2006/relationships/hyperlink" Target="https://www.digikey.jp/product-detail/en/koa-speer-electronics-inc/RK73H1JTTD1003F/2019-RK73H1JTTD1003FCT-ND/9846889" TargetMode="External"/><Relationship Id="rId2902" Type="http://schemas.openxmlformats.org/officeDocument/2006/relationships/hyperlink" Target="https://jp.rs-online.com/web/p/switching-diodes/7734514/" TargetMode="External"/><Relationship Id="rId4050" Type="http://schemas.openxmlformats.org/officeDocument/2006/relationships/hyperlink" Target="https://www.digikey.jp/product-detail/en/abracon-llc/ARRKP7059-S915B/535-14510-ND/8593265?cur=JPY&amp;lang=en" TargetMode="External"/><Relationship Id="rId5101" Type="http://schemas.openxmlformats.org/officeDocument/2006/relationships/hyperlink" Target="https://www.mouser.jp/ProductDetail/KEMET/C0805X332FAGECAUTO?qs=55YtniHzbhDxoFw9j%2FN6Jg%3D%3D" TargetMode="External"/><Relationship Id="rId1504" Type="http://schemas.openxmlformats.org/officeDocument/2006/relationships/hyperlink" Target="https://www.digikey.jp/product-detail/en/adafruit-industries-llc/366/1528-1392-ND/5629440" TargetMode="External"/><Relationship Id="rId1711" Type="http://schemas.openxmlformats.org/officeDocument/2006/relationships/hyperlink" Target="https://jp.misumi-ec.com/vona2/detail/223004975462/?HissuCode=981000-20-100X20" TargetMode="External"/><Relationship Id="rId4867" Type="http://schemas.openxmlformats.org/officeDocument/2006/relationships/hyperlink" Target="https://www.digikey.jp/en/products/detail/panasonic-electronic-components/ERJ-6BWFR025V/5647613" TargetMode="External"/><Relationship Id="rId3469" Type="http://schemas.openxmlformats.org/officeDocument/2006/relationships/hyperlink" Target="https://www.jakelectronics.com/productdetail/stmicroelectronics-l3gd20tr-3687563" TargetMode="External"/><Relationship Id="rId3676" Type="http://schemas.openxmlformats.org/officeDocument/2006/relationships/hyperlink" Target="https://www.digikey.jp/product-detail/en/semtech-corporation/SX1278IMLTRT/SX1278IMLTRTCT-ND/5226787?cur=JPY&amp;lang=en" TargetMode="External"/><Relationship Id="rId597" Type="http://schemas.openxmlformats.org/officeDocument/2006/relationships/hyperlink" Target="https://www.digikey.jp/product-detail/en/diodes-incorporated/DMG2302UK-7/DMG2302UK-7DICT-ND/6010163" TargetMode="External"/><Relationship Id="rId2278" Type="http://schemas.openxmlformats.org/officeDocument/2006/relationships/hyperlink" Target="https://www.poly-maker.jp/polylite-pla.html" TargetMode="External"/><Relationship Id="rId2485" Type="http://schemas.openxmlformats.org/officeDocument/2006/relationships/hyperlink" Target="https://www.digikey.jp/product-detail/ja/samtec-inc/FTS-102-01-F-S/SAM15176-ND/6691704" TargetMode="External"/><Relationship Id="rId3329" Type="http://schemas.openxmlformats.org/officeDocument/2006/relationships/hyperlink" Target="https://www.monotaro.com/p/1719/1938/" TargetMode="External"/><Relationship Id="rId3883" Type="http://schemas.openxmlformats.org/officeDocument/2006/relationships/hyperlink" Target="https://jp.rs-online.com/web/p/motor-driver-ics/7703797/?cm_mmc=aff2-_-jp-_-octopart-_-Instock7703797" TargetMode="External"/><Relationship Id="rId4727" Type="http://schemas.openxmlformats.org/officeDocument/2006/relationships/hyperlink" Target="https://www.p-ban.com/kiban/com/csComShwOrd.do?summaryOrderNo=22062100138" TargetMode="External"/><Relationship Id="rId4934" Type="http://schemas.openxmlformats.org/officeDocument/2006/relationships/hyperlink" Target="https://www.digikey.jp/short/db3rz5mc" TargetMode="External"/><Relationship Id="rId457" Type="http://schemas.openxmlformats.org/officeDocument/2006/relationships/hyperlink" Target="https://jp.misumi-ec.com/vona2/detail/110300250540/?HissuCode=SLBNR3&amp;PNSearch=SLBNR3&amp;KWSearch=SLBNR3&amp;searchFlow=results2products" TargetMode="External"/><Relationship Id="rId1087" Type="http://schemas.openxmlformats.org/officeDocument/2006/relationships/hyperlink" Target="https://www.minicircuits.com/WebStore/dashboard.html?model=NCS1.5-232%2B" TargetMode="External"/><Relationship Id="rId1294" Type="http://schemas.openxmlformats.org/officeDocument/2006/relationships/hyperlink" Target="https://www.digikey.jp/products/ja?keywords=7032-7527" TargetMode="External"/><Relationship Id="rId2138" Type="http://schemas.openxmlformats.org/officeDocument/2006/relationships/hyperlink" Target="https://www.monotaro.com/p/8923/3846/" TargetMode="External"/><Relationship Id="rId2692" Type="http://schemas.openxmlformats.org/officeDocument/2006/relationships/hyperlink" Target="https://www.mouser.jp/ProductDetail/Taiyo-Yuden/NRS5020T4R7MMGJ?qs=PzICbMaShUf1vyqPZzn0eg%3D%3D" TargetMode="External"/><Relationship Id="rId3536" Type="http://schemas.openxmlformats.org/officeDocument/2006/relationships/hyperlink" Target="https://www.monotaro.com/g/02374478/?t.attr_f7447=%97L%90%FC&amp;t.attr_f7451=3%83%7B%83%5E%83%93%0A4%83%7B%83%5E%83%93&amp;t.q=%83%7D%83E%83X" TargetMode="External"/><Relationship Id="rId3743" Type="http://schemas.openxmlformats.org/officeDocument/2006/relationships/hyperlink" Target="https://www.monotaro.com/g/01278016/?t.q=%83e%81%5B%83v%83J%83b%83%5E%81%5B" TargetMode="External"/><Relationship Id="rId3950" Type="http://schemas.openxmlformats.org/officeDocument/2006/relationships/hyperlink" Target="https://www.digikey.jp/product-detail/ja/kemet/C0603C103K3TACAUTO/399-C0603C103K3TACAUTOCT-ND/13546797" TargetMode="External"/><Relationship Id="rId664" Type="http://schemas.openxmlformats.org/officeDocument/2006/relationships/hyperlink" Target="https://www.digikey.jp/product-detail/ja/analog-devices-inc/AD7888ARZ-REEL7/AD7888ARZ-REEL7CT-ND/3694573" TargetMode="External"/><Relationship Id="rId871" Type="http://schemas.openxmlformats.org/officeDocument/2006/relationships/hyperlink" Target="https://jp.rs-online.com/web/p/pcb-mounts/1769047/" TargetMode="External"/><Relationship Id="rId2345" Type="http://schemas.openxmlformats.org/officeDocument/2006/relationships/hyperlink" Target="https://www.digikey.jp/products/en?keywords=S9007E-12-ND" TargetMode="External"/><Relationship Id="rId2552" Type="http://schemas.openxmlformats.org/officeDocument/2006/relationships/hyperlink" Target="https://www.amazon.co.jp/SanDisk-microSDHC-SDSQUNS-016G-Class10-%E3%82%B5%E3%83%B3%E3%83%87%E3%82%A3%E3%82%B9%E3%82%AF/dp/B074B4P7KD/ref=pd_sbs_147_42?_encoding=UTF8&amp;pd_rd_i=B074B4P7KD&amp;pd_rd_r=bfea37b2-2f81-4dd9-82a6-dbea2cea493d&amp;pd_rd_w=OGEIP&amp;pd_rd_wg=mE2Sn&amp;pf_rd_p=c295905f-82f9-4d73-8142-c393a4211258&amp;pf_rd_r=ME0GAE6HC5MS6HENEQTZ&amp;psc=1&amp;refRID=ME0GAE6HC5MS6HENEQTZ" TargetMode="External"/><Relationship Id="rId3603" Type="http://schemas.openxmlformats.org/officeDocument/2006/relationships/hyperlink" Target="https://jp.misumi-ec.com/vona2/detail/223006836550/?CategorySpec=00000019223%3a%3aa%0900000019224%3a%3amig00000002463732%0900000019228%3a%3amig00000002492375&amp;list=PageCategory" TargetMode="External"/><Relationship Id="rId3810" Type="http://schemas.openxmlformats.org/officeDocument/2006/relationships/hyperlink" Target="https://www.monotaro.com/g/00146808/" TargetMode="External"/><Relationship Id="rId317" Type="http://schemas.openxmlformats.org/officeDocument/2006/relationships/hyperlink" Target="https://www.digikey.jp/product-detail/en/lite-on-inc/LTST-C171GKT/160-1423-1-ND/386792" TargetMode="External"/><Relationship Id="rId524" Type="http://schemas.openxmlformats.org/officeDocument/2006/relationships/hyperlink" Target="https://www.digikey.jp/product-detail/en/murata-electronics-north-america/GRM21BR60G107ME15L/490-10510-1-ND/5026439" TargetMode="External"/><Relationship Id="rId731" Type="http://schemas.openxmlformats.org/officeDocument/2006/relationships/hyperlink" Target="https://item.rakuten.co.jp/upis777/741/" TargetMode="External"/><Relationship Id="rId1154" Type="http://schemas.openxmlformats.org/officeDocument/2006/relationships/hyperlink" Target="https://www.digikey.jp/product-detail/ja/assmann-wsw-components/DK-1511-003-BL/AE10480-ND/2268272" TargetMode="External"/><Relationship Id="rId1361" Type="http://schemas.openxmlformats.org/officeDocument/2006/relationships/hyperlink" Target="http://akizukidenshi.com/catalog/g/gP-02668/" TargetMode="External"/><Relationship Id="rId2205" Type="http://schemas.openxmlformats.org/officeDocument/2006/relationships/hyperlink" Target="https://www.digikey.jp/product-detail/en/panasonic-electric-works/AQZ102/255-1567-ND/570705?cur=JPY&amp;lang=en" TargetMode="External"/><Relationship Id="rId2412" Type="http://schemas.openxmlformats.org/officeDocument/2006/relationships/hyperlink" Target="https://www.digikey.jp/product-detail/en/on-semiconductor/NRVB120VLSFT1G/NRVB120VLSFT1GOSCT-ND/8538727?cur=JPY&amp;lang=en" TargetMode="External"/><Relationship Id="rId1014" Type="http://schemas.openxmlformats.org/officeDocument/2006/relationships/hyperlink" Target="https://jp.rs-online.com/web/p/aa-rechargeable-batteries/8412408/" TargetMode="External"/><Relationship Id="rId1221" Type="http://schemas.openxmlformats.org/officeDocument/2006/relationships/hyperlink" Target="https://www.digikey.jp/product-detail/ja/samtec-inc/FTM-103-02-F-DV/SAM12591-ND/6692125?cur=JPY&amp;lang=ja" TargetMode="External"/><Relationship Id="rId4377" Type="http://schemas.openxmlformats.org/officeDocument/2006/relationships/hyperlink" Target="https://www.p-ban.com/kiban/com/" TargetMode="External"/><Relationship Id="rId4584" Type="http://schemas.openxmlformats.org/officeDocument/2006/relationships/hyperlink" Target="https://jp.rs-online.com/web/p/products/7270354/" TargetMode="External"/><Relationship Id="rId4791" Type="http://schemas.openxmlformats.org/officeDocument/2006/relationships/hyperlink" Target="https://www.mouser.jp/ProductDetail/Walsin/0805B104J250CT?qs=sGAEpiMZZMsh%252B1woXyUXj8%252BuSINP6VixQiq1JA3Cnhc%3D" TargetMode="External"/><Relationship Id="rId3186" Type="http://schemas.openxmlformats.org/officeDocument/2006/relationships/hyperlink" Target="https://www.monotaro.com/p/0639/3606/?t.q=capton%20tape" TargetMode="External"/><Relationship Id="rId3393" Type="http://schemas.openxmlformats.org/officeDocument/2006/relationships/hyperlink" Target="https://www.digikey.jp/product-detail/ja/hirose-electric-co-ltd/DF61-2S-2-2C-11/H121977-ND/4040854" TargetMode="External"/><Relationship Id="rId4237" Type="http://schemas.openxmlformats.org/officeDocument/2006/relationships/hyperlink" Target="https://www.digikey.jp/ja/products/detail/analog-devices-inc/LTC4361IDC-1-TRMPBF/2351619" TargetMode="External"/><Relationship Id="rId4444" Type="http://schemas.openxmlformats.org/officeDocument/2006/relationships/hyperlink" Target="https://www.digikey.jp/en/products/detail/quectel/L80-M39/13278232" TargetMode="External"/><Relationship Id="rId4651" Type="http://schemas.openxmlformats.org/officeDocument/2006/relationships/hyperlink" Target="https://www.digikey.jp/en/products/detail/hirose-electric-co-ltd/A3C-4DA-2DSA-71/1033019?s=N4IgTCBcDaIDoBcASBGADADgJwoLQDkAREAXQF8g" TargetMode="External"/><Relationship Id="rId3046" Type="http://schemas.openxmlformats.org/officeDocument/2006/relationships/hyperlink" Target="https://www.digikey.jp/product-detail/ja/vishay-dale/CRCW12181R00FKEKHP/541-1.00ANCT-ND/5327099?cur=JPY&amp;lang=ja" TargetMode="External"/><Relationship Id="rId3253" Type="http://schemas.openxmlformats.org/officeDocument/2006/relationships/hyperlink" Target="https://www.digikey.jp/product-detail/en/CGA3E2NP01H100D080AA/445-12387-1-ND/3954053" TargetMode="External"/><Relationship Id="rId3460" Type="http://schemas.openxmlformats.org/officeDocument/2006/relationships/hyperlink" Target="https://www.p-ban.com/kiban/com/csComTop.do" TargetMode="External"/><Relationship Id="rId4304" Type="http://schemas.openxmlformats.org/officeDocument/2006/relationships/hyperlink" Target="https://jp.misumi-ec.com/vona2/detail/221005677369/?ProductCode=SSHHA-SUS-M2-2" TargetMode="External"/><Relationship Id="rId174" Type="http://schemas.openxmlformats.org/officeDocument/2006/relationships/hyperlink" Target="https://www.monotaro.com/p/7839/0707/" TargetMode="External"/><Relationship Id="rId381" Type="http://schemas.openxmlformats.org/officeDocument/2006/relationships/hyperlink" Target="https://www.digikey.jp/product-detail/en/microchip-technology/MIC5504-3.3YM5-TR/576-4764-1-ND/4864028?cur=JPY&amp;lang=en" TargetMode="External"/><Relationship Id="rId2062" Type="http://schemas.openxmlformats.org/officeDocument/2006/relationships/hyperlink" Target="https://jp.misumi-ec.com/vona2/detail/221000349089/?HissuCode=SSHS-M2X6" TargetMode="External"/><Relationship Id="rId3113" Type="http://schemas.openxmlformats.org/officeDocument/2006/relationships/hyperlink" Target="https://www.monotaro.com/g/02570299/?t.q=%83K%83%89%83G%83%7C" TargetMode="External"/><Relationship Id="rId4511" Type="http://schemas.openxmlformats.org/officeDocument/2006/relationships/hyperlink" Target="https://jp.rs-online.com/web/p/pcb-d-sub-connectors/6080513" TargetMode="External"/><Relationship Id="rId241" Type="http://schemas.openxmlformats.org/officeDocument/2006/relationships/hyperlink" Target="https://www.monotaro.com/p/5107/8676/" TargetMode="External"/><Relationship Id="rId3320" Type="http://schemas.openxmlformats.org/officeDocument/2006/relationships/hyperlink" Target="https://www.hamradio.com/detail.cfm?pid=H0-010582" TargetMode="External"/><Relationship Id="rId5078" Type="http://schemas.openxmlformats.org/officeDocument/2006/relationships/hyperlink" Target="https://www.digikey.jp/en/products/detail/diodes-incorporated/74LVC1G14QW5-7/12716552" TargetMode="External"/><Relationship Id="rId2879" Type="http://schemas.openxmlformats.org/officeDocument/2006/relationships/hyperlink" Target="https://www.digikey.jp/product-detail/en/analog-devices-inc/TMP36FSZ-REEL/TMP36FSZ-REELCT-ND/3761261" TargetMode="External"/><Relationship Id="rId5285" Type="http://schemas.openxmlformats.org/officeDocument/2006/relationships/hyperlink" Target="https://www.byonics.com/tinytrak4/" TargetMode="External"/><Relationship Id="rId101" Type="http://schemas.openxmlformats.org/officeDocument/2006/relationships/hyperlink" Target="https://www.digikey.jp/product-detail/ja/vishay-dale/WSL0805R0250FEA18/WSLB-.025CT-ND/713391" TargetMode="External"/><Relationship Id="rId1688" Type="http://schemas.openxmlformats.org/officeDocument/2006/relationships/hyperlink" Target="https://www.mouser.jp/ProductDetail/Texas-Instruments/TPS82130EVM-720?qs=sGAEpiMZZMsyTxkJnMM1W4mfl57IpIBDbaYnIBc2SbMLRZP2T5VjsQ==" TargetMode="External"/><Relationship Id="rId1895" Type="http://schemas.openxmlformats.org/officeDocument/2006/relationships/hyperlink" Target="https://www.digikey.jp/products/en?keywords=220-1030-ND" TargetMode="External"/><Relationship Id="rId2739" Type="http://schemas.openxmlformats.org/officeDocument/2006/relationships/hyperlink" Target="https://jp.misumi-ec.com/vona2/detail/110300465710/?rid=c23-series_detail_1_110300465710" TargetMode="External"/><Relationship Id="rId2946" Type="http://schemas.openxmlformats.org/officeDocument/2006/relationships/hyperlink" Target="https://jp.misumi-ec.com/vona2/detail/110500058060/?HissuCode=F2-3.5" TargetMode="External"/><Relationship Id="rId4094" Type="http://schemas.openxmlformats.org/officeDocument/2006/relationships/hyperlink" Target="https://www.digikey.jp/product-detail/ja/seeed-technology-co.,-ltd/109990166/1597-1488-ND/7033232?utm_adgroup=IoT&amp;utm_source=google&amp;utm_medium=cpc&amp;utm_campaign=Smart%20Shopping_Product_IoT&amp;utm_term=&amp;productid=7033232&amp;gclid=CjwKCAjwzaSLBhBJEiwAJSRoknGkac99zexI17G2gc4QS3IW-JAXU18cDK2xOe4IYl7-yhq6S4kZcxoCTxIQAvD_BwE" TargetMode="External"/><Relationship Id="rId5145" Type="http://schemas.openxmlformats.org/officeDocument/2006/relationships/hyperlink" Target="https://www.digikey.jp/ja/products/detail/recom-power/R05P209D/2301255" TargetMode="External"/><Relationship Id="rId5352" Type="http://schemas.openxmlformats.org/officeDocument/2006/relationships/hyperlink" Target="https://www.chip1stop.com/product/detail?partId=MCHP-0017353" TargetMode="External"/><Relationship Id="rId918" Type="http://schemas.openxmlformats.org/officeDocument/2006/relationships/hyperlink" Target="https://jp.rs-online.com/web/p/banana-plugs/0738828/" TargetMode="External"/><Relationship Id="rId1548" Type="http://schemas.openxmlformats.org/officeDocument/2006/relationships/hyperlink" Target="https://www.digikey.jp/product-detail/en/taiyo-yuden/NRS5020T4R7MMGJ/587-2407-1-ND/2230273" TargetMode="External"/><Relationship Id="rId1755" Type="http://schemas.openxmlformats.org/officeDocument/2006/relationships/hyperlink" Target="https://www.digikey.jp/product-detail/en/koa-speer-electronics-inc/RK73Z2ATTD/2019-RK73Z2ATTDCT-ND/10236924" TargetMode="External"/><Relationship Id="rId4161" Type="http://schemas.openxmlformats.org/officeDocument/2006/relationships/hyperlink" Target="https://jp.banggood.com/LILYGO-TTGO-T-Beam-v1_0-ESP32-LoRa-433-or-868-or-915Mhz-WiFi-GPS-NEO-6M-18650-WiFi-bluetooth-Board-Module-p-1609523.html?cur_warehouse=CN&amp;ID=6269370" TargetMode="External"/><Relationship Id="rId5005" Type="http://schemas.openxmlformats.org/officeDocument/2006/relationships/hyperlink" Target="https://www.mouser.com/ProductDetail/KEMET/C0805C475K3RACTU?qs=PzGy0jfpSMsRb1o8vMQxfQ%3D%3D" TargetMode="External"/><Relationship Id="rId5212" Type="http://schemas.openxmlformats.org/officeDocument/2006/relationships/hyperlink" Target="https://jp.misumi-ec.com/vona2/detail/221006203220/?ProductCode=UM-0312-T" TargetMode="External"/><Relationship Id="rId1408" Type="http://schemas.openxmlformats.org/officeDocument/2006/relationships/hyperlink" Target="https://www.digikey.jp/product-detail/en/vishay-dale/CRCW0805150KFKEA/541-150KCCT-ND/1181031" TargetMode="External"/><Relationship Id="rId1962" Type="http://schemas.openxmlformats.org/officeDocument/2006/relationships/hyperlink" Target="https://www.digikey.jp/product-detail/en/on-semiconductor/NRVB120VLSFT1G/NRVB120VLSFT1GOSCT-ND/8538727?cur=JPY&amp;lang=en" TargetMode="External"/><Relationship Id="rId2806" Type="http://schemas.openxmlformats.org/officeDocument/2006/relationships/hyperlink" Target="https://www.monotaro.com/p/1134/8925/" TargetMode="External"/><Relationship Id="rId4021" Type="http://schemas.openxmlformats.org/officeDocument/2006/relationships/hyperlink" Target="https://akizukidenshi.com/catalog/g/gK-09421/" TargetMode="External"/><Relationship Id="rId47" Type="http://schemas.openxmlformats.org/officeDocument/2006/relationships/hyperlink" Target="https://jp.misumi-ec.com/vona2/detail/221006204401/?HissuCode=CU-305&amp;PNSearch=CU-305&amp;KWSearch=cu-305&amp;searchFlow=results2products" TargetMode="External"/><Relationship Id="rId1615" Type="http://schemas.openxmlformats.org/officeDocument/2006/relationships/hyperlink" Target="https://www.digikey.jp/product-detail/en/adafruit-industries-llc/1957/1528-1967-ND/6827090" TargetMode="External"/><Relationship Id="rId1822" Type="http://schemas.openxmlformats.org/officeDocument/2006/relationships/hyperlink" Target="https://www.digikey.jp/product-detail/en/nkk-switches/HP0315AFKP2-R/360-2595-1-ND/2640558" TargetMode="External"/><Relationship Id="rId4978" Type="http://schemas.openxmlformats.org/officeDocument/2006/relationships/hyperlink" Target="https://item.rakuten.co.jp/auc-cqohm/nd-003/" TargetMode="External"/><Relationship Id="rId3787" Type="http://schemas.openxmlformats.org/officeDocument/2006/relationships/hyperlink" Target="https://www.thorlabs.com/thorproduct.cfm?partnumber=MSA4/M" TargetMode="External"/><Relationship Id="rId3994" Type="http://schemas.openxmlformats.org/officeDocument/2006/relationships/hyperlink" Target="https://www.digikey.jp/product-detail/ja/analog-devices-inc/LTC4361ITS8-2-TRMPBF/LTC4361ITS8-2-TRMPBFCT-ND/2351622" TargetMode="External"/><Relationship Id="rId4838" Type="http://schemas.openxmlformats.org/officeDocument/2006/relationships/hyperlink" Target="https://jp.misumi-ec.com/vona2/detail/110302280540/?KWSearch=CBSTSR3-6%20%28%e8%b6%85%e6%a5%b5%e4%bd%8e%e9%a0%ad%e3%83%9c%e3%83%ab%e3%83%88%e5%85%ad%e8%a7%92%e7%a9%b4%e3%82%bf%e3%82%a4%e3%83%97%29&amp;searchFlow=results2products&amp;list=PageSearchResult" TargetMode="External"/><Relationship Id="rId2389" Type="http://schemas.openxmlformats.org/officeDocument/2006/relationships/hyperlink" Target="https://www.mouser.jp/ProductDetail/Measurement-Specialties/GAG10K3976A1?qs=%2Fha2pyFadug7%2Fjc26bz54PaupGsm3MPD%2F%252Brwx%2F20%252BNQYkApfX0t8Ig==" TargetMode="External"/><Relationship Id="rId2596" Type="http://schemas.openxmlformats.org/officeDocument/2006/relationships/hyperlink" Target="https://www.digikey.jp/product-detail/en/texas-instruments/SN74CB3Q3305PWR/296-16809-1-ND/637175" TargetMode="External"/><Relationship Id="rId3647" Type="http://schemas.openxmlformats.org/officeDocument/2006/relationships/hyperlink" Target="https://jp.rs-online.com/web/p/solid-state-relays/6996632" TargetMode="External"/><Relationship Id="rId3854" Type="http://schemas.openxmlformats.org/officeDocument/2006/relationships/hyperlink" Target="https://www.nbk1560.com/products/specialscrew/nedzicom/lowsmallheadscrew/SSHS/" TargetMode="External"/><Relationship Id="rId4905" Type="http://schemas.openxmlformats.org/officeDocument/2006/relationships/hyperlink" Target="https://www.monotaro.com/p/4927/7812/?t.q=SSHS%20m2%208" TargetMode="External"/><Relationship Id="rId568" Type="http://schemas.openxmlformats.org/officeDocument/2006/relationships/hyperlink" Target="https://www.amazon.com/Arducam-Raspberry-Arduino-Telephoto-Cleaning/dp/B07L92S9MT?currency=JPY&amp;th=1" TargetMode="External"/><Relationship Id="rId775" Type="http://schemas.openxmlformats.org/officeDocument/2006/relationships/hyperlink" Target="https://www.digikey.jp/products/ja?keywords=576-4764-1-ND" TargetMode="External"/><Relationship Id="rId982" Type="http://schemas.openxmlformats.org/officeDocument/2006/relationships/hyperlink" Target="https://www.zaikostore.com/zaikostore/stockDetail?stockDetail=1&amp;stockID=ST41060653" TargetMode="External"/><Relationship Id="rId1198" Type="http://schemas.openxmlformats.org/officeDocument/2006/relationships/hyperlink" Target="https://jp.misumi-ec.com/vona2/detail/221000233430/?HissuCode=SWAJ-6-F&amp;PNSearch=SWAJ-6-F&amp;KWSearch=SWAJ-6-F&amp;searchFlow=results2products" TargetMode="External"/><Relationship Id="rId2249" Type="http://schemas.openxmlformats.org/officeDocument/2006/relationships/hyperlink" Target="http://akizukidenshi.com/catalog/g/gC-07168/" TargetMode="External"/><Relationship Id="rId2456" Type="http://schemas.openxmlformats.org/officeDocument/2006/relationships/hyperlink" Target="https://www.digikey.jp/product-detail/en/amphenol-icc-fci/67996-420HLF/609-3221-ND/1878553" TargetMode="External"/><Relationship Id="rId2663" Type="http://schemas.openxmlformats.org/officeDocument/2006/relationships/hyperlink" Target="https://www.digikey.jp/product-detail/en/kemet/C0603C224J3RAC7867/399-9967-1-ND/3736966" TargetMode="External"/><Relationship Id="rId2870" Type="http://schemas.openxmlformats.org/officeDocument/2006/relationships/hyperlink" Target="https://jp.rs-online.com/web/p/breadboard-jumper-wire/5053380/" TargetMode="External"/><Relationship Id="rId3507" Type="http://schemas.openxmlformats.org/officeDocument/2006/relationships/hyperlink" Target="https://jp.rs-online.com/web/p/debuggers-in-circuit-emulators/1717762/" TargetMode="External"/><Relationship Id="rId3714" Type="http://schemas.openxmlformats.org/officeDocument/2006/relationships/hyperlink" Target="https://jp.rs-online.com/web/p/leds/6545773/" TargetMode="External"/><Relationship Id="rId3921" Type="http://schemas.openxmlformats.org/officeDocument/2006/relationships/hyperlink" Target="https://akizukidenshi.com/catalog/g/gP-04022/" TargetMode="External"/><Relationship Id="rId428" Type="http://schemas.openxmlformats.org/officeDocument/2006/relationships/hyperlink" Target="http://jp.rs-online.com/web/p/crystal-units/8149535/?sra=pstk" TargetMode="External"/><Relationship Id="rId635" Type="http://schemas.openxmlformats.org/officeDocument/2006/relationships/hyperlink" Target="https://jp.rs-online.com/web/p/industrial-automation-circular-connectors/3594413/" TargetMode="External"/><Relationship Id="rId842" Type="http://schemas.openxmlformats.org/officeDocument/2006/relationships/hyperlink" Target="https://jp.rs-online.com/web/p/mlccs-multilayer-ceramic-capacitors/7902723/" TargetMode="External"/><Relationship Id="rId1058" Type="http://schemas.openxmlformats.org/officeDocument/2006/relationships/hyperlink" Target="https://www.digikey.jp/products/en?keywords=445-174988-1-ND" TargetMode="External"/><Relationship Id="rId1265" Type="http://schemas.openxmlformats.org/officeDocument/2006/relationships/hyperlink" Target="https://www.graphic.jp/estimate/making" TargetMode="External"/><Relationship Id="rId1472" Type="http://schemas.openxmlformats.org/officeDocument/2006/relationships/hyperlink" Target="https://www.minicircuits.com/WebStore/dashboard.html?model=MAR-6SM%2B" TargetMode="External"/><Relationship Id="rId2109" Type="http://schemas.openxmlformats.org/officeDocument/2006/relationships/hyperlink" Target="https://jp.misumi-ec.com/vona2/detail/221006204478/?HissuCode=C-2006&amp;PNSearch=C-2006&amp;KWSearch=C-2006&amp;searchFlow=results2products" TargetMode="External"/><Relationship Id="rId2316" Type="http://schemas.openxmlformats.org/officeDocument/2006/relationships/hyperlink" Target="https://jp.rs-online.com/web/p/switching-regulators/1737061P/" TargetMode="External"/><Relationship Id="rId2523" Type="http://schemas.openxmlformats.org/officeDocument/2006/relationships/hyperlink" Target="https://jp.misumi-ec.com/vona2/detail/110302679630/?CategorySpec=00000216954%3a%3amig00000002481702%0900000216911%3a%3a32%2cmig00000002480102" TargetMode="External"/><Relationship Id="rId2730" Type="http://schemas.openxmlformats.org/officeDocument/2006/relationships/hyperlink" Target="https://www.amazon.co.jp/%E5%A4%AA%E6%B4%8B%E9%9B%BB%E6%A9%9F%E7%94%A3%E6%A5%AD-goot-CP-30Y-%E3%81%AF%E3%82%93%E3%81%A0%E5%90%B8%E5%8F%96%E3%82%8A%E7%B7%9A/dp/B0016V5KH0/ref=sr_1_5?__mk_ja_JP=%E3%82%AB%E3%82%BF%E3%82%AB%E3%83%8A&amp;crid=31OBGSW5FOJTJ&amp;dchild=1&amp;keywords=%E3%81%AF%E3%82%93%E3%81%A0%E5%90%B8%E3%81%84%E5%8F%96%E3%82%8A%E7%B7%9A&amp;qid=1605092254&amp;sprefix=%E3%81%AF%E3%82%93%E3%81%A0%E5%90%B8%E3%81%84%E5%8F%96%E3%82%8A%2Caps%2C287&amp;sr=8-5" TargetMode="External"/><Relationship Id="rId702" Type="http://schemas.openxmlformats.org/officeDocument/2006/relationships/hyperlink" Target="https://www.digikey.jp/product-detail/en/sullins-connector-solutions/GRPB052VWQP-RC/S9013E-05-ND/1786428" TargetMode="External"/><Relationship Id="rId1125" Type="http://schemas.openxmlformats.org/officeDocument/2006/relationships/hyperlink" Target="https://www.digikey.jp/product-detail/en/tdk-corporation/MLZ1608DR22DT000/445-6387-1-ND/2465714" TargetMode="External"/><Relationship Id="rId1332" Type="http://schemas.openxmlformats.org/officeDocument/2006/relationships/hyperlink" Target="https://www.amazon.co.jp/gp/product/B01G85CSCS/ref=ppx_yo_dt_b_asin_title_o00_s00?ie=UTF8&amp;psc=1" TargetMode="External"/><Relationship Id="rId4488" Type="http://schemas.openxmlformats.org/officeDocument/2006/relationships/hyperlink" Target="https://www.digikey.jp/product-detail/en/tensility-international-corp/30-01055/T1395-1-ND/9607987" TargetMode="External"/><Relationship Id="rId4695" Type="http://schemas.openxmlformats.org/officeDocument/2006/relationships/hyperlink" Target="https://store.nacsemi.com/Products/Detail?part=SN74LVC2G34DBVR&amp;stock=SN74LVC2G34DB&amp;Mfr=TEXAS%20INSTRUMENTS&amp;utm_campaign=listing&amp;utm_source=octopart&amp;utm_medium=aggregator&amp;utm_content=textlink&amp;instock=y" TargetMode="External"/><Relationship Id="rId3297" Type="http://schemas.openxmlformats.org/officeDocument/2006/relationships/hyperlink" Target="https://www.digikey.jp/product-detail/en/panasonic-electric-works/AQZ102/255-1567-ND/570705?cur=JPY&amp;lang=en" TargetMode="External"/><Relationship Id="rId4348" Type="http://schemas.openxmlformats.org/officeDocument/2006/relationships/hyperlink" Target="https://www.digikey.jp/ja/products/detail/lattice-semiconductor-corporation/LSC-SW-ISPLEVER/12146688" TargetMode="External"/><Relationship Id="rId3157" Type="http://schemas.openxmlformats.org/officeDocument/2006/relationships/hyperlink" Target="https://www.digikey.jp/product-detail/en/molex/0510210500/WM1723-ND/242845" TargetMode="External"/><Relationship Id="rId4555" Type="http://schemas.openxmlformats.org/officeDocument/2006/relationships/hyperlink" Target="https://www.digikey.jp/ja/products/detail/cinch-connectivity-solutions-johnson/415-0029-048/457267" TargetMode="External"/><Relationship Id="rId4762" Type="http://schemas.openxmlformats.org/officeDocument/2006/relationships/hyperlink" Target="https://jp.misumi-ec.com/vona2/detail/110300539730/?rid=c24-alluser_detail_5_110300539730&amp;list=RecoCustomersPurchased" TargetMode="External"/><Relationship Id="rId285" Type="http://schemas.openxmlformats.org/officeDocument/2006/relationships/hyperlink" Target="https://www.digikey.jp/products/en?keywords=ATMEGA2560-16AURCT-ND" TargetMode="External"/><Relationship Id="rId3364" Type="http://schemas.openxmlformats.org/officeDocument/2006/relationships/hyperlink" Target="https://akizukidenshi.com/catalog/g/gP-06541/" TargetMode="External"/><Relationship Id="rId3571" Type="http://schemas.openxmlformats.org/officeDocument/2006/relationships/hyperlink" Target="https://www.mouser.jp/ProductDetail/MEMSIC/MMC5603NJ-B?qs=wnTfsH77Xs6niCTtzeyRkw%3D%3D" TargetMode="External"/><Relationship Id="rId4208" Type="http://schemas.openxmlformats.org/officeDocument/2006/relationships/hyperlink" Target="https://www.mouser.jp/ProductDetail/ECS/ECS-160-20-23A-TR?qs=gmcn8Ik9O3Hh%252BetsovxP4A%3D%3D" TargetMode="External"/><Relationship Id="rId4415" Type="http://schemas.openxmlformats.org/officeDocument/2006/relationships/hyperlink" Target="https://jlcpcb.com/" TargetMode="External"/><Relationship Id="rId4622" Type="http://schemas.openxmlformats.org/officeDocument/2006/relationships/hyperlink" Target="https://www.monotaro.com/p/4845/7947/?utm_id=g_pla&amp;utm_medium=cpc&amp;utm_source=google&amp;utm_campaign=246-833-4061_6466659573_shopping&amp;utm_content=77481173956&amp;utm_term=_380615429419_x_pla-880179462657&amp;gclid=Cj0KCQjw-JyUBhCuARIsANUqQ_KqfVwEAJhBWKtV4EdTHG3zY_4m2k6fuMrFNEa9rHv2EOwNZABgpu4aAgWxEALw_wcB" TargetMode="External"/><Relationship Id="rId492" Type="http://schemas.openxmlformats.org/officeDocument/2006/relationships/hyperlink" Target="https://www.digikey.jp/product-detail/ja/murata-electronics-north-america/GRM188R72A104KA35J/490-6439-1-ND/3845636" TargetMode="External"/><Relationship Id="rId2173" Type="http://schemas.openxmlformats.org/officeDocument/2006/relationships/hyperlink" Target="https://www.monotaro.com/g/01020738/?monotaroNo=1037566" TargetMode="External"/><Relationship Id="rId2380" Type="http://schemas.openxmlformats.org/officeDocument/2006/relationships/hyperlink" Target="https://www.jp.omega.com/pptst/KHRA-KHLVA-KHA-SERIES.html" TargetMode="External"/><Relationship Id="rId3017" Type="http://schemas.openxmlformats.org/officeDocument/2006/relationships/hyperlink" Targe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true%7D" TargetMode="External"/><Relationship Id="rId3224" Type="http://schemas.openxmlformats.org/officeDocument/2006/relationships/hyperlink" Target="https://www.monotaro.com/p/8698/9874/" TargetMode="External"/><Relationship Id="rId3431" Type="http://schemas.openxmlformats.org/officeDocument/2006/relationships/hyperlink" Target="https://jp.misumi-ec.com/vona2/detail/110300250540/" TargetMode="External"/><Relationship Id="rId145" Type="http://schemas.openxmlformats.org/officeDocument/2006/relationships/hyperlink" Target="https://jp.rs-online.com/web/p/products/4881730/" TargetMode="External"/><Relationship Id="rId352" Type="http://schemas.openxmlformats.org/officeDocument/2006/relationships/hyperlink" Target="https://www.digikey.jp/product-detail/ja/lite-on-inc/LTST-C171TBKT/160-1645-1-ND/573585" TargetMode="External"/><Relationship Id="rId2033" Type="http://schemas.openxmlformats.org/officeDocument/2006/relationships/hyperlink" Target="https://www.monotaro.com/p/3907/5452/?t.q=J-7-V22" TargetMode="External"/><Relationship Id="rId2240" Type="http://schemas.openxmlformats.org/officeDocument/2006/relationships/hyperlink" Target="https://www.digikey.jp/product-detail/ja/toshiba-semiconductor-and-storage/SSM3K123TU-LF/SSM3K123TULFCT-ND/2257798" TargetMode="External"/><Relationship Id="rId5189" Type="http://schemas.openxmlformats.org/officeDocument/2006/relationships/hyperlink" Target="https://akizukidenshi.com/catalog/g/gP-08587/" TargetMode="External"/><Relationship Id="rId212" Type="http://schemas.openxmlformats.org/officeDocument/2006/relationships/hyperlink" Target="https://www.digikey.jp/product-detail/ja/AB411/AE10296-ND/1630256/?itemSeq=278556341" TargetMode="External"/><Relationship Id="rId1799" Type="http://schemas.openxmlformats.org/officeDocument/2006/relationships/hyperlink" Target="https://www.digikey.jp/product-detail/en/rohm-semiconductor/MR45V064BMAZAATL/MR45V064BMAZAATLCT-ND/8135961?cur=JPY&amp;lang=en" TargetMode="External"/><Relationship Id="rId2100" Type="http://schemas.openxmlformats.org/officeDocument/2006/relationships/hyperlink" Target="https://jp.misumi-ec.com/vona2/detail/221006204478/?HissuCode=C-307&amp;PNSearch=C-307&amp;KWSearch=C-307&amp;searchFlow=results2products" TargetMode="External"/><Relationship Id="rId5049" Type="http://schemas.openxmlformats.org/officeDocument/2006/relationships/hyperlink" Target="https://www.mouser.jp/ProductDetail/onsemi/DTC144EET1G?qs=2OtswVQKCOGzUGumeHaiRw%3D%3D" TargetMode="External"/><Relationship Id="rId5256" Type="http://schemas.openxmlformats.org/officeDocument/2006/relationships/hyperlink" Target="https://www.chip1stop.com/view/dispDetail/DispDetail?partId=IR01-0015824&amp;mpn=IRF9Z34NPBF&amp;keyword=IRF9Z34N" TargetMode="External"/><Relationship Id="rId4065" Type="http://schemas.openxmlformats.org/officeDocument/2006/relationships/hyperlink" Target="https://www.amazon.co.jp/uxcell-%E3%83%A9%E3%83%83%E3%83%97%E3%83%AF%E3%82%A4%E3%83%A4-%E3%83%97%E3%83%A9%E3%82%B9%E3%83%81%E3%83%83%E3%82%AF%E8%A3%BD-250M%E9%95%B7%E3%81%95-DM-30-1000/dp/B07KQ3PDG6/ref=sr_1_1_sspa?__mk_ja_JP=%E3%82%AB%E3%82%BF%E3%82%AB%E3%83%8A&amp;dchild=1&amp;keywords=uxcell%2B30%2Bawg&amp;qid=1633565368&amp;sr=8-1-spons&amp;smid=AANM8PRMV1MBN&amp;spLa=ZW5jcnlwdGVkUXVhbGlmaWVyPUEyTFRBR1pVU0hJVFhXJmVuY3J5cHRlZElkPUEwNTQ3OTQ1MloxV1JLOEQ2RkhBQSZlbmNyeXB0ZWRBZElkPUEyU1o5MkhJQTkwMVBDJndpZGdldE5hbWU9c3BfYXRmJmFjdGlvbj1jbGlja1JlZGlyZWN0JmRvTm90TG9nQ2xpY2s9dHJ1ZQ&amp;th=1" TargetMode="External"/><Relationship Id="rId4272" Type="http://schemas.openxmlformats.org/officeDocument/2006/relationships/hyperlink" Target="https://www.amazon.co.jp/dp/B098MJ358V/ref=sspa_dk_detail_0?psc=1&amp;pd_rd_i=B098MJ358V&amp;pd_rd_w=37Cmz&amp;pf_rd_p=86d545e6-51ff-428d-9903-b93b364247df&amp;pd_rd_wg=d4jAn&amp;pf_rd_r=W2V4NJAV8A93H0ASBBXY&amp;pd_rd_r=d6dc5c42-d8bd-4fad-bab4-52e1eb9d40e9&amp;spLa=ZW5jcnlwdGVkUXVhbGlmaWVyPUFWVFE1UEpLUzZJS1ImZW5jcnlwdGVkSWQ9QTA1NDgzNzNKTDI1SlUxUjdXMCZlbmNyeXB0ZWRBZElkPUEyOUpLNjBGUFcySFhQJndpZGdldE5hbWU9c3BfZGV0YWlsJmFjdGlvbj1jbGlja1JlZGlyZWN0JmRvTm90TG9nQ2xpY2s9dHJ1ZQ==" TargetMode="External"/><Relationship Id="rId5116" Type="http://schemas.openxmlformats.org/officeDocument/2006/relationships/hyperlink" Target="https://www.monotaro.com/p/4950/4666/" TargetMode="External"/><Relationship Id="rId5323" Type="http://schemas.openxmlformats.org/officeDocument/2006/relationships/hyperlink" Target="https://www.digikey.jp/en/products/detail/analog-devices-inc/LTC3536EDD-TRPBF/2716101" TargetMode="External"/><Relationship Id="rId1659" Type="http://schemas.openxmlformats.org/officeDocument/2006/relationships/hyperlink" Target="https://www.monotaro.com/p/1145/9534/?t.q=%83v%83%89%83l%83W" TargetMode="External"/><Relationship Id="rId1866" Type="http://schemas.openxmlformats.org/officeDocument/2006/relationships/hyperlink" Target="https://www.digikey.jp/product-detail/ja/texas-instruments/INA181A1IDBVR/296-47656-1-ND/8133025" TargetMode="External"/><Relationship Id="rId2917" Type="http://schemas.openxmlformats.org/officeDocument/2006/relationships/hyperlink" Target="https://www.digikey.jp/product-detail/ja/texas-instruments/LMV358IDGKR/296-13455-1-ND/486370" TargetMode="External"/><Relationship Id="rId3081" Type="http://schemas.openxmlformats.org/officeDocument/2006/relationships/hyperlink" Target="https://item.rakuten.co.jp/tin-alloy/pb-0001/" TargetMode="External"/><Relationship Id="rId4132" Type="http://schemas.openxmlformats.org/officeDocument/2006/relationships/hyperlink" Target="https://akizukidenshi.com/catalog/g/gM-13628/" TargetMode="External"/><Relationship Id="rId1519" Type="http://schemas.openxmlformats.org/officeDocument/2006/relationships/hyperlink" Target="https://www.digikey.jp/ja/supplier-centers/m/mikroelektronika" TargetMode="External"/><Relationship Id="rId1726" Type="http://schemas.openxmlformats.org/officeDocument/2006/relationships/hyperlink" Target="https://jp.rs-online.com/web/p/dc-dc-power-supply-modules/6617972/" TargetMode="External"/><Relationship Id="rId1933" Type="http://schemas.openxmlformats.org/officeDocument/2006/relationships/hyperlink" Target="https://www.p-ban.com/kiban/com/csComTop.do" TargetMode="External"/><Relationship Id="rId18" Type="http://schemas.openxmlformats.org/officeDocument/2006/relationships/hyperlink" Target="https://jp.rs-online.com/web/p/panel-mount-fixed-resistors/3091267/?sra=pstk" TargetMode="External"/><Relationship Id="rId3898" Type="http://schemas.openxmlformats.org/officeDocument/2006/relationships/hyperlink" Target="https://www.monotaro.com/g/00009445/?t.q=%83J%83v%83g%83%93%83e%81%5B%83v" TargetMode="External"/><Relationship Id="rId4949" Type="http://schemas.openxmlformats.org/officeDocument/2006/relationships/hyperlink" Target="https://jp.misumi-ec.com/vona2/detail/110300244510/?HissuCode=CBSST3-6" TargetMode="External"/><Relationship Id="rId3758" Type="http://schemas.openxmlformats.org/officeDocument/2006/relationships/hyperlink" Target="https://www.digikey.jp/product-detail/en/CFM14JT220R/S220QCT-ND/2617711?itemSeq=372570380" TargetMode="External"/><Relationship Id="rId3965" Type="http://schemas.openxmlformats.org/officeDocument/2006/relationships/hyperlink" Target="https://jp.misumi-ec.com/vona2/detail/221006204478/?PNSearch=C-302-5&amp;HissuCode=C-302-5&amp;searchFlow=suggest2products&amp;Keyword=C-302-5" TargetMode="External"/><Relationship Id="rId4809" Type="http://schemas.openxmlformats.org/officeDocument/2006/relationships/hyperlink" Target="https://jp.rs-online.com/web/p/raspberry-pi/1829891" TargetMode="External"/><Relationship Id="rId679" Type="http://schemas.openxmlformats.org/officeDocument/2006/relationships/hyperlink" Target="https://www.p-ban.com/kiban/com/csComTop.do" TargetMode="External"/><Relationship Id="rId886" Type="http://schemas.openxmlformats.org/officeDocument/2006/relationships/hyperlink" Target="https://jp.rs-online.com/web/p/mlccs-multilayer-ceramic-capacitors/7902723/" TargetMode="External"/><Relationship Id="rId2567" Type="http://schemas.openxmlformats.org/officeDocument/2006/relationships/hyperlink" Target="https://www.digikey.jp/product-detail/ja/analog-devices-inc/ADP7142AUJZ-5-0-R7/ADP7142AUJZ-5-0-R7CT-ND/6568649" TargetMode="External"/><Relationship Id="rId2774" Type="http://schemas.openxmlformats.org/officeDocument/2006/relationships/hyperlink" Target="https://www.digikey.jp/product-detail/ja/c-k/SDS002R/CKN10231CT-ND/2218821" TargetMode="External"/><Relationship Id="rId3618" Type="http://schemas.openxmlformats.org/officeDocument/2006/relationships/hyperlink" Target="https://www.digikey.jp/product-detail/ja/analog-devices-inc/LTC4361HDC-2-TRMPBF/LTC4361HDC-2-TRMPBFCT-ND/5114546" TargetMode="External"/><Relationship Id="rId5180" Type="http://schemas.openxmlformats.org/officeDocument/2006/relationships/hyperlink" Target="https://mou.sr/3Toij0s" TargetMode="External"/><Relationship Id="rId2" Type="http://schemas.openxmlformats.org/officeDocument/2006/relationships/hyperlink" Target="https://www.digikey.jp/product-detail/ja/on-semiconductor/BAT54CLT1G/BAT54CLT1GOSCT-ND/920481" TargetMode="External"/><Relationship Id="rId539" Type="http://schemas.openxmlformats.org/officeDocument/2006/relationships/hyperlink" Target="https://www.digikey.jp/product-detail/en/linear-technology-analog-devices/LTC3119IFE-PBF/LTC3119IFE-PBF-ND/6419503" TargetMode="External"/><Relationship Id="rId746" Type="http://schemas.openxmlformats.org/officeDocument/2006/relationships/hyperlink" Target="https://www.digikey.jp/products/en?keywords=1253-1687-1-ND" TargetMode="External"/><Relationship Id="rId1169" Type="http://schemas.openxmlformats.org/officeDocument/2006/relationships/hyperlink" Target="https://jp.misumi-ec.com/vona2/detail/110302679630/?HissuCode=FABS3-%5b20-150%2f1%5d" TargetMode="External"/><Relationship Id="rId1376" Type="http://schemas.openxmlformats.org/officeDocument/2006/relationships/hyperlink" Target="http://akizukidenshi.com/catalog/g/gM-12961/" TargetMode="External"/><Relationship Id="rId1583" Type="http://schemas.openxmlformats.org/officeDocument/2006/relationships/hyperlink" Target="https://jp.misumi-ec.com/vona2/detail/221000544288/?rid=c14_detail_1_221000544288" TargetMode="External"/><Relationship Id="rId2427" Type="http://schemas.openxmlformats.org/officeDocument/2006/relationships/hyperlink" Target="https://www.mouser.jp/ProductDetail/Alpha-Wire/6711-WH005?qs=%2Fha2pyFaduj3tGzlOpYRamhlDrwp3v%2FVuvpoIpcEwEk%3D" TargetMode="External"/><Relationship Id="rId2981" Type="http://schemas.openxmlformats.org/officeDocument/2006/relationships/hyperlink" Target="https://www.digikey.jp/product-detail/ja/kemet/C0603C154K5RACTU/399-9015-1-ND/3522532" TargetMode="External"/><Relationship Id="rId3825" Type="http://schemas.openxmlformats.org/officeDocument/2006/relationships/hyperlink" Target="https://www.monotaro.com/p/7590/5392/" TargetMode="External"/><Relationship Id="rId5040" Type="http://schemas.openxmlformats.org/officeDocument/2006/relationships/hyperlink" Target="https://www.mouser.jp/ProductDetail/KOA-Speer/RK73B1JTTD103J?qs=hmtrJ2UjXcBKRTcwO9LloQ%3D%3D" TargetMode="External"/><Relationship Id="rId953" Type="http://schemas.openxmlformats.org/officeDocument/2006/relationships/hyperlink" Target="https://www.monotaro.com/g/01231070/?t.q=11749675" TargetMode="External"/><Relationship Id="rId1029" Type="http://schemas.openxmlformats.org/officeDocument/2006/relationships/hyperlink" Target="https://jp.misumi-ec.com/vona2/detail/221000551286/?HissuCode=CSH-STD-M12-40&amp;PNSearch=CSH-STD-M12-40&amp;KWSearch=CSH-STD-M12-40&amp;searchFlow=results2products" TargetMode="External"/><Relationship Id="rId1236" Type="http://schemas.openxmlformats.org/officeDocument/2006/relationships/hyperlink" Target="https://www.digikey.jp/products/ja?keywords=P100BYCT-ND" TargetMode="External"/><Relationship Id="rId1790" Type="http://schemas.openxmlformats.org/officeDocument/2006/relationships/hyperlink" Target="https://jp.rs-online.com/web/p/motor-driver-ics/1887014/" TargetMode="External"/><Relationship Id="rId2634" Type="http://schemas.openxmlformats.org/officeDocument/2006/relationships/hyperlink" Target="https://www.p-ban.com/" TargetMode="External"/><Relationship Id="rId2841" Type="http://schemas.openxmlformats.org/officeDocument/2006/relationships/hyperlink" Target="https://jp.misumi-ec.com/vona2/detail/110310113219/?HissuCode=A5052P-6F-HXA-NNN-520-30-30" TargetMode="External"/><Relationship Id="rId82" Type="http://schemas.openxmlformats.org/officeDocument/2006/relationships/hyperlink" Target="https://www.digikey.jp/product-detail/en/vishay-dale/WSL0805R0250FEA18/WSLB-.025CT-ND/713391?cur=JPY&amp;lang=en" TargetMode="External"/><Relationship Id="rId606" Type="http://schemas.openxmlformats.org/officeDocument/2006/relationships/hyperlink" Target="https://www.digikey.jp/products/en?keywords=478-3614-1-ND" TargetMode="External"/><Relationship Id="rId813" Type="http://schemas.openxmlformats.org/officeDocument/2006/relationships/hyperlink" Target="https://www.digikey.jp/products/ja?keywords=M20-9990545" TargetMode="External"/><Relationship Id="rId1443" Type="http://schemas.openxmlformats.org/officeDocument/2006/relationships/hyperlink" Target="https://www.digikey.jp/product-detail/en/rohm-semiconductor/UMD5NTR/UMD5NCT-ND/3769436" TargetMode="External"/><Relationship Id="rId1650" Type="http://schemas.openxmlformats.org/officeDocument/2006/relationships/hyperlink" Target="http://www.ktek.jp/mini-ckt-atten-term-50-ohm.html" TargetMode="External"/><Relationship Id="rId2701" Type="http://schemas.openxmlformats.org/officeDocument/2006/relationships/hyperlink" Target="https://www.mouser.jp/ProductDetail/Microchip-Technology/LAN9514I-JZX?qs=%2Fha2pyFaduiAmoaJ1BUlgDi3cyNOKVPPMWWYjeXWA5amlZNZW1AGpA%3D%3D" TargetMode="External"/><Relationship Id="rId4599" Type="http://schemas.openxmlformats.org/officeDocument/2006/relationships/hyperlink" Target="https://www.amazon.co.jp/-/en/gp/product/B08K3QC75P/ref=ox_sc_act_title_3?smid=ANVQEZ4UV9LO1&amp;psc=1" TargetMode="External"/><Relationship Id="rId1303" Type="http://schemas.openxmlformats.org/officeDocument/2006/relationships/hyperlink" Target="https://www.monotaro.com/g/01291890/?t.q=UV%83J%83b%83g%93%A7%96%BE%83J%83o%81%5B%83t%83B%83%8B%83%80" TargetMode="External"/><Relationship Id="rId1510" Type="http://schemas.openxmlformats.org/officeDocument/2006/relationships/hyperlink" Target="http://akizukidenshi.com/catalog/g/gM-13470/" TargetMode="External"/><Relationship Id="rId4459" Type="http://schemas.openxmlformats.org/officeDocument/2006/relationships/hyperlink" Target="https://www.monotaro.com/g/01213900/" TargetMode="External"/><Relationship Id="rId4666" Type="http://schemas.openxmlformats.org/officeDocument/2006/relationships/hyperlink" Target="https://www.mouser.jp/ProductDetail/Vishay/WSLP0603R0250FEA?qs=sGAEpiMZZMtdo5lL%2F%252BX2B5K4AdKVKDgNh%2FQ%2FYeLnr9E=" TargetMode="External"/><Relationship Id="rId4873" Type="http://schemas.openxmlformats.org/officeDocument/2006/relationships/hyperlink" Target="https://www.monotaro.com/g/00423805/?t.mpn=41547475" TargetMode="External"/><Relationship Id="rId3268" Type="http://schemas.openxmlformats.org/officeDocument/2006/relationships/hyperlink" Target="https://www.digikey.jp/product-detail/ja/kemet/C0603C225K9PACTU/399-3362-1-ND/650351" TargetMode="External"/><Relationship Id="rId3475" Type="http://schemas.openxmlformats.org/officeDocument/2006/relationships/hyperlink" Target="https://www.mouser.jp/ProductDetail/Raspberry-Pi/1101001000045?qs=sGAEpiMZZMve4%2FbfQkoj%252BMUp9oD6Abn1MSY4MW8Pkys=" TargetMode="External"/><Relationship Id="rId3682" Type="http://schemas.openxmlformats.org/officeDocument/2006/relationships/hyperlink" Target="https://jp.rs-online.com/web/p/development-tool-accessories/7511172/?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32333248442D44444853502D30267365617263685F6B6579776F72645F6170703D4332333248442D44444853502D30267365617263685F636F6E6669673D3126&amp;searchHistory=%7B%22enabled%22%3Atrue%7D" TargetMode="External"/><Relationship Id="rId4319" Type="http://schemas.openxmlformats.org/officeDocument/2006/relationships/hyperlink" Target="https://www.digikey.jp/ja/products/detail/c-k/SDS002R/2218821" TargetMode="External"/><Relationship Id="rId4526" Type="http://schemas.openxmlformats.org/officeDocument/2006/relationships/hyperlink" Target="https://www.amazon.co.jp/%E3%80%90Amazon-co-jp%E9%99%90%E5%AE%9A%E3%80%91TP-Link-%E3%82%B9%E3%82%A4%E3%83%83%E3%83%81%E3%83%B3%E3%82%B0%E3%83%8F%E3%83%96-1000Mbps-%E3%83%A9%E3%82%A4%E3%83%95%E3%82%BF%E3%82%A4%E3%83%A0%E4%BF%9D%E8%A8%BC-TL-SG105V4-0/dp/B00A128S24/ref=sr_1_12?__mk_ja_JP=%E3%82%AB%E3%82%BF%E3%82%AB%E3%83%8A&amp;keywords=ethernet%2Brouter&amp;qid=1579220631&amp;sr=8-12&amp;th=1" TargetMode="External"/><Relationship Id="rId4733" Type="http://schemas.openxmlformats.org/officeDocument/2006/relationships/hyperlink" Target="https://www.digikey.jp/en/products/detail/amphenol-cs-fci/20021311-00024T4LF/2209108" TargetMode="External"/><Relationship Id="rId4940" Type="http://schemas.openxmlformats.org/officeDocument/2006/relationships/hyperlink" Target="https://www.digikey.jp/ja/products/detail/panasonic-electronic-components/ERA-3AEB2873V/2026968?s=N4IgjCBcoMxaBjKAzAhgGwM4FMA0IB7KAbRAHYYIBdfABwBcoQBlegJwEsA7AcxAF98YAGzwQSSGix5CJEDACcAJgAsomiAZNWnXgPwBaCNHEoMOfEUikwABhBVBIA3BMT2AVxlWb9x4aUxdzYvSzkAVgd%2BJ0DrECUADjIAawACTABbABMooA" TargetMode="External"/><Relationship Id="rId189" Type="http://schemas.openxmlformats.org/officeDocument/2006/relationships/hyperlink" Target="https://www.digikey.jp/product-detail/en/ohmite/FCSL64R005DER/FCSL64R005DERCT-ND/9599078" TargetMode="External"/><Relationship Id="rId396" Type="http://schemas.openxmlformats.org/officeDocument/2006/relationships/hyperlink" Target="https://www.digikey.jp/products/en?keywords=con-sma-edge-s-nd" TargetMode="External"/><Relationship Id="rId2077" Type="http://schemas.openxmlformats.org/officeDocument/2006/relationships/hyperlink" Target="https://jp.misumi-ec.com/vona2/detail/110302280540/?HissuCode=CBSTSR2-6&amp;PNSearch=CBSTSR2-6&amp;KWSearch=CBSTSR2-6&amp;searchFlow=results2products" TargetMode="External"/><Relationship Id="rId2284" Type="http://schemas.openxmlformats.org/officeDocument/2006/relationships/hyperlink" Target="https://jp.rs-online.com/web/p/extender-boards-adapters/5053554/?sra=pmpn" TargetMode="External"/><Relationship Id="rId2491" Type="http://schemas.openxmlformats.org/officeDocument/2006/relationships/hyperlink" Target="https://akizukidenshi.com/catalog/g/gC-12821/" TargetMode="External"/><Relationship Id="rId3128" Type="http://schemas.openxmlformats.org/officeDocument/2006/relationships/hyperlink" Target="https://www.digikey.jp/product-detail/en/yageo/RC0603FR-07511KL/311-511KHRCT-ND/730235" TargetMode="External"/><Relationship Id="rId3335" Type="http://schemas.openxmlformats.org/officeDocument/2006/relationships/hyperlink" Target="https://www.digikey.jp/product-detail/en/analog-devices-inc/LTC4361CTS8-1-TRMPBF/LTC4361CTS8-1-TRMPBFCT-ND/2297163" TargetMode="External"/><Relationship Id="rId3542" Type="http://schemas.openxmlformats.org/officeDocument/2006/relationships/hyperlink" Target="https://www.mouser.jp/ProductDetail/TDK/CGA4J1X8L1E475K125AC?qs=gZXFycFWdANxpKJOMQuJTA%3D%3D" TargetMode="External"/><Relationship Id="rId256" Type="http://schemas.openxmlformats.org/officeDocument/2006/relationships/hyperlink" Target="https://www.amazon.co.uk/gp/product/B0195V1QEI/ref=ox_sc_act_title_1?smid=A29OOUSAJREEZF&amp;psc=1" TargetMode="External"/><Relationship Id="rId463" Type="http://schemas.openxmlformats.org/officeDocument/2006/relationships/hyperlink" Target="https://jp.misumi-ec.com/vona2/detail/221006204478/?HissuCode=C-314-5&amp;PNSearch=C-314-5&amp;KWSearch=C-314-5&amp;searchFlow=results2products" TargetMode="External"/><Relationship Id="rId670" Type="http://schemas.openxmlformats.org/officeDocument/2006/relationships/hyperlink" Target="https://www.monotaro.com/g/03486717/?t.q=%83J%83v%83g%83%93%83e%81%5B%83v" TargetMode="External"/><Relationship Id="rId1093" Type="http://schemas.openxmlformats.org/officeDocument/2006/relationships/hyperlink" Target="https://www.digikey.jp/products/en?keywords=296-36413-1-ND" TargetMode="External"/><Relationship Id="rId2144" Type="http://schemas.openxmlformats.org/officeDocument/2006/relationships/hyperlink" Target="https://jp.misumi-ec.com/vona2/detail/110302280540/?searchFlow=results2products&amp;KWSearch=CBSTSR2&amp;PNSearch=CBSTSR2-4&amp;HissuCode=CBSTSR2-4" TargetMode="External"/><Relationship Id="rId2351" Type="http://schemas.openxmlformats.org/officeDocument/2006/relationships/hyperlink" Target="http://www.onk-phnx.co.jp/steel/index.html" TargetMode="External"/><Relationship Id="rId3402" Type="http://schemas.openxmlformats.org/officeDocument/2006/relationships/hyperlink" Target="https://www.hamradio.com/detail.cfm?pid=H0-017155" TargetMode="External"/><Relationship Id="rId4800" Type="http://schemas.openxmlformats.org/officeDocument/2006/relationships/hyperlink" Target="https://akizukidenshi.com/catalog/g/gC-12821/" TargetMode="External"/><Relationship Id="rId116" Type="http://schemas.openxmlformats.org/officeDocument/2006/relationships/hyperlink" Target="https://jp.misumi-ec.com/vona2/detail/221000551286/?CategorySpec=00000217065%3a%3amig00000002463787%0900000217017%3a%3amig00000002463781%0900000217082%3a%3aa%0900000217097%3a%3aa%0900000217131%3a%3aa%0900000217143%3a%3aa%0900000216962%3a%3aj&amp;bid=bid_list_template" TargetMode="External"/><Relationship Id="rId323" Type="http://schemas.openxmlformats.org/officeDocument/2006/relationships/hyperlink" Target="https://www.monotaro.com/p/2412/2342/" TargetMode="External"/><Relationship Id="rId530" Type="http://schemas.openxmlformats.org/officeDocument/2006/relationships/hyperlink" Target="https://www.digikey.jp/product-detail/en/abracon-llc/ABLS-16.000MHZ-B4-T/535-10226-1-ND/2184261?cur=JPY&amp;lang=en" TargetMode="External"/><Relationship Id="rId1160" Type="http://schemas.openxmlformats.org/officeDocument/2006/relationships/hyperlink" Target="https://www.digikey.jp/product-detail/en/rohm-semiconductor/SML-E12M8WT86/511-1584-1-ND/1641816" TargetMode="External"/><Relationship Id="rId2004" Type="http://schemas.openxmlformats.org/officeDocument/2006/relationships/hyperlink" Target="https://www.digikey.jp/product-detail/en/toshiba-semiconductor-and-storage/SSM6K411TU-TE85L-F/SSM6K411TU-TE85LFCT-ND/5298038" TargetMode="External"/><Relationship Id="rId2211" Type="http://schemas.openxmlformats.org/officeDocument/2006/relationships/hyperlink" Target="https://www.digikey.jp/product-detail/en/stackpole-electronics-inc/CFM14JT2K20/S2-2KQTR-ND/1742118" TargetMode="External"/><Relationship Id="rId5367" Type="http://schemas.openxmlformats.org/officeDocument/2006/relationships/hyperlink" Target="https://www.monotaro.com/p/0925/2984/?t.q=%83%8F%83C%83%84%81%5B%83X%83g%83%8A%83b%83p%81%5B" TargetMode="External"/><Relationship Id="rId4176" Type="http://schemas.openxmlformats.org/officeDocument/2006/relationships/hyperlink" Target="https://www.mouser.jp/ProductDetail/KEMET/C0805X120J5GACAUTO?qs=PqoDHHvF64%2FG1xFjMXSvqA%3D%3D" TargetMode="External"/><Relationship Id="rId1020" Type="http://schemas.openxmlformats.org/officeDocument/2006/relationships/hyperlink" Target="https://www.digikey.jp/ja/supplier-centers/s/stackpole-electronics" TargetMode="External"/><Relationship Id="rId1977" Type="http://schemas.openxmlformats.org/officeDocument/2006/relationships/hyperlink" Target="https://www.digikey.jp/product-detail/en/kemet/C0603C150J3GACAUTO/399-6858-1-ND/3314371" TargetMode="External"/><Relationship Id="rId4383" Type="http://schemas.openxmlformats.org/officeDocument/2006/relationships/hyperlink" Target="https://www.monotaro.com/p/1131/7172/" TargetMode="External"/><Relationship Id="rId4590" Type="http://schemas.openxmlformats.org/officeDocument/2006/relationships/hyperlink" Target="https://akizukidenshi.com/catalog/g/gC-00167/" TargetMode="External"/><Relationship Id="rId5227" Type="http://schemas.openxmlformats.org/officeDocument/2006/relationships/hyperlink" Target="https://www.digikey.jp/ja/supplier-centers/anysolar" TargetMode="External"/><Relationship Id="rId1837" Type="http://schemas.openxmlformats.org/officeDocument/2006/relationships/hyperlink" Target="https://www.digikey.jp/product-detail/ja/koa-speer-electronics-inc/RK73Z1JTTD/2019-RK73Z1JTTDCT-ND/9847522" TargetMode="External"/><Relationship Id="rId3192" Type="http://schemas.openxmlformats.org/officeDocument/2006/relationships/hyperlink" Target="https://www.monotaro.com/p/3989/5127/" TargetMode="External"/><Relationship Id="rId4036" Type="http://schemas.openxmlformats.org/officeDocument/2006/relationships/hyperlink" Target="https://jp.rs-online.com/web/p/products/5443812/" TargetMode="External"/><Relationship Id="rId4243" Type="http://schemas.openxmlformats.org/officeDocument/2006/relationships/hyperlink" Target="https://jp.rs-online.com/web/p/pcb-headers/5469482/" TargetMode="External"/><Relationship Id="rId4450" Type="http://schemas.openxmlformats.org/officeDocument/2006/relationships/hyperlink" Target="https://www.graphic.jp/price/confirm/3109_921_3_5974_4v20_0_no" TargetMode="External"/><Relationship Id="rId3052" Type="http://schemas.openxmlformats.org/officeDocument/2006/relationships/hyperlink" Target="https://www.digikey.jp/product-detail/ja/murata-electronics/BLM18AG601SN1D/490-1014-1-ND/584462" TargetMode="External"/><Relationship Id="rId4103" Type="http://schemas.openxmlformats.org/officeDocument/2006/relationships/hyperlink" Target="https://jp.misumi-ec.com/vona2/detail/221006204478/?ProductCode=C-317.5" TargetMode="External"/><Relationship Id="rId4310" Type="http://schemas.openxmlformats.org/officeDocument/2006/relationships/hyperlink" Target="https://navspark.mybigcommerce.com/12mm-x-16mm-gnss-receiver-module-for-leo-applications/" TargetMode="External"/><Relationship Id="rId180" Type="http://schemas.openxmlformats.org/officeDocument/2006/relationships/hyperlink" Target="https://www.askul.co.jp/p/1845762/" TargetMode="External"/><Relationship Id="rId1904" Type="http://schemas.openxmlformats.org/officeDocument/2006/relationships/hyperlink" Target="https://www.marutsu.co.jp/pc/i/14952/" TargetMode="External"/><Relationship Id="rId3869" Type="http://schemas.openxmlformats.org/officeDocument/2006/relationships/hyperlink" Target="https://www.mouser.jp/ProductDetail/TE-Connectivity/796911-3?qs=F3nc1lPKfV7k0F3wgUq4Iw==" TargetMode="External"/><Relationship Id="rId5084" Type="http://schemas.openxmlformats.org/officeDocument/2006/relationships/hyperlink" Target="https://www.minicircuits.com/pdfs/ZN4PD1-63LW-S+.pdf" TargetMode="External"/><Relationship Id="rId5291" Type="http://schemas.openxmlformats.org/officeDocument/2006/relationships/hyperlink" Target="https://www.digikey.jp/en/products/detail/murata-electronics/GJM1555C1H6R2BB01D/2593071" TargetMode="External"/><Relationship Id="rId997" Type="http://schemas.openxmlformats.org/officeDocument/2006/relationships/hyperlink" Target="https://www.digikey.jp/products/ja?keywords=PCBRUler" TargetMode="External"/><Relationship Id="rId2678" Type="http://schemas.openxmlformats.org/officeDocument/2006/relationships/hyperlink" Target="https://www.mouser.jp/ProductDetail/KOA-Speer/RK73B1JTTD102J?qs=ySlnPdhAnF0vPhOsRGbH%252BQ%3D%3D" TargetMode="External"/><Relationship Id="rId2885" Type="http://schemas.openxmlformats.org/officeDocument/2006/relationships/hyperlink" Target="https://www.switch-science.com/catalog/2020/" TargetMode="External"/><Relationship Id="rId3729" Type="http://schemas.openxmlformats.org/officeDocument/2006/relationships/hyperlink" Target="http://www.hirosugi.com/product/standard.html" TargetMode="External"/><Relationship Id="rId3936" Type="http://schemas.openxmlformats.org/officeDocument/2006/relationships/hyperlink" Target="https://www.digikey.jp/product-detail/ja/yageo/CC0805JRNPO0BN180/311-4219-1-ND/8025308" TargetMode="External"/><Relationship Id="rId5151" Type="http://schemas.openxmlformats.org/officeDocument/2006/relationships/hyperlink" Target="https://jp.rs-online.com/web/p/op-amps/5171595" TargetMode="External"/><Relationship Id="rId857" Type="http://schemas.openxmlformats.org/officeDocument/2006/relationships/hyperlink" Target="https://jp.rs-online.com/web/p/optocouplers/1611266/" TargetMode="External"/><Relationship Id="rId1487" Type="http://schemas.openxmlformats.org/officeDocument/2006/relationships/hyperlink" Target="https://www.amazon.co.jp/dp/B07CQG8DK1/ref=sr_1_11?keywords=nema+23+57&amp;qid=1577965879&amp;s=apparel&amp;sr=8-11" TargetMode="External"/><Relationship Id="rId1694" Type="http://schemas.openxmlformats.org/officeDocument/2006/relationships/hyperlink" Target="http://amazon.jp/" TargetMode="External"/><Relationship Id="rId2538" Type="http://schemas.openxmlformats.org/officeDocument/2006/relationships/hyperlink" Target="https://jp.misumi-ec.com/vona2/detail/110302686450/?HissuCode=GFS6-3030-440&amp;PNSearch=GFS6-3030-440&amp;KWSearch=GFS6-3030-440&amp;searchFlow=results2products" TargetMode="External"/><Relationship Id="rId2745" Type="http://schemas.openxmlformats.org/officeDocument/2006/relationships/hyperlink" Target="https://www.monotaro.com/p/3576/7094/" TargetMode="External"/><Relationship Id="rId2952" Type="http://schemas.openxmlformats.org/officeDocument/2006/relationships/hyperlink" Target="https://www.digikey.jp/product-detail/en/A000062/1050-1049-ND/3712582/?itemSeq=349431735" TargetMode="External"/><Relationship Id="rId717" Type="http://schemas.openxmlformats.org/officeDocument/2006/relationships/hyperlink" Target="https://www.digikey.jp/product-detail/en/vishay-dale/WSL0805R0250FEA/WSLA-.025DKR-ND/1775805" TargetMode="External"/><Relationship Id="rId924" Type="http://schemas.openxmlformats.org/officeDocument/2006/relationships/hyperlink" Target="https://www.digikey.jp/product-detail/ja/murata-electronics-north-america/GRM188R60J476ME15D/490-13247-1-ND/5877455?cur=JPY&amp;lang=ja" TargetMode="External"/><Relationship Id="rId1347" Type="http://schemas.openxmlformats.org/officeDocument/2006/relationships/hyperlink" Target="https://jp.misumi-ec.com/vona2/detail/110302685050/?CategorySpec=00000173432%3a%3amig00000002491549%0900000173392%3a%3ab&amp;clkid=clkid_list_template" TargetMode="External"/><Relationship Id="rId1554" Type="http://schemas.openxmlformats.org/officeDocument/2006/relationships/hyperlink" Target="https://www.digikey.jp/product-detail/ja/assmann-wsw-components/DK-1511-003-BL/AE10480-ND/2268272" TargetMode="External"/><Relationship Id="rId1761" Type="http://schemas.openxmlformats.org/officeDocument/2006/relationships/hyperlink" Target="https://www.digikey.jp/product-detail/en/tdk-corporation/CGA3E2NP01H103J080AA/445-12383-1-ND/3954049" TargetMode="External"/><Relationship Id="rId2605" Type="http://schemas.openxmlformats.org/officeDocument/2006/relationships/hyperlink" Target="https://jp.rs-online.com/web/p/usb-connectors/7142347/" TargetMode="External"/><Relationship Id="rId2812" Type="http://schemas.openxmlformats.org/officeDocument/2006/relationships/hyperlink" Target="https://jp.rs-online.com/web/p/coaxial-adapters/1123788/" TargetMode="External"/><Relationship Id="rId5011" Type="http://schemas.openxmlformats.org/officeDocument/2006/relationships/hyperlink" Target="https://www.mouser.jp/ProductDetail/Panasonic/ERJ-S06J103V?qs=Zyl8A9hlmJqKI11OB00qpA%3D%3D" TargetMode="External"/><Relationship Id="rId53" Type="http://schemas.openxmlformats.org/officeDocument/2006/relationships/hyperlink" Target="https://www.nbk1560.com/products/specialscrew/nedzicom/miniaturescrew/SNSS/" TargetMode="External"/><Relationship Id="rId1207" Type="http://schemas.openxmlformats.org/officeDocument/2006/relationships/hyperlink" Target="https://www.digikey.jp/product-detail/ja/molex/0545502471/WM8810CT-ND/3197240" TargetMode="External"/><Relationship Id="rId1414" Type="http://schemas.openxmlformats.org/officeDocument/2006/relationships/hyperlink" Target="https://www.digikey.jp/product-detail/en/vishay-dale/CRCW080533R0FKEAC/541-4149-1-ND/7928832" TargetMode="External"/><Relationship Id="rId1621" Type="http://schemas.openxmlformats.org/officeDocument/2006/relationships/hyperlink" Target="https://www.digikey.jp/product-detail/ja/infineon-technologies/TDK5100FHTMA1/TDK5100FHTMA1CT-ND/9808475" TargetMode="External"/><Relationship Id="rId4777" Type="http://schemas.openxmlformats.org/officeDocument/2006/relationships/hyperlink" Target="https://jp.misumi-ec.com/vona2/detail/110300465870/?list=PageCategory" TargetMode="External"/><Relationship Id="rId4984" Type="http://schemas.openxmlformats.org/officeDocument/2006/relationships/hyperlink" Target="https://jp.rs-online.com/web/p/mosfets/1780854" TargetMode="External"/><Relationship Id="rId3379" Type="http://schemas.openxmlformats.org/officeDocument/2006/relationships/hyperlink" Target="https://www.digikey.jp/product-detail/ja/analog-devices-inc/ADP7142AUJZ-5-0-R7/ADP7142AUJZ-5-0-R7CT-ND/6568649" TargetMode="External"/><Relationship Id="rId3586" Type="http://schemas.openxmlformats.org/officeDocument/2006/relationships/hyperlink" Target="https://www.banggood.com/ja/LILYGO-TTGO-T-Beam-v1_0-ESP32-LoRa-433-or-868-or-915Mhz-WiFi-GPS-NEO-6M-18650-WiFi-bluetooth-Board-Module-p-1609523.html?gmcCountry=JP&amp;currency=JPY&amp;cur_warehouse=CN&amp;createTmp=1&amp;ID=6269370" TargetMode="External"/><Relationship Id="rId3793" Type="http://schemas.openxmlformats.org/officeDocument/2006/relationships/hyperlink" Target="https://www.digikey.jp/product-detail/en/essentra-components/50M030050D012/RPC7026-ND/9677040" TargetMode="External"/><Relationship Id="rId4637" Type="http://schemas.openxmlformats.org/officeDocument/2006/relationships/hyperlink" Target="https://jp.misumi-ec.com/vona2/detail/110100142270/?HissuCode=CBSS6-8&amp;PNSearch=CBSS6-8&amp;KWSearch=CBSS6-8&amp;searchFlow=results2products&amp;list=PageSearchResult" TargetMode="External"/><Relationship Id="rId2188" Type="http://schemas.openxmlformats.org/officeDocument/2006/relationships/hyperlink" Target="http://akizukidenshi.com/catalog/g/gP-13019/" TargetMode="External"/><Relationship Id="rId2395" Type="http://schemas.openxmlformats.org/officeDocument/2006/relationships/hyperlink" Target="https://www.digikey.jp/products/en?keywords=490-16433-1-ND" TargetMode="External"/><Relationship Id="rId3239" Type="http://schemas.openxmlformats.org/officeDocument/2006/relationships/hyperlink" Target="https://www.digikey.jp/product-detail/ja/microchip-technology/PIC18F67J94-I-PT/PIC18F67J94-I-PT-ND/3872481" TargetMode="External"/><Relationship Id="rId3446" Type="http://schemas.openxmlformats.org/officeDocument/2006/relationships/hyperlink" Target="https://www.digikey.jp/product-detail/ja/molex/0554600272/WM8301CT-ND/1632945" TargetMode="External"/><Relationship Id="rId4844" Type="http://schemas.openxmlformats.org/officeDocument/2006/relationships/hyperlink" Target="https://www.digikey.jp/ja/products/detail/anysolar-ltd/KXOB25-03X4F-TR/13999191?s=N4IgjCBcoLQBxVAYygMwIYBsDOBTANCAPZQDaIATAJxUAsIAugL5OEVkgDSAGgPIBCFAKwwADAGZutAGIwAKgCVGTIA" TargetMode="External"/><Relationship Id="rId367" Type="http://schemas.openxmlformats.org/officeDocument/2006/relationships/hyperlink" Target="https://www.digikey.jp/products/ja?keywords=490-1174-1-ND" TargetMode="External"/><Relationship Id="rId574" Type="http://schemas.openxmlformats.org/officeDocument/2006/relationships/hyperlink" Target="https://www.digikey.jp/product-detail/en/taiwan-semiconductor-corporation/TSM126CX-RFG/TSM126CXRFGCT-ND/7360147" TargetMode="External"/><Relationship Id="rId2048" Type="http://schemas.openxmlformats.org/officeDocument/2006/relationships/hyperlink" Target="https://www.tackleberry.co.jp/shop-detail/32143751/" TargetMode="External"/><Relationship Id="rId2255" Type="http://schemas.openxmlformats.org/officeDocument/2006/relationships/hyperlink" Target="https://www.monotaro.com/p/4226/7425/?t.q=%83X%83y%81%5B%83T%81%5B" TargetMode="External"/><Relationship Id="rId3653" Type="http://schemas.openxmlformats.org/officeDocument/2006/relationships/hyperlink" Target="https://www.digikey.jp/product-detail/en/samtec-inc/CLM-103-02-F-D-TR/SAM13368CT-ND/9593662" TargetMode="External"/><Relationship Id="rId3860" Type="http://schemas.openxmlformats.org/officeDocument/2006/relationships/hyperlink" Target="https://jp.misumi-ec.com/vona2/detail/110302280540/?HissuCode=CBSTSR2-6&amp;PNSearch=CBSTSR2-6&amp;KWSearch=CBSTSR2-6&amp;searchFlow=results2products" TargetMode="External"/><Relationship Id="rId4704" Type="http://schemas.openxmlformats.org/officeDocument/2006/relationships/hyperlink" Target="https://www.amazon.co.jp/dp/B07S8VWT5B?ref_=cm_sw_r_cp_ud_dp_WJYC0WSS7DZYTKDJHK5V" TargetMode="External"/><Relationship Id="rId4911" Type="http://schemas.openxmlformats.org/officeDocument/2006/relationships/hyperlink" Target="https://www.amazon.com/BTECH-AMP-V25-Amplifier-136-174MHz-Compatible/dp/B076H972DH?th=1" TargetMode="External"/><Relationship Id="rId227" Type="http://schemas.openxmlformats.org/officeDocument/2006/relationships/hyperlink" Target="https://jp.rs-online.com/web/p/products/4910276/" TargetMode="External"/><Relationship Id="rId781" Type="http://schemas.openxmlformats.org/officeDocument/2006/relationships/hyperlink" Target="https://www.askul.co.jp/p/223811/" TargetMode="External"/><Relationship Id="rId2462" Type="http://schemas.openxmlformats.org/officeDocument/2006/relationships/hyperlink" Target="https://www.digikey.jp/product-detail/ja/murata-electronics/GRM219R60J476ME44D/490-13249-1-ND/5877457" TargetMode="External"/><Relationship Id="rId3306" Type="http://schemas.openxmlformats.org/officeDocument/2006/relationships/hyperlink" Target="https://www.digikey.jp/products/ja?keywords=LC4256ZE-7TN144I" TargetMode="External"/><Relationship Id="rId3513" Type="http://schemas.openxmlformats.org/officeDocument/2006/relationships/hyperlink" Target="https://www.digikey.jp/product-detail/ja/ADRF6650ACPZ/505-ADRF6650ACPZ-ND/13978949?itemSeq=366287484" TargetMode="External"/><Relationship Id="rId3720" Type="http://schemas.openxmlformats.org/officeDocument/2006/relationships/hyperlink" Target="https://www.utsource.net/sch/REF195GSZ.html" TargetMode="External"/><Relationship Id="rId434" Type="http://schemas.openxmlformats.org/officeDocument/2006/relationships/hyperlink" Target="http://www.uctronics.com/mini-arducam-module-camera-shield-w-5-mp-ov5642-for-arduino-uno-mega2560-board.html" TargetMode="External"/><Relationship Id="rId641" Type="http://schemas.openxmlformats.org/officeDocument/2006/relationships/hyperlink" Target="https://www.askul.co.jp/p/8475270/" TargetMode="External"/><Relationship Id="rId1064" Type="http://schemas.openxmlformats.org/officeDocument/2006/relationships/hyperlink" Target="https://www.digikey.jp/product-detail/en/amphenol-rf-division/908-22101T/ARF1725CT-ND/2041861" TargetMode="External"/><Relationship Id="rId1271" Type="http://schemas.openxmlformats.org/officeDocument/2006/relationships/hyperlink" Target="https://www.digikey.jp/product-detail/en/assmann-wsw-components/AT-S-26-6-6-B-7-R/A2662R-07-ND/1972588" TargetMode="External"/><Relationship Id="rId2115" Type="http://schemas.openxmlformats.org/officeDocument/2006/relationships/hyperlink" Target="https://www.digikey.jp/product-detail/en/apex-tool-group/T0054443799N/T0054443799N-ND/267992" TargetMode="External"/><Relationship Id="rId2322" Type="http://schemas.openxmlformats.org/officeDocument/2006/relationships/hyperlink" Target="https://jp.rs-online.com/web/p/toggle-switches/7347123/" TargetMode="External"/><Relationship Id="rId501" Type="http://schemas.openxmlformats.org/officeDocument/2006/relationships/hyperlink" Target="https://jp.rs-online.com/web/p/surface-mount-fixed-resistors/0432494/?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232334A29267374613D524B37334232415454443232334A26&amp;searchHistory=%7B%22enabled%22%3Atrue%7D" TargetMode="External"/><Relationship Id="rId1131" Type="http://schemas.openxmlformats.org/officeDocument/2006/relationships/hyperlink" Target="http://www.skytraq.com.tw/products/Venus838FLPx_PB_v1.pdf" TargetMode="External"/><Relationship Id="rId4287" Type="http://schemas.openxmlformats.org/officeDocument/2006/relationships/hyperlink" Target="https://jp.misumi-ec.com/vona2/detail/221006202432/?ProductCode=BSU-305-5" TargetMode="External"/><Relationship Id="rId4494" Type="http://schemas.openxmlformats.org/officeDocument/2006/relationships/hyperlink" Target="https://www.digikey.jp/ja/products/detail/sullins-connector-solutions/PEC02DABN/860628?s=N4IgTCBcDaIAoFEDCAGMARAggIQHIgF0BfIA" TargetMode="External"/><Relationship Id="rId5338" Type="http://schemas.openxmlformats.org/officeDocument/2006/relationships/hyperlink" Target="https://www.digikey.jp/en/products/detail/onsemi/FXMA108BQX/2287318?s=N4IgTCBcDaIGIA0CyBBAjABgBwCECKCIAugL5A" TargetMode="External"/><Relationship Id="rId3096" Type="http://schemas.openxmlformats.org/officeDocument/2006/relationships/hyperlink" Target="https://jp.misumi-ec.com/vona2/detail/221006204478/?ProductCode=C-317.5" TargetMode="External"/><Relationship Id="rId4147" Type="http://schemas.openxmlformats.org/officeDocument/2006/relationships/hyperlink" Target="https://www.digikey.jp/product-detail/en/kemet/C0603C224J3RAC7867/399-9967-1-ND/3736966" TargetMode="External"/><Relationship Id="rId4354" Type="http://schemas.openxmlformats.org/officeDocument/2006/relationships/hyperlink" Target="https://www.digikey.jp/ja/products/detail/jst-sales-america-inc/SPHD-001T-P0-5/608808?utm_adgroup=Connectors%20%26%20Interconnects&amp;utm_source=google&amp;utm_medium=cpc&amp;utm_campaign=Dynamic%20Search_JP_RLSA_Cart&amp;utm_term=&amp;productid=&amp;gclid=CjwKCAjwtdeFBhBAEiwAKOIy52LxeEhShl4w5Qual6qyBy5PcuUq_VUaOaq0G9n3r86NF5kO0W94NRoCPkMQAvD_BwE" TargetMode="External"/><Relationship Id="rId4561" Type="http://schemas.openxmlformats.org/officeDocument/2006/relationships/hyperlink" Target="https://www.digikey.jp/ja/products/detail/onsemi/NRVB120VLSFT1G/5817308?s=N4IgTCBcDaIHICUBqAhAjGADEgMgZQDEAVNAcRAF0BfIA" TargetMode="External"/><Relationship Id="rId1948" Type="http://schemas.openxmlformats.org/officeDocument/2006/relationships/hyperlink" Target="https://www.digikey.jp/product-detail/ja/panasonic-electronic-components/ERJ-3BWJR025V/P17482CT-ND/5647966" TargetMode="External"/><Relationship Id="rId3163" Type="http://schemas.openxmlformats.org/officeDocument/2006/relationships/hyperlink" Target="https://www.digikey.jp/product-detail/en/3m/8428-21B1-RK-TP/3M2821B1-ND/1026478" TargetMode="External"/><Relationship Id="rId3370" Type="http://schemas.openxmlformats.org/officeDocument/2006/relationships/hyperlink" Target="https://www.digikey.jp/products/ja?keywords=478-9836-1-ND" TargetMode="External"/><Relationship Id="rId4007" Type="http://schemas.openxmlformats.org/officeDocument/2006/relationships/hyperlink" Target="https://www.digikey.jp/product-detail/ja/hirose-electric-co-ltd/DF61-2S-2.2C(11)/H121977-ND/4040854?utm_adgroup=General&amp;utm_source=google&amp;utm_medium=cpc&amp;utm_campaign=Smart%20Shopping_Product_Zombie%20SKUs&amp;utm_term=&amp;productid=4040854&amp;gclid=CjwKCAjwy7CKBhBMEiwA0Eb7anGkAsoYK9nXXI6Q1LiNlITuoka6cSYKahEosWohSlNGhbenLSU3DxoCAt0QAvD_BwE" TargetMode="External"/><Relationship Id="rId4214" Type="http://schemas.openxmlformats.org/officeDocument/2006/relationships/hyperlink" Target="https://www.mouser.jp/ProductDetail/Toshiba/SSM6K403TULF?qs=%2Fha2pyFadujmkw7934ewz1LrNmabTgSH0qboFKxKLdYV0vhBMEKO9g%3D%3D" TargetMode="External"/><Relationship Id="rId4421" Type="http://schemas.openxmlformats.org/officeDocument/2006/relationships/hyperlink" Target="https://jp.misumi-ec.com/vona2/detail/110300244510/?ProductCode=CBSST3-8" TargetMode="External"/><Relationship Id="rId291" Type="http://schemas.openxmlformats.org/officeDocument/2006/relationships/hyperlink" Target="https://www.digikey.jp/product-detail/en/micron-technology-inc/MT25QL01GBBB8ESF-0SIT/557-1789-ND/6622725" TargetMode="External"/><Relationship Id="rId1808" Type="http://schemas.openxmlformats.org/officeDocument/2006/relationships/hyperlink" Target="http://www.skytraq.com.tw/products/Venus838FLPx_PB_v1.pdf" TargetMode="External"/><Relationship Id="rId3023" Type="http://schemas.openxmlformats.org/officeDocument/2006/relationships/hyperlink" Target="https://www.amazon.co.jp/dp/B01N8ZIJL8/ref=sspa_dk_hqp_detail_aax_0?psc=1&amp;spLa=ZW5jcnlwdGVkUXVhbGlmaWVyPUFTS1hYWU9VTVE3U08mZW5jcnlwdGVkSWQ9QTAzNTEzMjEzTllLSjhIT1NXQkhBJmVuY3J5cHRlZEFkSWQ9QTI2NkdET0JHUTJDWVcmd2lkZ2V0TmFtZT1zcF9ocXBfc2hhcmVkJmFjdGlvbj1jbGlja1JlZGlyZWN0JmRvTm90TG9nQ2xpY2s9dHJ1ZQ==" TargetMode="External"/><Relationship Id="rId151" Type="http://schemas.openxmlformats.org/officeDocument/2006/relationships/hyperlink" Target="https://jp.misumi-ec.com/vona2/detail/221006204423/?PNSearch=CU-305PH&amp;HissuCode=CU-305PH&amp;searchFlow=suggest2products&amp;Keyword=CU-305PH" TargetMode="External"/><Relationship Id="rId3230" Type="http://schemas.openxmlformats.org/officeDocument/2006/relationships/hyperlink" Target="https://jp.rs-online.com/web/p/ffc-cables/1633985/" TargetMode="External"/><Relationship Id="rId5195" Type="http://schemas.openxmlformats.org/officeDocument/2006/relationships/hyperlink" Target="https://www.mouser.jp/ProductDetail/Texas-Instruments/SN74CB3Q3305PWR?qs=mE33ZKBHyE4JAI6%2FIcDDzg%3D%3D" TargetMode="External"/><Relationship Id="rId2789" Type="http://schemas.openxmlformats.org/officeDocument/2006/relationships/hyperlink" Target="https://www.digikey.jp/products/ja/resistors/chip-resistor-surface-mount/52?k=&amp;pkeyword=&amp;sv=0&amp;pv2085=u47+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2996" Type="http://schemas.openxmlformats.org/officeDocument/2006/relationships/hyperlink" Target="https://www.digikey.jp/product-detail/ja/microchip-technology/PIC18F67J94-I-PT/PIC18F67J94-I-PT-ND/3872481" TargetMode="External"/><Relationship Id="rId968" Type="http://schemas.openxmlformats.org/officeDocument/2006/relationships/hyperlink" Target="https://jp.rs-online.com/web/p/pcb-headers/8201585/" TargetMode="External"/><Relationship Id="rId1598" Type="http://schemas.openxmlformats.org/officeDocument/2006/relationships/hyperlink" Target="https://jp.misumi-ec.com/vona2/detail/221006493827/?HissuCode=SNSS-M2-6-SD&amp;PNSearch=SNSS-M2-6-SD&amp;KWSearch=SNSS-M2-6-SD&amp;searchFlow=results2products" TargetMode="External"/><Relationship Id="rId2649" Type="http://schemas.openxmlformats.org/officeDocument/2006/relationships/hyperlink" Target="https://www.monotaro.com/p/4226/3015/?t.attr_f1=%8E%F7%8E%89&amp;t.attr_f2=M2&amp;t.q=%83X%83y%81%5B%83T%81%5B%81%40m2" TargetMode="External"/><Relationship Id="rId2856" Type="http://schemas.openxmlformats.org/officeDocument/2006/relationships/hyperlink" Target="https://www.monotaro.com/g/04472281/?t.q=%8C%60%8F%F3%8BL%89%AF%83%8F%83C%83%84%81%5B" TargetMode="External"/><Relationship Id="rId3907" Type="http://schemas.openxmlformats.org/officeDocument/2006/relationships/hyperlink" Target="https://jp.misumi-ec.com/vona2/detail/221000552007/?ProductCode=WSJS-SUS-M6" TargetMode="External"/><Relationship Id="rId5055" Type="http://schemas.openxmlformats.org/officeDocument/2006/relationships/hyperlink" Target="https://www.amazon.co.jp/-/en/Petit-Noi-F-2232-Handle-Clear/dp/B004UEJAX0/ref=d_pd_sbs_sccl_4_1/357-6788231-1176924?pd_rd_w=xgSmO&amp;content-id=amzn1.sym.ca864c39-ce73-4598-86c6-eb8514722510&amp;pf_rd_p=ca864c39-ce73-4598-86c6-eb8514722510&amp;pf_rd_r=MERSWBK28XSNX7J9323C&amp;pd_rd_wg=z4fMW&amp;pd_rd_r=2c1c18ee-2a76-46b7-a197-70f0503eaabb&amp;pd_rd_i=B004UEJAX0&amp;psc=1" TargetMode="External"/><Relationship Id="rId5262" Type="http://schemas.openxmlformats.org/officeDocument/2006/relationships/hyperlink" Target="https://jp.misumi-ec.com/vona2/detail/221000551286/?ProductCode=CSH-SUS-M2-4" TargetMode="External"/><Relationship Id="rId97" Type="http://schemas.openxmlformats.org/officeDocument/2006/relationships/hyperlink" Target="https://www.digikey.jp/products/ja?keywords=SQ1922EEH-T1_GE3CT-ND" TargetMode="External"/><Relationship Id="rId828" Type="http://schemas.openxmlformats.org/officeDocument/2006/relationships/hyperlink" Target="https://www.monotaro.com/g/00506988/?t.q=%83Z%83%81%83_%83C%83%93%81%40EP" TargetMode="External"/><Relationship Id="rId1458" Type="http://schemas.openxmlformats.org/officeDocument/2006/relationships/hyperlink" Target="https://www.digikey.jp/product-detail/en/samtec-inc/CLM-103-02-F-D/SAM9220-ND/6677957" TargetMode="External"/><Relationship Id="rId1665" Type="http://schemas.openxmlformats.org/officeDocument/2006/relationships/hyperlink" Target="https://www.amazon.co.jp/DX%E3%82%A2%E3%83%B3%E3%83%86%E3%83%8A-BS%E3%83%BB110%E5%BA%A6CS%E3%82%A2%E3%83%B3%E3%83%86%E3%83%8A-%E5%8F%B3%E3%83%BB%E5%B7%A6%E6%97%8B%E5%86%86%E5%81%8F%E6%B3%A2%E5%AF%BE%E5%BF%9C-2K%E3%83%BB4K%E3%83%BB8K%E5%AF%BE%E5%BF%9C-BC604S/dp/B07DWP848N/ref=sr_1_4?__mk_ja_JP=%E3%82%AB%E3%82%BF%E3%82%AB%E3%83%8A&amp;keywords=%E3%83%91%E3%83%A9%E3%83%9C%E3%83%A9%E3%82%A2%E3%83%B3%E3%83%86%E3%83%8A+60cm&amp;qid=1584503965&amp;sr=8-4" TargetMode="External"/><Relationship Id="rId1872" Type="http://schemas.openxmlformats.org/officeDocument/2006/relationships/hyperlink" Target="https://www.digikey.jp/product-detail/en/koa-speer-electronics-inc/RK73H2ATTD2201F/2019-RK73H2ATTD2201FCT-ND/10235136" TargetMode="External"/><Relationship Id="rId2509" Type="http://schemas.openxmlformats.org/officeDocument/2006/relationships/hyperlink" Target="https://jp.misumi-ec.com/vona2/detail/221006493726/?CategorySpec=00000217009%3a%3amig00000002613646%0900000217129%3a%3ab" TargetMode="External"/><Relationship Id="rId2716" Type="http://schemas.openxmlformats.org/officeDocument/2006/relationships/hyperlink" Target="https://akizukidenshi.com/catalog/g/gI-09001/" TargetMode="External"/><Relationship Id="rId4071" Type="http://schemas.openxmlformats.org/officeDocument/2006/relationships/hyperlink" Target="https://www.monotaro.com/p/6953/2953/" TargetMode="External"/><Relationship Id="rId5122" Type="http://schemas.openxmlformats.org/officeDocument/2006/relationships/hyperlink" Target="https://www.mouser.jp/ProductDetail/Texas-Instruments/LMT84QDCKTQ1?qs=xopfAcLiCQSWoRXSolG3dw%3D%3D" TargetMode="External"/><Relationship Id="rId1318" Type="http://schemas.openxmlformats.org/officeDocument/2006/relationships/hyperlink" Target="https://www.digikey.jp/product-detail/en/adafruit-industries-llc/1950/1528-1961-ND/6827084" TargetMode="External"/><Relationship Id="rId1525" Type="http://schemas.openxmlformats.org/officeDocument/2006/relationships/hyperlink" Target="https://www.digikey.jp/product-detail/ja/mikroelektronika/MIKROE-2315/1471-1971-ND/8564419" TargetMode="External"/><Relationship Id="rId2923" Type="http://schemas.openxmlformats.org/officeDocument/2006/relationships/hyperlink" Target="https://akizukidenshi.com/catalog/g/gI-03142/" TargetMode="External"/><Relationship Id="rId1732" Type="http://schemas.openxmlformats.org/officeDocument/2006/relationships/hyperlink" Target="https://www.marutsu.co.jp/pc/i/132144/" TargetMode="External"/><Relationship Id="rId4888" Type="http://schemas.openxmlformats.org/officeDocument/2006/relationships/hyperlink" Target="https://www.minicircuits.com/WebStore/dashboard.html?model=NCS1.5-232%2B" TargetMode="External"/><Relationship Id="rId24" Type="http://schemas.openxmlformats.org/officeDocument/2006/relationships/hyperlink" Target="https://jp.rs-online.com/web/p/jack-trs-connectors/5051479/?sra=pstk" TargetMode="External"/><Relationship Id="rId2299" Type="http://schemas.openxmlformats.org/officeDocument/2006/relationships/hyperlink" Target="https://akizukidenshi.com/catalog/g/gR-25101/" TargetMode="External"/><Relationship Id="rId3697" Type="http://schemas.openxmlformats.org/officeDocument/2006/relationships/hyperlink" Target="https://www.mouser.jp/ProductDetail/Murata-Electronics/GRM188Z71C475KE21D?qs=%2Fha2pyFaduhv%2F%252BvqdTaCXwJ%252BeePASa6iZuQ%252BTdPxXrUcgqgAPx%2FvIp0bf%252BUZsAJW" TargetMode="External"/><Relationship Id="rId4748" Type="http://schemas.openxmlformats.org/officeDocument/2006/relationships/hyperlink" Target="https://www.monotaro.com/g/01366154/?t.q=&#37509;&#12486;&#12540;&#12503;%E3%80%80&#23566;&#38651;&#24615;%205mm" TargetMode="External"/><Relationship Id="rId4955" Type="http://schemas.openxmlformats.org/officeDocument/2006/relationships/hyperlink" Target="https://jp.misumi-ec.com/vona2/detail/110302603510/?HissuCode=CBSA2-5" TargetMode="External"/><Relationship Id="rId3557" Type="http://schemas.openxmlformats.org/officeDocument/2006/relationships/hyperlink" Target="https://www.mouser.jp/ProductDetail/ON-Semiconductor/DTC144EET1G?qs=2OtswVQKCOGzUGumeHaiRw%3D%3D" TargetMode="External"/><Relationship Id="rId3764" Type="http://schemas.openxmlformats.org/officeDocument/2006/relationships/hyperlink" Target="https://www.digikey.jp/product-detail/en/35ZLH100MEFC6.3X11/1189-1300-ND/3134256?itemSeq=373417929" TargetMode="External"/><Relationship Id="rId3971" Type="http://schemas.openxmlformats.org/officeDocument/2006/relationships/hyperlink" Target="https://jp.misumi-ec.com/vona2/detail/110302280540/?PNSearch=CBSTSR2-6&amp;HissuCode=CBSTSR2-6&amp;searchFlow=suggesthistory&amp;Keyword=CBSTSR2-6&amp;list=SuggestPreview" TargetMode="External"/><Relationship Id="rId4608" Type="http://schemas.openxmlformats.org/officeDocument/2006/relationships/hyperlink" Target="https://ja.aliexpress.com/item/32306515627.html?spm=a2g0o.detail.1000014.6.28f06951fdNj2A&amp;gps-id=pcDetailBottomMoreOtherSeller&amp;scm=1007.40050.281175.0&amp;scm_id=1007.40050.281175.0&amp;scm-url=1007.40050.281175.0&amp;pvid=6c72d239-58cc-4b2a-8860-7b390c165956&amp;_t=gps-id:pcDetailBottomMoreOtherSeller,scm-url:1007.40050.281175.0,pvid:6c72d239-58cc-4b2a-8860-7b390c165956,tpp_buckets:668%232846%238109%231935&amp;pdp_ext_f=%7B%22sku_id%22%3A%2264755699478%22%2C%22sceneId%22%3A%2230050%22%7D&amp;pdp_npi=2%40dis%21JPY%21%212662.0%21%21%21%21%21%40210312f116524216922868755ed64c%2164755699478%21rec" TargetMode="External"/><Relationship Id="rId4815" Type="http://schemas.openxmlformats.org/officeDocument/2006/relationships/hyperlink" Target="https://www.digikey.jp/en/products/detail/amphenol-rf-division/242108/2628939" TargetMode="External"/><Relationship Id="rId478" Type="http://schemas.openxmlformats.org/officeDocument/2006/relationships/hyperlink" Target="https://www.nbk1560.com/products/specialscrew/nedzicom/lowsmallheadscrew/SSHS/SSHS-M2/" TargetMode="External"/><Relationship Id="rId685" Type="http://schemas.openxmlformats.org/officeDocument/2006/relationships/hyperlink" Target="https://www.p-ban.com/kiban/mft/csMft02CfmEst:exec.do" TargetMode="External"/><Relationship Id="rId892" Type="http://schemas.openxmlformats.org/officeDocument/2006/relationships/hyperlink" Target="https://jp.rs-online.com/web/p/rectifier-schottky-diodes/8805452/" TargetMode="External"/><Relationship Id="rId2159" Type="http://schemas.openxmlformats.org/officeDocument/2006/relationships/hyperlink" Target="https://jp.misumi-ec.com/vona2/detail/223005639695/?HissuCode=5-361-01" TargetMode="External"/><Relationship Id="rId2366" Type="http://schemas.openxmlformats.org/officeDocument/2006/relationships/hyperlink" Target="https://jp.misumi-ec.com/vona2/detail/110302280540/?HissuCode=CBSTSR3-10&amp;PNSearch=CBSTSR3-10&amp;KWSearch=CBSTSR3-10&amp;searchFlow=results2products" TargetMode="External"/><Relationship Id="rId2573" Type="http://schemas.openxmlformats.org/officeDocument/2006/relationships/hyperlink" Target="https://jp.rs-online.com/web/p/thermocouple-extension-wire/2363858/?sra=pstk" TargetMode="External"/><Relationship Id="rId2780" Type="http://schemas.openxmlformats.org/officeDocument/2006/relationships/hyperlink" Target="https://www.digikey.jp/product-detail/ja/microchip-technology/ATMEGA644PV-10AU/ATMEGA644PV-10AU-ND/1245867" TargetMode="External"/><Relationship Id="rId3417" Type="http://schemas.openxmlformats.org/officeDocument/2006/relationships/hyperlink" Target="https://jp.misumi-ec.com/vona2/detail/221006204478/?ProductCode=C-306.5-5" TargetMode="External"/><Relationship Id="rId3624" Type="http://schemas.openxmlformats.org/officeDocument/2006/relationships/hyperlink" Target="https://www.digikey.jp/product-detail/ja/recom-power/R05P209D/945-2656-5-ND/2301255" TargetMode="External"/><Relationship Id="rId3831" Type="http://schemas.openxmlformats.org/officeDocument/2006/relationships/hyperlink" Target="https://www.digikey.jp/product-detail/ja/micron-technology-inc/MT25QL01GBBB8ESF-0SIT-TR/557-1981-1-ND/9673962" TargetMode="External"/><Relationship Id="rId338" Type="http://schemas.openxmlformats.org/officeDocument/2006/relationships/hyperlink" Target="https://www.digikey.jp/product-detail/en/amphenol-icc-fci/67997-410HLF/609-3243-ND/1878475" TargetMode="External"/><Relationship Id="rId545" Type="http://schemas.openxmlformats.org/officeDocument/2006/relationships/hyperlink" Target="https://www.digikey.jp/products/en?keywords=ADUM4190ARIZ-RLCT-ND" TargetMode="External"/><Relationship Id="rId752" Type="http://schemas.openxmlformats.org/officeDocument/2006/relationships/hyperlink" Target="https://www.digikey.jp/product-detail/ja/analog-devices-inc/HMC452ST89E/1127-2969-ND/5359949" TargetMode="External"/><Relationship Id="rId1175" Type="http://schemas.openxmlformats.org/officeDocument/2006/relationships/hyperlink" Target="https://www.p-ban.com/" TargetMode="External"/><Relationship Id="rId1382" Type="http://schemas.openxmlformats.org/officeDocument/2006/relationships/hyperlink" Target="https://www.digikey.jp/product-detail/en/kemet/C0805C106K8RACTU/399-7411-1-ND/3317445" TargetMode="External"/><Relationship Id="rId2019" Type="http://schemas.openxmlformats.org/officeDocument/2006/relationships/hyperlink" Target="https://www.digikey.jp/products/en?keywords=LAN9514I-JZX" TargetMode="External"/><Relationship Id="rId2226" Type="http://schemas.openxmlformats.org/officeDocument/2006/relationships/hyperlink" Target="https://www.amazon.co.jp/dp/B071D2N54Q/ref=sspa_dk_detail_3?pd_rd_i=B06Y5586N6&amp;pd_rd_w=PDFna&amp;pf_rd_p=6413bd85-d494-49e7-9f81-0e63e79171a9&amp;pd_rd_wg=fsRgI&amp;pf_rd_r=1R2JS0KNV3PPN01Z7PW0&amp;pd_rd_r=44d1be6b-34b1-49d3-824d-071667e4638d&amp;spLa=ZW5jcnlwdGVkUXVhbGlmaWVyPUFERkhKNjlJSTE1V0wmZW5jcnlwdGVkSWQ9QTA5OTU1OTAzSzdBMlQ3STkzR1czJmVuY3J5cHRlZEFkSWQ9QVdOUElVQ0RaWElCQyZ3aWRnZXROYW1lPXNwX2RldGFpbCZhY3Rpb249Y2xpY2tSZWRpcmVjdCZkb05vdExvZ0NsaWNrPXRydWU&amp;th=1" TargetMode="External"/><Relationship Id="rId2433" Type="http://schemas.openxmlformats.org/officeDocument/2006/relationships/hyperlink" Target="https://akizukidenshi.com/catalog/g/gP-09282/" TargetMode="External"/><Relationship Id="rId2640" Type="http://schemas.openxmlformats.org/officeDocument/2006/relationships/hyperlink" Target="https://www.digikey.jp/product-detail/ja/sra-soldering-products/AO888A/2260-AO888A-ND/10709792" TargetMode="External"/><Relationship Id="rId405" Type="http://schemas.openxmlformats.org/officeDocument/2006/relationships/hyperlink" Target="https://jp.rs-online.com/web/p/products/0446475/" TargetMode="External"/><Relationship Id="rId612" Type="http://schemas.openxmlformats.org/officeDocument/2006/relationships/hyperlink" Target="https://www.digikey.jp/product-detail/ja/linear-technology-analog-devices/LTC4361IDC-2-TRMPBF/LTC4361IDC-2-TRMPBFCT-ND/2351620" TargetMode="External"/><Relationship Id="rId1035" Type="http://schemas.openxmlformats.org/officeDocument/2006/relationships/hyperlink" Target="https://jp.misumi-ec.com/vona2/detail/221000768107/?CategorySpec=00000217157%3a%3aa%0900000217158%3a%3ab%0900000217161%3a%3aa&amp;clkid=clkid_list_template" TargetMode="External"/><Relationship Id="rId1242" Type="http://schemas.openxmlformats.org/officeDocument/2006/relationships/hyperlink" Targe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 TargetMode="External"/><Relationship Id="rId2500" Type="http://schemas.openxmlformats.org/officeDocument/2006/relationships/hyperlink" Target="https://jp.misumi-ec.com/vona2/detail/221000349089/?HissuCode=SSHS-M2X8" TargetMode="External"/><Relationship Id="rId4398" Type="http://schemas.openxmlformats.org/officeDocument/2006/relationships/hyperlink" Target="https://jp.misumi-ec.com/vona2/detail/221005848134/?PNSearch=RTNM3-2D&amp;HissuCode=RTNM3-2D&amp;searchFlow=suggest2products&amp;Keyword=RTNM3-2D&amp;list=SuggestPreview" TargetMode="External"/><Relationship Id="rId1102" Type="http://schemas.openxmlformats.org/officeDocument/2006/relationships/hyperlink" Target="https://www.digikey.jp/product-detail/ja/texas-instruments/TPS22941DCKR/296-25217-1-ND/2172704" TargetMode="External"/><Relationship Id="rId4258" Type="http://schemas.openxmlformats.org/officeDocument/2006/relationships/hyperlink" Target="https://jp.rs-online.com/web/p/jumpers-shunts/1809369" TargetMode="External"/><Relationship Id="rId4465" Type="http://schemas.openxmlformats.org/officeDocument/2006/relationships/hyperlink" Target="https://jp.rs-online.com/web/p/surface-mount-resistors/0431619/?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A5454443130334A267365617263685F6B6579776F72645F6170703D524B373342314A5454443130334A267365617263685F636F6E6669673D3126&amp;searchHistory=%7B%22enabled%22%3Atrue%7D" TargetMode="External"/><Relationship Id="rId5309" Type="http://schemas.openxmlformats.org/officeDocument/2006/relationships/hyperlink" Target="https://www.monotaro.com/p/0872/9375/" TargetMode="External"/><Relationship Id="rId3067" Type="http://schemas.openxmlformats.org/officeDocument/2006/relationships/hyperlink" Target="https://jp.misumi-ec.com/vona2/detail/110300241010/?CategorySpec=00000238225%3a%3amig00000002556729%0900000238303%3a%3amig00000002465334%0900000237991%3a%3ab%0900000238035%3a%3aa&amp;HyjnNoki=0" TargetMode="External"/><Relationship Id="rId3274" Type="http://schemas.openxmlformats.org/officeDocument/2006/relationships/hyperlink" Target="https://www.digikey.jp/product-detail/ja/texas-instruments/ADS8353IPWR/296-38533-1-ND/5033929" TargetMode="External"/><Relationship Id="rId4118" Type="http://schemas.openxmlformats.org/officeDocument/2006/relationships/hyperlink" Target="https://www.monotaro.com/g/01214485/?t.q=C-305.5-5" TargetMode="External"/><Relationship Id="rId4672" Type="http://schemas.openxmlformats.org/officeDocument/2006/relationships/hyperlink" Target="https://www.digikey.jp/en/products/detail/texas-instruments/TPS70933DBVR/3767568?s=N4IgTCBcDaICoAUDKB2ADATgMxYCICEA1AJRAF0BfIA" TargetMode="External"/><Relationship Id="rId195" Type="http://schemas.openxmlformats.org/officeDocument/2006/relationships/hyperlink" Target="https://www.digikey.jp/products/en?keywords=DAC121C085CIMM%2FNOPBCT-ND" TargetMode="External"/><Relationship Id="rId1919" Type="http://schemas.openxmlformats.org/officeDocument/2006/relationships/hyperlink" Target="https://www.marutsu.co.jp/pc/i/858054/" TargetMode="External"/><Relationship Id="rId3481" Type="http://schemas.openxmlformats.org/officeDocument/2006/relationships/hyperlink" Target="https://www.digikey.jp/product-detail/ja/chemtronics/80-3-5/80-3-5-ND/306982" TargetMode="External"/><Relationship Id="rId4325" Type="http://schemas.openxmlformats.org/officeDocument/2006/relationships/hyperlink" Target="https://akizukidenshi.com/catalog/cart/cart.aspx" TargetMode="External"/><Relationship Id="rId4532" Type="http://schemas.openxmlformats.org/officeDocument/2006/relationships/hyperlink" Target="https://www.mouser.jp/ProductDetail/Amphenol-RF/SMP-FS-T2?qs=sGAEpiMZZMv0NwlthflBi6SRP5Iq5GzX7lZ%252BfPb0beM%3D" TargetMode="External"/><Relationship Id="rId2083" Type="http://schemas.openxmlformats.org/officeDocument/2006/relationships/hyperlink" Target="https://jp.misumi-ec.com/vona2/detail/221000551286/?HissuCode=CSH-ST-M2-7&amp;PNSearch=CSH-ST-M2-7&amp;KWSearch=CSH-ST-M2-7&amp;searchFlow=results2products" TargetMode="External"/><Relationship Id="rId2290" Type="http://schemas.openxmlformats.org/officeDocument/2006/relationships/hyperlink" Target="https://www.digikey.jp/product-detail/en/samtec-inc/SSW-115-01-T-D/SAM1212-15-ND/1112241" TargetMode="External"/><Relationship Id="rId3134" Type="http://schemas.openxmlformats.org/officeDocument/2006/relationships/hyperlink" Target="https://www.digikey.jp/product-detail/en/rohm-semiconductor/UCR03EWPFSR033/RHM1269CT-ND/4056147" TargetMode="External"/><Relationship Id="rId3341" Type="http://schemas.openxmlformats.org/officeDocument/2006/relationships/hyperlink" Target="https://www.digikey.jp/product-detail/en/rohm-semiconductor/BU33SD5WG-TR/BU33SD5WG-TRCT-ND/5720185" TargetMode="External"/><Relationship Id="rId262" Type="http://schemas.openxmlformats.org/officeDocument/2006/relationships/hyperlink" Target="https://jp.rs-online.com/web/p/mosfets/5410806/" TargetMode="External"/><Relationship Id="rId2150" Type="http://schemas.openxmlformats.org/officeDocument/2006/relationships/hyperlink" Target="https://www.digikey.jp/product-detail/en/bridgetek-pte-ltd/MS-C6-8G/768-1288-ND/6173129" TargetMode="External"/><Relationship Id="rId3201" Type="http://schemas.openxmlformats.org/officeDocument/2006/relationships/hyperlink" Target="https://www.digikey.jp/product-detail/ja/jst-sales-america-inc/EHR-2/455-1000-ND/527224" TargetMode="External"/><Relationship Id="rId5099" Type="http://schemas.openxmlformats.org/officeDocument/2006/relationships/hyperlink" Target="https://www.mouser.jp/ProductDetail/KEMET/C0805X475J3RACAUTO?qs=%252B6g0mu59x7JZ7yafAnXaIw%3D%3D" TargetMode="External"/><Relationship Id="rId122" Type="http://schemas.openxmlformats.org/officeDocument/2006/relationships/hyperlink" Target="https://jp.misumi-ec.com/vona2/detail/221004999084/?rid=hs_221000530294_221004999084" TargetMode="External"/><Relationship Id="rId2010" Type="http://schemas.openxmlformats.org/officeDocument/2006/relationships/hyperlink" Target="https://www.digikey.jp/product-detail/en/murata-electronics/BLM18AG601SN1D/490-1014-1-ND/584462" TargetMode="External"/><Relationship Id="rId5166" Type="http://schemas.openxmlformats.org/officeDocument/2006/relationships/hyperlink" Target="https://www.digikey.jp/en/products/detail/analog-devices-inc/ADP1613ARMZ-R7/2057793?s=N4IgTCBcDaIIIBEAKBGAbCgzHEBdAvkA" TargetMode="External"/><Relationship Id="rId5373" Type="http://schemas.openxmlformats.org/officeDocument/2006/relationships/hyperlink" Target="https://www.monotaro.com/g/01213789/?t.q=PSS-210204-12" TargetMode="External"/><Relationship Id="rId1569" Type="http://schemas.openxmlformats.org/officeDocument/2006/relationships/hyperlink" Target="https://www.digikey.jp/product-detail/en/vishay-siliconix/SQ1922EEH-T1_GE3/SQ1922EEH-T1_GE3CT-ND/7622831" TargetMode="External"/><Relationship Id="rId2967" Type="http://schemas.openxmlformats.org/officeDocument/2006/relationships/hyperlink" Target="https://www.digikey.jp/en/products/detail/amphenol-rf/908-22101T/2041851" TargetMode="External"/><Relationship Id="rId4182" Type="http://schemas.openxmlformats.org/officeDocument/2006/relationships/hyperlink" Target="https://www.mouser.jp/ProductDetail/KEMET/C0402C332J4RACTU?qs=jiNFBtG5uWizCZMUoW2Zdg%3D%3D" TargetMode="External"/><Relationship Id="rId5026" Type="http://schemas.openxmlformats.org/officeDocument/2006/relationships/hyperlink" Target="https://www.mouser.jp/ProductDetail/Analog-Devices/LTC4361CDC-2TRMPBF?qs=hVkxg5c3xu%2FJMWfT0rrc%252Bw%3D%3D" TargetMode="External"/><Relationship Id="rId5233" Type="http://schemas.openxmlformats.org/officeDocument/2006/relationships/hyperlink" Target="https://akizukidenshi.com/catalog/g/gP-15167/" TargetMode="External"/><Relationship Id="rId939" Type="http://schemas.openxmlformats.org/officeDocument/2006/relationships/hyperlink" Target="https://www.digikey.jp/product-detail/en/jst-sales-america-inc/SPHD-001T-P0.5/455-1325-1-ND/608808" TargetMode="External"/><Relationship Id="rId1776" Type="http://schemas.openxmlformats.org/officeDocument/2006/relationships/hyperlink" Target="https://www.digikey.jp/product-detail/en/murata-electronics/GRM155R70J105MA12D/490-9665-1-ND/4934770" TargetMode="External"/><Relationship Id="rId1983" Type="http://schemas.openxmlformats.org/officeDocument/2006/relationships/hyperlink" Target="https://www.digikey.jp/product-detail/en/kemet/C0603C224J3RAC7867/399-9967-1-ND/3736966" TargetMode="External"/><Relationship Id="rId2827" Type="http://schemas.openxmlformats.org/officeDocument/2006/relationships/hyperlink" Target="https://jp.misumi-ec.com/vona2/detail/221004937446/?PNSearch=CG2.5-30R2J20&amp;HissuCode=CG2.5-30R2J20&amp;searchFlow=suggest2products&amp;Keyword=CG2.5-30R2J20&amp;isReSearch=1" TargetMode="External"/><Relationship Id="rId4042" Type="http://schemas.openxmlformats.org/officeDocument/2006/relationships/hyperlink" Target="https://www.monotaro.com/g/05138356/?t.q=%E3%83%8B%E3%82%AF%E3%83%AD%E3%83%A0%E7%B7%9A" TargetMode="External"/><Relationship Id="rId68" Type="http://schemas.openxmlformats.org/officeDocument/2006/relationships/hyperlink" Target="https://www.p-ban.com/kiban/com/csComTop.do" TargetMode="External"/><Relationship Id="rId1429" Type="http://schemas.openxmlformats.org/officeDocument/2006/relationships/hyperlink" Target="https://www.digikey.jp/product-detail/en/ndk-america-inc/NX5032GA-16.000000MHZ-LN-CD-1/644-1037-1-ND/1128909" TargetMode="External"/><Relationship Id="rId1636" Type="http://schemas.openxmlformats.org/officeDocument/2006/relationships/hyperlink" Target="https://www.digikey.jp/product-detail/ja/renesas-electronics-america-inc/501MLFT/800-1036-1-ND/1916104" TargetMode="External"/><Relationship Id="rId1843" Type="http://schemas.openxmlformats.org/officeDocument/2006/relationships/hyperlink" Target="https://www.digikey.jp/product-detail/en/koa-speer-electronics-inc/RK73H1JTTD2201F/2019-RK73H1JTTD2201FCT-ND/9846907" TargetMode="External"/><Relationship Id="rId4999" Type="http://schemas.openxmlformats.org/officeDocument/2006/relationships/hyperlink" Target="https://www.askul.co.jp/p/2972170/?int_id=recom_DtVar" TargetMode="External"/><Relationship Id="rId5300" Type="http://schemas.openxmlformats.org/officeDocument/2006/relationships/hyperlink" Target="https://jp.rs-online.com/web/p/d-sub-contacts/8126220?quantity-input=120" TargetMode="External"/><Relationship Id="rId1703" Type="http://schemas.openxmlformats.org/officeDocument/2006/relationships/hyperlink" Target="https://jp.misumi-ec.com/vona2/detail/110302062320/" TargetMode="External"/><Relationship Id="rId1910" Type="http://schemas.openxmlformats.org/officeDocument/2006/relationships/hyperlink" Target="https://www.marutsu.co.jp/GoodsDetail.jsp?q=&amp;salesGoodsCode=76821&amp;shopNo=3" TargetMode="External"/><Relationship Id="rId4859" Type="http://schemas.openxmlformats.org/officeDocument/2006/relationships/hyperlink" Target="https://jp.rs-online.com/web/p/mosfets/1780854" TargetMode="External"/><Relationship Id="rId3668" Type="http://schemas.openxmlformats.org/officeDocument/2006/relationships/hyperlink" Target="https://www.digikey.jp/product-detail/en/vishay-vitramon/VJ0805D102KXAAJ/720-1340-1-ND/3280754" TargetMode="External"/><Relationship Id="rId3875" Type="http://schemas.openxmlformats.org/officeDocument/2006/relationships/hyperlink" Target="https://www.jakelectronics.com/productdetail/stmicroelectronics-stm32f446vet6-4812717" TargetMode="External"/><Relationship Id="rId4719" Type="http://schemas.openxmlformats.org/officeDocument/2006/relationships/hyperlink" Target="https://jp.misumi-ec.com/vona2/detail/110303057720/?ProductCode=APEA2-P3.8-L5-B2-R2" TargetMode="External"/><Relationship Id="rId4926" Type="http://schemas.openxmlformats.org/officeDocument/2006/relationships/hyperlink" Target="https://www.digikey.jp/en/products/detail/molex/5044490307/6099596" TargetMode="External"/><Relationship Id="rId589" Type="http://schemas.openxmlformats.org/officeDocument/2006/relationships/hyperlink" Target="https://oyaide.com/catalog/products/p-604.html" TargetMode="External"/><Relationship Id="rId796" Type="http://schemas.openxmlformats.org/officeDocument/2006/relationships/hyperlink" Target="https://www.nbk1560.com/products/specialscrew/nedzicom/lowsmallheadscrew/SNSS-SD/SNSS-M2-SD/SNSS-M2-6-SD/" TargetMode="External"/><Relationship Id="rId2477" Type="http://schemas.openxmlformats.org/officeDocument/2006/relationships/hyperlink" Target="https://www.digikey.jp/product-detail/ja/hirose-electric-co-ltd/DF14-2P-1-25H-24/H126492-ND/9170740?cur=JPY&amp;lang=ja" TargetMode="External"/><Relationship Id="rId2684" Type="http://schemas.openxmlformats.org/officeDocument/2006/relationships/hyperlink" Target="https://www.mouser.jp/ProductDetail/TE-Connectivity/1473005-4?qs=%2Fha2pyFaduj4jrCFAAG9UIJ464iuMiV5zJQqjmhKcQo%3D" TargetMode="External"/><Relationship Id="rId3528" Type="http://schemas.openxmlformats.org/officeDocument/2006/relationships/hyperlink" Target="https://www.digikey.jp/product-detail/en/kemet/C0805C104J4RACTU/399-11163-1-ND/4357875" TargetMode="External"/><Relationship Id="rId3735" Type="http://schemas.openxmlformats.org/officeDocument/2006/relationships/hyperlink" Target="https://jp.misumi-ec.com/vona2/detail/221006204478/?PNSearch=C-307&amp;HissuCode=C-307&amp;searchFlow=suggest2products&amp;Keyword=C-307&amp;list=SuggestPreview" TargetMode="External"/><Relationship Id="rId5090" Type="http://schemas.openxmlformats.org/officeDocument/2006/relationships/hyperlink" Target="https://jp.rs-online.com/web/p/surface-mount-resistors/6315667" TargetMode="External"/><Relationship Id="rId449" Type="http://schemas.openxmlformats.org/officeDocument/2006/relationships/hyperlink" Target="https://www.nbk1560.com/products/specialscrew/nedzicom/lowsmallheadscrew/SLHS/SLHS-M2/SLHS-M2-8/" TargetMode="External"/><Relationship Id="rId656" Type="http://schemas.openxmlformats.org/officeDocument/2006/relationships/hyperlink" Target="https://www.amazon.co.jp/ZONE-200%E4%B8%87%E7%94%BB%E7%B4%A0%E3%82%BF%E3%82%A4%E3%83%97-%E3%83%8D%E3%83%83%E3%83%88%E3%83%AF%E3%83%BC%E3%82%AF%E3%82%AB%E3%83%A1%E3%83%A9-cctv%E3%82%BB%E3%82%AD%E3%83%A5%E3%83%AA%E3%83%86%E3%82%A3%E3%82%AB%E3%83%A1%E3%83%A9%E3%82%B7%E3%82%B9%E3%83%86%E3%83%A0-%E3%82%AF%E3%82%A4%E3%83%83%E3%82%AF%E3%83%AA%E3%83%A2%E3%83%BC%E3%83%88%E3%82%A2%E3%82%AF%E3%82%BB%E3%82%B9/dp/B01N4P64WX/ref=cm_cr_arp_d_product_sims?ie=UTF8&amp;th=1" TargetMode="External"/><Relationship Id="rId863" Type="http://schemas.openxmlformats.org/officeDocument/2006/relationships/hyperlink" Target="https://jp.rs-online.com/web/p/current-sensors/8660767/" TargetMode="External"/><Relationship Id="rId1079" Type="http://schemas.openxmlformats.org/officeDocument/2006/relationships/hyperlink" Target="https://jp.rs-online.com/web/p/test-lead-wire/4737784/" TargetMode="External"/><Relationship Id="rId1286" Type="http://schemas.openxmlformats.org/officeDocument/2006/relationships/hyperlink" Target="http://p-ban.com/" TargetMode="External"/><Relationship Id="rId1493" Type="http://schemas.openxmlformats.org/officeDocument/2006/relationships/hyperlink" Target="https://www.digikey.jp/product-detail/ja/hirose-electric-co-ltd/U.FL-PR-SMT2.5-1-10/H11809CT-ND/2201793" TargetMode="External"/><Relationship Id="rId2337" Type="http://schemas.openxmlformats.org/officeDocument/2006/relationships/hyperlink" Target="https://www.tackleberry.co.jp/shop-detail/32143751/" TargetMode="External"/><Relationship Id="rId2544" Type="http://schemas.openxmlformats.org/officeDocument/2006/relationships/hyperlink" Target="https://jp.misumi-ec.com/vona2/detail/110300498770/?HissuCode=PAAL6H-464-445-1.5-F150-G415-N6&amp;PNSearch=PAAL6H-464-445-1.5-F150-G415-N6&amp;KWSearch=PAAL6H-464-445-1.5-F150-G415-N6&amp;searchFlow=results2products" TargetMode="External"/><Relationship Id="rId2891" Type="http://schemas.openxmlformats.org/officeDocument/2006/relationships/hyperlink" Target="https://www.monotaro.com/g/00026428/?t.q=%83N%83%8A%81%5B%83%93%83%8B%81%5B%83%80%81%40%96X%8Eq" TargetMode="External"/><Relationship Id="rId3942" Type="http://schemas.openxmlformats.org/officeDocument/2006/relationships/hyperlink" Target="https://www.uctronics.com/lens/m12-mount-lens/arducam-12mm-m12-lens-m2512zh03-for-usb-camera.html" TargetMode="External"/><Relationship Id="rId309" Type="http://schemas.openxmlformats.org/officeDocument/2006/relationships/hyperlink" Target="https://www.rohde-schwarz.com/us/product/emc_near-field_probes-productstartpage_63493-73798.html" TargetMode="External"/><Relationship Id="rId516" Type="http://schemas.openxmlformats.org/officeDocument/2006/relationships/hyperlink" Target="https://www.digikey.jp/product-detail/en/twin-industries/TW-E012-000/438-1049-ND/643115" TargetMode="External"/><Relationship Id="rId1146" Type="http://schemas.openxmlformats.org/officeDocument/2006/relationships/hyperlink" Target="https://www.digikey.jp/product-detail/en/cui-inc/CBL-UA-MUB-1/102-5943-ND/9838595" TargetMode="External"/><Relationship Id="rId2751" Type="http://schemas.openxmlformats.org/officeDocument/2006/relationships/hyperlink" Target="https://www.htkazshop.com/SHOP/HTK_101911.html" TargetMode="External"/><Relationship Id="rId3802" Type="http://schemas.openxmlformats.org/officeDocument/2006/relationships/hyperlink" Target="https://jp.rs-online.com/web/p/products/2101004/" TargetMode="External"/><Relationship Id="rId723" Type="http://schemas.openxmlformats.org/officeDocument/2006/relationships/hyperlink" Target="https://www.digikey.jp/product-detail/ja/samsung-electro-mechanics/CL21A106KPFNNNG/1276-6456-1-ND/5958084" TargetMode="External"/><Relationship Id="rId930" Type="http://schemas.openxmlformats.org/officeDocument/2006/relationships/hyperlink" Target="http://akizukidenshi.com/catalog/g/gC-10116/" TargetMode="External"/><Relationship Id="rId1006" Type="http://schemas.openxmlformats.org/officeDocument/2006/relationships/hyperlink" Target="http://akizukidenshi.com/catalog/g/gP-03659/" TargetMode="External"/><Relationship Id="rId1353" Type="http://schemas.openxmlformats.org/officeDocument/2006/relationships/hyperlink" Target="https://jp.misumi-ec.com/vona2/detail/110310113219/?HissuCode=A5052P-6F-BSXC-NNN-226.2-99.9-4.9" TargetMode="External"/><Relationship Id="rId1560" Type="http://schemas.openxmlformats.org/officeDocument/2006/relationships/hyperlink" Target="https://www.digikey.jp/product-detail/ja/te-connectivity-amp-connectors/1473005-4/A114851-ND/2187756" TargetMode="External"/><Relationship Id="rId2404" Type="http://schemas.openxmlformats.org/officeDocument/2006/relationships/hyperlink" Target="https://jp.misumi-ec.com/vona2/detail/223007929767/?HissuCode=3-4924-05" TargetMode="External"/><Relationship Id="rId2611" Type="http://schemas.openxmlformats.org/officeDocument/2006/relationships/hyperlink" Target="https://www.digikey.jp/product-detail/en/rf-solutions/RFM98W-433S2/RFM98W-433S2-ND/6564924" TargetMode="External"/><Relationship Id="rId1213" Type="http://schemas.openxmlformats.org/officeDocument/2006/relationships/hyperlink" Target="http://akizukidenshi.com/catalog/g/gI-11317/" TargetMode="External"/><Relationship Id="rId1420" Type="http://schemas.openxmlformats.org/officeDocument/2006/relationships/hyperlink" Target="https://www.digikey.jp/product-detail/en/vishay-dale/CRCW0805562KFKEA/541-562KCCT-ND/1181099" TargetMode="External"/><Relationship Id="rId4369" Type="http://schemas.openxmlformats.org/officeDocument/2006/relationships/hyperlink" Target="https://www.monotaro.com/p/4950/4605/?t.q=MEGA%20%20%20Electronics" TargetMode="External"/><Relationship Id="rId4576" Type="http://schemas.openxmlformats.org/officeDocument/2006/relationships/hyperlink" Target="https://www.monotaro.com/p/7580/7674/?t.q=VUWH-6.35B-V" TargetMode="External"/><Relationship Id="rId4783" Type="http://schemas.openxmlformats.org/officeDocument/2006/relationships/hyperlink" Target="https://jp.misumi-ec.com/vona2/detail/110302680760/?list=PageCategory" TargetMode="External"/><Relationship Id="rId4990" Type="http://schemas.openxmlformats.org/officeDocument/2006/relationships/hyperlink" Target="https://www.digikey.jp/ja/products/detail/koa-speer-electronics-inc/RK73B2ATTD102J/10236529" TargetMode="External"/><Relationship Id="rId3178" Type="http://schemas.openxmlformats.org/officeDocument/2006/relationships/hyperlink" Target="https://jp.rs-online.com/web/p/bench-power-supplies/6637780/" TargetMode="External"/><Relationship Id="rId3385" Type="http://schemas.openxmlformats.org/officeDocument/2006/relationships/hyperlink" Target="https://www.digikey.jp/product-detail/ja/texas-instruments/OPA170AIDBVT/296-29496-1-ND/2748511" TargetMode="External"/><Relationship Id="rId3592" Type="http://schemas.openxmlformats.org/officeDocument/2006/relationships/hyperlink" Target="https://www.amazon.com/HYS-Dual-Band-11-5dBi-Repeater-TC-YG08UV/dp/B086YTJLSH" TargetMode="External"/><Relationship Id="rId4229" Type="http://schemas.openxmlformats.org/officeDocument/2006/relationships/hyperlink" Target="https://jp.rs-online.com/web/p/surface-mount-resistors/1930062" TargetMode="External"/><Relationship Id="rId4436" Type="http://schemas.openxmlformats.org/officeDocument/2006/relationships/hyperlink" Target="https://www.p-ban.com/" TargetMode="External"/><Relationship Id="rId4643" Type="http://schemas.openxmlformats.org/officeDocument/2006/relationships/hyperlink" Target="https://www.digikey.jp/en/products/detail/texas-instruments/TCA9544APWR/4866975?s=N4IgTCBcDaICoGECCBOArAFg0gCgdQCUQBdAXyA" TargetMode="External"/><Relationship Id="rId4850" Type="http://schemas.openxmlformats.org/officeDocument/2006/relationships/hyperlink" Target="https://www.digikey.jp/en/products/detail/yageo/RC2512JK-070RL/2345151" TargetMode="External"/><Relationship Id="rId2194" Type="http://schemas.openxmlformats.org/officeDocument/2006/relationships/hyperlink" Target="https://www.monotaro.com/p/2344/2642/?t.q=M2" TargetMode="External"/><Relationship Id="rId3038" Type="http://schemas.openxmlformats.org/officeDocument/2006/relationships/hyperlink" Target="https://www.digikey.jp/product-detail/ja/avx-corporation/06035U910FAT2A/478-11383-1-ND/8019134?cur=JPY&amp;lang=ja" TargetMode="External"/><Relationship Id="rId3245" Type="http://schemas.openxmlformats.org/officeDocument/2006/relationships/hyperlink" Target="https://www.digikey.jp/products/en?keywords=DTC144EKAT146CT-ND" TargetMode="External"/><Relationship Id="rId3452" Type="http://schemas.openxmlformats.org/officeDocument/2006/relationships/hyperlink" Target="https://www.askul.co.jp/p/8435597/" TargetMode="External"/><Relationship Id="rId4503" Type="http://schemas.openxmlformats.org/officeDocument/2006/relationships/hyperlink" Target="https://www.amazon.co.jp/dp/B07KQ59HLL/ref=cm_sw_em_r_mt_dp_DDW9KFNJMJRXKZA7FMFK?_encoding=UTF8&amp;psc=1" TargetMode="External"/><Relationship Id="rId4710" Type="http://schemas.openxmlformats.org/officeDocument/2006/relationships/hyperlink" Target="https://www.mouser.jp/ProductDetail/YAGEO/CC0805JRNPO0BN180?qs=%2Fha2pyFaduiCb%252BBnK5wFkLbXLKIXbwMsaOy8zE09C8dBKmNN1ouwsA%3D%3D" TargetMode="External"/><Relationship Id="rId166" Type="http://schemas.openxmlformats.org/officeDocument/2006/relationships/hyperlink" Target="https://www.digikey.jp/product-detail/ja/cinch-connectivity-solutions-johnson/142-0711-301/J717-ND/691804" TargetMode="External"/><Relationship Id="rId373" Type="http://schemas.openxmlformats.org/officeDocument/2006/relationships/hyperlink" Target="http://www.radiometrix.com/content/bim1h" TargetMode="External"/><Relationship Id="rId580" Type="http://schemas.openxmlformats.org/officeDocument/2006/relationships/hyperlink" Target="https://www.digikey.jp/product-detail/en/texas-instruments/INA181A4IDBVR/296-47659-1-ND/8133028" TargetMode="External"/><Relationship Id="rId2054" Type="http://schemas.openxmlformats.org/officeDocument/2006/relationships/hyperlink" Target="https://www.monotaro.com/g/00260582/?t.q=%83A%83%89%83%8B%83_%83C%83g" TargetMode="External"/><Relationship Id="rId2261" Type="http://schemas.openxmlformats.org/officeDocument/2006/relationships/hyperlink" Target="https://www.monotaro.com/p/0552/9167/?t.q=M3%20%83i%83b%83g" TargetMode="External"/><Relationship Id="rId3105" Type="http://schemas.openxmlformats.org/officeDocument/2006/relationships/hyperlink" Target="https://jp.misumi-ec.com/vona2/detail/221000348314/?ProductCode=SNSS-M1.6X5-VA" TargetMode="External"/><Relationship Id="rId3312" Type="http://schemas.openxmlformats.org/officeDocument/2006/relationships/hyperlink" Target="https://www.amazon.co.jp/-/en/gp/product/B000G1T6FS/ref=ox_sc_act_title_2?smid=AN1VRQENFRJN5&amp;psc=1" TargetMode="External"/><Relationship Id="rId233" Type="http://schemas.openxmlformats.org/officeDocument/2006/relationships/hyperlink" Target="http://akizukidenshi.com/catalog/g/gI-13675/" TargetMode="External"/><Relationship Id="rId440" Type="http://schemas.openxmlformats.org/officeDocument/2006/relationships/hyperlink" Target="https://www.lensation.de/product/B5M25024C/" TargetMode="External"/><Relationship Id="rId1070" Type="http://schemas.openxmlformats.org/officeDocument/2006/relationships/hyperlink" Target="https://www.digikey.jp/products/en?keywords=296-36413-1-ND" TargetMode="External"/><Relationship Id="rId2121" Type="http://schemas.openxmlformats.org/officeDocument/2006/relationships/hyperlink" Target="https://jp.misumi-ec.com/vona2/detail/221005172808/?HissuCode=MU2022" TargetMode="External"/><Relationship Id="rId5277" Type="http://schemas.openxmlformats.org/officeDocument/2006/relationships/hyperlink" Target="https://jp.rs-online.com/web/p/pcb-headers/904816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35303233353230323030267365617263685F6B6579776F72645F6170703D35303233353230323030267365617263685F636F6E6669673D3126&amp;searchHistory=%7B%22enabled%22%3Atrue%7D" TargetMode="External"/><Relationship Id="rId300" Type="http://schemas.openxmlformats.org/officeDocument/2006/relationships/hyperlink" Target="https://www.digikey.jp/product-detail/ja/rohm-semiconductor/UMD5NTR/UMD5NCT-ND/3769436" TargetMode="External"/><Relationship Id="rId4086" Type="http://schemas.openxmlformats.org/officeDocument/2006/relationships/hyperlink" Target="https://www.uctronics.com/arducam-1/2.5-m12-mount-16mm-focal-length-camera-lens-m2016zh01.html" TargetMode="External"/><Relationship Id="rId5137" Type="http://schemas.openxmlformats.org/officeDocument/2006/relationships/hyperlink" Target="https://jp.rs-online.com/web/p/film-capacitors/7270354" TargetMode="External"/><Relationship Id="rId1887" Type="http://schemas.openxmlformats.org/officeDocument/2006/relationships/hyperlink" Target="https://www.digikey.jp/products/en?keywords=490-16433-1-ND" TargetMode="External"/><Relationship Id="rId2938" Type="http://schemas.openxmlformats.org/officeDocument/2006/relationships/hyperlink" Target="https://www.monotaro.com/g/02570301/" TargetMode="External"/><Relationship Id="rId4293" Type="http://schemas.openxmlformats.org/officeDocument/2006/relationships/hyperlink" Target="https://jp.misumi-ec.com/vona2/detail/221000551286/?ProductCode=CSH-SUS-M1.4-6" TargetMode="External"/><Relationship Id="rId5344" Type="http://schemas.openxmlformats.org/officeDocument/2006/relationships/hyperlink" Target="https://akizukidenshi.com/catalog/g/gR-08805/?fbclid=IwAR0gVk-zYdgKvTtD_jQV_PoJH6nLSAQf-02CqponKwNqaTkXcMV6djRW2G8" TargetMode="External"/><Relationship Id="rId1747" Type="http://schemas.openxmlformats.org/officeDocument/2006/relationships/hyperlink" Target="https://www.minicircuits.com/WebStore/dashboard.html?model=TC1-1T%2B" TargetMode="External"/><Relationship Id="rId1954" Type="http://schemas.openxmlformats.org/officeDocument/2006/relationships/hyperlink" Target="https://www.digikey.jp/products/ja?keywords=LAN9514I-JZX" TargetMode="External"/><Relationship Id="rId4153" Type="http://schemas.openxmlformats.org/officeDocument/2006/relationships/hyperlink" Target="https://www.monotaro.com/g/00178193/?t.q=%E9%9D%99%E9%9B%BB%E6%B0%97%E9%98%B2%E6%AD%A2%E3%82%B9%E3%83%88%E3%83%A9%E3%83%83%E3%83%97" TargetMode="External"/><Relationship Id="rId4360" Type="http://schemas.openxmlformats.org/officeDocument/2006/relationships/hyperlink" Target="https://akizukidenshi.com/catalog/g/gC-09580/" TargetMode="External"/><Relationship Id="rId5204" Type="http://schemas.openxmlformats.org/officeDocument/2006/relationships/hyperlink" Target="https://akizukidenshi.com/catalog/g/gC-05779/" TargetMode="External"/><Relationship Id="rId39" Type="http://schemas.openxmlformats.org/officeDocument/2006/relationships/hyperlink" Target="https://jp.rs-online.com/web/p/ceramic-multilayer-capacitors/1744517/?relevancy-data=636F3D3126696E3D4931384E525353746F636B4E756D626572266C753D656E266D6D3D6D61746368616C6C26706D3D5E282872737C5253295B205D3F293F2832355C647B387D7C32355C647B317D5C2D5C647B377D7C5C647B337D5B5C2D5D3F5C647B332C347D5B70505D3F292426706F3D3126736E3D592673723D2673743D52535F53544F434B5F4E554D4245522677633D4E4F4E45267573743D3137342D34353137267374613D3137343435313726" TargetMode="External"/><Relationship Id="rId1607" Type="http://schemas.openxmlformats.org/officeDocument/2006/relationships/hyperlink" Target="https://jp.misumi-ec.com/vona2/detail/221000546404/?PNSearch=CSPPNP1-SUS-M2-6&amp;HissuCode=CSPPNP1-SUS-M2-6&amp;searchFlow=suggesthistory&amp;Keyword=CSPPNP1-SUS-M2-6" TargetMode="External"/><Relationship Id="rId1814" Type="http://schemas.openxmlformats.org/officeDocument/2006/relationships/hyperlink" Target="https://www.digikey.jp/products/en?keywords=557-1789-ND" TargetMode="External"/><Relationship Id="rId4013" Type="http://schemas.openxmlformats.org/officeDocument/2006/relationships/hyperlink" Target="https://jp.rs-online.com/web/p/mlccs-multilayer-ceramic-capacitors/0147819" TargetMode="External"/><Relationship Id="rId4220" Type="http://schemas.openxmlformats.org/officeDocument/2006/relationships/hyperlink" Target="https://www.mouser.jp/ProductDetail/Molex/202396-0207?qs=5aG0NVq1C4yNVNVdbFIdrw%3D%3D&amp;gclid=CjwKCAiA1aiMBhAUEiwACw25MXB6b74p63uH5GbuGzyNOqMGtOEzeOQ9kd8QPj8gMGJp4aZWKiEghBoCrBIQAvD_BwE" TargetMode="External"/><Relationship Id="rId3779" Type="http://schemas.openxmlformats.org/officeDocument/2006/relationships/hyperlink" Target="https://www.digikey.jp/product-detail/en/BOB-10124/1568-1589-ND/6006043?itemSeq=373422160" TargetMode="External"/><Relationship Id="rId2588" Type="http://schemas.openxmlformats.org/officeDocument/2006/relationships/hyperlink" Target="https://www.digikey.jp/product-detail/en/vishay-dale/CRCW0805100RFKEA/541-100CCT-ND/1180669" TargetMode="External"/><Relationship Id="rId3986" Type="http://schemas.openxmlformats.org/officeDocument/2006/relationships/hyperlink" Target="https://jp.misumi-ec.com/vona2/detail/221000551286/?KWSearch=M6%20%e5%85%ad%e8%a7%92%e7%a9%b4%e4%bb%98%e3%81%8d%e3%83%9c%e3%83%ab%e3%83%88&amp;searchFlow=results2products&amp;list=PageSearchResult" TargetMode="External"/><Relationship Id="rId1397" Type="http://schemas.openxmlformats.org/officeDocument/2006/relationships/hyperlink" Target="https://www.digikey.jp/product-detail/en/kemet/C0805C822K5RACTU/399-9275-1-ND/3522793" TargetMode="External"/><Relationship Id="rId2795" Type="http://schemas.openxmlformats.org/officeDocument/2006/relationships/hyperlink" Target="https://www.digikey.jp/product-detail/en/koa-speer-electronics-inc/RK73H1JTTD1001F/2019-RK73H1JTTD1001FCT-ND/9846888" TargetMode="External"/><Relationship Id="rId3639" Type="http://schemas.openxmlformats.org/officeDocument/2006/relationships/hyperlink" Target="https://www.digikey.jp/products/ja?keywords=490-12283-1-ND" TargetMode="External"/><Relationship Id="rId3846" Type="http://schemas.openxmlformats.org/officeDocument/2006/relationships/hyperlink" Target="https://jp.misumi-ec.com/vona2/detail/110302679630/?searchFlow=combo2products&amp;KWSearch=FABS-M3-L96&amp;HissuCode=FABS3-%5b20-150%2f1%5d&amp;PNSearch=FABS3-%5b20-150%2f1%5d" TargetMode="External"/><Relationship Id="rId5061" Type="http://schemas.openxmlformats.org/officeDocument/2006/relationships/hyperlink" Target="https://www.monotaro.com/g/00131992/" TargetMode="External"/><Relationship Id="rId767" Type="http://schemas.openxmlformats.org/officeDocument/2006/relationships/hyperlink" Target="https://www.digikey.jp/products/ja?keywords=490-15684-1-ND" TargetMode="External"/><Relationship Id="rId974" Type="http://schemas.openxmlformats.org/officeDocument/2006/relationships/hyperlink" Target="https://www.digikey.jp/product-detail/ja/PRT-12794/1568-1511-ND/5993859/?itemSeq=299164047" TargetMode="External"/><Relationship Id="rId2448" Type="http://schemas.openxmlformats.org/officeDocument/2006/relationships/hyperlink" Target="https://www.amazon.co.jp/%E3%80%90Amazon-Alexa-%E8%AA%8D%E5%AE%9A%E5%8F%96%E5%BE%97%E3%80%91%E3%83%8D%E3%83%83%E3%83%88%E3%83%AF%E3%83%BC%E3%82%AF%E3%82%AB%E3%83%A1%E3%83%A9-ATOM-%E3%82%A2%E3%83%88%E3%83%A0%E3%82%AB%E3%83%A0/dp/B08554HDDT/ref=pd_ybh_a_4?_encoding=UTF8&amp;psc=1&amp;refRID=7JVEQG927MES94Z41KFF" TargetMode="External"/><Relationship Id="rId2655" Type="http://schemas.openxmlformats.org/officeDocument/2006/relationships/hyperlink" Target="https://www.mouser.jp/ProductDetail/KEMET/C0603C105K3PACTU?qs=%2Fha2pyFadugh8U7pV%252BrBGvWOrr9nSxqZxusxrSA%2F%2FXCGJIbPbdg8HQ%3D%3D" TargetMode="External"/><Relationship Id="rId2862" Type="http://schemas.openxmlformats.org/officeDocument/2006/relationships/hyperlink" Target="https://www.monotaro.com/p/3839/5404/" TargetMode="External"/><Relationship Id="rId3706" Type="http://schemas.openxmlformats.org/officeDocument/2006/relationships/hyperlink" Target="https://jp.rs-online.com/web/p/tantalum-capacitors/1213317/" TargetMode="External"/><Relationship Id="rId3913" Type="http://schemas.openxmlformats.org/officeDocument/2006/relationships/hyperlink" Target="https://jp.misumi-ec.com/vona2/detail/221000550533/?ProductCode=HXN-SUS-M6-40" TargetMode="External"/><Relationship Id="rId627" Type="http://schemas.openxmlformats.org/officeDocument/2006/relationships/hyperlink" Target="https://www.digikey.jp/product-detail/ja/cinch-connectivity-solutions-johnson/142-0711-301/J717-ND/691804" TargetMode="External"/><Relationship Id="rId834" Type="http://schemas.openxmlformats.org/officeDocument/2006/relationships/hyperlink" Target="https://www.monotaro.com/p/4900/2983/?t.q=%83y%83%8A%83J%83%93%201600" TargetMode="External"/><Relationship Id="rId1257" Type="http://schemas.openxmlformats.org/officeDocument/2006/relationships/hyperlink" Target="http://akizukidenshi.com/catalog/g/gC-08849/" TargetMode="External"/><Relationship Id="rId1464" Type="http://schemas.openxmlformats.org/officeDocument/2006/relationships/hyperlink" Target="https://www.digikey.jp/product-detail/en/vishay-vitramon/VJ0805D102KXAAJ/720-1340-1-ND/3280754" TargetMode="External"/><Relationship Id="rId1671" Type="http://schemas.openxmlformats.org/officeDocument/2006/relationships/hyperlink" Target="https://www.digikey.jp/product-detail/en/FG14X7R1H334KNT00/445-181225-ND/7326663/?itemSeq=321331140" TargetMode="External"/><Relationship Id="rId2308" Type="http://schemas.openxmlformats.org/officeDocument/2006/relationships/hyperlink" Target="https://jp.misumi-ec.com/vona2/detail/221000552007/?CategorySpec=00000216944%3a%3aa%0900000216994%3a%3aa%0900000217003%3a%3amig00000002465376&amp;clkid=clkid_list_template" TargetMode="External"/><Relationship Id="rId2515" Type="http://schemas.openxmlformats.org/officeDocument/2006/relationships/hyperlink" Target="https://jp.misumi-ec.com/vona2/detail/110302280540/?HissuCode=CBSTSR3-4&amp;PNSearch=CBSTSR3-4&amp;KWSearch=CBSTSR3-4&amp;searchFlow=results2products" TargetMode="External"/><Relationship Id="rId2722" Type="http://schemas.openxmlformats.org/officeDocument/2006/relationships/hyperlink" Target="https://www.amazon.co.jp/dp/B00J7BNP5U?tag=mybest_presses_3036-22" TargetMode="External"/><Relationship Id="rId901" Type="http://schemas.openxmlformats.org/officeDocument/2006/relationships/hyperlink" Target="https://jp.rs-online.com/web/p/dc-power-sockets/7051516/" TargetMode="External"/><Relationship Id="rId1117" Type="http://schemas.openxmlformats.org/officeDocument/2006/relationships/hyperlink" Target="https://www.p-ban.com/kiban/com/csComDocPrint:exec.do?receiptNo=19092500153&amp;doc=1" TargetMode="External"/><Relationship Id="rId1324" Type="http://schemas.openxmlformats.org/officeDocument/2006/relationships/hyperlink" Target="https://www.amazon.co.jp/gp/product/B07M9XRFG7/ref=ppx_yo_dt_b_asin_title_o07_s00?ie=UTF8&amp;psc=1" TargetMode="External"/><Relationship Id="rId1531" Type="http://schemas.openxmlformats.org/officeDocument/2006/relationships/hyperlink" Target="https://www.amazon.co.jp/%E3%82%B3%E3%82%AF%E3%83%A8-KOKUYO-TZ-1343-%E3%82%B9%E3%83%86%E3%83%B3%E3%83%AC%E3%82%B9%E7%9B%B4%E5%AE%9A%E8%A6%8F-30cm/dp/B0012MAIRA/ref=sr_1_4?__mk_ja_JP=%E3%82%AB%E3%82%BF%E3%82%AB%E3%83%8A&amp;keywords=ruler&amp;qid=1579225877&amp;sr=8-4" TargetMode="External"/><Relationship Id="rId4687" Type="http://schemas.openxmlformats.org/officeDocument/2006/relationships/hyperlink" Target="https://www.mouser.jp/ProductDetail/STMicroelectronics/A3G4250DTR?qs=Ld7sMN6XJzCU8%252BkHd1RE7g%3D%3D" TargetMode="External"/><Relationship Id="rId4894" Type="http://schemas.openxmlformats.org/officeDocument/2006/relationships/hyperlink" Target="https://www.p-ban.com/" TargetMode="External"/><Relationship Id="rId30" Type="http://schemas.openxmlformats.org/officeDocument/2006/relationships/hyperlink" Target="https://jp.rs-online.com/web/p/latching-relays/6803883/?sra=pstk" TargetMode="External"/><Relationship Id="rId3289" Type="http://schemas.openxmlformats.org/officeDocument/2006/relationships/hyperlink" Target="https://www.edmundoptics.com/p/720nm-cwl-10nm-fwhm-125mm-mounted-diameter/22440/" TargetMode="External"/><Relationship Id="rId3496" Type="http://schemas.openxmlformats.org/officeDocument/2006/relationships/hyperlink" Target="https://www.askul.co.jp/p/9529080/" TargetMode="External"/><Relationship Id="rId4547" Type="http://schemas.openxmlformats.org/officeDocument/2006/relationships/hyperlink" Target="https://www.monotaro.com/p/8835/9354/" TargetMode="External"/><Relationship Id="rId4754" Type="http://schemas.openxmlformats.org/officeDocument/2006/relationships/hyperlink" Target="https://www.digikey.jp/ja/products/detail/itt-cannon-llc/M83513-04-B03N/2432919" TargetMode="External"/><Relationship Id="rId2098" Type="http://schemas.openxmlformats.org/officeDocument/2006/relationships/hyperlink" Target="https://jp.misumi-ec.com/vona2/detail/221006204478/?HissuCode=C-305&amp;PNSearch=C-305&amp;KWSearch=C-305&amp;searchFlow=results2products" TargetMode="External"/><Relationship Id="rId3149" Type="http://schemas.openxmlformats.org/officeDocument/2006/relationships/hyperlink" Target="https://www.digikey.jp/product-detail/en/molex/0530480410/WM1744-ND/242866" TargetMode="External"/><Relationship Id="rId3356" Type="http://schemas.openxmlformats.org/officeDocument/2006/relationships/hyperlink" Target="https://jp.rs-online.com/web/p/mlccs-multilayer-ceramic-capacitors/7661166/" TargetMode="External"/><Relationship Id="rId3563" Type="http://schemas.openxmlformats.org/officeDocument/2006/relationships/hyperlink" Target="https://www.mouser.jp/ProductDetail/Analog-Devices/LTC4361CDC-2TRMPBF?qs=hVkxg5c3xu%2FJMWfT0rrc%252Bw%3D%3D" TargetMode="External"/><Relationship Id="rId4407" Type="http://schemas.openxmlformats.org/officeDocument/2006/relationships/hyperlink" Target="https://jp.rs-online.com/web/p/sensor-accessories/4559758/?sra=pstk" TargetMode="External"/><Relationship Id="rId4961" Type="http://schemas.openxmlformats.org/officeDocument/2006/relationships/hyperlink" Target="https://jp.misumi-ec.com/vona2/detail/110600274370/?ProductCode=CU-R-14-60" TargetMode="External"/><Relationship Id="rId277" Type="http://schemas.openxmlformats.org/officeDocument/2006/relationships/hyperlink" Target="https://www.digikey.jp/product-detail/ja/on-semiconductor/2N7002/2N7002NCT-ND/244664" TargetMode="External"/><Relationship Id="rId484" Type="http://schemas.openxmlformats.org/officeDocument/2006/relationships/hyperlink" Target="https://www.amazon.co.jp/dp/B071PB13WT/ref=cm_sw_r_cp_api_i_zb7CCb6PWDTJB?language=en_US" TargetMode="External"/><Relationship Id="rId2165" Type="http://schemas.openxmlformats.org/officeDocument/2006/relationships/hyperlink" Target="https://www.monotaro.com/g/00334432/?t.q=NC-2841" TargetMode="External"/><Relationship Id="rId3009" Type="http://schemas.openxmlformats.org/officeDocument/2006/relationships/hyperlink" Target="https://www.digikey.jp/product-detail/en/sullins-connector-solutions/PPTC022LFBN-RC/S7070-ND/810209" TargetMode="External"/><Relationship Id="rId3216" Type="http://schemas.openxmlformats.org/officeDocument/2006/relationships/hyperlink" Target="https://www.monotaro.com/g/02774233/?monotaroNo=60789444" TargetMode="External"/><Relationship Id="rId3770" Type="http://schemas.openxmlformats.org/officeDocument/2006/relationships/hyperlink" Target="https://www.digikey.jp/product-detail/en/LMK325BJ107MM-T/587-1965-1-ND/1646628?itemSeq=373418009" TargetMode="External"/><Relationship Id="rId4614" Type="http://schemas.openxmlformats.org/officeDocument/2006/relationships/hyperlink" Target="https://www.mouser.jp/ProductDetail/Hirose-Connector/A3C-4DA-2DSA71?qs=eDUdFcBPps1yjd6mEORBTw%3D%3D" TargetMode="External"/><Relationship Id="rId4821" Type="http://schemas.openxmlformats.org/officeDocument/2006/relationships/hyperlink" Target="https://www.digikey.jp/en/products/detail/amphenol-times-microwave-systems/EZ-400-UM/9644040?s=N4IgTCBcDaIIwE4AsA2AtHADEzaByAIiALoC%2BQA" TargetMode="External"/><Relationship Id="rId137" Type="http://schemas.openxmlformats.org/officeDocument/2006/relationships/hyperlink" Target="https://jp.rs-online.com/web/p/products/7883023/" TargetMode="External"/><Relationship Id="rId344" Type="http://schemas.openxmlformats.org/officeDocument/2006/relationships/hyperlink" Target="https://www.digikey.jp/product-detail/ja/lite-on-inc/LTST-C171TBKT/160-1645-1-ND/573585" TargetMode="External"/><Relationship Id="rId691" Type="http://schemas.openxmlformats.org/officeDocument/2006/relationships/hyperlink" Target="https://www.digikey.jp/product-detail/en/avx-corporation/06035A6R8JAT2A/478-11823-1-ND/8573459" TargetMode="External"/><Relationship Id="rId2025" Type="http://schemas.openxmlformats.org/officeDocument/2006/relationships/hyperlink" Target="https://www.digikey.jp/product-detail/ja/amphenol-icc-fci/87520-1010BLF/609-4965-ND/1528160" TargetMode="External"/><Relationship Id="rId2372" Type="http://schemas.openxmlformats.org/officeDocument/2006/relationships/hyperlink" Target="https://jp.misumi-ec.com/vona2/detail/221006493827/?HissuCode=SNSS-M2-6-SD&amp;PNSearch=SNSS-M2-6-SD&amp;KWSearch=SNSS-M2-6-SD&amp;searchFlow=results2products" TargetMode="External"/><Relationship Id="rId3423" Type="http://schemas.openxmlformats.org/officeDocument/2006/relationships/hyperlink" Target="https://jp.misumi-ec.com/vona2/detail/221000348314/?ProductCode=SNSS-M1.6X5" TargetMode="External"/><Relationship Id="rId3630" Type="http://schemas.openxmlformats.org/officeDocument/2006/relationships/hyperlink" Target="https://www.amazon.co.jp/-/en/Antenna-Connector-Durable-Amplifier-700-2600MHz/dp/B07PDJVSQZ/ref=sr_1_9?dchild=1&amp;keywords=%E3%82%A2%E3%83%B3%E3%83%86%E3%83%8A4+g&amp;qid=1625643212&amp;sr=8-9" TargetMode="External"/><Relationship Id="rId551" Type="http://schemas.openxmlformats.org/officeDocument/2006/relationships/hyperlink" Target="https://www.digikey.jp/products/en?keywords=945-2656-5-ND" TargetMode="External"/><Relationship Id="rId1181" Type="http://schemas.openxmlformats.org/officeDocument/2006/relationships/hyperlink" Target="https://www.digikey.jp/product-detail/ja/susumu/RL1220S-R50-F/RL12S.50FCT-ND/567351" TargetMode="External"/><Relationship Id="rId2232" Type="http://schemas.openxmlformats.org/officeDocument/2006/relationships/hyperlink" Target="https://www.digikey.jp/product-detail/ja/rohm-semiconductor/UMD5NTR/UMD5NCT-ND/3769436" TargetMode="External"/><Relationship Id="rId204" Type="http://schemas.openxmlformats.org/officeDocument/2006/relationships/hyperlink" Target="https://www.ebay.com/itm/2017-Noise-Source-Simple-Spectrum-External-Generator-Tracking-SMA-Source-Case/132180322006?_trkparms=aid%3D555018%26algo%3DPL.SIM%26ao%3D1%26asc%3D20131003132420%26meid%3Dd023b8203046481e974451be1ad3005c%26pid%3D100005%26rk%3D1%26rkt%3D12%26mehot%3Dag%26sd%3D201785941192%26itm%3D132180322006&amp;_trksid=p2047675.c100005.m1851" TargetMode="External"/><Relationship Id="rId411" Type="http://schemas.openxmlformats.org/officeDocument/2006/relationships/hyperlink" Target="https://www.digikey.jp/product-detail/ja/chip-quik-inc/SMDAL/SMDAL-ND/8681821" TargetMode="External"/><Relationship Id="rId1041" Type="http://schemas.openxmlformats.org/officeDocument/2006/relationships/hyperlink" Target="https://www.digikey.jp/product-detail/en/tdk-corporation/CGA3E2C0G1H180J080AA/445-5631-1-ND/2443671" TargetMode="External"/><Relationship Id="rId1998" Type="http://schemas.openxmlformats.org/officeDocument/2006/relationships/hyperlink" Target="https://www.digikey.jp/products/ja/resistors/chip-resistor-surface-mount/52?k=&amp;pkeyword=&amp;sv=0&amp;pv2085=u47+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4197" Type="http://schemas.openxmlformats.org/officeDocument/2006/relationships/hyperlink" Target="https://www.mouser.jp/ProductDetail/Panasonic/ERJ-PA2D4702X?qs=V%252BBODeGd91KKU2z0%252BjrPjg%3D%3D" TargetMode="External"/><Relationship Id="rId5248" Type="http://schemas.openxmlformats.org/officeDocument/2006/relationships/hyperlink" Target="https://showcase.ulvac.co.jp/en/products/high-vacuum-pump/cryo-pump/compressor-unit/c15r.html" TargetMode="External"/><Relationship Id="rId1858" Type="http://schemas.openxmlformats.org/officeDocument/2006/relationships/hyperlink" Target="https://www.digikey.jp/products/ja?keywords=SSM6K411TU(TE85LFCT-ND" TargetMode="External"/><Relationship Id="rId4057" Type="http://schemas.openxmlformats.org/officeDocument/2006/relationships/hyperlink" Target="https://www.mouser.jp/ProductDetail/AVX-Kyocera/08055A560J4T2A?qs=f21FSZc47Pj%252BmtKfRJ1tyg%3D%3D" TargetMode="External"/><Relationship Id="rId4264" Type="http://schemas.openxmlformats.org/officeDocument/2006/relationships/hyperlink" Target="https://www.mouser.jp/ProductDetail/YAGEO/CC0805JRNPO0BN180?qs=%2Fha2pyFaduiCb%252BBnK5wFkLbXLKIXbwMsaOy8zE09C8dBKmNN1ouwsA%3D%3D" TargetMode="External"/><Relationship Id="rId4471" Type="http://schemas.openxmlformats.org/officeDocument/2006/relationships/hyperlink" Target="https://www.monotaro.com/p/3944/0852/" TargetMode="External"/><Relationship Id="rId5108" Type="http://schemas.openxmlformats.org/officeDocument/2006/relationships/hyperlink" Target="https://www.mouser.jp/ProductDetail/Samtec/TFM-107-02-L-D-DS?qs=PB6%2FjmICvI1IZhMdb7bxyw%3D%3D" TargetMode="External"/><Relationship Id="rId5315" Type="http://schemas.openxmlformats.org/officeDocument/2006/relationships/hyperlink" Target="https://www.digikey.jp/en/products/detail/yageo/RC0603JR-07180KL/726723" TargetMode="External"/><Relationship Id="rId2909" Type="http://schemas.openxmlformats.org/officeDocument/2006/relationships/hyperlink" Target="https://www.digikey.jp/product-detail/ja/yageo/RT0603BRD071ML/YAG4498CT-ND/6616654" TargetMode="External"/><Relationship Id="rId3073" Type="http://schemas.openxmlformats.org/officeDocument/2006/relationships/hyperlink" Target="https://jp.misumi-ec.com/vona2/detail/221000551286/?HissuCode=CSH-SUS-M2.5-8&amp;PNSearch=CSH-SUS-M2.5-8&amp;KWSearch=CSH-SUS-M2.5-8&amp;searchFlow=results2products" TargetMode="External"/><Relationship Id="rId3280" Type="http://schemas.openxmlformats.org/officeDocument/2006/relationships/hyperlink" Target="https://www.digikey.jp/product-detail/ja/texas-instruments/OPA170AIDBVT/296-29496-1-ND/2748511" TargetMode="External"/><Relationship Id="rId4124" Type="http://schemas.openxmlformats.org/officeDocument/2006/relationships/hyperlink" Target="https://www.digikey.jp/product-detail/ja/taiyo-yuden/JMK212BJ226MG-T/587-1305-1-ND/931082" TargetMode="External"/><Relationship Id="rId4331" Type="http://schemas.openxmlformats.org/officeDocument/2006/relationships/hyperlink" Target="https://www.digikey.jp/ja/products/detail/texas-instruments/OPA170ASDRLTEP/4384214" TargetMode="External"/><Relationship Id="rId1718" Type="http://schemas.openxmlformats.org/officeDocument/2006/relationships/hyperlink" Target="https://www.digikey.jp/product-detail/ja/taica-north-america-corporation/GT-6/1880-1103-ND/8074111" TargetMode="External"/><Relationship Id="rId1925" Type="http://schemas.openxmlformats.org/officeDocument/2006/relationships/hyperlink" Target="https://www.marutsu.co.jp/pc/i/7720/" TargetMode="External"/><Relationship Id="rId3140" Type="http://schemas.openxmlformats.org/officeDocument/2006/relationships/hyperlink" Target="https://www.digikey.jp/product-detail/en/yageo/RC0603FR-0786K6L/311-86-6KHRCT-ND/730358" TargetMode="External"/><Relationship Id="rId2699" Type="http://schemas.openxmlformats.org/officeDocument/2006/relationships/hyperlink" Target="https://www.mouser.jp/ProductDetail/VCC/CMD17-21VYD-TR8?qs=%2Fha2pyFadujK5pGAVS%252BdLgzqy5FV2TE5655iC1mwda619SPaox4WWQ%3D%3D" TargetMode="External"/><Relationship Id="rId3000" Type="http://schemas.openxmlformats.org/officeDocument/2006/relationships/hyperlink" Target="https://www.digikey.jp/products/ja?keywords=478-9836-1-ND" TargetMode="External"/><Relationship Id="rId3957" Type="http://schemas.openxmlformats.org/officeDocument/2006/relationships/hyperlink" Target="https://jp.misumi-ec.com/vona2/detail/110300250540/?PNSearch=SLBNR3&amp;HissuCode=SLBNR3&amp;searchFlow=suggesthistory&amp;Keyword=SLBNR3&amp;list=SuggestPreview" TargetMode="External"/><Relationship Id="rId878" Type="http://schemas.openxmlformats.org/officeDocument/2006/relationships/hyperlink" Target="https://jp.rs-online.com/web/p/ceramic-multilayer-capacitors/7235783/" TargetMode="External"/><Relationship Id="rId2559" Type="http://schemas.openxmlformats.org/officeDocument/2006/relationships/hyperlink" Target="https://www.monotaro.com/p/2370/2823/" TargetMode="External"/><Relationship Id="rId2766" Type="http://schemas.openxmlformats.org/officeDocument/2006/relationships/hyperlink" Target="https://www.mouser.jp/ProductDetail/Digilent/240-127?qs=sPbYRqrBIVnapytz9HQPcw==" TargetMode="External"/><Relationship Id="rId2973" Type="http://schemas.openxmlformats.org/officeDocument/2006/relationships/hyperlink" Target="https://jp.misumi-ec.com/vona2/detail/110300239250/?CategorySpec=00000217065%3a%3amig00000002462152%0900000217017%3a%3a50%2cmig00000002462112%0900000217131%3a%3ab" TargetMode="External"/><Relationship Id="rId3817" Type="http://schemas.openxmlformats.org/officeDocument/2006/relationships/hyperlink" Target="https://www.monotaro.com/p/0807/1707/" TargetMode="External"/><Relationship Id="rId5172" Type="http://schemas.openxmlformats.org/officeDocument/2006/relationships/hyperlink" Target="https://jp.rs-online.com/web/p/mlccs-multilayer-ceramic-capacitors/1988223" TargetMode="External"/><Relationship Id="rId738" Type="http://schemas.openxmlformats.org/officeDocument/2006/relationships/hyperlink" Target="https://www.digikey.jp/product-detail/ja/molex/51090-0200/WM8287-ND/1632891" TargetMode="External"/><Relationship Id="rId945" Type="http://schemas.openxmlformats.org/officeDocument/2006/relationships/hyperlink" Target="https://www.digikey.jp/product-detail/en/sullins-connector-solutions/LPPB102CFFN-RC/S9009E-10-ND/1786381" TargetMode="External"/><Relationship Id="rId1368" Type="http://schemas.openxmlformats.org/officeDocument/2006/relationships/hyperlink" Target="https://www.monotaro.com/p/4121/5343/?displayId=5" TargetMode="External"/><Relationship Id="rId1575" Type="http://schemas.openxmlformats.org/officeDocument/2006/relationships/hyperlink" Target="https://jp.misumi-ec.com/vona2/detail/110302685570/" TargetMode="External"/><Relationship Id="rId1782" Type="http://schemas.openxmlformats.org/officeDocument/2006/relationships/hyperlink" Target="https://www.digikey.jp/product-detail/ja/murata-electronics-north-america/GJM1555C1H4R7CB01D/490-3100-1-ND/702366" TargetMode="External"/><Relationship Id="rId2419" Type="http://schemas.openxmlformats.org/officeDocument/2006/relationships/hyperlink" Target="https://www.digikey.jp/product-detail/en/linear-technology-analog-devices/LTC4361CTS8-2-TRMPBF/LTC4361CTS8-2-TRMPBFCT-ND/2297165?cur=JPY&amp;lang=en" TargetMode="External"/><Relationship Id="rId2626" Type="http://schemas.openxmlformats.org/officeDocument/2006/relationships/hyperlink" Target="https://www.digikey.jp/product-detail/en/sullins-connector-solutions/PPTC022LFBN-RC/S7070-ND/810209" TargetMode="External"/><Relationship Id="rId2833" Type="http://schemas.openxmlformats.org/officeDocument/2006/relationships/hyperlink" Target="https://jp.misumi-ec.com/vona2/detail/110300009220/?HissuCode=SSTHWR20&amp;PNSearch=SSTHWR20&amp;KWSearch=SSTHWR20&amp;searchFlow=results2products" TargetMode="External"/><Relationship Id="rId5032" Type="http://schemas.openxmlformats.org/officeDocument/2006/relationships/hyperlink" Target="https://www.mouser.jp/ProductDetail/Samtec/HMTSW-126-08-G-D-100?qs=%2Fha2pyFadui497Z9nlyfhEM9G6u35%2F8%252Ba4MvFkDHK4%252B0cfHlyZHkvg%3D%3D" TargetMode="External"/><Relationship Id="rId74" Type="http://schemas.openxmlformats.org/officeDocument/2006/relationships/hyperlink" Target="https://jp.rs-online.com/web/p/ceramic-multilayer-capacitors/4515770/" TargetMode="External"/><Relationship Id="rId805" Type="http://schemas.openxmlformats.org/officeDocument/2006/relationships/hyperlink" Target="https://www.digikey.jp/product-detail/ja/microchip-technology/ATMEGA2560V-8AUR/ATMEGA2560V-8AURCT-ND/3440931" TargetMode="External"/><Relationship Id="rId1228" Type="http://schemas.openxmlformats.org/officeDocument/2006/relationships/hyperlink" Target="https://www.monotaro.com/p/0662/3461/" TargetMode="External"/><Relationship Id="rId1435" Type="http://schemas.openxmlformats.org/officeDocument/2006/relationships/hyperlink" Target="https://www.digikey.jp/product-detail/en/microchip-technology/PIC18F67J94-I-MR/PIC18F67J94-I-MR-ND/3872480" TargetMode="External"/><Relationship Id="rId4798" Type="http://schemas.openxmlformats.org/officeDocument/2006/relationships/hyperlink" Target="https://akizukidenshi.com/catalog/g/gC-09580/" TargetMode="External"/><Relationship Id="rId1642" Type="http://schemas.openxmlformats.org/officeDocument/2006/relationships/hyperlink" Target="https://www.minicircuits.com/pdfs/ADC-20-4.pdf" TargetMode="External"/><Relationship Id="rId2900" Type="http://schemas.openxmlformats.org/officeDocument/2006/relationships/hyperlink" Target="https://akizukidenshi.com/catalog/g/gP-11626/" TargetMode="External"/><Relationship Id="rId1502" Type="http://schemas.openxmlformats.org/officeDocument/2006/relationships/hyperlink" Target="http://akizukidenshi.com/catalog/g/gP-01307/" TargetMode="External"/><Relationship Id="rId4658" Type="http://schemas.openxmlformats.org/officeDocument/2006/relationships/hyperlink" Target="https://www.mouser.jp/ProductDetail/Texas-Instruments/LMT84QDCKTQ1?qs=xopfAcLiCQSWoRXSolG3dw%3D%3D" TargetMode="External"/><Relationship Id="rId4865" Type="http://schemas.openxmlformats.org/officeDocument/2006/relationships/hyperlink" Target="https://jp.rs-online.com/web/p/mosfets/6954830" TargetMode="External"/><Relationship Id="rId388" Type="http://schemas.openxmlformats.org/officeDocument/2006/relationships/hyperlink" Target="https://www.digikey.jp/product-detail/en/johanson-technology-inc/L-07C4N3SV6T/712-1460-1-ND/1915239" TargetMode="External"/><Relationship Id="rId2069" Type="http://schemas.openxmlformats.org/officeDocument/2006/relationships/hyperlink" Target="https://jp.misumi-ec.com/vona2/detail/221006451056/?PNSearch=SNSL-M3X6&amp;HissuCode=SNSL-M3X6&amp;searchFlow=suggest2products&amp;Keyword=SNSL-M3X6" TargetMode="External"/><Relationship Id="rId3467" Type="http://schemas.openxmlformats.org/officeDocument/2006/relationships/hyperlink" Target="https://www.p-ban.com/kiban/com/csComTop.do" TargetMode="External"/><Relationship Id="rId3674" Type="http://schemas.openxmlformats.org/officeDocument/2006/relationships/hyperlink" Target="https://www.minicircuits.com/WebStore/dashboard.html?model=AD4PS-1%2B" TargetMode="External"/><Relationship Id="rId3881" Type="http://schemas.openxmlformats.org/officeDocument/2006/relationships/hyperlink" Target="https://www.mouser.jp/ProductDetail/Panasonic-Industrial-Devices/AGQ20T4H?qs=%2Fha2pyFaduj58FMjpu%2FoFqYI4k6fubWLMflPT3cCZZ0%3D" TargetMode="External"/><Relationship Id="rId4518" Type="http://schemas.openxmlformats.org/officeDocument/2006/relationships/hyperlink" Target="https://www.monotaro.com/p/3148/4845/" TargetMode="External"/><Relationship Id="rId4725" Type="http://schemas.openxmlformats.org/officeDocument/2006/relationships/hyperlink" Target="https://www.digikey.jp/en/products/detail/metz-connect-usa-inc/PR20204VBNN/12342903" TargetMode="External"/><Relationship Id="rId4932" Type="http://schemas.openxmlformats.org/officeDocument/2006/relationships/hyperlink" Target="https://www.digikey.jp/short/75mv9wt0" TargetMode="External"/><Relationship Id="rId595" Type="http://schemas.openxmlformats.org/officeDocument/2006/relationships/hyperlink" Target="https://www.digikey.jp/product-detail/en/vishay-siliconix/SI2342DS-T1-GE3/SI2342DS-T1-GE3CT-ND/5805424" TargetMode="External"/><Relationship Id="rId2276" Type="http://schemas.openxmlformats.org/officeDocument/2006/relationships/hyperlink" Target="https://www.monotaro.com/p/2075/7126/?t.q=USB-A%81%40USB-A" TargetMode="External"/><Relationship Id="rId2483" Type="http://schemas.openxmlformats.org/officeDocument/2006/relationships/hyperlink" Target="https://www.digikey.jp/product-detail/en/linx-technologies-inc/CONSMA001-SMD-G/CONSMA001-SMD-G-ND/4496569" TargetMode="External"/><Relationship Id="rId2690" Type="http://schemas.openxmlformats.org/officeDocument/2006/relationships/hyperlink" Target="https://www.mouser.jp/ProductDetail/Stewart-Connector-Bel/SS-60300-014?qs=%2Fha2pyFaduiVzBd%252Bj9cQQlZROIjR7eSyquSmp8vHPJ3fsta1UEy%2FuA%3D%3D" TargetMode="External"/><Relationship Id="rId3327" Type="http://schemas.openxmlformats.org/officeDocument/2006/relationships/hyperlink" Target="https://www.digikey.jp/product-detail/en/yageo/RC0805JR-071KL/311-1-0KARCT-ND/731165" TargetMode="External"/><Relationship Id="rId3534" Type="http://schemas.openxmlformats.org/officeDocument/2006/relationships/hyperlink" Targe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true%7D" TargetMode="External"/><Relationship Id="rId3741" Type="http://schemas.openxmlformats.org/officeDocument/2006/relationships/hyperlink" Target="https://www.monotaro.com/g/01366222/?t.q=%83J%83v%83g%83%93%83e%81%5B%83v" TargetMode="External"/><Relationship Id="rId248" Type="http://schemas.openxmlformats.org/officeDocument/2006/relationships/hyperlink" Target="https://infinitypv.com/shop/sample-packs/Solar-cell-sample-package" TargetMode="External"/><Relationship Id="rId455" Type="http://schemas.openxmlformats.org/officeDocument/2006/relationships/hyperlink" Target="https://jp.misumi-ec.com/vona2/detail/110302679630/?HissuCode=FABS3-96&amp;PNSearch=FABS3-96&amp;KWSearch=FABS3-96&amp;searchFlow=results2products" TargetMode="External"/><Relationship Id="rId662" Type="http://schemas.openxmlformats.org/officeDocument/2006/relationships/hyperlink" Target="https://www.digikey.jp/product-detail/en/linear-technology-analog-devices/LTC6906CS6-TRMPBF/LTC6906CS6-TRMPBFDKR-ND/1618156?cur=USD&amp;lang=en" TargetMode="External"/><Relationship Id="rId1085" Type="http://schemas.openxmlformats.org/officeDocument/2006/relationships/hyperlink" Target="https://www.digikey.jp/products/ja?keywords=CONMMCX002-SMD" TargetMode="External"/><Relationship Id="rId1292" Type="http://schemas.openxmlformats.org/officeDocument/2006/relationships/hyperlink" Target="http://p-ban.com/" TargetMode="External"/><Relationship Id="rId2136" Type="http://schemas.openxmlformats.org/officeDocument/2006/relationships/hyperlink" Target="https://www.monotaro.com/p/3880/5313/?t.q=POM" TargetMode="External"/><Relationship Id="rId2343" Type="http://schemas.openxmlformats.org/officeDocument/2006/relationships/hyperlink" Target="https://akizukidenshi.com/catalog/g/gM-13337/" TargetMode="External"/><Relationship Id="rId2550" Type="http://schemas.openxmlformats.org/officeDocument/2006/relationships/hyperlink" Target="https://www.edmundoptics.com/p/720nm-cwl-10nm-fwhm-125mm-mounted-diameter/22440/" TargetMode="External"/><Relationship Id="rId3601" Type="http://schemas.openxmlformats.org/officeDocument/2006/relationships/hyperlink" Target="https://www.p-ban.com/kiban/com/csComTop.do" TargetMode="External"/><Relationship Id="rId108" Type="http://schemas.openxmlformats.org/officeDocument/2006/relationships/hyperlink" Target="https://www.digikey.jp/product-detail/en/GRM21BR60G107ME15L/490-10510-1-ND/5026439/?itemSeq=273207224" TargetMode="External"/><Relationship Id="rId315" Type="http://schemas.openxmlformats.org/officeDocument/2006/relationships/hyperlink" Target="https://www.digikey.jp/product-detail/en/samsung-electro-mechanics/CL21B105KBFNNNG/1276-6470-1-ND/5958098" TargetMode="External"/><Relationship Id="rId522" Type="http://schemas.openxmlformats.org/officeDocument/2006/relationships/hyperlink" Target="https://www.digikey.jp/product-detail/en/panasonic-electronic-components/ERA-6AEB1053V/P105KDACT-ND/3074917" TargetMode="External"/><Relationship Id="rId1152" Type="http://schemas.openxmlformats.org/officeDocument/2006/relationships/hyperlink" Target="https://www.digikey.jp/product-detail/ja/tripp-lite/U336-U03-GB/TL2301-ND/5359358" TargetMode="External"/><Relationship Id="rId2203" Type="http://schemas.openxmlformats.org/officeDocument/2006/relationships/hyperlink" Target="https://www.digikey.jp/product-detail/en/texas-instruments/OPA170AIDR/296-46320-1-ND/7033494" TargetMode="External"/><Relationship Id="rId2410" Type="http://schemas.openxmlformats.org/officeDocument/2006/relationships/hyperlink" Target="https://www.digikey.jp/products/ja?keywords=RNF003K-ND" TargetMode="External"/><Relationship Id="rId5359" Type="http://schemas.openxmlformats.org/officeDocument/2006/relationships/hyperlink" Target="https://www.monotaro.com/p/5940/9708/" TargetMode="External"/><Relationship Id="rId1012" Type="http://schemas.openxmlformats.org/officeDocument/2006/relationships/hyperlink" Target="https://jp.rs-online.com/web/p/general-purpose-enclosures/4985129/" TargetMode="External"/><Relationship Id="rId4168" Type="http://schemas.openxmlformats.org/officeDocument/2006/relationships/hyperlink" Target="https://jp.rs-online.com/web/p/usb-cables/1828836/" TargetMode="External"/><Relationship Id="rId4375" Type="http://schemas.openxmlformats.org/officeDocument/2006/relationships/hyperlink" Target="https://www.digikey.jp/en/products/detail/samtec-inc/SFMC-102-01-S-D/6678637?s=N4IgTCBcDaIMoEECyBOFAGdBaAcgERAF0BfIA" TargetMode="External"/><Relationship Id="rId5219" Type="http://schemas.openxmlformats.org/officeDocument/2006/relationships/hyperlink" Target="https://jp.misumi-ec.com/vona2/detail/221000550533/?ProductCode=HXN-SUS-M8-150" TargetMode="External"/><Relationship Id="rId1969" Type="http://schemas.openxmlformats.org/officeDocument/2006/relationships/hyperlink" Target="https://www.monotaro.com/p/1134/8925/" TargetMode="External"/><Relationship Id="rId3184" Type="http://schemas.openxmlformats.org/officeDocument/2006/relationships/hyperlink" Target="https://jp.rs-online.com/web/p/screwdriver-sets/0537883/" TargetMode="External"/><Relationship Id="rId4028" Type="http://schemas.openxmlformats.org/officeDocument/2006/relationships/hyperlink" Target="https://www.switch-science.com/catalog/530/" TargetMode="External"/><Relationship Id="rId4235" Type="http://schemas.openxmlformats.org/officeDocument/2006/relationships/hyperlink" Target="https://jp.rs-online.com/web/p/isolation-amplifiers/7863167" TargetMode="External"/><Relationship Id="rId4582" Type="http://schemas.openxmlformats.org/officeDocument/2006/relationships/hyperlink" Target="https://akizukidenshi.com/catalog/g/gI-07300/" TargetMode="External"/><Relationship Id="rId1829" Type="http://schemas.openxmlformats.org/officeDocument/2006/relationships/hyperlink" Target="https://www.digikey.jp/product-detail/en/tdk-corporation/CGA3E2C0G1H180J080AA/445-5631-1-ND/2443671" TargetMode="External"/><Relationship Id="rId3391" Type="http://schemas.openxmlformats.org/officeDocument/2006/relationships/hyperlink" Target="https://www.digikey.jp/product-detail/ja/harwin-inc/M50-3001245/952-1722-ND/2762090" TargetMode="External"/><Relationship Id="rId4442" Type="http://schemas.openxmlformats.org/officeDocument/2006/relationships/hyperlink" Target="https://jp.misumi-ec.com/vona2/detail/221303783852/?ProductCode=CSHBTT-SUS-M3-25" TargetMode="External"/><Relationship Id="rId3044" Type="http://schemas.openxmlformats.org/officeDocument/2006/relationships/hyperlink" Target="https://www.digikey.jp/product-detail/ja/johanson-technology-inc/L603DC/712-1451-ND/1915219" TargetMode="External"/><Relationship Id="rId3251" Type="http://schemas.openxmlformats.org/officeDocument/2006/relationships/hyperlink" Target="https://www.digikey.jp/product-detail/ja/yageo/CC0201MRX5R5BB105/311-1613-1-ND/5195515" TargetMode="External"/><Relationship Id="rId4302" Type="http://schemas.openxmlformats.org/officeDocument/2006/relationships/hyperlink" Target="https://jp.misumi-ec.com/vona2/detail/110300250540/?ProductCode=SLBNR3" TargetMode="External"/><Relationship Id="rId172" Type="http://schemas.openxmlformats.org/officeDocument/2006/relationships/hyperlink" Target="https://www.nbk1560.com/products/specialscrew/nedzicom/miniaturescrew/SHNS/" TargetMode="External"/><Relationship Id="rId2060" Type="http://schemas.openxmlformats.org/officeDocument/2006/relationships/hyperlink" Target="https://jp.misumi-ec.com/vona2/detail/221006493827/?HissuCode=SNSS-M2-6-SD&amp;PNSearch=SNSS-M2-6-SD&amp;KWSearch=SNSS-M2-6-SD&amp;searchFlow=results2products" TargetMode="External"/><Relationship Id="rId3111" Type="http://schemas.openxmlformats.org/officeDocument/2006/relationships/hyperlink" Target="https://www.digikey.jp/product-detail/en/bourns-inc/PVG3A200C01R00/490-2647-1-ND/666223" TargetMode="External"/><Relationship Id="rId989" Type="http://schemas.openxmlformats.org/officeDocument/2006/relationships/hyperlink" Target="https://jp.rs-online.com/web/p/linear-voltage-regulators/6616721/" TargetMode="External"/><Relationship Id="rId2877" Type="http://schemas.openxmlformats.org/officeDocument/2006/relationships/hyperlink" Target="https://www.monotaro.com/g/01618539/?t.q=LM19CIZNOPB" TargetMode="External"/><Relationship Id="rId5076" Type="http://schemas.openxmlformats.org/officeDocument/2006/relationships/hyperlink" Target="https://www.monotaro.com/g/02608625/?monotaroNo=56388508" TargetMode="External"/><Relationship Id="rId5283" Type="http://schemas.openxmlformats.org/officeDocument/2006/relationships/hyperlink" Target="https://www.monotaro.com/g/01213932/?t.q=JS-21050" TargetMode="External"/><Relationship Id="rId849" Type="http://schemas.openxmlformats.org/officeDocument/2006/relationships/hyperlink" Target="https://jp.rs-online.com/web/p/pcb-sockets/1801847/" TargetMode="External"/><Relationship Id="rId1479" Type="http://schemas.openxmlformats.org/officeDocument/2006/relationships/hyperlink" Target="http://akizukidenshi.com/catalog/g/gP-03677/" TargetMode="External"/><Relationship Id="rId1686" Type="http://schemas.openxmlformats.org/officeDocument/2006/relationships/hyperlink" Target="https://www.mouser.jp/ProductDetail/Phoenix-Contact/1424238?qs=5gmI94gbl02TPm1QoRntnQ==" TargetMode="External"/><Relationship Id="rId3928" Type="http://schemas.openxmlformats.org/officeDocument/2006/relationships/hyperlink" Target="https://akizukidenshi.com/catalog/g/gC-04392/" TargetMode="External"/><Relationship Id="rId4092" Type="http://schemas.openxmlformats.org/officeDocument/2006/relationships/hyperlink" Target="https://www.chip1stop.com/view/dispDetail/DispDetail?lang=en&amp;cont=JPN&amp;partId=HIRO-0021665&amp;mpn=A3C-50DA-2DSA%2871%29&amp;keyword=A3C-50DA-2DSA%2B%252871%2529" TargetMode="External"/><Relationship Id="rId5143" Type="http://schemas.openxmlformats.org/officeDocument/2006/relationships/hyperlink" Target="https://www.digikey.jp/ja/products/detail/analog-devices-inc/ADP7142WAUJZ-1-8-R7/15906318" TargetMode="External"/><Relationship Id="rId5350" Type="http://schemas.openxmlformats.org/officeDocument/2006/relationships/hyperlink" Target="https://jp.rs-online.com/web/p/mlccs-multilayer-ceramic-capacitors/7883054" TargetMode="External"/><Relationship Id="rId1339" Type="http://schemas.openxmlformats.org/officeDocument/2006/relationships/hyperlink" Target="https://jp.misumi-ec.com/vona2/detail/110302686450/?HissuCode=HFSL6-3030-200&amp;PNSearch=HFSL6-3030-200&amp;KWSearch=HFSL6-3030-200&amp;searchFlow=results2products" TargetMode="External"/><Relationship Id="rId1893" Type="http://schemas.openxmlformats.org/officeDocument/2006/relationships/hyperlink" Target="https://www.digikey.jp/product-detail/en/molex/0554600272/WM8301CT-ND/1632945" TargetMode="External"/><Relationship Id="rId2737" Type="http://schemas.openxmlformats.org/officeDocument/2006/relationships/hyperlink" Target="https://jp.misumi-ec.com/vona2/detail/110300258940/?CategorySpec=00000217156%3a%3amig00000002477238" TargetMode="External"/><Relationship Id="rId2944" Type="http://schemas.openxmlformats.org/officeDocument/2006/relationships/hyperlink" Target="https://akizukidenshi.com/catalog/g/gC-00085/" TargetMode="External"/><Relationship Id="rId5003" Type="http://schemas.openxmlformats.org/officeDocument/2006/relationships/hyperlink" Target="https://www.mouser.com/ProductDetail/KYOCERA-AVX/08055F104K4T2A?qs=1X9trZCrWl23znWK%252BCj%252B7g%3D%3D" TargetMode="External"/><Relationship Id="rId5210" Type="http://schemas.openxmlformats.org/officeDocument/2006/relationships/hyperlink" Target="https://jp.misumi-ec.com/vona2/detail/110302695910/?HissuCode=ACA-400-400-8&amp;list=PageCategory" TargetMode="External"/><Relationship Id="rId709" Type="http://schemas.openxmlformats.org/officeDocument/2006/relationships/hyperlink" Target="http://akizukidenshi.com/catalog/g/gM-13200/" TargetMode="External"/><Relationship Id="rId916" Type="http://schemas.openxmlformats.org/officeDocument/2006/relationships/hyperlink" Target="https://jp.rs-online.com/web/p/4-mm-connector-test-leads/3433425/" TargetMode="External"/><Relationship Id="rId1546" Type="http://schemas.openxmlformats.org/officeDocument/2006/relationships/hyperlink" Target="https://www.digikey.jp/product-detail/en/bourns-inc/MF-MSMF200-2/MF-MSMF200-2CT-ND/662850" TargetMode="External"/><Relationship Id="rId1753" Type="http://schemas.openxmlformats.org/officeDocument/2006/relationships/hyperlink" Target="https://www.digikey.jp/products/en?keywords=WM8301CT-ND" TargetMode="External"/><Relationship Id="rId1960" Type="http://schemas.openxmlformats.org/officeDocument/2006/relationships/hyperlink" Target="https://www.htkazshop.com/SHOP/HTK_101911.html" TargetMode="External"/><Relationship Id="rId2804" Type="http://schemas.openxmlformats.org/officeDocument/2006/relationships/hyperlink" Target="https://www.digikey.jp/product-detail/en/jst-sales-america-inc/SPHD-001T-P0-5/455-1325-1-ND/608808" TargetMode="External"/><Relationship Id="rId45" Type="http://schemas.openxmlformats.org/officeDocument/2006/relationships/hyperlink" Target="https://jp.misumi-ec.com/vona2/detail/110302280540/?HissuCode=CBSTSR&amp;PNSearch=CBSTSR&amp;KWSearch=CBSTSR&amp;searchFlow=results2products" TargetMode="External"/><Relationship Id="rId1406" Type="http://schemas.openxmlformats.org/officeDocument/2006/relationships/hyperlink" Target="https://www.digikey.jp/product-detail/en/koa-speer-electronics-inc/RK73H2ATTD10R0F/2019-RK73H2ATTD10R0FCT-ND/10234529" TargetMode="External"/><Relationship Id="rId1613" Type="http://schemas.openxmlformats.org/officeDocument/2006/relationships/hyperlink" Target="https://www.amazon.co.jp/dp/B078D674SY/ref=sr_1_12?keywords=%E5%A4%96%E4%BB%98%E3%81%91%EF%BD%88dd&amp;qid=1580885577&amp;refinements=p_72%3A2150400051%2Cp_n_feature_browse-bin%3A2180333051&amp;rnid=2180328051&amp;s=computers&amp;sr=1-12" TargetMode="External"/><Relationship Id="rId1820" Type="http://schemas.openxmlformats.org/officeDocument/2006/relationships/hyperlink" Target="https://www.digikey.jp/products/en?keywords=MCP602T-I%2FSNCT-ND" TargetMode="External"/><Relationship Id="rId4769" Type="http://schemas.openxmlformats.org/officeDocument/2006/relationships/hyperlink" Target="https://www.digikey.jp/ja/products/detail/texas-instruments/DAC8563TDGST/5823565" TargetMode="External"/><Relationship Id="rId4976" Type="http://schemas.openxmlformats.org/officeDocument/2006/relationships/hyperlink" Target="https://www.amazon.co.jp/-/en/Raspberry-Model-4GB-Pi-Technical/dp/B081YD3VL5/ref=sr_1_9?crid=1PFVYW3NV4XGG&amp;keywords=raspberry+pi+4&amp;qid=1669331814&amp;qu=eyJxc2MiOiI2LjA4IiwicXNhIjoiNS44NyIsInFzcCI6IjUuNTIifQ%3D%3D&amp;sprefix=raspb%2Caps%2C591&amp;sr=8-9" TargetMode="External"/><Relationship Id="rId3578" Type="http://schemas.openxmlformats.org/officeDocument/2006/relationships/hyperlink" Target="https://www.mouser.jp/ProductDetail/Samtec/MTSW-126-08-G-D-340?qs=%2Fha2pyFaduhPnpKZm7qeLBYzPbDAW7pS%2FactvKEZsKevQo91oRxs%2FKzsBX8By%252BUO" TargetMode="External"/><Relationship Id="rId3785" Type="http://schemas.openxmlformats.org/officeDocument/2006/relationships/hyperlink" Target="https://www.thorlabs.com/thorproduct.cfm?partnumber=SM1L05" TargetMode="External"/><Relationship Id="rId3992" Type="http://schemas.openxmlformats.org/officeDocument/2006/relationships/hyperlink" Target="https://www.digikey.jp/product-detail/ja/taiyo-yuden/JMK212BJ226MG-T/587-1305-1-ND/931082" TargetMode="External"/><Relationship Id="rId4629" Type="http://schemas.openxmlformats.org/officeDocument/2006/relationships/hyperlink" Target="https://www.minicircuits.com/WebStore/dashboard.html?model=NCS1.5-232%2B" TargetMode="External"/><Relationship Id="rId4836" Type="http://schemas.openxmlformats.org/officeDocument/2006/relationships/hyperlink" Target="https://jp.misumi-ec.com/vona2/detail/110300465870/?list=PageCategory" TargetMode="External"/><Relationship Id="rId499" Type="http://schemas.openxmlformats.org/officeDocument/2006/relationships/hyperlink" Target="https://jp.rs-online.com/web/p/surface-mount-fixed-resistors/0432450/?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130334A267374613D524B37334232415454443130334A26&amp;searchHistory=%7B%22enabled%22%3Atrue%7D" TargetMode="External"/><Relationship Id="rId2387" Type="http://schemas.openxmlformats.org/officeDocument/2006/relationships/hyperlink" Target="https://jp.misumi-ec.com/vona2/detail/221000768107/?CategorySpec=00000217160%3a%3aa%0900000217157%3a%3aa%0900000217161%3a%3aa%0900000217156%3a%3amig00000002477241%0900000217153%3a%3ad" TargetMode="External"/><Relationship Id="rId2594" Type="http://schemas.openxmlformats.org/officeDocument/2006/relationships/hyperlink" Target="https://www.digikey.jp/product-detail/en/ndk-america-inc/NX5032GA-16.000000MHZ-LN-CD-1/644-1037-1-ND/1128909" TargetMode="External"/><Relationship Id="rId3438" Type="http://schemas.openxmlformats.org/officeDocument/2006/relationships/hyperlink" Target="https://www.digikey.jp/products/ja?keywords=J717-ND" TargetMode="External"/><Relationship Id="rId3645" Type="http://schemas.openxmlformats.org/officeDocument/2006/relationships/hyperlink" Target="https://jp.rs-online.com/web/p/digital-isolators/8406689" TargetMode="External"/><Relationship Id="rId3852" Type="http://schemas.openxmlformats.org/officeDocument/2006/relationships/hyperlink" Target="https://jp.misumi-ec.com/vona2/detail/221006204478/?HissuCode=C-302-5&amp;PNSearch=C-302-5&amp;KWSearch=C-302-5&amp;searchFlow=results2products" TargetMode="External"/><Relationship Id="rId359" Type="http://schemas.openxmlformats.org/officeDocument/2006/relationships/hyperlink" Target="https://www.digikey.jp/product-detail/ja/siretta-ltd/ADAPT-MMCXF-SMAM/ADAPT-MMCXF-SMAM-ND/6573010" TargetMode="External"/><Relationship Id="rId566" Type="http://schemas.openxmlformats.org/officeDocument/2006/relationships/hyperlink" Target="https://www.digikey.jp/product-detail/en/kemet/C0603C151J5GACTU/399-1063-1-ND/411338" TargetMode="External"/><Relationship Id="rId773" Type="http://schemas.openxmlformats.org/officeDocument/2006/relationships/hyperlink" Target="https://www.digikey.jp/products/ja?keywords=DTC144EKAT146CT-ND" TargetMode="External"/><Relationship Id="rId1196" Type="http://schemas.openxmlformats.org/officeDocument/2006/relationships/hyperlink" Target="https://jp.misumi-ec.com/vona2/detail/221000233430/?HissuCode=SWAJ-3-F&amp;PNSearch=SWAJ-3-F&amp;KWSearch=SWAJ-3-F&amp;searchFlow=results2products" TargetMode="External"/><Relationship Id="rId2247" Type="http://schemas.openxmlformats.org/officeDocument/2006/relationships/hyperlink" Target="http://akizukidenshi.com/catalog/g/gP-06554/" TargetMode="External"/><Relationship Id="rId2454" Type="http://schemas.openxmlformats.org/officeDocument/2006/relationships/hyperlink" Target="https://jp.misumi-ec.com/vona2/detail/223005236250/?CategorySpec=00000018242%3a%3amig00000002469747%0900000018243%3a%3amig00000002463011%0900000018249%3a%3ae" TargetMode="External"/><Relationship Id="rId3505" Type="http://schemas.openxmlformats.org/officeDocument/2006/relationships/hyperlink" Target="https://akizukidenshi.com/catalog/g/gP-08012/" TargetMode="External"/><Relationship Id="rId4903" Type="http://schemas.openxmlformats.org/officeDocument/2006/relationships/hyperlink" Target="https://jp.misumi-ec.com/vona2/detail/110302280540/?PNSearch=CBSTSR2-5&amp;HissuCode=CBSTSR2-5&amp;searchFlow=suggest2products&amp;Keyword=CBSTSR2-5&amp;list=SuggestPreview" TargetMode="External"/><Relationship Id="rId219" Type="http://schemas.openxmlformats.org/officeDocument/2006/relationships/hyperlink" Target="https://www.p-ban.com/kiban/com/csComTop.do" TargetMode="External"/><Relationship Id="rId426" Type="http://schemas.openxmlformats.org/officeDocument/2006/relationships/hyperlink" Target="https://www.digikey.jp/product-detail/en/murata-electronics-north-america/LQP03TG0N2B02D/490-10539-1-ND/5026483" TargetMode="External"/><Relationship Id="rId633" Type="http://schemas.openxmlformats.org/officeDocument/2006/relationships/hyperlink" Target="https://www.monotaro.com/g/04137277/" TargetMode="External"/><Relationship Id="rId980" Type="http://schemas.openxmlformats.org/officeDocument/2006/relationships/hyperlink" Target="https://jp.misumi-ec.com/vona2/detail/221000348314/?ProductCode=SNSS-M1.6X5" TargetMode="External"/><Relationship Id="rId1056" Type="http://schemas.openxmlformats.org/officeDocument/2006/relationships/hyperlink" Target="https://www.digikey.jp/product-detail/en/tdk-corporation/MLZ2012M100WT000/445-6396-1-ND/2465722" TargetMode="External"/><Relationship Id="rId1263" Type="http://schemas.openxmlformats.org/officeDocument/2006/relationships/hyperlink" Target="http://cureuv.com/" TargetMode="External"/><Relationship Id="rId2107" Type="http://schemas.openxmlformats.org/officeDocument/2006/relationships/hyperlink" Target="https://jp.misumi-ec.com/vona2/detail/221006204478/?HissuCode=C-2002.5&amp;PNSearch=C-2002.5&amp;KWSearch=C-2002.5&amp;searchFlow=results2products" TargetMode="External"/><Relationship Id="rId2314" Type="http://schemas.openxmlformats.org/officeDocument/2006/relationships/hyperlink" Target="https://jp.rs-online.com/web/p/cartridge-fuses/0262699/" TargetMode="External"/><Relationship Id="rId2661" Type="http://schemas.openxmlformats.org/officeDocument/2006/relationships/hyperlink" Target="https://www.mouser.jp/ProductDetail/KEMET/C0603C102J3GACTU?qs=%2Fha2pyFadugh8U7pV%252BrBGsPwj7C57jvQ4yiudaKpXN22JEGYigSgGA%3D%3D" TargetMode="External"/><Relationship Id="rId3712" Type="http://schemas.openxmlformats.org/officeDocument/2006/relationships/hyperlink" Target="https://www.avnet.com/shop/japan/products/te-connectivity/orwh-sh-105d1f000-3074457345644087374?CMP=JAPAN_FindChips_inventoryfeed_VSE" TargetMode="External"/><Relationship Id="rId840" Type="http://schemas.openxmlformats.org/officeDocument/2006/relationships/hyperlink" Target="https://www.monotaro.com/g/00262524/?t.q=TS100-100-05" TargetMode="External"/><Relationship Id="rId1470" Type="http://schemas.openxmlformats.org/officeDocument/2006/relationships/hyperlink" Target="https://www.minicircuits.com/WebStore/dashboard.html?model=ADP-2-1W%2B" TargetMode="External"/><Relationship Id="rId2521" Type="http://schemas.openxmlformats.org/officeDocument/2006/relationships/hyperlink" Target="https://jp.misumi-ec.com/vona2/detail/110300239250/?HissuCode=SCB3-14&amp;PNSearch=SCB3-14&amp;KWSearch=SCB3-14&amp;searchFlow=results2products" TargetMode="External"/><Relationship Id="rId4279" Type="http://schemas.openxmlformats.org/officeDocument/2006/relationships/hyperlink" Target="https://www.digikey.jp/ja/products/detail/amphenol-icc-fci/20021121-00004C4LF/2209052" TargetMode="External"/><Relationship Id="rId700" Type="http://schemas.openxmlformats.org/officeDocument/2006/relationships/hyperlink" Target="https://www.digikey.jp/product-detail/en/vishay-siliconix/SQ1912EH-T1_GE3/SQ1912EH-T1_GE3CT-ND/6709020" TargetMode="External"/><Relationship Id="rId1123" Type="http://schemas.openxmlformats.org/officeDocument/2006/relationships/hyperlink" Target="https://www.digikey.jp/products/ja?keywords=ARF1725CT-ND" TargetMode="External"/><Relationship Id="rId1330" Type="http://schemas.openxmlformats.org/officeDocument/2006/relationships/hyperlink" Target="https://www.amazon.co.jp/gp/product/B011QQJ034/ref=ppx_yo_dt_b_asin_title_o01_s00?ie=UTF8&amp;psc=1" TargetMode="External"/><Relationship Id="rId3088" Type="http://schemas.openxmlformats.org/officeDocument/2006/relationships/hyperlink" Target="https://jp.misumi-ec.com/vona2/detail/110302280540/?ProductCode=CBSTSR2-6" TargetMode="External"/><Relationship Id="rId4486" Type="http://schemas.openxmlformats.org/officeDocument/2006/relationships/hyperlink" Target="https://www.&#12461;&#12521;&#12513;&#12483;&#12463;.com/furoshiki/youto/kinen.html" TargetMode="External"/><Relationship Id="rId4693" Type="http://schemas.openxmlformats.org/officeDocument/2006/relationships/hyperlink" Target="https://www.mouser.jp/ProductDetail/KEMET/C0805C821J5GACAUTO?qs=2FIyTMJ0hNlfxj9XmdZioA%3D%3D" TargetMode="External"/><Relationship Id="rId3295" Type="http://schemas.openxmlformats.org/officeDocument/2006/relationships/hyperlink" Target="https://www.digikey.jp/product-detail/en/m-a-com-technology-solutions/MABA-010245-CT1160/1465-1309-1-ND/4430006" TargetMode="External"/><Relationship Id="rId4139" Type="http://schemas.openxmlformats.org/officeDocument/2006/relationships/hyperlink" Target="https://www.amazon.co.jp/%E3%82%B5%E3%83%B3%E3%83%AF%E3%83%80%E3%82%A4%E3%83%AC%E3%82%AF%E3%83%88-%E3%83%AA%E3%83%94%E3%83%BC%E3%82%BF%E3%83%BC%E3%82%B1%E3%83%BC%E3%83%96%E3%83%AB-%E3%82%A2%E3%82%AF%E3%83%86%E3%82%A3%E3%83%96%E3%82%BF%E3%82%A4%E3%83%97-%E3%80%903%E6%9C%AC%E3%83%BB%E6%9C%80%E5%A4%A717m%E3%81%BE%E3%81%A7%E9%80%A3%E7%B5%90%E5%8F%AF%E8%83%BD%E3%80%91-500-USB046/dp/B06ZYHGJVD/ref=asc_df_B06ZYHGJVD/?tag=jpgo-22&amp;linkCode=df0&amp;hvadid=218199660915&amp;hvpos=&amp;hvnetw=g&amp;hvrand=15897748411850871988&amp;hvpone=&amp;hvptwo=&amp;hvqmt=&amp;hvdev=c&amp;hvdvcmdl=&amp;hvlocint=&amp;hvlocphy=1009721&amp;hvtargid=pla-441921116876&amp;psc=1" TargetMode="External"/><Relationship Id="rId4346" Type="http://schemas.openxmlformats.org/officeDocument/2006/relationships/hyperlink" Target="https://www.digikey.jp/ja/products/detail/texas-instruments/DAC8563TDGST/5823565?s=N4IgTCBcDa4JwDYC0AWAzAdgIxqWJAcgCIgC6AvkA" TargetMode="External"/><Relationship Id="rId4553" Type="http://schemas.openxmlformats.org/officeDocument/2006/relationships/hyperlink" Target="https://www.monotaro.com/g/01410555/?t.q=STP&#12465;&#12540;&#12502;&#12523;" TargetMode="External"/><Relationship Id="rId4760" Type="http://schemas.openxmlformats.org/officeDocument/2006/relationships/hyperlink" Target="https://www.monotaro.com/p/6899/4458/" TargetMode="External"/><Relationship Id="rId3155" Type="http://schemas.openxmlformats.org/officeDocument/2006/relationships/hyperlink" Target="https://www.digikey.jp/product-detail/en/molex/0510210200/WM1720-ND/242842" TargetMode="External"/><Relationship Id="rId3362" Type="http://schemas.openxmlformats.org/officeDocument/2006/relationships/hyperlink" Target="https://akizukidenshi.com/catalog/g/gP-12674/" TargetMode="External"/><Relationship Id="rId4206" Type="http://schemas.openxmlformats.org/officeDocument/2006/relationships/hyperlink" Target="https://www.mouser.jp/ProductDetail/ROHM-Semiconductor/DTC144EKAT146?qs=%2Fha2pyFaduhXzWgNxtpZMuFObLCOFdKp8kpvNyrHI1M%3D" TargetMode="External"/><Relationship Id="rId4413" Type="http://schemas.openxmlformats.org/officeDocument/2006/relationships/hyperlink" Target="https://www.digikey.jp/en/products/detail/pomona-electronics/5266-C-60/737215" TargetMode="External"/><Relationship Id="rId4620" Type="http://schemas.openxmlformats.org/officeDocument/2006/relationships/hyperlink" Target="https://www.digikey.jp/en/products/detail/rf-solutions/CBA-UFLSMA20/5845801" TargetMode="External"/><Relationship Id="rId283" Type="http://schemas.openxmlformats.org/officeDocument/2006/relationships/hyperlink" Target="https://www.digikey.jp/product-detail/ja/vishay-vitramon/VJ0805A100JXAAC/720-1699-1-ND/8324119" TargetMode="External"/><Relationship Id="rId490" Type="http://schemas.openxmlformats.org/officeDocument/2006/relationships/hyperlink" Target="https://www.digikey.jp/product-detail/ja/murata-electronics-north-america/GRM21B7U1A104JA01L/490-11592-1-ND/5333432" TargetMode="External"/><Relationship Id="rId2171" Type="http://schemas.openxmlformats.org/officeDocument/2006/relationships/hyperlink" Target="https://www.monotaro.com/p/0552/6132/?t.q=%98Z%8Ap%20%8EM%81%40M6" TargetMode="External"/><Relationship Id="rId3015" Type="http://schemas.openxmlformats.org/officeDocument/2006/relationships/hyperlink" Target="https://www.digikey.jp/product-detail/en/linx-technologies-inc/CONSMA007-R178/CONSMA007-R178-ND/1577217" TargetMode="External"/><Relationship Id="rId3222" Type="http://schemas.openxmlformats.org/officeDocument/2006/relationships/hyperlink" Target="https://www.newcosmos-global.com/product/2150/" TargetMode="External"/><Relationship Id="rId143" Type="http://schemas.openxmlformats.org/officeDocument/2006/relationships/hyperlink" Target="https://jp.rs-online.com/web/p/products/7347066/" TargetMode="External"/><Relationship Id="rId350" Type="http://schemas.openxmlformats.org/officeDocument/2006/relationships/hyperlink" Target="https://www.digikey.jp/product-detail/ja/microchip-technology/ATMEGA644PV-10AU/ATMEGA644PV-10AU-ND/1245867" TargetMode="External"/><Relationship Id="rId2031" Type="http://schemas.openxmlformats.org/officeDocument/2006/relationships/hyperlink" Target="https://www.digikey.jp/product-detail/ja/hirose-electric-co-ltd/U-FL-2LP-062N1D-AC-50/H122288-ND/4867030" TargetMode="External"/><Relationship Id="rId5187" Type="http://schemas.openxmlformats.org/officeDocument/2006/relationships/hyperlink" Target="https://www.aliexpress.com/item/1005002458403019.html?spm=a2g0o.cart.0.0.1f2838daYtGEdT&amp;mp=1" TargetMode="External"/><Relationship Id="rId9" Type="http://schemas.openxmlformats.org/officeDocument/2006/relationships/hyperlink" Target="https://www.monotaro.com/p/0705/7985/" TargetMode="External"/><Relationship Id="rId210" Type="http://schemas.openxmlformats.org/officeDocument/2006/relationships/hyperlink" Target="https://www.monotaro.com/g/00261084/?monotaroNo=34933543" TargetMode="External"/><Relationship Id="rId2988" Type="http://schemas.openxmlformats.org/officeDocument/2006/relationships/hyperlink" Target="https://www.digikey.jp/product-detail/ja/yageo/CC0402MRX7R7BB103/311-3822-1-ND/8024911" TargetMode="External"/><Relationship Id="rId5047" Type="http://schemas.openxmlformats.org/officeDocument/2006/relationships/hyperlink" Target="https://www.mouser.jp/ProductDetail/Samtec/TFM-107-02-L-D-DS?qs=PB6%2FjmICvI1IZhMdb7bxyw%3D%3D" TargetMode="External"/><Relationship Id="rId5254" Type="http://schemas.openxmlformats.org/officeDocument/2006/relationships/hyperlink" Target="https://www.monotaro.com/g/04137277/?displayId=20" TargetMode="External"/><Relationship Id="rId1797" Type="http://schemas.openxmlformats.org/officeDocument/2006/relationships/hyperlink" Target="https://www.digikey.jp/products/ja?keywords=576-4764-1-ND" TargetMode="External"/><Relationship Id="rId2848" Type="http://schemas.openxmlformats.org/officeDocument/2006/relationships/hyperlink" Target="https://jp.misumi-ec.com/vona2/detail/110302696610/?ProductCode=EPXA-160-120-20" TargetMode="External"/><Relationship Id="rId89" Type="http://schemas.openxmlformats.org/officeDocument/2006/relationships/hyperlink" Target="https://www.digikey.jp/product-detail/en/abracon-llc/ABLS-16.000MHZ-B4-T/535-10226-1-ND/2184261?cur=JPY&amp;lang=en" TargetMode="External"/><Relationship Id="rId1657" Type="http://schemas.openxmlformats.org/officeDocument/2006/relationships/hyperlink" Target="http://akizukidenshi.com/catalog/g/gC-09580/" TargetMode="External"/><Relationship Id="rId1864" Type="http://schemas.openxmlformats.org/officeDocument/2006/relationships/hyperlink" Target="https://jp.rs-online.com/web/p/programmable-oscillators/5062227/" TargetMode="External"/><Relationship Id="rId2708" Type="http://schemas.openxmlformats.org/officeDocument/2006/relationships/hyperlink" Target="https://www.amazon.co.jp/Arduino-Rev3-ATmega328-%E3%83%9E%E3%82%A4%E3%82%B3%E3%83%B3%E3%83%9C%E3%83%BC%E3%83%89-A000066/dp/B008GRTSV6" TargetMode="External"/><Relationship Id="rId2915" Type="http://schemas.openxmlformats.org/officeDocument/2006/relationships/hyperlink" Target="https://jp.rs-online.com/web/p/low-dropout-voltage-regulators/6606733/" TargetMode="External"/><Relationship Id="rId4063" Type="http://schemas.openxmlformats.org/officeDocument/2006/relationships/hyperlink" Target="https://www.mouser.jp/ProductDetail/FTDI/TTL-234X-3V3?qs=sGAEpiMZZMv0NwlthflBiwamWFKfoC79RqkGSMFc4hs%3D" TargetMode="External"/><Relationship Id="rId4270" Type="http://schemas.openxmlformats.org/officeDocument/2006/relationships/hyperlink" Target="https://www.digikey.jp/ja/products/detail/jst-sales-america-inc/SPHD-001T-P0-5/608766" TargetMode="External"/><Relationship Id="rId5114" Type="http://schemas.openxmlformats.org/officeDocument/2006/relationships/hyperlink" Target="https://akizukidenshi.com/catalog/g/gP-11090/" TargetMode="External"/><Relationship Id="rId5321" Type="http://schemas.openxmlformats.org/officeDocument/2006/relationships/hyperlink" Target="https://www.digikey.jp/en/products/detail/rohm-semiconductor/DTC144EKAT146/650533" TargetMode="External"/><Relationship Id="rId1517" Type="http://schemas.openxmlformats.org/officeDocument/2006/relationships/hyperlink" Target="https://www.mouser.jp/ProductDetail/Phoenix-Contact/1403933?qs=sGAEpiMZZMv%2F60yVGPe5wLKgAJi3UG21JCGwxFffqgWf%2FEWJtALkWA%3D%3D" TargetMode="External"/><Relationship Id="rId1724" Type="http://schemas.openxmlformats.org/officeDocument/2006/relationships/hyperlink" Target="https://www.amazon.co.jp/Amazon%E3%83%99%E3%83%BC%E3%82%B7%E3%83%83%E3%82%AF-AmazonBasics-B001TH7GUU-MaParent-USB2-0%E5%BB%B6%E9%95%B7%E3%82%B1%E3%83%BC%E3%83%96%E3%83%AB-A%E3%82%AA%E3%82%B9-A%E3%83%A1%E3%82%B9/dp/B00NH136GE/ref=sr_1_4?crid=33YWGWBSYM8SS&amp;dchild=1&amp;ie=UTF8&amp;keywords=usb%2Bmale%2Bto%2Bfemale%2Bcable&amp;language=en_US&amp;qid=1589777267&amp;sprefix=usb%2Bmale%2Caps%2C263&amp;sr=8-4&amp;th=1" TargetMode="External"/><Relationship Id="rId4130" Type="http://schemas.openxmlformats.org/officeDocument/2006/relationships/hyperlink" Target="https://www.digikey.jp/product-detail/ja/samtec-inc/TSW-105-08-F-D/SAM10850-ND/2685915" TargetMode="External"/><Relationship Id="rId16" Type="http://schemas.openxmlformats.org/officeDocument/2006/relationships/hyperlink" Target="https://jp.rs-online.com/web/p/surface-mount-fixed-resistors/5204572/?sra=pstk" TargetMode="External"/><Relationship Id="rId1931" Type="http://schemas.openxmlformats.org/officeDocument/2006/relationships/hyperlink" Target="https://www.digikey.jp/products/ja?keywords=36-112CT-ND" TargetMode="External"/><Relationship Id="rId3689" Type="http://schemas.openxmlformats.org/officeDocument/2006/relationships/hyperlink" Target="https://www.digikey.jp/product-detail/en/altech-corporation/34-102/1920-1323-ND/8547113" TargetMode="External"/><Relationship Id="rId3896" Type="http://schemas.openxmlformats.org/officeDocument/2006/relationships/hyperlink" Target="https://hirosugi.co.jp/products/U/UUW-H_UW.html" TargetMode="External"/><Relationship Id="rId2498" Type="http://schemas.openxmlformats.org/officeDocument/2006/relationships/hyperlink" Target="https://jp.misumi-ec.com/vona2/detail/221000349089/?HissuCode=SSH-M2X6-EL" TargetMode="External"/><Relationship Id="rId3549" Type="http://schemas.openxmlformats.org/officeDocument/2006/relationships/hyperlink" Target="https://www.mouser.jp/ProductDetail/Panasonic/ERJ-6GEYJ201V?qs=gybxhQrZOyE5aV2UuZiNdQ%3D%3D" TargetMode="External"/><Relationship Id="rId4947" Type="http://schemas.openxmlformats.org/officeDocument/2006/relationships/hyperlink" Target="https://jp.misumi-ec.com/vona2/detail/221000551286/?HissuCode=CSH-SUS-M3-7" TargetMode="External"/><Relationship Id="rId677" Type="http://schemas.openxmlformats.org/officeDocument/2006/relationships/hyperlink" Target="https://www.p-ban.com/kiban/com/csComTop.do" TargetMode="External"/><Relationship Id="rId2358" Type="http://schemas.openxmlformats.org/officeDocument/2006/relationships/hyperlink" Target="https://hirosugi.co.jp/products/POM/C.html" TargetMode="External"/><Relationship Id="rId3756" Type="http://schemas.openxmlformats.org/officeDocument/2006/relationships/hyperlink" Target="https://www.digikey.jp/product-detail/en/BOB-13655/1568-1123-ND/5528943?itemSeq=372569991" TargetMode="External"/><Relationship Id="rId3963" Type="http://schemas.openxmlformats.org/officeDocument/2006/relationships/hyperlink" Target="https://jp.misumi-ec.com/vona2/detail/221006204478/?PNSearch=C-317.5&amp;HissuCode=C-317.5&amp;searchFlow=suggesthistory&amp;Keyword=C-317.5&amp;list=SuggestPreview" TargetMode="External"/><Relationship Id="rId4807" Type="http://schemas.openxmlformats.org/officeDocument/2006/relationships/hyperlink" Target="http://www.westercom.co.jp/" TargetMode="External"/><Relationship Id="rId884" Type="http://schemas.openxmlformats.org/officeDocument/2006/relationships/hyperlink" Target="https://jp.rs-online.com/web/p/mlccs-multilayer-ceramic-capacitors/9038720/" TargetMode="External"/><Relationship Id="rId2565" Type="http://schemas.openxmlformats.org/officeDocument/2006/relationships/hyperlink" Target="https://www.digikey.jp/product-detail/ja/texas-instruments/ADS8353IPWR/296-38533-6-ND/5033934" TargetMode="External"/><Relationship Id="rId2772" Type="http://schemas.openxmlformats.org/officeDocument/2006/relationships/hyperlink" Target="https://www.monotaro.com/p/3759/7061/" TargetMode="External"/><Relationship Id="rId3409" Type="http://schemas.openxmlformats.org/officeDocument/2006/relationships/hyperlink" Target="https://www.digikey.jp/product-detail/en/assmann-wsw-components/A-DS-09-LL-Z/AE10972-ND/1241781" TargetMode="External"/><Relationship Id="rId3616" Type="http://schemas.openxmlformats.org/officeDocument/2006/relationships/hyperlink" Target="https://jp.rs-online.com/web/p/op-amps/8122543" TargetMode="External"/><Relationship Id="rId3823" Type="http://schemas.openxmlformats.org/officeDocument/2006/relationships/hyperlink" Target="https://www.monotaro.com/p/3484/5081" TargetMode="External"/><Relationship Id="rId537" Type="http://schemas.openxmlformats.org/officeDocument/2006/relationships/hyperlink" Target="https://www.digikey.jp/product-detail/en/nexperia-usa-inc/PDTC144EU115/1727-5140-1-ND/2531726" TargetMode="External"/><Relationship Id="rId744" Type="http://schemas.openxmlformats.org/officeDocument/2006/relationships/hyperlink" Target="https://www.digikey.jp/product-detail/ja/microchip-technology/PIC16F1789-I-MV/PIC16F1789-I-MV-ND/4080207" TargetMode="External"/><Relationship Id="rId951" Type="http://schemas.openxmlformats.org/officeDocument/2006/relationships/hyperlink" Target="https://www.monotaro.com/g/00401659/?t.mpn=40253071" TargetMode="External"/><Relationship Id="rId1167" Type="http://schemas.openxmlformats.org/officeDocument/2006/relationships/hyperlink" Target="https://jp.misumi-ec.com/vona2/detail/221000597545/?ProductCode=ES-M2-0.4-2D-SUS" TargetMode="External"/><Relationship Id="rId1374" Type="http://schemas.openxmlformats.org/officeDocument/2006/relationships/hyperlink" Target="http://akizukidenshi.com/catalog/g/gP-03471/" TargetMode="External"/><Relationship Id="rId1581" Type="http://schemas.openxmlformats.org/officeDocument/2006/relationships/hyperlink" Target="https://jp.misumi-ec.com/vona2/detail/221000551444/?KWSearch=%e6%a8%b9%e8%84%82%e3%83%9c%e3%83%ab%e3%83%88&amp;searchFlow=results2products" TargetMode="External"/><Relationship Id="rId2218" Type="http://schemas.openxmlformats.org/officeDocument/2006/relationships/hyperlink" Target="https://www.digikey.jp/product-detail/en/tdk-corporation/FG14X7R1H225KRT06/445-173138-1-ND/5811743" TargetMode="External"/><Relationship Id="rId2425" Type="http://schemas.openxmlformats.org/officeDocument/2006/relationships/hyperlink" Target="https://www.mouser.jp/ProductDetail/Molex/51021-0200?qs=pAYFZ4D%2FDKsBYwQVx44wuA==" TargetMode="External"/><Relationship Id="rId2632" Type="http://schemas.openxmlformats.org/officeDocument/2006/relationships/hyperlink" Target="https://www.jp.omega.com/pptst/KHRA-KHLVA-KHA-SERIES.html" TargetMode="External"/><Relationship Id="rId80" Type="http://schemas.openxmlformats.org/officeDocument/2006/relationships/hyperlink" Target="https://www.askul.co.jp/p/9445364/" TargetMode="External"/><Relationship Id="rId604" Type="http://schemas.openxmlformats.org/officeDocument/2006/relationships/hyperlink" Target="https://jp.misumi-ec.com/vona2/detail/110300523450/?HissuCode=UADS132&amp;PNSearch=UADS132&amp;KWSearch=UADS132&amp;searchFlow=results2products" TargetMode="External"/><Relationship Id="rId811" Type="http://schemas.openxmlformats.org/officeDocument/2006/relationships/hyperlink" Target="https://www.digikey.jp/product-detail/ja/wurth-electronics-inc/63911215521CAB/732-11802-ND/8324552" TargetMode="External"/><Relationship Id="rId1027" Type="http://schemas.openxmlformats.org/officeDocument/2006/relationships/hyperlink" Target="https://www.hamradio.com/invoice_int.cfm?oid=INTL-090319033745-4465&amp;email=p350945j@mail.kyutech.jp" TargetMode="External"/><Relationship Id="rId1234" Type="http://schemas.openxmlformats.org/officeDocument/2006/relationships/hyperlink" Target="https://www.digikey.jp/products/ja?keywords=490-14440-1-ND" TargetMode="External"/><Relationship Id="rId1441" Type="http://schemas.openxmlformats.org/officeDocument/2006/relationships/hyperlink" Target="https://www.digikey.jp/product-detail/en/texas-instruments/TPS61088RHLT/296-42129-1-ND/5267360" TargetMode="External"/><Relationship Id="rId4597" Type="http://schemas.openxmlformats.org/officeDocument/2006/relationships/hyperlink" Target="https://www.mouser.jp/ProductDetail/Nexperia/PDTA144EU115?qs=LOCUfHb8d9u6SURxYZKspA%3D%3D" TargetMode="External"/><Relationship Id="rId1301" Type="http://schemas.openxmlformats.org/officeDocument/2006/relationships/hyperlink" Target="https://www.monotaro.com/g/00243925/?t.q=UV" TargetMode="External"/><Relationship Id="rId3199" Type="http://schemas.openxmlformats.org/officeDocument/2006/relationships/hyperlink" Target="https://www.monotaro.com/p/3563/3841/?t.q=%93%BA%94%C20.5mm" TargetMode="External"/><Relationship Id="rId4457" Type="http://schemas.openxmlformats.org/officeDocument/2006/relationships/hyperlink" Target="https://jp.misumi-ec.com/vona2/detail/222000426705/" TargetMode="External"/><Relationship Id="rId4664" Type="http://schemas.openxmlformats.org/officeDocument/2006/relationships/hyperlink" Target="https://www.digikey.jp/product-detail/en/kemet/C0603C473J3RACTU/399-7929-1-ND/3471652" TargetMode="External"/><Relationship Id="rId3059" Type="http://schemas.openxmlformats.org/officeDocument/2006/relationships/hyperlink" Target="https://jp.misumi-ec.com/vona2/detail/221000551286/?ProductCode=CSH-SUSTAL-M3-12" TargetMode="External"/><Relationship Id="rId3266" Type="http://schemas.openxmlformats.org/officeDocument/2006/relationships/hyperlink" Target="https://www.digikey.jp/product-detail/ja/taiyo-yuden/UMK107ABJ105KAHT/587-3501-1-ND/4157264" TargetMode="External"/><Relationship Id="rId3473" Type="http://schemas.openxmlformats.org/officeDocument/2006/relationships/hyperlink" Target="https://www.digikey.jp/product-detail/en/ftdi-future-technology-devices-international-ltd/TTL-232R-3V3/768-1015-ND/1836393" TargetMode="External"/><Relationship Id="rId4317" Type="http://schemas.openxmlformats.org/officeDocument/2006/relationships/hyperlink" Target="https://www.digikey.jp/ja/products/detail/molex/0502128100/403528?s=N4IgTCBcDaIOoFkBsAGArCgtAOQCIgF0BfIA" TargetMode="External"/><Relationship Id="rId4524" Type="http://schemas.openxmlformats.org/officeDocument/2006/relationships/hyperlink" Target="https://www.p-ban.com/" TargetMode="External"/><Relationship Id="rId4871" Type="http://schemas.openxmlformats.org/officeDocument/2006/relationships/hyperlink" Target="https://www.monotaro.com/p/6105/4395/" TargetMode="External"/><Relationship Id="rId187" Type="http://schemas.openxmlformats.org/officeDocument/2006/relationships/hyperlink" Target="http://tospa.shop-pro.jp/?pid=9422394" TargetMode="External"/><Relationship Id="rId394" Type="http://schemas.openxmlformats.org/officeDocument/2006/relationships/hyperlink" Target="https://www.digikey.jp/product-detail/en/m-a-com-technology-solutions/MABA-010245-CT1160/1465-1309-1-ND/4430006" TargetMode="External"/><Relationship Id="rId2075" Type="http://schemas.openxmlformats.org/officeDocument/2006/relationships/hyperlink" Target="https://jp.misumi-ec.com/vona2/detail/221006493726/?rid=c14_keywsrchview_1_221006493726" TargetMode="External"/><Relationship Id="rId2282" Type="http://schemas.openxmlformats.org/officeDocument/2006/relationships/hyperlink" Target="https://www.digikey.jp/product-detail/ja/qualtek/3021069-01M/Q1117-ND/7795319" TargetMode="External"/><Relationship Id="rId3126" Type="http://schemas.openxmlformats.org/officeDocument/2006/relationships/hyperlink" Target="https://www.digikey.jp/product-detail/en/on-semiconductor/DTC144EET1G/DTC144EET1GOSCT-ND/917916" TargetMode="External"/><Relationship Id="rId3680" Type="http://schemas.openxmlformats.org/officeDocument/2006/relationships/hyperlink" Target="https://www.monotaro.com/p/3324/0313/?displayId=5" TargetMode="External"/><Relationship Id="rId4731" Type="http://schemas.openxmlformats.org/officeDocument/2006/relationships/hyperlink" Target="https://www.p-ban.com/kiban/com/csComShwOrd.do?summaryOrderNo=22062100138" TargetMode="External"/><Relationship Id="rId254" Type="http://schemas.openxmlformats.org/officeDocument/2006/relationships/hyperlink" Target="https://www.monotaro.com/p/7519/5355/" TargetMode="External"/><Relationship Id="rId1091" Type="http://schemas.openxmlformats.org/officeDocument/2006/relationships/hyperlink" Target="https://www.monotaro.com/p/2634/4578/?t.q=PSR-210154-00" TargetMode="External"/><Relationship Id="rId3333" Type="http://schemas.openxmlformats.org/officeDocument/2006/relationships/hyperlink" Target="https://www.digikey.jp/product-detail/en/amphenol-icc-fci/67997-206HLF/609-3234-ND/1878491" TargetMode="External"/><Relationship Id="rId3540" Type="http://schemas.openxmlformats.org/officeDocument/2006/relationships/hyperlink" Target="https://www.mouser.jp/ProductDetail/Murata-Electronics/GCM21BR91H104KA37L?qs=AgWb9queBCgEvfdz8pGcnQ%3D%3D" TargetMode="External"/><Relationship Id="rId5298" Type="http://schemas.openxmlformats.org/officeDocument/2006/relationships/hyperlink" Target="https://www.digikey.jp/en/products/detail/yageo/RC0603FR-07316KL/727153" TargetMode="External"/><Relationship Id="rId114" Type="http://schemas.openxmlformats.org/officeDocument/2006/relationships/hyperlink" Target="https://www.p-ban.com/kiban/com/csComTop.do" TargetMode="External"/><Relationship Id="rId461" Type="http://schemas.openxmlformats.org/officeDocument/2006/relationships/hyperlink" Target="https://jp.misumi-ec.com/vona2/detail/221006204478/?HissuCode=C-309-5&amp;PNSearch=C-309-5&amp;KWSearch=C-309-5&amp;searchFlow=results2products" TargetMode="External"/><Relationship Id="rId2142" Type="http://schemas.openxmlformats.org/officeDocument/2006/relationships/hyperlink" Target="https://jp.misumi-ec.com/vona2/detail/110302639730/?CategorySpec=00000216934%3a%3amig00000002473458%0900000216920%3a%3a80%2cmig00000002556862" TargetMode="External"/><Relationship Id="rId3400" Type="http://schemas.openxmlformats.org/officeDocument/2006/relationships/hyperlink" Target="https://www.monotaro.com/p/1998/2848/?t.q=%83L%83%80%83%8F%83C%83v%20s-200" TargetMode="External"/><Relationship Id="rId321" Type="http://schemas.openxmlformats.org/officeDocument/2006/relationships/hyperlink" Target="https://www.monotaro.com/p/3466/4646/" TargetMode="External"/><Relationship Id="rId2002" Type="http://schemas.openxmlformats.org/officeDocument/2006/relationships/hyperlink" Target="https://www.digikey.jp/product-detail/ja/te-connectivity-amp-connectors/1473005-4/A114851-ND/2187756" TargetMode="External"/><Relationship Id="rId2959" Type="http://schemas.openxmlformats.org/officeDocument/2006/relationships/hyperlink" Target="https://www.digikey.jp/product-detail/en/tdk-corporation/C1608X7S0J106M080AC/445-9104-1-ND/3661624" TargetMode="External"/><Relationship Id="rId5158" Type="http://schemas.openxmlformats.org/officeDocument/2006/relationships/hyperlink" Target="https://www.monotaro.com/p/6854/8365/?t.q=F-155" TargetMode="External"/><Relationship Id="rId5365" Type="http://schemas.openxmlformats.org/officeDocument/2006/relationships/hyperlink" Target="https://akizukidenshi.com/catalog/g/gP-06016/" TargetMode="External"/><Relationship Id="rId1768" Type="http://schemas.openxmlformats.org/officeDocument/2006/relationships/hyperlink" Target="https://www.digikey.jp/product-detail/en/koa-speer-electronics-inc/RK73B2ATTD103J/2019-RK73B2ATTD103JCT-ND/10238101" TargetMode="External"/><Relationship Id="rId2819" Type="http://schemas.openxmlformats.org/officeDocument/2006/relationships/hyperlink" Target="https://www.monotaro.com/g/00260582/?t.q=%83A%83%89%83%8B%83_%83C%83g" TargetMode="External"/><Relationship Id="rId4174" Type="http://schemas.openxmlformats.org/officeDocument/2006/relationships/hyperlink" Target="https://www.monotaro.com/p/8626/3415/" TargetMode="External"/><Relationship Id="rId4381" Type="http://schemas.openxmlformats.org/officeDocument/2006/relationships/hyperlink" Target="https://www.monotaro.com/p/2634/4072/?t.q=PSR-210153-12" TargetMode="External"/><Relationship Id="rId5018" Type="http://schemas.openxmlformats.org/officeDocument/2006/relationships/hyperlink" Target="https://www.mouser.com/ProductDetail/onsemi/NLX2G06AMUTCG?qs=Tr3lMbyRyKlVvyJq%2FOHW8g%3D%3D" TargetMode="External"/><Relationship Id="rId5225" Type="http://schemas.openxmlformats.org/officeDocument/2006/relationships/hyperlink" Target="https://jp.misumi-ec.com/vona2/detail/110300229450/?ProductCode=RDOA8-50" TargetMode="External"/><Relationship Id="rId1628" Type="http://schemas.openxmlformats.org/officeDocument/2006/relationships/hyperlink" Target="https://www.monotaro.com/p/3461/7283/" TargetMode="External"/><Relationship Id="rId1975" Type="http://schemas.openxmlformats.org/officeDocument/2006/relationships/hyperlink" Target="https://www.digikey.jp/product-detail/en/kemet/C0603C105K3PACTU/399-7846-1-ND/3471569" TargetMode="External"/><Relationship Id="rId3190" Type="http://schemas.openxmlformats.org/officeDocument/2006/relationships/hyperlink" Target="https://www.monotaro.com/p/3989/5109/" TargetMode="External"/><Relationship Id="rId4034" Type="http://schemas.openxmlformats.org/officeDocument/2006/relationships/hyperlink" Target="https://jp.misumi-ec.com/vona2/detail/221005172662/?list=PageSCate" TargetMode="External"/><Relationship Id="rId4241" Type="http://schemas.openxmlformats.org/officeDocument/2006/relationships/hyperlink" Target="https://www.digikey.jp/ja/products/detail/vishay-siliconix/SQ1922AEEH-T1-GE3/10273755" TargetMode="External"/><Relationship Id="rId1835" Type="http://schemas.openxmlformats.org/officeDocument/2006/relationships/hyperlink" Target="https://jp.rs-online.com/web/p/leds/7526877/" TargetMode="External"/><Relationship Id="rId3050" Type="http://schemas.openxmlformats.org/officeDocument/2006/relationships/hyperlink" Target="https://www.digikey.jp/products/ja?keywords=BA33DD0T" TargetMode="External"/><Relationship Id="rId4101" Type="http://schemas.openxmlformats.org/officeDocument/2006/relationships/hyperlink" Target="https://jp.misumi-ec.com/vona2/detail/221006204478/?ProductCode=C-305-5" TargetMode="External"/><Relationship Id="rId1902" Type="http://schemas.openxmlformats.org/officeDocument/2006/relationships/hyperlink" Target="https://www.marutsu.co.jp/pc/i/1244/" TargetMode="External"/><Relationship Id="rId3867" Type="http://schemas.openxmlformats.org/officeDocument/2006/relationships/hyperlink" Target="https://www.mouser.jp/ProductDetail/KEMET/C0805C821J5GACAUTO?qs=2FIyTMJ0hNlfxj9XmdZioA%3D%3D" TargetMode="External"/><Relationship Id="rId4918" Type="http://schemas.openxmlformats.org/officeDocument/2006/relationships/hyperlink" Target="https://www.monotaro.com/g/04907645/" TargetMode="External"/><Relationship Id="rId788" Type="http://schemas.openxmlformats.org/officeDocument/2006/relationships/hyperlink" Target="https://www.digikey.jp/product-detail/en/murata-electronics-north-america/GRM21BR60J107ME15L/490-13981-1-ND/6155811" TargetMode="External"/><Relationship Id="rId995" Type="http://schemas.openxmlformats.org/officeDocument/2006/relationships/hyperlink" Target="https://jp.rs-online.com/web/p/pcb-connector-housings/8201611/" TargetMode="External"/><Relationship Id="rId2469" Type="http://schemas.openxmlformats.org/officeDocument/2006/relationships/hyperlink" Target="https://www.digikey.jp/product-detail/ja/ecs-inc/ECS-250-18-23A-JGN-TR/XC2099CT-ND/5875583?enterprise=44" TargetMode="External"/><Relationship Id="rId2676" Type="http://schemas.openxmlformats.org/officeDocument/2006/relationships/hyperlink" Target="https://www.mouser.jp/ProductDetail/KOA-Speer/RK73B1JTTD105J?qs=%2Fha2pyFadugsLOWdTaAvHln3NHXM5SsqKeyD4JrRgwe0jBVXVjcrOg%3D%3D" TargetMode="External"/><Relationship Id="rId2883" Type="http://schemas.openxmlformats.org/officeDocument/2006/relationships/hyperlink" Target="https://www.uctronics.com/m2508zh02.html" TargetMode="External"/><Relationship Id="rId3727" Type="http://schemas.openxmlformats.org/officeDocument/2006/relationships/hyperlink" Target="https://jp.rs-online.com/web/p/temperature-humidity-sensor-ics/6864973/" TargetMode="External"/><Relationship Id="rId3934" Type="http://schemas.openxmlformats.org/officeDocument/2006/relationships/hyperlink" Target="https://www.digikey.jp/product-detail/ja/kemet/C0603C104K3RACTU/399-1281-1-ND/416057" TargetMode="External"/><Relationship Id="rId5082" Type="http://schemas.openxmlformats.org/officeDocument/2006/relationships/hyperlink" Target="https://jp.misumi-ec.com/vona2/detail/110302280540/?rid=c14_keywsrchview_5_110302280540&amp;list=HistoryViewedProducts" TargetMode="External"/><Relationship Id="rId648" Type="http://schemas.openxmlformats.org/officeDocument/2006/relationships/hyperlink" Target="https://www.digikey.jp/product-detail/en/cinch-connectivity-solutions-johnson/415-0029-006/J3706-ND/457093" TargetMode="External"/><Relationship Id="rId855" Type="http://schemas.openxmlformats.org/officeDocument/2006/relationships/hyperlink" Target="https://jp.rs-online.com/web/p/mosfets/1807965/" TargetMode="External"/><Relationship Id="rId1278" Type="http://schemas.openxmlformats.org/officeDocument/2006/relationships/hyperlink" Target="https://www.amazon.co.jp/ELEGOO-PLA-3D%E3%83%97%E3%83%AA%E3%83%B3%E3%82%BF%E3%83%BC%E3%83%95%E3%82%A3%E3%83%A9%E3%83%A1%E3%83%B3%E3%83%88%E5%AF%B8%E6%B3%95%E7%B2%BE%E5%BA%A6-0-03-kg%E3%82%B9%E3%83%97%E3%83%BC%E3%83%AB1-75/dp/B07K1QMLFW/ref=sr_1_1_sspa?__mk_ja_JP=%E3%82%AB%E3%82%BF%E3%82%AB%E3%83%8A&amp;crid=2VLF76VI7S5JD&amp;keywords=alunar+pla%E3%83%95%E3%82%A3%E3%83%A9%E3%83%A1%E3%83%B3%E3%83%88&amp;qid=1575457013&amp;s=industrial&amp;sprefix=ALUNAR+%2Cindustrial%2C228&amp;sr=1-1-spons&amp;psc=1&amp;spLa=ZW5jcnlwdGVkUXVhbGlmaWVyPUEzT1g5U1pYN0NMS0JSJmVuY3J5cHRlZElkPUEwNDIzMTUxMlpaUktNM1pNVzBONSZlbmNyeXB0ZWRBZElkPUFEQzZNWTIyV0tJQjYmd2lkZ2V0TmFtZT1zcF9hdGYmYWN0aW9uPWNsaWNrUmVkaXJlY3QmZG9Ob3RMb2dDbGljaz10cnVl" TargetMode="External"/><Relationship Id="rId1485" Type="http://schemas.openxmlformats.org/officeDocument/2006/relationships/hyperlink" Target="https://www.digikey.jp/product-detail/en/sullins-connector-solutions/PPPC022LJBN-RC/S5555-ND/776013" TargetMode="External"/><Relationship Id="rId1692" Type="http://schemas.openxmlformats.org/officeDocument/2006/relationships/hyperlink" Target="https://www.mouser.jp/ProductDetail/KOA-Speer/RK73H1HTTC5113F?qs=sGAEpiMZZMvdGkrng054t%252B7G6pGH31YovXT8PBYEvJ8%3D" TargetMode="External"/><Relationship Id="rId2329" Type="http://schemas.openxmlformats.org/officeDocument/2006/relationships/hyperlink" Target="https://www.monotaro.com/p/3880/5173/?t.q=POM-NC%2583V%2581%255B%2583g" TargetMode="External"/><Relationship Id="rId2536" Type="http://schemas.openxmlformats.org/officeDocument/2006/relationships/hyperlink" Target="https://jp.misumi-ec.com/vona2/detail/110302686450/?HissuCode=GFS6-3030-440&amp;PNSearch=GFS6-3030-440&amp;KWSearch=GFS6-3030-440&amp;searchFlow=results2products" TargetMode="External"/><Relationship Id="rId2743" Type="http://schemas.openxmlformats.org/officeDocument/2006/relationships/hyperlink" Target="https://jp.misumi-ec.com/vona2/detail/221000545975/?CategorySpec=00000216936%3a%3amig00000002462621%0900000216922%3a%3a6%2cmig00000002480569" TargetMode="External"/><Relationship Id="rId508" Type="http://schemas.openxmlformats.org/officeDocument/2006/relationships/hyperlink" Target="https://www.digikey.jp/product-detail/ja/stmicroelectronics/L3GD20HTR/497-13931-1-ND/4357644" TargetMode="External"/><Relationship Id="rId715" Type="http://schemas.openxmlformats.org/officeDocument/2006/relationships/hyperlink" Target="https://www.digikey.jp/product-detail/en/murata-electronics-north-america/GRM188C80E476ME05D/490-13244-1-ND/5877452" TargetMode="External"/><Relationship Id="rId922" Type="http://schemas.openxmlformats.org/officeDocument/2006/relationships/hyperlink" Target="https://www.digikey.jp/product-detail/ja/murata-electronics-north-america/GRM21BR60J107ME15L/490-13981-1-ND/6155811?cur=JPY&amp;lang=ja" TargetMode="External"/><Relationship Id="rId1138" Type="http://schemas.openxmlformats.org/officeDocument/2006/relationships/hyperlink" Target="https://www.digikey.jp/ja/supplier-centers/r/raspberry-pi" TargetMode="External"/><Relationship Id="rId1345" Type="http://schemas.openxmlformats.org/officeDocument/2006/relationships/hyperlink" Target="https://jp.misumi-ec.com/vona2/detail/110302685050/?CategorySpec=00000173432%3a%3amig00000002491549%0900000173392%3a%3ab&amp;clkid=clkid_list_template" TargetMode="External"/><Relationship Id="rId1552" Type="http://schemas.openxmlformats.org/officeDocument/2006/relationships/hyperlink" Target="https://www.mouser.jp/manufacturer/crowd-supply/" TargetMode="External"/><Relationship Id="rId2603" Type="http://schemas.openxmlformats.org/officeDocument/2006/relationships/hyperlink" Target="https://www.digikey.jp/product-detail/en/hirose-electric-co-ltd/A3C-4DA-2DSA-71/H10891-ND/1033019" TargetMode="External"/><Relationship Id="rId2950" Type="http://schemas.openxmlformats.org/officeDocument/2006/relationships/hyperlink" Target="https://www.digikey.jp/product-detail/en/CF14JT22K0/CF14JT22K0CT-ND/1830383/?itemSeq=349430602" TargetMode="External"/><Relationship Id="rId1205" Type="http://schemas.openxmlformats.org/officeDocument/2006/relationships/hyperlink" Target="https://www.digikey.jp/product-detail/ja/murata-electronics-north-america/GRM21BR60J107ME15L/490-13981-1-ND/6155811?cur=JPY&amp;lang=ja" TargetMode="External"/><Relationship Id="rId2810" Type="http://schemas.openxmlformats.org/officeDocument/2006/relationships/hyperlink" Target="https://jp.rs-online.com/web/p/coaxial-cable/0215441/" TargetMode="External"/><Relationship Id="rId4568" Type="http://schemas.openxmlformats.org/officeDocument/2006/relationships/hyperlink" Target="https://jp.misumi-ec.com/vona2/detail/110310148319/?HissuCode=SUS304-BPL-95-155&amp;PNSearch=SUS304-BPL-95-155&amp;KWSearch=SUS304-BPL-95-155&amp;searchFlow=results2products&amp;list=PageSearchResult" TargetMode="External"/><Relationship Id="rId51" Type="http://schemas.openxmlformats.org/officeDocument/2006/relationships/hyperlink" Target="https://www.nbk1560.com/products/specialscrew/nedzicom/lowsmallheadscrew/SLHS/" TargetMode="External"/><Relationship Id="rId1412" Type="http://schemas.openxmlformats.org/officeDocument/2006/relationships/hyperlink" Target="https://www.digikey.jp/product-detail/en/vishay-dale/CRCW0805200RFKEA/541-200CCT-ND/1180701" TargetMode="External"/><Relationship Id="rId3377" Type="http://schemas.openxmlformats.org/officeDocument/2006/relationships/hyperlink" Target="https://www.digikey.jp/product-detail/ja/ohmite/HVC0805T5004JET/HVC0805T5004JETCT-ND/2709641" TargetMode="External"/><Relationship Id="rId4775" Type="http://schemas.openxmlformats.org/officeDocument/2006/relationships/hyperlink" Target="https://jp.misumi-ec.com/vona2/detail/110300465710/?HissuCode=HNSQ3-3&amp;PNSearch=HNSQ3-3&amp;KWSearch=hnsq3-3&amp;searchFlow=results2products&amp;list=PageSearchResult" TargetMode="External"/><Relationship Id="rId4982" Type="http://schemas.openxmlformats.org/officeDocument/2006/relationships/hyperlink" Target="https://www.hamradio.com/cart.cfm" TargetMode="External"/><Relationship Id="rId298" Type="http://schemas.openxmlformats.org/officeDocument/2006/relationships/hyperlink" Target="https://www.digikey.jp/product-detail/ja/linear-technology-analog-devices/LTC3119EFE-PBF/LTC3119EFE-PBF-ND/6419500" TargetMode="External"/><Relationship Id="rId3584" Type="http://schemas.openxmlformats.org/officeDocument/2006/relationships/hyperlink" Target="https://www.digikey.jp/product-detail/ja/seeed-technology-co-ltd/113990755/1597-113990755-ND/10492213" TargetMode="External"/><Relationship Id="rId3791" Type="http://schemas.openxmlformats.org/officeDocument/2006/relationships/hyperlink" Target="https://www.amazon.co.jp/-/en/HD-TPA1U3-B-Compatible-Portable-Domestic-Manufacturer/dp/B07SKSVB84/ref=sr_1_8?dchild=1&amp;keywords=%E3%83%9D%E3%83%BC%E3%82%BF%E3%83%96%E3%83%ABHDD&amp;qid=1609139934&amp;sr=8-8" TargetMode="External"/><Relationship Id="rId4428" Type="http://schemas.openxmlformats.org/officeDocument/2006/relationships/hyperlink" Target="https://jp.misumi-ec.com/vona2/detail/110302280540/?HissuCode=CBSTSR2-10&amp;PNSearch=CBSTSR2-10&amp;KWSearch=CBSTSR2-10&amp;searchFlow=results2products&amp;list=PageSearchResult" TargetMode="External"/><Relationship Id="rId4635" Type="http://schemas.openxmlformats.org/officeDocument/2006/relationships/hyperlink" Target="https://jp.misumi-ec.com/vona2/detail/110302603510/?HissuCode=CBSS6-8" TargetMode="External"/><Relationship Id="rId4842" Type="http://schemas.openxmlformats.org/officeDocument/2006/relationships/hyperlink" Target="https://jp.rs-online.com/web/p/motor-driver-ics/0636384" TargetMode="External"/><Relationship Id="rId158" Type="http://schemas.openxmlformats.org/officeDocument/2006/relationships/hyperlink" Target="https://jp.rs-online.com/web/p/mosfet-transistors/5410806/" TargetMode="External"/><Relationship Id="rId2186" Type="http://schemas.openxmlformats.org/officeDocument/2006/relationships/hyperlink" Target="http://akizukidenshi.com/catalog/g/gP-13017/" TargetMode="External"/><Relationship Id="rId2393" Type="http://schemas.openxmlformats.org/officeDocument/2006/relationships/hyperlink" Target="https://www.digikey.jp/products/en?keywords=%09445-14486-1-ND" TargetMode="External"/><Relationship Id="rId3237" Type="http://schemas.openxmlformats.org/officeDocument/2006/relationships/hyperlink" Target="http://amazon.com/" TargetMode="External"/><Relationship Id="rId3444" Type="http://schemas.openxmlformats.org/officeDocument/2006/relationships/hyperlink" Target="https://www.amazon.co.jp/-/en/Lcuihong-Metal-Battery-Machine-Welding-Specifications/dp/B08T8XJRWQ/ref=sr_1_10?dchild=1&amp;keywords=nickel%2Bmetal%2Bstrip%2Bfor%2Bbattery%2Bspot%2Bwelding&amp;qid=1621242505&amp;sr=8-10&amp;th=1" TargetMode="External"/><Relationship Id="rId3651" Type="http://schemas.openxmlformats.org/officeDocument/2006/relationships/hyperlink" Target="https://www.digikey.jp/product-detail/en/comchip-technology/CDBQR0130L/641-1271-1-ND/1973550" TargetMode="External"/><Relationship Id="rId4702" Type="http://schemas.openxmlformats.org/officeDocument/2006/relationships/hyperlink" Target="https://www.amazon.co.jp/dp/B09TZS41CD?ref_=cm_sw_r_cp_ud_dp_JZ37QAY50K293EE59G1X" TargetMode="External"/><Relationship Id="rId365" Type="http://schemas.openxmlformats.org/officeDocument/2006/relationships/hyperlink" Target="https://www.digikey.jp/products/ja?keywords=490-1172-1-ND" TargetMode="External"/><Relationship Id="rId572" Type="http://schemas.openxmlformats.org/officeDocument/2006/relationships/hyperlink" Target="https://www.digikey.jp/product-detail/en/diodes-incorporated/BSS127S-7/BSS127S-7DICT-ND/3451564" TargetMode="External"/><Relationship Id="rId2046" Type="http://schemas.openxmlformats.org/officeDocument/2006/relationships/hyperlink" Target="https://meviy.misumi-ec.com/" TargetMode="External"/><Relationship Id="rId2253" Type="http://schemas.openxmlformats.org/officeDocument/2006/relationships/hyperlink" Target="https://www.monotaro.com/p/4888/9741/?t.q=%95s%93%99%20%92%B7%20%20%20%83A%83%8B%83%7E%20%20%20%83A%83%93%83O%83%8B" TargetMode="External"/><Relationship Id="rId2460" Type="http://schemas.openxmlformats.org/officeDocument/2006/relationships/hyperlink" Target="https://www.digikey.jp/product-detail/ja/hirose-electric-co-ltd/U-FL-2LP-062N1D-AC-50/H122288-ND/4867030" TargetMode="External"/><Relationship Id="rId3304" Type="http://schemas.openxmlformats.org/officeDocument/2006/relationships/hyperlink" Target="https://www.digikey.jp/product-detail/ja/taiyo-yuden/LMK212B7475KG-T/587-1442-1-ND/1004073" TargetMode="External"/><Relationship Id="rId3511" Type="http://schemas.openxmlformats.org/officeDocument/2006/relationships/hyperlink" Target="https://www.monotaro.com/p/0639/3615/" TargetMode="External"/><Relationship Id="rId225" Type="http://schemas.openxmlformats.org/officeDocument/2006/relationships/hyperlink" Target="https://jp.rs-online.com/web/p/products/7203212/" TargetMode="External"/><Relationship Id="rId432" Type="http://schemas.openxmlformats.org/officeDocument/2006/relationships/hyperlink" Target="https://www.byonics.com/tinytrak4/" TargetMode="External"/><Relationship Id="rId1062" Type="http://schemas.openxmlformats.org/officeDocument/2006/relationships/hyperlink" Target="https://www.digikey.jp/product-detail/en/rohm-semiconductor/SML-E12V8WT86/511-1587-1-ND/1641819" TargetMode="External"/><Relationship Id="rId2113" Type="http://schemas.openxmlformats.org/officeDocument/2006/relationships/hyperlink" Target="https://www.mouser.jp/ProductDetail/Alpha-Wire/6711-WH005?qs=%2Fha2pyFaduj3tGzlOpYRamhlDrwp3v%2FVuvpoIpcEwEk%3D" TargetMode="External"/><Relationship Id="rId2320" Type="http://schemas.openxmlformats.org/officeDocument/2006/relationships/hyperlink" Target="https://jp.rs-online.com/web/p/wire-housings-plugs/3116209/" TargetMode="External"/><Relationship Id="rId5269" Type="http://schemas.openxmlformats.org/officeDocument/2006/relationships/hyperlink" Target="https://akizukidenshi.com/catalog/g/gP-07352/" TargetMode="External"/><Relationship Id="rId4078" Type="http://schemas.openxmlformats.org/officeDocument/2006/relationships/hyperlink" Target="https://www.digikey.jp/product-detail/ja/qt-brightek-qtb/QBLP650-IW/1516-1164-1-ND/5017780" TargetMode="External"/><Relationship Id="rId4285" Type="http://schemas.openxmlformats.org/officeDocument/2006/relationships/hyperlink" Target="https://jp.misumi-ec.com/vona2/detail/110300531760/?ProductCode=PAAB50" TargetMode="External"/><Relationship Id="rId4492" Type="http://schemas.openxmlformats.org/officeDocument/2006/relationships/hyperlink" Target="https://jp.rs-online.com/web/p/solders/3199872" TargetMode="External"/><Relationship Id="rId5129" Type="http://schemas.openxmlformats.org/officeDocument/2006/relationships/hyperlink" Target="https://www.digikey.jp/ja/products/detail/3m/153240-2020-RB/1145342" TargetMode="External"/><Relationship Id="rId5336" Type="http://schemas.openxmlformats.org/officeDocument/2006/relationships/hyperlink" Target="https://www.digikey.jp/en/products/detail/texas-instruments/SN74LVC2G14DBVT/1592274" TargetMode="External"/><Relationship Id="rId1879" Type="http://schemas.openxmlformats.org/officeDocument/2006/relationships/hyperlink" Target="https://www.digikey.jp/product-detail/ja/samsung-electro-mechanics/CL21B473KCCWPNC/1276-6815-1-ND/5961674" TargetMode="External"/><Relationship Id="rId3094" Type="http://schemas.openxmlformats.org/officeDocument/2006/relationships/hyperlink" Target="https://jp.misumi-ec.com/vona2/detail/221006204478/?ProductCode=C-306.5-5" TargetMode="External"/><Relationship Id="rId4145" Type="http://schemas.openxmlformats.org/officeDocument/2006/relationships/hyperlink" Target="https://www.mouser.jp/ProductDetail/Molex/202396-1507?qs=%2Fha2pyFaduilCYVPsmo%2FVif9l7JpBe9%252BzaNNzk%2Fv652GYl8oMnqI6Q==" TargetMode="External"/><Relationship Id="rId1739" Type="http://schemas.openxmlformats.org/officeDocument/2006/relationships/hyperlink" Target="https://www.digikey.jp/product-detail/en/vishay-dale/CRCW12181R00FKEKHP/541-1.00ANCT-ND/5327099" TargetMode="External"/><Relationship Id="rId1946" Type="http://schemas.openxmlformats.org/officeDocument/2006/relationships/hyperlink" Target="https://www.digikey.jp/product-detail/ja/avx-corporation/04026D475KAT2A/478-10669-1-ND/7536540" TargetMode="External"/><Relationship Id="rId4005" Type="http://schemas.openxmlformats.org/officeDocument/2006/relationships/hyperlink" Target="https://jp.rs-online.com/web/p/microcontrollers/8233908/" TargetMode="External"/><Relationship Id="rId4352" Type="http://schemas.openxmlformats.org/officeDocument/2006/relationships/hyperlink" Target="https://www.monotaro.com/p/6835/9874/" TargetMode="External"/><Relationship Id="rId1806" Type="http://schemas.openxmlformats.org/officeDocument/2006/relationships/hyperlink" Target="https://www.digikey.jp/products/ja?keywords=U.FL-R-SMT-1(01)" TargetMode="External"/><Relationship Id="rId3161" Type="http://schemas.openxmlformats.org/officeDocument/2006/relationships/hyperlink" Target="https://www.digikey.jp/product-detail/en/adam-tech/2PH1-13-UA/2057-2PH1-13-UA-ND/9830399" TargetMode="External"/><Relationship Id="rId4212" Type="http://schemas.openxmlformats.org/officeDocument/2006/relationships/hyperlink" Target="https://www.mouser.jp/ProductDetail/Texas-Instruments/SN74CB3Q3305PWRE4?qs=PVVDbbWpW3L24959x0v%252BLQ%3D%3D" TargetMode="External"/><Relationship Id="rId3021" Type="http://schemas.openxmlformats.org/officeDocument/2006/relationships/hyperlink" Target="https://www.mouser.jp/ProductDetail/SanDisk/SDSDQAF3-032G-XI/?qs=F5EMLAvA7IDuINqXQWsrSg%3D%3D" TargetMode="External"/><Relationship Id="rId3978" Type="http://schemas.openxmlformats.org/officeDocument/2006/relationships/hyperlink" Target="https://www.jp.omega.com/pptst/KHRA-KHLVA-KHA-SERIES.html" TargetMode="External"/><Relationship Id="rId899" Type="http://schemas.openxmlformats.org/officeDocument/2006/relationships/hyperlink" Target="https://jp.rs-online.com/web/p/terminal-posts/6459414/" TargetMode="External"/><Relationship Id="rId2787" Type="http://schemas.openxmlformats.org/officeDocument/2006/relationships/hyperlink" Target="https://www.digikey.jp/product-detail/ja/panasonic-electronic-components/ERJ-U02J221X/10-ERJ-U02J221XCT-ND/" TargetMode="External"/><Relationship Id="rId3838" Type="http://schemas.openxmlformats.org/officeDocument/2006/relationships/hyperlink" Target="https://jp.misumi-ec.com/vona2/detail/110302280540/?PNSearch=CBSTSR3-10&amp;HissuCode=CBSTSR3-10&amp;searchFlow=suggesthistory&amp;Keyword=CBSTSR3-10&amp;isReSearch=1" TargetMode="External"/><Relationship Id="rId5193" Type="http://schemas.openxmlformats.org/officeDocument/2006/relationships/hyperlink" Target="https://jp.misumi-ec.com/vona2/detail/110300250540/?ProductCode=SLBNR2" TargetMode="External"/><Relationship Id="rId759" Type="http://schemas.openxmlformats.org/officeDocument/2006/relationships/hyperlink" Target="https://www.digikey.jp/product-detail/ja/murata-electronics-north-america/GRM155R60J225KE95D/490-12532-1-ND/5797522" TargetMode="External"/><Relationship Id="rId966" Type="http://schemas.openxmlformats.org/officeDocument/2006/relationships/hyperlink" Target="http://www.natec-j.com/oem/oem_dipole_single.htm?c=oem&amp;d=oemsemicustom" TargetMode="External"/><Relationship Id="rId1389" Type="http://schemas.openxmlformats.org/officeDocument/2006/relationships/hyperlink" Target="https://www.digikey.jp/product-detail/en/kemet/C0805C332K4RAC7800/399-14593-1-ND/7103885" TargetMode="External"/><Relationship Id="rId1596" Type="http://schemas.openxmlformats.org/officeDocument/2006/relationships/hyperlink" Target="https://www.soumu.go.jp/soutsu/kyushu/ru/at/fee.html" TargetMode="External"/><Relationship Id="rId2647" Type="http://schemas.openxmlformats.org/officeDocument/2006/relationships/hyperlink" Target="https://www.monotaro.com/p/1132/6473/?t.q=%83s%83%93%83w%83b%83_%202.54" TargetMode="External"/><Relationship Id="rId2994" Type="http://schemas.openxmlformats.org/officeDocument/2006/relationships/hyperlink" Target="https://www.monotaro.com/p/1999/3323/" TargetMode="External"/><Relationship Id="rId5053" Type="http://schemas.openxmlformats.org/officeDocument/2006/relationships/hyperlink" Target="https://www.digikey.jp/ja/products/detail/kemet/C0603C752J3GAC7867/3737143" TargetMode="External"/><Relationship Id="rId5260" Type="http://schemas.openxmlformats.org/officeDocument/2006/relationships/hyperlink" Target="https://www.monotaro.com/p/0708/3781/" TargetMode="External"/><Relationship Id="rId619" Type="http://schemas.openxmlformats.org/officeDocument/2006/relationships/hyperlink" Target="https://www.htkazshop.com/SHOP/HTK_101911.html" TargetMode="External"/><Relationship Id="rId1249" Type="http://schemas.openxmlformats.org/officeDocument/2006/relationships/hyperlink" Target="https://www.digikey.jp/product-detail/ja/vishay-thin-film/PTN0805E25R0BST1/764-1510-1-ND/7103294" TargetMode="External"/><Relationship Id="rId2854" Type="http://schemas.openxmlformats.org/officeDocument/2006/relationships/hyperlink" Target="https://jp.misumi-ec.com/vona2/detail/110300244510/?HissuCode=CBSSTH4-10" TargetMode="External"/><Relationship Id="rId3905" Type="http://schemas.openxmlformats.org/officeDocument/2006/relationships/hyperlink" Target="https://jp.rs-online.com/web/p/usb-connectors/7142347/" TargetMode="External"/><Relationship Id="rId5120" Type="http://schemas.openxmlformats.org/officeDocument/2006/relationships/hyperlink" Target="https://www.chip1stop.com/view/searchResult/SearchResultWithClassCd?classCd=014002&amp;classLv=3&amp;keyword=fdb8441&amp;partSameFlg=false" TargetMode="External"/><Relationship Id="rId95" Type="http://schemas.openxmlformats.org/officeDocument/2006/relationships/hyperlink" Target="https://www.digikey.jp/product-detail/en/linear-technology-analog-devices/LT6106CS5-TRMPBF/LT6106CS5-TRMPBFCT-ND/1590293" TargetMode="External"/><Relationship Id="rId826" Type="http://schemas.openxmlformats.org/officeDocument/2006/relationships/hyperlink" Target="https://www.monotaro.com/g/00183933/?t.q=EP001N" TargetMode="External"/><Relationship Id="rId1109" Type="http://schemas.openxmlformats.org/officeDocument/2006/relationships/hyperlink" Target="https://www.p-ban.com/" TargetMode="External"/><Relationship Id="rId1456" Type="http://schemas.openxmlformats.org/officeDocument/2006/relationships/hyperlink" Target="https://www.digikey.jp/product-detail/en/toshiba-semiconductor-and-storage/SSM6K411TU-TE85LF/SSM6K411TU-TE85LFCT-ND/5298038" TargetMode="External"/><Relationship Id="rId1663" Type="http://schemas.openxmlformats.org/officeDocument/2006/relationships/hyperlink" Target="http://akizukidenshi.com/catalog/g/gR-08807/" TargetMode="External"/><Relationship Id="rId1870" Type="http://schemas.openxmlformats.org/officeDocument/2006/relationships/hyperlink" Target="https://www.digikey.jp/product-detail/en/koa-speer-electronics-inc/RK73H2ATTD10R0F/2019-RK73H2ATTD10R0FCT-ND/10234529" TargetMode="External"/><Relationship Id="rId2507" Type="http://schemas.openxmlformats.org/officeDocument/2006/relationships/hyperlink" Target="https://jp.misumi-ec.com/vona2/detail/221006451056/?PNSearch=SNSL-M3X6&amp;HissuCode=SNSL-M3X6&amp;searchFlow=suggest2products&amp;Keyword=SNSL-M3X6" TargetMode="External"/><Relationship Id="rId2714" Type="http://schemas.openxmlformats.org/officeDocument/2006/relationships/hyperlink" Target="https://akizukidenshi.com/catalog/g/gK-05489/" TargetMode="External"/><Relationship Id="rId2921" Type="http://schemas.openxmlformats.org/officeDocument/2006/relationships/hyperlink" Target="https://akizukidenshi.com/catalog/g/gP-09679/" TargetMode="External"/><Relationship Id="rId1316" Type="http://schemas.openxmlformats.org/officeDocument/2006/relationships/hyperlink" Target="https://www.digikey.jp/product-detail/en/murata-electronics/BLM18AG601SN1D/490-1014-1-ND/584462" TargetMode="External"/><Relationship Id="rId1523" Type="http://schemas.openxmlformats.org/officeDocument/2006/relationships/hyperlink" Target="https://www.digikey.jp/product-detail/en/bud-industries/BC-32626/377-2258-ND/5291560" TargetMode="External"/><Relationship Id="rId1730" Type="http://schemas.openxmlformats.org/officeDocument/2006/relationships/hyperlink" Target="https://www.marutsu.co.jp/pc/i/14952/" TargetMode="External"/><Relationship Id="rId4679" Type="http://schemas.openxmlformats.org/officeDocument/2006/relationships/hyperlink" Target="https://www.digikey.jp/en/products/detail/abracon-llc/ARRKP7059-S915B/8593265" TargetMode="External"/><Relationship Id="rId4886" Type="http://schemas.openxmlformats.org/officeDocument/2006/relationships/hyperlink" Target="https://jp.misumi-ec.com/vona2/detail/221006204478/?PNSearch=C-305&amp;HissuCode=C-305&amp;searchFlow=suggest2products&amp;Keyword=C-305&amp;list=SuggestPreview" TargetMode="External"/><Relationship Id="rId22" Type="http://schemas.openxmlformats.org/officeDocument/2006/relationships/hyperlink" Target="https://jp.rs-online.com/web/p/emi-rfi-inductor-components/9164144/?sra=pstk" TargetMode="External"/><Relationship Id="rId3488" Type="http://schemas.openxmlformats.org/officeDocument/2006/relationships/hyperlink" Target="https://www.digikey.jp/product-detail/en/cinch-connectivity-solutions-aim-cambridge/40-9709H/367-1139-ND/3830261" TargetMode="External"/><Relationship Id="rId3695" Type="http://schemas.openxmlformats.org/officeDocument/2006/relationships/hyperlink" Target="https://www.digikey.jp/products/en?keywords=A132445-DS-ND" TargetMode="External"/><Relationship Id="rId4539" Type="http://schemas.openxmlformats.org/officeDocument/2006/relationships/hyperlink" Target="https://www.tesutosys.com/product/t1000-9-breakout-box/" TargetMode="External"/><Relationship Id="rId4746" Type="http://schemas.openxmlformats.org/officeDocument/2006/relationships/hyperlink" Target="https://www.monotaro.com/g/01366154/?t.q=&#37509;&#12486;&#12540;&#12503;%E3%80%80&#23566;&#38651;&#24615;%205mm" TargetMode="External"/><Relationship Id="rId4953" Type="http://schemas.openxmlformats.org/officeDocument/2006/relationships/hyperlink" Target="https://jp.misumi-ec.com/vona2/detail/221000551286/?HissuCode=CSH-SUS-M2-5" TargetMode="External"/><Relationship Id="rId2297" Type="http://schemas.openxmlformats.org/officeDocument/2006/relationships/hyperlink" Target="https://akizukidenshi.com/catalog/g/gI-12635/" TargetMode="External"/><Relationship Id="rId3348" Type="http://schemas.openxmlformats.org/officeDocument/2006/relationships/hyperlink" Target="https://www.digikey.jp/product-detail/ja/texas-instruments/LM2830XMF-NOPB/LM2830XMF-NOPBCT-ND/1206386" TargetMode="External"/><Relationship Id="rId3555" Type="http://schemas.openxmlformats.org/officeDocument/2006/relationships/hyperlink" Target="https://www.mouser.jp/ProductDetail/Panasonic/ERJ-6GEYJ104V?qs=tQNqqtTOejL5eczyE2lY8g%3D%3D" TargetMode="External"/><Relationship Id="rId3762" Type="http://schemas.openxmlformats.org/officeDocument/2006/relationships/hyperlink" Target="https://www.digikey.jp/product-detail/en/REF3040AIDBZR/296-35920-1-ND/4135041?itemSeq=373417845" TargetMode="External"/><Relationship Id="rId4606" Type="http://schemas.openxmlformats.org/officeDocument/2006/relationships/hyperlink" Target="https://www.aliexpress.com/item/32893139719.html?spm=2114.12057483.detail.3.4aed76b8p9586n" TargetMode="External"/><Relationship Id="rId4813" Type="http://schemas.openxmlformats.org/officeDocument/2006/relationships/hyperlink" Target="https://www.digikey.jp/en/products/detail/amphenol-rf-division/242112/1012016" TargetMode="External"/><Relationship Id="rId269" Type="http://schemas.openxmlformats.org/officeDocument/2006/relationships/hyperlink" Target="https://www.monotaro.com/g/01309085/?monotaroNo=19402048" TargetMode="External"/><Relationship Id="rId476" Type="http://schemas.openxmlformats.org/officeDocument/2006/relationships/hyperlink" Target="https://jp.misumi-ec.com/vona2/detail/110302280540/?HissuCode=CBSTSR3-10" TargetMode="External"/><Relationship Id="rId683" Type="http://schemas.openxmlformats.org/officeDocument/2006/relationships/hyperlink" Target="https://www.p-ban.com/kiban/com/csComTop.do" TargetMode="External"/><Relationship Id="rId890" Type="http://schemas.openxmlformats.org/officeDocument/2006/relationships/hyperlink" Target="https://jp.rs-online.com/web/p/mlccs-multilayer-ceramic-capacitors/2644517/" TargetMode="External"/><Relationship Id="rId2157" Type="http://schemas.openxmlformats.org/officeDocument/2006/relationships/hyperlink" Target="https://www.monotaro.com/g/02454981/?t.attr_f859=3&amp;t.q=%83g%81%5B%83V%83%87%83%93%82%CE%82%CB" TargetMode="External"/><Relationship Id="rId2364" Type="http://schemas.openxmlformats.org/officeDocument/2006/relationships/hyperlink" Target="https://jp.misumi-ec.com/vona2/detail/110302280540/?HissuCode=CBSTSR&amp;PNSearch=CBSTSR&amp;KWSearch=CBSTSR&amp;searchFlow=results2products" TargetMode="External"/><Relationship Id="rId2571" Type="http://schemas.openxmlformats.org/officeDocument/2006/relationships/hyperlink" Target="https://www.monotaro.com/p/7590/8646/?t.q=%83%7D%83C%83N%83%8DHDMI%95%CF%8A%B7" TargetMode="External"/><Relationship Id="rId3208" Type="http://schemas.openxmlformats.org/officeDocument/2006/relationships/hyperlink" Target="https://www.amazon.com/BTECH-AMP-V25-Amplifier-136-174MHz-Compatible/dp/B076H972DH" TargetMode="External"/><Relationship Id="rId3415" Type="http://schemas.openxmlformats.org/officeDocument/2006/relationships/hyperlink" Target="https://www.monotaro.com/g/01213256/?monotaroNo=11169192" TargetMode="External"/><Relationship Id="rId129" Type="http://schemas.openxmlformats.org/officeDocument/2006/relationships/hyperlink" Target="https://jp.rs-online.com/web/p/pcb-headers/5151434/" TargetMode="External"/><Relationship Id="rId336" Type="http://schemas.openxmlformats.org/officeDocument/2006/relationships/hyperlink" Target="https://jp.rs-online.com/web/p/motor-driver-ics/6996736/" TargetMode="External"/><Relationship Id="rId543" Type="http://schemas.openxmlformats.org/officeDocument/2006/relationships/hyperlink" Target="https://www.digikey.jp/products/en?keywords=ADP7142AUJZ-5.0-R7CT-ND" TargetMode="External"/><Relationship Id="rId1173" Type="http://schemas.openxmlformats.org/officeDocument/2006/relationships/hyperlink" Target="https://jp.misumi-ec.com/vona2/detail/110300250540/?HissuCode=SLBNR3&amp;PNSearch=SLBNR3&amp;KWSearch=SLBNR3&amp;searchFlow=results2products" TargetMode="External"/><Relationship Id="rId1380" Type="http://schemas.openxmlformats.org/officeDocument/2006/relationships/hyperlink" Target="https://www.digikey.jp/product-detail/en/kemet/C0805C104J4RACTU/399-11163-1-ND/4357875" TargetMode="External"/><Relationship Id="rId2017" Type="http://schemas.openxmlformats.org/officeDocument/2006/relationships/hyperlink" Target="https://www.digikey.jp/product-detail/ja/visual-communications-company-vcc/CMD17-21VYD-TR8/L62507CT-ND/254935" TargetMode="External"/><Relationship Id="rId2224" Type="http://schemas.openxmlformats.org/officeDocument/2006/relationships/hyperlink" Target="https://www.digikey.jp/product-detail/en/chip-quik-inc/PA0001C/315-PA0001C-ND/12352144?cur=JPY&amp;lang=en" TargetMode="External"/><Relationship Id="rId3622" Type="http://schemas.openxmlformats.org/officeDocument/2006/relationships/hyperlink" Target="https://www.digikey.jp/product-detail/ja/analog-devices-inc/ADUM3151ARSZ-RL7/ADUM3151ARSZ-RL7CT-ND/5012041" TargetMode="External"/><Relationship Id="rId403" Type="http://schemas.openxmlformats.org/officeDocument/2006/relationships/hyperlink" Target="https://www.advent-rm.com/materials/Copper/" TargetMode="External"/><Relationship Id="rId750" Type="http://schemas.openxmlformats.org/officeDocument/2006/relationships/hyperlink" Target="https://jp.rs-online.com/web/p/accelerometer-sensors/8805301/" TargetMode="External"/><Relationship Id="rId1033" Type="http://schemas.openxmlformats.org/officeDocument/2006/relationships/hyperlink" Target="https://jp.misumi-ec.com/vona2/mech_material/M1401000000/M1401020000/" TargetMode="External"/><Relationship Id="rId2431" Type="http://schemas.openxmlformats.org/officeDocument/2006/relationships/hyperlink" Target="https://akizukidenshi.com/catalog/g/gM-12001/" TargetMode="External"/><Relationship Id="rId4189" Type="http://schemas.openxmlformats.org/officeDocument/2006/relationships/hyperlink" Target="https://www.mouser.jp/ProductDetail/KOA-Speer/SG73P1EWTTP1000F?qs=Jslch3jnSjklyxG7A3XcsA%3D%3D" TargetMode="External"/><Relationship Id="rId610" Type="http://schemas.openxmlformats.org/officeDocument/2006/relationships/hyperlink" Target="https://www.digikey.jp/product-detail/en/microchip-technology/PIC18F67J94-I-PT/PIC18F67J94-I-PT-ND/3872481" TargetMode="External"/><Relationship Id="rId1240" Type="http://schemas.openxmlformats.org/officeDocument/2006/relationships/hyperlink" Target="https://www.marutsu.co.jp/pc/i/223387/" TargetMode="External"/><Relationship Id="rId4049" Type="http://schemas.openxmlformats.org/officeDocument/2006/relationships/hyperlink" Target="https://www.monotaro.com/g/01117601/" TargetMode="External"/><Relationship Id="rId4396" Type="http://schemas.openxmlformats.org/officeDocument/2006/relationships/hyperlink" Target="https://jp.misumi-ec.com/vona2/detail/221303783818/?CategorySpec=00000217040%3a%3amig00000002457000%0900000217056%3a%3amig00000002456995%0900000217074%3a%3ac%0900000216906%3a%3aa&amp;list=PageCategory" TargetMode="External"/><Relationship Id="rId1100" Type="http://schemas.openxmlformats.org/officeDocument/2006/relationships/hyperlink" Target="https://www.digikey.jp/product-detail/ja/linear-technology-analog-devices/LTC6906HS6-TRMPBF/LTC6906HS6-TRMPBFCT-ND/3830450" TargetMode="External"/><Relationship Id="rId4256" Type="http://schemas.openxmlformats.org/officeDocument/2006/relationships/hyperlink" Target="https://www.monotaro.com/p/1131/4458/?t.q=PSR-220154-12" TargetMode="External"/><Relationship Id="rId4463" Type="http://schemas.openxmlformats.org/officeDocument/2006/relationships/hyperlink" Target="https://jp.rs-online.com/web/p/pcb-d-sub-connectors/5443812" TargetMode="External"/><Relationship Id="rId4670" Type="http://schemas.openxmlformats.org/officeDocument/2006/relationships/hyperlink" Target="https://www.jp.omega.com/shop/additem.asp" TargetMode="External"/><Relationship Id="rId5307" Type="http://schemas.openxmlformats.org/officeDocument/2006/relationships/hyperlink" Target="https://www.monotaro.com/p/8685/7057/" TargetMode="External"/><Relationship Id="rId1917" Type="http://schemas.openxmlformats.org/officeDocument/2006/relationships/hyperlink" Target="https://www.marutsu.co.jp/pc/i/8444/" TargetMode="External"/><Relationship Id="rId3065" Type="http://schemas.openxmlformats.org/officeDocument/2006/relationships/hyperlink" Target="https://jp.misumi-ec.com/vona2/detail/221000551286/?PNSearch=CSH-SUS-M2-4&amp;HissuCode=CSH-SUS-M2-4&amp;searchFlow=suggest2products&amp;Keyword=CSH-SUS-M2-4" TargetMode="External"/><Relationship Id="rId3272" Type="http://schemas.openxmlformats.org/officeDocument/2006/relationships/hyperlink" Target="https://www.digikey.jp/product-detail/ja/recom-power/R05P209D/945-2656-5-ND/2301255" TargetMode="External"/><Relationship Id="rId4116" Type="http://schemas.openxmlformats.org/officeDocument/2006/relationships/hyperlink" Target="https://page.auctions.yahoo.co.jp/jp/auction/x1011048739" TargetMode="External"/><Relationship Id="rId4323" Type="http://schemas.openxmlformats.org/officeDocument/2006/relationships/hyperlink" Target="https://www.monotaro.com/g/01213256/?t.q=C302.5" TargetMode="External"/><Relationship Id="rId4530" Type="http://schemas.openxmlformats.org/officeDocument/2006/relationships/hyperlink" Target="http://claybornlab.com/heat_tape_accessories.html" TargetMode="External"/><Relationship Id="rId193" Type="http://schemas.openxmlformats.org/officeDocument/2006/relationships/hyperlink" Target="https://www.digikey.jp/products/en?keywords=445-13459-1-ND" TargetMode="External"/><Relationship Id="rId2081" Type="http://schemas.openxmlformats.org/officeDocument/2006/relationships/hyperlink" Target="https://jp.misumi-ec.com/vona2/detail/110302280540/?HissuCode=CBSTSR3-8&amp;PNSearch=CBSTSR3-8&amp;KWSearch=CBSTSR3-8&amp;searchFlow=results2products" TargetMode="External"/><Relationship Id="rId3132" Type="http://schemas.openxmlformats.org/officeDocument/2006/relationships/hyperlink" Target="https://www.digikey.jp/product-detail/en/rohm-semiconductor/UCR03EWPFSR024/RHM1266CT-ND/4056144" TargetMode="External"/><Relationship Id="rId260" Type="http://schemas.openxmlformats.org/officeDocument/2006/relationships/hyperlink" Target="https://www.byonics.com/tinytrak4" TargetMode="External"/><Relationship Id="rId5097" Type="http://schemas.openxmlformats.org/officeDocument/2006/relationships/hyperlink" Target="https://www.mouser.jp/ProductDetail/TE-Connectivity/2-825433-0?qs=Yxch5oR%2FTsPyWO6AE6CpEQ%3D%3D" TargetMode="External"/><Relationship Id="rId120" Type="http://schemas.openxmlformats.org/officeDocument/2006/relationships/hyperlink" Target="https://jp.misumi-ec.com/vona2/detail/221000530294/?CategorySpec=00000217065%3a%3amig00000002463787%0900000217017%3a%3amig00000002463781%0900000217082%3a%3aa%0900000217097%3a%3aa%0900000217131%3a%3aa%0900000217143%3a%3aa%0900000216962%3a%3aj&amp;bid=bid_list_template" TargetMode="External"/><Relationship Id="rId2898" Type="http://schemas.openxmlformats.org/officeDocument/2006/relationships/hyperlink" Target="https://akizukidenshi.com/catalog/g/gP-13374/" TargetMode="External"/><Relationship Id="rId3949" Type="http://schemas.openxmlformats.org/officeDocument/2006/relationships/hyperlink" Target="https://www.uctronics.com/arducam-for-raspberry-pi-zero-camera-module-wide-angle-120-1-4-inch-5mp-ov5647-spy-camera-with-flex-cable-for-pi-zero-and-pi-compute-module.html" TargetMode="External"/><Relationship Id="rId5164" Type="http://schemas.openxmlformats.org/officeDocument/2006/relationships/hyperlink" Target="https://www.digikey.jp/product-detail/en/sullins-connector-solutions/PPTC022LFBN-RC/S7070-ND/810209" TargetMode="External"/><Relationship Id="rId2758" Type="http://schemas.openxmlformats.org/officeDocument/2006/relationships/hyperlink" Target="https://www.digikey.jp/product-detail/ja/jst-sales-america-inc/S2B-EH-LF-SN/455-1625-ND/926533" TargetMode="External"/><Relationship Id="rId2965" Type="http://schemas.openxmlformats.org/officeDocument/2006/relationships/hyperlink" Target="https://www.digikey.jp/product-detail/ja/vishay-siliconix/SQ1922EEH-T1_GE3/SQ1922EEH-T1_GE3CT-ND/7622831" TargetMode="External"/><Relationship Id="rId3809" Type="http://schemas.openxmlformats.org/officeDocument/2006/relationships/hyperlink" Target="https://www.monotaro.com/p/1982/1866/" TargetMode="External"/><Relationship Id="rId5024" Type="http://schemas.openxmlformats.org/officeDocument/2006/relationships/hyperlink" Target="https://www.mouser.jp/ProductDetail/KEMET/C0805C821J5GACAUTO?qs=2FIyTMJ0hNlfxj9XmdZioA%3D%3D" TargetMode="External"/><Relationship Id="rId5371" Type="http://schemas.openxmlformats.org/officeDocument/2006/relationships/hyperlink" Target="https://www.digikey.jp/en/products/detail/analog-devices-inc-maxim-integrated/MAX6373KA-T/948137" TargetMode="External"/><Relationship Id="rId937" Type="http://schemas.openxmlformats.org/officeDocument/2006/relationships/hyperlink" Target="https://www.digikey.jp/products/en?keywords=GAG10K3976b1" TargetMode="External"/><Relationship Id="rId1567" Type="http://schemas.openxmlformats.org/officeDocument/2006/relationships/hyperlink" Target="https://www.digikey.jp/product-detail/en/taiyo-yuden/NRS5020T4R7MMGJ/587-2407-1-ND/2230273" TargetMode="External"/><Relationship Id="rId1774" Type="http://schemas.openxmlformats.org/officeDocument/2006/relationships/hyperlink" Target="https://www.digikey.jp/product-detail/en/johanson-technology-inc/L-07C18NJV6T/712-1409-1-ND/1840087" TargetMode="External"/><Relationship Id="rId1981" Type="http://schemas.openxmlformats.org/officeDocument/2006/relationships/hyperlink" Target="https://www.digikey.jp/product-detail/en/kemet/C0603C102J3GACTU/399-7830-1-ND/3471553" TargetMode="External"/><Relationship Id="rId2618" Type="http://schemas.openxmlformats.org/officeDocument/2006/relationships/hyperlink" Target="https://www.digikey.jp/product-detail/ja/analog-devices-inc/LTC3130EMSE-PBF/LTC3130EMSE-PBF-ND/6174042" TargetMode="External"/><Relationship Id="rId2825" Type="http://schemas.openxmlformats.org/officeDocument/2006/relationships/hyperlink" Target="https://jp.misumi-ec.com/vona2/detail/221000120367/?HissuCode=W2.5SR2%3dC" TargetMode="External"/><Relationship Id="rId4180" Type="http://schemas.openxmlformats.org/officeDocument/2006/relationships/hyperlink" Target="https://www.mouser.jp/ProductDetail/Murata/ZRB15XR61A106ME01D?qs=sGAEpiMZZMsh%252B1woXyUXjxZuI%2FKWQWdPhyOy23%2FYQ%252Bc%3D" TargetMode="External"/><Relationship Id="rId5231" Type="http://schemas.openxmlformats.org/officeDocument/2006/relationships/hyperlink" Target="https://www.digikey.jp/en/products/detail/keystone-electronics/1043/2745669" TargetMode="External"/><Relationship Id="rId66" Type="http://schemas.openxmlformats.org/officeDocument/2006/relationships/hyperlink" Target="https://www.p-ban.com/kiban/com/csComTop.do" TargetMode="External"/><Relationship Id="rId1427" Type="http://schemas.openxmlformats.org/officeDocument/2006/relationships/hyperlink" Target="https://www.digikey.jp/product-detail/en/vishay-dale/CRCW0805976KFKEA/541-976KCCT-ND/1181126" TargetMode="External"/><Relationship Id="rId1634" Type="http://schemas.openxmlformats.org/officeDocument/2006/relationships/hyperlink" Target="https://www.monotaro.com/p/5052/1328/?t.q=N%83R%83l%83N%83%5E" TargetMode="External"/><Relationship Id="rId1841" Type="http://schemas.openxmlformats.org/officeDocument/2006/relationships/hyperlink" Target="https://www.digikey.jp/product-detail/ja/koa-speer-electronics-inc/RK73H1JTTD6800F/2019-RK73H1JTTD6800FCT-ND/9847014" TargetMode="External"/><Relationship Id="rId4040" Type="http://schemas.openxmlformats.org/officeDocument/2006/relationships/hyperlink" Target="https://www.digikey.jp/product-detail/ja/lattice-semiconductor-corporation/LSC-SW-ISPLEVER/220-LSC-SW-ISPLEVER-ND/12146688" TargetMode="External"/><Relationship Id="rId4997" Type="http://schemas.openxmlformats.org/officeDocument/2006/relationships/hyperlink" Target="https://akizukidenshi.com/catalog/g/gC-17015/" TargetMode="External"/><Relationship Id="rId3599" Type="http://schemas.openxmlformats.org/officeDocument/2006/relationships/hyperlink" Target="https://www.p-ban.com/kiban/com/csComTop.do" TargetMode="External"/><Relationship Id="rId4857" Type="http://schemas.openxmlformats.org/officeDocument/2006/relationships/hyperlink" Target="https://www.mouser.jp/ProductDetail/onsemi/NCP716MT12TBG?qs=dbuNSGnowt0HdoGkdI9nXQ%3D%3D&amp;utm_source=eciaauthorized&amp;utm_medium=aggregator&amp;utm_campaign=NCP716MT12TBG&amp;utm_term=NCP716MT12TBG&amp;utm_content=onsemi&amp;cmpReferrer=onsemi_EMA_ECIA_inventoryfeed_VSE&amp;cmpProduct=NCP716MT12TBG" TargetMode="External"/><Relationship Id="rId1701" Type="http://schemas.openxmlformats.org/officeDocument/2006/relationships/hyperlink" Target="https://www.amazon.co.jp/dp/B01GM93WCU/ref=cm_sw_r_cp_ep_dp_n04lBb7JNAJ31" TargetMode="External"/><Relationship Id="rId3459" Type="http://schemas.openxmlformats.org/officeDocument/2006/relationships/hyperlink" Target="https://www.p-ban.com/kiban/com/csComTop.do" TargetMode="External"/><Relationship Id="rId3666" Type="http://schemas.openxmlformats.org/officeDocument/2006/relationships/hyperlink" Target="https://www.minicircuits.com/WebStore/dashboard.html?model=BP4C%2B" TargetMode="External"/><Relationship Id="rId587" Type="http://schemas.openxmlformats.org/officeDocument/2006/relationships/hyperlink" Target="https://www.amazon.co.jp/%E3%80%90MBK%E3%80%91%E9%AB%98%E3%81%95%E8%AA%BF%E7%AF%80%E5%8F%AF-%E6%8A%98%E3%82%8A%E3%81%9F%E3%81%9F%E3%81%BF%E5%BC%8F-%E3%82%B9%E3%83%94%E3%83%BC%E3%82%AB%E3%83%BC%E3%82%B9%E3%82%BF%E3%83%B3%E3%83%89-2%E6%9C%AC%E7%B5%84-110cm-185%E3%8E%9D/dp/B073JPNPLL/ref=sr_1_13?crid=34LKHJKWV4L56&amp;keywords=%E3%82%B9%E3%83%94%E3%83%BC%E3%82%AB%E3%83%BC+%E3%82%B9%E3%82%BF%E3%83%B3%E3%83%89&amp;qid=1554093807&amp;s=gateway&amp;sprefix=speaker+s%2Caps%2C244&amp;sr=8-13" TargetMode="External"/><Relationship Id="rId2268" Type="http://schemas.openxmlformats.org/officeDocument/2006/relationships/hyperlink" Target="https://www.monotaro.com/g/00257431/?t.q=%83o%83i%83i" TargetMode="External"/><Relationship Id="rId3319" Type="http://schemas.openxmlformats.org/officeDocument/2006/relationships/hyperlink" Target="https://www.digikey.jp/product-detail/ja/analog-devices-inc/EVAL-SDP-CS1Z/EVAL-SDP-CS1Z-ND/2773677?utm_adgroup=Development%20Boards%20and%20Kits&amp;utm_source=google&amp;utm_medium=cpc&amp;utm_campaign=Shopping_Supplier_Analog%20Devices_8100_Co-Op&amp;utm_term=&amp;productid=2773677&amp;gclid=Cj0KCQjw38-DBhDpARIsADJ3kjlx4hBsIU5eVwW1H1Fy07B_YEgpmNAljsvuB5lmYucicatrxnuHDJAaAt1kEALw_wcB" TargetMode="External"/><Relationship Id="rId3873" Type="http://schemas.openxmlformats.org/officeDocument/2006/relationships/hyperlink" Target="https://www.mouser.jp/ProductDetail/Texas-Instruments/LM2904LVQDGKRQ1?qs=sGAEpiMZZMv0NwlthflBi%252BLdEViitgumyGmSpWmdlAc%3D" TargetMode="External"/><Relationship Id="rId4717" Type="http://schemas.openxmlformats.org/officeDocument/2006/relationships/hyperlink" Target="https://www.monotaro.com/p/2634/4072/?t.q=PSR-210153-12" TargetMode="External"/><Relationship Id="rId4924" Type="http://schemas.openxmlformats.org/officeDocument/2006/relationships/hyperlink" Target="https://www.askul.co.jp/p/015077/" TargetMode="External"/><Relationship Id="rId447" Type="http://schemas.openxmlformats.org/officeDocument/2006/relationships/hyperlink" Target="https://www.nbk1560.com/products/specialscrew/nedzicom/lowsmallheadscrew/SNSS-SD/SNSS-M2-SD/SNSS-M2-4-SD/" TargetMode="External"/><Relationship Id="rId794" Type="http://schemas.openxmlformats.org/officeDocument/2006/relationships/hyperlink" Target="http://hirosugi.co.jp/products/POM/CC.html" TargetMode="External"/><Relationship Id="rId1077" Type="http://schemas.openxmlformats.org/officeDocument/2006/relationships/hyperlink" Target="https://jp.rs-online.com/web/p/crocodile-clips/0405461/?relevancy-data" TargetMode="External"/><Relationship Id="rId2128" Type="http://schemas.openxmlformats.org/officeDocument/2006/relationships/hyperlink" Target="https://www.askul.co.jp/p/9445364/" TargetMode="External"/><Relationship Id="rId2475" Type="http://schemas.openxmlformats.org/officeDocument/2006/relationships/hyperlink" Target="http://www.p-ban.com/" TargetMode="External"/><Relationship Id="rId2682" Type="http://schemas.openxmlformats.org/officeDocument/2006/relationships/hyperlink" Target="https://www.digikey.jp/products/ja/resistors/chip-resistor-surface-mount/52?k=&amp;pkeyword=&amp;sv=0&amp;pv2085=u150+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3526" Type="http://schemas.openxmlformats.org/officeDocument/2006/relationships/hyperlink" Target="https://jp.misumi-ec.com/vona2/detail/110302460960/?HissuCode=ACAE-750-600-3&amp;list=PageCategory" TargetMode="External"/><Relationship Id="rId3733" Type="http://schemas.openxmlformats.org/officeDocument/2006/relationships/hyperlink" Target="https://www.digikey.jp/product-detail/en/anysolar-ltd/KXOB25-02X8F-TR/KXOB25-02X8FCT-ND/9990480" TargetMode="External"/><Relationship Id="rId3940" Type="http://schemas.openxmlformats.org/officeDocument/2006/relationships/hyperlink" Target="https://www.uctronics.com/camera-modules/camera-for-raspberry-pi/https-www-uctronics-com-index-php-arducam-ov2311-mipi-2mp-global-shutter-mono-camera-module-html-2268.html" TargetMode="External"/><Relationship Id="rId654" Type="http://schemas.openxmlformats.org/officeDocument/2006/relationships/hyperlink" Target="https://jp.rs-online.com/web/p/cat7-cable/1135905/?relevancy-data=636F3D3126696E3D4931384E525353746F636B4E756D626572266C753D656E266D6D3D6D61746368616C6C26706D3D5E2828282872737C5253295B205D3F293F285C647B337D5B5C2D5C735D3F5C647B332C347D5B705061415D3F29297C283235285C647B387D7C5C647B317D5C2D5C647B377D2929292426706F3D3126736E3D592673723D2673743D52535F53544F434B5F4E554D4245522677633D4E4F4E45267573743D3131332D35393035267374613D3131333539303526&amp;searchHistory=%7B%22enabled%22%3Atrue%7D" TargetMode="External"/><Relationship Id="rId861" Type="http://schemas.openxmlformats.org/officeDocument/2006/relationships/hyperlink" Target="https://jp.rs-online.com/web/p/surface-mount-fixed-resistors/6316222/" TargetMode="External"/><Relationship Id="rId1284" Type="http://schemas.openxmlformats.org/officeDocument/2006/relationships/hyperlink" Target="https://www.p-ban.com/kiban/com/csComTop.do" TargetMode="External"/><Relationship Id="rId1491" Type="http://schemas.openxmlformats.org/officeDocument/2006/relationships/hyperlink" Target="https://www.amazon.com/BerryGPS-IMUv3-Raspberry-Accelerometer-Magnetometer-Barometric/dp/B072MNBC9M" TargetMode="External"/><Relationship Id="rId2335" Type="http://schemas.openxmlformats.org/officeDocument/2006/relationships/hyperlink" Target="https://www.rfsupplier.com/ufl-right-angle-jack-to-mmcx-plug-right-angle-cable-using-rg178-coax_p6621.html" TargetMode="External"/><Relationship Id="rId2542" Type="http://schemas.openxmlformats.org/officeDocument/2006/relationships/hyperlink" Target="https://jp.misumi-ec.com/vona2/detail/110300498770/?HissuCode=PAAL6H-520-405-1.5-F150-G375-N6&amp;PNSearch=PAAL6H-520-405-1.5-F150-G375-N6&amp;KWSearch=PAAL6H-520-405-1.5-F150-G375-N6&amp;searchFlow=results2products" TargetMode="External"/><Relationship Id="rId3800" Type="http://schemas.openxmlformats.org/officeDocument/2006/relationships/hyperlink" Target="https://jp.misumi-ec.com/vona2/detail/222302353383/?ProductCode=UL1330-20-R-100" TargetMode="External"/><Relationship Id="rId307" Type="http://schemas.openxmlformats.org/officeDocument/2006/relationships/hyperlink" Target="https://www.digikey.jp/product-detail/en/aries-electronics/16-35W000-11-RC/16-35W000-11-RC-ND/4208830" TargetMode="External"/><Relationship Id="rId514" Type="http://schemas.openxmlformats.org/officeDocument/2006/relationships/hyperlink" Target="https://www.digikey.jp/product-detail/en/qualtek/3021055-03/Q1103-ND/7795305" TargetMode="External"/><Relationship Id="rId721" Type="http://schemas.openxmlformats.org/officeDocument/2006/relationships/hyperlink" Target="https://www.digikey.jp/product-detail/ja/linear-technology-analog-devices/LTC4361IDC-1-TRMPBF/LTC4361IDC-1-TRMPBFCT-ND/2351619" TargetMode="External"/><Relationship Id="rId1144" Type="http://schemas.openxmlformats.org/officeDocument/2006/relationships/hyperlink" Target="https://www.digikey.jp/ja/supplier-centers/m/microchip-technology" TargetMode="External"/><Relationship Id="rId1351" Type="http://schemas.openxmlformats.org/officeDocument/2006/relationships/hyperlink" Target="https://jp.misumi-ec.com/vona2/detail/110302685050/?CategorySpec=00000173432%3a%3amig00000002491549%0900000173392%3a%3ab&amp;clkid=clkid_list_template" TargetMode="External"/><Relationship Id="rId2402" Type="http://schemas.openxmlformats.org/officeDocument/2006/relationships/hyperlink" Target="https://www.digikey.jp/products/en?keywords=296-36413-1-ND" TargetMode="External"/><Relationship Id="rId1004" Type="http://schemas.openxmlformats.org/officeDocument/2006/relationships/hyperlink" Target="http://akizukidenshi.com/catalog/g/gP-07214/" TargetMode="External"/><Relationship Id="rId1211" Type="http://schemas.openxmlformats.org/officeDocument/2006/relationships/hyperlink" Target="https://www.digikey.jp/product-detail/en/tdk-corporation/C1608X8R1H104K080AB/445-8818-1-ND/3248223" TargetMode="External"/><Relationship Id="rId4367" Type="http://schemas.openxmlformats.org/officeDocument/2006/relationships/hyperlink" Target="https://www.digikey.jp/ja/products/detail/arduino/A000073/3476357" TargetMode="External"/><Relationship Id="rId4574" Type="http://schemas.openxmlformats.org/officeDocument/2006/relationships/hyperlink" Target="https://www.monotaro.com/p/7580/2485/?t.q=VUWG-6.35B-V" TargetMode="External"/><Relationship Id="rId4781" Type="http://schemas.openxmlformats.org/officeDocument/2006/relationships/hyperlink" Target="https://www.monotaro.com/g/02564309/?monotaroNo=52433133" TargetMode="External"/><Relationship Id="rId3176" Type="http://schemas.openxmlformats.org/officeDocument/2006/relationships/hyperlink" Target="https://www.digikey.jp/product-detail/ja/digilent-inc/410-328-35/1286-1130-ND/6133793" TargetMode="External"/><Relationship Id="rId3383" Type="http://schemas.openxmlformats.org/officeDocument/2006/relationships/hyperlink" Target="https://www.digikey.jp/product-detail/ja/texas-instruments/DAC8563SDGST/296-32089-1-ND/3505458" TargetMode="External"/><Relationship Id="rId3590" Type="http://schemas.openxmlformats.org/officeDocument/2006/relationships/hyperlink" Target="https://www.digikey.jp/product-detail/en/alpha-wire/33201-GR005/33201GR005-ND/4928045" TargetMode="External"/><Relationship Id="rId4227" Type="http://schemas.openxmlformats.org/officeDocument/2006/relationships/hyperlink" Target="https://www.digikey.jp/ja/products/detail/digilent-inc/410-338/6707566" TargetMode="External"/><Relationship Id="rId4434" Type="http://schemas.openxmlformats.org/officeDocument/2006/relationships/hyperlink" Target="https://www.monotaro.com/monotaroMain.py?func=monotaro.basket.showListServlet.ShowListServlet" TargetMode="External"/><Relationship Id="rId2192" Type="http://schemas.openxmlformats.org/officeDocument/2006/relationships/hyperlink" Target="https://www.monotaro.com/p/6891/0293/?t.q=%83L%83%83%83b%83v%83X%83N%83%8A%83%85%81%5B%20M2" TargetMode="External"/><Relationship Id="rId3036" Type="http://schemas.openxmlformats.org/officeDocument/2006/relationships/hyperlink" Target="https://jp.misumi-ec.com/vona2/detail/110302280540/?HissuCode=CBSTSR3-10" TargetMode="External"/><Relationship Id="rId3243" Type="http://schemas.openxmlformats.org/officeDocument/2006/relationships/hyperlink" Target="https://www.digikey.jp/product-detail/ja/vishay-siliconix/SQ1922EEH-T1_GE3/SQ1922EEH-T1_GE3CT-ND/7622831" TargetMode="External"/><Relationship Id="rId4641" Type="http://schemas.openxmlformats.org/officeDocument/2006/relationships/hyperlink" Target="https://www.digikey.jp/ja/products/detail/dfrobot/FIT0278/6588458?s=N4IgTCBcDaIGIEkAqAGMB2AHCAugXyA" TargetMode="External"/><Relationship Id="rId164" Type="http://schemas.openxmlformats.org/officeDocument/2006/relationships/hyperlink" Target="https://www.digikey.jp/product-detail/en/analog-devices-inc/TMP36FSZ-REEL/TMP36FSZ-REELCT-ND/3761261" TargetMode="External"/><Relationship Id="rId371" Type="http://schemas.openxmlformats.org/officeDocument/2006/relationships/hyperlink" Target="https://www.p-ban.com/kiban/com/csComTop.do" TargetMode="External"/><Relationship Id="rId2052" Type="http://schemas.openxmlformats.org/officeDocument/2006/relationships/hyperlink" Target="https://www.digikey.jp/product-detail/ja/hirose-electric-co-ltd/U.FL-R-SMT-1(10)/H11891CT-ND/2504612?utm_adgroup=Coaxial%20Connectors%20%28RF%29&amp;utm_source=google&amp;utm_medium=cpc&amp;utm_campaign=Shopping_Product_Connectors%2C%20Interconnects_NEW&amp;utm_term=&amp;productid=2504612&amp;gclid=Cj0KCQjwoub3BRC6ARIsABGhnyZpC5Sc8FxHpAadYNMI5rIQdpl28uqNmfCqIPaJSgm16WkepQyrQS4aAqOIEALw_wcB" TargetMode="External"/><Relationship Id="rId3450" Type="http://schemas.openxmlformats.org/officeDocument/2006/relationships/hyperlink" Target="https://www.askul.co.jp/p/8435560/" TargetMode="External"/><Relationship Id="rId4501" Type="http://schemas.openxmlformats.org/officeDocument/2006/relationships/hyperlink" Target="https://jp.rs-online.com/web/p/surface-mount-resistors/6789670/?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7382D39363730267365617263685F6B6579776F72645F6170703D36373839363730267365617263685F636F6E6669673D3126&amp;searchHistory=%7B%22enabled%22%3Atrue%7D" TargetMode="External"/><Relationship Id="rId3103" Type="http://schemas.openxmlformats.org/officeDocument/2006/relationships/hyperlink" Target="https://jp.misumi-ec.com/vona2/detail/221000348314/?ProductCode=SNSS-M2X4-VA" TargetMode="External"/><Relationship Id="rId3310" Type="http://schemas.openxmlformats.org/officeDocument/2006/relationships/hyperlink" Target="https://jp.rs-online.com/web/p/crystal-units/7537067/" TargetMode="External"/><Relationship Id="rId5068" Type="http://schemas.openxmlformats.org/officeDocument/2006/relationships/hyperlink" Target="https://www.monotaro.com/g/04244866/" TargetMode="External"/><Relationship Id="rId231" Type="http://schemas.openxmlformats.org/officeDocument/2006/relationships/hyperlink" Target="https://jp.rs-online.com/web/p/products/8233908/" TargetMode="External"/><Relationship Id="rId2869" Type="http://schemas.openxmlformats.org/officeDocument/2006/relationships/hyperlink" Target="https://www.monotaro.com/g/01868633/" TargetMode="External"/><Relationship Id="rId5275" Type="http://schemas.openxmlformats.org/officeDocument/2006/relationships/hyperlink" Target="https://www.monotaro.com/g/04244866/" TargetMode="External"/><Relationship Id="rId1678" Type="http://schemas.openxmlformats.org/officeDocument/2006/relationships/hyperlink" Target="https://www.digikey.jp/product-detail/en/molex/0887328502/WM14083-ND/2711788" TargetMode="External"/><Relationship Id="rId1885" Type="http://schemas.openxmlformats.org/officeDocument/2006/relationships/hyperlink" Target="https://www.monotaro.com/p/1131/7172/" TargetMode="External"/><Relationship Id="rId2729" Type="http://schemas.openxmlformats.org/officeDocument/2006/relationships/hyperlink" Target="https://www.amazon.co.jp/KeeYees-%E3%82%A8%E3%83%AC%E3%82%AF%E3%83%88%E3%83%AD%E3%83%8B%E3%82%AF%E3%82%B9%E5%85%A5%E9%96%80%E3%82%AD%E3%83%83%E3%83%88-Electronics-Raspberry-%E3%83%81%E3%83%A5%E3%83%BC%E3%83%88%E3%83%AA%E3%82%A2%E3%83%AB%E3%81%82%E3%82%8A/dp/B081F7FNR7/ref=sr_1_26_sspa?dchild=1&amp;keywords=%E9%9B%BB%E5%AD%90%E9%83%A8%E5%93%81+%E3%82%BB%E3%83%83%E3%83%88&amp;qid=1605092109&amp;sr=8-26-spons&amp;psc=1&amp;spLa=ZW5jcnlwdGVkUXVhbGlmaWVyPUExUEZRVUpNMlhYUlJOJmVuY3J5cHRlZElkPUEwODI3NTY1M0RLQ01OQkw2M1gxMyZlbmNyeXB0ZWRBZElkPUExUUVQRlZDNU9FRUYzJndpZGdldE5hbWU9c3BfbXRmJmFjdGlvbj1jbGlja1JlZGlyZWN0JmRvTm90TG9nQ2xpY2s9dHJ1ZQ==" TargetMode="External"/><Relationship Id="rId2936" Type="http://schemas.openxmlformats.org/officeDocument/2006/relationships/hyperlink" Target="https://www.cqcqde.com/fs/cqohm/ICR30" TargetMode="External"/><Relationship Id="rId4084" Type="http://schemas.openxmlformats.org/officeDocument/2006/relationships/hyperlink" Target="https://www.digikey.jp/product-detail/en/koa-speer-electronics-inc/RK73H1JTTD1502F/2019-RK73H1JTTD1502FCT-ND/9846896" TargetMode="External"/><Relationship Id="rId4291" Type="http://schemas.openxmlformats.org/officeDocument/2006/relationships/hyperlink" Target="https://jp.misumi-ec.com/vona2/detail/221000551286/?ProductCode=CSH-SUS-M3-15" TargetMode="External"/><Relationship Id="rId5135" Type="http://schemas.openxmlformats.org/officeDocument/2006/relationships/hyperlink" Target="https://jp.rs-online.com/web/p/crimped-wire/1260291" TargetMode="External"/><Relationship Id="rId5342" Type="http://schemas.openxmlformats.org/officeDocument/2006/relationships/hyperlink" Target="https://www.digikey.jp/en/products/detail/harwin-inc/S01-30300500/4953267" TargetMode="External"/><Relationship Id="rId908" Type="http://schemas.openxmlformats.org/officeDocument/2006/relationships/hyperlink" Target="https://jp.rs-online.com/web/p/surface-mount-fixed-resistors/1229649/" TargetMode="External"/><Relationship Id="rId1538" Type="http://schemas.openxmlformats.org/officeDocument/2006/relationships/hyperlink" Target="https://www.digikey.jp/product-detail/en/sparkfun-electronics/SEN-12786/1568-1169-ND/5673755" TargetMode="External"/><Relationship Id="rId4151" Type="http://schemas.openxmlformats.org/officeDocument/2006/relationships/hyperlink" Target="https://www.askul.co.jp/p/1260069/?int_id=recom_DtVar" TargetMode="External"/><Relationship Id="rId5202" Type="http://schemas.openxmlformats.org/officeDocument/2006/relationships/hyperlink" Target="https://www.yoshimi-inc.com/shopbrand/ct15/" TargetMode="External"/><Relationship Id="rId1745" Type="http://schemas.openxmlformats.org/officeDocument/2006/relationships/hyperlink" Target="https://www.digikey.jp/product-detail/ja/johanson-technology-inc/L603DC/712-1451-ND/1915219" TargetMode="External"/><Relationship Id="rId1952" Type="http://schemas.openxmlformats.org/officeDocument/2006/relationships/hyperlink" Target="https://www.mouser.jp/ProductDetail/Analog-Devices-Linear-Technology/LTC4361IDC-2TRMPBF?qs=hVkxg5c3xu8HFOGoKycDRQ%3D%3D" TargetMode="External"/><Relationship Id="rId4011" Type="http://schemas.openxmlformats.org/officeDocument/2006/relationships/hyperlink" Target="https://jp.rs-online.com/web/p/mlccs-multilayer-ceramic-capacitors/6983263" TargetMode="External"/><Relationship Id="rId37" Type="http://schemas.openxmlformats.org/officeDocument/2006/relationships/hyperlink" Target="https://www.minicircuits.com/WebStore/dashboard.html?model=ZHL-50W-52-S%2B" TargetMode="External"/><Relationship Id="rId1605" Type="http://schemas.openxmlformats.org/officeDocument/2006/relationships/hyperlink" Target="https://jp.misumi-ec.com/vona2/detail/221000572234/?PNSearch=34-0446&amp;HissuCode=34-0446&amp;searchFlow=suggest2products&amp;Keyword=34-0446" TargetMode="External"/><Relationship Id="rId1812" Type="http://schemas.openxmlformats.org/officeDocument/2006/relationships/hyperlink" Target="https://www.digikey.jp/product-detail/en/ecs-inc/ECS-200-18-30BQ-DS/XC1997DKR-ND/4073674" TargetMode="External"/><Relationship Id="rId4968" Type="http://schemas.openxmlformats.org/officeDocument/2006/relationships/hyperlink" Target="https://jp.rs-online.com/web/p/mlccs-multilayer-ceramic-capacitors/9159221" TargetMode="External"/><Relationship Id="rId3777" Type="http://schemas.openxmlformats.org/officeDocument/2006/relationships/hyperlink" Target="https://www.digikey.jp/product-detail/en/te-connectivity-amp-connectors/534998-6/A26487-ND/352963" TargetMode="External"/><Relationship Id="rId3984" Type="http://schemas.openxmlformats.org/officeDocument/2006/relationships/hyperlink" Target="https://jp.misumi-ec.com/vona2/detail/110300442340/?ProductCode=HBLFSN6" TargetMode="External"/><Relationship Id="rId4828" Type="http://schemas.openxmlformats.org/officeDocument/2006/relationships/hyperlink" Target="https://www.monotaro.com/p/1131/6987/" TargetMode="External"/><Relationship Id="rId698" Type="http://schemas.openxmlformats.org/officeDocument/2006/relationships/hyperlink" Target="https://www.digikey.jp/product-detail/en/rohm-semiconductor/SML-E12M8WT86/511-1584-1-ND/1641816" TargetMode="External"/><Relationship Id="rId2379" Type="http://schemas.openxmlformats.org/officeDocument/2006/relationships/hyperlink" Target="https://www.monotaro.com/g/04137277/" TargetMode="External"/><Relationship Id="rId2586" Type="http://schemas.openxmlformats.org/officeDocument/2006/relationships/hyperlink" Target="https://www.digikey.jp/product-detail/en/kemet/C0805C332K4RAC7800/399-14593-1-ND/7103885" TargetMode="External"/><Relationship Id="rId2793" Type="http://schemas.openxmlformats.org/officeDocument/2006/relationships/hyperlink" Target="https://www.digikey.jp/product-detail/en/koa-speer-electronics-inc/RK73H1JTTD3301F/2019-RK73H1JTTD3301FCT-ND/9846903" TargetMode="External"/><Relationship Id="rId3637" Type="http://schemas.openxmlformats.org/officeDocument/2006/relationships/hyperlink" Target="https://www.digikey.jp/product-detail/ja/on-semiconductor/NCV1117ST18T3G/NCV1117ST18T3GOSCT-ND/3487436" TargetMode="External"/><Relationship Id="rId3844" Type="http://schemas.openxmlformats.org/officeDocument/2006/relationships/hyperlink" Target="https://jp.misumi-ec.com/vona2/detail/221000348314/?searchFlow=combo2products&amp;KWSearch=SNSS-M2-4&amp;HissuCode=SNSS-M2X4&amp;PNSearch=SNSS-M2X4" TargetMode="External"/><Relationship Id="rId558" Type="http://schemas.openxmlformats.org/officeDocument/2006/relationships/hyperlink" Target="https://www.digikey.jp/products/en?keywords=S6104-ND" TargetMode="External"/><Relationship Id="rId765" Type="http://schemas.openxmlformats.org/officeDocument/2006/relationships/hyperlink" Target="https://www.digikey.jp/product-detail/ja/johanson-technology-inc/L-07C7N5JV6T/712-1463-1-ND/1915242" TargetMode="External"/><Relationship Id="rId972" Type="http://schemas.openxmlformats.org/officeDocument/2006/relationships/hyperlink" Target="https://www.digikey.jp/product-detail/ja/PA0096/PA0096-ND/5014723/?itemSeq=299163251" TargetMode="External"/><Relationship Id="rId1188" Type="http://schemas.openxmlformats.org/officeDocument/2006/relationships/hyperlink" Target="https://www.monotaro.com/p/6069/0053/" TargetMode="External"/><Relationship Id="rId1395" Type="http://schemas.openxmlformats.org/officeDocument/2006/relationships/hyperlink" Target="https://www.digikey.jp/product-detail/en/kemet/C0805C621J5GAC7800/399-15521-1-ND/7386919" TargetMode="External"/><Relationship Id="rId2239" Type="http://schemas.openxmlformats.org/officeDocument/2006/relationships/hyperlink" Target="https://jp.rs-online.com/web/p/mosfets/6954726/?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3534D334A3132305455267374613D53534D334A313230545526&amp;searchHistory=%7B%22enabled%22%3Atrue%7D" TargetMode="External"/><Relationship Id="rId2446" Type="http://schemas.openxmlformats.org/officeDocument/2006/relationships/hyperlink" Target="https://www.digikey.jp/ja/supplier-centers/standex-meder-electronics" TargetMode="External"/><Relationship Id="rId2653" Type="http://schemas.openxmlformats.org/officeDocument/2006/relationships/hyperlink" Target="https://www.mouser.jp/ProductDetail/KEMET/C1206C476M8PACTU?qs=%2Fha2pyFadugJ%252BGm75WbhsyZUUOBJY3yVapyuVf2lclQ1Jqb9xQ1%252Bcg%3D%3D" TargetMode="External"/><Relationship Id="rId2860" Type="http://schemas.openxmlformats.org/officeDocument/2006/relationships/hyperlink" Target="https://www.digikey.jp/product-detail/ja/amphenol-sv-microwave/7032-7241/7032-7241-ND/8278707" TargetMode="External"/><Relationship Id="rId3704" Type="http://schemas.openxmlformats.org/officeDocument/2006/relationships/hyperlink" Target="https://www.utsource.net/itm/p/8348765.html" TargetMode="External"/><Relationship Id="rId418" Type="http://schemas.openxmlformats.org/officeDocument/2006/relationships/hyperlink" Target="https://www.digikey.jp/product-detail/en/johanson-technology-inc/251R14S560JV4T/712-1358-1-ND/1786820" TargetMode="External"/><Relationship Id="rId625" Type="http://schemas.openxmlformats.org/officeDocument/2006/relationships/hyperlink" Target="https://www.digikey.jp/product-detail/en/m-a-com-technology-solutions/MABA-010245-CT1160/1465-1309-1-ND/4430006" TargetMode="External"/><Relationship Id="rId832" Type="http://schemas.openxmlformats.org/officeDocument/2006/relationships/hyperlink" Target="https://www.monotaro.com/p/0120/3868/?t.q=%8A%DB%8C%5E%83X%83%80%81%5B%83X" TargetMode="External"/><Relationship Id="rId1048" Type="http://schemas.openxmlformats.org/officeDocument/2006/relationships/hyperlink" Target="https://www.digikey.jp/product-detail/en/ecs-inc/ECS-80-18-20BQ-DS/XC2015CT-ND/4073726" TargetMode="External"/><Relationship Id="rId1255" Type="http://schemas.openxmlformats.org/officeDocument/2006/relationships/hyperlink" Target="http://akizukidenshi.com/catalog/g/gP-01591/" TargetMode="External"/><Relationship Id="rId1462" Type="http://schemas.openxmlformats.org/officeDocument/2006/relationships/hyperlink" Target="https://www.digikey.jp/product-detail/en/murata-electronics/GJM1555C1H470GB01D/490-16375-1-ND/7363357" TargetMode="External"/><Relationship Id="rId2306" Type="http://schemas.openxmlformats.org/officeDocument/2006/relationships/hyperlink" Target="https://jp.misumi-ec.com/vona2/detail/221000551286/?HissuCode=CSH-STD-M12-50&amp;PNSearch=CSH-STD-M12-50&amp;KWSearch=CSH-STD-M12-50&amp;searchFlow=results2products" TargetMode="External"/><Relationship Id="rId2513" Type="http://schemas.openxmlformats.org/officeDocument/2006/relationships/hyperlink" Target="https://jp.misumi-ec.com/vona2/detail/110302280540/?HissuCode=CBSTSR2-6&amp;PNSearch=CBSTSR2-6&amp;KWSearch=CBSTSR2-6&amp;searchFlow=results2products" TargetMode="External"/><Relationship Id="rId3911" Type="http://schemas.openxmlformats.org/officeDocument/2006/relationships/hyperlink" Target="https://jp.misumi-ec.com/vona2/detail/221000551859/?ProductCode=WSP2-SUS-M4" TargetMode="External"/><Relationship Id="rId1115" Type="http://schemas.openxmlformats.org/officeDocument/2006/relationships/hyperlink" Target="https://www.p-ban.com/kiban/com/csComTop.do" TargetMode="External"/><Relationship Id="rId1322" Type="http://schemas.openxmlformats.org/officeDocument/2006/relationships/hyperlink" Target="https://www.amazon.co.jp/gp/product/B06XCSCD8T/ref=ppx_yo_dt_b_asin_title_o09_s00?ie=UTF8&amp;psc=1" TargetMode="External"/><Relationship Id="rId2720" Type="http://schemas.openxmlformats.org/officeDocument/2006/relationships/hyperlink" Target="https://www.amazon.co.jp/Raspberry-Pi-%E3%82%AB%E3%83%A1%E3%83%A9%E3%83%A2%E3%82%B8%E3%83%A5%E3%83%BC%E3%83%AB%E3%80%90Raspberry-Camera-V2%E3%80%91/dp/B01F1SWTZE/ref=asc_df_B01F1SWTZE/?tag=jpgo-22&amp;linkCode=df0&amp;hvadid=342446474080&amp;hvpos=&amp;hvnetw=g&amp;hvrand=6402110472140879659&amp;hvpone=&amp;hvptwo=&amp;hvqmt=&amp;hvdev=c&amp;hvdvcmdl=&amp;hvlocint=&amp;hvlocphy=1009721&amp;hvtargid=pla-913874880132&amp;psc=1&amp;tag=&amp;ref=&amp;adgrpid=70566202682&amp;hvpone=&amp;hvptwo=&amp;hvadid=342446474080&amp;hvpos=&amp;hvnetw=g&amp;hvrand=6402110472140879659&amp;hvqmt=&amp;hvdev=c&amp;hvdvcmdl=&amp;hvlocint=&amp;hvlocphy=1009721&amp;hvtargid=pla-913874880132" TargetMode="External"/><Relationship Id="rId4478" Type="http://schemas.openxmlformats.org/officeDocument/2006/relationships/hyperlink" Target="https://www.askul.co.jp/p/1260078/?int_id=recom_DtVar" TargetMode="External"/><Relationship Id="rId3287" Type="http://schemas.openxmlformats.org/officeDocument/2006/relationships/hyperlink" Target="https://www.edmundoptics.com/p/550nm-cwl-125mm-dia-hard-coated-od-4-10nm-bandpass-filter/19753/" TargetMode="External"/><Relationship Id="rId4338" Type="http://schemas.openxmlformats.org/officeDocument/2006/relationships/hyperlink" Target="https://www.monotaro.com/g/00029003/?t.q=%E3%83%88%E3%83%AB%E3%82%AF%E3%83%89%E3%83%A9%E3%82%A4%E3%83%90%E3%83%BC%20%E3%83%93%E3%83%83%E3%83%88" TargetMode="External"/><Relationship Id="rId4685" Type="http://schemas.openxmlformats.org/officeDocument/2006/relationships/hyperlink" Target="https://www.mouser.jp/ProductDetail/Nexperia/PMEG2010ER115?qs=%2Fha2pyFadujp3dcHNPxbXRc0to8rNi1zAJyCRgSrARKx1if86CV9yw%3D%3D" TargetMode="External"/><Relationship Id="rId4892" Type="http://schemas.openxmlformats.org/officeDocument/2006/relationships/hyperlink" Target="https://www.digikey.jp/products/en?keywords=296-36413-1-ND" TargetMode="External"/><Relationship Id="rId2096" Type="http://schemas.openxmlformats.org/officeDocument/2006/relationships/hyperlink" Target="https://jp.misumi-ec.com/vona2/detail/221006204478/?HissuCode=C-302&amp;PNSearch=C-302&amp;KWSearch=C-302&amp;searchFlow=results2products" TargetMode="External"/><Relationship Id="rId3494" Type="http://schemas.openxmlformats.org/officeDocument/2006/relationships/hyperlink" Target="https://www.digikey.jp/product-detail/ja/xp-power/VER24US120-JA/1470-3173-ND/5864683" TargetMode="External"/><Relationship Id="rId4545" Type="http://schemas.openxmlformats.org/officeDocument/2006/relationships/hyperlink" Target="https://akizukidenshi.com/catalog/g/gM-08633/" TargetMode="External"/><Relationship Id="rId4752" Type="http://schemas.openxmlformats.org/officeDocument/2006/relationships/hyperlink" Target="https://www.mouser.jp/ProductDetail/Hirose-Connector/SMPM-TMJ?qs=vcbW%252B4%252BSTIqHM4dYxWelOw%3D%3D" TargetMode="External"/><Relationship Id="rId3147" Type="http://schemas.openxmlformats.org/officeDocument/2006/relationships/hyperlink" Target="https://www.digikey.jp/product-detail/en/molex/0530480310/WM1743-ND/242865" TargetMode="External"/><Relationship Id="rId3354" Type="http://schemas.openxmlformats.org/officeDocument/2006/relationships/hyperlink" Target="https://www.cqnet.co.jp/musen2/72_7059.html" TargetMode="External"/><Relationship Id="rId3561" Type="http://schemas.openxmlformats.org/officeDocument/2006/relationships/hyperlink" Target="https://www.mouser.jp/ProductDetail/Texas-Instruments/SN74LVC2G34DCK3?qs=sGAEpiMZZMutXGli8Ay4kJCrMScpRZEi7SiCxwx5uDg%3D" TargetMode="External"/><Relationship Id="rId4405" Type="http://schemas.openxmlformats.org/officeDocument/2006/relationships/hyperlink" Target="https://www.ni.com/ja-jp/shop/hardware/products/c-series-temperature-input-module.html" TargetMode="External"/><Relationship Id="rId4612" Type="http://schemas.openxmlformats.org/officeDocument/2006/relationships/hyperlink" Target="https://ja.aliexpress.com/item/4000570190303.html?spm=a2g0o.seodetail.topbuy.1.7c8a6e546AtOPr" TargetMode="External"/><Relationship Id="rId275" Type="http://schemas.openxmlformats.org/officeDocument/2006/relationships/hyperlink" Target="https://www.digikey.jp/product-detail/ja/infineon-technologies/IRF7416TRPBF/IRF7416TRPBFCT-ND/1769880" TargetMode="External"/><Relationship Id="rId482" Type="http://schemas.openxmlformats.org/officeDocument/2006/relationships/hyperlink" Target="https://www.digikey.jp/product-detail/ja/vishay-siliconix/IRF620PBF/IRF620PBF-ND/811694" TargetMode="External"/><Relationship Id="rId2163" Type="http://schemas.openxmlformats.org/officeDocument/2006/relationships/hyperlink" Target="https://jp.misumi-ec.com/vona2/detail/223009610115/?ProductCode=MC-008D" TargetMode="External"/><Relationship Id="rId2370" Type="http://schemas.openxmlformats.org/officeDocument/2006/relationships/hyperlink" Target="https://jp.misumi-ec.com/vona2/detail/221000348314/?ProductCode=SNSS-M1.6X5" TargetMode="External"/><Relationship Id="rId3007" Type="http://schemas.openxmlformats.org/officeDocument/2006/relationships/hyperlink" Target="https://www.digikey.jp/product-detail/ja/texas-instruments/LM2830XMF-NOPB/LM2830XMF-NOPBCT-ND/1206386" TargetMode="External"/><Relationship Id="rId3214" Type="http://schemas.openxmlformats.org/officeDocument/2006/relationships/hyperlink" Target="https://www.monotaro.com/g/00177883/?monotaroNo=9206154" TargetMode="External"/><Relationship Id="rId3421" Type="http://schemas.openxmlformats.org/officeDocument/2006/relationships/hyperlink" Target="https://jp.misumi-ec.com/vona2/detail/221006493827/?ProductCode=SNSS-M2-4-SD-VA" TargetMode="External"/><Relationship Id="rId135" Type="http://schemas.openxmlformats.org/officeDocument/2006/relationships/hyperlink" Target="http://www.onk-phnx.co.jp/steel/" TargetMode="External"/><Relationship Id="rId342" Type="http://schemas.openxmlformats.org/officeDocument/2006/relationships/hyperlink" Target="http://skytraq.com.tw/" TargetMode="External"/><Relationship Id="rId2023" Type="http://schemas.openxmlformats.org/officeDocument/2006/relationships/hyperlink" Target="https://www.digikey.jp/product-detail/en/molex/0510210200/WM1720-ND/242842" TargetMode="External"/><Relationship Id="rId2230" Type="http://schemas.openxmlformats.org/officeDocument/2006/relationships/hyperlink" Target="https://www.amazon.co.jp/%E4%B8%89%E8%8F%B1%E3%82%B1%E3%83%9F%E3%82%AB%E3%83%AB%E3%83%A1%E3%83%87%E3%82%A3%E3%82%A2-Verbatim-1%E5%9B%9E%E9%8C%B2%E7%94%BB%E7%94%A8DVD-R-VHR12JP25V1-1-16%E5%80%8D%E9%80%9F/dp/B0041WF472?ref_=Oct_s9_apbd_oup_hd_bw_b2Lcufz&amp;pf_rd_r=R4MCHYFMCMD3D27Z4B7S&amp;pf_rd_p=fb7616fe-47a2-5380-9122-da932861bc0e&amp;pf_rd_s=merchandised-search-10&amp;pf_rd_t=BROWSE&amp;pf_rd_i=2151843051" TargetMode="External"/><Relationship Id="rId5179" Type="http://schemas.openxmlformats.org/officeDocument/2006/relationships/hyperlink" Target="https://mou.sr/3tjMImc" TargetMode="External"/><Relationship Id="rId202" Type="http://schemas.openxmlformats.org/officeDocument/2006/relationships/hyperlink" Target="https://www.amazon.com/Authentic-Genuine-Nagoya-UT-72-Magnetic/dp/B0744QPSG8/ref=pd_rhf_ee_s_vtp_ses_clicks_0_2?_encoding=UTF8&amp;pd_rd_i=B016SIJX28&amp;pd_rd_r=03c47ed7-8ef6-4d53-a72f-ff4cae994fc7&amp;pd_rd_w=bUQBb&amp;pd_rd_wg=V91CY&amp;pf_rd_i=desktop-rhf&amp;pf_rd_m=ATVPDKIKX0DER&amp;pf_rd_p=05d75987-58ed-4d36-bbfa-515cd87e4ee3&amp;pf_rd_r=EEF790HG335Q0Z5991WV&amp;pf_rd_s=desktop-rhf&amp;pf_rd_t=40701&amp;refRID=EEF790HG335Q0Z5991WV&amp;th=1" TargetMode="External"/><Relationship Id="rId4195" Type="http://schemas.openxmlformats.org/officeDocument/2006/relationships/hyperlink" Target="https://www.mouser.jp/ProductDetail/Panasonic/ERJ-P06J272V?qs=Zyl8A9hlmJp43kcRqIyV7A%3D%3D" TargetMode="External"/><Relationship Id="rId5039" Type="http://schemas.openxmlformats.org/officeDocument/2006/relationships/hyperlink" Target="https://www.mouser.jp/ProductDetail/KEMET/C0805X332FAGECAUTO?qs=55YtniHzbhDxoFw9j%2FN6Jg%3D%3D" TargetMode="External"/><Relationship Id="rId5246" Type="http://schemas.openxmlformats.org/officeDocument/2006/relationships/hyperlink" Target="https://jp.misumi-ec.com/vona2/detail/110300240130/?CategorySpec=SP100255878%3a%3a20220906084836058512536%09SP100255627%3a%3a20220906084836058517943%09SP100255553%3a%3aa%09SP100256381%3a%3ab&amp;list=PageCategory" TargetMode="External"/><Relationship Id="rId1789" Type="http://schemas.openxmlformats.org/officeDocument/2006/relationships/hyperlink" Target="https://www.digikey.jp/product-detail/en/johanson-technology-inc/L-07C8N2JV6T/712-1420-1-ND/1840098" TargetMode="External"/><Relationship Id="rId1996" Type="http://schemas.openxmlformats.org/officeDocument/2006/relationships/hyperlink" Target="https://www.digikey.jp/products/ja/resistors/chip-resistor-surface-mount/52?k=&amp;pkeyword=&amp;sv=0&amp;pv2085=u12+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4055" Type="http://schemas.openxmlformats.org/officeDocument/2006/relationships/hyperlink" Target="https://jp.misumi-ec.com/vona2/detail/221006204478/?PNSearch=C-2002-4&amp;HissuCode=C-2002-4&amp;searchFlow=suggest2products&amp;Keyword=C-2002-4&amp;list=SuggestPreview" TargetMode="External"/><Relationship Id="rId4262" Type="http://schemas.openxmlformats.org/officeDocument/2006/relationships/hyperlink" Target="https://jp.rs-online.com/web/p/solid-state-relays/6996632" TargetMode="External"/><Relationship Id="rId5106" Type="http://schemas.openxmlformats.org/officeDocument/2006/relationships/hyperlink" Target="https://www.mouser.jp/ProductDetail/ROHM-Semiconductor/UCR03EWPFSR024?qs=493kPxzlxfJVlPmrvprtdw%3D%3D" TargetMode="External"/><Relationship Id="rId1649" Type="http://schemas.openxmlformats.org/officeDocument/2006/relationships/hyperlink" Target="http://www.ktek.jp/mini-ckt-atten-term-50-ohm.html" TargetMode="External"/><Relationship Id="rId1856" Type="http://schemas.openxmlformats.org/officeDocument/2006/relationships/hyperlink" Target="https://jp.rs-online.com/web/p/current-sensing-amplifiers/7869727/" TargetMode="External"/><Relationship Id="rId2907" Type="http://schemas.openxmlformats.org/officeDocument/2006/relationships/hyperlink" Target="https://www.digikey.jp/product-detail/ja/w%C3%BCrth-elektronik/742792040/732-1620-1-ND/1639564" TargetMode="External"/><Relationship Id="rId3071" Type="http://schemas.openxmlformats.org/officeDocument/2006/relationships/hyperlink" Target="https://jp.misumi-ec.com/vona2/detail/221000551286/?HissuCode=CSH-SUS-M2.5-5&amp;PNSearch=CSH-SUS-M2.5-5&amp;KWSearch=CSH-SUS-M2.5-5&amp;searchFlow=results2products" TargetMode="External"/><Relationship Id="rId5313" Type="http://schemas.openxmlformats.org/officeDocument/2006/relationships/hyperlink" Target="https://www.digikey.jp/en/products/detail/yageo/RC0603FR-07100KL/726889" TargetMode="External"/><Relationship Id="rId1509" Type="http://schemas.openxmlformats.org/officeDocument/2006/relationships/hyperlink" Target="https://www.digikey.jp/product-detail/en/ftdi-future-technology-devices-international-ltd/TTL-232R-3V3/768-1015-ND/1836393" TargetMode="External"/><Relationship Id="rId1716" Type="http://schemas.openxmlformats.org/officeDocument/2006/relationships/hyperlink" Target="https://www.jp.omega.com/pptst/KHRA-KHLVA-KHA-SERIES.html" TargetMode="External"/><Relationship Id="rId1923" Type="http://schemas.openxmlformats.org/officeDocument/2006/relationships/hyperlink" Target="https://www.marutsu.co.jp/pc/i/857942/" TargetMode="External"/><Relationship Id="rId4122" Type="http://schemas.openxmlformats.org/officeDocument/2006/relationships/hyperlink" Target="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false%7D" TargetMode="External"/><Relationship Id="rId3888" Type="http://schemas.openxmlformats.org/officeDocument/2006/relationships/hyperlink" Target="https://www.ebay.com/itm/284413108865?hash=item423857a281:g:dfkAAOSwrh1hGyle" TargetMode="External"/><Relationship Id="rId4939" Type="http://schemas.openxmlformats.org/officeDocument/2006/relationships/hyperlink" Target="https://www.digikey.jp/ja/products/detail/keystone-electronics/1049P/4499390" TargetMode="External"/><Relationship Id="rId2697" Type="http://schemas.openxmlformats.org/officeDocument/2006/relationships/hyperlink" Target="https://www.mouser.jp/ProductDetail/Hirose-Connector/DF14-30P-125H24?qs=%2Fha2pyFaduiY39LNBoKfOWfNT6fkQMBT7dpZLE3s3GuaBtxIHdUeCr3slEPgAMX9" TargetMode="External"/><Relationship Id="rId3748" Type="http://schemas.openxmlformats.org/officeDocument/2006/relationships/hyperlink" Target="http://www.rflink.co.jp/lev1-sdk.html" TargetMode="External"/><Relationship Id="rId669" Type="http://schemas.openxmlformats.org/officeDocument/2006/relationships/hyperlink" Target="https://www.monotaro.com/g/03486717/?t.q=%83J%83v%83g%83%93%83e%81%5B%83v" TargetMode="External"/><Relationship Id="rId876" Type="http://schemas.openxmlformats.org/officeDocument/2006/relationships/hyperlink" Target="https://jp.rs-online.com/web/p/pcb-headers/2518086/" TargetMode="External"/><Relationship Id="rId1299" Type="http://schemas.openxmlformats.org/officeDocument/2006/relationships/hyperlink" Target="https://jp.misumi-ec.com/vona2/detail/110600437470/?CategorySpec=SP464389::nvd00000000000591%09SP464390::nvd00000000000162&amp;clkid=clkid_list_template" TargetMode="External"/><Relationship Id="rId2557" Type="http://schemas.openxmlformats.org/officeDocument/2006/relationships/hyperlink" Target="https://www.askul.co.jp/p/A784662/" TargetMode="External"/><Relationship Id="rId3608" Type="http://schemas.openxmlformats.org/officeDocument/2006/relationships/hyperlink" Target="https://www.digikey.jp/product-detail/en/taoglas-limited/TI-10-0112/931-1069-ND/2332696" TargetMode="External"/><Relationship Id="rId3955" Type="http://schemas.openxmlformats.org/officeDocument/2006/relationships/hyperlink" Target="https://jp.misumi-ec.com/vona2/detail/221006493827/?PNSearch=SNSS-M2-6-SD&amp;HissuCode=SNSS-M2-6-SD&amp;searchFlow=suggest2products&amp;Keyword=SNSS-M2-6-SD&amp;list=SuggestPreview" TargetMode="External"/><Relationship Id="rId5170" Type="http://schemas.openxmlformats.org/officeDocument/2006/relationships/hyperlink" Target="https://jp.rs-online.com/web/p/mosfets/7514076" TargetMode="External"/><Relationship Id="rId529" Type="http://schemas.openxmlformats.org/officeDocument/2006/relationships/hyperlink" Target="https://www.digikey.jp/product-detail/en/linear-technology-analog-devices/LTC4361CTS8-2-TRMPBF/LTC4361CTS8-2-TRMPBFCT-ND/2297165?cur=JPY&amp;lang=en" TargetMode="External"/><Relationship Id="rId736" Type="http://schemas.openxmlformats.org/officeDocument/2006/relationships/hyperlink" Target="https://www.monotaro.com/g/00533703/?monotaroNo=58393815" TargetMode="External"/><Relationship Id="rId1159" Type="http://schemas.openxmlformats.org/officeDocument/2006/relationships/hyperlink" Target="https://www.digikey.jp/product-detail/en/rohm-semiconductor/SML-E12V8WT86/511-1587-1-ND/1641819" TargetMode="External"/><Relationship Id="rId1366" Type="http://schemas.openxmlformats.org/officeDocument/2006/relationships/hyperlink" Target="https://www.monotaro.com/p/6069/7972/" TargetMode="External"/><Relationship Id="rId2417" Type="http://schemas.openxmlformats.org/officeDocument/2006/relationships/hyperlink" Target="https://www.monotaro.com/p/1134/8925/" TargetMode="External"/><Relationship Id="rId2764" Type="http://schemas.openxmlformats.org/officeDocument/2006/relationships/hyperlink" Target="https://www.digikey.jp/product-detail/en/analog-devices-inc/LT1357CS8-PBF/LT1357CS8-PBF-ND/889980" TargetMode="External"/><Relationship Id="rId2971" Type="http://schemas.openxmlformats.org/officeDocument/2006/relationships/hyperlink" Target="https://www.edmundoptics.com/p/680nm-cwl-125mm-dia-hard-coated-od-4-10nm-bandpass-filter/30827/" TargetMode="External"/><Relationship Id="rId3815" Type="http://schemas.openxmlformats.org/officeDocument/2006/relationships/hyperlink" Target="https://www.monotaro.com/p/0569/7536/" TargetMode="External"/><Relationship Id="rId5030" Type="http://schemas.openxmlformats.org/officeDocument/2006/relationships/hyperlink" Target="https://www.mouser.jp/ProductDetail/Weidmuller/1716030000?qs=WJDKaGZ8K%252B5TjNFJJbvOug%3D%3D" TargetMode="External"/><Relationship Id="rId943" Type="http://schemas.openxmlformats.org/officeDocument/2006/relationships/hyperlink" Target="https://www.digikey.jp/product-detail/en/adafruit-industries-llc/1957/1528-1967-ND/6827090" TargetMode="External"/><Relationship Id="rId1019" Type="http://schemas.openxmlformats.org/officeDocument/2006/relationships/hyperlink" Target="https://www.digikey.jp/product-detail/ja/mpd-memory-protection-devices/EP501A/EP501A-ND/2439550" TargetMode="External"/><Relationship Id="rId1573" Type="http://schemas.openxmlformats.org/officeDocument/2006/relationships/hyperlink" Target="https://jp.misumi-ec.com/vona2/detail/221000551444/?KWSearch=%e6%a8%b9%e8%84%82%e3%83%9c%e3%83%ab%e3%83%88&amp;searchFlow=results2products" TargetMode="External"/><Relationship Id="rId1780" Type="http://schemas.openxmlformats.org/officeDocument/2006/relationships/hyperlink" Target="https://www.digikey.jp/product-detail/en/abracon-llc/AIMC-0805-33NJ-T/535-11564-1-ND/2782805" TargetMode="External"/><Relationship Id="rId2624" Type="http://schemas.openxmlformats.org/officeDocument/2006/relationships/hyperlink" Target="https://www.digikey.jp/product-detail/en/vishay-dale/CRCW080545K3FKEA/541-45.3KCCT-ND/1180971" TargetMode="External"/><Relationship Id="rId2831" Type="http://schemas.openxmlformats.org/officeDocument/2006/relationships/hyperlink" Target="https://jp.misumi-ec.com/vona2/detail/221000347548/?PNSearch=UCF204JC&amp;HissuCode=UCF204JC&amp;searchFlow=suggest2products&amp;Keyword=UCF204JC" TargetMode="External"/><Relationship Id="rId72" Type="http://schemas.openxmlformats.org/officeDocument/2006/relationships/hyperlink" Target="https://jp.misumi-ec.com/vona2/detail/221004933699/" TargetMode="External"/><Relationship Id="rId803" Type="http://schemas.openxmlformats.org/officeDocument/2006/relationships/hyperlink" Target="https://www.p-ban.com/kiban/com/csComTop.do" TargetMode="External"/><Relationship Id="rId1226" Type="http://schemas.openxmlformats.org/officeDocument/2006/relationships/hyperlink" Target="https://jp.rs-online.com/web/p/detector-switches/7931768/?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3445330303252267374613D5344533030325226&amp;searchHistory=%7B%22enabled%22%3Atrue%7D" TargetMode="External"/><Relationship Id="rId1433" Type="http://schemas.openxmlformats.org/officeDocument/2006/relationships/hyperlink" Target="https://www.digikey.jp/product-detail/en/micro-crystal-ag/OV-7604-C7-32.768KHZ-20PPM-TA-QC/2195-OV-7604-C7-32.768KHZ-20PPM-TA-QCCT-ND/10431079" TargetMode="External"/><Relationship Id="rId1640" Type="http://schemas.openxmlformats.org/officeDocument/2006/relationships/hyperlink" Target="https://oyaide.com/catalog/products/p-562.html" TargetMode="External"/><Relationship Id="rId4589" Type="http://schemas.openxmlformats.org/officeDocument/2006/relationships/hyperlink" Target="https://www.mouser.com/ProductDetail/Diodes-Incorporated/PI5V330SWEX?qs=hFKXOjF5MkZEuoH5N2sWag%3D%3D" TargetMode="External"/><Relationship Id="rId4796" Type="http://schemas.openxmlformats.org/officeDocument/2006/relationships/hyperlink" Target="https://jp.misumi-ec.com/vona2/detail/110300239250/?HissuCode=SCB3-15" TargetMode="External"/><Relationship Id="rId1500" Type="http://schemas.openxmlformats.org/officeDocument/2006/relationships/hyperlink" Target="https://www.digikey.jp/product-detail/en/amphenol-icc-fci/D09S33E4GV00LF/609-1486-ND/1001800?cur=JPY&amp;lang=en" TargetMode="External"/><Relationship Id="rId3398" Type="http://schemas.openxmlformats.org/officeDocument/2006/relationships/hyperlink" Target="https://jp.rs-online.com/web/p/thermocouple-extension-wire/8276038/" TargetMode="External"/><Relationship Id="rId4449" Type="http://schemas.openxmlformats.org/officeDocument/2006/relationships/hyperlink" Target="https://www.graphic.jp/price/confirm/hanger_calendar/329_2_1919_3913_5_14v100_0_no" TargetMode="External"/><Relationship Id="rId4656" Type="http://schemas.openxmlformats.org/officeDocument/2006/relationships/hyperlink" Target="https://www.mouser.jp/ProductDetail/Murata-Electronics/GRM188Z71C475KE21D?qs=d0WKAl%252BL4KajNOvalhHKtQ%3D%3D" TargetMode="External"/><Relationship Id="rId4863" Type="http://schemas.openxmlformats.org/officeDocument/2006/relationships/hyperlink" Target="https://jp.rs-online.com/web/p/microcontrollers/1310289p?cm_mmc=aff2-_-jp-_-octopart-_-Instock1310289P" TargetMode="External"/><Relationship Id="rId3258" Type="http://schemas.openxmlformats.org/officeDocument/2006/relationships/hyperlink" Target="https://www.digikey.jp/product-detail/en/rohm-semiconductor/SML-E12M8WT86/511-1584-1-ND/1641816" TargetMode="External"/><Relationship Id="rId3465" Type="http://schemas.openxmlformats.org/officeDocument/2006/relationships/hyperlink" Target="https://www.p-ban.com/kiban/com/csComTop.do" TargetMode="External"/><Relationship Id="rId3672" Type="http://schemas.openxmlformats.org/officeDocument/2006/relationships/hyperlink" Target="https://www.digikey.jp/product-detail/en/johanson-technology-inc/L-07C18NJV6T/712-1409-1-ND/1840087" TargetMode="External"/><Relationship Id="rId4309" Type="http://schemas.openxmlformats.org/officeDocument/2006/relationships/hyperlink" Target="https://www.jarl.org/Japanese/2_Joho/2-2_Regulation/fees080401.htm" TargetMode="External"/><Relationship Id="rId4516" Type="http://schemas.openxmlformats.org/officeDocument/2006/relationships/hyperlink" Target="https://www.monotaro.com/p/0920/7046/" TargetMode="External"/><Relationship Id="rId4723" Type="http://schemas.openxmlformats.org/officeDocument/2006/relationships/hyperlink" Target="https://www.digikey.jp/en/products/detail/adafruit-industries-llc/1949/6827083" TargetMode="External"/><Relationship Id="rId179" Type="http://schemas.openxmlformats.org/officeDocument/2006/relationships/hyperlink" Target="https://jp.misumi-ec.com/vona2/detail/223000436932/?KWSearch=%e3%83%8f%e3%83%b3%e3%83%89%e3%82%bf%e3%83%83%e3%83%97&amp;searchFlow=results2products&amp;relatedKeyword=1" TargetMode="External"/><Relationship Id="rId386" Type="http://schemas.openxmlformats.org/officeDocument/2006/relationships/hyperlink" Target="https://www.digikey.jp/product-detail/en/johanson-technology-inc/L-07C18NJV6T/712-1409-1-ND/1840087" TargetMode="External"/><Relationship Id="rId593" Type="http://schemas.openxmlformats.org/officeDocument/2006/relationships/hyperlink" Target="https://oyaide.com/catalog/products/p-1601.html" TargetMode="External"/><Relationship Id="rId2067" Type="http://schemas.openxmlformats.org/officeDocument/2006/relationships/hyperlink" Target="https://jp.misumi-ec.com/vona2/detail/221000349089/?HissuCode=SSH-M3X6&amp;PNSearch=SSH-M3X6&amp;KWSearch=SSH-M3x6&amp;searchFlow=results2products" TargetMode="External"/><Relationship Id="rId2274" Type="http://schemas.openxmlformats.org/officeDocument/2006/relationships/hyperlink" Target="http://akizukidenshi.com/catalog/g/gM-01804/" TargetMode="External"/><Relationship Id="rId2481" Type="http://schemas.openxmlformats.org/officeDocument/2006/relationships/hyperlink" Target="https://www.digikey.jp/product-detail/ja/hirose-electric-co-ltd/U-FL-2LPHF6-04N1TV-A-200/26-U-FL-2LPHF6-04N1TV-A-200-ND/11688948" TargetMode="External"/><Relationship Id="rId3118" Type="http://schemas.openxmlformats.org/officeDocument/2006/relationships/hyperlink" Target="https://www.digikey.jp/product-detail/en/samsung-electro-mechanics/CL10B332KB8NNNC/1276-1758-1-ND/3889844" TargetMode="External"/><Relationship Id="rId3325" Type="http://schemas.openxmlformats.org/officeDocument/2006/relationships/hyperlink" Target="https://www.digikey.jp/product-detail/en/kemet/C0805C105K8RACTU/399-1172-1-ND/411447" TargetMode="External"/><Relationship Id="rId3532" Type="http://schemas.openxmlformats.org/officeDocument/2006/relationships/hyperlink" Target="https://akizukidenshi.com/catalog/g/gM-13200/" TargetMode="External"/><Relationship Id="rId4930" Type="http://schemas.openxmlformats.org/officeDocument/2006/relationships/hyperlink" Target="https://lcsc.com/search?q=SN74LVC2G34DBVR" TargetMode="External"/><Relationship Id="rId246" Type="http://schemas.openxmlformats.org/officeDocument/2006/relationships/hyperlink" Target="https://www.nbk1560.com/products/specialscrew/nedzicom/miniaturescrew/SNSS/" TargetMode="External"/><Relationship Id="rId453" Type="http://schemas.openxmlformats.org/officeDocument/2006/relationships/hyperlink" Target="https://jp.misumi-ec.com/vona2/detail/110302280540/?HissuCode=CBSTSR2-6&amp;PNSearch=CBSTSR2-6&amp;KWSearch=CBSTSR2-6&amp;searchFlow=results2products" TargetMode="External"/><Relationship Id="rId660" Type="http://schemas.openxmlformats.org/officeDocument/2006/relationships/hyperlink" Target="https://www.amazon.co.jp/kingwire-RoHS%E6%8C%87%E4%BB%A4%E6%BA%96%E6%8B%A0-%E5%B1%8B%E5%A4%96%E7%94%A8LAN%E3%82%B1%E3%83%BC%E3%83%96%E3%83%AB-%E3%82%AB%E3%83%86%E3%82%B4%E3%83%AA6-CAT6-%E3%83%96%E3%83%A9%E3%83%83%E3%82%AF-100%EF%BD%8D/dp/B07B3ZRB32?th=1" TargetMode="External"/><Relationship Id="rId1083" Type="http://schemas.openxmlformats.org/officeDocument/2006/relationships/hyperlink" Target="https://jp.rs-online.com/web/p/crocodile-clips/0405455/" TargetMode="External"/><Relationship Id="rId1290" Type="http://schemas.openxmlformats.org/officeDocument/2006/relationships/hyperlink" Target="https://www.p-ban.com/kiban/com/csComTop.do" TargetMode="External"/><Relationship Id="rId2134" Type="http://schemas.openxmlformats.org/officeDocument/2006/relationships/hyperlink" Target="https://jp.misumi-ec.com/vona2/detail/221000348314/?HissuCode=SNSS-M2X4" TargetMode="External"/><Relationship Id="rId2341" Type="http://schemas.openxmlformats.org/officeDocument/2006/relationships/hyperlink" Target="https://www.marutsu.co.jp/pc/i/223387/" TargetMode="External"/><Relationship Id="rId106" Type="http://schemas.openxmlformats.org/officeDocument/2006/relationships/hyperlink" Target="https://www.digikey.jp/product-detail/en/500R15N180JV4T/709-1171-1-ND/1859503/?itemSeq=273201451" TargetMode="External"/><Relationship Id="rId313" Type="http://schemas.openxmlformats.org/officeDocument/2006/relationships/hyperlink" Target="https://jp.rs-online.com/web/p/processor-microcontroller-development-kits/8829042/" TargetMode="External"/><Relationship Id="rId1150" Type="http://schemas.openxmlformats.org/officeDocument/2006/relationships/hyperlink" Target="https://www.mouser.jp/ProductDetail/Crowd-Supply/cs-lime-07?qs=sGAEpiMZZMve4/bfQkoj%2BPVkqhH3NE5DrTF%2BBjAPgZM=" TargetMode="External"/><Relationship Id="rId4099" Type="http://schemas.openxmlformats.org/officeDocument/2006/relationships/hyperlink" Target="https://jp.misumi-ec.com/vona2/detail/110302280540/?ProductCode=CBSTSR2-6" TargetMode="External"/><Relationship Id="rId5357" Type="http://schemas.openxmlformats.org/officeDocument/2006/relationships/hyperlink" Target="https://www.monotaro.com/p/0639/3606/?t.q=%83J%83v%83g%83%93%83e%81%5B%83v" TargetMode="External"/><Relationship Id="rId520" Type="http://schemas.openxmlformats.org/officeDocument/2006/relationships/hyperlink" Target="https://www.digikey.jp/product-detail/en/vishay-dale/WSL0805R0250FEA/WSLA-.025DKR-ND/1775805" TargetMode="External"/><Relationship Id="rId2201" Type="http://schemas.openxmlformats.org/officeDocument/2006/relationships/hyperlink" Target="https://www.digikey.jp/product-detail/en/texas-instruments/LP2954AIM-NOPB/LP2954AIM-NOPB-ND/1872456" TargetMode="External"/><Relationship Id="rId1010" Type="http://schemas.openxmlformats.org/officeDocument/2006/relationships/hyperlink" Target="https://www.digikey.jp/products/ja?keywords=1837-1035-ND" TargetMode="External"/><Relationship Id="rId1967" Type="http://schemas.openxmlformats.org/officeDocument/2006/relationships/hyperlink" Target="https://www.monotaro.com/p/1135/0544/" TargetMode="External"/><Relationship Id="rId4166" Type="http://schemas.openxmlformats.org/officeDocument/2006/relationships/hyperlink" Target="https://www.p-ban.com/kiban/com/csComTop.do" TargetMode="External"/><Relationship Id="rId4373" Type="http://schemas.openxmlformats.org/officeDocument/2006/relationships/hyperlink" Target="https://www.monotaro.com/g/00025139/?attr_2029=600&amp;attr_2032=200" TargetMode="External"/><Relationship Id="rId4580" Type="http://schemas.openxmlformats.org/officeDocument/2006/relationships/hyperlink" Target="https://www.monotaro.com/p/7579/8635/?t.q=VUW-6.35N-V" TargetMode="External"/><Relationship Id="rId5217" Type="http://schemas.openxmlformats.org/officeDocument/2006/relationships/hyperlink" Target="https://jp.misumi-ec.com/vona2/detail/221000551725/?ProductCode=WS-PA-M8" TargetMode="External"/><Relationship Id="rId4026" Type="http://schemas.openxmlformats.org/officeDocument/2006/relationships/hyperlink" Target="https://jp.misumi-ec.com/vona2/detail/110302696950/?KWSearch=PEEK&amp;searchFlow=results2products" TargetMode="External"/><Relationship Id="rId4440" Type="http://schemas.openxmlformats.org/officeDocument/2006/relationships/hyperlink" Target="https://yosho.univcoop.jp/BookShop/Book/Detail?icd=1031629096&amp;isbn=978-1-119-69258-4" TargetMode="External"/><Relationship Id="rId3042" Type="http://schemas.openxmlformats.org/officeDocument/2006/relationships/hyperlink" Target="https://www.digikey.jp/product-detail/ja/murata-electronics-north-america/LQW18CAR48J00D/490-18183-1-ND/9742085?cur=JPY&amp;lang=ja" TargetMode="External"/><Relationship Id="rId3859" Type="http://schemas.openxmlformats.org/officeDocument/2006/relationships/hyperlink" Target="https://jp.misumi-ec.com/vona2/detail/221006204478/?PNSearch=C-308-5&amp;HissuCode=C-308-5&amp;searchFlow=suggest2products&amp;Keyword=C-308-5" TargetMode="External"/><Relationship Id="rId5281" Type="http://schemas.openxmlformats.org/officeDocument/2006/relationships/hyperlink" Target="https://www.digikey.jp/ja/products/detail/toshiba-semiconductor-and-storage/SSM6K404TU-LF/10380006?s=N4IgTCBcDaIMpwLIDYDSAWADOgKgVQBoAZAMRAF0BfIA" TargetMode="External"/><Relationship Id="rId2875" Type="http://schemas.openxmlformats.org/officeDocument/2006/relationships/hyperlink" Target="https://www.htkazshop.com/SHOP/HTK_101911.html" TargetMode="External"/><Relationship Id="rId3926" Type="http://schemas.openxmlformats.org/officeDocument/2006/relationships/hyperlink" Target="https://akizukidenshi.com/catalog/g/gC-09408/" TargetMode="External"/><Relationship Id="rId847" Type="http://schemas.openxmlformats.org/officeDocument/2006/relationships/hyperlink" Target="https://jp.rs-online.com/web/p/jack-plugs/5051479" TargetMode="External"/><Relationship Id="rId1477" Type="http://schemas.openxmlformats.org/officeDocument/2006/relationships/hyperlink" Target="https://www.digikey.jp/product-detail/ja/molex/0732511150/WM5534-ND/1465156" TargetMode="External"/><Relationship Id="rId1891" Type="http://schemas.openxmlformats.org/officeDocument/2006/relationships/hyperlink" Target="https://www.digikey.jp/products/en?keywords=732-5334-ND" TargetMode="External"/><Relationship Id="rId2528" Type="http://schemas.openxmlformats.org/officeDocument/2006/relationships/hyperlink" Target="https://jp.misumi-ec.com/vona2/detail/221006204478/?HissuCode=C-305&amp;PNSearch=C-305&amp;KWSearch=C-305&amp;searchFlow=results2products" TargetMode="External"/><Relationship Id="rId2942" Type="http://schemas.openxmlformats.org/officeDocument/2006/relationships/hyperlink" Target="https://www.digikey.jp/product-detail/ja/lattice-semiconductor-corporation/LC4256ZE-7TN144I/220-1030-ND/2641831" TargetMode="External"/><Relationship Id="rId914" Type="http://schemas.openxmlformats.org/officeDocument/2006/relationships/hyperlink" Target="https://jp.rs-online.com/web/p/current-sensors/8660767/" TargetMode="External"/><Relationship Id="rId1544" Type="http://schemas.openxmlformats.org/officeDocument/2006/relationships/hyperlink" Target="https://www.digikey.jp/product-detail/ja/on-semiconductor/FSUSB42UMX/FSUSB42UMXCT-ND/1642629?utm_adgroup=Interface+Analog+Switches+-+Special+Purpose&amp;utm_source=google&amp;utm_medium=cpc&amp;utm_campaign=Google%20Shopping_Integrated%20Circuits&amp;utm_term=&amp;mkwid=sgE9sgphf&amp;pcrid=317439483774&amp;pkw=&amp;pmt=&amp;pdv=c&amp;productid=1642629&amp;slid=&amp;gclid=Cj0KCQiA0NfvBRCVARIsAO4930mggVLXh5bFAm3F6VLmwBGdA3qpImNHhD_08QxqOz7FRNnS4mDjVaYaAmi8EALw_wcB" TargetMode="External"/><Relationship Id="rId5001" Type="http://schemas.openxmlformats.org/officeDocument/2006/relationships/hyperlink" Target="https://akizukidenshi.com/catalog/g/gM-16718/" TargetMode="External"/><Relationship Id="rId1611" Type="http://schemas.openxmlformats.org/officeDocument/2006/relationships/hyperlink" Target="https://www.datadynamics.co.jp/proteus/picbundle8bitj.htm" TargetMode="External"/><Relationship Id="rId4767" Type="http://schemas.openxmlformats.org/officeDocument/2006/relationships/hyperlink" Target="https://www.splead.jp/company.html" TargetMode="External"/><Relationship Id="rId3369" Type="http://schemas.openxmlformats.org/officeDocument/2006/relationships/hyperlink" Target="https://www.digikey.jp/product-detail/ja/kemet/C0603C154K5RACTU/399-9015-1-ND/3522532" TargetMode="External"/><Relationship Id="rId2385" Type="http://schemas.openxmlformats.org/officeDocument/2006/relationships/hyperlink" Target="https://www.digikey.jp/product-detail/en/jst-sales-america-inc/SPHD-001T-P0-5/455-1325-1-ND/608808" TargetMode="External"/><Relationship Id="rId3783" Type="http://schemas.openxmlformats.org/officeDocument/2006/relationships/hyperlink" Target="https://www.thorlabs.com/thorproduct.cfm?partnumber=AC254-040-A" TargetMode="External"/><Relationship Id="rId4834" Type="http://schemas.openxmlformats.org/officeDocument/2006/relationships/hyperlink" Target="https://jp.misumi-ec.com/vona2/detail/110300465870/?list=PageCategory" TargetMode="External"/><Relationship Id="rId357" Type="http://schemas.openxmlformats.org/officeDocument/2006/relationships/hyperlink" Target="https://www.digikey.jp/product-detail/ja/seeed-technology-co-ltd/109990165/1597-1491-ND/7033235" TargetMode="External"/><Relationship Id="rId2038" Type="http://schemas.openxmlformats.org/officeDocument/2006/relationships/hyperlink" Target="https://www.p-ban.com/kiban/com/csComTop.do" TargetMode="External"/><Relationship Id="rId3436" Type="http://schemas.openxmlformats.org/officeDocument/2006/relationships/hyperlink" Target="https://www.nbk1560.com/products/specialscrew/nedzicom/lowsmallheadscrew/SSHS/SSHS-M2/" TargetMode="External"/><Relationship Id="rId3850" Type="http://schemas.openxmlformats.org/officeDocument/2006/relationships/hyperlink" Target="https://jp.misumi-ec.com/vona2/detail/221006204478/?PNSearch=C-305.5-5&amp;HissuCode=C-305.5-5&amp;searchFlow=suggest2products&amp;Keyword=C-305.5-5" TargetMode="External"/><Relationship Id="rId4901" Type="http://schemas.openxmlformats.org/officeDocument/2006/relationships/hyperlink" Target="https://jp.misumi-ec.com/vona2/detail/110302679630/?ProductCode=FABS3-96" TargetMode="External"/><Relationship Id="rId771" Type="http://schemas.openxmlformats.org/officeDocument/2006/relationships/hyperlink" Target="https://www.digikey.jp/product-detail/ja/hirose-electric-co-ltd/U.FL-2LP-04K1T-AC-50/H122285-ND/4867027" TargetMode="External"/><Relationship Id="rId2452" Type="http://schemas.openxmlformats.org/officeDocument/2006/relationships/hyperlink" Target="https://www.digikey.jp/product-detail/en/molex/0502128000/WM4561CT-ND/2524899" TargetMode="External"/><Relationship Id="rId3503" Type="http://schemas.openxmlformats.org/officeDocument/2006/relationships/hyperlink" Target="https://akizukidenshi.com/catalog/g/gS-15845/" TargetMode="External"/><Relationship Id="rId424" Type="http://schemas.openxmlformats.org/officeDocument/2006/relationships/hyperlink" Target="https://www.digikey.jp/product-detail/en/murata-electronics-north-america/LQP03TN0N7B02D/490-6708-1-ND/5802356" TargetMode="External"/><Relationship Id="rId1054" Type="http://schemas.openxmlformats.org/officeDocument/2006/relationships/hyperlink" Target="https://www.digikey.jp/product-detail/en/vishay-siliconix/SQ1912EH-T1_GE3/SQ1912EH-T1_GE3CT-ND/6709020" TargetMode="External"/><Relationship Id="rId2105" Type="http://schemas.openxmlformats.org/officeDocument/2006/relationships/hyperlink" Target="https://jp.misumi-ec.com/vona2/detail/221006204478/?HissuCode=C-318&amp;PNSearch=C-318&amp;KWSearch=C-318&amp;searchFlow=results2products" TargetMode="External"/><Relationship Id="rId1121" Type="http://schemas.openxmlformats.org/officeDocument/2006/relationships/hyperlink" Target="https://www.digikey.jp/product-detail/en/analog-devices-inc/TMP36FSZ-REEL/TMP36FSZ-REELCT-ND/3761261" TargetMode="External"/><Relationship Id="rId4277" Type="http://schemas.openxmlformats.org/officeDocument/2006/relationships/hyperlink" Target="https://www.digikey.jp/ja/products/detail/amphenol-icc-fci/20021121-00010D4LF/4243612" TargetMode="External"/><Relationship Id="rId4691" Type="http://schemas.openxmlformats.org/officeDocument/2006/relationships/hyperlink" Target="https://www.mouser.jp/ProductDetail/Samtec/HMTSW-126-08-G-D-100?qs=%2Fha2pyFadui497Z9nlyfhEM9G6u35%2F8%252Ba4MvFkDHK4%252B0cfHlyZHkvg%3D%3D" TargetMode="External"/><Relationship Id="rId5328" Type="http://schemas.openxmlformats.org/officeDocument/2006/relationships/hyperlink" Target="https://www.digikey.jp/en/products/detail/taiyo-yuden/CBC3225T150KR/2763318" TargetMode="External"/><Relationship Id="rId3293" Type="http://schemas.openxmlformats.org/officeDocument/2006/relationships/hyperlink" Target="https://www.mouser.jp/ProductDetail/SanDisk/SDSDQAF3-064G-XI?qs=F5EMLAvA7ID%2Fx3Z%252BZWB28g==" TargetMode="External"/><Relationship Id="rId4344" Type="http://schemas.openxmlformats.org/officeDocument/2006/relationships/hyperlink" Target="https://www.digikey.jp/ja/products/detail/recom-power/R05P209D/2301255" TargetMode="External"/><Relationship Id="rId1938" Type="http://schemas.openxmlformats.org/officeDocument/2006/relationships/hyperlink" Target="https://www.digikey.jp/product-detail/ja/anaren/D10AA20Z4/1173-1083-1-ND/3069281" TargetMode="External"/><Relationship Id="rId3360" Type="http://schemas.openxmlformats.org/officeDocument/2006/relationships/hyperlink" Target="https://www.digikey.jp/products/ja?keywords=SAM12591-ND" TargetMode="External"/><Relationship Id="rId281" Type="http://schemas.openxmlformats.org/officeDocument/2006/relationships/hyperlink" Target="https://www.digikey.jp/product-detail/ja/pulse-electronics-network/PE-0805CM151JTT/553-1044-1-ND/754463" TargetMode="External"/><Relationship Id="rId3013" Type="http://schemas.openxmlformats.org/officeDocument/2006/relationships/hyperlink" Target="https://www.digikey.jp/product-detail/ja/TC1-20G/TC1-20G-ND/9681981/?itemSeq=351588959" TargetMode="External"/><Relationship Id="rId4411" Type="http://schemas.openxmlformats.org/officeDocument/2006/relationships/hyperlink" Target="https://www.digikey.jp/product-detail/en/norcomp-inc/171-015-103L001/215ME-ND/858117" TargetMode="External"/><Relationship Id="rId2779" Type="http://schemas.openxmlformats.org/officeDocument/2006/relationships/hyperlink" Target="https://jp.rs-online.com/web/p/harsh-environment-wire/8417175/" TargetMode="External"/><Relationship Id="rId5185" Type="http://schemas.openxmlformats.org/officeDocument/2006/relationships/hyperlink" Target="https://mou.sr/3thYxsZ" TargetMode="External"/><Relationship Id="rId1795" Type="http://schemas.openxmlformats.org/officeDocument/2006/relationships/hyperlink" Target="https://www.digikey.jp/product-detail/ja/linear-technology-analog-devices/LTC4361IDC-2-TRMPBF/LTC4361IDC-2-TRMPBFCT-ND/2351620" TargetMode="External"/><Relationship Id="rId2846" Type="http://schemas.openxmlformats.org/officeDocument/2006/relationships/hyperlink" Target="https://www.digikey.jp/product-detail/ja/c-k/SDS002R/CKN10231CT-ND/2218821" TargetMode="External"/><Relationship Id="rId5252" Type="http://schemas.openxmlformats.org/officeDocument/2006/relationships/hyperlink" Target="https://www.monotaro.com/p/3704/0595/" TargetMode="External"/><Relationship Id="rId87" Type="http://schemas.openxmlformats.org/officeDocument/2006/relationships/hyperlink" Target="https://www.digikey.jp/product-detail/en/anaren/D10AA20Z4/1173-1083-1-ND/3069281" TargetMode="External"/><Relationship Id="rId818" Type="http://schemas.openxmlformats.org/officeDocument/2006/relationships/hyperlink" Target="https://www.digikey.jp/product-detail/en/analog-devices-inc/TMP36FSZ-REEL/TMP36FSZ-REELCT-ND/3761261" TargetMode="External"/><Relationship Id="rId1448" Type="http://schemas.openxmlformats.org/officeDocument/2006/relationships/hyperlink" Target="https://www.amazon.co.jp/gp/product/B07VC1D37Q/ref=ox_sc_act_title_2?smid=A2XCBFGX1AIRK0&amp;psc=1" TargetMode="External"/><Relationship Id="rId1862" Type="http://schemas.openxmlformats.org/officeDocument/2006/relationships/hyperlink" Target="https://jp.rs-online.com/web/p/mosfets/5430052/" TargetMode="External"/><Relationship Id="rId2913" Type="http://schemas.openxmlformats.org/officeDocument/2006/relationships/hyperlink" Target="https://jp.rs-online.com/web/p/mosfets/6710435/" TargetMode="External"/><Relationship Id="rId1515" Type="http://schemas.openxmlformats.org/officeDocument/2006/relationships/hyperlink" Target="https://www.mouser.jp/ProductDetail/SparkFun/TOL-10997?qs=sGAEpiMZZMtyU1cDF2RqUE5bpLI3XpN5d%252B9PbCGIlWE%3D" TargetMode="External"/><Relationship Id="rId3687" Type="http://schemas.openxmlformats.org/officeDocument/2006/relationships/hyperlink" Target="https://www.digikey.jp/product-detail/en/molex/0554600272/WM8301CT-ND/1632945" TargetMode="External"/><Relationship Id="rId4738" Type="http://schemas.openxmlformats.org/officeDocument/2006/relationships/hyperlink" Target="https://www.m2inc.com/FG70CM2PRTPD" TargetMode="External"/><Relationship Id="rId2289" Type="http://schemas.openxmlformats.org/officeDocument/2006/relationships/hyperlink" Target="https://www.digikey.jp/product-detail/en/samtec-inc/SSW-110-01-T-D/SAM1212-10-ND/1112246" TargetMode="External"/><Relationship Id="rId3754" Type="http://schemas.openxmlformats.org/officeDocument/2006/relationships/hyperlink" Target="https://www.digikey.jp/product-detail/en/BOB-12918/1568-1047-ND/5140812?itemSeq=372569454" TargetMode="External"/><Relationship Id="rId4805" Type="http://schemas.openxmlformats.org/officeDocument/2006/relationships/hyperlink" Target="https://www.yoshimi-inc.com/" TargetMode="External"/><Relationship Id="rId675" Type="http://schemas.openxmlformats.org/officeDocument/2006/relationships/hyperlink" Target="https://www.monotaro.com/p/3584/7655/?t.q=5mm%20%83S%83%80%83V%81%5B%83g" TargetMode="External"/><Relationship Id="rId2356" Type="http://schemas.openxmlformats.org/officeDocument/2006/relationships/hyperlink" Target="https://hirosugi.co.jp/products/POM/C.html" TargetMode="External"/><Relationship Id="rId2770" Type="http://schemas.openxmlformats.org/officeDocument/2006/relationships/hyperlink" Target="https://akizukidenshi.com/catalog/g/gC-00085/" TargetMode="External"/><Relationship Id="rId3407" Type="http://schemas.openxmlformats.org/officeDocument/2006/relationships/hyperlink" Target="https://www.digikey.jp/product-detail/en/norcomp-inc/171-015-103L001/215ME-ND/858117" TargetMode="External"/><Relationship Id="rId3821" Type="http://schemas.openxmlformats.org/officeDocument/2006/relationships/hyperlink" Target="https://www.monotaro.com/p/3466/5565" TargetMode="External"/><Relationship Id="rId328" Type="http://schemas.openxmlformats.org/officeDocument/2006/relationships/hyperlink" Target="https://www.digikey.jp/product-detail/en/bourns-inc/3223W-1-103E/3223W-1-103ECT-ND/568964" TargetMode="External"/><Relationship Id="rId742" Type="http://schemas.openxmlformats.org/officeDocument/2006/relationships/hyperlink" Target="https://www.p-ban.com/kiban/com/csComTop.do" TargetMode="External"/><Relationship Id="rId1372" Type="http://schemas.openxmlformats.org/officeDocument/2006/relationships/hyperlink" Target="http://akizukidenshi.com/catalog/g/gP-02932/" TargetMode="External"/><Relationship Id="rId2009" Type="http://schemas.openxmlformats.org/officeDocument/2006/relationships/hyperlink" Target="https://www.digikey.jp/products/en?keywords=SS-60300-004" TargetMode="External"/><Relationship Id="rId2423" Type="http://schemas.openxmlformats.org/officeDocument/2006/relationships/hyperlink" Target="https://jp.rs-online.com/web/p/harsh-environment-wire/8417175/" TargetMode="External"/><Relationship Id="rId1025" Type="http://schemas.openxmlformats.org/officeDocument/2006/relationships/hyperlink" Target="https://oyaide.com/catalog/products/p-1634.html" TargetMode="External"/><Relationship Id="rId4595" Type="http://schemas.openxmlformats.org/officeDocument/2006/relationships/hyperlink" Target="https://www.mouser.jp/ProductDetail/CUI-Devices/SJ1-2535-SMT-TR?qs=WyjlAZoYn532DZPDgY%2FtOQ%3D%3D" TargetMode="External"/><Relationship Id="rId3197" Type="http://schemas.openxmlformats.org/officeDocument/2006/relationships/hyperlink" Target="https://www.digikey.jp/product-detail/ja/sullins-connector-solutions/QPC02SXGN-RC/S9337-ND/2618262?utm_adgroup=Shunts%2C%20Jumpers&amp;utm_source=google&amp;utm_medium=cpc&amp;utm_campaign=Shopping_Product_Connectors%2C%20Interconnects_NEW&amp;utm_term=&amp;productid=2618262&amp;gclid=Cj0KCQiAst2BBhDJARIsAGo2ldUMfFLJ9oMQ8rfGfoiJ7hQDqenZ_ule6jETeOh5hqbOK8iHULOS6coaAur4EALw_wcB" TargetMode="External"/><Relationship Id="rId4248" Type="http://schemas.openxmlformats.org/officeDocument/2006/relationships/hyperlink" Target="https://www.monotaro.com/p/1131/7172/" TargetMode="External"/><Relationship Id="rId4662" Type="http://schemas.openxmlformats.org/officeDocument/2006/relationships/hyperlink" Target="https://www.digikey.jp/product-detail/ja/samtec-inc/HLE-112-02-G-DV-BE/SAM8916-ND/2664132" TargetMode="External"/><Relationship Id="rId185" Type="http://schemas.openxmlformats.org/officeDocument/2006/relationships/hyperlink" Target="http://tospa.shop-pro.jp/?pid=8765033" TargetMode="External"/><Relationship Id="rId1909" Type="http://schemas.openxmlformats.org/officeDocument/2006/relationships/hyperlink" Target="https://www.marutsu.co.jp/pc/i/144023/" TargetMode="External"/><Relationship Id="rId3264" Type="http://schemas.openxmlformats.org/officeDocument/2006/relationships/hyperlink" Target="https://www.digikey.jp/products/ja?keywords=478-9836-1-ND" TargetMode="External"/><Relationship Id="rId4315" Type="http://schemas.openxmlformats.org/officeDocument/2006/relationships/hyperlink" Target="https://www.digikey.jp/ja/products/detail/jst-sales-america-inc/SPHD-001T-P0-5/608766?s=N4IgTCBcDaICwFYEFoCMBmMLXIHIBEQBdAXyA" TargetMode="External"/><Relationship Id="rId2280" Type="http://schemas.openxmlformats.org/officeDocument/2006/relationships/hyperlink" Target="https://www.digikey.jp/product-detail/ja/amphenol-icc-fci/87520-1010BLF/609-4965-ND/1528160" TargetMode="External"/><Relationship Id="rId3331" Type="http://schemas.openxmlformats.org/officeDocument/2006/relationships/hyperlink" Target="https://www.htkazshop.com/SHOP/HTK_101911.html" TargetMode="External"/><Relationship Id="rId252" Type="http://schemas.openxmlformats.org/officeDocument/2006/relationships/hyperlink" Target="https://www.monotaro.com/p/3108/5048/" TargetMode="External"/><Relationship Id="rId5089" Type="http://schemas.openxmlformats.org/officeDocument/2006/relationships/hyperlink" Target="https://jp.rs-online.com/web/p/wire-housings-plugs/3116237" TargetMode="External"/><Relationship Id="rId1699" Type="http://schemas.openxmlformats.org/officeDocument/2006/relationships/hyperlink" Target="https://jp.rs-online.com/web/p/chip-programmers/7141701/" TargetMode="External"/><Relationship Id="rId2000" Type="http://schemas.openxmlformats.org/officeDocument/2006/relationships/hyperlink" Target="https://www.digikey.jp/products/ja/resistors/chip-resistor-surface-mount/52?k=&amp;pkeyword=&amp;sv=0&amp;pv2085=u150+kOhms&amp;sf=0&amp;FV=-8%7C52%2C-5%7C70122%2C-1%7C2019%2C2%7C14064%2C3%7C2503%2C5%7C316924%2C7%7C2%2C16%7C39246%2C17%7C1925%2C46%7C7802%2C174%7C411742%2C252%7C242934%2C707%7C312105%2Cii2%7C1127%2C1291%7C39245%2C1500%7C5314%2C1531%7C1%2C1989%7C0&amp;quantity=&amp;ColumnSort=0&amp;page=1&amp;pageSize=25" TargetMode="External"/><Relationship Id="rId5156" Type="http://schemas.openxmlformats.org/officeDocument/2006/relationships/hyperlink" Target="https://jp.rs-online.com/web/p/through-hole-resistors/6832945/?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8332D32393435267365617263685F6B6579776F72645F6170703D36383332393435267365617263685F636F6E6669673D3126&amp;searchHistory=%7B%22enabled%22%3Atrue%7D" TargetMode="External"/><Relationship Id="rId4172" Type="http://schemas.openxmlformats.org/officeDocument/2006/relationships/hyperlink" Target="https://www.digikey.jp/product-detail/ja/hirose-electric-co-ltd/DF14-2628SCFA/H1577CT-ND/557615" TargetMode="External"/><Relationship Id="rId5223" Type="http://schemas.openxmlformats.org/officeDocument/2006/relationships/hyperlink" Target="https://jp.rs-online.com/web/p/crystal-units/2260757" TargetMode="External"/><Relationship Id="rId1766" Type="http://schemas.openxmlformats.org/officeDocument/2006/relationships/hyperlink" Target="https://www.digikey.jp/product-detail/en/murata-electronics/GRM1555C1H102JA01D/490-3244-1-ND/702785" TargetMode="External"/><Relationship Id="rId2817" Type="http://schemas.openxmlformats.org/officeDocument/2006/relationships/hyperlink" Target="https://www.monotaro.com/g/02454981/?t.attr_f859=3&amp;t.q=%83g%81%5B%83V%83%87%83%93%82%CE%82%CB" TargetMode="External"/><Relationship Id="rId58" Type="http://schemas.openxmlformats.org/officeDocument/2006/relationships/hyperlink" Target="https://www.nbk1560.com/products/specialscrew/nedzicom/lowsmallheadscrew/SSHS/" TargetMode="External"/><Relationship Id="rId1419" Type="http://schemas.openxmlformats.org/officeDocument/2006/relationships/hyperlink" Target="https://www.digikey.jp/product-detail/en/vishay-dale/CRCW08057K50FKEA/541-7.50KCCT-ND/1180883" TargetMode="External"/><Relationship Id="rId1833" Type="http://schemas.openxmlformats.org/officeDocument/2006/relationships/hyperlink" Target="https://www.digikey.jp/product-detail/en/rohm-semiconductor/SML-E12M8WT86/511-1584-1-ND/1641816" TargetMode="External"/><Relationship Id="rId4989" Type="http://schemas.openxmlformats.org/officeDocument/2006/relationships/hyperlink" Target="https://www.digikey.jp/ja/products/detail/yageo/CC0805JRNPO0BN180/8025308" TargetMode="External"/><Relationship Id="rId1900" Type="http://schemas.openxmlformats.org/officeDocument/2006/relationships/hyperlink" Target="https://jp.rs-online.com/web/p/dc-dc-power-supply-modules/6617972/" TargetMode="External"/><Relationship Id="rId3658" Type="http://schemas.openxmlformats.org/officeDocument/2006/relationships/hyperlink" Target="https://www.minicircuits.com/WebStore/dashboard.html?model=MAR-6SM%2B" TargetMode="External"/><Relationship Id="rId4709" Type="http://schemas.openxmlformats.org/officeDocument/2006/relationships/hyperlink" Target="https://www.mouser.jp/ProductDetail/Molex/87758-0216?qs=%2Fha2pyFadug6p7sOVvUPkHBXoJLCYt8bfLNRmiRZ6Xk%3D" TargetMode="External"/><Relationship Id="rId579" Type="http://schemas.openxmlformats.org/officeDocument/2006/relationships/hyperlink" Target="https://www.digikey.jp/en/supplier-centers/t/texas-instruments" TargetMode="External"/><Relationship Id="rId993" Type="http://schemas.openxmlformats.org/officeDocument/2006/relationships/hyperlink" Target="https://jp.rs-online.com/web/p/mlccs-multilayer-ceramic-capacitors/9034699/" TargetMode="External"/><Relationship Id="rId2674" Type="http://schemas.openxmlformats.org/officeDocument/2006/relationships/hyperlink" Target="https://www.mouser.jp/ProductDetail/KOA-Speer/RK73Z1JRTTD?qs=%2Fha2pyFadujCVJww8tI4XVZ%252B5YkzVejh1hM9RBGVtM0d35fk%2FwORFw%3D%3D" TargetMode="External"/><Relationship Id="rId5080" Type="http://schemas.openxmlformats.org/officeDocument/2006/relationships/hyperlink" Target="https://jp.misumi-ec.com/vona2/detail/110300244510/?HissuCode=CBSST3-5&amp;PNSearch=CBSST3-5&amp;KWSearch=CBSST3-5&amp;searchFlow=results2products&amp;list=PageSearchResult" TargetMode="External"/><Relationship Id="rId646" Type="http://schemas.openxmlformats.org/officeDocument/2006/relationships/hyperlink" Target="https://www.digikey.jp/product-detail/en/amphenol-icc-fci/67997-410HLF/609-3243-ND/1878475" TargetMode="External"/><Relationship Id="rId1276" Type="http://schemas.openxmlformats.org/officeDocument/2006/relationships/hyperlink" Target="https://jp.misumi-ec.com/vona2/detail/110302679630/?CategorySpec=00000216954%3a%3amig00000002481714%0900000216911%3a%3amig00000002481707%2c20&amp;clkid=clkid_list_template" TargetMode="External"/><Relationship Id="rId2327" Type="http://schemas.openxmlformats.org/officeDocument/2006/relationships/hyperlink" Target="https://jp.rs-online.com/web/b/lattice-semiconductor/" TargetMode="External"/><Relationship Id="rId3725" Type="http://schemas.openxmlformats.org/officeDocument/2006/relationships/hyperlink" Target="https://www.toby.co.uk/board-to-board-pcb-connectors/200mm-headers/tmm-samtec-2mm-low-profile-right-angle-header/TMM-110-01-F-D-RA/" TargetMode="External"/><Relationship Id="rId1690" Type="http://schemas.openxmlformats.org/officeDocument/2006/relationships/hyperlink" Target="https://www.mouser.jp/ProductDetail/Bourns/CR0603-FX-8662ELF?qs=sGAEpiMZZMvdGkrng054t%252BRNGJdg958Rj5%252BTtya3Y80%3D" TargetMode="External"/><Relationship Id="rId2741" Type="http://schemas.openxmlformats.org/officeDocument/2006/relationships/hyperlink" Target="https://jp.misumi-ec.com/vona2/detail/110302280540/?CategorySpec=00000217040%3a%3amig00000002457491%0900000217074%3a%3ad" TargetMode="External"/><Relationship Id="rId713" Type="http://schemas.openxmlformats.org/officeDocument/2006/relationships/hyperlink" Target="https://www.digikey.jp/product-detail/en/murata-electronics-north-america/GRM21BC80G107ME15L/490-13978-1-ND/6155808" TargetMode="External"/><Relationship Id="rId1343" Type="http://schemas.openxmlformats.org/officeDocument/2006/relationships/hyperlink" Target="https://jp.misumi-ec.com/vona2/detail/110300445410/?CategorySpec=00000191171%3a%3ac&amp;clkid=clkid_list_template" TargetMode="External"/><Relationship Id="rId4499" Type="http://schemas.openxmlformats.org/officeDocument/2006/relationships/hyperlink" Target="https://www.mouser.jp/ProductDetail/Mikroe/MIKROE-512?qs=7CTBMF0jTsEZofUYpqZBLw%3D%3D" TargetMode="External"/><Relationship Id="rId1410" Type="http://schemas.openxmlformats.org/officeDocument/2006/relationships/hyperlink" Target="https://www.digikey.jp/product-detail/en/vishay-dale/CRCW0805180KFKEA/541-180KCCT-ND/1181040" TargetMode="External"/><Relationship Id="rId4566" Type="http://schemas.openxmlformats.org/officeDocument/2006/relationships/hyperlink" Target="https://www.askul.co.jp/p/8560755/" TargetMode="External"/><Relationship Id="rId4980" Type="http://schemas.openxmlformats.org/officeDocument/2006/relationships/hyperlink" Target="https://www.monotaro.com/g/00404991/" TargetMode="External"/><Relationship Id="rId3168" Type="http://schemas.openxmlformats.org/officeDocument/2006/relationships/hyperlink" Target="https://jp.misumi-ec.com/vona2/detail/223005035134/?HissuCode=QL140N&amp;PNSearch=QL140N&amp;KWSearch=QL140N&amp;searchFlow=results2products" TargetMode="External"/><Relationship Id="rId3582" Type="http://schemas.openxmlformats.org/officeDocument/2006/relationships/hyperlink" Target="https://www.amazon.co.jp/VGA%E3%80%81Benfei%E9%87%91%E3%83%A1%E3%83%83%E3%82%ADHDMI-6%E3%83%95%E3%82%A3%E3%83%BC%E3%83%88%E3%82%B1%E3%83%BC%E3%83%96%E3%83%AB-%E3%82%AA%E3%82%B9to%E3%82%AA%E3%82%B9-%E3%82%B3%E3%83%B3%E3%83%94%E3%83%A5%E3%83%BC%E3%82%BF%E3%80%81%E3%83%87%E3%82%B9%E3%82%AF%E3%83%88%E3%83%83%E3%83%97%E3%80%81%E3%83%8E%E3%83%BC%E3%83%88%E3%83%91%E3%82%BD%E3%82%B3%E3%83%B3%E3%80%81PC%E3%80%81%E3%83%A2%E3%83%8B%E3%82%BF%E3%80%81%E3%83%97%E3%83%AD%E3%82%B8%E3%82%A7%E3%82%AF%E3%82%BF%E3%80%81HDTV%E3%80%81Chromebook%E3%80%81%E3%83%A9%E3%82%BA%E3%83%99%E3%83%AA%E3%83%BCPi%E3%80%81roku%E3%80%81Xbox-More-%E2%80%93-%E3%83%96%E3%83%A9%E3%83%83%E3%82%AF/dp/B07CTK4TH4/ref=sr_1_19_sspa?__mk_ja_JP=%E3%82%AB%E3%82%BF%E3%82%AB%E3%83%8A&amp;dchild=1&amp;keywords=hdmi+vga+ugreen&amp;qid=1623472211&amp;sr=8-19-spons&amp;psc=1&amp;spLa=ZW5jcnlwdGVkUXVhbGlmaWVyPUFCNUJNV01JVkVOSFYmZW5jcnlwdGVkSWQ9QTAxNDIxNjEzUUZFOFJNQUxKVDgxJmVuY3J5cHRlZEFkSWQ9QUQ3UFEzQ1BYRU9TQyZ3aWRnZXROYW1lPXNwX210ZiZhY3Rpb249Y2xpY2tSZWRpcmVjdCZkb05vdExvZ0NsaWNrPXRydWU=" TargetMode="External"/><Relationship Id="rId4219" Type="http://schemas.openxmlformats.org/officeDocument/2006/relationships/hyperlink" Target="https://www.mouser.jp/ProductDetail/Texas-Instruments/LM2904LVQDGKRQ1?qs=sGAEpiMZZMv0NwlthflBi%252BLdEViitgumyGmSpWmdlAc%3D" TargetMode="External"/><Relationship Id="rId4633" Type="http://schemas.openxmlformats.org/officeDocument/2006/relationships/hyperlink" Target="https://www.digikey.jp/product-detail/en/vishay-dale/CRCW12181R00FKEKHP/541-1.00ANCT-ND/5327099" TargetMode="External"/><Relationship Id="rId2184" Type="http://schemas.openxmlformats.org/officeDocument/2006/relationships/hyperlink" Target="https://www.mouser.jp/ProductDetail/Hirose-Connector/DF14-30S-125C?qs=%2Fha2pyFadujJHDByw7DO9QMG5tWWHVHL8CI3%2FBogsmX9l5ibRyBvxQ%3D%3D" TargetMode="External"/><Relationship Id="rId3235" Type="http://schemas.openxmlformats.org/officeDocument/2006/relationships/hyperlink" Target="https://www.monotaro.com/p/7590/9206/?t.q=%89%B9%90%BA%83P%81%5B%83u%83%8B" TargetMode="External"/><Relationship Id="rId156" Type="http://schemas.openxmlformats.org/officeDocument/2006/relationships/hyperlink" Target="https://jp.rs-online.com/web/p/mosfet-transistors/9154967/" TargetMode="External"/><Relationship Id="rId570" Type="http://schemas.openxmlformats.org/officeDocument/2006/relationships/hyperlink" Target="https://www.p-ban.com/kiban/com/csComTop.do" TargetMode="External"/><Relationship Id="rId2251" Type="http://schemas.openxmlformats.org/officeDocument/2006/relationships/hyperlink" Target="https://www.askul.co.jp/p/X805355/" TargetMode="External"/><Relationship Id="rId3302" Type="http://schemas.openxmlformats.org/officeDocument/2006/relationships/hyperlink" Target="https://www.digikey.jp/products/ja?keywords=A3C-50DA-2DSA(71)" TargetMode="External"/><Relationship Id="rId4700" Type="http://schemas.openxmlformats.org/officeDocument/2006/relationships/hyperlink" Target="https://www.amazon.co.jp/dp/B07XPMR5CW?ref_=cm_sw_r_cp_ud_dp_3WKFK0V7RB80ZFDS6NDM" TargetMode="External"/><Relationship Id="rId223" Type="http://schemas.openxmlformats.org/officeDocument/2006/relationships/hyperlink" Target="https://jp.rs-online.com/web/p/products/7551205/" TargetMode="External"/><Relationship Id="rId4076" Type="http://schemas.openxmlformats.org/officeDocument/2006/relationships/hyperlink" Target="https://www.digikey.jp/products/ja?keywords=M20-7830642" TargetMode="External"/><Relationship Id="rId4490" Type="http://schemas.openxmlformats.org/officeDocument/2006/relationships/hyperlink" Target="https://www.digikey.jp/product-detail/en/norcomp-inc/171-015-103L001/215ME-ND/858117" TargetMode="External"/><Relationship Id="rId5127" Type="http://schemas.openxmlformats.org/officeDocument/2006/relationships/hyperlink" Target="https://www.monotaro.com/p/1134/8514/" TargetMode="External"/><Relationship Id="rId1737" Type="http://schemas.openxmlformats.org/officeDocument/2006/relationships/hyperlink" Target="https://www.aitendo.com/product/11344" TargetMode="External"/><Relationship Id="rId3092" Type="http://schemas.openxmlformats.org/officeDocument/2006/relationships/hyperlink" Target="https://jp.misumi-ec.com/vona2/detail/221006204478/?ProductCode=C-301.5-5" TargetMode="External"/><Relationship Id="rId4143" Type="http://schemas.openxmlformats.org/officeDocument/2006/relationships/hyperlink" Target="https://www.digikey.jp/product-detail/ja/samtec-inc/HLE-112-02-G-DV-BE/SAM8916-ND/2664132" TargetMode="External"/><Relationship Id="rId29" Type="http://schemas.openxmlformats.org/officeDocument/2006/relationships/hyperlink" Target="https://jp.rs-online.com/web/p/voltage-references/5237011/?sra=pstk" TargetMode="External"/><Relationship Id="rId4210" Type="http://schemas.openxmlformats.org/officeDocument/2006/relationships/hyperlink" Target="https://www.mouser.jp/ProductDetail/Diodes-Incorporated/PAM2306AYPKE?qs=%2Fha2pyFadujX7Vr7OrgSB2ow1Y8UQDEhYo3L0rfNID%252BqNAcRGS68sQ%3D%3D" TargetMode="External"/><Relationship Id="rId1804" Type="http://schemas.openxmlformats.org/officeDocument/2006/relationships/hyperlink" Target="https://www.digikey.jp/products/ja?keywords=SX1278IMLTRTCT-ND" TargetMode="External"/><Relationship Id="rId3976" Type="http://schemas.openxmlformats.org/officeDocument/2006/relationships/hyperlink" Target="https://www.monotaro.com/g/01214187/?t.attr_f2600=%95%BD%8D%C0%8B%E0%28%83%8F%83b%83V%83%83%81%5B%29&amp;t.attr_f859=2.8&amp;t.attr_f860=8" TargetMode="External"/><Relationship Id="rId897" Type="http://schemas.openxmlformats.org/officeDocument/2006/relationships/hyperlink" Target="https://jp.rs-online.com/web/p/mosfets/7377228/" TargetMode="External"/><Relationship Id="rId2578" Type="http://schemas.openxmlformats.org/officeDocument/2006/relationships/hyperlink" Target="https://akizukidenshi.com/catalog/g/gP-13648/" TargetMode="External"/><Relationship Id="rId2992" Type="http://schemas.openxmlformats.org/officeDocument/2006/relationships/hyperlink" Target="https://akizukidenshi.com/catalog/g/gC-14344/" TargetMode="External"/><Relationship Id="rId3629" Type="http://schemas.openxmlformats.org/officeDocument/2006/relationships/hyperlink" Target="https://www.monotaro.com/g/04175885/?displayId=103" TargetMode="External"/><Relationship Id="rId5051" Type="http://schemas.openxmlformats.org/officeDocument/2006/relationships/hyperlink" Target="https://www.digikey.jp/ja/products/detail/anysolar-ltd/KXOB25-03X4F-TR/13999191?s=N4IgjCBcoLQBxVAYygMwIYBsDOBTANCAPZQDaIATAJxUAsIAugL5OEVkgDSAGgPIBCFAKwwADAGZutAGIwAKgCVGTIA" TargetMode="External"/><Relationship Id="rId964" Type="http://schemas.openxmlformats.org/officeDocument/2006/relationships/hyperlink" Target="https://www.monotaro.com/p/3148/5177/" TargetMode="External"/><Relationship Id="rId1594" Type="http://schemas.openxmlformats.org/officeDocument/2006/relationships/hyperlink" Target="https://www.digikey.jp/products/en?keywords=450-2071-nd" TargetMode="External"/><Relationship Id="rId2645" Type="http://schemas.openxmlformats.org/officeDocument/2006/relationships/hyperlink" Target="https://www.monotaro.com/p/3943/2768/?t.q=HB30C5A2CST" TargetMode="External"/><Relationship Id="rId617" Type="http://schemas.openxmlformats.org/officeDocument/2006/relationships/hyperlink" Target="https://www.digikey.jp/product-detail/en/lite-on-inc/LTST-C171TBKT/160-1645-1-ND/573585" TargetMode="External"/><Relationship Id="rId1247" Type="http://schemas.openxmlformats.org/officeDocument/2006/relationships/hyperlink" Target="https://www.monotaro.com/g/02424386/" TargetMode="External"/><Relationship Id="rId1661" Type="http://schemas.openxmlformats.org/officeDocument/2006/relationships/hyperlink" Target="http://akizukidenshi.com/catalog/g/gR-08805/" TargetMode="External"/><Relationship Id="rId2712" Type="http://schemas.openxmlformats.org/officeDocument/2006/relationships/hyperlink" Target="https://www.amazon.co.jp/Wifehelper%E3%80%9024%E7%A8%AE%E9%A1%9E-1200%E5%80%8B%E3%82%BB%E3%83%83%E3%83%88%E3%80%91%E7%A9%8D%E5%B1%A4%E3%82%BB%E3%83%A9%E3%83%9F%E3%83%83%E3%82%AF%E3%82%B3%E3%83%B3%E3%83%87%E3%83%B3%E3%82%B5-%E3%83%81%E3%83%83%E3%83%97%E3%82%B3%E3%83%B3%E3%83%87%E3%83%B3%E3%82%B5-%E3%82%BB%E3%83%83%E3%83%88-10pF/dp/B07P6GDHWM/ref=sr_1_2_sspa?__mk_ja_JP=%E3%82%AB%E3%82%BF%E3%82%AB%E3%83%8A&amp;dchild=1&amp;keywords=%E3%82%B3%E3%83%B3%E3%83%87%E3%83%B3%E3%82%B5%E3%83%BC+%E3%82%BB%E3%83%83%E3%83%88&amp;qid=1604974477&amp;s=industrial&amp;sr=1-2-spons&amp;psc=1&amp;smid=A3DCM9V66CX10N&amp;spLa=ZW5jcnlwdGVkUXVhbGlmaWVyPUFKM1oyWEVWTUIxTzMmZW5jcnlwdGVkSWQ9QTA1OTkwMjIzVjNIT0dKVVVVR1BOJmVuY3J5cHRlZEFkSWQ9QTNQRjc4WEYxTko1OUsmd2lkZ2V0TmFtZT1zcF9hdGYmYWN0aW9uPWNsaWNrUmVkaXJlY3QmZG9Ob3RMb2dDbGljaz10cnVl" TargetMode="External"/><Relationship Id="rId1314" Type="http://schemas.openxmlformats.org/officeDocument/2006/relationships/hyperlink" Target="https://www.digikey.jp/product-detail/en/taiyo-yuden/AMK107BBJ226MAHT/587-3262-1-ND/4157229" TargetMode="External"/><Relationship Id="rId4884" Type="http://schemas.openxmlformats.org/officeDocument/2006/relationships/hyperlink" Target="https://jp.misumi-ec.com/vona2/detail/221006204478/?PNSearch=C-301&amp;HissuCode=C-301&amp;searchFlow=suggest2products&amp;Keyword=C-301&amp;list=SuggestPreview" TargetMode="External"/><Relationship Id="rId3486" Type="http://schemas.openxmlformats.org/officeDocument/2006/relationships/hyperlink" Target="https://www.digikey.jp/product-detail/en/tensility-international-corp/30-01055/T1395-1-ND/9607987" TargetMode="External"/><Relationship Id="rId4537" Type="http://schemas.openxmlformats.org/officeDocument/2006/relationships/hyperlink" Target="https://www.monotaro.com/p/6439/4716/" TargetMode="External"/><Relationship Id="rId20" Type="http://schemas.openxmlformats.org/officeDocument/2006/relationships/hyperlink" Target="https://jp.rs-online.com/web/p/wire-wound-surface-mount-inductors/7496405/?sra=pstk" TargetMode="External"/><Relationship Id="rId2088" Type="http://schemas.openxmlformats.org/officeDocument/2006/relationships/hyperlink" Target="https://jp.misumi-ec.com/vona2/detail/110300232520/?HissuCode=TWTAS6-3-3&amp;PNSearch=TWTAS6-3-3&amp;KWSearch=TWTAS6-3-3&amp;searchFlow=results2products" TargetMode="External"/><Relationship Id="rId3139" Type="http://schemas.openxmlformats.org/officeDocument/2006/relationships/hyperlink" Target="https://www.digikey.jp/product-detail/en/panasonic-electronic-components/ERA-3AEB4991V/P4-99KDBCT-ND/3075985" TargetMode="External"/><Relationship Id="rId4951" Type="http://schemas.openxmlformats.org/officeDocument/2006/relationships/hyperlink" Target="https://jp.misumi-ec.com/vona2/detail/110300244510/?HissuCode=CBSST2.5-8" TargetMode="External"/><Relationship Id="rId474" Type="http://schemas.openxmlformats.org/officeDocument/2006/relationships/hyperlink" Target="https://www.amazon.co.jp/gp/product/B01AN7B1T8/ref=ox_sc_act_title_4?smid=AANM8PRMV1MBN&amp;psc=1" TargetMode="External"/><Relationship Id="rId2155" Type="http://schemas.openxmlformats.org/officeDocument/2006/relationships/hyperlink" Target="https://www.monotaro.com/g/00689858/?t.q=F-155" TargetMode="External"/><Relationship Id="rId3553" Type="http://schemas.openxmlformats.org/officeDocument/2006/relationships/hyperlink" Target="https://www.mouser.jp/ProductDetail/Panasonic/ERJ-S06J101V?qs=Zyl8A9hlmJqshrwxn1wW6g%3D%3D" TargetMode="External"/><Relationship Id="rId4604" Type="http://schemas.openxmlformats.org/officeDocument/2006/relationships/hyperlink" Target="https://www.askul.co.jp/p/1260050/?int_id=recom_DtVar" TargetMode="External"/><Relationship Id="rId127" Type="http://schemas.openxmlformats.org/officeDocument/2006/relationships/hyperlink" Target="https://jp.rs-online.com/web/p/ceramic-multilayer-capacitors/9155660/" TargetMode="External"/><Relationship Id="rId3206" Type="http://schemas.openxmlformats.org/officeDocument/2006/relationships/hyperlink" Target="https://akizukidenshi.com/catalog/g/gC-13431/" TargetMode="External"/><Relationship Id="rId3620" Type="http://schemas.openxmlformats.org/officeDocument/2006/relationships/hyperlink" Target="https://www.digikey.jp/product-detail/ja/harwin-inc/M50-3001245/952-1722-ND/2762090" TargetMode="External"/><Relationship Id="rId541" Type="http://schemas.openxmlformats.org/officeDocument/2006/relationships/hyperlink" Target="https://www.digikey.jp/products/en?keywords=255-3395-ND" TargetMode="External"/><Relationship Id="rId1171" Type="http://schemas.openxmlformats.org/officeDocument/2006/relationships/hyperlink" Target="https://jp.misumi-ec.com/vona2/detail/221000349089/?HissuCode=SSHS-M2X6" TargetMode="External"/><Relationship Id="rId2222" Type="http://schemas.openxmlformats.org/officeDocument/2006/relationships/hyperlink" Target="https://jp.rs-online.com/web/p/extender-boards-adapters/8971477/" TargetMode="External"/><Relationship Id="rId1988" Type="http://schemas.openxmlformats.org/officeDocument/2006/relationships/hyperlink" Target="https://www.digikey.jp/product-detail/ja/panasonic-electronic-components/ERJ-3BWJR025V/P17482CT-ND/5647966" TargetMode="External"/><Relationship Id="rId4394" Type="http://schemas.openxmlformats.org/officeDocument/2006/relationships/hyperlink" Target="https://jp.misumi-ec.com/vona2/detail/221000551376/?PNSearch=CSHCS-SUS-M2.5-12&amp;HissuCode=CSHCS-SUS-M2.5-12&amp;searchFlow=suggest2products&amp;Keyword=CSHCS-SUS-M2.5-12&amp;list=SuggestPreview" TargetMode="External"/><Relationship Id="rId4047" Type="http://schemas.openxmlformats.org/officeDocument/2006/relationships/hyperlink" Target="https://www.amazon.co.jp/-/en/dp/B004OCN32W/?coliid=I2T58XNXT1W207&amp;colid=2MM53TKFISPLO&amp;psc=1&amp;ref_=lv_ov_lig_dp_it" TargetMode="External"/><Relationship Id="rId4461" Type="http://schemas.openxmlformats.org/officeDocument/2006/relationships/hyperlink" Target="https://akizukidenshi.com/catalog/g/gM-05840/" TargetMode="External"/><Relationship Id="rId3063" Type="http://schemas.openxmlformats.org/officeDocument/2006/relationships/hyperlink" Target="https://www.digikey.jp/product-detail/ja/taiyo-yuden/LMK212B7475KG-T/587-1442-1-ND/1004073" TargetMode="External"/><Relationship Id="rId4114" Type="http://schemas.openxmlformats.org/officeDocument/2006/relationships/hyperlink" Target="https://jp.misumi-ec.com/vona2/result/?Keyword=SSHS-M2&amp;isReSearch=0" TargetMode="External"/><Relationship Id="rId1708" Type="http://schemas.openxmlformats.org/officeDocument/2006/relationships/hyperlink" Target="https://jp.misumi-ec.com/vona2/detail/110310110339/?rid=rid3" TargetMode="External"/><Relationship Id="rId3130" Type="http://schemas.openxmlformats.org/officeDocument/2006/relationships/hyperlink" Target="https://www.digikey.jp/product-detail/en/koa-speer-electronics-inc/RK73B1JTTD104J/2019-RK73B1JTTD104JCT-ND/9846744" TargetMode="External"/><Relationship Id="rId2896" Type="http://schemas.openxmlformats.org/officeDocument/2006/relationships/hyperlink" Target="https://akizukidenshi.com/catalog/g/gP-01864/" TargetMode="External"/><Relationship Id="rId3947" Type="http://schemas.openxmlformats.org/officeDocument/2006/relationships/hyperlink" Target="https://www.mouser.jp/ProductDetail/Adafruit/3410?qs=sGAEpiMZZMv0NwlthflBi30MadZJl2T0VXvNkSTInVA%3D" TargetMode="External"/><Relationship Id="rId868" Type="http://schemas.openxmlformats.org/officeDocument/2006/relationships/hyperlink" Target="https://jp.rs-online.com/web/p/battery-holders-mounts/0489908/" TargetMode="External"/><Relationship Id="rId1498" Type="http://schemas.openxmlformats.org/officeDocument/2006/relationships/hyperlink" Target="https://www.digikey.jp/product-detail/ja/jst-sales-america-inc/GHR-07V-S/455-1597-ND/807819" TargetMode="External"/><Relationship Id="rId2549" Type="http://schemas.openxmlformats.org/officeDocument/2006/relationships/hyperlink" Target="https://www.edmundoptics.com/p/790nm-cwl-10nm-fwhm-125mm-mounted-diameter/22446/" TargetMode="External"/><Relationship Id="rId2963" Type="http://schemas.openxmlformats.org/officeDocument/2006/relationships/hyperlink" Target="https://www.digikey.jp/product-detail/ja/nxp-usa-inc/74LVC1G125GW-DG12/568-7973-1-ND/2762663" TargetMode="External"/><Relationship Id="rId935" Type="http://schemas.openxmlformats.org/officeDocument/2006/relationships/hyperlink" Target="http://hirosugi.co.jp/products/N/FSM-20.html" TargetMode="External"/><Relationship Id="rId1565" Type="http://schemas.openxmlformats.org/officeDocument/2006/relationships/hyperlink" Target="https://www.digikey.jp/product-detail/en/bourns-inc/MF-MSMF200-2/MF-MSMF200-2CT-ND/662850" TargetMode="External"/><Relationship Id="rId2616" Type="http://schemas.openxmlformats.org/officeDocument/2006/relationships/hyperlink" Target="https://www.digikey.jp/product-detail/ja/kemet/C0805C226M9PACTU/399-4696-1-ND/992221" TargetMode="External"/><Relationship Id="rId5022" Type="http://schemas.openxmlformats.org/officeDocument/2006/relationships/hyperlink" Target="https://www.mouser.jp/ProductDetail/KEMET/C0805C220K5GACAUTO?qs=2FIyTMJ0hNn9t4xY4mAJ1g%3D%3D" TargetMode="External"/><Relationship Id="rId1218" Type="http://schemas.openxmlformats.org/officeDocument/2006/relationships/hyperlink" Target="https://www.digikey.jp/products/en?keywords=296-36413-1-ND" TargetMode="External"/><Relationship Id="rId1632" Type="http://schemas.openxmlformats.org/officeDocument/2006/relationships/hyperlink" Target="https://www.monotaro.com/g/04550893/?t.q=5D-FB" TargetMode="External"/><Relationship Id="rId4788" Type="http://schemas.openxmlformats.org/officeDocument/2006/relationships/hyperlink" Target="https://www.hamradio.com/detail.cfm?pid=H0-012783" TargetMode="External"/><Relationship Id="rId4855" Type="http://schemas.openxmlformats.org/officeDocument/2006/relationships/hyperlink" Target="https://www.mouser.jp/ProductDetail/Microchip-Technology-Atmel/MCP2221-I-P?qs=wzzOUr4NhYr7J0lc1HgHIQ%3D%3D&amp;mgh=1&amp;vip=1&amp;gclid=Cj0KCQjw54iXBhCXARIsADWpsG9dBB8VM9cDShF1G6dfOLQ45cBEs0yulf5-CUtNsAhXnXDFanAe7roaAv6REALw_wcB" TargetMode="External"/><Relationship Id="rId3457" Type="http://schemas.openxmlformats.org/officeDocument/2006/relationships/hyperlink" Target="https://www.p-ban.com/kiban/com/csComTop.do" TargetMode="External"/><Relationship Id="rId3871" Type="http://schemas.openxmlformats.org/officeDocument/2006/relationships/hyperlink" Target="https://www.mouser.jp/ProductDetail/SparkFun/WRL-11697?qs=WyAARYrbSnatN4p%252Buf7q5Q%3D%3D" TargetMode="External"/><Relationship Id="rId4508" Type="http://schemas.openxmlformats.org/officeDocument/2006/relationships/hyperlink" Target="https://www.mouser.jp/ProductDetail/Vision-Components/EK003260?qs=KUoIvG%2F9IlZwpeKCYPJjug%3D%3D" TargetMode="External"/><Relationship Id="rId4922" Type="http://schemas.openxmlformats.org/officeDocument/2006/relationships/hyperlink" Target="https://www.monotaro.com/p/6443/5709/" TargetMode="External"/><Relationship Id="rId378" Type="http://schemas.openxmlformats.org/officeDocument/2006/relationships/hyperlink" Target="https://www.digikey.jp/product-detail/en/ndk-america-inc/NX2520SA-32.000000MHZ/644-1065-1-ND/1128937" TargetMode="External"/><Relationship Id="rId792" Type="http://schemas.openxmlformats.org/officeDocument/2006/relationships/hyperlink" Target="http://hirosugi.co.jp/products/POM/CC.html" TargetMode="External"/><Relationship Id="rId2059" Type="http://schemas.openxmlformats.org/officeDocument/2006/relationships/hyperlink" Target="https://jp.misumi-ec.com/vona2/detail/221006493827/?HissuCode=SNSS-M2-5-SD&amp;PNSearch=SNSS-M2-5-SD&amp;KWSearch=SNSS-M2-5-SD&amp;searchFlow=results2products" TargetMode="External"/><Relationship Id="rId2473" Type="http://schemas.openxmlformats.org/officeDocument/2006/relationships/hyperlink" Target="http://www.p-ban.com/" TargetMode="External"/><Relationship Id="rId3524" Type="http://schemas.openxmlformats.org/officeDocument/2006/relationships/hyperlink" Target="https://www.digikey.jp/product-detail/ja/abracon-llc/ABM3C-16-000MHZ-D4Y-T/535-11288-1-ND/2639919" TargetMode="External"/><Relationship Id="rId445" Type="http://schemas.openxmlformats.org/officeDocument/2006/relationships/hyperlink" Target="https://www.nbk1560.com/products/specialscrew/nedzicom/miniaturescrew/SNSS/SNSS-M1.6/SNSS-M1.6-6/" TargetMode="External"/><Relationship Id="rId1075" Type="http://schemas.openxmlformats.org/officeDocument/2006/relationships/hyperlink" Target="http://www.coax-cable.net/custom/" TargetMode="External"/><Relationship Id="rId2126" Type="http://schemas.openxmlformats.org/officeDocument/2006/relationships/hyperlink" Target="https://www.marutsu.co.jp/pc/i/223387/" TargetMode="External"/><Relationship Id="rId2540" Type="http://schemas.openxmlformats.org/officeDocument/2006/relationships/hyperlink" Target="https://jp.misumi-ec.com/vona2/detail/110300498770/?HissuCode=PAAL6H-700-520-5-F200-G490-N6&amp;PNSearch=PAAL6H-700-520-5-F200-G490-N6&amp;KWSearch=PAAL6H-700-520-5-F200-G490-N6&amp;searchFlow=results2products" TargetMode="External"/><Relationship Id="rId512" Type="http://schemas.openxmlformats.org/officeDocument/2006/relationships/hyperlink" Target="https://www.digikey.jp/product-detail/en/stmicroelectronics/STM32F407G-DISC1/497-16287-ND/5824404?cur=JPY&amp;lang=en" TargetMode="External"/><Relationship Id="rId1142" Type="http://schemas.openxmlformats.org/officeDocument/2006/relationships/hyperlink" Target="https://www.digikey.jp/en/supplier-centers/f/future-technology-devices-intl" TargetMode="External"/><Relationship Id="rId4298" Type="http://schemas.openxmlformats.org/officeDocument/2006/relationships/hyperlink" Target="https://jp.misumi-ec.com/vona2/detail/110302280540/?ProductCode=CBSTSR3-10" TargetMode="External"/><Relationship Id="rId5349" Type="http://schemas.openxmlformats.org/officeDocument/2006/relationships/hyperlink" Target="https://jp.rs-online.com/web/p/mlccs-multilayer-ceramic-capacitors/7665648/?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4C3231423130344B41434E4E4E43267365617263685F6B6579776F72645F6170703D434C3231423130344B41434E4E4E43267365617263685F636F6E6669673D3126&amp;searchHistory=%7B%22enabled%22%3Atrue%7D" TargetMode="External"/><Relationship Id="rId4365" Type="http://schemas.openxmlformats.org/officeDocument/2006/relationships/hyperlink" Target="https://www.digikey.jp/ja/products/detail/digilent-inc/410-380/9445906" TargetMode="External"/><Relationship Id="rId1959" Type="http://schemas.openxmlformats.org/officeDocument/2006/relationships/hyperlink" Target="http://akizukidenshi.com/catalog/g/gC-00167/" TargetMode="External"/><Relationship Id="rId4018" Type="http://schemas.openxmlformats.org/officeDocument/2006/relationships/hyperlink" Target="https://akizukidenshi.com/catalog/g/gM-07385/" TargetMode="External"/><Relationship Id="rId3381" Type="http://schemas.openxmlformats.org/officeDocument/2006/relationships/hyperlink" Target="https://jp.rs-online.com/web/p/isolation-amplifiers/7863158/" TargetMode="External"/><Relationship Id="rId4432" Type="http://schemas.openxmlformats.org/officeDocument/2006/relationships/hyperlink" Target="mailto:ao_energy1@zeus.eonet.ne.jp" TargetMode="External"/><Relationship Id="rId3034" Type="http://schemas.openxmlformats.org/officeDocument/2006/relationships/hyperlink" Target="https://www.nbk1560.com/products/specialscrew/nedzicom/lowsmallheadscrew/SSHS/SSHS-M2/" TargetMode="External"/><Relationship Id="rId2050" Type="http://schemas.openxmlformats.org/officeDocument/2006/relationships/hyperlink" Target="https://solution.soloel.com/buyer/view/a910/DAD02010.html?te-uniquekey=172fea0d36e" TargetMode="External"/><Relationship Id="rId3101" Type="http://schemas.openxmlformats.org/officeDocument/2006/relationships/hyperlink" Target="https://jp.misumi-ec.com/vona2/detail/221000237669/?ProductCode=SLHS-M2X10-VA" TargetMode="External"/><Relationship Id="rId5273" Type="http://schemas.openxmlformats.org/officeDocument/2006/relationships/hyperlink" Target="https://www.monotaro.com/g/00508258/?t.q=jst%20%E3%82%B3%E3%83%8D%E3%82%AF%E3%82%BF%20eh" TargetMode="External"/><Relationship Id="rId839" Type="http://schemas.openxmlformats.org/officeDocument/2006/relationships/hyperlink" Target="https://www.digikey.jp/product-detail/ja/jst-sales-america-inc/B10B-PASK-1-LF-SN/455-1840-ND/926746" TargetMode="External"/><Relationship Id="rId1469" Type="http://schemas.openxmlformats.org/officeDocument/2006/relationships/hyperlink" Target="https://www.digikey.jp/product-detail/en/seeed-technology-co-ltd/109990165/1597-1491-ND/7033235?cur=JPY&amp;lang=en" TargetMode="External"/><Relationship Id="rId2867" Type="http://schemas.openxmlformats.org/officeDocument/2006/relationships/hyperlink" Target="https://www.askul.co.jp/p/836491/" TargetMode="External"/><Relationship Id="rId3918" Type="http://schemas.openxmlformats.org/officeDocument/2006/relationships/hyperlink" Target="https://jp.misumi-ec.com/vona2/detail/222302223110/?ProductCode=USB3-E20BK" TargetMode="External"/><Relationship Id="rId5340" Type="http://schemas.openxmlformats.org/officeDocument/2006/relationships/hyperlink" Target="https://www.digikey.jp/en/products/detail/masach-tech-ltd/MS210-10S/13166585" TargetMode="External"/><Relationship Id="rId1883" Type="http://schemas.openxmlformats.org/officeDocument/2006/relationships/hyperlink" Target="https://jp.rs-online.com/web/p/surface-mount-fixed-resistors/7086935/" TargetMode="External"/><Relationship Id="rId2934" Type="http://schemas.openxmlformats.org/officeDocument/2006/relationships/hyperlink" Target="https://kryothermtec.com/four-stage-thermoelectric-coolers.html" TargetMode="External"/><Relationship Id="rId906" Type="http://schemas.openxmlformats.org/officeDocument/2006/relationships/hyperlink" Target="https://jp.rs-online.com/web/p/surface-mount-fixed-resistors/6316626/" TargetMode="External"/><Relationship Id="rId1536" Type="http://schemas.openxmlformats.org/officeDocument/2006/relationships/hyperlink" Target="https://www.monotaro.com/p/4893/6763/" TargetMode="External"/><Relationship Id="rId1950" Type="http://schemas.openxmlformats.org/officeDocument/2006/relationships/hyperlink" Target="https://www.digikey.jp/product-detail/ja/bourns-inc/SRN4018-4R7M/SRN4018-4R7MCT-ND/3821520" TargetMode="External"/><Relationship Id="rId1603" Type="http://schemas.openxmlformats.org/officeDocument/2006/relationships/hyperlink" Target="https://jp.misumi-ec.com/vona2/detail/221000016923/?PNSearch=TL008C&amp;HissuCode=TL008C&amp;searchFlow=suggest2products&amp;Keyword=TL008C" TargetMode="External"/><Relationship Id="rId4759" Type="http://schemas.openxmlformats.org/officeDocument/2006/relationships/hyperlink" Target="https://www.monotaro.com/p/0658/9021/" TargetMode="External"/><Relationship Id="rId3775" Type="http://schemas.openxmlformats.org/officeDocument/2006/relationships/hyperlink" Target="https://www.digikey.jp/product-detail/en/te-connectivity-amp-connectors/5-534206-9/A32940-ND/1093011" TargetMode="External"/><Relationship Id="rId4826" Type="http://schemas.openxmlformats.org/officeDocument/2006/relationships/hyperlink" Target="https://www.digikey.jp/ja/products/detail/anysolar-ltd/KXOB25-02X8F-TR/9990480" TargetMode="External"/><Relationship Id="rId696" Type="http://schemas.openxmlformats.org/officeDocument/2006/relationships/hyperlink" Target="https://www.digikey.jp/product-detail/en/rohm-semiconductor/SML-E12D8WT86/511-1583-1-ND/1641815" TargetMode="External"/><Relationship Id="rId2377" Type="http://schemas.openxmlformats.org/officeDocument/2006/relationships/hyperlink" Target="https://jp.misumi-ec.com/vona2/detail/110300250540/?PNSearch=SLBNR3&amp;HissuCode=SLBNR3&amp;searchFlow=suggest2products&amp;Keyword=SLBNR3" TargetMode="External"/><Relationship Id="rId2791" Type="http://schemas.openxmlformats.org/officeDocument/2006/relationships/hyperlink" Target="https://www.digikey.jp/product-detail/en/koa-speer-electronics-inc/RK73B1JTTD432J/2019-RK73B1JTTD432JCT-ND/9846829" TargetMode="External"/><Relationship Id="rId3428" Type="http://schemas.openxmlformats.org/officeDocument/2006/relationships/hyperlink" Target="https://www.monotaro.com/p/0250/0443/" TargetMode="External"/><Relationship Id="rId349" Type="http://schemas.openxmlformats.org/officeDocument/2006/relationships/hyperlink" Target="https://jp.rs-online.com/web/p/fpc-connectors/0397290/" TargetMode="External"/><Relationship Id="rId763" Type="http://schemas.openxmlformats.org/officeDocument/2006/relationships/hyperlink" Target="https://www.digikey.jp/product-detail/ja/johanson-technology-inc/L-07C12NJV6T/712-1453-1-ND/1915232" TargetMode="External"/><Relationship Id="rId1393" Type="http://schemas.openxmlformats.org/officeDocument/2006/relationships/hyperlink" Target="https://www.digikey.jp/product-detail/en/kemet/C0805C473K4RAC7800/399-15505-1-ND/7386903" TargetMode="External"/><Relationship Id="rId2444" Type="http://schemas.openxmlformats.org/officeDocument/2006/relationships/hyperlink" Target="https://www.digikey.jp/product-detail/ja/memsic-inc/MMC5883MA/1267-1072-1-ND/7063085" TargetMode="External"/><Relationship Id="rId3842" Type="http://schemas.openxmlformats.org/officeDocument/2006/relationships/hyperlink" Target="https://wilco.jp/products/U/CU-PH.html" TargetMode="External"/><Relationship Id="rId416" Type="http://schemas.openxmlformats.org/officeDocument/2006/relationships/hyperlink" Target="https://www.digikey.jp/product-detail/en/johanson-technology-inc/251R14S4R3CV4T/712-1355-6-ND/1787027" TargetMode="External"/><Relationship Id="rId1046" Type="http://schemas.openxmlformats.org/officeDocument/2006/relationships/hyperlink" Target="https://www.digikey.jp/products/en?keywords=732-5334-ND" TargetMode="External"/><Relationship Id="rId830" Type="http://schemas.openxmlformats.org/officeDocument/2006/relationships/hyperlink" Target="https://www.amazon.co.jp/ALUNAR-%E3%80%8CALUNAR%E3%80%8D3D%E3%83%97%E3%83%AA%E3%83%B3%E3%82%BF%E3%83%BC%E7%94%A8%E3%83%95%E3%82%A3%E3%83%A9%E3%83%A1%E3%83%B3%E3%83%88-PLA%E7%B4%A0%E6%9D%90-%E6%AD%A3%E5%91%B3%E9%87%8D%E3%81%951kg-%E7%9B%B4%E5%BE%841-75mm-%E7%B4%84340%E3%83%A1%E3%83%BC%E3%83%88%E3%83%AB-%E5%86%8D%E7%94%9F%E5%8F%AF%E8%83%BD%E3%81%AA%E5%88%86%E8%A7%A3%E6%80%A7%E3%83%97%E3%83%A9%E3%82%B9%E3%83%81%E3%83%83%E3%82%AF-%E3%83%9B%E3%83%AF%E3%82%A4%E3%83%88/dp/B01N5QV8UT/ref=pd_bxgy_328_img_2/355-8382177-2871263?_encoding=UTF8&amp;pd_rd_i=B01N5QV8UT&amp;pd_rd_r=bb4065ea-91a2-11e9-abcd-e3cbe212f482&amp;pd_rd_w=0Ev5f&amp;pd_rd_wg=7bKC9&amp;pf_rd_p=2d39d87c-5ff4-47a9-a2d0-79fb936a2d97&amp;pf_rd_r=KKWX93ZW5ER1ZYXG3RFS&amp;psc=1&amp;refRID=KKWX93ZW5ER1ZYXG3RFS" TargetMode="External"/><Relationship Id="rId1460" Type="http://schemas.openxmlformats.org/officeDocument/2006/relationships/hyperlink" Target="https://www.digikey.jp/product-detail/en/samtec-inc/FTM-103-02-F-DV/SAM12591-ND/6692125" TargetMode="External"/><Relationship Id="rId2511" Type="http://schemas.openxmlformats.org/officeDocument/2006/relationships/hyperlink" Target="https://jp.misumi-ec.com/vona2/detail/221006205479/?CategorySpec=00000217009%3a%3amig00000002465628%0900000217129%3a%3ab%0900000216985%3a%3aa" TargetMode="External"/><Relationship Id="rId1113" Type="http://schemas.openxmlformats.org/officeDocument/2006/relationships/hyperlink" Target="https://www.p-ban.com/kiban/com/csComTop.do" TargetMode="External"/><Relationship Id="rId4269" Type="http://schemas.openxmlformats.org/officeDocument/2006/relationships/hyperlink" Target="https://www.mouser.jp/ProductDetail/ABRACON/ARRKP7059-S915B?qs=%2Fha2pyFadugGdviddinQzP%2FcXDF8mvsgDrLwy3YStgczr3jjFU5Ktw%3D%3D" TargetMode="External"/><Relationship Id="rId4683" Type="http://schemas.openxmlformats.org/officeDocument/2006/relationships/hyperlink" Target="https://www.mouser.jp/ProductDetail/Panasonic/ERJ-6GEYJ104V?qs=tQNqqtTOejL5eczyE2lY8g%3D%3D" TargetMode="External"/><Relationship Id="rId3285" Type="http://schemas.openxmlformats.org/officeDocument/2006/relationships/hyperlink" Target="https://www.digikey.jp/product-detail/ja/rohm-semiconductor/DTC144EKAT146/DTC144EKAT146CT-ND/650727" TargetMode="External"/><Relationship Id="rId4336" Type="http://schemas.openxmlformats.org/officeDocument/2006/relationships/hyperlink" Target="https://www.monotaro.com/g/00029011/?t.q=%E3%83%88%E3%83%AB%E3%82%AF%E3%83%89%E3%83%A9%E3%82%A4%E3%83%90%E3%83%BC%20%E3%83%93%E3%83%83%E3%83%88" TargetMode="External"/><Relationship Id="rId4750" Type="http://schemas.openxmlformats.org/officeDocument/2006/relationships/hyperlink" Target="https://www.digikey.jp/en/products/detail/amphenol-rf/095-902-516-200/10261144" TargetMode="External"/><Relationship Id="rId3352" Type="http://schemas.openxmlformats.org/officeDocument/2006/relationships/hyperlink" Target="https://www.digikey.jp/product-detail/en/3295/1528-1787-ND/6238007/?itemSeq=351552713" TargetMode="External"/><Relationship Id="rId4403" Type="http://schemas.openxmlformats.org/officeDocument/2006/relationships/hyperlink" Target="https://jp.misumi-ec.com/vona2/detail/223004983023/?PNSearch=MI8617-D126&amp;HissuCode=MI8617-D126&amp;searchFlow=suggest2products&amp;Keyword=MI8617-D126&amp;list=SuggestPreview" TargetMode="External"/><Relationship Id="rId273" Type="http://schemas.openxmlformats.org/officeDocument/2006/relationships/hyperlink" Target="https://www.digikey.jp/product-detail/ja/yageo/CC0805JRNPO9BN180/311-1102-1-ND/303012" TargetMode="External"/><Relationship Id="rId3005" Type="http://schemas.openxmlformats.org/officeDocument/2006/relationships/hyperlink" Target="https://www.digikey.jp/product-detail/en/keystone-electronics/1043/36-1043-ND/2745669" TargetMode="External"/><Relationship Id="rId340" Type="http://schemas.openxmlformats.org/officeDocument/2006/relationships/hyperlink" Target="https://www.digikey.jp/product-detail/ja/toshiba-semiconductor-and-storage/SSM6K411TU-TE85LF/SSM6K411TU-TE85LFCT-ND/5298038" TargetMode="External"/><Relationship Id="rId2021" Type="http://schemas.openxmlformats.org/officeDocument/2006/relationships/hyperlink" Target="https://www.digikey.jp/product-detail/en/stewart-connector/940-SP-3088/380-1192-ND/1642361" TargetMode="External"/><Relationship Id="rId5177" Type="http://schemas.openxmlformats.org/officeDocument/2006/relationships/hyperlink" Target="https://www.minicircuits.com/WebStore/dashboard.html?model=TAMP-242GLN%2B" TargetMode="External"/><Relationship Id="rId4193" Type="http://schemas.openxmlformats.org/officeDocument/2006/relationships/hyperlink" Target="https://www.mouser.jp/ProductDetail/KOA-Speer/SG73P1EWTTP104J?qs=Jslch3jnSjlPLqxaNalMTQ%3D%3D" TargetMode="External"/><Relationship Id="rId1787" Type="http://schemas.openxmlformats.org/officeDocument/2006/relationships/hyperlink" Target="https://www.digikey.jp/product-detail/ja/murata-electronics-north-america/GJM1555C1H7R0BB01D/490-11233-1-ND/5333073" TargetMode="External"/><Relationship Id="rId2838" Type="http://schemas.openxmlformats.org/officeDocument/2006/relationships/hyperlink" Target="https://www.uctronics.com/arducam-2mp-stereo-camera-for-raspberry-pi-nvidia-jetson-nano-xavier-nx-dual-ov2311-monochrome-global-shutter-camera-module.html" TargetMode="External"/><Relationship Id="rId5244" Type="http://schemas.openxmlformats.org/officeDocument/2006/relationships/hyperlink" Target="https://www.digikey.jp/en/products/detail/molex/5011938000/12142063?s=N4IgTCBcDaIKwAYCMSCcBmABADgXkAugL5A" TargetMode="External"/><Relationship Id="rId79" Type="http://schemas.openxmlformats.org/officeDocument/2006/relationships/hyperlink" Target="https://www.monotaro.com/p/0705/7994/" TargetMode="External"/><Relationship Id="rId1854" Type="http://schemas.openxmlformats.org/officeDocument/2006/relationships/hyperlink" Target="https://www.digikey.jp/product-detail/en/koa-speer-electronics-inc/RK73H1JTTD2203F/2019-RK73H1JTTD2203FCT-ND/9846933" TargetMode="External"/><Relationship Id="rId2905" Type="http://schemas.openxmlformats.org/officeDocument/2006/relationships/hyperlink" Target="https://akizukidenshi.com/catalog/g/gC-08337/" TargetMode="External"/><Relationship Id="rId4260" Type="http://schemas.openxmlformats.org/officeDocument/2006/relationships/hyperlink" Target="https://www.mouser.jp/ProductDetail/Linx-Technologies/CONSMA002-SMD-G-T?qs=%2Fha2pyFaduhQhcxMgrQoIsvLFrsRjW9pIc1sJa4Ph7iJHa7ohZF7HQ%3D%3D" TargetMode="External"/><Relationship Id="rId5311" Type="http://schemas.openxmlformats.org/officeDocument/2006/relationships/hyperlink" Target="https://www.amazon.co.jp/-/en/Kaunosta-Conversion-Connector-Female-Machines/dp/B07MM25RTH/ref=d_pd_sbs_sccl_4_1/357-9579109-9054705?pd_rd_w=aYHlk&amp;content-id=amzn1.sym.820591ed-a555-4556-9bf6-5ebd5493c69e&amp;pf_rd_p=820591ed-a555-4556-9bf6-5ebd5493c69e&amp;pf_rd_r=5PAJZKMH20BH89GA9F6V&amp;pd_rd_wg=ShInz&amp;pd_rd_r=338c8c93-47ae-4b6c-a9b4-69c3b97a3810&amp;pd_rd_i=B07MM25RTH&amp;psc=1" TargetMode="External"/><Relationship Id="rId1507" Type="http://schemas.openxmlformats.org/officeDocument/2006/relationships/hyperlink" Target="https://www.digikey.jp/product-detail/en/digi-international/XB24CZ7WITB003/602-1858-ND/5322880" TargetMode="External"/><Relationship Id="rId1921" Type="http://schemas.openxmlformats.org/officeDocument/2006/relationships/hyperlink" Target="https://www.marutsu.co.jp/pc/i/857998/" TargetMode="External"/><Relationship Id="rId3679" Type="http://schemas.openxmlformats.org/officeDocument/2006/relationships/hyperlink" Target="https://jp.rs-online.com/web/p/wire-housings-plugs/2799184/?sra=pmpn" TargetMode="External"/><Relationship Id="rId1297" Type="http://schemas.openxmlformats.org/officeDocument/2006/relationships/hyperlink" Target="https://jp.misumi-ec.com/vona2/detail/110300539550/?rid=rid3" TargetMode="External"/><Relationship Id="rId2695" Type="http://schemas.openxmlformats.org/officeDocument/2006/relationships/hyperlink" Target="https://www.mouser.jp/ProductDetail/Diodes-Incorporated/DMG1012T-7?qs=%2Fha2pyFaduh14jVn8x%252Bx%252BBRPM3aZgQ1HqCANf0fPEKl3Cl4R3fPxQw%3D%3D" TargetMode="External"/><Relationship Id="rId3746" Type="http://schemas.openxmlformats.org/officeDocument/2006/relationships/hyperlink" Target="http://www.rflink.co.jp/lev1-sdk.html" TargetMode="External"/><Relationship Id="rId667" Type="http://schemas.openxmlformats.org/officeDocument/2006/relationships/hyperlink" Target="https://www.monotaro.com/g/00269093/" TargetMode="External"/><Relationship Id="rId2348" Type="http://schemas.openxmlformats.org/officeDocument/2006/relationships/hyperlink" Target="https://akizukidenshi.com/catalog/g/gM-04012/" TargetMode="External"/><Relationship Id="rId2762" Type="http://schemas.openxmlformats.org/officeDocument/2006/relationships/hyperlink" Target="https://akizukidenshi.com/catalog/g/gP-08996/" TargetMode="External"/><Relationship Id="rId3813" Type="http://schemas.openxmlformats.org/officeDocument/2006/relationships/hyperlink" Target="https://www.monotaro.com/g/01363512/" TargetMode="External"/><Relationship Id="rId734" Type="http://schemas.openxmlformats.org/officeDocument/2006/relationships/hyperlink" Target="https://www.monotaro.com/g/00261084/?monotaroNo=34933543" TargetMode="External"/><Relationship Id="rId1364" Type="http://schemas.openxmlformats.org/officeDocument/2006/relationships/hyperlink" Target="https://www.amazon.co.jp/dp/B000EERL0O/" TargetMode="External"/><Relationship Id="rId2415" Type="http://schemas.openxmlformats.org/officeDocument/2006/relationships/hyperlink" Target="https://www.monotaro.com/p/1135/0167/" TargetMode="External"/><Relationship Id="rId70" Type="http://schemas.openxmlformats.org/officeDocument/2006/relationships/hyperlink" Target="https://www.monotaro.com/p/3466/5565/" TargetMode="External"/><Relationship Id="rId801" Type="http://schemas.openxmlformats.org/officeDocument/2006/relationships/hyperlink" Target="http://www.cirocomm.com/en-global/products_ciro/detail/PA025AA0096" TargetMode="External"/><Relationship Id="rId1017" Type="http://schemas.openxmlformats.org/officeDocument/2006/relationships/hyperlink" Target="https://www.digikey.jp/product-detail/ja/microchip-technology/PG164140/PG164140-ND/8536593" TargetMode="External"/><Relationship Id="rId1431" Type="http://schemas.openxmlformats.org/officeDocument/2006/relationships/hyperlink" Target="https://www.digikey.jp/product-detail/en/linear-technology-analog-devices/LTC3119EUFD-PBF/LTC3119EUFD-PBF-ND/6419501" TargetMode="External"/><Relationship Id="rId4587" Type="http://schemas.openxmlformats.org/officeDocument/2006/relationships/hyperlink" Target="https://www.amazon.co.jp/Multimeter-Capacity-Impedance-Temperature-Voltmeter/dp/B07H82PZX7/ref=pd_rhf_dp_s_pd_crcd_sccl_12/356-6363334-7664800?pd_rd_w=GjbM6&amp;pf_rd_p=f6807b6a-a51f-484d-a903-9221ae683054&amp;pf_rd_r=TM13MVZE96S8F8BRE5FQ&amp;pd_rd_r=4ef3af9e-60e5-4d53-b88d-54598e7b24bd&amp;pd_rd_wg=9GqOe&amp;pd_rd_i=B07H82PZX7&amp;psc=1" TargetMode="External"/><Relationship Id="rId3189" Type="http://schemas.openxmlformats.org/officeDocument/2006/relationships/hyperlink" Target="https://www.monotaro.com/p/2034/5465/" TargetMode="External"/><Relationship Id="rId4654" Type="http://schemas.openxmlformats.org/officeDocument/2006/relationships/hyperlink" Target="https://jp.rs-online.com/web/p/voltage-regulators/8051740" TargetMode="External"/><Relationship Id="rId3256" Type="http://schemas.openxmlformats.org/officeDocument/2006/relationships/hyperlink" Target="https://www.digikey.jp/product-detail/en/rohm-semiconductor/SML-E12D8WT86/511-1583-1-ND/1641815" TargetMode="External"/><Relationship Id="rId4307" Type="http://schemas.openxmlformats.org/officeDocument/2006/relationships/hyperlink" Target="https://www.uctronics.com/lens/m12-mount-lens/arducam-12mm-m12-lens-m2512zh03-for-usb-camera.html" TargetMode="External"/><Relationship Id="rId177" Type="http://schemas.openxmlformats.org/officeDocument/2006/relationships/hyperlink" Target="https://www.monotaro.com/p/0989/0754/?displayId=5" TargetMode="External"/><Relationship Id="rId591" Type="http://schemas.openxmlformats.org/officeDocument/2006/relationships/hyperlink" Target="https://oyaide.com/catalog/products/p-562.html" TargetMode="External"/><Relationship Id="rId2272" Type="http://schemas.openxmlformats.org/officeDocument/2006/relationships/hyperlink" Target="http://akizukidenshi.com/catalog/g/gK-09848/" TargetMode="External"/><Relationship Id="rId3670" Type="http://schemas.openxmlformats.org/officeDocument/2006/relationships/hyperlink" Target="https://www.digikey.jp/product-detail/en/murata-electronics/GJM1555C1H470GB01D/490-16375-1-ND/7363357" TargetMode="External"/><Relationship Id="rId4721" Type="http://schemas.openxmlformats.org/officeDocument/2006/relationships/hyperlink" Target="https://www.digikey.jp/en/products/detail/sullins-connector-solutions/GRPB122VWQS-RC/1786421?s=N4IgTCBcDaIOICUAKAhABARjGNA1A6gIoDKAtAgMIgC6AvkA" TargetMode="External"/><Relationship Id="rId244" Type="http://schemas.openxmlformats.org/officeDocument/2006/relationships/hyperlink" Target="https://www.monotaro.com/p/4219/9491/?t.q=%8E%7E%82%DF%97%D6" TargetMode="External"/><Relationship Id="rId3323" Type="http://schemas.openxmlformats.org/officeDocument/2006/relationships/hyperlink" Target="https://www.monotaro.com/p/1131/7172/" TargetMode="External"/><Relationship Id="rId311" Type="http://schemas.openxmlformats.org/officeDocument/2006/relationships/hyperlink" Target="https://www.digikey.jp/product-detail/en/micron-technology-inc/MT25QL01GBBB8ESF-0SIT-TR/557-1981-6-ND/9674167" TargetMode="External"/><Relationship Id="rId4097" Type="http://schemas.openxmlformats.org/officeDocument/2006/relationships/hyperlink" Target="https://www.monotaro.com/g/00262524/?monotaroNo=34812906" TargetMode="External"/><Relationship Id="rId5148" Type="http://schemas.openxmlformats.org/officeDocument/2006/relationships/hyperlink" Target="https://akizukidenshi.com/catalog/g/gM-10756/" TargetMode="External"/><Relationship Id="rId1758" Type="http://schemas.openxmlformats.org/officeDocument/2006/relationships/hyperlink" Target="https://www.digikey.jp/product-detail/en/koa-speer-electronics-inc/RK73H2ATTD1000F/2019-RK73H2ATTD1000FCT-ND/10234431" TargetMode="External"/><Relationship Id="rId2809" Type="http://schemas.openxmlformats.org/officeDocument/2006/relationships/hyperlink" Target="https://www.jp.omega.com/pptst/KHRA-KHLVA-KHA-SERIES.html" TargetMode="External"/><Relationship Id="rId4164" Type="http://schemas.openxmlformats.org/officeDocument/2006/relationships/hyperlink" Target="https://www.digikey.jp/product-detail/ja/3m/DP2216/3M156895-ND/7066677?utm_adgroup=Glue%2C%20Adhesives%2C%20Applicators&amp;utm_source=google&amp;utm_medium=cpc&amp;utm_campaign=Shopping_Product_Tapes%2C%20Adhesives%2C%20Materials&amp;utm_term=&amp;productid=7066677&amp;gclid=CjwKCAjwlbr8BRA0EiwAnt4MTgRrSUisriyRvMlAxhKRfmm56W8Qf-Jv2zQGaxcv9Ct5bR2o8ENSQRoComsQAvD_BwE" TargetMode="External"/><Relationship Id="rId5215" Type="http://schemas.openxmlformats.org/officeDocument/2006/relationships/hyperlink" Target="https://jp.misumi-ec.com/vona2/detail/110300250540/?ProductCode=SKNTR3" TargetMode="External"/><Relationship Id="rId3180" Type="http://schemas.openxmlformats.org/officeDocument/2006/relationships/hyperlink" Target="https://jp.rs-online.com/web/p/raspberry-pi/2067510/" TargetMode="External"/><Relationship Id="rId4231" Type="http://schemas.openxmlformats.org/officeDocument/2006/relationships/hyperlink" Target="https://jp.rs-online.com/web/p/mlccs-multilayer-ceramic-capacitors/1034153" TargetMode="External"/><Relationship Id="rId1825" Type="http://schemas.openxmlformats.org/officeDocument/2006/relationships/hyperlink" Target="https://www.digikey.jp/product-detail/en/tdk-corporation/CGA3E3X8R1H104K080AB/445-12606-1-ND/3954272" TargetMode="External"/><Relationship Id="rId3997" Type="http://schemas.openxmlformats.org/officeDocument/2006/relationships/hyperlink" Target="https://www.aliexpress.com/item/32893139719.html?spm=2114.12057483.detail.3.4aed76b8p9586n" TargetMode="External"/><Relationship Id="rId2599" Type="http://schemas.openxmlformats.org/officeDocument/2006/relationships/hyperlink" Target="https://www.digikey.jp/product-detail/en/sullins-connector-solutions/PPPC022LJBN-RC/S5555-ND/776013" TargetMode="External"/><Relationship Id="rId985" Type="http://schemas.openxmlformats.org/officeDocument/2006/relationships/hyperlink" Target="https://jp.rs-online.com/web/p/breadboard-jumper-wire-kits/7916463/" TargetMode="External"/><Relationship Id="rId2666" Type="http://schemas.openxmlformats.org/officeDocument/2006/relationships/hyperlink" Target="https://www.mouser.jp/ProductDetail/KEMET/C0603C103KARACAUTO?qs=%2Fha2pyFadugh8U7pV%252BrBGv4FGzdE68AArIhWnmj8%252B659Rb0nsmivr9PrUZg7Snvx" TargetMode="External"/><Relationship Id="rId3717" Type="http://schemas.openxmlformats.org/officeDocument/2006/relationships/hyperlink" Target="https://jp.rs-online.com/web/p/surface-mount-fixed-resistors/6789670/" TargetMode="External"/><Relationship Id="rId5072" Type="http://schemas.openxmlformats.org/officeDocument/2006/relationships/hyperlink" Target="https://jp.misumi-ec.com/vona2/detail/223005998536/?HissuCode=1535-50-GR&amp;list=PageDetail" TargetMode="External"/><Relationship Id="rId638" Type="http://schemas.openxmlformats.org/officeDocument/2006/relationships/hyperlink" Target="https://jp.misumi-ec.com/vona2/detail/221006456714/" TargetMode="External"/><Relationship Id="rId1268" Type="http://schemas.openxmlformats.org/officeDocument/2006/relationships/hyperlink" Target="https://www.digikey.jp/products/ja?keywords=sf1132-6027" TargetMode="External"/><Relationship Id="rId1682" Type="http://schemas.openxmlformats.org/officeDocument/2006/relationships/hyperlink" Target="http://akizukidenshi.com/catalog/g/gT-09530/" TargetMode="External"/><Relationship Id="rId2319" Type="http://schemas.openxmlformats.org/officeDocument/2006/relationships/hyperlink" Target="https://jp.rs-online.com/web/p/mlccs-multilayer-ceramic-capacitors/8467369/" TargetMode="External"/><Relationship Id="rId2733" Type="http://schemas.openxmlformats.org/officeDocument/2006/relationships/hyperlink" Target="https://jp.misumi-ec.com/vona2/detail/110300239250/?CategorySpec=00000217065%3a%3amig00000002462151%0900000217017%3a%3amig00000002466046%0900000217131%3a%3ab%0900000217026%3a%3aa" TargetMode="External"/><Relationship Id="rId705" Type="http://schemas.openxmlformats.org/officeDocument/2006/relationships/hyperlink" Target="https://www.monotaro.com/p/2634/4578/?t.q=PSR-210154-12" TargetMode="External"/><Relationship Id="rId1335" Type="http://schemas.openxmlformats.org/officeDocument/2006/relationships/hyperlink" Target="https://www.amazon.co.jp/gp/offer-listing/B07RRMLG9G/ref=dp_olp_new_mbc?ie=UTF8&amp;condition=new" TargetMode="External"/><Relationship Id="rId2800" Type="http://schemas.openxmlformats.org/officeDocument/2006/relationships/hyperlink" Target="https://jp.misumi-ec.com/vona2/detail/110300250540/?ProductCode=SLBNR3" TargetMode="External"/><Relationship Id="rId41" Type="http://schemas.openxmlformats.org/officeDocument/2006/relationships/hyperlink" Target="https://www.digikey.jp/product-detail/ja/m-a-com-technology-solutions/MABA-011029/1465-1706-1-ND/5131116" TargetMode="External"/><Relationship Id="rId1402" Type="http://schemas.openxmlformats.org/officeDocument/2006/relationships/hyperlink" Target="https://www.digikey.jp/product-detail/en/vishay-dale/WSL0805R0100FEA18/WSLB-.01CT-ND/713385" TargetMode="External"/><Relationship Id="rId4558" Type="http://schemas.openxmlformats.org/officeDocument/2006/relationships/hyperlink" Target="https://www.digikey.jp/ja/products/detail/analog-devices-inc-maxim-integrated/MAX4639EUE/1779856" TargetMode="External"/><Relationship Id="rId4972" Type="http://schemas.openxmlformats.org/officeDocument/2006/relationships/hyperlink" Target="https://www.wimo.com/en/accessories/antenna-accessories/mast-pre-amplifier?product_list_limit=20" TargetMode="External"/><Relationship Id="rId3574" Type="http://schemas.openxmlformats.org/officeDocument/2006/relationships/hyperlink" Target="https://www.mouser.jp/ProductDetail/Hirose-Connector/DF14-2628SCFA?qs=zOgoZG1CgI%2FlU9yUnyxQOQ%3D%3D" TargetMode="External"/><Relationship Id="rId4625" Type="http://schemas.openxmlformats.org/officeDocument/2006/relationships/hyperlink" Target="https://www.p-ban.com/" TargetMode="External"/><Relationship Id="rId495" Type="http://schemas.openxmlformats.org/officeDocument/2006/relationships/hyperlink" Target="https://www.digikey.jp/product-detail/ja/murata-electronics-north-america/GRM155R61E104KA87D/490-5920-1-ND/3721277" TargetMode="External"/><Relationship Id="rId2176" Type="http://schemas.openxmlformats.org/officeDocument/2006/relationships/hyperlink" Target="https://www.monotaro.com/g/00029003/" TargetMode="External"/><Relationship Id="rId2590" Type="http://schemas.openxmlformats.org/officeDocument/2006/relationships/hyperlink" Target="https://www.digikey.jp/product-detail/en/vishay-dale/CRCW08054K70FKEAC/541-4131-1-ND/7928814" TargetMode="External"/><Relationship Id="rId3227" Type="http://schemas.openxmlformats.org/officeDocument/2006/relationships/hyperlink" Target="https://www.mouser.jp/ProductDetail/KOA-Speer/UR73VD2ATTD25L0F?qs=5aG0NVq1C4z5HmsT%2Fj0Ezw%3D%3D" TargetMode="External"/><Relationship Id="rId3641" Type="http://schemas.openxmlformats.org/officeDocument/2006/relationships/hyperlink" Target="https://www.monotaro.com/g/01213824/?t.q=PSR-210154-12" TargetMode="External"/><Relationship Id="rId148" Type="http://schemas.openxmlformats.org/officeDocument/2006/relationships/hyperlink" Target="https://jp.misumi-ec.com/vona2/detail/221000547304/?CategorySpec=00000217010%3a%3anvd00000000000001%0900000216966%3a%3amig00000002462205%0900000216948%3a%3ab&amp;bid=bid_list_template" TargetMode="External"/><Relationship Id="rId562" Type="http://schemas.openxmlformats.org/officeDocument/2006/relationships/hyperlink" Target="https://www.digikey.jp/products/en?keywords=541-105KHCT-ND" TargetMode="External"/><Relationship Id="rId1192" Type="http://schemas.openxmlformats.org/officeDocument/2006/relationships/hyperlink" Target="https://software.univcoop.or.jp/search_result?unit_page%5Bkeyword%5D=%E3%82%AB%E3%83%AC%E3%82%A4%E3%83%80%E3%82%B0%E3%83%A9%E3%83%95&amp;commit=%E6%A4%9C%E7%B4%A2" TargetMode="External"/><Relationship Id="rId2243" Type="http://schemas.openxmlformats.org/officeDocument/2006/relationships/hyperlink" Target="https://jp.rs-online.com/web/p/raspberry-pi/1829892/" TargetMode="External"/><Relationship Id="rId215" Type="http://schemas.openxmlformats.org/officeDocument/2006/relationships/hyperlink" Target="https://www.monotaro.com/p/1640/8132/" TargetMode="External"/><Relationship Id="rId2310" Type="http://schemas.openxmlformats.org/officeDocument/2006/relationships/hyperlink" Target="https://jp.misumi-ec.com/vona2/detail/221005681443/?CategorySpec=00000217065%3a%3amig00000002462152%0900000217017%3a%3a12%2cmig00000002466051%0900000217082%3a%3aa%0900000217131%3a%3ab%0900000217143%3a%3aa" TargetMode="External"/><Relationship Id="rId4068" Type="http://schemas.openxmlformats.org/officeDocument/2006/relationships/hyperlink" Target="https://www.monotaro.com/p/0718/1781/" TargetMode="External"/><Relationship Id="rId4482" Type="http://schemas.openxmlformats.org/officeDocument/2006/relationships/hyperlink" Target="https://www.mouser.jp/ProductDetail/Hirose-Connector/A3C-50DA-2DSA71?qs=sGAEpiMZZMthaSLPVp%252B4aoVapxHV3GzVkBY7TFV1FZY%3D" TargetMode="External"/><Relationship Id="rId5119" Type="http://schemas.openxmlformats.org/officeDocument/2006/relationships/hyperlink" Target="https://akizukidenshi.com/catalog/g/gP-09994/" TargetMode="External"/><Relationship Id="rId3084" Type="http://schemas.openxmlformats.org/officeDocument/2006/relationships/hyperlink" Target="https://www.monotaro.com/g/00262524/?attr_15326=300&amp;attr_16766=0.5&amp;monotaroNo=34812906" TargetMode="External"/><Relationship Id="rId4135" Type="http://schemas.openxmlformats.org/officeDocument/2006/relationships/hyperlink" Target="https://www.digikey.jp/products/en?prodAtt_select_all=&amp;t=859&amp;v=1286&amp;s=818&amp;pv7=61&amp;pv1989=0&amp;pv183=328522&amp;pv139=273885&amp;pv47=308895&amp;pv985=321636" TargetMode="External"/><Relationship Id="rId1729" Type="http://schemas.openxmlformats.org/officeDocument/2006/relationships/hyperlink" Target="https://www.marutsu.co.jp/pc/i/1259/" TargetMode="External"/><Relationship Id="rId3151" Type="http://schemas.openxmlformats.org/officeDocument/2006/relationships/hyperlink" Target="https://www.digikey.jp/product-detail/en/texas-instruments/TPS82130SILT/296-43922-1-ND/5960953" TargetMode="External"/><Relationship Id="rId4202" Type="http://schemas.openxmlformats.org/officeDocument/2006/relationships/hyperlink" Target="https://jp.rs-online.com/web/p/pcb-headers/1721806/?cm_mmc=aff2-_-jp-_-octopart-_-Instock1721806" TargetMode="External"/><Relationship Id="rId3968" Type="http://schemas.openxmlformats.org/officeDocument/2006/relationships/hyperlink" Target="https://jp.misumi-ec.com/vona2/detail/221006204759/?PNSearch=CC-0306-05&amp;HissuCode=CC-0306-05&amp;searchFlow=suggesthistory&amp;Keyword=CC-0306-05&amp;list=SuggestPreview" TargetMode="External"/><Relationship Id="rId5" Type="http://schemas.openxmlformats.org/officeDocument/2006/relationships/hyperlink" Target="https://www.monotaro.com/p/0655/5437/?t.q=p-831" TargetMode="External"/><Relationship Id="rId889" Type="http://schemas.openxmlformats.org/officeDocument/2006/relationships/hyperlink" Target="https://jp.rs-online.com/web/p/mlccs-multilayer-ceramic-capacitors/6009249/" TargetMode="External"/><Relationship Id="rId1586" Type="http://schemas.openxmlformats.org/officeDocument/2006/relationships/hyperlink" Target="https://jp.misumi-ec.com/vona2/detail/221000058378/?KWSearch=%e3%83%99%e3%82%a2%e3%83%aa%e3%83%b3%e3%82%b0&amp;searchFlow=results2products" TargetMode="External"/><Relationship Id="rId2984" Type="http://schemas.openxmlformats.org/officeDocument/2006/relationships/hyperlink" Target="https://www.digikey.jp/product-detail/ja/yageo/CC0603JRNPO9BN430/311-3970-1-ND/8025059?utm_adgroup=General&amp;utm_source=google&amp;utm_medium=cpc&amp;utm_campaign=Smart%20Shopping_Supplier_Yageo&amp;utm_term=&amp;productid=8025059&amp;gclid=Cj0KCQiA3NX_BRDQARIsALA3fILze9V2YCPDqQlQRWSkys0IrGonwRKA9oWTZlVAjPzkmNIAS-YYKqsaAjRbEALw_wcB" TargetMode="External"/><Relationship Id="rId5043" Type="http://schemas.openxmlformats.org/officeDocument/2006/relationships/hyperlink" Target="https://www.mouser.jp/ProductDetail/YAGEO/RC0603FR-0710RL?qs=womCuNp6NjhtCUybQ%252B6d6w%3D%3D" TargetMode="External"/><Relationship Id="rId609" Type="http://schemas.openxmlformats.org/officeDocument/2006/relationships/hyperlink" Target="https://www.digikey.jp/products/ja?keywords=ATMEGA2560V-8AURCT-ND" TargetMode="External"/><Relationship Id="rId956" Type="http://schemas.openxmlformats.org/officeDocument/2006/relationships/hyperlink" Target="https://www.monotaro.com/g/02960802/" TargetMode="External"/><Relationship Id="rId1239" Type="http://schemas.openxmlformats.org/officeDocument/2006/relationships/hyperlink" Target="https://www.digikey.jp/products/ja?keywords=455-1597-ND" TargetMode="External"/><Relationship Id="rId2637" Type="http://schemas.openxmlformats.org/officeDocument/2006/relationships/hyperlink" Target="https://www.htkazshop.com/SHOP/HTK_101911.html" TargetMode="External"/><Relationship Id="rId5110" Type="http://schemas.openxmlformats.org/officeDocument/2006/relationships/hyperlink" Target="https://www.mouser.jp/ProductDetail/onsemi/DTC144EET1G?qs=2OtswVQKCOGzUGumeHaiRw%3D%3D" TargetMode="External"/><Relationship Id="rId1653" Type="http://schemas.openxmlformats.org/officeDocument/2006/relationships/hyperlink" Target="https://www.amazon.co.jp/%E3%80%90Creality-3D-3D%E3%83%97%E3%83%AA%E3%83%B3%E3%82%BF%E3%83%95%E3%82%A3%E3%83%A9%E3%83%A1%E3%83%B3%E3%83%88PLA-mm%E3%80%811-75mm-3D%E3%83%97%E3%83%AA%E3%83%B3%E3%82%BF%E3%81%8A%E3%82%88%E3%81%B33D%E3%83%9A%E3%83%B3%E7%94%A8PLA%EF%BC%881KG%EF%BC%89%E3%82%B9%E3%83%97%E3%83%BC%E3%83%AB%E9%80%A0%E5%BD%A2%E6%9D%90%E6%96%99PLA%E6%A8%B9%E8%84%82%E6%9D%90%E6%96%99/dp/B07KXSQDHT/ref=sr_1_5?__mk_ja_JP=%E3%82%AB%E3%82%BF%E3%82%AB%E3%83%8A&amp;keywords=3D%E3%83%97%E3%83%AA%E3%83%B3%E3%82%BF+%E3%83%95%E3%82%A3%E3%83%A9%E3%83%A1%E3%83%B3%E3%83%88+PLA&amp;qid=1584066686&amp;sr=8-5" TargetMode="External"/><Relationship Id="rId2704" Type="http://schemas.openxmlformats.org/officeDocument/2006/relationships/hyperlink" Target="https://www.mouser.jp/ProductDetail/Molex/51090-0200?qs=VKrXD49J9Eo1%252BjZhRFfe%252BQ%3D%3D" TargetMode="External"/><Relationship Id="rId1306" Type="http://schemas.openxmlformats.org/officeDocument/2006/relationships/hyperlink" Target="https://www.digikey.jp/products/en?keywords=%09H10891-ND" TargetMode="External"/><Relationship Id="rId1720" Type="http://schemas.openxmlformats.org/officeDocument/2006/relationships/hyperlink" Target="https://www.digikey.jp/product-detail/en/jst-sales-america-inc/PAP-12V-S/455-2953-ND/759984" TargetMode="External"/><Relationship Id="rId4876" Type="http://schemas.openxmlformats.org/officeDocument/2006/relationships/hyperlink" Target="https://www.monotaro.com/g/00423805/?t.attr_f1799=%E5%B9%B3%E5%85%88&amp;t.attr_f2=M2&amp;t.attr_f2478=%E5%85%AD%E8%A7%92%E7%A9%B4&amp;t.attr_f3=2" TargetMode="External"/><Relationship Id="rId12" Type="http://schemas.openxmlformats.org/officeDocument/2006/relationships/hyperlink" Target="http://www.onk-phnx.co.jp/steel/" TargetMode="External"/><Relationship Id="rId3478" Type="http://schemas.openxmlformats.org/officeDocument/2006/relationships/hyperlink" Target="https://www.digikey.jp/product-detail/ja/digilent-inc/340-002-1/1286-1220-ND/9556131" TargetMode="External"/><Relationship Id="rId3892" Type="http://schemas.openxmlformats.org/officeDocument/2006/relationships/hyperlink" Target="https://www.monotaro.com/p/5095/8328/" TargetMode="External"/><Relationship Id="rId4529" Type="http://schemas.openxmlformats.org/officeDocument/2006/relationships/hyperlink" Target="http://www.orbital-e.co.jp/" TargetMode="External"/><Relationship Id="rId4943" Type="http://schemas.openxmlformats.org/officeDocument/2006/relationships/hyperlink" Target="https://jp.misumi-ec.com/vona2/detail/110500074860/?rid=rid3" TargetMode="External"/><Relationship Id="rId399" Type="http://schemas.openxmlformats.org/officeDocument/2006/relationships/hyperlink" Target="https://www.digikey.jp/product-detail/en/infineon-technologies/BGA614H6327XTSA1/BGA614H6327XTSA1CT-ND/2410161" TargetMode="External"/><Relationship Id="rId2494" Type="http://schemas.openxmlformats.org/officeDocument/2006/relationships/hyperlink" Target="https://jp.misumi-ec.com/vona2/detail/221000348314/?CategorySpec=00000238958%3a%3amig00000002491693%0900000239159%3a%3amig00000002491674%0900000237540%3a%3aa" TargetMode="External"/><Relationship Id="rId3545" Type="http://schemas.openxmlformats.org/officeDocument/2006/relationships/hyperlink" Target="https://www.mouser.jp/ProductDetail/AVX/08053F104K4T2A?qs=1X9trZCrWl1SCz9oX5iyQA%3D%3D" TargetMode="External"/><Relationship Id="rId466" Type="http://schemas.openxmlformats.org/officeDocument/2006/relationships/hyperlink" Target="https://www.digikey.jp/product-detail/ja/standex-meder-electronics/ALNICO500-19X3.2X3.2MM/374-1130-ND/695282" TargetMode="External"/><Relationship Id="rId880" Type="http://schemas.openxmlformats.org/officeDocument/2006/relationships/hyperlink" Target="https://jp.rs-online.com/web/p/mlccs-multilayer-ceramic-capacitors/9159114/" TargetMode="External"/><Relationship Id="rId1096" Type="http://schemas.openxmlformats.org/officeDocument/2006/relationships/hyperlink" Target="https://jp.rs-online.com/web/p/digital-transistors/2461738/" TargetMode="External"/><Relationship Id="rId2147" Type="http://schemas.openxmlformats.org/officeDocument/2006/relationships/hyperlink" Target="https://jp.misumi-ec.com/vona2/detail/221000549069/" TargetMode="External"/><Relationship Id="rId2561" Type="http://schemas.openxmlformats.org/officeDocument/2006/relationships/hyperlink" Target="https://www.digikey.jp/product-detail/ja/analog-devices-inc/ADUM3151BRSZ-RL7/ADUM3151BRSZ-RL7CT-ND/6596507" TargetMode="External"/><Relationship Id="rId119" Type="http://schemas.openxmlformats.org/officeDocument/2006/relationships/hyperlink" Target="https://jp.misumi-ec.com/vona2/detail/221005685841/?CategorySpec=00000216919%3a%3ab%0900000217003%3a%3amig00000002465376&amp;bid=bid_list_template" TargetMode="External"/><Relationship Id="rId533" Type="http://schemas.openxmlformats.org/officeDocument/2006/relationships/hyperlink" Target="https://www.digikey.jp/product-detail/ja/adafruit-industries-llc/3295/1528-1787-ND/6238007?utm_adgroup=&amp;mkwid=srOwTOkkZ&amp;pcrid=258946934046&amp;pkw=&amp;pmt=&amp;pdv=c&amp;productid=6238007&amp;&amp;gclid=Cj0KCQiAtbnjBRDBARIsAO3zDl_ByMrWFtDpD6dLJ634oerkrjOg3DCKWEi_fLFgbyZBSmgfSqGarIIaAhJKEALw_wcB" TargetMode="External"/><Relationship Id="rId1163" Type="http://schemas.openxmlformats.org/officeDocument/2006/relationships/hyperlink" Target="https://jp.misumi-ec.com/vona2/detail/221000236231/?PNSearch=SNSS-M3X6-FC&amp;HissuCode=SNSS-M3X6-FC&amp;searchFlow=suggest2products&amp;Keyword=SNSS-M3X6-FC" TargetMode="External"/><Relationship Id="rId2214" Type="http://schemas.openxmlformats.org/officeDocument/2006/relationships/hyperlink" Target="https://www.digikey.jp/product-detail/en/tdk-corporation/FG18X7R1E105KRT06/445-173261-1-ND/5811866" TargetMode="External"/><Relationship Id="rId3612" Type="http://schemas.openxmlformats.org/officeDocument/2006/relationships/hyperlink" Target="https://www.digikey.jp/product-detail/ja/panasonic-electric-works/AQZ104/255-3395-ND/646370" TargetMode="External"/><Relationship Id="rId600" Type="http://schemas.openxmlformats.org/officeDocument/2006/relationships/hyperlink" Target="https://www.jp.omega.com/pptst/KHRA-KHLVA-KHA-SERIES.html" TargetMode="External"/><Relationship Id="rId1230" Type="http://schemas.openxmlformats.org/officeDocument/2006/relationships/hyperlink" Target="https://coax-cable.net/custom/" TargetMode="External"/><Relationship Id="rId4386" Type="http://schemas.openxmlformats.org/officeDocument/2006/relationships/hyperlink" Target="https://www.askul.co.jp/p/1260078/?int_id=recom_DtVar" TargetMode="External"/><Relationship Id="rId4039" Type="http://schemas.openxmlformats.org/officeDocument/2006/relationships/hyperlink" Target="https://www.digikey.jp/product-detail/en/abracon-llc/APAES915R80C16-T/535-12612-ND/4976489?cur=JPY&amp;lang=en" TargetMode="External"/><Relationship Id="rId4453" Type="http://schemas.openxmlformats.org/officeDocument/2006/relationships/hyperlink" Target="https://akizukidenshi.com/catalog/g/gC-07605/" TargetMode="External"/><Relationship Id="rId3055" Type="http://schemas.openxmlformats.org/officeDocument/2006/relationships/hyperlink" Target="https://www.digikey.jp/products/ja?keywords=SLI-343U8RC3F" TargetMode="External"/><Relationship Id="rId4106" Type="http://schemas.openxmlformats.org/officeDocument/2006/relationships/hyperlink" Target="https://jp.misumi-ec.com/vona2/result/?Keyword=SHNS-M2&amp;isReSearch=1" TargetMode="External"/><Relationship Id="rId4520" Type="http://schemas.openxmlformats.org/officeDocument/2006/relationships/hyperlink" Target="https://www.monotaro.com/p/3148/5046/" TargetMode="External"/><Relationship Id="rId390" Type="http://schemas.openxmlformats.org/officeDocument/2006/relationships/hyperlink" Target="https://www.digikey.jp/product-detail/en/analog-devices-inc/HMC452ST89E/1127-2969-ND/5359949?cur=JPY&amp;lang=en" TargetMode="External"/><Relationship Id="rId2071" Type="http://schemas.openxmlformats.org/officeDocument/2006/relationships/hyperlink" Target="https://jp.misumi-ec.com/vona2/detail/221006451056/?HissuCode=SNSL-M3X16&amp;PNSearch=SNSL-M3X16&amp;KWSearch=SNSL-M3X16&amp;searchFlow=results2products" TargetMode="External"/><Relationship Id="rId3122" Type="http://schemas.openxmlformats.org/officeDocument/2006/relationships/hyperlink" Target="https://www.digikey.jp/product-detail/en/samsung-electro-mechanics/CL21B106KOQNNNE/1276-2872-1-ND/3890958" TargetMode="External"/><Relationship Id="rId5294" Type="http://schemas.openxmlformats.org/officeDocument/2006/relationships/hyperlink" Target="https://www.digikey.jp/en/products/detail/samsung-electro-mechanics/CL32A107MPVNNNE/3889022" TargetMode="External"/><Relationship Id="rId110" Type="http://schemas.openxmlformats.org/officeDocument/2006/relationships/hyperlink" Target="https://www.rfsupplier.com/ufl-right-angle-jack-to-mmcx-plug-right-angle-cable-using-rg178-coax_p6621.html" TargetMode="External"/><Relationship Id="rId2888" Type="http://schemas.openxmlformats.org/officeDocument/2006/relationships/hyperlink" Target="https://www.askul.co.jp/p/2062405/" TargetMode="External"/><Relationship Id="rId3939" Type="http://schemas.openxmlformats.org/officeDocument/2006/relationships/hyperlink" Target="https://www.digikey.jp/product-detail/ja/bourns-inc/PVG3A203C01R00/490-2650-1-ND/666226" TargetMode="External"/><Relationship Id="rId2955" Type="http://schemas.openxmlformats.org/officeDocument/2006/relationships/hyperlink" Target="https://www.mouser.jp/ProductDetail/Laird-Performance-Materials/A10096-02?qs=%2Fha2pyFadujobulY8zqeM7XphajS7sOPDO0etcSTnwkW5iJ4ymhx0Q==&amp;utm_source=octopart&amp;utm_medium=aggregator&amp;utm_campaign=739-A10096-02&amp;utm_content=Laird+Performance+Materials" TargetMode="External"/><Relationship Id="rId5361" Type="http://schemas.openxmlformats.org/officeDocument/2006/relationships/hyperlink" Target="https://akizukidenshi.com/catalog/g/gP-05154/" TargetMode="External"/><Relationship Id="rId927" Type="http://schemas.openxmlformats.org/officeDocument/2006/relationships/hyperlink" Target="https://www.digikey.jp/product-detail/ja/rf-solutions/CBA-UFLSMA-1/CBA-UFLSMA-1-ND/5845754" TargetMode="External"/><Relationship Id="rId1557" Type="http://schemas.openxmlformats.org/officeDocument/2006/relationships/hyperlink" Target="https://www.digikey.jp/product-detail/en/raspberry-pi/I-O-BOARD/1690-1018-ND/6605501?cur=JPY&amp;lang=en" TargetMode="External"/><Relationship Id="rId1971" Type="http://schemas.openxmlformats.org/officeDocument/2006/relationships/hyperlink" Target="http://www.p-ban.com/" TargetMode="External"/><Relationship Id="rId2608" Type="http://schemas.openxmlformats.org/officeDocument/2006/relationships/hyperlink" Target="https://www.digikey.jp/product-detail/en/microchip-technology/ATMEGA32U4-AUR/ATMEGA32U4-AURCT-ND/3440960" TargetMode="External"/><Relationship Id="rId5014" Type="http://schemas.openxmlformats.org/officeDocument/2006/relationships/hyperlink" Target="https://www.mouser.jp/ProductDetail/ON-Semiconductor/DTC144EET1G?qs=2OtswVQKCOGzUGumeHaiRw%3D%3D" TargetMode="External"/><Relationship Id="rId1624" Type="http://schemas.openxmlformats.org/officeDocument/2006/relationships/hyperlink" Target="https://www.monotaro.com/p/0584/3451/" TargetMode="External"/><Relationship Id="rId4030" Type="http://schemas.openxmlformats.org/officeDocument/2006/relationships/hyperlink" Target="https://jp.misumi-ec.com/vona2/detail/110300244240/" TargetMode="External"/><Relationship Id="rId3796" Type="http://schemas.openxmlformats.org/officeDocument/2006/relationships/hyperlink" Target="https://www.monotaro.com/g/01366222/?t.q=%83J%83v%83g%83%93%83e%81%5B%83v" TargetMode="External"/><Relationship Id="rId2398" Type="http://schemas.openxmlformats.org/officeDocument/2006/relationships/hyperlink" Target="https://www.digikey.jp/products/en?keywords=%09NCV1117ST18T3GOSCT-ND" TargetMode="External"/><Relationship Id="rId3449" Type="http://schemas.openxmlformats.org/officeDocument/2006/relationships/hyperlink" Target="https://www.monotaro.com/g/01213789/?t.q=26340378" TargetMode="External"/><Relationship Id="rId4847" Type="http://schemas.openxmlformats.org/officeDocument/2006/relationships/hyperlink" Target="https://www.digikey.jp/ja/products/detail/texas-instruments/LMP8640MKE-H-NOPB/2425709" TargetMode="External"/><Relationship Id="rId3863" Type="http://schemas.openxmlformats.org/officeDocument/2006/relationships/hyperlink" Target="https://www.askul.co.jp/p/J487012/" TargetMode="External"/><Relationship Id="rId4914" Type="http://schemas.openxmlformats.org/officeDocument/2006/relationships/hyperlink" Target="https://www.amazon.co.jp/dp/B083XSRYXW/ref=sspa_dk_detail_4?pd_rd_i=B083XSRYXW&amp;pd_rd_w=SleiR&amp;content-id=amzn1.sym.f293be60-50b7-49bc-95e8-931faf86ed1e&amp;pf_rd_p=f293be60-50b7-49bc-95e8-931faf86ed1e&amp;pf_rd_r=ZX2HCK4JG85V3P9TDSGX&amp;pd_rd_wg=kLXFu&amp;pd_rd_r=b488366d-c355-4e46-a3b8-6bc7376b4fda&amp;s=computers&amp;sp_csd=d2lkZ2V0TmFtZT1zcF9kZXRhaWw&amp;spLa=ZW5jcnlwdGVkUXVhbGlmaWVyPUEyWlNDWk0yM01UUTBSJmVuY3J5cHRlZElkPUEwMzE0NTQwU0FCR0RSUzkyQVpPJmVuY3J5cHRlZEFkSWQ9QVJWODdaSjFWR1FZQyZ3aWRnZXROYW1lPXNwX2RldGFpbCZhY3Rpb249Y2xpY2tSZWRpcmVjdCZkb05vdExvZ0NsaWNrPXRydWU&amp;th=1" TargetMode="External"/><Relationship Id="rId784" Type="http://schemas.openxmlformats.org/officeDocument/2006/relationships/hyperlink" Target="https://www.digikey.jp/product-detail/en/tdk-corporation/C1608X8R1H104K080AB/445-8818-1-ND/3248223" TargetMode="External"/><Relationship Id="rId1067" Type="http://schemas.openxmlformats.org/officeDocument/2006/relationships/hyperlink" Target="https://www.digikey.jp/product-detail/en/nkk-switches/HP0315AFKP2-R/360-2595-1-ND/2640558" TargetMode="External"/><Relationship Id="rId2465" Type="http://schemas.openxmlformats.org/officeDocument/2006/relationships/hyperlink" Target="https://www.digikey.jp/product-detail/ja/te-connectivity-amp-connectors/2337822-1/A145148CT-ND/10270262?cur=JPY&amp;lang=ja" TargetMode="External"/><Relationship Id="rId3516" Type="http://schemas.openxmlformats.org/officeDocument/2006/relationships/hyperlink" Target="https://www.digikey.jp/products/ja/connectors-interconnects/coaxial-connectors-rf/437?k=142-0701-851&amp;k=&amp;pkeyword=142-0701-851&amp;sv=0&amp;pv-9=24&amp;sf=0&amp;quantity=&amp;ColumnSort=0&amp;page=1&amp;pageSize=25" TargetMode="External"/><Relationship Id="rId3930" Type="http://schemas.openxmlformats.org/officeDocument/2006/relationships/hyperlink" Target="https://akizukidenshi.com/catalog/g/gP-01306/" TargetMode="External"/><Relationship Id="rId437" Type="http://schemas.openxmlformats.org/officeDocument/2006/relationships/hyperlink" Target="https://www.digikey.jp/product-detail/ja/maxim-integrated/MAX3378EEUD-/MAX3378EEUD--ND/1701965" TargetMode="External"/><Relationship Id="rId851" Type="http://schemas.openxmlformats.org/officeDocument/2006/relationships/hyperlink" Target="https://jp.rs-online.com/web/p/mosfet-drivers/6684219" TargetMode="External"/><Relationship Id="rId1481" Type="http://schemas.openxmlformats.org/officeDocument/2006/relationships/hyperlink" Target="https://www.htkazshop.com/SHOP/HTK_101911.html" TargetMode="External"/><Relationship Id="rId2118" Type="http://schemas.openxmlformats.org/officeDocument/2006/relationships/hyperlink" Target="https://www.askul.co.jp/p/P212709/?int_id=recom_DtVar" TargetMode="External"/><Relationship Id="rId2532" Type="http://schemas.openxmlformats.org/officeDocument/2006/relationships/hyperlink" Target="https://www.p-ban.com/kiban/com/csComDocPrint:exec.do?receiptNo=20110400031&amp;doc=1" TargetMode="External"/><Relationship Id="rId504" Type="http://schemas.openxmlformats.org/officeDocument/2006/relationships/hyperlink" Target="https://jp.rs-online.com/web/p/surface-mount-fixed-resistors/0432549/?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24B37334232415454443531334A267374613D524B37334232415454443531334A26&amp;searchHistory=%7B%22enabled%22%3Atrue%7D" TargetMode="External"/><Relationship Id="rId1134" Type="http://schemas.openxmlformats.org/officeDocument/2006/relationships/hyperlink" Target="https://www.digikey.jp/ja/supplier-centers/r/raspberry-pi" TargetMode="External"/><Relationship Id="rId1201" Type="http://schemas.openxmlformats.org/officeDocument/2006/relationships/hyperlink" Target="https://jp.misumi-ec.com/vona2/detail/110302360250/?HissuCode=HHDFA20&amp;PNSearch=HHDFA20&amp;KWSearch=HHDFA20&amp;searchFlow=results2products" TargetMode="External"/><Relationship Id="rId4357" Type="http://schemas.openxmlformats.org/officeDocument/2006/relationships/hyperlink" Target="https://www.monotaro.com/p/3331/7595/" TargetMode="External"/><Relationship Id="rId4771" Type="http://schemas.openxmlformats.org/officeDocument/2006/relationships/hyperlink" Target="https://jp.misumi-ec.com/vona2/detail/110300239250/?HissuCode=SCB3-8" TargetMode="External"/><Relationship Id="rId3373" Type="http://schemas.openxmlformats.org/officeDocument/2006/relationships/hyperlink" Target="https://www.digikey.jp/product-detail/ja/avx-corporation/0603YD334KAT2A/478-1247-1-ND/564279" TargetMode="External"/><Relationship Id="rId4424" Type="http://schemas.openxmlformats.org/officeDocument/2006/relationships/hyperlink" Target="https://www.p-ban.com/" TargetMode="External"/><Relationship Id="rId294" Type="http://schemas.openxmlformats.org/officeDocument/2006/relationships/hyperlink" Target="https://www.digikey.jp/product-detail/en/sparkfun-electronics/PRT-12796/1568-1513-ND/5993861" TargetMode="External"/><Relationship Id="rId3026" Type="http://schemas.openxmlformats.org/officeDocument/2006/relationships/hyperlink" Target="https://www.digikey.jp/products/en?keywords=%09311-1796-1-ND" TargetMode="External"/><Relationship Id="rId361" Type="http://schemas.openxmlformats.org/officeDocument/2006/relationships/hyperlink" Target="https://www.digikey.jp/products/ja?keywords=490-1167-1-ND" TargetMode="External"/><Relationship Id="rId2042" Type="http://schemas.openxmlformats.org/officeDocument/2006/relationships/hyperlink" Target="https://meviy.misumi-ec.com/" TargetMode="External"/><Relationship Id="rId3440" Type="http://schemas.openxmlformats.org/officeDocument/2006/relationships/hyperlink" Target="https://www.digikey.jp/products/ja?keywords=1465-1309-1-ND" TargetMode="External"/><Relationship Id="rId5198" Type="http://schemas.openxmlformats.org/officeDocument/2006/relationships/hyperlink" Target="https://akizukidenshi.com/catalog/g/gP-07352/" TargetMode="External"/><Relationship Id="rId2859" Type="http://schemas.openxmlformats.org/officeDocument/2006/relationships/hyperlink" Target="https://www.digikey.jp/product-detail/ja/cinch-connectivity-solutions-johnson/415-0029-MM150/J10284-ND/6579656" TargetMode="External"/><Relationship Id="rId5265" Type="http://schemas.openxmlformats.org/officeDocument/2006/relationships/hyperlink" Target="https://akizukidenshi.com/catalog/g/gP-07465/" TargetMode="External"/><Relationship Id="rId1875" Type="http://schemas.openxmlformats.org/officeDocument/2006/relationships/hyperlink" Target="https://www.digikey.jp/product-detail/en/koa-speer-electronics-inc/RK73B2ATTD1R0J/2019-RK73B2ATTD1R0JCT-ND/10237743" TargetMode="External"/><Relationship Id="rId4281" Type="http://schemas.openxmlformats.org/officeDocument/2006/relationships/hyperlink" Target="https://www.monotaro.com/p/3324/0313/?displayId=5" TargetMode="External"/><Relationship Id="rId5332" Type="http://schemas.openxmlformats.org/officeDocument/2006/relationships/hyperlink" Target="https://www.digikey.jp/en/products/detail/delta-electronics-components/0402HM-120EGTS/9763099" TargetMode="External"/><Relationship Id="rId1528" Type="http://schemas.openxmlformats.org/officeDocument/2006/relationships/hyperlink" Target="https://www.digikey.jp/product-detail/ja/assmann-wsw-components/DK-1511-003-BL/AE10480-ND/2268272" TargetMode="External"/><Relationship Id="rId2926" Type="http://schemas.openxmlformats.org/officeDocument/2006/relationships/hyperlink" Target="https://jp.rs-online.com/web/p/aluminium-capacitors/7472869/" TargetMode="External"/><Relationship Id="rId1942" Type="http://schemas.openxmlformats.org/officeDocument/2006/relationships/hyperlink" Target="https://www.mouser.jp/ProductDetail/ROHM-Semiconductor/DTC144EKAT146?qs=4kLU8WoGk0s6Af1cWyUglg%3D%3D" TargetMode="External"/><Relationship Id="rId4001" Type="http://schemas.openxmlformats.org/officeDocument/2006/relationships/hyperlink" Target="https://jp.misumi-ec.com/vona2/detail/223013909762/?HissuCode=BS-4500" TargetMode="External"/><Relationship Id="rId3767" Type="http://schemas.openxmlformats.org/officeDocument/2006/relationships/hyperlink" Target="https://www.digikey.jp/product-detail/en/CF14JT1K00/CF14JT1K00CT-ND/1830350?itemSeq=373417983" TargetMode="External"/><Relationship Id="rId4818" Type="http://schemas.openxmlformats.org/officeDocument/2006/relationships/hyperlink" Target="https://www.digikey.jp/en/products/detail/amphenol-rf-division/242114/1012020" TargetMode="External"/><Relationship Id="rId688" Type="http://schemas.openxmlformats.org/officeDocument/2006/relationships/hyperlink" Target="https://www.digikey.jp/product-detail/en/taiyo-yuden/UMK107AB7105KA-T/587-3247-1-ND/3660107" TargetMode="External"/><Relationship Id="rId2369" Type="http://schemas.openxmlformats.org/officeDocument/2006/relationships/hyperlink" Target="https://jp.misumi-ec.com/vona2/detail/221006493827/?HissuCode=SNSS-M2-6-SD&amp;PNSearch=SNSS-M2-6-SD&amp;KWSearch=SNSS-M2-6-SD&amp;searchFlow=results2products" TargetMode="External"/><Relationship Id="rId2783" Type="http://schemas.openxmlformats.org/officeDocument/2006/relationships/hyperlink" Target="https://jp.rs-online.com/web/p/ceramic-multilayer-capacitors/4515770/" TargetMode="External"/><Relationship Id="rId3834" Type="http://schemas.openxmlformats.org/officeDocument/2006/relationships/hyperlink" Target="https://www.nbk1560.com/products/specialscrew/nedzicom/miniaturescrew/SHNS/" TargetMode="External"/><Relationship Id="rId755" Type="http://schemas.openxmlformats.org/officeDocument/2006/relationships/hyperlink" Target="https://www.digikey.jp/product-detail/ja/murata-electronics-north-america/GJM1555C1H4R0BB01D/490-8100-1-ND/4380386" TargetMode="External"/><Relationship Id="rId1385" Type="http://schemas.openxmlformats.org/officeDocument/2006/relationships/hyperlink" Target="https://www.digikey.jp/product-detail/en/tdk-corporation/C2012X7S1A156M125AC/445-14559-1-ND/3956225" TargetMode="External"/><Relationship Id="rId2436" Type="http://schemas.openxmlformats.org/officeDocument/2006/relationships/hyperlink" Target="https://akizukidenshi.com/catalog/g/gR-08804/" TargetMode="External"/><Relationship Id="rId2850" Type="http://schemas.openxmlformats.org/officeDocument/2006/relationships/hyperlink" Target="https://jp.misumi-ec.com/vona2/detail/222302221387/?ProductCode=LD-GFT%2FBU30" TargetMode="External"/><Relationship Id="rId91" Type="http://schemas.openxmlformats.org/officeDocument/2006/relationships/hyperlink" Target="https://www.digikey.jp/product-detail/en/murata-electronics-north-america/GCM1885C2A220JA16D/490-4942-1-ND/1765261" TargetMode="External"/><Relationship Id="rId408" Type="http://schemas.openxmlformats.org/officeDocument/2006/relationships/hyperlink" Target="https://www.p-ban.com/kiban/com/csComTop.do" TargetMode="External"/><Relationship Id="rId822" Type="http://schemas.openxmlformats.org/officeDocument/2006/relationships/hyperlink" Target="https://www.askul.co.jp/v/19815/?cateId=2&amp;andOr=0&amp;itemExpl=0&amp;searchWord=%E3%82%AF%E3%82%A2%E3%83%A9%E3%83%86%E3%83%83%E3%82%AF%E6%89%8B%E8%A2%8B&amp;categoryS=&amp;categoryM=&amp;categoryL=&amp;categoryLl=&amp;categoryLll=&amp;deliveryEstimate=0&amp;minPriceRange=&amp;maxPriceRange=&amp;sortDir=0&amp;resultCount=50&amp;resultType=0&amp;variation=0&amp;pubPage=&amp;ctg=&amp;cutTermEndDate=&amp;ctgItemCd=&amp;printerMaker=&amp;printerType=&amp;printerModel=&amp;callBackKbn=&amp;fromSelfPage=0&amp;refineKbn=&amp;refineCD1=&amp;refineCD2=&amp;refineCD3=&amp;lstSelSpecCd=&amp;priceRangeInputFlg=0&amp;supplierCd=&amp;supplierSubCd=&amp;exclusionWord=&amp;searchControlKbn=0&amp;exclusionFlg=0&amp;variationItemLImgPath=L1%2F3890702_l1.jpg" TargetMode="External"/><Relationship Id="rId1038" Type="http://schemas.openxmlformats.org/officeDocument/2006/relationships/hyperlink" Target="https://www.digikey.jp/product-detail/en/taiyo-yuden/UMK107AB7105KA-T/587-3247-1-ND/3660107" TargetMode="External"/><Relationship Id="rId1452" Type="http://schemas.openxmlformats.org/officeDocument/2006/relationships/hyperlink" Target="https://www.digikey.jp/product-detail/en/txc-corporation/7A-16.000MAAJ-T/887-1086-1-ND/2118963?cur=JPY&amp;lang=en" TargetMode="External"/><Relationship Id="rId2503" Type="http://schemas.openxmlformats.org/officeDocument/2006/relationships/hyperlink" Target="https://jp.misumi-ec.com/vona2/detail/221000349089/?HissuCode=SSH-M3X8-EL" TargetMode="External"/><Relationship Id="rId3901" Type="http://schemas.openxmlformats.org/officeDocument/2006/relationships/hyperlink" Target="http://www.hirosugi.com/catalogue/index.html" TargetMode="External"/><Relationship Id="rId1105" Type="http://schemas.openxmlformats.org/officeDocument/2006/relationships/hyperlink" Target="https://www.digikey.jp/product-detail/ja/vishay-siliconix/SQ1922EEH-T1_GE3/SQ1922EEH-T1_GE3CT-ND/7622831" TargetMode="External"/><Relationship Id="rId3277" Type="http://schemas.openxmlformats.org/officeDocument/2006/relationships/hyperlink" Target="https://www.digikey.jp/product-detail/ja/panasonic-electric-works/AQZ104/255-3395-ND/646370" TargetMode="External"/><Relationship Id="rId4675" Type="http://schemas.openxmlformats.org/officeDocument/2006/relationships/hyperlink" Target="https://www.techshieldpro.com/product/sonoff-ds18b20/" TargetMode="External"/><Relationship Id="rId198" Type="http://schemas.openxmlformats.org/officeDocument/2006/relationships/hyperlink" Target="https://www.digikey.jp/products/en?keywords=255-3395-ND" TargetMode="External"/><Relationship Id="rId3691" Type="http://schemas.openxmlformats.org/officeDocument/2006/relationships/hyperlink" Target="https://www.digikey.jp/product-detail/en/te-connectivity-amp-connectors/5-534206-9/A32940-ND/1093011" TargetMode="External"/><Relationship Id="rId4328" Type="http://schemas.openxmlformats.org/officeDocument/2006/relationships/hyperlink" Target="https://jp.rs-online.com/web/p/isolation-amplifiers/7968742" TargetMode="External"/><Relationship Id="rId4742" Type="http://schemas.openxmlformats.org/officeDocument/2006/relationships/hyperlink" Target="https://www.m2inc.com/FG436CP42UG" TargetMode="External"/><Relationship Id="rId2293" Type="http://schemas.openxmlformats.org/officeDocument/2006/relationships/hyperlink" Target="https://jp.rs-online.com/web/p/raspberry-pi/1829892/" TargetMode="External"/><Relationship Id="rId3344" Type="http://schemas.openxmlformats.org/officeDocument/2006/relationships/hyperlink" Target="https://www.digikey.jp/product-detail/en/analog-devices-inc/LT6106CS5-TRMPBF/LT6106CS5-TRMPBFCT-ND/1590293" TargetMode="External"/><Relationship Id="rId265" Type="http://schemas.openxmlformats.org/officeDocument/2006/relationships/hyperlink" Target="https://www.graphic.jp/price/1534/" TargetMode="External"/><Relationship Id="rId2360" Type="http://schemas.openxmlformats.org/officeDocument/2006/relationships/hyperlink" Target="https://hirosugi.co.jp/products/POM/C.html" TargetMode="External"/><Relationship Id="rId3411" Type="http://schemas.openxmlformats.org/officeDocument/2006/relationships/hyperlink" Target="https://www.marutsu.co.jp/pc/i/225456/" TargetMode="External"/><Relationship Id="rId332" Type="http://schemas.openxmlformats.org/officeDocument/2006/relationships/hyperlink" Target="https://jp.rs-online.com/web/p/chip-programmers/7141701/" TargetMode="External"/><Relationship Id="rId2013" Type="http://schemas.openxmlformats.org/officeDocument/2006/relationships/hyperlink" Target="https://www.digikey.jp/product-detail/en/diodes-incorporated/DMG1012T-7/DMG1012T-7DICT-ND/2181232" TargetMode="External"/><Relationship Id="rId5169" Type="http://schemas.openxmlformats.org/officeDocument/2006/relationships/hyperlink" Target="https://www.digikey.jp/product-detail/en/CC0805JRNPO9BN621/311-4242-1-ND/8025331/?itemSeq=351552382" TargetMode="External"/><Relationship Id="rId4185" Type="http://schemas.openxmlformats.org/officeDocument/2006/relationships/hyperlink" Target="https://www.mouser.jp/ProductDetail/Murata/GRT155C81C105KE13D?qs=sGAEpiMZZMvShe%252BZiYheimlap3g5zhOJivqL3tHDeXw%3D" TargetMode="External"/><Relationship Id="rId5236" Type="http://schemas.openxmlformats.org/officeDocument/2006/relationships/hyperlink" Target="https://akizukidenshi.com/catalog/g/gC-08933/" TargetMode="External"/><Relationship Id="rId1779" Type="http://schemas.openxmlformats.org/officeDocument/2006/relationships/hyperlink" Target="https://www.digikey.jp/product-detail/en/murata-electronics/GRM1555C1H220JA01D/490-5868-1-ND/3175200" TargetMode="External"/><Relationship Id="rId4252" Type="http://schemas.openxmlformats.org/officeDocument/2006/relationships/hyperlink" Target="https://www.mouser.jp/ProductDetail/Molex/202396-0207?qs=%2Fha2pyFaduilCYVPsmo%2FVjtjoh9mZG9jQCZODRMmoHOf4yWkhtUPZw%3D%3D" TargetMode="External"/><Relationship Id="rId1846" Type="http://schemas.openxmlformats.org/officeDocument/2006/relationships/hyperlink" Target="https://www.digikey.jp/product-detail/en/koa-speer-electronics-inc/RK73H1JTTD4701F/2019-RK73H1JTTD4701FCT-ND/9846898" TargetMode="External"/><Relationship Id="rId5303" Type="http://schemas.openxmlformats.org/officeDocument/2006/relationships/hyperlink" Target="https://www.mouser.jp/ProductDetail/Molex-FCT/172704-0004?qs=Fg5TsMy7H4s0%2FZlsmaXGbA%3D%3D" TargetMode="External"/><Relationship Id="rId1913" Type="http://schemas.openxmlformats.org/officeDocument/2006/relationships/hyperlink" Target="https://www.marutsu.co.jp/pc/i/1356658/" TargetMode="External"/><Relationship Id="rId2687" Type="http://schemas.openxmlformats.org/officeDocument/2006/relationships/hyperlink" Target="https://www.mouser.jp/ProductDetail/Analog-Devices/LTC4380HDD-1PBF?qs=oahfZPh6IAK6vXT%252BHggvpA%3D%3D" TargetMode="External"/><Relationship Id="rId3738" Type="http://schemas.openxmlformats.org/officeDocument/2006/relationships/hyperlink" Target="https://www.monotaro.com/g/00260582/?monotaroNo=34665565" TargetMode="External"/><Relationship Id="rId5093" Type="http://schemas.openxmlformats.org/officeDocument/2006/relationships/hyperlink" Target="https://jp.rs-online.com/web/p/pcb-headers/1721806" TargetMode="External"/><Relationship Id="rId659" Type="http://schemas.openxmlformats.org/officeDocument/2006/relationships/hyperlink" Target="https://www.matsusada.co.jp/product/psel/dcps/handy/000001/" TargetMode="External"/><Relationship Id="rId1289" Type="http://schemas.openxmlformats.org/officeDocument/2006/relationships/hyperlink" Target="http://p-ban.com/" TargetMode="External"/><Relationship Id="rId5160" Type="http://schemas.openxmlformats.org/officeDocument/2006/relationships/hyperlink" Target="https://www.digikey.jp/en/products/detail/analog-devices-inc/LT6106IS5-TRMPBF/5965228" TargetMode="External"/><Relationship Id="rId1356" Type="http://schemas.openxmlformats.org/officeDocument/2006/relationships/hyperlink" Target="http://akizukidenshi.com/catalog/g/gM-06760/" TargetMode="External"/><Relationship Id="rId2754" Type="http://schemas.openxmlformats.org/officeDocument/2006/relationships/hyperlink" Target="https://www.digikey.jp/product-detail/ja/amphenol-sv-microwave/7032-7241/7032-7241-ND/8278707" TargetMode="External"/><Relationship Id="rId3805" Type="http://schemas.openxmlformats.org/officeDocument/2006/relationships/hyperlink" Target="https://akizukidenshi.com/catalog/g/gP-02932/" TargetMode="External"/><Relationship Id="rId726" Type="http://schemas.openxmlformats.org/officeDocument/2006/relationships/hyperlink" Target="https://www.digikey.jp/product-detail/ja/susumu/RL1220T-R025-J/RL12T.025JCT-ND/567356" TargetMode="External"/><Relationship Id="rId1009" Type="http://schemas.openxmlformats.org/officeDocument/2006/relationships/hyperlink" Target="http://www.coax-cable.net/" TargetMode="External"/><Relationship Id="rId1770" Type="http://schemas.openxmlformats.org/officeDocument/2006/relationships/hyperlink" Target="https://www.digikey.jp/products/ja?keywords=1276-6456-1-ND" TargetMode="External"/><Relationship Id="rId2407" Type="http://schemas.openxmlformats.org/officeDocument/2006/relationships/hyperlink" Target="https://www.digikey.jp/products/ja?keywords=GAG%2010K3976B1" TargetMode="External"/><Relationship Id="rId2821" Type="http://schemas.openxmlformats.org/officeDocument/2006/relationships/hyperlink" Target="https://www.monotaro.com/p/3907/5452/" TargetMode="External"/><Relationship Id="rId62" Type="http://schemas.openxmlformats.org/officeDocument/2006/relationships/hyperlink" Target="https://www.p-ban.com/kiban/com/csComTop.do" TargetMode="External"/><Relationship Id="rId1423" Type="http://schemas.openxmlformats.org/officeDocument/2006/relationships/hyperlink" Target="https://www.digikey.jp/product-detail/en/vishay-dale/CRCW080556K0FKEA/541-56.0KCCT-ND/1180982" TargetMode="External"/><Relationship Id="rId4579" Type="http://schemas.openxmlformats.org/officeDocument/2006/relationships/hyperlink" Target="https://www.monotaro.com/p/7579/9764/?t.q=vuw-6.35sr-v" TargetMode="External"/><Relationship Id="rId4993" Type="http://schemas.openxmlformats.org/officeDocument/2006/relationships/hyperlink" Target="https://akizukidenshi.com/catalog/g/gP-09257/" TargetMode="External"/><Relationship Id="rId3595" Type="http://schemas.openxmlformats.org/officeDocument/2006/relationships/hyperlink" Target="https://www.p-ban.com/kiban/com/csComTop.do" TargetMode="External"/><Relationship Id="rId4646" Type="http://schemas.openxmlformats.org/officeDocument/2006/relationships/hyperlink" Target="https://www.digikey.jp/product-detail/ja/samtec-inc/FTM-103-02-F-DV/SAM12591-ND/6692125?cur=JPY&amp;lang=ja" TargetMode="External"/><Relationship Id="rId2197" Type="http://schemas.openxmlformats.org/officeDocument/2006/relationships/hyperlink" Target="https://www.monotaro.com/p/4927/7812/?t.q=SSHS%20%98Z%8Ap%8C%8A%95t%82%AB%8B%C9%92%E1%93%AA%83%7B%83%8B%83g" TargetMode="External"/><Relationship Id="rId3248" Type="http://schemas.openxmlformats.org/officeDocument/2006/relationships/hyperlink" Target="https://jp.rs-online.com/web/p/crystal-units/5476452/" TargetMode="External"/><Relationship Id="rId3662" Type="http://schemas.openxmlformats.org/officeDocument/2006/relationships/hyperlink" Target="https://www.digikey.jp/product-detail/ja/samsung-electro-mechanics/CL10B104KB8NNNL/1276-CL10B104KB8NNNLCT-ND/10320686" TargetMode="External"/><Relationship Id="rId4713" Type="http://schemas.openxmlformats.org/officeDocument/2006/relationships/hyperlink" Target="https://yoshimi-inc.co.jp/" TargetMode="External"/><Relationship Id="rId169" Type="http://schemas.openxmlformats.org/officeDocument/2006/relationships/hyperlink" Target="https://www.digikey.jp/product-detail/ja/jst-sales-america-inc/SPH-002T-P0.5L/455-2148-1-ND/1634657" TargetMode="External"/><Relationship Id="rId583" Type="http://schemas.openxmlformats.org/officeDocument/2006/relationships/hyperlink" Target="https://www.digikey.jp/product-detail/en/osram-opto-semiconductors-inc/SFH-2430-Z/475-2579-1-ND/1228076" TargetMode="External"/><Relationship Id="rId2264" Type="http://schemas.openxmlformats.org/officeDocument/2006/relationships/hyperlink" Target="https://www.monotaro.com/g/01371214/?t.q=W50SUR" TargetMode="External"/><Relationship Id="rId3315" Type="http://schemas.openxmlformats.org/officeDocument/2006/relationships/hyperlink" Target="https://www.amazon.co.jp/-/en/TXINLEI-Reworkstation-Soldering-Station-Nozzles/dp/B088WYMSKH/ref=psdc_2459364051_t3_B0759CB9QH" TargetMode="External"/><Relationship Id="rId236" Type="http://schemas.openxmlformats.org/officeDocument/2006/relationships/hyperlink" Target="https://www.digikey.jp/product-detail/ja/LM340MP-5.0%2fNOPB/LM340MP-5.0%2fNOPBCT-ND/270747/?itemSeq=279513660" TargetMode="External"/><Relationship Id="rId650" Type="http://schemas.openxmlformats.org/officeDocument/2006/relationships/hyperlink" Target="https://www.digikey.jp/product-detail/en/yageo/CC0805KRX7R9BB103/311-1136-1-ND/303046" TargetMode="External"/><Relationship Id="rId1280" Type="http://schemas.openxmlformats.org/officeDocument/2006/relationships/hyperlink" Target="https://www.amazon.co.jp/Superbat-SMA%E3%82%AA%E3%82%B9%E2%86%92SMA%E3%83%A1%E3%82%B9%E2%86%92SMA%E3%83%A1%E3%82%B9-T%E5%9E%8B%E3%82%A2%E3%83%80%E3%83%97%E3%82%BF-%E6%8E%A5%E7%B6%9A%E3%83%BB%E4%B8%AD%E7%B6%99%E3%83%BB%E5%88%86%E9%85%8D%E7%94%A8-%E3%82%A2%E3%83%B3%E3%83%86%E3%83%8A%E3%83%BB%E3%82%B1%E3%83%BC%E3%83%96%E3%83%AB%E3%81%AA%E3%81%A9%E7%94%A8/dp/B00PANPPLQ/ref=pd_sbs_21_1" TargetMode="External"/><Relationship Id="rId2331" Type="http://schemas.openxmlformats.org/officeDocument/2006/relationships/hyperlink" Target="https://www.lensation.de/product/B5M2916C/" TargetMode="External"/><Relationship Id="rId303" Type="http://schemas.openxmlformats.org/officeDocument/2006/relationships/hyperlink" Target="https://www.digikey.jp/product-detail/en/sparkfun-electronics/PRT-12794/1568-1511-ND/5993859" TargetMode="External"/><Relationship Id="rId4089" Type="http://schemas.openxmlformats.org/officeDocument/2006/relationships/hyperlink" Target="https://www.monotaro.com/p/2634/4578/?t.q=PSR-210154-12" TargetMode="External"/><Relationship Id="rId1000" Type="http://schemas.openxmlformats.org/officeDocument/2006/relationships/hyperlink" Target="http://akizukidenshi.com/catalog/g/gC-09056/" TargetMode="External"/><Relationship Id="rId4156" Type="http://schemas.openxmlformats.org/officeDocument/2006/relationships/hyperlink" Target="https://www.monotaro.com/p/3759/7025/" TargetMode="External"/><Relationship Id="rId4570" Type="http://schemas.openxmlformats.org/officeDocument/2006/relationships/hyperlink" Target="https://www.askul.co.jp/p/3478260/" TargetMode="External"/><Relationship Id="rId5207" Type="http://schemas.openxmlformats.org/officeDocument/2006/relationships/hyperlink" Target="https://jp.misumi-ec.com/vona2/detail/110310598949/?CategorySpec=SP100255878%3a%3a20220906084836058522043%09SP100255627%3a%3a25%2c20220906084836058520771%09SP100255553%3a%3ab&amp;list=PageCategory" TargetMode="External"/><Relationship Id="rId1817" Type="http://schemas.openxmlformats.org/officeDocument/2006/relationships/hyperlink" Target="https://www.digikey.jp/product-detail/ja/lattice-semiconductor-corporation/LC4256ZE-7TN144I/220-1030-ND/2641831" TargetMode="External"/><Relationship Id="rId3172" Type="http://schemas.openxmlformats.org/officeDocument/2006/relationships/hyperlink" Target="https://www.digikey.jp/product-detail/ja/amphenol-sv-microwave/M3933-25-80N/SVM3933-25-80N-ND/7682494" TargetMode="External"/><Relationship Id="rId4223" Type="http://schemas.openxmlformats.org/officeDocument/2006/relationships/hyperlink" Target="https://www.mouser.jp/ProductDetail/TE-Connectivity/2-825433-0?qs=Yxch5oR%2FTsPyWO6AE6CpEQ%3D%3D" TargetMode="External"/><Relationship Id="rId160" Type="http://schemas.openxmlformats.org/officeDocument/2006/relationships/hyperlink" Target="https://jp.rs-online.com/web/p/mosfet-transistors/5430052" TargetMode="External"/><Relationship Id="rId3989" Type="http://schemas.openxmlformats.org/officeDocument/2006/relationships/hyperlink" Target="https://jp.rs-online.com/web/p/crystal-units/7537067/" TargetMode="External"/><Relationship Id="rId5064" Type="http://schemas.openxmlformats.org/officeDocument/2006/relationships/hyperlink" Target="https://jp.misumi-ec.com/vona2/detail/110500137860/?KWSearch=%E3%82%B9%E3%83%9A%E3%83%BC%E3%82%B5%20%E5%85%AD%E8%A7%92&amp;searchFlow=results2products&amp;list=PageSearchResult" TargetMode="External"/><Relationship Id="rId977" Type="http://schemas.openxmlformats.org/officeDocument/2006/relationships/hyperlink" Target="https://www.ettus.com/all-products/usrp-b200mini-i-2/" TargetMode="External"/><Relationship Id="rId2658" Type="http://schemas.openxmlformats.org/officeDocument/2006/relationships/hyperlink" Target="https://www.mouser.jp/ProductDetail/KEMET/C0603C223J3RACTU?qs=%2Fha2pyFaduiOBgIIGlJ8ReA18VGxp2ntaplOFgY%2F8EAZXf6Pmxpx5A%3D%3D" TargetMode="External"/><Relationship Id="rId3709" Type="http://schemas.openxmlformats.org/officeDocument/2006/relationships/hyperlink" Target="https://jp.rs-online.com/web/p/pcb-headers/5151434" TargetMode="External"/><Relationship Id="rId4080" Type="http://schemas.openxmlformats.org/officeDocument/2006/relationships/hyperlink" Target="https://www.digikey.jp/product-detail/en/laird-connectivity-inc/B3803WS/B3803WS-ND/5876118" TargetMode="External"/><Relationship Id="rId1674" Type="http://schemas.openxmlformats.org/officeDocument/2006/relationships/hyperlink" Target="http://akizukidenshi.com/catalog/g/gC-04352/" TargetMode="External"/><Relationship Id="rId2725" Type="http://schemas.openxmlformats.org/officeDocument/2006/relationships/hyperlink" Target="https://www.amazon.co.jp/Kingsdun-%E7%B2%BE%E5%AF%86%E3%83%94%E3%83%B3%E3%82%BB%E3%83%83%E3%83%88-%E6%A5%B5%E7%B4%B0%E3%83%94%E3%83%B3%E3%82%BB%E3%83%83%E3%83%88-%E7%B4%B0%E3%81%84%E3%83%94%E3%83%B3%E3%82%BB%E3%83%83%E3%83%88-%E3%81%BE%E3%81%A4%E3%81%92%E3%82%A8%E3%82%AF%E3%82%B9%E3%83%86/dp/B077MH3R3J/ref=sr_1_1_sspa?__mk_ja_JP=%E3%82%AB%E3%82%BF%E3%82%AB%E3%83%8A&amp;crid=T3HEM5W2ZLYC&amp;dchild=1&amp;keywords=%E6%A5%B5%E7%B4%B0%E3%83%94%E3%83%B3%E3%82%BB%E3%83%83%E3%83%88&amp;qid=1605091667&amp;s=diy&amp;sprefix=%E6%A5%B5%E7%B4%B0%2Cdiy%2C290&amp;sr=1-1-spons&amp;psc=1&amp;spLa=ZW5jcnlwdGVkUXVhbGlmaWVyPUExUk9TSkxTSlBNTDBWJmVuY3J5cHRlZElkPUEwODI3MjE2M1BQQ1BJT0w4Q0JLRiZlbmNyeXB0ZWRBZElkPUExVDFEMjhFTEFZSzZFJndpZGdldE5hbWU9c3BfYXRmJmFjdGlvbj1jbGlja1JlZGlyZWN0JmRvTm90TG9nQ2xpY2s9dHJ1ZQ==" TargetMode="External"/><Relationship Id="rId5131" Type="http://schemas.openxmlformats.org/officeDocument/2006/relationships/hyperlink" Target="https://www.hamamatsu.com/jp/ja/product/optical-sensors/photodiodes/si-photodiodes/S13954-01CT.html" TargetMode="External"/><Relationship Id="rId1327" Type="http://schemas.openxmlformats.org/officeDocument/2006/relationships/hyperlink" Target="https://www.amazon.co.jp/gp/product/B07Q27CY6P/ref=ppx_yo_dt_b_asin_title_o04_s00?ie=UTF8&amp;psc=1" TargetMode="External"/><Relationship Id="rId1741" Type="http://schemas.openxmlformats.org/officeDocument/2006/relationships/hyperlink" Target="https://www.digikey.jp/products/ja?keywords=ARF1725CT-ND" TargetMode="External"/><Relationship Id="rId4897" Type="http://schemas.openxmlformats.org/officeDocument/2006/relationships/hyperlink" Target="https://www.p-ban.com/" TargetMode="External"/><Relationship Id="rId33" Type="http://schemas.openxmlformats.org/officeDocument/2006/relationships/hyperlink" Target="https://jp.rs-online.com/web/p/panel-mount-fixed-resistors/3091217/" TargetMode="External"/><Relationship Id="rId3499" Type="http://schemas.openxmlformats.org/officeDocument/2006/relationships/hyperlink" Target="https://www.monotaro.com/g/04964208/?t.q=m12%200.5%20%83%5E%83b%83v" TargetMode="External"/><Relationship Id="rId3566" Type="http://schemas.openxmlformats.org/officeDocument/2006/relationships/hyperlink" Target="https://www.mouser.jp/ProductDetail/Microchip-Technology/MCP3221A1T-E-OT?qs=%2Fha2pyFaduiyCfB0dE34TziMUsFLQYdGhnzATAKdlkIy%2FWIsFlQCtw%3D%3D" TargetMode="External"/><Relationship Id="rId4964" Type="http://schemas.openxmlformats.org/officeDocument/2006/relationships/hyperlink" Target="https://jp.misumi-ec.com/vona2/detail/110310112139/?ProductCode=CRCUP-6F-BXA-NNN-50-35-15" TargetMode="External"/><Relationship Id="rId487" Type="http://schemas.openxmlformats.org/officeDocument/2006/relationships/hyperlink" Target="https://jp.misumi-ec.com/vona2/detail/221000597545/" TargetMode="External"/><Relationship Id="rId2168" Type="http://schemas.openxmlformats.org/officeDocument/2006/relationships/hyperlink" Target="https://www.monotaro.com/g/00257431/?t.q=%83o%83i%83i%83N%83%8A%83b%83v" TargetMode="External"/><Relationship Id="rId3219" Type="http://schemas.openxmlformats.org/officeDocument/2006/relationships/hyperlink" Target="https://www.monotaro.com/g/00020929/?monotaroNo=6846061" TargetMode="External"/><Relationship Id="rId3980" Type="http://schemas.openxmlformats.org/officeDocument/2006/relationships/hyperlink" Target="https://www.digikey.jp/product-detail/ja/alpha-wire/2840-7-BL005/2840-7BL005-ND/3708209" TargetMode="External"/><Relationship Id="rId4617" Type="http://schemas.openxmlformats.org/officeDocument/2006/relationships/hyperlink" Target="https://www.digikey.jp/ja/products/detail/sparkfun-electronics/ROB-12779/5318750?utm_adgroup=Motor%20Driver%20Boards%2C%20Modules&amp;utm_source=google&amp;utm_medium=cpc&amp;utm_campaign=Shopping_Product_Motors%2C%20Solenoids%2C%20Driver%20Boards%2FModules&amp;utm_term=&amp;productid=5318750&amp;gclid=Cj0KCQjwspKUBhCvARIsAB2IYusjbIkV2zRzOU_V9X2-NTrxtEQ1UkB003nsBqr07tCg5lf1Gnt4j6caAorlEALw_wcB" TargetMode="External"/><Relationship Id="rId1184" Type="http://schemas.openxmlformats.org/officeDocument/2006/relationships/hyperlink" Target="https://www.digikey.jp/product-detail/ja/samsung-electro-mechanics/CL21B473KCCWPNC/1276-6815-1-ND/5961674" TargetMode="External"/><Relationship Id="rId2582" Type="http://schemas.openxmlformats.org/officeDocument/2006/relationships/hyperlink" Target="https://www.amazon.co.jp/%E3%82%B9%E3%83%AF%E3%83%B3-%E9%80%8F%E6%98%8E%E8%A2%8B-%E3%83%81%E3%83%A3%E3%83%83%E3%82%AF%E4%BB%98%E3%81%8D-200%E6%9E%9A%E5%85%A5-006656042/dp/B075C7TTN3/ref=sr_1_14?__mk_ja_JP=%E3%82%AB%E3%82%BF%E3%82%AB%E3%83%8A&amp;dchild=1&amp;keywords=%E3%82%B8%E3%83%83%E3%83%97%2B%E8%A2%8B&amp;qid=1604987878&amp;sr=8-14&amp;th=1" TargetMode="External"/><Relationship Id="rId3633" Type="http://schemas.openxmlformats.org/officeDocument/2006/relationships/hyperlink" Target="https://www.digikey.jp/products/ja?keywords=H10903-ND" TargetMode="External"/><Relationship Id="rId554" Type="http://schemas.openxmlformats.org/officeDocument/2006/relationships/hyperlink" Target="https://www.digikey.jp/products/en?keywords=A19470-ND" TargetMode="External"/><Relationship Id="rId2235" Type="http://schemas.openxmlformats.org/officeDocument/2006/relationships/hyperlink" Target="https://www.digikey.jp/product-detail/ja/on-semiconductor/MUN5114DW1T1G/MUN5114DW1T1GOSCT-ND/5801830" TargetMode="External"/><Relationship Id="rId3700" Type="http://schemas.openxmlformats.org/officeDocument/2006/relationships/hyperlink" Target="https://www.digikey.jp/product-detail/ja/amphenol-rf/095-902-485-012/ARF3218-ND/9655887" TargetMode="External"/><Relationship Id="rId207" Type="http://schemas.openxmlformats.org/officeDocument/2006/relationships/hyperlink" Target="https://www.digikey.jp/product-detail/ja/cinch-connectivity-solutions-johnson/415-0059-MM250/J10342-ND/6579714" TargetMode="External"/><Relationship Id="rId621" Type="http://schemas.openxmlformats.org/officeDocument/2006/relationships/hyperlink" Target="https://www.digikey.com/product-detail/en/molex/0897616133/WM6140-ND/2002507" TargetMode="External"/><Relationship Id="rId1251" Type="http://schemas.openxmlformats.org/officeDocument/2006/relationships/hyperlink" Target="https://www.digikey.jp/product-detail/ja/panasonic-electronic-components/ERA-6AEB101V/P100DACT-ND/1465923" TargetMode="External"/><Relationship Id="rId2302" Type="http://schemas.openxmlformats.org/officeDocument/2006/relationships/hyperlink" Target="https://www.splead.jp/company.html" TargetMode="External"/><Relationship Id="rId4474" Type="http://schemas.openxmlformats.org/officeDocument/2006/relationships/hyperlink" Target="https://lcsc.com/product-detail/Satellite-Positioning-Modules_Quectel-L80-M39_C133488.html" TargetMode="External"/><Relationship Id="rId3076" Type="http://schemas.openxmlformats.org/officeDocument/2006/relationships/hyperlink" Target="https://www.amazon.co.jp/-/en/Magnetometer-Geomagnetism-Compensation-Professional-Development/dp/B07RZZ9SBR" TargetMode="External"/><Relationship Id="rId3490" Type="http://schemas.openxmlformats.org/officeDocument/2006/relationships/hyperlink" Target="https://www.digikey.jp/product-detail/en/norcomp-inc/977-015-010R031/915GPE-ND/858499" TargetMode="External"/><Relationship Id="rId4127" Type="http://schemas.openxmlformats.org/officeDocument/2006/relationships/hyperlink" Target="https://www.digikey.jp/product-detail/ja/samtec-inc/FTSH-102-01-L-D/SAM11244-ND/6691915" TargetMode="External"/><Relationship Id="rId4541" Type="http://schemas.openxmlformats.org/officeDocument/2006/relationships/hyperlink" Target="https://akizukidenshi.com/catalog/g/gM-07724/" TargetMode="External"/><Relationship Id="rId2092" Type="http://schemas.openxmlformats.org/officeDocument/2006/relationships/hyperlink" Target="https://jp.misumi-ec.com/vona2/detail/221006204759/?HissuCode=CC-2605-05&amp;PNSearch=CC-2605-05&amp;KWSearch=CC-2605-05&amp;searchFlow=results2products" TargetMode="External"/><Relationship Id="rId3143" Type="http://schemas.openxmlformats.org/officeDocument/2006/relationships/hyperlink" Target="https://www.digikey.jp/product-detail/en/stanley-electric-co/VCDG1112H-4BY3C-TR/404-1291-1-ND/9477296" TargetMode="External"/><Relationship Id="rId131" Type="http://schemas.openxmlformats.org/officeDocument/2006/relationships/hyperlink" Target="https://jp.rs-online.com/web/p/zener-diodes/7525890/" TargetMode="External"/><Relationship Id="rId3210" Type="http://schemas.openxmlformats.org/officeDocument/2006/relationships/hyperlink" Target="https://www.monotaro.com/p/0552/2063/" TargetMode="External"/><Relationship Id="rId2976" Type="http://schemas.openxmlformats.org/officeDocument/2006/relationships/hyperlink" Target="https://www.digikey.jp/product-detail/ja/analog-devices-inc/LTC4361CDC-1-TRMPBF/LTC4361CDC-1-TRMPBFCT-ND/2297159" TargetMode="External"/><Relationship Id="rId948" Type="http://schemas.openxmlformats.org/officeDocument/2006/relationships/hyperlink" Target="https://jp.misumi-ec.com/vona2/detail/110302280540/?HissuCode=CBSTSR&amp;PNSearch=CBSTSR&amp;KWSearch=CBSTSR&amp;searchFlow=results2products" TargetMode="External"/><Relationship Id="rId1578" Type="http://schemas.openxmlformats.org/officeDocument/2006/relationships/hyperlink" Target="https://jp.misumi-ec.com/vona2/detail/221000551444/?KWSearch=%e6%a8%b9%e8%84%82%e3%83%9c%e3%83%ab%e3%83%88&amp;searchFlow=results2products" TargetMode="External"/><Relationship Id="rId1992" Type="http://schemas.openxmlformats.org/officeDocument/2006/relationships/hyperlink" Target="https://www.digikey.jp/product-detail/en/koa-speer-electronics-inc/RK73B1JTTD750J/2019-RK73B1JTTD750JCT-ND/9846793" TargetMode="External"/><Relationship Id="rId2629" Type="http://schemas.openxmlformats.org/officeDocument/2006/relationships/hyperlink" Target="https://coax-cable.net/custom/" TargetMode="External"/><Relationship Id="rId5035" Type="http://schemas.openxmlformats.org/officeDocument/2006/relationships/hyperlink" Target="https://www.mouser.jp/ProductDetail/TE-Connectivity/2-825433-0?qs=Yxch5oR%2FTsPyWO6AE6CpEQ%3D%3D" TargetMode="External"/><Relationship Id="rId1645" Type="http://schemas.openxmlformats.org/officeDocument/2006/relationships/hyperlink" Target="http://www.ktek.jp/mini-ckt-atten-term-50-ohm.html" TargetMode="External"/><Relationship Id="rId4051" Type="http://schemas.openxmlformats.org/officeDocument/2006/relationships/hyperlink" Target="https://www.monotaro.com/g/02945464/?t.q=%E3%83%92%E3%83%BC%E3%83%88%E3%82%B7%E3%83%B3%E3%82%AF" TargetMode="External"/><Relationship Id="rId5102" Type="http://schemas.openxmlformats.org/officeDocument/2006/relationships/hyperlink" Target="https://www.mouser.jp/ProductDetail/KOA-Speer/RK73B1JTTD103J?qs=hmtrJ2UjXcBKRTcwO9LloQ%3D%3D" TargetMode="External"/><Relationship Id="rId1712" Type="http://schemas.openxmlformats.org/officeDocument/2006/relationships/hyperlink" Target="https://jp.misumi-ec.com/vona2/detail/110300440510" TargetMode="External"/><Relationship Id="rId4868" Type="http://schemas.openxmlformats.org/officeDocument/2006/relationships/hyperlink" Target="https://www.digikey.jp/en/products/detail/vishay-vitramon/VJ0805A120FXJCW1BC/8307136?s=N4IgTCBcDaIDoBcAEA1AUgBgBwYKwEEBGMDAMQA00BhAdUICEqQBdAXyA" TargetMode="External"/><Relationship Id="rId3884" Type="http://schemas.openxmlformats.org/officeDocument/2006/relationships/hyperlink" Target="https://www.monotaro.com/g/04970822/?t.q=%83%7E%83c%83g%83%88%20%83_%83C%83%84%83%8B%83Q%81%5B%83W" TargetMode="External"/><Relationship Id="rId4935" Type="http://schemas.openxmlformats.org/officeDocument/2006/relationships/hyperlink" Target="https://www.mouser.jp/ProductDetail/KEMET/C0805C220K5GACAUTO?qs=2FIyTMJ0hNn9t4xY4mAJ1g%3D%3D" TargetMode="External"/><Relationship Id="rId2486" Type="http://schemas.openxmlformats.org/officeDocument/2006/relationships/hyperlink" Target="https://www.digikey.jp/product-detail/ja/harwin-inc/M50-1900005/952-1730-ND/2890862" TargetMode="External"/><Relationship Id="rId3537" Type="http://schemas.openxmlformats.org/officeDocument/2006/relationships/hyperlink" Target="https://www.amazon.co.jp/dp/B074K74KZP/ref=cm_sw_r_cp_api_fabc_Ffg4Fb58W0JMC?_encoding=UTF8&amp;psc=1" TargetMode="External"/><Relationship Id="rId3951" Type="http://schemas.openxmlformats.org/officeDocument/2006/relationships/hyperlink" Target="https://www.digikey.jp/product-detail/ja/vishay-dale/WSL0805R0250FEA18/WSLB-025CT-ND/713391" TargetMode="External"/><Relationship Id="rId458" Type="http://schemas.openxmlformats.org/officeDocument/2006/relationships/hyperlink" Target="https://jp.misumi-ec.com/vona2/detail/221006204478/?HissuCode=C-302.5-5&amp;PNSearch=C-302.5-5&amp;KWSearch=C-302.5-5&amp;searchFlow=results2products" TargetMode="External"/><Relationship Id="rId872" Type="http://schemas.openxmlformats.org/officeDocument/2006/relationships/hyperlink" Target="https://jp.rs-online.com/web/p/multiplexer-switch-ics/5238761/" TargetMode="External"/><Relationship Id="rId1088" Type="http://schemas.openxmlformats.org/officeDocument/2006/relationships/hyperlink" Target="https://www.p-ban.com/" TargetMode="External"/><Relationship Id="rId2139" Type="http://schemas.openxmlformats.org/officeDocument/2006/relationships/hyperlink" Target="https://www.monotaro.com/p/8923/3855/" TargetMode="External"/><Relationship Id="rId2553" Type="http://schemas.openxmlformats.org/officeDocument/2006/relationships/hyperlink" Target="https://www.amazon.co.jp/ABOX-Raspberry-USB%E9%9B%BB%E6%BA%90%E3%82%B1%E3%83%BC%E3%83%96%E3%83%AB-PSE%E5%8F%96%E5%BE%97%EF%BC%88Raspberry-2%E3%80%81%E3%82%BF%E3%83%96%E3%83%AC%E3%83%83%E3%83%88%E3%80%81%E3%82%B9%E3%83%9E%E3%83%9B%E3%81%AB%E3%82%82%E5%AF%BE%E5%BF%9C%E3%81%97%E3%81%BE%E3%81%99%EF%BC%89/dp/B07J1Y966M/ref=sr_1_7?__mk_ja_JP=%E3%82%AB%E3%82%BF%E3%82%AB%E3%83%8A&amp;dchild=1&amp;keywords=Raspberry+pi+zero+power+adapter&amp;s=computers&amp;sr=1-7" TargetMode="External"/><Relationship Id="rId3604" Type="http://schemas.openxmlformats.org/officeDocument/2006/relationships/hyperlink" Target="https://jp.misumi-ec.com/vona2/detail/223004991831/?CategorySpec=00000019223%3a%3aa%0900000019224%3a%3amig00000002463732%0900000019228%3a%3anvd00000000000026%0900000112089%3a%3ab&amp;list=PageCategory" TargetMode="External"/><Relationship Id="rId525" Type="http://schemas.openxmlformats.org/officeDocument/2006/relationships/hyperlink" Target="https://www.digikey.jp/product-detail/en/murata-electronics-north-america/GRM219R6YA475KA73D/490-7208-1-ND/3900454" TargetMode="External"/><Relationship Id="rId1155" Type="http://schemas.openxmlformats.org/officeDocument/2006/relationships/hyperlink" Target="https://www.digikey.jp/ja/supplier-centers/q/qualtek" TargetMode="External"/><Relationship Id="rId2206" Type="http://schemas.openxmlformats.org/officeDocument/2006/relationships/hyperlink" Target="https://www.digikey.jp/product-detail/en/panasonic-electric-works/AQZ104D/AQZ104D-ND/646371" TargetMode="External"/><Relationship Id="rId2620" Type="http://schemas.openxmlformats.org/officeDocument/2006/relationships/hyperlink" Target="https://www.digikey.jp/product-detail/ja/bourns-inc/SRR6038-100Y/SRR6038-100YCT-ND/2127571" TargetMode="External"/><Relationship Id="rId1222" Type="http://schemas.openxmlformats.org/officeDocument/2006/relationships/hyperlink" Target="https://www.lensation.de/product/B5M2916C/" TargetMode="External"/><Relationship Id="rId4378" Type="http://schemas.openxmlformats.org/officeDocument/2006/relationships/hyperlink" Target="https://www.amazon.co.jp/dp/B08NTCLN34/ref=syn_sd_onsite_desktop_219?psc=1&amp;pd_rd_plhdr=t&amp;spLa=ZW5jcnlwdGVkUXVhbGlmaWVyPUExWFFOTldCM1ZMT1hVJmVuY3J5cHRlZElkPUEwMjQwNDA0UU5TTlBRWkdURUdUJmVuY3J5cHRlZEFkSWQ9QVFQNTNKM0NaWVI5VSZ3aWRnZXROYW1lPXNkX29uc2l0ZV9kZXNrdG9wJmFjdGlvbj1jbGlja1JlZGlyZWN0JmRvTm90TG9nQ2xpY2s9dHJ1ZQ==" TargetMode="External"/><Relationship Id="rId3394" Type="http://schemas.openxmlformats.org/officeDocument/2006/relationships/hyperlink" Target="https://www.digikey.jp/product-detail/ja/hirose-electric-co-ltd/DF61-2628SCF/H121973CT-ND/4040850" TargetMode="External"/><Relationship Id="rId4792" Type="http://schemas.openxmlformats.org/officeDocument/2006/relationships/hyperlink" Target="https://www.monotaro.com/p/1131/7172/" TargetMode="External"/><Relationship Id="rId3047" Type="http://schemas.openxmlformats.org/officeDocument/2006/relationships/hyperlink" Target="https://www.digikey.jp/product-detail/en/analog-devices-inc/TMP36FSZ-REEL/TMP36FSZ-REELCT-ND/3761261" TargetMode="External"/><Relationship Id="rId4445" Type="http://schemas.openxmlformats.org/officeDocument/2006/relationships/hyperlink" Target="https://www.amazon.co.jp/%E3%83%95%E3%83%AB%E3%83%97%E3%83%AD%E3%82%B0%E3%83%A9%E3%83%A0%E5%8F%AF%E8%83%BD-%E3%83%A1%E3%82%AB%E3%83%8B%E3%82%AB%E3%83%AB%E3%82%AD%E3%83%BC%E3%83%9C%E3%83%BC%E3%83%89-%E5%B7%A6%E6%89%8B%E3%82%B2%E3%83%BC%E3%83%9F%E3%83%B3%E3%82%B0%E3%82%AD%E3%83%BC%E3%83%9C%E3%83%BC%E3%83%89-RGB%E3%83%90%E3%83%83%E3%82%AF%E3%83%A9%E3%82%A4%E3%83%88-%E3%82%B7%E3%83%A7%E3%83%83%E3%83%88%E3%82%AB%E3%83%83%E3%83%88%E3%82%AD%E3%83%BC/dp/B07RM2GFTY/ref=sr_1_53?__mk_ja_JP=%E3%82%AB%E3%82%BF%E3%82%AB%E3%83%8A&amp;dchild=1&amp;keywords=%E3%83%86%E3%83%B3%E3%82%AD%E3%83%BC%2B%E5%89%B2%E3%82%8A%E5%BD%93%E3%81%A6&amp;qid=1616461729&amp;sr=8-53&amp;th=1" TargetMode="External"/><Relationship Id="rId3461" Type="http://schemas.openxmlformats.org/officeDocument/2006/relationships/hyperlink" Target="https://www.p-ban.com/kiban/com/csComTop.do" TargetMode="External"/><Relationship Id="rId4512" Type="http://schemas.openxmlformats.org/officeDocument/2006/relationships/hyperlink" Target="https://jp.rs-online.com/web/p/pcb-d-sub-connectors/5443761" TargetMode="External"/><Relationship Id="rId382" Type="http://schemas.openxmlformats.org/officeDocument/2006/relationships/hyperlink" Target="https://www.digikey.jp/product-detail/en/toshiba-semiconductor-and-storage/SSM6K411TU-TE85LF/SSM6K411TU-TE85LFCT-ND/5298038" TargetMode="External"/><Relationship Id="rId2063" Type="http://schemas.openxmlformats.org/officeDocument/2006/relationships/hyperlink" Target="https://jp.misumi-ec.com/vona2/detail/221000349089/?HissuCode=SSHS-M2X8" TargetMode="External"/><Relationship Id="rId3114" Type="http://schemas.openxmlformats.org/officeDocument/2006/relationships/hyperlink" Target="https://www.digikey.jp/product-detail/ja/PG164140/PG164140-ND/8536593/?itemSeq=354853070" TargetMode="External"/><Relationship Id="rId2130" Type="http://schemas.openxmlformats.org/officeDocument/2006/relationships/hyperlink" Target="https://www.askul.co.jp/p/9445598/?int_id=recom_DtTogether" TargetMode="External"/><Relationship Id="rId5286" Type="http://schemas.openxmlformats.org/officeDocument/2006/relationships/hyperlink" Target="https://www.digikey.jp/en/products/detail/murata-electronics/GJM1555C1H470FB01D/7363120" TargetMode="External"/><Relationship Id="rId102" Type="http://schemas.openxmlformats.org/officeDocument/2006/relationships/hyperlink" Target="https://www.digikey.jp/product-detail/en/A3901SEJTR-T/620-1159-1-ND/1108988/?itemSeq=273198905" TargetMode="External"/><Relationship Id="rId5353" Type="http://schemas.openxmlformats.org/officeDocument/2006/relationships/hyperlink" Target="https://akizukidenshi.com/catalog/g/gP-10333/" TargetMode="External"/><Relationship Id="rId1896" Type="http://schemas.openxmlformats.org/officeDocument/2006/relationships/hyperlink" Target="https://www.digikey.jp/products/en?keywords=%09H10891-ND" TargetMode="External"/><Relationship Id="rId2947" Type="http://schemas.openxmlformats.org/officeDocument/2006/relationships/hyperlink" Target="https://www.proto-advantage.com/store/product_info.php?products_id=4000007%7B1%7D11" TargetMode="External"/><Relationship Id="rId5006" Type="http://schemas.openxmlformats.org/officeDocument/2006/relationships/hyperlink" Target="https://www.mouser.jp/ProductDetail/KEMET/C0805C332G5GEC7210?qs=%2Fha2pyFaduixvi%2Fjlcs4zpamUBERKCh9oXjO3BV%252B1KcFXq9Ekahj1IGGJtH6GbsQ" TargetMode="External"/><Relationship Id="rId919" Type="http://schemas.openxmlformats.org/officeDocument/2006/relationships/hyperlink" Target="https://jp.rs-online.com/web/p/banana-plugs/0738834/" TargetMode="External"/><Relationship Id="rId1549" Type="http://schemas.openxmlformats.org/officeDocument/2006/relationships/hyperlink" Target="https://www.digikey.jp/product-detail/en/rohm-semiconductor/DTC144EKAT146/DTC144EKAT146CT-ND/650727" TargetMode="External"/><Relationship Id="rId1963" Type="http://schemas.openxmlformats.org/officeDocument/2006/relationships/hyperlink" Target="https://www.digikey.jp/products/en?keywords=296-36413-1-ND" TargetMode="External"/><Relationship Id="rId4022" Type="http://schemas.openxmlformats.org/officeDocument/2006/relationships/hyperlink" Target="https://akizukidenshi.com/catalog/g/gK-13010/" TargetMode="External"/><Relationship Id="rId1616" Type="http://schemas.openxmlformats.org/officeDocument/2006/relationships/hyperlink" Target="https://www.digikey.jp/product-detail/en/samtec-inc/SSQ-126-02-G-D/SAM1185-26-ND/1110841" TargetMode="External"/><Relationship Id="rId3788" Type="http://schemas.openxmlformats.org/officeDocument/2006/relationships/hyperlink" Target="https://www.muratasoftware.com/en/purchase/charge/" TargetMode="External"/><Relationship Id="rId4839" Type="http://schemas.openxmlformats.org/officeDocument/2006/relationships/hyperlink" Target="https://jp.misumi-ec.com/vona2/detail/110300465710/?PNSearch=HNSQ3&amp;HissuCode=HNSQ3&amp;searchFlow=suggest2products&amp;Keyword=HNSQ3&amp;list=SuggestPreview" TargetMode="External"/><Relationship Id="rId3855" Type="http://schemas.openxmlformats.org/officeDocument/2006/relationships/hyperlink" Target="https://jp.misumi-ec.com/vona2/detail/221006493827/?PNSearch=SNSS-M2-4-SD&amp;HissuCode=SNSS-M2-4-SD&amp;searchFlow=suggest2products&amp;Keyword=SNSS-M2-4-SD&amp;isReSearch=1" TargetMode="External"/><Relationship Id="rId776" Type="http://schemas.openxmlformats.org/officeDocument/2006/relationships/hyperlink" Target="https://www.digikey.jp/products/ja?keywords=SSM6K411TU(TE85LFCT-ND" TargetMode="External"/><Relationship Id="rId2457" Type="http://schemas.openxmlformats.org/officeDocument/2006/relationships/hyperlink" Target="https://www.digikey.jp/product-detail/ja/jst-sales-america-inc/GHR-04V-S/455-1594-ND/807816" TargetMode="External"/><Relationship Id="rId3508" Type="http://schemas.openxmlformats.org/officeDocument/2006/relationships/hyperlink" Target="https://www.digikey.jp/product-detail/ja/c-k/SDS002R/CKN10231CT-ND/2218821" TargetMode="External"/><Relationship Id="rId4906" Type="http://schemas.openxmlformats.org/officeDocument/2006/relationships/hyperlink" Target="https://jp.misumi-ec.com/vona2/detail/221000348314/?ProductCode=SNSS-M2X4-VA" TargetMode="External"/><Relationship Id="rId429" Type="http://schemas.openxmlformats.org/officeDocument/2006/relationships/hyperlink" Target="https://www.mouser.jp/ProductDetail/Analog-Devices/ADG774ABRQZ/?qs=sGAEpiMZZMtxrAS98ir%252bs4YpfXGcyaottj9R6BtLBFY=" TargetMode="External"/><Relationship Id="rId1059" Type="http://schemas.openxmlformats.org/officeDocument/2006/relationships/hyperlink" Target="https://www.digikey.jp/products/en?keywords=445-6400-1-ND%09" TargetMode="External"/><Relationship Id="rId1473" Type="http://schemas.openxmlformats.org/officeDocument/2006/relationships/hyperlink" Target="https://www.minicircuits.com/WebStore/dashboard.html?model=TCCH-80%2B" TargetMode="External"/><Relationship Id="rId2871" Type="http://schemas.openxmlformats.org/officeDocument/2006/relationships/hyperlink" Target="https://www.switch-science.com/catalog/3781/" TargetMode="External"/><Relationship Id="rId3922" Type="http://schemas.openxmlformats.org/officeDocument/2006/relationships/hyperlink" Target="https://akizukidenshi.com/catalog/g/gP-00300/" TargetMode="External"/><Relationship Id="rId843" Type="http://schemas.openxmlformats.org/officeDocument/2006/relationships/hyperlink" Target="https://jp.rs-online.com/web/p/mlccs-multilayer-ceramic-capacitors/9155446/" TargetMode="External"/><Relationship Id="rId1126" Type="http://schemas.openxmlformats.org/officeDocument/2006/relationships/hyperlink" Target="http://akizukidenshi.com/catalog/g/gC-09580/" TargetMode="External"/><Relationship Id="rId2524" Type="http://schemas.openxmlformats.org/officeDocument/2006/relationships/hyperlink" Target="https://jp.misumi-ec.com/vona2/detail/221006307988/?HissuCode=ERU-3235A" TargetMode="External"/><Relationship Id="rId910" Type="http://schemas.openxmlformats.org/officeDocument/2006/relationships/hyperlink" Target="https://jp.rs-online.com/web/p/surface-mount-fixed-resistors/6316632/" TargetMode="External"/><Relationship Id="rId1540" Type="http://schemas.openxmlformats.org/officeDocument/2006/relationships/hyperlink" Target="https://www.mouser.jp/ProductDetail/Raspberry-Pi/94AC6637?qs=2WXlatMagcGVzbsT0gacDw==&amp;gclid=Cj0KCQiA0NfvBRCVARIsAO4930nYx9WMohEyHrBmgI7dxQtMbitNHi6ehlbaNnjnRaq9rHWXVuaHQpMaAtH2EALw_wcB" TargetMode="External"/><Relationship Id="rId4696" Type="http://schemas.openxmlformats.org/officeDocument/2006/relationships/hyperlink" Target="https://www.mouser.jp/ProductDetail/ON-Semiconductor/DTC144EET1G?qs=2OtswVQKCOGzUGumeHaiRw%3D%3D" TargetMode="External"/><Relationship Id="rId3298" Type="http://schemas.openxmlformats.org/officeDocument/2006/relationships/hyperlink" Target="https://www.digikey.jp/product-detail/en/analog-devices-inc/TMP36FSZ-REEL/TMP36FSZ-REELCT-ND/3761261" TargetMode="External"/><Relationship Id="rId4349" Type="http://schemas.openxmlformats.org/officeDocument/2006/relationships/hyperlink" Target="https://www.mouser.jp/ProductDetail/863-NRVB120VLSFT1G" TargetMode="External"/><Relationship Id="rId4763" Type="http://schemas.openxmlformats.org/officeDocument/2006/relationships/hyperlink" Target="https://www.monotaro.com/p/8626/3546/" TargetMode="External"/><Relationship Id="rId3365" Type="http://schemas.openxmlformats.org/officeDocument/2006/relationships/hyperlink" Target="https://akizukidenshi.com/catalog/g/gC-05159/" TargetMode="External"/><Relationship Id="rId4416" Type="http://schemas.openxmlformats.org/officeDocument/2006/relationships/hyperlink" Target="https://jlcpcb.com/" TargetMode="External"/><Relationship Id="rId4830" Type="http://schemas.openxmlformats.org/officeDocument/2006/relationships/hyperlink" Target="https://www.monotaro.com/p/1134/7717/?t.q=FSS-41035-13" TargetMode="External"/><Relationship Id="rId286" Type="http://schemas.openxmlformats.org/officeDocument/2006/relationships/hyperlink" Target="https://www.digikey.jp/product-detail/en/texas-instruments/SN74F257N/296-3575-5-ND/373711" TargetMode="External"/><Relationship Id="rId2381" Type="http://schemas.openxmlformats.org/officeDocument/2006/relationships/hyperlink" Target="https://www.monotaro.com/g/00534475/?t.q=COH-4000LVC-T0.5" TargetMode="External"/><Relationship Id="rId3018" Type="http://schemas.openxmlformats.org/officeDocument/2006/relationships/hyperlink" Target="https://www.digikey.jp/products/ja?keywords=LC4256ZE-7TN144I" TargetMode="External"/><Relationship Id="rId3432" Type="http://schemas.openxmlformats.org/officeDocument/2006/relationships/hyperlink" Target="https://www.digikey.jp/products/ja?keywords=255-1567-ND" TargetMode="External"/><Relationship Id="rId353" Type="http://schemas.openxmlformats.org/officeDocument/2006/relationships/hyperlink" Target="https://www.digikey.jp/product-detail/ja/abracon-llc/ABLS-20.000MHZ-B2-T/535-9074-1-ND/675591" TargetMode="External"/><Relationship Id="rId2034" Type="http://schemas.openxmlformats.org/officeDocument/2006/relationships/hyperlink" Target="https://www.renhotecpro.com/product/m8-circular-connector-8pin-a-code-male-straight-no-shield-cable-solder-type-field-wireable-connector/" TargetMode="External"/><Relationship Id="rId420" Type="http://schemas.openxmlformats.org/officeDocument/2006/relationships/hyperlink" Target="https://www.digikey.jp/product-detail/en/murata-electronics-north-america/LQP03TG0N4C02D/490-10544-1-ND/5026488" TargetMode="External"/><Relationship Id="rId1050" Type="http://schemas.openxmlformats.org/officeDocument/2006/relationships/hyperlink" Target="https://www.digikey.jp/products/en?keywords=497-14052-ND%09" TargetMode="External"/><Relationship Id="rId2101" Type="http://schemas.openxmlformats.org/officeDocument/2006/relationships/hyperlink" Target="https://jp.misumi-ec.com/vona2/detail/221006204478/?HissuCode=C-308&amp;PNSearch=C-308&amp;KWSearch=C-308&amp;searchFlow=results2products" TargetMode="External"/><Relationship Id="rId5257" Type="http://schemas.openxmlformats.org/officeDocument/2006/relationships/hyperlink" Target="https://www.monotaro.com/p/2034/4932/?t.q=TEXIO%20PSW%20360L80" TargetMode="External"/><Relationship Id="rId1867" Type="http://schemas.openxmlformats.org/officeDocument/2006/relationships/hyperlink" Target="https://jp.rs-online.com/web/p/crystal-units/5476531/" TargetMode="External"/><Relationship Id="rId2918" Type="http://schemas.openxmlformats.org/officeDocument/2006/relationships/hyperlink" Target="https://akizukidenshi.com/catalog/g/gC-06568/" TargetMode="External"/><Relationship Id="rId4273" Type="http://schemas.openxmlformats.org/officeDocument/2006/relationships/hyperlink" Target="https://akizukidenshi.com/catalog/g/gC-13195/" TargetMode="External"/><Relationship Id="rId5324" Type="http://schemas.openxmlformats.org/officeDocument/2006/relationships/hyperlink" Target="https://www.digikey.jp/en/products/detail/murata-electronics/LQW18AN82NJ8ZD/6799172" TargetMode="External"/><Relationship Id="rId1934" Type="http://schemas.openxmlformats.org/officeDocument/2006/relationships/hyperlink" Target="https://www.p-ban.com/kiban/com/csComTop.do" TargetMode="External"/><Relationship Id="rId4340" Type="http://schemas.openxmlformats.org/officeDocument/2006/relationships/hyperlink" Target="https://www.monotaro.com/g/00029011/?t.q=%E3%83%88%E3%83%AB%E3%82%AF%E3%83%89%E3%83%A9%E3%82%A4%E3%83%90%E3%83%BC%20%E3%83%93%E3%83%83%E3%83%88" TargetMode="External"/><Relationship Id="rId3759" Type="http://schemas.openxmlformats.org/officeDocument/2006/relationships/hyperlink" Target="https://www.digikey.jp/product-detail/en/DDC264EVM/296-30897-ND/2696237?itemSeq=372570500" TargetMode="External"/><Relationship Id="rId5181" Type="http://schemas.openxmlformats.org/officeDocument/2006/relationships/hyperlink" Target="https://mou.sr/3EjvwDu" TargetMode="External"/><Relationship Id="rId2775" Type="http://schemas.openxmlformats.org/officeDocument/2006/relationships/hyperlink" Target="https://www.digikey.jp/product-detail/en/jst-sales-america-inc/SPHD-001T-P0-5/455-1325-1-ND/608808" TargetMode="External"/><Relationship Id="rId3826" Type="http://schemas.openxmlformats.org/officeDocument/2006/relationships/hyperlink" Target="https://www.monotaro.com/g/04039644/" TargetMode="External"/><Relationship Id="rId747" Type="http://schemas.openxmlformats.org/officeDocument/2006/relationships/hyperlink" Target="https://www.digikey.jp/product-detail/en/ecs-inc/ECS-80-18-20BQ-DS/XC2015CT-ND/4073726" TargetMode="External"/><Relationship Id="rId1377" Type="http://schemas.openxmlformats.org/officeDocument/2006/relationships/hyperlink" Target="https://www.amazon.co.jp/gp/product/B07Q27CY6P/ref=ppx_yo_dt_b_asin_title_o04_s00?ie=UTF8&amp;psc=1" TargetMode="External"/><Relationship Id="rId1791" Type="http://schemas.openxmlformats.org/officeDocument/2006/relationships/hyperlink" Target="https://www.digikey.jp/product-detail/en/kyocera-international-inc-electronic-components/CX3225SB16000H0PSTC1/1253-1687-1-ND/5977887" TargetMode="External"/><Relationship Id="rId2428" Type="http://schemas.openxmlformats.org/officeDocument/2006/relationships/hyperlink" Target="https://akizukidenshi.com/catalog/g/gM-11425/" TargetMode="External"/><Relationship Id="rId2842" Type="http://schemas.openxmlformats.org/officeDocument/2006/relationships/hyperlink" Target="https://jp.misumi-ec.com/vona2/detail/110310113219/?HissuCode=A5052P-4F-BSXA-NNL-10-10-2" TargetMode="External"/><Relationship Id="rId83" Type="http://schemas.openxmlformats.org/officeDocument/2006/relationships/hyperlink" Target="https://www.digikey.jp/ordering/shoppingcart" TargetMode="External"/><Relationship Id="rId814" Type="http://schemas.openxmlformats.org/officeDocument/2006/relationships/hyperlink" Target="https://www.digikey.jp/products/ja?keywords=M20-9980345" TargetMode="External"/><Relationship Id="rId1444" Type="http://schemas.openxmlformats.org/officeDocument/2006/relationships/hyperlink" Target="https://www.digikey.jp/product-detail/en/tdk-corporation/SPM5020T-2R2M-LR/445-174497-1-ND/5962423" TargetMode="External"/><Relationship Id="rId1511" Type="http://schemas.openxmlformats.org/officeDocument/2006/relationships/hyperlink" Target="https://www.monotaro.com/p/4892/4337/" TargetMode="External"/><Relationship Id="rId4667" Type="http://schemas.openxmlformats.org/officeDocument/2006/relationships/hyperlink" Target="https://www.digikey.jp/ja/products/detail/jst-sales-america-inc/PAP-10V-S/759982" TargetMode="External"/><Relationship Id="rId3269" Type="http://schemas.openxmlformats.org/officeDocument/2006/relationships/hyperlink" Target="https://www.digikey.jp/product-detail/ja/kemet/C0603C471J5GACTU/399-7922-1-ND/3471645" TargetMode="External"/><Relationship Id="rId3683" Type="http://schemas.openxmlformats.org/officeDocument/2006/relationships/hyperlink" Target="https://www.amazon.co.jp/Ultrak-Mechanical-Stopwatch-by/dp/B002YRZTAS/ref=sr_1_35?__mk_ja_JP=%E3%82%AB%E3%82%BF%E3%82%AB%E3%83%8A&amp;dchild=1&amp;keywords=Mechanical+stopwatch&amp;qid=1626178395&amp;sr=8-35" TargetMode="External"/><Relationship Id="rId2285" Type="http://schemas.openxmlformats.org/officeDocument/2006/relationships/hyperlink" Target="https://www.esrij.com/products/arcgis-desktop/prices/academic/" TargetMode="External"/><Relationship Id="rId3336" Type="http://schemas.openxmlformats.org/officeDocument/2006/relationships/hyperlink" Target="https://www.digikey.jp/product-detail/en/abracon-llc/ABM3-16-000MHZ-B2-T/535-9103-1-ND/675620" TargetMode="External"/><Relationship Id="rId4734" Type="http://schemas.openxmlformats.org/officeDocument/2006/relationships/hyperlink" Target="https://www.digikey.jp/en/products/detail/adafruit-industries-llc/1949/6827083" TargetMode="External"/><Relationship Id="rId257" Type="http://schemas.openxmlformats.org/officeDocument/2006/relationships/hyperlink" Target="https://www.amazon.co.uk/Microfibre-Exel-Cleaning-Polishing-Accessories/dp/B004SH3SDM/ref=pd_bxgy_img_3?_encoding=UTF8&amp;pd_rd_i=B004SH3SDM&amp;pd_rd_r=8df4edd7-1540-11e9-83dc-e5a51a4c5b73&amp;pd_rd_w=Le8fO&amp;pd_rd_wg=144ef&amp;pf_rd_p=466c8fd0-3653-4c9b-86fa-f9bc8fd2ae35&amp;pf_rd_r=QKDN2SBBH0VPENEQ2DM0&amp;psc=1&amp;refRID=QKDN2SBBH0VPENEQ2DM0" TargetMode="External"/><Relationship Id="rId3750" Type="http://schemas.openxmlformats.org/officeDocument/2006/relationships/hyperlink" Target="https://www.digikey.jp/product-detail/ja/adam-tech/MDP-003/2057-MDP-003-ND/9831874" TargetMode="External"/><Relationship Id="rId4801" Type="http://schemas.openxmlformats.org/officeDocument/2006/relationships/hyperlink" Target="https://jp.misumi-ec.com/vona2/detail/110302680760/?list=PageCategory" TargetMode="External"/><Relationship Id="rId671" Type="http://schemas.openxmlformats.org/officeDocument/2006/relationships/hyperlink" Target="https://www.monotaro.com/g/03486717/?t.q=%83J%83v%83g%83%93%83e%81%5B%83v" TargetMode="External"/><Relationship Id="rId2352" Type="http://schemas.openxmlformats.org/officeDocument/2006/relationships/hyperlink" Target="https://hirosugi.co.jp/products/POM/C.html" TargetMode="External"/><Relationship Id="rId3403" Type="http://schemas.openxmlformats.org/officeDocument/2006/relationships/hyperlink" Target="https://www.digikey.jp/product-detail/en/cui-inc/MD-60/CP-2060-ND/96916" TargetMode="External"/><Relationship Id="rId324" Type="http://schemas.openxmlformats.org/officeDocument/2006/relationships/hyperlink" Target="https://www.digikey.jp/product-detail/en/texas-instruments/INA181A1IDBVR/296-47656-1-ND/8133025" TargetMode="External"/><Relationship Id="rId2005" Type="http://schemas.openxmlformats.org/officeDocument/2006/relationships/hyperlink" Target="https://www.mouser.jp/ProductDetail/Analog-Devices-Linear-Technology/LTC4380HDD-1PBF?qs=%2Fha2pyFaduhmnFRNUxLaSoZva3z4GUP0mvRp11w4G4FXKqqutuywJw79A8fbe3j3" TargetMode="External"/><Relationship Id="rId1021" Type="http://schemas.openxmlformats.org/officeDocument/2006/relationships/hyperlink" Target="https://www.digikey.jp/product-detail/ja/stackpole-electronics-inc/RNCP0805FTD10K0/RNCP0805FTD10K0CT-ND/2240601" TargetMode="External"/><Relationship Id="rId4177" Type="http://schemas.openxmlformats.org/officeDocument/2006/relationships/hyperlink" Target="https://www.mouser.jp/ProductDetail/Murata-Electronics/GCM21BR91H104KA37L?qs=AgWb9queBCgEvfdz8pGcnQ%3D%3D" TargetMode="External"/><Relationship Id="rId4591" Type="http://schemas.openxmlformats.org/officeDocument/2006/relationships/hyperlink" Target="https://akizukidenshi.com/catalog/g/gP-04080/" TargetMode="External"/><Relationship Id="rId5228" Type="http://schemas.openxmlformats.org/officeDocument/2006/relationships/hyperlink" Target="https://www.digikey.jp/ja/products/detail/anysolar-ltd/SM531K08L/9990469?utm_adgroup=&amp;utm_source=google&amp;utm_medium=cpc&amp;utm_campaign=Dynamic%20Search_JP_RLSA_Site%20Visitor&amp;utm_term=&amp;productid=&amp;gclid=Cj0KCQiAvqGcBhCJARIsAFQ5ke6j5tKr2S1qVmD_U2wh6VEWMFO4n5YqALViV5Hw9Y6xJJpzYmp-axcaAtbBEALw_wcB" TargetMode="External"/><Relationship Id="rId3193" Type="http://schemas.openxmlformats.org/officeDocument/2006/relationships/hyperlink" Target="https://www.monotaro.com/p/3989/5136/" TargetMode="External"/><Relationship Id="rId4244" Type="http://schemas.openxmlformats.org/officeDocument/2006/relationships/hyperlink" Target="https://kryothermtec.com/four-stage-thermoelectric-coolers.html" TargetMode="External"/><Relationship Id="rId1838" Type="http://schemas.openxmlformats.org/officeDocument/2006/relationships/hyperlink" Target="https://www.digikey.jp/product-detail/ja/koa-speer-electronics-inc/RK73H1JTTD47R0F/2019-RK73H1JTTD47R0FCT-ND/9846959" TargetMode="External"/><Relationship Id="rId3260" Type="http://schemas.openxmlformats.org/officeDocument/2006/relationships/hyperlink" Target="https://www.icolor.co.jp/index.html" TargetMode="External"/><Relationship Id="rId4311" Type="http://schemas.openxmlformats.org/officeDocument/2006/relationships/hyperlink" Target="https://www.amazon.co.jp/-/en/Crucial-Solid-State-Drive-SSD/dp/B077PPN5NN/ref=sr_1_5?dchild=1&amp;keywords=ssd&amp;qid=1625731299&amp;sr=8-5&amp;th=1" TargetMode="External"/><Relationship Id="rId181" Type="http://schemas.openxmlformats.org/officeDocument/2006/relationships/hyperlink" Target="https://www.askul.co.jp/p/8441979/" TargetMode="External"/><Relationship Id="rId1905" Type="http://schemas.openxmlformats.org/officeDocument/2006/relationships/hyperlink" Target="https://www.marutsu.co.jp/pc/i/132145/" TargetMode="External"/><Relationship Id="rId5085" Type="http://schemas.openxmlformats.org/officeDocument/2006/relationships/hyperlink" Target="https://www.graphic.jp/price/1554_278_17_7086/" TargetMode="External"/><Relationship Id="rId998" Type="http://schemas.openxmlformats.org/officeDocument/2006/relationships/hyperlink" Target="https://www.digikey.jp/product-detail/ja/linear-technology-analog-devices/LT6106HS5-TRMPBF/LT6106HS5-TRMPBFCT-ND/1590294" TargetMode="External"/><Relationship Id="rId2679" Type="http://schemas.openxmlformats.org/officeDocument/2006/relationships/hyperlink" Target="https://www.mouser.jp/ProductDetail/KOA-Speer/RK73H1JTTD2401F?qs=sEK9FFFUU9XYznUriODOzw%3D%3D" TargetMode="External"/><Relationship Id="rId1695" Type="http://schemas.openxmlformats.org/officeDocument/2006/relationships/hyperlink" Target="https://www.amazon.co.jp/dp/B00J0XR14Q/ref=sr_1_21?dchild=1&amp;keywords=hdd&amp;qid=1585880338&amp;sr=8-21&amp;th=1" TargetMode="External"/><Relationship Id="rId2746" Type="http://schemas.openxmlformats.org/officeDocument/2006/relationships/hyperlink" Target="https://www.monotaro.com/p/0706/4075/?t.q=POM" TargetMode="External"/><Relationship Id="rId5152" Type="http://schemas.openxmlformats.org/officeDocument/2006/relationships/hyperlink" Target="https://jp.rs-online.com/web/p/pcb-headers/5473150" TargetMode="External"/><Relationship Id="rId718" Type="http://schemas.openxmlformats.org/officeDocument/2006/relationships/hyperlink" Target="https://www.digikey.jp/product-detail/en/rohm-semiconductor/UCR03EVPFLR150/RHM1242DKR-ND/4058650" TargetMode="External"/><Relationship Id="rId1348" Type="http://schemas.openxmlformats.org/officeDocument/2006/relationships/hyperlink" Target="https://jp.misumi-ec.com/vona2/detail/110300440510/?CategorySpec=00000260741%3a%3aa&amp;clkid=clkid_list_template" TargetMode="External"/><Relationship Id="rId1762" Type="http://schemas.openxmlformats.org/officeDocument/2006/relationships/hyperlink" Target="https://www.digikey.jp/product-detail/en/murata-electronics/GRM155R71E104ME14D/490-13341-1-ND/5973351" TargetMode="External"/><Relationship Id="rId1415" Type="http://schemas.openxmlformats.org/officeDocument/2006/relationships/hyperlink" Target="https://www.digikey.jp/product-detail/en/vishay-dale/CRCW08054K70FKEAC/541-4131-1-ND/7928814" TargetMode="External"/><Relationship Id="rId2813" Type="http://schemas.openxmlformats.org/officeDocument/2006/relationships/hyperlink" Target="https://jp.rs-online.com/web/p/resistor-sample-kits/5021210/" TargetMode="External"/><Relationship Id="rId54" Type="http://schemas.openxmlformats.org/officeDocument/2006/relationships/hyperlink" Target="https://www.nbk1560.com/products/specialscrew/nedzicom/miniaturescrew/SNSS/" TargetMode="External"/><Relationship Id="rId4985" Type="http://schemas.openxmlformats.org/officeDocument/2006/relationships/hyperlink" Target="https://www.amazon.co.jp/WorldPlus-%E3%83%90%E3%83%83%E3%83%86%E3%83%AA%E3%83%BC-MacBook-A1382-6200mAh/dp/B01MPZWGUH" TargetMode="External"/><Relationship Id="rId2189" Type="http://schemas.openxmlformats.org/officeDocument/2006/relationships/hyperlink" Target="https://www.hazaiya.co.jp/estimate/confirmpipe.php" TargetMode="External"/><Relationship Id="rId3587" Type="http://schemas.openxmlformats.org/officeDocument/2006/relationships/hyperlink" Target="https://www.digikey.jp/products/ja?keywords=530470810" TargetMode="External"/><Relationship Id="rId4638" Type="http://schemas.openxmlformats.org/officeDocument/2006/relationships/hyperlink" Target="https://jp.misumi-ec.com/vona2/mech_material/M1401000000/M1401100000/" TargetMode="External"/><Relationship Id="rId3654" Type="http://schemas.openxmlformats.org/officeDocument/2006/relationships/hyperlink" Target="https://www.digikey.jp/product-detail/en/knowles-novacap/C08BL242X-5UN-X0T/1761-1076-1-ND/7596239" TargetMode="External"/><Relationship Id="rId4705" Type="http://schemas.openxmlformats.org/officeDocument/2006/relationships/hyperlink" Target="https://jp.misumi-ec.com/vona2/detail/221000016945/?ProductCode=C104" TargetMode="External"/><Relationship Id="rId575" Type="http://schemas.openxmlformats.org/officeDocument/2006/relationships/hyperlink" Target="https://www.digikey.jp/en/supplier-centers/m/microchip-technology" TargetMode="External"/><Relationship Id="rId2256" Type="http://schemas.openxmlformats.org/officeDocument/2006/relationships/hyperlink" Target="https://www.monotaro.com/p/0995/4095/?t.q=%8D%82%83i%83b%83g" TargetMode="External"/><Relationship Id="rId2670" Type="http://schemas.openxmlformats.org/officeDocument/2006/relationships/hyperlink" Target="https://www.mouser.jp/ProductDetail/KOA-Speer/RK73H1JTTD4700F?qs=%2Fha2pyFadujzle8xjALcvAyBKVZV%252BG08Te4TgvbU68OutT7tDCb4SA%3D%3D" TargetMode="External"/><Relationship Id="rId3307" Type="http://schemas.openxmlformats.org/officeDocument/2006/relationships/hyperlink" Target="https://www.digikey.jp/product-detail/ja/on-semiconductor/NCV1117ST18T3G/NCV1117ST18T3GOSCT-ND/3487436" TargetMode="External"/><Relationship Id="rId3721" Type="http://schemas.openxmlformats.org/officeDocument/2006/relationships/hyperlink" Target="https://jp.rs-online.com/web/p/heatsinks/0263251/" TargetMode="External"/><Relationship Id="rId228" Type="http://schemas.openxmlformats.org/officeDocument/2006/relationships/hyperlink" Target="https://jp.rs-online.com/web/p/products/1323023/" TargetMode="External"/><Relationship Id="rId642" Type="http://schemas.openxmlformats.org/officeDocument/2006/relationships/hyperlink" Target="https://jp.misumi-ec.com/vona2/detail/221000531734/?CategorySpec=00000173501%3a%3anvd00000000000003%0900000173411%3a%3amig00000002488795%0900000173288%3a%3ae&amp;clkid=clkid_list_template" TargetMode="External"/><Relationship Id="rId1272" Type="http://schemas.openxmlformats.org/officeDocument/2006/relationships/hyperlink" Target="https://www.digikey.jp/products/ja?keywords=WM6050-ND" TargetMode="External"/><Relationship Id="rId2323" Type="http://schemas.openxmlformats.org/officeDocument/2006/relationships/hyperlink" Target="https://jp.rs-online.com/web/p/leds/2292504/" TargetMode="External"/><Relationship Id="rId4495" Type="http://schemas.openxmlformats.org/officeDocument/2006/relationships/hyperlink" Target="https://jp.rs-online.com/web/p/desoldering-wicks-braids/0167807" TargetMode="External"/><Relationship Id="rId3097" Type="http://schemas.openxmlformats.org/officeDocument/2006/relationships/hyperlink" Target="https://jp.misumi-ec.com/vona2/detail/110302679630/?ProductCode=FABS3-96" TargetMode="External"/><Relationship Id="rId4148" Type="http://schemas.openxmlformats.org/officeDocument/2006/relationships/hyperlink" Target="https://www.digikey.jp/product-detail/en/kemet/C0603C473J3RACTU/399-7929-1-ND/3471652" TargetMode="External"/><Relationship Id="rId3164" Type="http://schemas.openxmlformats.org/officeDocument/2006/relationships/hyperlink" Target="https://www.monotaro.com/p/5023/8013/" TargetMode="External"/><Relationship Id="rId4562" Type="http://schemas.openxmlformats.org/officeDocument/2006/relationships/hyperlink" Target="https://www.monotaro.com/g/00320029/?monotaroNo=37099754" TargetMode="External"/><Relationship Id="rId1809" Type="http://schemas.openxmlformats.org/officeDocument/2006/relationships/hyperlink" Target="https://www.digikey.jp/product-detail/ja/molex/0545502471/WM8810CT-ND/3197240" TargetMode="External"/><Relationship Id="rId4215" Type="http://schemas.openxmlformats.org/officeDocument/2006/relationships/hyperlink" Target="https://www.mouser.jp/ProductDetail/TDK/CGA4J1X8L1E475K125AC?qs=gZXFycFWdANxpKJOMQuJTA%3D%3D" TargetMode="External"/><Relationship Id="rId2180" Type="http://schemas.openxmlformats.org/officeDocument/2006/relationships/hyperlink" Target="https://jp.misumi-ec.com/vona2/detail/110302686450/" TargetMode="External"/><Relationship Id="rId3231" Type="http://schemas.openxmlformats.org/officeDocument/2006/relationships/hyperlink" Target="https://www.amazon.co.jp/dp/B07SR864Y2/ref=cm_sw_r_li_dp_CGHVF96AAEV5HJDS3M0P?_encoding=UTF8&amp;psc=1" TargetMode="External"/><Relationship Id="rId152" Type="http://schemas.openxmlformats.org/officeDocument/2006/relationships/hyperlink" Target="https://jp.misumi-ec.com/vona2/detail/221000551286/?CategorySpec=00000217065%3a%3amig00000002466041%0900000217017%3a%3amig00000002466054%0900000217131%3a%3ab&amp;bid=bid_list_template" TargetMode="External"/><Relationship Id="rId2997" Type="http://schemas.openxmlformats.org/officeDocument/2006/relationships/hyperlink" Target="https://jp.rs-online.com/web/p/digital-transistors/2461738/" TargetMode="External"/><Relationship Id="rId969" Type="http://schemas.openxmlformats.org/officeDocument/2006/relationships/hyperlink" Target="https://jp.rs-online.com/web/p/pcb-connector-housings/8201618/" TargetMode="External"/><Relationship Id="rId1599" Type="http://schemas.openxmlformats.org/officeDocument/2006/relationships/hyperlink" Target="https://jp.misumi-ec.com/vona2/detail/221000348314/?HissuCode=SNSS-M2X4" TargetMode="External"/><Relationship Id="rId5056" Type="http://schemas.openxmlformats.org/officeDocument/2006/relationships/hyperlink" Target="https://www.amazon.co.jp/-/en/Comon-Female-Converter-Adapter-MMCX-%E2%80%93-SMA/dp/B01M076KV2/ref=sr_1_2?__mk_ja_JP=%E3%82%AB%E3%82%BF%E3%82%AB%E3%83%8A&amp;crid=31UYTOWYJV6FX&amp;keywords=mmcx+%E3%83%A1%E3%82%B9+-sma+%E3%82%AA%E3%82%B9+%E5%A4%89%E6%8F%9B&amp;qid=1664936951&amp;s=electronics&amp;sprefix=mmcx+female+to+sma+male+converte%2Celectronics%2C179&amp;sr=1-2" TargetMode="External"/><Relationship Id="rId4072" Type="http://schemas.openxmlformats.org/officeDocument/2006/relationships/hyperlink" Target="https://www.amtechs.co.jp/product/gps/cat29/gps-source/post-132.html" TargetMode="External"/><Relationship Id="rId5123" Type="http://schemas.openxmlformats.org/officeDocument/2006/relationships/hyperlink" Target="https://www.monotaro.com/p/2634/4072/?t.q=PSR-210153-12" TargetMode="External"/><Relationship Id="rId1666" Type="http://schemas.openxmlformats.org/officeDocument/2006/relationships/hyperlink" Target="https://coax-cable.net/" TargetMode="External"/><Relationship Id="rId2717" Type="http://schemas.openxmlformats.org/officeDocument/2006/relationships/hyperlink" Target="https://akizukidenshi.com/catalog/g/gK-07234/" TargetMode="External"/><Relationship Id="rId1319" Type="http://schemas.openxmlformats.org/officeDocument/2006/relationships/hyperlink" Target="https://www.digikey.jp/product-detail/en/adafruit-industries-llc/1957/1528-1967-ND/6827090" TargetMode="External"/><Relationship Id="rId1733" Type="http://schemas.openxmlformats.org/officeDocument/2006/relationships/hyperlink" Target="https://www.marutsu.co.jp/pc/i/1358922/" TargetMode="External"/><Relationship Id="rId4889" Type="http://schemas.openxmlformats.org/officeDocument/2006/relationships/hyperlink" Target="https://www.mouser.jp/ProductDetail/Linx-Technologies/CONSMA002-SMD-G-T?qs=%2Fha2pyFaduhQhcxMgrQoIsvLFrsRjW9pIc1sJa4Ph7iJHa7ohZF7HQ%3D%3D" TargetMode="External"/><Relationship Id="rId25" Type="http://schemas.openxmlformats.org/officeDocument/2006/relationships/hyperlink" Target="https://jp.rs-online.com/web/p/pcb-headers/5151383/?sra=pstk" TargetMode="External"/><Relationship Id="rId1800" Type="http://schemas.openxmlformats.org/officeDocument/2006/relationships/hyperlink" Target="https://www.digikey.jp/products/ja?keywords=644-1065-1-ND" TargetMode="External"/><Relationship Id="rId4956" Type="http://schemas.openxmlformats.org/officeDocument/2006/relationships/hyperlink" Target="https://jp.misumi-ec.com/vona2/detail/221000551286/?HissuCode=CSH-SUS-M1.6-6" TargetMode="External"/><Relationship Id="rId3558" Type="http://schemas.openxmlformats.org/officeDocument/2006/relationships/hyperlink" Target="https://www.mouser.jp/ProductDetail/ECS/ECS-160-20-23A-TR?qs=gmcn8Ik9O3Hh%252BetsovxP4A%3D%3D" TargetMode="External"/><Relationship Id="rId3972" Type="http://schemas.openxmlformats.org/officeDocument/2006/relationships/hyperlink" Target="https://jp.misumi-ec.com/vona2/detail/110302280540/?PNSearch=CBSTSR2-3&amp;HissuCode=CBSTSR2-3&amp;searchFlow=suggest2products&amp;Keyword=CBSTSR2-3&amp;list=SuggestPreview" TargetMode="External"/><Relationship Id="rId4609" Type="http://schemas.openxmlformats.org/officeDocument/2006/relationships/hyperlink" Target="https://tmi.yokogawa.com/solutions/products/portable-and-bench-instruments/thermometers/tx10-series-of-digital-thermometers/" TargetMode="External"/><Relationship Id="rId479" Type="http://schemas.openxmlformats.org/officeDocument/2006/relationships/hyperlink" Target="https://jp.misumi-ec.com/vona2/detail/221006204423/?HissuCode=CU-305PH" TargetMode="External"/><Relationship Id="rId893" Type="http://schemas.openxmlformats.org/officeDocument/2006/relationships/hyperlink" Target="https://jp.rs-online.com/web/p/node_under_construction/9063283/" TargetMode="External"/><Relationship Id="rId2574" Type="http://schemas.openxmlformats.org/officeDocument/2006/relationships/hyperlink" Target="https://jp.rs-online.com/web/p/thermocouple-extension-wire/8276047/?sra=pstk" TargetMode="External"/><Relationship Id="rId3625" Type="http://schemas.openxmlformats.org/officeDocument/2006/relationships/hyperlink" Target="https://www.monotaro.com/g/04137277/?displayId=20" TargetMode="External"/><Relationship Id="rId546" Type="http://schemas.openxmlformats.org/officeDocument/2006/relationships/hyperlink" Target="https://www.digikey.jp/products/en?keywords=296-30291-1-ND" TargetMode="External"/><Relationship Id="rId1176" Type="http://schemas.openxmlformats.org/officeDocument/2006/relationships/hyperlink" Target="https://jp.rs-online.com/web/p/crystal-units/5476531/" TargetMode="External"/><Relationship Id="rId2227" Type="http://schemas.openxmlformats.org/officeDocument/2006/relationships/hyperlink" Target="https://jp.misumi-ec.com/vona2/detail/223005593795/?KWSearch=%e5%85%ad%e8%a7%92%e6%a3%92%e3%82%b9%e3%83%91%e3%83%8a%201.27%20mm&amp;searchFlow=results2products" TargetMode="External"/><Relationship Id="rId960" Type="http://schemas.openxmlformats.org/officeDocument/2006/relationships/hyperlink" Target="https://www.digikey.jp/product-detail/en/stmicroelectronics/STM32F429VIT6/497-14052-ND/4357425" TargetMode="External"/><Relationship Id="rId1243" Type="http://schemas.openxmlformats.org/officeDocument/2006/relationships/hyperlink" Target="https://jp.misumi-ec.com/vona2/detail/223000437348/" TargetMode="External"/><Relationship Id="rId1590" Type="http://schemas.openxmlformats.org/officeDocument/2006/relationships/hyperlink" Target="https://www.digikey.jp/product-detail/en/adafruit-industries-llc/1957/1528-1967-ND/6827090" TargetMode="External"/><Relationship Id="rId2641" Type="http://schemas.openxmlformats.org/officeDocument/2006/relationships/hyperlink" Target="https://www.monotaro.com/p/1955/7642/?t.q=KB-T7-30NVN" TargetMode="External"/><Relationship Id="rId4399" Type="http://schemas.openxmlformats.org/officeDocument/2006/relationships/hyperlink" Target="https://jp.misumi-ec.com/vona2/detail/110300258940/?PNSearch=HLTS2-4&amp;HissuCode=HLTS2-4&amp;searchFlow=suggest2products&amp;Keyword=HLTS2-4&amp;list=SuggestPreview" TargetMode="External"/><Relationship Id="rId613" Type="http://schemas.openxmlformats.org/officeDocument/2006/relationships/hyperlink" Target="https://www.digikey.jp/product-detail/en/tdk-corporation/MLZ2012M100WT000/445-6396-1-ND/2465722" TargetMode="External"/><Relationship Id="rId1310" Type="http://schemas.openxmlformats.org/officeDocument/2006/relationships/hyperlink" Target="https://www.digikey.jp/product-detail/en/lattice-semiconductor-corporation/LC4256ZE-7TN144I/220-1030-ND/2641831" TargetMode="External"/><Relationship Id="rId4466" Type="http://schemas.openxmlformats.org/officeDocument/2006/relationships/hyperlink" Target="https://jp.rs-online.com/web/p/surface-mount-resistors/0430739/?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55454503536324A267365617263685F6B6579776F72645F6170703D524B37334231455454503536324A267365617263685F636F6E6669673D3126&amp;searchHistory=%7B%22enabled%22%3Atrue%7D" TargetMode="External"/><Relationship Id="rId4880" Type="http://schemas.openxmlformats.org/officeDocument/2006/relationships/hyperlink" Target="https://www.fujikin.co.jp/en/product/products/detail.php?product_id=1990&amp;category_id=84&amp;series_id=381" TargetMode="External"/><Relationship Id="rId3068" Type="http://schemas.openxmlformats.org/officeDocument/2006/relationships/hyperlink" Target="https://jp.misumi-ec.com/vona2/detail/221000551286/?PNSearch=CSH-SUS-M2-6&amp;HissuCode=CSH-SUS-M2-6&amp;searchFlow=suggest2products&amp;Keyword=CSH-SUS-M2-6" TargetMode="External"/><Relationship Id="rId3482" Type="http://schemas.openxmlformats.org/officeDocument/2006/relationships/hyperlink" Target="https://www.prosistelshop.com/en/pst2051d-propst2051e-combo-78.html?fbclid=IwAR1_UPwERSklF2Bk5C20DdNwuGV4hRYMiyoslR2IsJO9AKgX_lHUTCT69SM" TargetMode="External"/><Relationship Id="rId4119" Type="http://schemas.openxmlformats.org/officeDocument/2006/relationships/hyperlink" Target="https://www.monotaro.com/g/01214485/?t.q=C-306-5" TargetMode="External"/><Relationship Id="rId4533" Type="http://schemas.openxmlformats.org/officeDocument/2006/relationships/hyperlink" Target="https://www.mouser.jp/ProductDetail/Amphenol-RF/135101-02-M100?qs=0kFKDc1CZSm18SvrrdJJ0w%3D%3D" TargetMode="External"/><Relationship Id="rId2084" Type="http://schemas.openxmlformats.org/officeDocument/2006/relationships/hyperlink" Target="https://jp.misumi-ec.com/vona2/detail/110300239250/?HissuCode=SCB2-8&amp;PNSearch=SCB2-8&amp;KWSearch=SCB2-8&amp;searchFlow=results2products" TargetMode="External"/><Relationship Id="rId3135" Type="http://schemas.openxmlformats.org/officeDocument/2006/relationships/hyperlink" Target="https://www.digikey.jp/product-detail/en/yageo/RC0603FR-07270KL/311-270KHRCT-ND/730051" TargetMode="External"/><Relationship Id="rId4600" Type="http://schemas.openxmlformats.org/officeDocument/2006/relationships/hyperlink" Target="https://www.amazon.co.jp/-/en/Raspberry-Technical-Standards-MicroSD-USB-Type-C/dp/B08HQQ7KV7/ref=sr_1_10?keywords=raspberry+pi+4&amp;qid=1651451147&amp;sr=8-10" TargetMode="External"/><Relationship Id="rId470" Type="http://schemas.openxmlformats.org/officeDocument/2006/relationships/hyperlink" Target="https://www.amazon.co.jp/gp/product/B07232M876/ref=ox_sc_act_title_2?smid=AN1VRQENFRJN5&amp;psc=1" TargetMode="External"/><Relationship Id="rId2151" Type="http://schemas.openxmlformats.org/officeDocument/2006/relationships/hyperlink" Target="https://www.digikey.jp/products/en?keywords=Ss60300014" TargetMode="External"/><Relationship Id="rId3202" Type="http://schemas.openxmlformats.org/officeDocument/2006/relationships/hyperlink" Target="https://www.digikey.jp/product-detail/ja/jst-sales-america-inc/SEH-001T-P0-6/455-1042-1-ND/527266" TargetMode="External"/><Relationship Id="rId123" Type="http://schemas.openxmlformats.org/officeDocument/2006/relationships/hyperlink" Target="http://akizukidenshi.com/catalog/g/gM-13200/" TargetMode="External"/><Relationship Id="rId5374" Type="http://schemas.openxmlformats.org/officeDocument/2006/relationships/printerSettings" Target="../printerSettings/printerSettings1.bin"/><Relationship Id="rId2968" Type="http://schemas.openxmlformats.org/officeDocument/2006/relationships/hyperlink" Target="https://www.digikey.jp/product-detail/ja/fox-electronics/FT5HNBPK12.0-T1/631-1068-1-ND/1024773" TargetMode="External"/><Relationship Id="rId5027" Type="http://schemas.openxmlformats.org/officeDocument/2006/relationships/hyperlink" Target="https://www.mouser.com/ProductDetail/Infineon-IR/IRF9910TRPBF?qs=9%252BKlkBgLFf1xq9plAHfQiw%3D%3D" TargetMode="External"/><Relationship Id="rId1984" Type="http://schemas.openxmlformats.org/officeDocument/2006/relationships/hyperlink" Target="https://www.digikey.jp/product-detail/en/kemet/C0603C473J3RACTU/399-7929-1-ND/3471652" TargetMode="External"/><Relationship Id="rId4390" Type="http://schemas.openxmlformats.org/officeDocument/2006/relationships/hyperlink" Target="https://www.monotaro.com/g/00026428/?t.q=%83N%83%8A%81%5B%83%93%83%8B%81%5B%83%80%81%40%96X%8Eq" TargetMode="External"/><Relationship Id="rId1637" Type="http://schemas.openxmlformats.org/officeDocument/2006/relationships/hyperlink" Target="https://www.digikey.jp/product-detail/ja/aries-electronics/LCQT-SOIC8-8/A880AR-ND/4754588" TargetMode="External"/><Relationship Id="rId4043" Type="http://schemas.openxmlformats.org/officeDocument/2006/relationships/hyperlink" Target="https://jp.rs-online.com/web/p/surface-mount-fixed-resistors/6318212" TargetMode="External"/><Relationship Id="rId1704" Type="http://schemas.openxmlformats.org/officeDocument/2006/relationships/hyperlink" Target="https://jp.misumi-ec.com/vona2/detail/110300440240/" TargetMode="External"/><Relationship Id="rId4110" Type="http://schemas.openxmlformats.org/officeDocument/2006/relationships/hyperlink" Target="https://jp.misumi-ec.com/vona2/detail/221006493827/?ProductCode=SNSS-M2-4-SD" TargetMode="External"/><Relationship Id="rId797" Type="http://schemas.openxmlformats.org/officeDocument/2006/relationships/hyperlink" Target="https://jp.misumi-ec.com/vona2/detail/221006493827/?PNSearch=SNSS-M2-4-SD&amp;HissuCode=SNSS-M2-4-SD&amp;searchFlow=suggest2products&amp;Keyword=SNSS-M2-4-SD" TargetMode="External"/><Relationship Id="rId2478" Type="http://schemas.openxmlformats.org/officeDocument/2006/relationships/hyperlink" Target="https://www.digikey.jp/product-detail/ja/hirose-electric-co-ltd/U-FL-2LP-068N2-A-35/H125216-ND/3978492" TargetMode="External"/><Relationship Id="rId3876" Type="http://schemas.openxmlformats.org/officeDocument/2006/relationships/hyperlink" Target="https://www.mouser.jp/ProductDetail/ECS/ECS-160-9-33B-CKY-TR?qs=7MVldsJ5Uay8FRiBpnN1iw%3D%3D" TargetMode="External"/><Relationship Id="rId4927" Type="http://schemas.openxmlformats.org/officeDocument/2006/relationships/hyperlink" Target="https://www.digikey.jp/en/products/detail/molex/5013300300/1531500" TargetMode="External"/><Relationship Id="rId2892" Type="http://schemas.openxmlformats.org/officeDocument/2006/relationships/hyperlink" Target="https://jp.rs-online.com/web/p/pcb-sockets/7793068/?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133432D353044412D3244534128373129267365617263685F6B6579776F72645F6170703D4133432D353044412D324453413731267365617263685F636F6E6669673D3126&amp;searchHistory=%7B%22enabled%22%3Atrue%7D" TargetMode="External"/><Relationship Id="rId3529" Type="http://schemas.openxmlformats.org/officeDocument/2006/relationships/hyperlink" Target="https://www.mouser.com/ProductDetail/KEMET/C0805C105K8RACTU?qs=Nnkldhwoc37vJEa%2FkGSWlQ%3D%3D" TargetMode="External"/><Relationship Id="rId3943" Type="http://schemas.openxmlformats.org/officeDocument/2006/relationships/hyperlink" Target="https://www.edmundoptics.com/p/550nm-cwl-125mm-dia-hard-coated-od-4-10nm-bandpass-filter/19753/" TargetMode="External"/><Relationship Id="rId864" Type="http://schemas.openxmlformats.org/officeDocument/2006/relationships/hyperlink" Target="https://jp.rs-online.com/web/p/voltage-references/5237011/" TargetMode="External"/><Relationship Id="rId1494" Type="http://schemas.openxmlformats.org/officeDocument/2006/relationships/hyperlink" Target="https://www.digikey.jp/product-detail/ja/samtec-inc/TSW-150-07-G-S/SAM1029-50-ND/1101277" TargetMode="External"/><Relationship Id="rId2545" Type="http://schemas.openxmlformats.org/officeDocument/2006/relationships/hyperlink" Target="https://jp.misumi-ec.com/vona2/detail/110300498770/?HissuCode=PAAL4H-445-224-1.5-F415-G104-N6&amp;PNSearch=PAAL4H-445-224-1.5-F415-G104-N6&amp;KWSearch=PAAL4H-445-224-1.5-F415-G104-N6&amp;searchFlow=results2products" TargetMode="External"/><Relationship Id="rId517" Type="http://schemas.openxmlformats.org/officeDocument/2006/relationships/hyperlink" Target="https://www.p-ban.com/kiban/mft/csMft02CfmEst:exec.do" TargetMode="External"/><Relationship Id="rId931" Type="http://schemas.openxmlformats.org/officeDocument/2006/relationships/hyperlink" Target="http://akizukidenshi.com/catalog/g/gC-10117/" TargetMode="External"/><Relationship Id="rId1147" Type="http://schemas.openxmlformats.org/officeDocument/2006/relationships/hyperlink" Target="https://www.mouser.jp/manufacturer/crowd-supply/" TargetMode="External"/><Relationship Id="rId1561" Type="http://schemas.openxmlformats.org/officeDocument/2006/relationships/hyperlink" Target="https://www.digikey.jp/product-detail/en/diodes-incorporated/PAM2306AYPKE/PAM2306AYPKEDICT-ND/7794266?_ga=2.51402089.173113791.1579774486-670371556.1558338406" TargetMode="External"/><Relationship Id="rId2612" Type="http://schemas.openxmlformats.org/officeDocument/2006/relationships/hyperlink" Target="https://www.digikey.jp/product-detail/en/linx-technologies-inc/CONSMA001-SMD-G/CONSMA001-SMD-G-ND/4496569" TargetMode="External"/><Relationship Id="rId1214" Type="http://schemas.openxmlformats.org/officeDocument/2006/relationships/hyperlink" Target="https://www.digikey.jp/product-detail/ja/murata-electronics-north-america/GJM1555C1H4R7CB01D/490-3100-1-ND/702366" TargetMode="External"/><Relationship Id="rId4784" Type="http://schemas.openxmlformats.org/officeDocument/2006/relationships/hyperlink" Target="https://www.hamradio.com/detail.cfm?pid=H0-002775" TargetMode="External"/><Relationship Id="rId3386" Type="http://schemas.openxmlformats.org/officeDocument/2006/relationships/hyperlink" Target="https://www.digikey.jp/product-detail/ja/texas-instruments/OPA2170AIDR/296-30291-1-ND/3072334" TargetMode="External"/><Relationship Id="rId4437" Type="http://schemas.openxmlformats.org/officeDocument/2006/relationships/hyperlink" Target="https://jp.misumi-ec.com/vona2/detail/110302696950/?HissuCode=PKCA2FQ-50-50-9.1&amp;PNSearch=PKCA2FQ-50-50-9.1&amp;KWSearch=PKCA2FQ-50-50-9.1&amp;searchFlow=results2products&amp;list=PageSearchResult" TargetMode="External"/><Relationship Id="rId3039" Type="http://schemas.openxmlformats.org/officeDocument/2006/relationships/hyperlink" Target="https://www.digikey.jp/product-detail/en/kemet/CBR06C820F5GAC/399-16259-6-ND/7650123" TargetMode="External"/><Relationship Id="rId3453" Type="http://schemas.openxmlformats.org/officeDocument/2006/relationships/hyperlink" Target="https://www.askul.co.jp/p/X805355/" TargetMode="External"/><Relationship Id="rId4851" Type="http://schemas.openxmlformats.org/officeDocument/2006/relationships/hyperlink" Target="https://www.digikey.jp/en/products/detail/yageo/PE2512FKF7W0R05L/5914932" TargetMode="External"/><Relationship Id="rId374" Type="http://schemas.openxmlformats.org/officeDocument/2006/relationships/hyperlink" Target="https://www.digikey.jp/product-detail/en/susumu/RR1220P-4992-D-M/RR12P49.9KDCT-ND/433132" TargetMode="External"/><Relationship Id="rId2055" Type="http://schemas.openxmlformats.org/officeDocument/2006/relationships/hyperlink" Target="https://www.monotaro.com/g/02454980/?t.q=%83g%81%5B%83V%83%87%83%93%82%CE%82%CB%81%40%8D%B6%89E" TargetMode="External"/><Relationship Id="rId3106" Type="http://schemas.openxmlformats.org/officeDocument/2006/relationships/hyperlink" Target="https://jp.misumi-ec.com/vona2/detail/221000348314/?ProductCode=SNSS-M2X5-VA" TargetMode="External"/><Relationship Id="rId4504" Type="http://schemas.openxmlformats.org/officeDocument/2006/relationships/hyperlink" Target="https://www.amazon.co.jp/-/en/Temperature-Insulation-Sublimation-Protection-Mechanical/dp/B07LGWBLKW/ref=psdc_3237025051_t4_B07X7VDQ15?th=1" TargetMode="External"/><Relationship Id="rId3520" Type="http://schemas.openxmlformats.org/officeDocument/2006/relationships/hyperlink" Target="https://jp.rs-online.com/web/p/mlccs-multilayer-ceramic-capacitors/2107038/" TargetMode="External"/><Relationship Id="rId441" Type="http://schemas.openxmlformats.org/officeDocument/2006/relationships/hyperlink" Target="https://www.lensation.de/product/B5M8018C/" TargetMode="External"/><Relationship Id="rId1071" Type="http://schemas.openxmlformats.org/officeDocument/2006/relationships/hyperlink" Target="https://www.digikey.jp/product-detail/en/on-semiconductor/NRVB120VLSFT1G/NRVB120VLSFT1GOSCT-ND/8538727?cur=JPY&amp;lang=en" TargetMode="External"/><Relationship Id="rId2122" Type="http://schemas.openxmlformats.org/officeDocument/2006/relationships/hyperlink" Target="https://www.askul.co.jp/p/310952/" TargetMode="External"/><Relationship Id="rId5278" Type="http://schemas.openxmlformats.org/officeDocument/2006/relationships/hyperlink" Target="https://jp.rs-online.com/web/p/bipolar-transistors/2461738" TargetMode="External"/><Relationship Id="rId1888" Type="http://schemas.openxmlformats.org/officeDocument/2006/relationships/hyperlink" Target="https://www.digikey.jp/products/en?keywords=%09311-1796-1-ND" TargetMode="External"/><Relationship Id="rId2939" Type="http://schemas.openxmlformats.org/officeDocument/2006/relationships/hyperlink" Target="https://www.amazon.co.jp/-/en/HD-TPA1U3-B-Compatible-Portable-Domestic-Manufacturer/dp/B07SKSVB84/ref=sr_1_8?dchild=1&amp;keywords=%E3%83%9D%E3%83%BC%E3%82%BF%E3%83%96%E3%83%ABHDD&amp;qid=1609139934&amp;sr=8-8" TargetMode="External"/><Relationship Id="rId4294" Type="http://schemas.openxmlformats.org/officeDocument/2006/relationships/hyperlink" Target="https://jp.misumi-ec.com/vona2/detail/221303783818/?ProductCode=CSHELH-SUS-M3-4" TargetMode="External"/><Relationship Id="rId5345" Type="http://schemas.openxmlformats.org/officeDocument/2006/relationships/hyperlink" Target="https://www.monotaro.com/p/5085/2707/?t.q=PSR-210153" TargetMode="External"/><Relationship Id="rId4361" Type="http://schemas.openxmlformats.org/officeDocument/2006/relationships/hyperlink" Target="https://www.monotaro.com/g/00384239/" TargetMode="External"/><Relationship Id="rId1955" Type="http://schemas.openxmlformats.org/officeDocument/2006/relationships/hyperlink" Target="https://www.digikey.jp/product-detail/en/te-connectivity-amp-connectors/2337822-1/A145148CT-ND/10270262" TargetMode="External"/><Relationship Id="rId4014" Type="http://schemas.openxmlformats.org/officeDocument/2006/relationships/hyperlink" Target="https://jp.rs-online.com/web/p/mlccs-multilayer-ceramic-capacitors/9159221/" TargetMode="External"/><Relationship Id="rId1608" Type="http://schemas.openxmlformats.org/officeDocument/2006/relationships/hyperlink" Target="https://jp.misumi-ec.com/vona2/detail/221000546404/?HissuCode=CSPPNP1-SUS-M2-5&amp;PNSearch=CSPPNP1-SUS-M2-5&amp;KWSearch=CSPPNP1-SUS-M2-5&amp;searchFlow=results2products" TargetMode="External"/><Relationship Id="rId3030" Type="http://schemas.openxmlformats.org/officeDocument/2006/relationships/hyperlink" Target="https://www.digikey.jp/products/en?keywords=490-16433-1-ND" TargetMode="External"/><Relationship Id="rId2796" Type="http://schemas.openxmlformats.org/officeDocument/2006/relationships/hyperlink" Target="https://www.digikey.jp/product-detail/ja/pulse-electronics-network/PE-0805CM220KTT/1840-1127-1-ND/8120535" TargetMode="External"/><Relationship Id="rId3847" Type="http://schemas.openxmlformats.org/officeDocument/2006/relationships/hyperlink" Target="https://jp.misumi-ec.com/vona2/detail/221006204478/?PNSearch=C-319-5&amp;HissuCode=C-319-5&amp;searchFlow=suggest2products&amp;Keyword=C-319-5&amp;isReSearch=1" TargetMode="External"/><Relationship Id="rId768" Type="http://schemas.openxmlformats.org/officeDocument/2006/relationships/hyperlink" Target="https://www.digikey.jp/products/ja?keywords=SX1278IMLTRTCT-ND" TargetMode="External"/><Relationship Id="rId1398" Type="http://schemas.openxmlformats.org/officeDocument/2006/relationships/hyperlink" Target="http://digikey.jp/product-detail/en/panasonic-electronic-components/ERA-6AEB104V/P100KDACT-ND/1465995" TargetMode="External"/><Relationship Id="rId2449" Type="http://schemas.openxmlformats.org/officeDocument/2006/relationships/hyperlink" Target="https://www.monotaro.com/p/4900/2983/?t.q=%83y%83%8A%83J%83%93%201600" TargetMode="External"/><Relationship Id="rId2863" Type="http://schemas.openxmlformats.org/officeDocument/2006/relationships/hyperlink" Target="https://jp.misumi-ec.com/vona2/detail/221006202421/?HissuCode=ASU-303H" TargetMode="External"/><Relationship Id="rId3914" Type="http://schemas.openxmlformats.org/officeDocument/2006/relationships/hyperlink" Target="https://jp.misumi-ec.com/vona2/detail/221000550533/?ProductCode=HXN-SUS-M8-50" TargetMode="External"/><Relationship Id="rId835" Type="http://schemas.openxmlformats.org/officeDocument/2006/relationships/hyperlink" Target="https://www.p-ban.com/kiban/com/csComTop.do" TargetMode="External"/><Relationship Id="rId1465" Type="http://schemas.openxmlformats.org/officeDocument/2006/relationships/hyperlink" Target="https://www.digikey.jp/product-detail/en/comchip-technology/CDBQR0130L/641-1271-1-ND/1973550" TargetMode="External"/><Relationship Id="rId2516" Type="http://schemas.openxmlformats.org/officeDocument/2006/relationships/hyperlink" Target="https://jp.misumi-ec.com/vona2/detail/110302280540/?HissuCode=CBSTSR3-6&amp;PNSearch=CBSTSR3-6&amp;KWSearch=CBSTSR3-6&amp;searchFlow=results2products" TargetMode="External"/><Relationship Id="rId1118" Type="http://schemas.openxmlformats.org/officeDocument/2006/relationships/hyperlink" Target="http://hirosugi.co.jp/products/N/FSM-20.html" TargetMode="External"/><Relationship Id="rId1532" Type="http://schemas.openxmlformats.org/officeDocument/2006/relationships/hyperlink" Target="https://www.amazon.co.jp/3M-%E3%82%B9%E3%82%B3%E3%83%83%E3%83%81-%E3%83%81%E3%82%BF%E3%83%B3%E3%82%B3%E3%83%BC%E3%83%88-%E3%83%99%E3%82%BF%E3%81%A4%E3%81%8D%E9%98%B2%E6%AD%A2%E5%8A%A0%E5%B7%A5-%E6%9C%AC%E4%BD%93178mm/dp/B004MPFS3S/ref=sr_1_7?__mk_ja_JP=%E3%82%AB%E3%82%BF%E3%82%AB%E3%83%8A&amp;keywords=%E3%83%8F%E3%82%B5%E3%83%9F&amp;qid=1579226847&amp;sr=8-7" TargetMode="External"/><Relationship Id="rId2930" Type="http://schemas.openxmlformats.org/officeDocument/2006/relationships/hyperlink" Target="https://jp.misumi-ec.com/vona2/detail/110300258940/?CategorySpec=00000217156%3a%3amig00000002477238" TargetMode="External"/><Relationship Id="rId4688" Type="http://schemas.openxmlformats.org/officeDocument/2006/relationships/hyperlink" Target="https://www.mouser.jp/ProductDetail/Texas-Instruments/LM2904LVQDGKRQ1?qs=sGAEpiMZZMv0NwlthflBi%252BLdEViitgumyGmSpWmdlAc%3D" TargetMode="External"/><Relationship Id="rId902" Type="http://schemas.openxmlformats.org/officeDocument/2006/relationships/hyperlink" Target="https://jp.rs-online.com/web/p/dc-power-sockets/7051516/" TargetMode="External"/><Relationship Id="rId4755" Type="http://schemas.openxmlformats.org/officeDocument/2006/relationships/hyperlink" Target="https://jp.misumi-ec.com/vona2/detail/110303057720/?HissuCode=APEA2-P3.8-L%5b3-16%2f1%5d-B2-R2&amp;PNSearch=APEA2-P3.8-L%5b3-16%2f1%5d-B2-R2&amp;KWSearch=APEA2-P3.8-%20L5-B2-R2&amp;searchFlow=results2products&amp;list=PageSearchResult" TargetMode="External"/><Relationship Id="rId278" Type="http://schemas.openxmlformats.org/officeDocument/2006/relationships/hyperlink" Target="https://www.digikey.jp/product-detail/ja/cts-resistor-products/73L3R10J/73L3R10JCT-ND/1543529" TargetMode="External"/><Relationship Id="rId3357" Type="http://schemas.openxmlformats.org/officeDocument/2006/relationships/hyperlink" Target="https://www.marutsu.co.jp/pc/i/594183/" TargetMode="External"/><Relationship Id="rId3771" Type="http://schemas.openxmlformats.org/officeDocument/2006/relationships/hyperlink" Target="https://www.digikey.jp/product-detail/en/102-1092-BL-00200/1175-1129-ND/3064860?itemSeq=373418021" TargetMode="External"/><Relationship Id="rId4408" Type="http://schemas.openxmlformats.org/officeDocument/2006/relationships/hyperlink" Target="https://www.amazon.com/Arduino-A000066-ARDUINO-UNO-R3/dp/B008GRTSV6/ref=sr_1_3?crid=3FW9E0GMK2M57&amp;keywords=arduino+board&amp;qid=1643003972&amp;sprefix=arduino+board%2Caps%2C347&amp;sr=8-3" TargetMode="External"/><Relationship Id="rId4822" Type="http://schemas.openxmlformats.org/officeDocument/2006/relationships/hyperlink" Target="https://www.digikey.jp/ja/products/detail/dfrobot/DFR0379/7087190?utm_adgroup=IoT&amp;utm_source=google&amp;utm_medium=cpc&amp;utm_campaign=Smart%20Shopping_Product_IoT&amp;utm_term=&amp;productid=7087190&amp;gclid=CjwKCAjw47eFBhA9EiwAy8kzNIk2umIp_TINebcQqJ240KrdLaZcsZPoBZpaKord2yVKcSjVZMpelhoCHTEQAvD_Bw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outlinePr summaryBelow="0" summaryRight="0"/>
    <pageSetUpPr fitToPage="1"/>
  </sheetPr>
  <dimension ref="A1:AZ6369"/>
  <sheetViews>
    <sheetView showGridLines="0" tabSelected="1" zoomScaleNormal="100" workbookViewId="0">
      <pane xSplit="3" ySplit="9" topLeftCell="D121" activePane="bottomRight" state="frozen"/>
      <selection pane="bottomRight" activeCell="C4533" sqref="C4533"/>
      <selection pane="bottomLeft" activeCell="C1" sqref="C1"/>
      <selection pane="topRight"/>
    </sheetView>
  </sheetViews>
  <sheetFormatPr defaultColWidth="14.42578125" defaultRowHeight="15.75" customHeight="1" outlineLevelRow="1"/>
  <cols>
    <col min="1" max="1" width="9.42578125" customWidth="1"/>
    <col min="2" max="2" width="11.140625" style="1005" customWidth="1"/>
    <col min="3" max="3" width="44.140625" style="1005" customWidth="1"/>
    <col min="4" max="4" width="11.85546875" customWidth="1"/>
    <col min="5" max="5" width="14.140625" customWidth="1"/>
    <col min="6" max="6" width="22.5703125" style="1005" customWidth="1"/>
    <col min="7" max="7" width="84.5703125" customWidth="1"/>
    <col min="8" max="8" width="25.5703125" customWidth="1"/>
    <col min="9" max="9" width="27.140625" style="458" customWidth="1"/>
    <col min="10" max="10" width="30.5703125" style="458" customWidth="1"/>
    <col min="11" max="11" width="27.42578125" customWidth="1"/>
    <col min="12" max="12" width="22.42578125" style="458" customWidth="1"/>
    <col min="13" max="13" width="21.5703125" style="458" customWidth="1"/>
    <col min="14" max="14" width="19" style="458" customWidth="1"/>
    <col min="15" max="15" width="21.5703125" style="458" customWidth="1"/>
    <col min="16" max="16" width="18.42578125" style="458" customWidth="1"/>
    <col min="17" max="17" width="22.140625" style="458" customWidth="1"/>
    <col min="18" max="18" width="22" style="1196" customWidth="1"/>
    <col min="19" max="19" width="26.42578125" style="1196" customWidth="1"/>
    <col min="20" max="20" width="29.5703125" style="458" customWidth="1"/>
    <col min="21" max="21" width="30" style="1121" customWidth="1"/>
    <col min="22" max="22" width="21" style="222" customWidth="1"/>
    <col min="23" max="23" width="45.42578125" style="1161" customWidth="1"/>
    <col min="24" max="24" width="24.42578125" customWidth="1"/>
    <col min="25" max="26" width="31" customWidth="1"/>
  </cols>
  <sheetData>
    <row r="1" spans="1:26" ht="18.75" hidden="1" customHeight="1">
      <c r="A1" s="2"/>
      <c r="B1" s="2"/>
      <c r="C1" s="2"/>
      <c r="D1" s="2"/>
      <c r="E1" s="2"/>
      <c r="F1" s="2"/>
      <c r="G1" s="3"/>
      <c r="H1" s="2"/>
      <c r="I1" s="2"/>
      <c r="J1" s="2"/>
      <c r="K1" s="2"/>
      <c r="L1" s="2"/>
      <c r="M1" s="2"/>
      <c r="N1" s="2"/>
      <c r="O1" s="2"/>
      <c r="P1" s="2"/>
      <c r="Q1" s="2"/>
      <c r="R1" s="1197"/>
      <c r="S1" s="1197"/>
      <c r="T1" s="2"/>
      <c r="U1" s="1851"/>
      <c r="V1" s="22"/>
      <c r="W1" s="2002"/>
      <c r="X1" s="4"/>
      <c r="Y1" s="4"/>
      <c r="Z1" s="4"/>
    </row>
    <row r="2" spans="1:26" ht="6.75" customHeight="1">
      <c r="A2" s="2"/>
      <c r="B2" s="2"/>
      <c r="C2" s="2"/>
      <c r="D2" s="2"/>
      <c r="E2" s="2"/>
      <c r="F2" s="2"/>
      <c r="G2" s="3"/>
      <c r="H2" s="2"/>
      <c r="I2" s="2"/>
      <c r="J2" s="2"/>
      <c r="K2" s="2"/>
      <c r="L2" s="2"/>
      <c r="M2" s="1530" t="s">
        <v>0</v>
      </c>
      <c r="N2" s="2"/>
      <c r="O2" s="2"/>
      <c r="P2" s="2"/>
      <c r="Q2" s="2"/>
      <c r="R2" s="1197"/>
      <c r="S2" s="1197"/>
      <c r="T2" s="2"/>
      <c r="U2" s="1851"/>
      <c r="V2" s="22"/>
      <c r="W2" s="2002"/>
      <c r="X2" s="4"/>
      <c r="Y2" s="4"/>
      <c r="Z2" s="4"/>
    </row>
    <row r="3" spans="1:26" ht="4.5" customHeight="1">
      <c r="A3" s="2"/>
      <c r="B3" s="2"/>
      <c r="C3" s="1195">
        <v>768</v>
      </c>
      <c r="D3" s="2"/>
      <c r="E3" s="2"/>
      <c r="F3" s="2"/>
      <c r="G3" s="3"/>
      <c r="H3" s="2"/>
      <c r="I3" s="2"/>
      <c r="J3" s="2"/>
      <c r="K3" s="2"/>
      <c r="L3" s="2"/>
      <c r="M3" s="2"/>
      <c r="N3" s="2"/>
      <c r="O3" s="2"/>
      <c r="P3" s="2"/>
      <c r="Q3" s="2"/>
      <c r="R3" s="1197"/>
      <c r="S3" s="1197"/>
      <c r="T3" s="2"/>
      <c r="U3" s="1851"/>
      <c r="V3" s="22"/>
      <c r="W3" s="2002"/>
      <c r="X3" s="4"/>
      <c r="Y3" s="4"/>
      <c r="Z3" s="4"/>
    </row>
    <row r="4" spans="1:26" ht="2.25" customHeight="1">
      <c r="A4" s="2" t="s">
        <v>1</v>
      </c>
      <c r="B4" s="2"/>
      <c r="C4" s="2"/>
      <c r="D4" s="2"/>
      <c r="E4" s="1530"/>
      <c r="F4" s="2"/>
      <c r="G4" s="3"/>
      <c r="H4" s="2"/>
      <c r="I4" s="2"/>
      <c r="J4" s="2"/>
      <c r="K4" s="2"/>
      <c r="L4" s="2"/>
      <c r="M4" s="2"/>
      <c r="N4" s="2"/>
      <c r="O4" s="2"/>
      <c r="P4" s="2"/>
      <c r="Q4" s="2"/>
      <c r="R4" s="1197"/>
      <c r="S4" s="1197"/>
      <c r="T4" s="2"/>
      <c r="U4" s="1851"/>
      <c r="V4" s="22"/>
      <c r="W4" s="2002"/>
      <c r="X4" s="4"/>
      <c r="Y4" s="4"/>
      <c r="Z4" s="4"/>
    </row>
    <row r="5" spans="1:26" ht="28.5" customHeight="1">
      <c r="B5" s="5"/>
      <c r="C5" s="2" t="s">
        <v>2</v>
      </c>
      <c r="D5" s="2"/>
      <c r="E5" s="2"/>
      <c r="F5" s="6"/>
      <c r="G5" s="3" t="s">
        <v>3</v>
      </c>
      <c r="H5" s="2"/>
      <c r="I5" s="7"/>
      <c r="J5" s="2" t="s">
        <v>4</v>
      </c>
      <c r="K5" s="2"/>
      <c r="L5" s="2"/>
      <c r="M5" s="2"/>
      <c r="N5" s="2"/>
      <c r="O5" s="2"/>
      <c r="P5" s="2"/>
      <c r="Q5" s="2"/>
      <c r="R5" s="1197"/>
      <c r="S5" s="1197"/>
      <c r="T5" s="2"/>
      <c r="U5" s="1851" t="s">
        <v>5</v>
      </c>
      <c r="V5" s="22"/>
      <c r="W5" s="2002"/>
      <c r="X5" s="4"/>
      <c r="Y5" s="4"/>
      <c r="Z5" s="4"/>
    </row>
    <row r="6" spans="1:26" ht="18.75" customHeight="1">
      <c r="A6" s="2"/>
      <c r="B6" s="2"/>
      <c r="C6" s="2"/>
      <c r="D6" s="2"/>
      <c r="E6" s="2"/>
      <c r="F6" s="2"/>
      <c r="G6" s="3"/>
      <c r="H6" s="2"/>
      <c r="I6" s="2"/>
      <c r="J6" s="2"/>
      <c r="K6" s="2"/>
      <c r="L6" s="2"/>
      <c r="M6" s="2"/>
      <c r="N6" s="2"/>
      <c r="O6" s="2"/>
      <c r="P6" s="2"/>
      <c r="Q6" s="2"/>
      <c r="R6" s="1197"/>
      <c r="S6" s="1197"/>
      <c r="T6" s="2"/>
      <c r="U6" s="1851"/>
      <c r="V6" s="22"/>
      <c r="W6" s="2002"/>
      <c r="X6" s="4"/>
      <c r="Y6" s="4"/>
      <c r="Z6" s="4"/>
    </row>
    <row r="7" spans="1:26" ht="44.25" customHeight="1">
      <c r="A7" s="2"/>
      <c r="B7" s="8" t="s">
        <v>6</v>
      </c>
      <c r="C7" s="2" t="s">
        <v>7</v>
      </c>
      <c r="D7" s="2"/>
      <c r="E7" s="9"/>
      <c r="F7" s="10"/>
      <c r="G7" s="3" t="s">
        <v>8</v>
      </c>
      <c r="H7" s="2"/>
      <c r="I7" s="11" t="s">
        <v>6</v>
      </c>
      <c r="J7" s="2" t="s">
        <v>9</v>
      </c>
      <c r="K7" s="2"/>
      <c r="L7" s="2"/>
      <c r="M7" s="2"/>
      <c r="N7" s="2"/>
      <c r="O7" s="2"/>
      <c r="P7" s="2"/>
      <c r="Q7" s="2"/>
      <c r="R7" s="1197"/>
      <c r="S7" s="1197"/>
      <c r="T7" s="2"/>
      <c r="U7" s="1851"/>
      <c r="V7" s="22"/>
      <c r="W7" s="2002"/>
      <c r="X7" s="4"/>
      <c r="Y7" s="4"/>
      <c r="Z7" s="4"/>
    </row>
    <row r="8" spans="1:26" ht="32.25" customHeight="1">
      <c r="A8" s="2"/>
      <c r="B8" s="2"/>
      <c r="C8" s="2"/>
      <c r="D8" s="2"/>
      <c r="E8" s="2"/>
      <c r="F8" s="2"/>
      <c r="G8" s="3"/>
      <c r="H8" s="2"/>
      <c r="I8" s="2"/>
      <c r="J8" s="2"/>
      <c r="K8" s="2"/>
      <c r="L8" s="2"/>
      <c r="M8" s="2"/>
      <c r="N8" s="2"/>
      <c r="O8" s="2"/>
      <c r="P8" s="2"/>
      <c r="Q8" s="2"/>
      <c r="R8" s="1197"/>
      <c r="S8" s="1197"/>
      <c r="T8" s="2"/>
      <c r="U8" s="1851"/>
      <c r="V8" s="22"/>
      <c r="W8" s="2002"/>
      <c r="X8" s="4"/>
      <c r="Y8" s="4"/>
      <c r="Z8" s="4"/>
    </row>
    <row r="9" spans="1:26" ht="38.25" customHeight="1">
      <c r="A9" s="12" t="s">
        <v>10</v>
      </c>
      <c r="B9" s="12" t="s">
        <v>11</v>
      </c>
      <c r="C9" s="12" t="s">
        <v>12</v>
      </c>
      <c r="D9" s="12" t="s">
        <v>13</v>
      </c>
      <c r="E9" s="12" t="s">
        <v>14</v>
      </c>
      <c r="F9" s="12" t="s">
        <v>15</v>
      </c>
      <c r="G9" s="13" t="s">
        <v>16</v>
      </c>
      <c r="H9" s="12" t="s">
        <v>17</v>
      </c>
      <c r="I9" s="12" t="s">
        <v>18</v>
      </c>
      <c r="J9" s="12" t="s">
        <v>19</v>
      </c>
      <c r="K9" s="12" t="s">
        <v>20</v>
      </c>
      <c r="L9" s="12" t="s">
        <v>21</v>
      </c>
      <c r="M9" s="12" t="s">
        <v>22</v>
      </c>
      <c r="N9" s="12" t="s">
        <v>23</v>
      </c>
      <c r="O9" s="12" t="s">
        <v>24</v>
      </c>
      <c r="P9" s="12" t="s">
        <v>25</v>
      </c>
      <c r="Q9" s="12" t="s">
        <v>26</v>
      </c>
      <c r="R9" s="1198" t="s">
        <v>27</v>
      </c>
      <c r="S9" s="1198" t="s">
        <v>28</v>
      </c>
      <c r="T9" s="12" t="s">
        <v>29</v>
      </c>
      <c r="U9" s="1852" t="s">
        <v>30</v>
      </c>
      <c r="V9" s="12" t="s">
        <v>31</v>
      </c>
      <c r="W9" s="2003" t="s">
        <v>32</v>
      </c>
      <c r="X9" s="14" t="s">
        <v>33</v>
      </c>
      <c r="Y9" s="15"/>
      <c r="Z9" s="15"/>
    </row>
    <row r="10" spans="1:26" ht="153.94999999999999" hidden="1">
      <c r="A10" s="7" t="s">
        <v>34</v>
      </c>
      <c r="B10" s="16">
        <v>44638</v>
      </c>
      <c r="C10" s="6" t="s">
        <v>35</v>
      </c>
      <c r="D10" s="8"/>
      <c r="E10" s="7" t="s">
        <v>36</v>
      </c>
      <c r="F10" s="7"/>
      <c r="G10" s="17" t="s">
        <v>37</v>
      </c>
      <c r="H10" s="7" t="s">
        <v>38</v>
      </c>
      <c r="I10" s="7" t="s">
        <v>39</v>
      </c>
      <c r="J10" s="7" t="s">
        <v>40</v>
      </c>
      <c r="K10" s="7" t="s">
        <v>41</v>
      </c>
      <c r="L10" s="7" t="s">
        <v>42</v>
      </c>
      <c r="M10" s="7">
        <v>7</v>
      </c>
      <c r="N10" s="7">
        <v>5</v>
      </c>
      <c r="O10" s="7">
        <v>10</v>
      </c>
      <c r="P10" s="7">
        <v>1</v>
      </c>
      <c r="Q10" s="7">
        <v>4</v>
      </c>
      <c r="R10" s="1199">
        <v>1824.4</v>
      </c>
      <c r="S10" s="1199">
        <v>3649</v>
      </c>
      <c r="T10" s="7" t="s">
        <v>43</v>
      </c>
      <c r="U10" s="1853" t="s">
        <v>44</v>
      </c>
      <c r="V10" s="7" t="s">
        <v>45</v>
      </c>
      <c r="W10" s="2004" t="s">
        <v>46</v>
      </c>
      <c r="X10" s="18"/>
      <c r="Y10" s="4"/>
      <c r="Z10" s="4"/>
    </row>
    <row r="11" spans="1:26" ht="42" hidden="1">
      <c r="A11" s="7" t="s">
        <v>47</v>
      </c>
      <c r="B11" s="19">
        <v>37181</v>
      </c>
      <c r="C11" s="5" t="s">
        <v>48</v>
      </c>
      <c r="D11" s="10"/>
      <c r="E11" s="7" t="s">
        <v>49</v>
      </c>
      <c r="F11" s="7" t="s">
        <v>50</v>
      </c>
      <c r="G11" s="17" t="s">
        <v>51</v>
      </c>
      <c r="H11" s="7" t="s">
        <v>52</v>
      </c>
      <c r="I11" s="7" t="s">
        <v>53</v>
      </c>
      <c r="J11" s="7" t="s">
        <v>54</v>
      </c>
      <c r="K11" s="7" t="s">
        <v>55</v>
      </c>
      <c r="L11" s="7" t="s">
        <v>56</v>
      </c>
      <c r="M11" s="7">
        <v>12</v>
      </c>
      <c r="N11" s="7">
        <v>1</v>
      </c>
      <c r="O11" s="7">
        <v>7</v>
      </c>
      <c r="P11" s="7">
        <v>5</v>
      </c>
      <c r="Q11" s="7">
        <v>0</v>
      </c>
      <c r="R11" s="1199">
        <v>17</v>
      </c>
      <c r="S11" s="1199">
        <v>119</v>
      </c>
      <c r="T11" s="7" t="s">
        <v>57</v>
      </c>
      <c r="U11" s="1853" t="s">
        <v>58</v>
      </c>
      <c r="V11" s="7" t="s">
        <v>59</v>
      </c>
      <c r="W11" s="2004" t="s">
        <v>60</v>
      </c>
      <c r="X11" s="18"/>
      <c r="Y11" s="4"/>
      <c r="Z11" s="4"/>
    </row>
    <row r="12" spans="1:26" ht="140.1" hidden="1">
      <c r="A12" s="20">
        <v>19</v>
      </c>
      <c r="B12" s="19">
        <v>47104</v>
      </c>
      <c r="C12" s="5" t="s">
        <v>61</v>
      </c>
      <c r="D12" s="11"/>
      <c r="E12" s="7" t="s">
        <v>62</v>
      </c>
      <c r="F12" s="7" t="s">
        <v>50</v>
      </c>
      <c r="G12" s="17" t="s">
        <v>63</v>
      </c>
      <c r="H12" s="7" t="s">
        <v>64</v>
      </c>
      <c r="I12" s="7" t="s">
        <v>39</v>
      </c>
      <c r="J12" s="7" t="s">
        <v>65</v>
      </c>
      <c r="K12" s="7" t="s">
        <v>66</v>
      </c>
      <c r="L12" s="7" t="s">
        <v>67</v>
      </c>
      <c r="M12" s="7">
        <v>3</v>
      </c>
      <c r="N12" s="7">
        <v>5</v>
      </c>
      <c r="O12" s="7">
        <v>5</v>
      </c>
      <c r="P12" s="7">
        <v>2</v>
      </c>
      <c r="Q12" s="7">
        <v>4</v>
      </c>
      <c r="R12" s="1199" t="s">
        <v>1</v>
      </c>
      <c r="S12" s="1199" t="s">
        <v>1</v>
      </c>
      <c r="T12" s="7" t="s">
        <v>68</v>
      </c>
      <c r="U12" s="1853" t="s">
        <v>1</v>
      </c>
      <c r="V12" s="7" t="s">
        <v>69</v>
      </c>
      <c r="W12" s="2004" t="s">
        <v>70</v>
      </c>
      <c r="X12" s="18"/>
      <c r="Y12" s="4"/>
      <c r="Z12" s="4"/>
    </row>
    <row r="13" spans="1:26" ht="14.1" hidden="1">
      <c r="A13" s="20">
        <v>20</v>
      </c>
      <c r="B13" s="7"/>
      <c r="C13" s="7"/>
      <c r="D13" s="11"/>
      <c r="E13" s="7"/>
      <c r="F13" s="7"/>
      <c r="G13" s="17"/>
      <c r="H13" s="7"/>
      <c r="I13" s="7"/>
      <c r="J13" s="7"/>
      <c r="K13" s="7"/>
      <c r="L13" s="7"/>
      <c r="M13" s="7"/>
      <c r="N13" s="7"/>
      <c r="O13" s="7"/>
      <c r="P13" s="7"/>
      <c r="Q13" s="7"/>
      <c r="R13" s="1199"/>
      <c r="S13" s="1199"/>
      <c r="T13" s="7"/>
      <c r="U13" s="1853"/>
      <c r="V13" s="7"/>
      <c r="W13" s="2005"/>
      <c r="X13" s="18"/>
      <c r="Y13" s="4"/>
      <c r="Z13" s="4"/>
    </row>
    <row r="14" spans="1:26" ht="14.1" hidden="1">
      <c r="A14" s="20">
        <v>21</v>
      </c>
      <c r="B14" s="7"/>
      <c r="C14" s="7"/>
      <c r="D14" s="11"/>
      <c r="E14" s="7"/>
      <c r="F14" s="7"/>
      <c r="G14" s="7"/>
      <c r="H14" s="7"/>
      <c r="I14" s="7"/>
      <c r="J14" s="7"/>
      <c r="K14" s="7"/>
      <c r="L14" s="7"/>
      <c r="M14" s="7"/>
      <c r="N14" s="7"/>
      <c r="O14" s="7"/>
      <c r="P14" s="7"/>
      <c r="Q14" s="7"/>
      <c r="R14" s="1200" t="s">
        <v>71</v>
      </c>
      <c r="S14" s="1200">
        <v>3768</v>
      </c>
      <c r="T14" s="7"/>
      <c r="U14" s="1853"/>
      <c r="V14" s="7"/>
      <c r="W14" s="2005"/>
      <c r="X14" s="18"/>
      <c r="Y14" s="4"/>
      <c r="Z14" s="4"/>
    </row>
    <row r="15" spans="1:26" ht="14.1" hidden="1">
      <c r="A15" s="20">
        <v>22</v>
      </c>
      <c r="B15" s="21">
        <v>43292</v>
      </c>
      <c r="C15" s="22" t="s">
        <v>72</v>
      </c>
      <c r="D15" s="11"/>
      <c r="E15" s="23" t="s">
        <v>62</v>
      </c>
      <c r="F15" s="22" t="s">
        <v>73</v>
      </c>
      <c r="G15" s="22" t="s">
        <v>74</v>
      </c>
      <c r="H15" s="22" t="s">
        <v>75</v>
      </c>
      <c r="I15" s="22" t="s">
        <v>76</v>
      </c>
      <c r="J15" s="22">
        <v>1854654</v>
      </c>
      <c r="K15" s="18">
        <v>4904746430281</v>
      </c>
      <c r="L15" s="22"/>
      <c r="M15" s="22">
        <v>4</v>
      </c>
      <c r="N15" s="22">
        <v>4</v>
      </c>
      <c r="O15" s="22">
        <v>4</v>
      </c>
      <c r="P15" s="22">
        <v>4</v>
      </c>
      <c r="Q15" s="22">
        <v>8</v>
      </c>
      <c r="R15" s="1201">
        <v>9417</v>
      </c>
      <c r="S15" s="1201">
        <v>9417</v>
      </c>
      <c r="T15" s="22" t="s">
        <v>77</v>
      </c>
      <c r="U15" s="1854" t="s">
        <v>73</v>
      </c>
      <c r="V15" s="22" t="s">
        <v>78</v>
      </c>
      <c r="W15" s="2006" t="s">
        <v>79</v>
      </c>
      <c r="X15" s="18"/>
      <c r="Y15" s="4"/>
      <c r="Z15" s="4"/>
    </row>
    <row r="16" spans="1:26" ht="14.1" hidden="1">
      <c r="A16" s="20">
        <v>23</v>
      </c>
      <c r="B16" s="24">
        <v>43308</v>
      </c>
      <c r="C16" s="22" t="s">
        <v>80</v>
      </c>
      <c r="D16" s="11"/>
      <c r="E16" s="22" t="s">
        <v>81</v>
      </c>
      <c r="F16" s="22" t="s">
        <v>82</v>
      </c>
      <c r="G16" s="22" t="s">
        <v>74</v>
      </c>
      <c r="H16" s="22" t="s">
        <v>83</v>
      </c>
      <c r="I16" s="22" t="s">
        <v>84</v>
      </c>
      <c r="J16" s="22">
        <v>6555437</v>
      </c>
      <c r="K16" s="18" t="s">
        <v>85</v>
      </c>
      <c r="L16" s="22"/>
      <c r="M16" s="22">
        <v>3</v>
      </c>
      <c r="N16" s="22">
        <v>1</v>
      </c>
      <c r="O16" s="22">
        <v>3</v>
      </c>
      <c r="P16" s="22">
        <v>0</v>
      </c>
      <c r="Q16" s="22">
        <v>3</v>
      </c>
      <c r="R16" s="1201">
        <v>1390</v>
      </c>
      <c r="S16" s="1201">
        <f t="shared" ref="S16:S17" si="0">R16*O16</f>
        <v>4170</v>
      </c>
      <c r="T16" s="22" t="s">
        <v>86</v>
      </c>
      <c r="U16" s="1854" t="s">
        <v>87</v>
      </c>
      <c r="V16" s="22" t="s">
        <v>88</v>
      </c>
      <c r="W16" s="2006" t="s">
        <v>89</v>
      </c>
      <c r="X16" s="18"/>
      <c r="Y16" s="4"/>
      <c r="Z16" s="4"/>
    </row>
    <row r="17" spans="1:26" ht="14.1" hidden="1">
      <c r="A17" s="20">
        <v>24</v>
      </c>
      <c r="B17" s="2333">
        <v>43308</v>
      </c>
      <c r="C17" s="2342" t="s">
        <v>90</v>
      </c>
      <c r="D17" s="11"/>
      <c r="E17" s="2333" t="s">
        <v>81</v>
      </c>
      <c r="F17" s="2333" t="s">
        <v>82</v>
      </c>
      <c r="G17" s="2333" t="s">
        <v>91</v>
      </c>
      <c r="H17" s="2333" t="s">
        <v>83</v>
      </c>
      <c r="I17" s="2333" t="s">
        <v>84</v>
      </c>
      <c r="J17" s="2333">
        <v>55574618</v>
      </c>
      <c r="K17" s="2333" t="s">
        <v>92</v>
      </c>
      <c r="L17" s="2333"/>
      <c r="M17" s="2342">
        <v>2</v>
      </c>
      <c r="N17" s="2342">
        <v>1</v>
      </c>
      <c r="O17" s="2342">
        <v>2</v>
      </c>
      <c r="P17" s="2342">
        <v>0</v>
      </c>
      <c r="Q17" s="2342">
        <v>2</v>
      </c>
      <c r="R17" s="1201">
        <v>4990</v>
      </c>
      <c r="S17" s="1201">
        <f t="shared" si="0"/>
        <v>9980</v>
      </c>
      <c r="T17" s="2333" t="s">
        <v>86</v>
      </c>
      <c r="U17" s="2335" t="s">
        <v>93</v>
      </c>
      <c r="V17" s="2337" t="s">
        <v>94</v>
      </c>
      <c r="W17" s="2339" t="s">
        <v>95</v>
      </c>
      <c r="X17" s="18"/>
      <c r="Y17" s="4"/>
      <c r="Z17" s="4"/>
    </row>
    <row r="18" spans="1:26" ht="25.5" hidden="1" customHeight="1">
      <c r="A18" s="20">
        <v>25</v>
      </c>
      <c r="B18" s="2343"/>
      <c r="C18" s="2343"/>
      <c r="D18" s="11"/>
      <c r="E18" s="2345"/>
      <c r="F18" s="2343"/>
      <c r="G18" s="2345"/>
      <c r="H18" s="2345"/>
      <c r="I18" s="2334"/>
      <c r="J18" s="2334"/>
      <c r="K18" s="2345"/>
      <c r="L18" s="2334"/>
      <c r="M18" s="2334"/>
      <c r="N18" s="2334"/>
      <c r="O18" s="2334"/>
      <c r="P18" s="2334"/>
      <c r="Q18" s="2334"/>
      <c r="R18" s="1202" t="s">
        <v>71</v>
      </c>
      <c r="S18" s="1202">
        <f>SUM(S16:S17)</f>
        <v>14150</v>
      </c>
      <c r="T18" s="2334"/>
      <c r="U18" s="2336"/>
      <c r="V18" s="2338"/>
      <c r="W18" s="2346"/>
      <c r="X18" s="18"/>
      <c r="Y18" s="4"/>
      <c r="Z18" s="4"/>
    </row>
    <row r="19" spans="1:26" ht="14.1" hidden="1">
      <c r="A19" s="20">
        <v>26</v>
      </c>
      <c r="B19" s="25">
        <v>43311</v>
      </c>
      <c r="C19" s="22" t="s">
        <v>96</v>
      </c>
      <c r="D19" s="11"/>
      <c r="E19" s="23" t="s">
        <v>62</v>
      </c>
      <c r="F19" s="22" t="s">
        <v>73</v>
      </c>
      <c r="G19" s="22"/>
      <c r="H19" s="26"/>
      <c r="I19" s="22" t="s">
        <v>97</v>
      </c>
      <c r="J19" s="22"/>
      <c r="K19" s="22"/>
      <c r="L19" s="22"/>
      <c r="M19" s="22"/>
      <c r="N19" s="22"/>
      <c r="O19" s="22"/>
      <c r="P19" s="22"/>
      <c r="Q19" s="22">
        <v>0</v>
      </c>
      <c r="R19" s="1201">
        <v>38124</v>
      </c>
      <c r="S19" s="1201">
        <v>38124</v>
      </c>
      <c r="T19" s="22" t="s">
        <v>77</v>
      </c>
      <c r="U19" s="1854" t="s">
        <v>73</v>
      </c>
      <c r="V19" s="22" t="s">
        <v>78</v>
      </c>
      <c r="W19" s="2007"/>
      <c r="X19" s="18"/>
      <c r="Y19" s="4"/>
      <c r="Z19" s="4"/>
    </row>
    <row r="20" spans="1:26" ht="42" hidden="1">
      <c r="A20" s="20">
        <v>27</v>
      </c>
      <c r="B20" s="25">
        <v>43318</v>
      </c>
      <c r="C20" s="22" t="s">
        <v>98</v>
      </c>
      <c r="D20" s="11"/>
      <c r="E20" s="22" t="s">
        <v>81</v>
      </c>
      <c r="F20" s="22" t="s">
        <v>99</v>
      </c>
      <c r="G20" s="22" t="s">
        <v>100</v>
      </c>
      <c r="H20" s="22" t="s">
        <v>101</v>
      </c>
      <c r="I20" s="22" t="s">
        <v>102</v>
      </c>
      <c r="J20" s="22" t="s">
        <v>103</v>
      </c>
      <c r="K20" s="22"/>
      <c r="L20" s="22"/>
      <c r="M20" s="22">
        <v>50</v>
      </c>
      <c r="N20" s="22">
        <v>200</v>
      </c>
      <c r="O20" s="22">
        <v>200</v>
      </c>
      <c r="P20" s="22">
        <v>0</v>
      </c>
      <c r="Q20" s="22">
        <v>0</v>
      </c>
      <c r="R20" s="1201">
        <v>3105</v>
      </c>
      <c r="S20" s="1201">
        <v>3105</v>
      </c>
      <c r="T20" s="22" t="s">
        <v>87</v>
      </c>
      <c r="U20" s="1854" t="s">
        <v>99</v>
      </c>
      <c r="V20" s="22" t="s">
        <v>104</v>
      </c>
      <c r="W20" s="2006" t="s">
        <v>105</v>
      </c>
      <c r="X20" s="18"/>
      <c r="Y20" s="4"/>
      <c r="Z20" s="4"/>
    </row>
    <row r="21" spans="1:26" ht="42" hidden="1">
      <c r="A21" s="20">
        <v>28</v>
      </c>
      <c r="B21" s="25">
        <v>43318</v>
      </c>
      <c r="C21" s="22" t="s">
        <v>106</v>
      </c>
      <c r="D21" s="11"/>
      <c r="E21" s="22" t="s">
        <v>81</v>
      </c>
      <c r="F21" s="22" t="s">
        <v>99</v>
      </c>
      <c r="G21" s="22"/>
      <c r="H21" s="22" t="s">
        <v>107</v>
      </c>
      <c r="I21" s="22" t="s">
        <v>102</v>
      </c>
      <c r="J21" s="22" t="s">
        <v>108</v>
      </c>
      <c r="K21" s="22"/>
      <c r="L21" s="22"/>
      <c r="M21" s="22">
        <v>4</v>
      </c>
      <c r="N21" s="22">
        <v>50</v>
      </c>
      <c r="O21" s="22">
        <v>50</v>
      </c>
      <c r="P21" s="22">
        <v>0</v>
      </c>
      <c r="Q21" s="22">
        <v>0</v>
      </c>
      <c r="R21" s="1201">
        <v>399</v>
      </c>
      <c r="S21" s="1201">
        <v>399</v>
      </c>
      <c r="T21" s="22" t="s">
        <v>87</v>
      </c>
      <c r="U21" s="1854" t="s">
        <v>99</v>
      </c>
      <c r="V21" s="22" t="s">
        <v>104</v>
      </c>
      <c r="W21" s="2006" t="s">
        <v>109</v>
      </c>
      <c r="X21" s="18"/>
      <c r="Y21" s="4"/>
      <c r="Z21" s="4"/>
    </row>
    <row r="22" spans="1:26" ht="14.1" hidden="1">
      <c r="A22" s="20">
        <v>29</v>
      </c>
      <c r="B22" s="25">
        <v>43318</v>
      </c>
      <c r="C22" s="616" t="s">
        <v>110</v>
      </c>
      <c r="D22" s="11"/>
      <c r="E22" s="22" t="s">
        <v>81</v>
      </c>
      <c r="F22" s="22" t="s">
        <v>99</v>
      </c>
      <c r="G22" s="22" t="s">
        <v>111</v>
      </c>
      <c r="H22" s="22" t="s">
        <v>112</v>
      </c>
      <c r="I22" s="22" t="s">
        <v>113</v>
      </c>
      <c r="J22" s="22" t="s">
        <v>114</v>
      </c>
      <c r="K22" s="22"/>
      <c r="L22" s="22"/>
      <c r="M22" s="22">
        <v>1</v>
      </c>
      <c r="N22" s="22">
        <v>1</v>
      </c>
      <c r="O22" s="22">
        <v>1</v>
      </c>
      <c r="P22" s="22">
        <v>0</v>
      </c>
      <c r="Q22" s="22">
        <v>0</v>
      </c>
      <c r="R22" s="1201">
        <v>1690</v>
      </c>
      <c r="S22" s="1201">
        <v>1690</v>
      </c>
      <c r="T22" s="22" t="s">
        <v>87</v>
      </c>
      <c r="U22" s="1854" t="s">
        <v>99</v>
      </c>
      <c r="V22" s="22" t="s">
        <v>104</v>
      </c>
      <c r="W22" s="2006" t="s">
        <v>110</v>
      </c>
      <c r="X22" s="18"/>
      <c r="Y22" s="4"/>
      <c r="Z22" s="4"/>
    </row>
    <row r="23" spans="1:26" ht="14.1" hidden="1">
      <c r="A23" s="20">
        <v>30</v>
      </c>
      <c r="B23" s="24">
        <v>43319</v>
      </c>
      <c r="C23" s="22" t="s">
        <v>115</v>
      </c>
      <c r="D23" s="11"/>
      <c r="E23" s="22" t="s">
        <v>81</v>
      </c>
      <c r="F23" s="22" t="s">
        <v>116</v>
      </c>
      <c r="G23" s="22"/>
      <c r="H23" s="22"/>
      <c r="I23" s="22" t="s">
        <v>117</v>
      </c>
      <c r="J23" s="22"/>
      <c r="K23" s="22"/>
      <c r="L23" s="22"/>
      <c r="M23" s="22">
        <v>14</v>
      </c>
      <c r="N23" s="22">
        <v>10</v>
      </c>
      <c r="O23" s="22">
        <v>20</v>
      </c>
      <c r="P23" s="22">
        <v>0</v>
      </c>
      <c r="Q23" s="22">
        <v>20</v>
      </c>
      <c r="R23" s="1201">
        <v>100</v>
      </c>
      <c r="S23" s="1201">
        <v>200</v>
      </c>
      <c r="T23" s="22" t="s">
        <v>1</v>
      </c>
      <c r="U23" s="1854"/>
      <c r="V23" s="22" t="s">
        <v>118</v>
      </c>
      <c r="W23" s="2007"/>
      <c r="X23" s="18"/>
      <c r="Y23" s="4"/>
      <c r="Z23" s="4"/>
    </row>
    <row r="24" spans="1:26" ht="14.1" hidden="1">
      <c r="A24" s="20">
        <v>31</v>
      </c>
      <c r="B24" s="24">
        <v>43319</v>
      </c>
      <c r="C24" s="22" t="s">
        <v>119</v>
      </c>
      <c r="D24" s="11"/>
      <c r="E24" s="22" t="s">
        <v>81</v>
      </c>
      <c r="F24" s="22" t="s">
        <v>116</v>
      </c>
      <c r="G24" s="22"/>
      <c r="H24" s="22"/>
      <c r="I24" s="22" t="s">
        <v>117</v>
      </c>
      <c r="J24" s="22"/>
      <c r="K24" s="22"/>
      <c r="L24" s="22"/>
      <c r="M24" s="22">
        <v>2</v>
      </c>
      <c r="N24" s="22">
        <v>4</v>
      </c>
      <c r="O24" s="22">
        <v>4</v>
      </c>
      <c r="P24" s="22">
        <v>0</v>
      </c>
      <c r="Q24" s="22">
        <v>4</v>
      </c>
      <c r="R24" s="1201">
        <v>206</v>
      </c>
      <c r="S24" s="1201">
        <v>206</v>
      </c>
      <c r="T24" s="22" t="s">
        <v>1</v>
      </c>
      <c r="U24" s="1854"/>
      <c r="V24" s="22" t="s">
        <v>118</v>
      </c>
      <c r="W24" s="2007"/>
      <c r="X24" s="18"/>
      <c r="Y24" s="4"/>
      <c r="Z24" s="4"/>
    </row>
    <row r="25" spans="1:26" ht="42" hidden="1">
      <c r="A25" s="20">
        <v>32</v>
      </c>
      <c r="B25" s="24">
        <v>43321</v>
      </c>
      <c r="C25" s="22" t="s">
        <v>120</v>
      </c>
      <c r="D25" s="11"/>
      <c r="E25" s="22" t="s">
        <v>81</v>
      </c>
      <c r="F25" s="22" t="s">
        <v>121</v>
      </c>
      <c r="G25" s="22" t="s">
        <v>122</v>
      </c>
      <c r="H25" s="22" t="s">
        <v>123</v>
      </c>
      <c r="I25" s="22" t="s">
        <v>123</v>
      </c>
      <c r="J25" s="22"/>
      <c r="K25" s="22" t="s">
        <v>124</v>
      </c>
      <c r="L25" s="22" t="s">
        <v>125</v>
      </c>
      <c r="M25" s="22">
        <v>5</v>
      </c>
      <c r="N25" s="22">
        <v>5</v>
      </c>
      <c r="O25" s="22">
        <v>5</v>
      </c>
      <c r="P25" s="22">
        <v>0</v>
      </c>
      <c r="Q25" s="22">
        <v>0</v>
      </c>
      <c r="R25" s="1202" t="s">
        <v>71</v>
      </c>
      <c r="S25" s="1201">
        <v>47441</v>
      </c>
      <c r="T25" s="22" t="s">
        <v>126</v>
      </c>
      <c r="U25" s="1854" t="s">
        <v>127</v>
      </c>
      <c r="V25" s="22" t="s">
        <v>128</v>
      </c>
      <c r="W25" s="2006" t="s">
        <v>129</v>
      </c>
      <c r="X25" s="18"/>
      <c r="Y25" s="4"/>
      <c r="Z25" s="4"/>
    </row>
    <row r="26" spans="1:26" ht="14.1" hidden="1">
      <c r="A26" s="20">
        <v>33</v>
      </c>
      <c r="B26" s="24">
        <v>43323</v>
      </c>
      <c r="C26" s="22" t="s">
        <v>130</v>
      </c>
      <c r="D26" s="11"/>
      <c r="E26" s="22" t="s">
        <v>81</v>
      </c>
      <c r="F26" s="22" t="s">
        <v>131</v>
      </c>
      <c r="G26" s="22" t="s">
        <v>132</v>
      </c>
      <c r="H26" s="22" t="s">
        <v>133</v>
      </c>
      <c r="I26" s="22" t="s">
        <v>133</v>
      </c>
      <c r="J26" s="22" t="s">
        <v>134</v>
      </c>
      <c r="K26" s="22"/>
      <c r="L26" s="22"/>
      <c r="M26" s="22" t="s">
        <v>135</v>
      </c>
      <c r="N26" s="22" t="s">
        <v>136</v>
      </c>
      <c r="O26" s="22" t="s">
        <v>136</v>
      </c>
      <c r="P26" s="22" t="s">
        <v>137</v>
      </c>
      <c r="Q26" s="22">
        <v>0</v>
      </c>
      <c r="R26" s="1201">
        <v>7000</v>
      </c>
      <c r="S26" s="1201">
        <v>7000</v>
      </c>
      <c r="T26" s="22" t="s">
        <v>87</v>
      </c>
      <c r="U26" s="1854" t="s">
        <v>138</v>
      </c>
      <c r="V26" s="22" t="s">
        <v>139</v>
      </c>
      <c r="W26" s="2006" t="s">
        <v>140</v>
      </c>
      <c r="X26" s="18"/>
      <c r="Y26" s="4"/>
      <c r="Z26" s="4"/>
    </row>
    <row r="27" spans="1:26" ht="27.95" hidden="1">
      <c r="A27" s="20">
        <v>34</v>
      </c>
      <c r="B27" s="24">
        <v>43342</v>
      </c>
      <c r="C27" s="22" t="s">
        <v>141</v>
      </c>
      <c r="D27" s="11"/>
      <c r="E27" s="22" t="s">
        <v>62</v>
      </c>
      <c r="F27" s="22" t="s">
        <v>142</v>
      </c>
      <c r="G27" s="22" t="s">
        <v>143</v>
      </c>
      <c r="H27" s="22" t="s">
        <v>144</v>
      </c>
      <c r="I27" s="22" t="s">
        <v>39</v>
      </c>
      <c r="J27" s="22" t="s">
        <v>145</v>
      </c>
      <c r="K27" s="22" t="s">
        <v>146</v>
      </c>
      <c r="L27" s="27" t="s">
        <v>147</v>
      </c>
      <c r="M27" s="22">
        <v>3</v>
      </c>
      <c r="N27" s="22">
        <v>100</v>
      </c>
      <c r="O27" s="22">
        <v>100</v>
      </c>
      <c r="P27" s="22">
        <v>0</v>
      </c>
      <c r="Q27" s="22">
        <f t="shared" ref="Q27:Q46" si="1">O27-M27</f>
        <v>97</v>
      </c>
      <c r="R27" s="1201">
        <v>5.98</v>
      </c>
      <c r="S27" s="1201">
        <v>598</v>
      </c>
      <c r="T27" s="22" t="s">
        <v>148</v>
      </c>
      <c r="U27" s="1854" t="s">
        <v>149</v>
      </c>
      <c r="V27" s="22" t="s">
        <v>150</v>
      </c>
      <c r="W27" s="2006" t="s">
        <v>151</v>
      </c>
      <c r="X27" s="18"/>
      <c r="Y27" s="4"/>
      <c r="Z27" s="4"/>
    </row>
    <row r="28" spans="1:26" ht="27.95" hidden="1">
      <c r="A28" s="20">
        <v>35</v>
      </c>
      <c r="B28" s="24">
        <v>43342</v>
      </c>
      <c r="C28" s="22" t="s">
        <v>152</v>
      </c>
      <c r="D28" s="11"/>
      <c r="E28" s="22" t="s">
        <v>62</v>
      </c>
      <c r="F28" s="22" t="s">
        <v>142</v>
      </c>
      <c r="G28" s="22" t="s">
        <v>153</v>
      </c>
      <c r="H28" s="22" t="s">
        <v>154</v>
      </c>
      <c r="I28" s="22" t="s">
        <v>39</v>
      </c>
      <c r="J28" s="22" t="s">
        <v>155</v>
      </c>
      <c r="K28" s="22" t="s">
        <v>156</v>
      </c>
      <c r="L28" s="27" t="s">
        <v>147</v>
      </c>
      <c r="M28" s="22">
        <v>5</v>
      </c>
      <c r="N28" s="22">
        <v>50</v>
      </c>
      <c r="O28" s="22">
        <v>50</v>
      </c>
      <c r="P28" s="22">
        <v>0</v>
      </c>
      <c r="Q28" s="22">
        <f t="shared" si="1"/>
        <v>45</v>
      </c>
      <c r="R28" s="1201">
        <v>2.06</v>
      </c>
      <c r="S28" s="1201">
        <v>103</v>
      </c>
      <c r="T28" s="22" t="s">
        <v>148</v>
      </c>
      <c r="U28" s="1854" t="s">
        <v>149</v>
      </c>
      <c r="V28" s="22" t="s">
        <v>150</v>
      </c>
      <c r="W28" s="2006" t="s">
        <v>157</v>
      </c>
      <c r="X28" s="18"/>
      <c r="Y28" s="4"/>
      <c r="Z28" s="4"/>
    </row>
    <row r="29" spans="1:26" ht="27.95" hidden="1">
      <c r="A29" s="20">
        <v>36</v>
      </c>
      <c r="B29" s="24">
        <v>43342</v>
      </c>
      <c r="C29" s="22" t="s">
        <v>158</v>
      </c>
      <c r="D29" s="11"/>
      <c r="E29" s="22" t="s">
        <v>62</v>
      </c>
      <c r="F29" s="22" t="s">
        <v>142</v>
      </c>
      <c r="G29" s="22" t="s">
        <v>159</v>
      </c>
      <c r="H29" s="22" t="s">
        <v>160</v>
      </c>
      <c r="I29" s="22" t="s">
        <v>39</v>
      </c>
      <c r="J29" s="22" t="s">
        <v>161</v>
      </c>
      <c r="K29" s="22" t="s">
        <v>162</v>
      </c>
      <c r="L29" s="22" t="s">
        <v>163</v>
      </c>
      <c r="M29" s="22">
        <v>3</v>
      </c>
      <c r="N29" s="22">
        <v>10</v>
      </c>
      <c r="O29" s="22">
        <v>10</v>
      </c>
      <c r="P29" s="22">
        <v>0</v>
      </c>
      <c r="Q29" s="22">
        <f t="shared" si="1"/>
        <v>7</v>
      </c>
      <c r="R29" s="1201">
        <v>59.5</v>
      </c>
      <c r="S29" s="1201">
        <v>595</v>
      </c>
      <c r="T29" s="22" t="s">
        <v>148</v>
      </c>
      <c r="U29" s="1854" t="s">
        <v>149</v>
      </c>
      <c r="V29" s="22" t="s">
        <v>150</v>
      </c>
      <c r="W29" s="2006" t="s">
        <v>164</v>
      </c>
      <c r="X29" s="18"/>
      <c r="Y29" s="4"/>
      <c r="Z29" s="4"/>
    </row>
    <row r="30" spans="1:26" ht="27.95" hidden="1">
      <c r="A30" s="20">
        <v>37</v>
      </c>
      <c r="B30" s="24">
        <v>43342</v>
      </c>
      <c r="C30" s="22" t="s">
        <v>152</v>
      </c>
      <c r="D30" s="11"/>
      <c r="E30" s="22" t="s">
        <v>62</v>
      </c>
      <c r="F30" s="22" t="s">
        <v>142</v>
      </c>
      <c r="G30" s="22" t="s">
        <v>165</v>
      </c>
      <c r="H30" s="22" t="s">
        <v>166</v>
      </c>
      <c r="I30" s="22" t="s">
        <v>39</v>
      </c>
      <c r="J30" s="22" t="s">
        <v>167</v>
      </c>
      <c r="K30" s="22" t="s">
        <v>168</v>
      </c>
      <c r="L30" s="27" t="s">
        <v>147</v>
      </c>
      <c r="M30" s="22">
        <v>7</v>
      </c>
      <c r="N30" s="22">
        <v>50</v>
      </c>
      <c r="O30" s="22">
        <v>50</v>
      </c>
      <c r="P30" s="22">
        <v>0</v>
      </c>
      <c r="Q30" s="22">
        <f t="shared" si="1"/>
        <v>43</v>
      </c>
      <c r="R30" s="1201">
        <v>7.82</v>
      </c>
      <c r="S30" s="1201">
        <v>391</v>
      </c>
      <c r="T30" s="22" t="s">
        <v>148</v>
      </c>
      <c r="U30" s="1854" t="s">
        <v>149</v>
      </c>
      <c r="V30" s="22" t="s">
        <v>150</v>
      </c>
      <c r="W30" s="2006" t="s">
        <v>169</v>
      </c>
      <c r="X30" s="18"/>
      <c r="Y30" s="4"/>
      <c r="Z30" s="4"/>
    </row>
    <row r="31" spans="1:26" ht="27.95" hidden="1">
      <c r="A31" s="20">
        <v>38</v>
      </c>
      <c r="B31" s="24">
        <v>43342</v>
      </c>
      <c r="C31" s="22" t="s">
        <v>141</v>
      </c>
      <c r="D31" s="11"/>
      <c r="E31" s="22" t="s">
        <v>62</v>
      </c>
      <c r="F31" s="22" t="s">
        <v>142</v>
      </c>
      <c r="G31" s="22" t="s">
        <v>170</v>
      </c>
      <c r="H31" s="22" t="s">
        <v>144</v>
      </c>
      <c r="I31" s="22" t="s">
        <v>39</v>
      </c>
      <c r="J31" s="22" t="s">
        <v>171</v>
      </c>
      <c r="K31" s="22" t="s">
        <v>172</v>
      </c>
      <c r="L31" s="27" t="s">
        <v>173</v>
      </c>
      <c r="M31" s="22">
        <v>4</v>
      </c>
      <c r="N31" s="22">
        <v>10</v>
      </c>
      <c r="O31" s="22">
        <v>10</v>
      </c>
      <c r="P31" s="22">
        <v>0</v>
      </c>
      <c r="Q31" s="22">
        <f t="shared" si="1"/>
        <v>6</v>
      </c>
      <c r="R31" s="1201">
        <v>98.6</v>
      </c>
      <c r="S31" s="1201">
        <v>986</v>
      </c>
      <c r="T31" s="22" t="s">
        <v>148</v>
      </c>
      <c r="U31" s="1854" t="s">
        <v>149</v>
      </c>
      <c r="V31" s="22" t="s">
        <v>150</v>
      </c>
      <c r="W31" s="2006" t="s">
        <v>174</v>
      </c>
      <c r="X31" s="18"/>
      <c r="Y31" s="4"/>
      <c r="Z31" s="4"/>
    </row>
    <row r="32" spans="1:26" ht="27.95" hidden="1">
      <c r="A32" s="20">
        <v>39</v>
      </c>
      <c r="B32" s="24">
        <v>43342</v>
      </c>
      <c r="C32" s="22" t="s">
        <v>175</v>
      </c>
      <c r="D32" s="11"/>
      <c r="E32" s="22" t="s">
        <v>62</v>
      </c>
      <c r="F32" s="22" t="s">
        <v>142</v>
      </c>
      <c r="G32" s="22" t="s">
        <v>176</v>
      </c>
      <c r="H32" s="22" t="s">
        <v>177</v>
      </c>
      <c r="I32" s="22" t="s">
        <v>39</v>
      </c>
      <c r="J32" s="22" t="s">
        <v>178</v>
      </c>
      <c r="K32" s="22" t="s">
        <v>179</v>
      </c>
      <c r="L32" s="22" t="s">
        <v>180</v>
      </c>
      <c r="M32" s="22">
        <v>3</v>
      </c>
      <c r="N32" s="22">
        <v>1</v>
      </c>
      <c r="O32" s="22">
        <v>3</v>
      </c>
      <c r="P32" s="22">
        <v>0</v>
      </c>
      <c r="Q32" s="22">
        <f t="shared" si="1"/>
        <v>0</v>
      </c>
      <c r="R32" s="1201">
        <v>1687</v>
      </c>
      <c r="S32" s="1201">
        <v>5061</v>
      </c>
      <c r="T32" s="22" t="s">
        <v>148</v>
      </c>
      <c r="U32" s="1854" t="s">
        <v>149</v>
      </c>
      <c r="V32" s="22" t="s">
        <v>150</v>
      </c>
      <c r="W32" s="2006" t="s">
        <v>181</v>
      </c>
      <c r="X32" s="18"/>
      <c r="Y32" s="4"/>
      <c r="Z32" s="4"/>
    </row>
    <row r="33" spans="1:26" ht="27.95" hidden="1">
      <c r="A33" s="20">
        <v>40</v>
      </c>
      <c r="B33" s="24">
        <v>43342</v>
      </c>
      <c r="C33" s="22" t="s">
        <v>182</v>
      </c>
      <c r="D33" s="11"/>
      <c r="E33" s="22" t="s">
        <v>62</v>
      </c>
      <c r="F33" s="22" t="s">
        <v>142</v>
      </c>
      <c r="G33" s="22" t="s">
        <v>183</v>
      </c>
      <c r="H33" s="22" t="s">
        <v>184</v>
      </c>
      <c r="I33" s="22" t="s">
        <v>39</v>
      </c>
      <c r="J33" s="22" t="s">
        <v>185</v>
      </c>
      <c r="K33" s="22" t="s">
        <v>186</v>
      </c>
      <c r="L33" s="22" t="s">
        <v>180</v>
      </c>
      <c r="M33" s="22">
        <v>10</v>
      </c>
      <c r="N33" s="22">
        <v>5</v>
      </c>
      <c r="O33" s="22">
        <v>10</v>
      </c>
      <c r="P33" s="22">
        <v>0</v>
      </c>
      <c r="Q33" s="22">
        <f t="shared" si="1"/>
        <v>0</v>
      </c>
      <c r="R33" s="1201">
        <v>110</v>
      </c>
      <c r="S33" s="1201">
        <v>1100</v>
      </c>
      <c r="T33" s="22" t="s">
        <v>148</v>
      </c>
      <c r="U33" s="1854" t="s">
        <v>149</v>
      </c>
      <c r="V33" s="22" t="s">
        <v>150</v>
      </c>
      <c r="W33" s="2006" t="s">
        <v>187</v>
      </c>
      <c r="X33" s="18"/>
      <c r="Y33" s="4"/>
      <c r="Z33" s="4"/>
    </row>
    <row r="34" spans="1:26" ht="27.95" hidden="1">
      <c r="A34" s="20">
        <v>41</v>
      </c>
      <c r="B34" s="24">
        <v>43342</v>
      </c>
      <c r="C34" s="22" t="s">
        <v>188</v>
      </c>
      <c r="D34" s="11"/>
      <c r="E34" s="22" t="s">
        <v>62</v>
      </c>
      <c r="F34" s="22" t="s">
        <v>142</v>
      </c>
      <c r="G34" s="22" t="s">
        <v>189</v>
      </c>
      <c r="H34" s="22" t="s">
        <v>144</v>
      </c>
      <c r="I34" s="22" t="s">
        <v>39</v>
      </c>
      <c r="J34" s="22" t="s">
        <v>190</v>
      </c>
      <c r="K34" s="22" t="s">
        <v>191</v>
      </c>
      <c r="L34" s="22" t="s">
        <v>180</v>
      </c>
      <c r="M34" s="22">
        <v>3</v>
      </c>
      <c r="N34" s="22">
        <v>5</v>
      </c>
      <c r="O34" s="22">
        <v>5</v>
      </c>
      <c r="P34" s="22">
        <v>0</v>
      </c>
      <c r="Q34" s="22">
        <f t="shared" si="1"/>
        <v>2</v>
      </c>
      <c r="R34" s="1201">
        <v>395</v>
      </c>
      <c r="S34" s="1201">
        <v>1975</v>
      </c>
      <c r="T34" s="22" t="s">
        <v>148</v>
      </c>
      <c r="U34" s="1854" t="s">
        <v>149</v>
      </c>
      <c r="V34" s="22" t="s">
        <v>150</v>
      </c>
      <c r="W34" s="2006" t="s">
        <v>192</v>
      </c>
      <c r="X34" s="18"/>
      <c r="Y34" s="4"/>
      <c r="Z34" s="4"/>
    </row>
    <row r="35" spans="1:26" ht="27.95" hidden="1">
      <c r="A35" s="20">
        <v>42</v>
      </c>
      <c r="B35" s="24">
        <v>43342</v>
      </c>
      <c r="C35" s="22" t="s">
        <v>193</v>
      </c>
      <c r="D35" s="11"/>
      <c r="E35" s="22" t="s">
        <v>62</v>
      </c>
      <c r="F35" s="22" t="s">
        <v>142</v>
      </c>
      <c r="G35" s="22" t="s">
        <v>194</v>
      </c>
      <c r="H35" s="22" t="s">
        <v>195</v>
      </c>
      <c r="I35" s="22" t="s">
        <v>39</v>
      </c>
      <c r="J35" s="22" t="s">
        <v>196</v>
      </c>
      <c r="K35" s="22" t="s">
        <v>197</v>
      </c>
      <c r="L35" s="22" t="s">
        <v>180</v>
      </c>
      <c r="M35" s="22">
        <v>4</v>
      </c>
      <c r="N35" s="22">
        <v>5</v>
      </c>
      <c r="O35" s="22">
        <v>5</v>
      </c>
      <c r="P35" s="22">
        <v>0</v>
      </c>
      <c r="Q35" s="22">
        <f t="shared" si="1"/>
        <v>1</v>
      </c>
      <c r="R35" s="1201">
        <v>492</v>
      </c>
      <c r="S35" s="1201">
        <v>2460</v>
      </c>
      <c r="T35" s="22" t="s">
        <v>148</v>
      </c>
      <c r="U35" s="1854" t="s">
        <v>149</v>
      </c>
      <c r="V35" s="22" t="s">
        <v>150</v>
      </c>
      <c r="W35" s="2006" t="s">
        <v>198</v>
      </c>
      <c r="X35" s="18"/>
      <c r="Y35" s="4"/>
      <c r="Z35" s="4"/>
    </row>
    <row r="36" spans="1:26" ht="27.95" hidden="1">
      <c r="A36" s="20">
        <v>43</v>
      </c>
      <c r="B36" s="24">
        <v>43342</v>
      </c>
      <c r="C36" s="22" t="s">
        <v>199</v>
      </c>
      <c r="D36" s="11"/>
      <c r="E36" s="22" t="s">
        <v>62</v>
      </c>
      <c r="F36" s="22" t="s">
        <v>142</v>
      </c>
      <c r="G36" s="22" t="s">
        <v>200</v>
      </c>
      <c r="H36" s="22" t="s">
        <v>201</v>
      </c>
      <c r="I36" s="22" t="s">
        <v>39</v>
      </c>
      <c r="J36" s="22" t="s">
        <v>202</v>
      </c>
      <c r="K36" s="22" t="s">
        <v>203</v>
      </c>
      <c r="L36" s="22" t="s">
        <v>180</v>
      </c>
      <c r="M36" s="22">
        <v>3</v>
      </c>
      <c r="N36" s="22">
        <v>4</v>
      </c>
      <c r="O36" s="22">
        <v>4</v>
      </c>
      <c r="P36" s="22">
        <v>0</v>
      </c>
      <c r="Q36" s="22">
        <f t="shared" si="1"/>
        <v>1</v>
      </c>
      <c r="R36" s="1201">
        <v>239</v>
      </c>
      <c r="S36" s="1201">
        <v>956</v>
      </c>
      <c r="T36" s="22" t="s">
        <v>148</v>
      </c>
      <c r="U36" s="1854" t="s">
        <v>149</v>
      </c>
      <c r="V36" s="22" t="s">
        <v>150</v>
      </c>
      <c r="W36" s="2006" t="s">
        <v>204</v>
      </c>
      <c r="X36" s="18"/>
      <c r="Y36" s="4"/>
      <c r="Z36" s="4"/>
    </row>
    <row r="37" spans="1:26" ht="27.95" hidden="1">
      <c r="A37" s="20">
        <v>44</v>
      </c>
      <c r="B37" s="24">
        <v>43342</v>
      </c>
      <c r="C37" s="22" t="s">
        <v>205</v>
      </c>
      <c r="D37" s="11"/>
      <c r="E37" s="22" t="s">
        <v>62</v>
      </c>
      <c r="F37" s="22" t="s">
        <v>142</v>
      </c>
      <c r="G37" s="22" t="s">
        <v>206</v>
      </c>
      <c r="H37" s="22" t="s">
        <v>207</v>
      </c>
      <c r="I37" s="22" t="s">
        <v>39</v>
      </c>
      <c r="J37" s="22" t="s">
        <v>208</v>
      </c>
      <c r="K37" s="22" t="s">
        <v>209</v>
      </c>
      <c r="L37" s="22" t="s">
        <v>210</v>
      </c>
      <c r="M37" s="22">
        <v>3</v>
      </c>
      <c r="N37" s="22">
        <v>4</v>
      </c>
      <c r="O37" s="22">
        <v>4</v>
      </c>
      <c r="P37" s="22">
        <v>0</v>
      </c>
      <c r="Q37" s="22">
        <f t="shared" si="1"/>
        <v>1</v>
      </c>
      <c r="R37" s="1201">
        <v>537</v>
      </c>
      <c r="S37" s="1201">
        <v>2148</v>
      </c>
      <c r="T37" s="22" t="s">
        <v>148</v>
      </c>
      <c r="U37" s="1854" t="s">
        <v>149</v>
      </c>
      <c r="V37" s="22" t="s">
        <v>150</v>
      </c>
      <c r="W37" s="2006" t="s">
        <v>211</v>
      </c>
      <c r="X37" s="18"/>
      <c r="Y37" s="4"/>
      <c r="Z37" s="4"/>
    </row>
    <row r="38" spans="1:26" ht="27.95" hidden="1">
      <c r="A38" s="20">
        <v>45</v>
      </c>
      <c r="B38" s="24">
        <v>43342</v>
      </c>
      <c r="C38" s="22" t="s">
        <v>212</v>
      </c>
      <c r="D38" s="11"/>
      <c r="E38" s="22" t="s">
        <v>62</v>
      </c>
      <c r="F38" s="22" t="s">
        <v>142</v>
      </c>
      <c r="G38" s="22" t="s">
        <v>213</v>
      </c>
      <c r="H38" s="22" t="s">
        <v>214</v>
      </c>
      <c r="I38" s="22" t="s">
        <v>39</v>
      </c>
      <c r="J38" s="22" t="s">
        <v>215</v>
      </c>
      <c r="K38" s="22" t="s">
        <v>216</v>
      </c>
      <c r="L38" s="22" t="s">
        <v>180</v>
      </c>
      <c r="M38" s="22">
        <v>3</v>
      </c>
      <c r="N38" s="22">
        <v>5</v>
      </c>
      <c r="O38" s="22">
        <v>5</v>
      </c>
      <c r="P38" s="22">
        <v>0</v>
      </c>
      <c r="Q38" s="22">
        <f t="shared" si="1"/>
        <v>2</v>
      </c>
      <c r="R38" s="1201">
        <v>257</v>
      </c>
      <c r="S38" s="1201">
        <v>1285</v>
      </c>
      <c r="T38" s="22" t="s">
        <v>148</v>
      </c>
      <c r="U38" s="1854" t="s">
        <v>149</v>
      </c>
      <c r="V38" s="22" t="s">
        <v>150</v>
      </c>
      <c r="W38" s="2006" t="s">
        <v>217</v>
      </c>
      <c r="X38" s="18"/>
      <c r="Y38" s="4"/>
      <c r="Z38" s="4"/>
    </row>
    <row r="39" spans="1:26" ht="27.95" hidden="1">
      <c r="A39" s="20">
        <v>46</v>
      </c>
      <c r="B39" s="24">
        <v>43342</v>
      </c>
      <c r="C39" s="22" t="s">
        <v>218</v>
      </c>
      <c r="D39" s="11"/>
      <c r="E39" s="22" t="s">
        <v>62</v>
      </c>
      <c r="F39" s="22" t="s">
        <v>142</v>
      </c>
      <c r="G39" s="22" t="s">
        <v>219</v>
      </c>
      <c r="H39" s="22" t="s">
        <v>220</v>
      </c>
      <c r="I39" s="22" t="s">
        <v>39</v>
      </c>
      <c r="J39" s="22" t="s">
        <v>221</v>
      </c>
      <c r="K39" s="22" t="s">
        <v>222</v>
      </c>
      <c r="L39" s="22" t="s">
        <v>180</v>
      </c>
      <c r="M39" s="22">
        <v>1</v>
      </c>
      <c r="N39" s="22">
        <v>10</v>
      </c>
      <c r="O39" s="22">
        <v>10</v>
      </c>
      <c r="P39" s="22">
        <v>0</v>
      </c>
      <c r="Q39" s="22">
        <f t="shared" si="1"/>
        <v>9</v>
      </c>
      <c r="R39" s="1201">
        <v>9.6999999999999993</v>
      </c>
      <c r="S39" s="1201">
        <v>97</v>
      </c>
      <c r="T39" s="22" t="s">
        <v>148</v>
      </c>
      <c r="U39" s="1854" t="s">
        <v>149</v>
      </c>
      <c r="V39" s="22" t="s">
        <v>150</v>
      </c>
      <c r="W39" s="2006" t="s">
        <v>223</v>
      </c>
      <c r="X39" s="18"/>
      <c r="Y39" s="4"/>
      <c r="Z39" s="4"/>
    </row>
    <row r="40" spans="1:26" ht="24.95" hidden="1">
      <c r="A40" s="20">
        <v>47</v>
      </c>
      <c r="B40" s="24">
        <v>43342</v>
      </c>
      <c r="C40" s="22" t="s">
        <v>218</v>
      </c>
      <c r="D40" s="11"/>
      <c r="E40" s="22" t="s">
        <v>62</v>
      </c>
      <c r="F40" s="22" t="s">
        <v>142</v>
      </c>
      <c r="G40" s="22" t="s">
        <v>224</v>
      </c>
      <c r="H40" s="22" t="s">
        <v>220</v>
      </c>
      <c r="I40" s="22" t="s">
        <v>39</v>
      </c>
      <c r="J40" s="22" t="s">
        <v>225</v>
      </c>
      <c r="K40" s="22" t="s">
        <v>226</v>
      </c>
      <c r="L40" s="22" t="s">
        <v>180</v>
      </c>
      <c r="M40" s="22">
        <v>3</v>
      </c>
      <c r="N40" s="22">
        <v>10</v>
      </c>
      <c r="O40" s="22">
        <v>10</v>
      </c>
      <c r="P40" s="22">
        <v>0</v>
      </c>
      <c r="Q40" s="22">
        <f t="shared" si="1"/>
        <v>7</v>
      </c>
      <c r="R40" s="1201">
        <v>22.7</v>
      </c>
      <c r="S40" s="1201">
        <v>227</v>
      </c>
      <c r="T40" s="22" t="s">
        <v>148</v>
      </c>
      <c r="U40" s="1854" t="s">
        <v>149</v>
      </c>
      <c r="V40" s="22" t="s">
        <v>150</v>
      </c>
      <c r="W40" s="2013" t="s">
        <v>227</v>
      </c>
      <c r="X40" s="18"/>
      <c r="Y40" s="4"/>
      <c r="Z40" s="4"/>
    </row>
    <row r="41" spans="1:26" ht="27.95" hidden="1">
      <c r="A41" s="20">
        <v>48</v>
      </c>
      <c r="B41" s="24">
        <v>43342</v>
      </c>
      <c r="C41" s="22" t="s">
        <v>228</v>
      </c>
      <c r="D41" s="11"/>
      <c r="E41" s="22" t="s">
        <v>62</v>
      </c>
      <c r="F41" s="22" t="s">
        <v>142</v>
      </c>
      <c r="G41" s="22" t="s">
        <v>229</v>
      </c>
      <c r="H41" s="22" t="s">
        <v>230</v>
      </c>
      <c r="I41" s="22" t="s">
        <v>39</v>
      </c>
      <c r="J41" s="22" t="s">
        <v>231</v>
      </c>
      <c r="K41" s="22" t="s">
        <v>232</v>
      </c>
      <c r="L41" s="22" t="s">
        <v>210</v>
      </c>
      <c r="M41" s="22">
        <v>3</v>
      </c>
      <c r="N41" s="22">
        <v>4</v>
      </c>
      <c r="O41" s="22">
        <v>4</v>
      </c>
      <c r="P41" s="22">
        <v>0</v>
      </c>
      <c r="Q41" s="22">
        <f t="shared" si="1"/>
        <v>1</v>
      </c>
      <c r="R41" s="1201">
        <v>242.5</v>
      </c>
      <c r="S41" s="1201">
        <v>970</v>
      </c>
      <c r="T41" s="22" t="s">
        <v>148</v>
      </c>
      <c r="U41" s="1854" t="s">
        <v>149</v>
      </c>
      <c r="V41" s="22" t="s">
        <v>150</v>
      </c>
      <c r="W41" s="2006" t="s">
        <v>233</v>
      </c>
      <c r="X41" s="18"/>
      <c r="Y41" s="4"/>
      <c r="Z41" s="4"/>
    </row>
    <row r="42" spans="1:26" ht="27.95" hidden="1">
      <c r="A42" s="20">
        <v>49</v>
      </c>
      <c r="B42" s="24">
        <v>43342</v>
      </c>
      <c r="C42" s="22" t="s">
        <v>234</v>
      </c>
      <c r="D42" s="11"/>
      <c r="E42" s="22" t="s">
        <v>62</v>
      </c>
      <c r="F42" s="22" t="s">
        <v>142</v>
      </c>
      <c r="G42" s="22" t="s">
        <v>235</v>
      </c>
      <c r="H42" s="22" t="s">
        <v>236</v>
      </c>
      <c r="I42" s="22" t="s">
        <v>39</v>
      </c>
      <c r="J42" s="22" t="s">
        <v>237</v>
      </c>
      <c r="K42" s="22" t="s">
        <v>238</v>
      </c>
      <c r="L42" s="22" t="s">
        <v>239</v>
      </c>
      <c r="M42" s="22">
        <v>5</v>
      </c>
      <c r="N42" s="22">
        <v>5</v>
      </c>
      <c r="O42" s="22">
        <v>5</v>
      </c>
      <c r="P42" s="22">
        <v>0</v>
      </c>
      <c r="Q42" s="22">
        <f t="shared" si="1"/>
        <v>0</v>
      </c>
      <c r="R42" s="1201">
        <v>138</v>
      </c>
      <c r="S42" s="1201">
        <v>690</v>
      </c>
      <c r="T42" s="22" t="s">
        <v>148</v>
      </c>
      <c r="U42" s="1854" t="s">
        <v>149</v>
      </c>
      <c r="V42" s="22" t="s">
        <v>150</v>
      </c>
      <c r="W42" s="2006" t="s">
        <v>240</v>
      </c>
      <c r="X42" s="18"/>
      <c r="Y42" s="4"/>
      <c r="Z42" s="4"/>
    </row>
    <row r="43" spans="1:26" ht="27.95" hidden="1">
      <c r="A43" s="20">
        <v>50</v>
      </c>
      <c r="B43" s="24">
        <v>43342</v>
      </c>
      <c r="C43" s="22" t="s">
        <v>241</v>
      </c>
      <c r="D43" s="11"/>
      <c r="E43" s="22" t="s">
        <v>62</v>
      </c>
      <c r="F43" s="22" t="s">
        <v>142</v>
      </c>
      <c r="G43" s="22" t="s">
        <v>242</v>
      </c>
      <c r="H43" s="22" t="s">
        <v>243</v>
      </c>
      <c r="I43" s="22" t="s">
        <v>39</v>
      </c>
      <c r="J43" s="22" t="s">
        <v>244</v>
      </c>
      <c r="K43" s="22" t="s">
        <v>245</v>
      </c>
      <c r="L43" s="22" t="s">
        <v>210</v>
      </c>
      <c r="M43" s="22">
        <v>4</v>
      </c>
      <c r="N43" s="22">
        <v>1</v>
      </c>
      <c r="O43" s="22">
        <v>4</v>
      </c>
      <c r="P43" s="22">
        <v>0</v>
      </c>
      <c r="Q43" s="22">
        <f t="shared" si="1"/>
        <v>0</v>
      </c>
      <c r="R43" s="1201">
        <v>457</v>
      </c>
      <c r="S43" s="1201">
        <v>1828</v>
      </c>
      <c r="T43" s="22" t="s">
        <v>148</v>
      </c>
      <c r="U43" s="1854" t="s">
        <v>149</v>
      </c>
      <c r="V43" s="22" t="s">
        <v>150</v>
      </c>
      <c r="W43" s="2006" t="s">
        <v>246</v>
      </c>
      <c r="X43" s="18"/>
      <c r="Y43" s="4"/>
      <c r="Z43" s="4"/>
    </row>
    <row r="44" spans="1:26" ht="27.95" hidden="1">
      <c r="A44" s="20">
        <v>51</v>
      </c>
      <c r="B44" s="24">
        <v>43342</v>
      </c>
      <c r="C44" s="22" t="s">
        <v>247</v>
      </c>
      <c r="D44" s="11"/>
      <c r="E44" s="22" t="s">
        <v>62</v>
      </c>
      <c r="F44" s="22" t="s">
        <v>142</v>
      </c>
      <c r="G44" s="22" t="s">
        <v>248</v>
      </c>
      <c r="H44" s="22" t="s">
        <v>249</v>
      </c>
      <c r="I44" s="22" t="s">
        <v>39</v>
      </c>
      <c r="J44" s="22" t="s">
        <v>250</v>
      </c>
      <c r="K44" s="22" t="s">
        <v>251</v>
      </c>
      <c r="L44" s="22" t="s">
        <v>180</v>
      </c>
      <c r="M44" s="22">
        <v>3</v>
      </c>
      <c r="N44" s="22">
        <v>1</v>
      </c>
      <c r="O44" s="22">
        <v>3</v>
      </c>
      <c r="P44" s="22">
        <v>0</v>
      </c>
      <c r="Q44" s="22">
        <f t="shared" si="1"/>
        <v>0</v>
      </c>
      <c r="R44" s="1201">
        <v>911</v>
      </c>
      <c r="S44" s="1201">
        <v>2733</v>
      </c>
      <c r="T44" s="22" t="s">
        <v>148</v>
      </c>
      <c r="U44" s="1854" t="s">
        <v>149</v>
      </c>
      <c r="V44" s="22" t="s">
        <v>150</v>
      </c>
      <c r="W44" s="2006" t="s">
        <v>252</v>
      </c>
      <c r="X44" s="18"/>
      <c r="Y44" s="4"/>
      <c r="Z44" s="4"/>
    </row>
    <row r="45" spans="1:26" ht="27.95" hidden="1">
      <c r="A45" s="20">
        <v>52</v>
      </c>
      <c r="B45" s="24">
        <v>43342</v>
      </c>
      <c r="C45" s="22" t="s">
        <v>253</v>
      </c>
      <c r="D45" s="11"/>
      <c r="E45" s="22" t="s">
        <v>62</v>
      </c>
      <c r="F45" s="22" t="s">
        <v>142</v>
      </c>
      <c r="G45" s="22" t="s">
        <v>254</v>
      </c>
      <c r="H45" s="22" t="s">
        <v>154</v>
      </c>
      <c r="I45" s="22" t="s">
        <v>39</v>
      </c>
      <c r="J45" s="22" t="s">
        <v>255</v>
      </c>
      <c r="K45" s="22" t="s">
        <v>256</v>
      </c>
      <c r="L45" s="22" t="s">
        <v>210</v>
      </c>
      <c r="M45" s="22">
        <v>4</v>
      </c>
      <c r="N45" s="22">
        <v>10</v>
      </c>
      <c r="O45" s="22">
        <v>10</v>
      </c>
      <c r="P45" s="22">
        <v>0</v>
      </c>
      <c r="Q45" s="22">
        <f t="shared" si="1"/>
        <v>6</v>
      </c>
      <c r="R45" s="1201">
        <v>173.2</v>
      </c>
      <c r="S45" s="1201">
        <v>1732</v>
      </c>
      <c r="T45" s="22" t="s">
        <v>148</v>
      </c>
      <c r="U45" s="1854" t="s">
        <v>149</v>
      </c>
      <c r="V45" s="22" t="s">
        <v>150</v>
      </c>
      <c r="W45" s="2006" t="s">
        <v>257</v>
      </c>
      <c r="X45" s="18"/>
      <c r="Y45" s="4"/>
      <c r="Z45" s="4"/>
    </row>
    <row r="46" spans="1:26" ht="27.95" hidden="1">
      <c r="A46" s="20">
        <v>53</v>
      </c>
      <c r="B46" s="24">
        <v>43342</v>
      </c>
      <c r="C46" s="22" t="s">
        <v>258</v>
      </c>
      <c r="D46" s="11"/>
      <c r="E46" s="22" t="s">
        <v>62</v>
      </c>
      <c r="F46" s="22" t="s">
        <v>142</v>
      </c>
      <c r="G46" s="22" t="s">
        <v>259</v>
      </c>
      <c r="H46" s="22" t="s">
        <v>260</v>
      </c>
      <c r="I46" s="22" t="s">
        <v>39</v>
      </c>
      <c r="J46" s="22" t="s">
        <v>261</v>
      </c>
      <c r="K46" s="22" t="s">
        <v>261</v>
      </c>
      <c r="L46" s="22" t="s">
        <v>180</v>
      </c>
      <c r="M46" s="22">
        <v>3</v>
      </c>
      <c r="N46" s="22">
        <v>5</v>
      </c>
      <c r="O46" s="22">
        <v>5</v>
      </c>
      <c r="P46" s="22">
        <v>0</v>
      </c>
      <c r="Q46" s="22">
        <f t="shared" si="1"/>
        <v>2</v>
      </c>
      <c r="R46" s="1201">
        <v>1101</v>
      </c>
      <c r="S46" s="1201">
        <v>5505</v>
      </c>
      <c r="T46" s="22" t="s">
        <v>148</v>
      </c>
      <c r="U46" s="1854" t="s">
        <v>149</v>
      </c>
      <c r="V46" s="22" t="s">
        <v>150</v>
      </c>
      <c r="W46" s="2006" t="s">
        <v>262</v>
      </c>
      <c r="X46" s="18"/>
      <c r="Y46" s="4"/>
      <c r="Z46" s="4"/>
    </row>
    <row r="47" spans="1:26" ht="27.95" hidden="1">
      <c r="A47" s="20">
        <v>54</v>
      </c>
      <c r="B47" s="24">
        <v>43342</v>
      </c>
      <c r="C47" s="22" t="s">
        <v>175</v>
      </c>
      <c r="D47" s="11"/>
      <c r="E47" s="22" t="s">
        <v>62</v>
      </c>
      <c r="F47" s="22" t="s">
        <v>142</v>
      </c>
      <c r="G47" s="22" t="s">
        <v>263</v>
      </c>
      <c r="H47" s="22" t="s">
        <v>177</v>
      </c>
      <c r="I47" s="22" t="s">
        <v>39</v>
      </c>
      <c r="J47" s="22" t="s">
        <v>264</v>
      </c>
      <c r="K47" s="22" t="s">
        <v>265</v>
      </c>
      <c r="L47" s="22" t="s">
        <v>180</v>
      </c>
      <c r="M47" s="22">
        <v>2</v>
      </c>
      <c r="N47" s="22">
        <v>1</v>
      </c>
      <c r="O47" s="22">
        <v>2</v>
      </c>
      <c r="P47" s="22">
        <v>0</v>
      </c>
      <c r="Q47" s="22">
        <v>0</v>
      </c>
      <c r="R47" s="1201">
        <v>1687</v>
      </c>
      <c r="S47" s="1201">
        <v>3374</v>
      </c>
      <c r="T47" s="22" t="s">
        <v>148</v>
      </c>
      <c r="U47" s="1854" t="s">
        <v>149</v>
      </c>
      <c r="V47" s="22" t="s">
        <v>150</v>
      </c>
      <c r="W47" s="2006" t="s">
        <v>266</v>
      </c>
      <c r="X47" s="18"/>
      <c r="Y47" s="4"/>
      <c r="Z47" s="4"/>
    </row>
    <row r="48" spans="1:26" ht="14.1" hidden="1">
      <c r="A48" s="20">
        <v>55</v>
      </c>
      <c r="B48" s="24">
        <v>43342</v>
      </c>
      <c r="C48" s="22" t="s">
        <v>267</v>
      </c>
      <c r="D48" s="11"/>
      <c r="E48" s="22" t="s">
        <v>62</v>
      </c>
      <c r="F48" s="22" t="s">
        <v>142</v>
      </c>
      <c r="G48" s="22" t="s">
        <v>268</v>
      </c>
      <c r="H48" s="22" t="s">
        <v>269</v>
      </c>
      <c r="I48" s="22" t="s">
        <v>39</v>
      </c>
      <c r="J48" s="22" t="s">
        <v>270</v>
      </c>
      <c r="K48" s="22" t="s">
        <v>271</v>
      </c>
      <c r="L48" s="22" t="s">
        <v>180</v>
      </c>
      <c r="M48" s="22">
        <v>2</v>
      </c>
      <c r="N48" s="22">
        <v>1</v>
      </c>
      <c r="O48" s="22">
        <v>2</v>
      </c>
      <c r="P48" s="22">
        <v>0</v>
      </c>
      <c r="Q48" s="22">
        <v>0</v>
      </c>
      <c r="R48" s="1201">
        <v>300</v>
      </c>
      <c r="S48" s="1201">
        <v>600</v>
      </c>
      <c r="T48" s="22" t="s">
        <v>148</v>
      </c>
      <c r="U48" s="1854" t="s">
        <v>149</v>
      </c>
      <c r="V48" s="22" t="s">
        <v>150</v>
      </c>
      <c r="W48" s="2006" t="s">
        <v>272</v>
      </c>
      <c r="X48" s="18"/>
      <c r="Y48" s="4"/>
      <c r="Z48" s="4"/>
    </row>
    <row r="49" spans="1:26" ht="14.1" hidden="1">
      <c r="A49" s="20">
        <v>56</v>
      </c>
      <c r="B49" s="24">
        <v>43342</v>
      </c>
      <c r="C49" s="22" t="s">
        <v>273</v>
      </c>
      <c r="D49" s="11"/>
      <c r="E49" s="22" t="s">
        <v>62</v>
      </c>
      <c r="F49" s="22" t="s">
        <v>142</v>
      </c>
      <c r="G49" s="22" t="s">
        <v>274</v>
      </c>
      <c r="H49" s="22" t="s">
        <v>83</v>
      </c>
      <c r="I49" s="22" t="s">
        <v>39</v>
      </c>
      <c r="J49" s="22" t="s">
        <v>275</v>
      </c>
      <c r="K49" s="22" t="s">
        <v>276</v>
      </c>
      <c r="L49" s="22" t="s">
        <v>180</v>
      </c>
      <c r="M49" s="22">
        <v>1</v>
      </c>
      <c r="N49" s="22">
        <v>1</v>
      </c>
      <c r="O49" s="22">
        <v>1</v>
      </c>
      <c r="P49" s="22">
        <v>0</v>
      </c>
      <c r="Q49" s="22">
        <f t="shared" ref="Q49:Q50" si="2">O49-M49</f>
        <v>0</v>
      </c>
      <c r="R49" s="1201">
        <v>1813</v>
      </c>
      <c r="S49" s="1201">
        <v>1813</v>
      </c>
      <c r="T49" s="22" t="s">
        <v>148</v>
      </c>
      <c r="U49" s="1854" t="s">
        <v>149</v>
      </c>
      <c r="V49" s="22" t="s">
        <v>150</v>
      </c>
      <c r="W49" s="2006" t="s">
        <v>277</v>
      </c>
      <c r="X49" s="18"/>
      <c r="Y49" s="4"/>
      <c r="Z49" s="4"/>
    </row>
    <row r="50" spans="1:26" ht="27.95" hidden="1">
      <c r="A50" s="20">
        <v>57</v>
      </c>
      <c r="B50" s="24">
        <v>43342</v>
      </c>
      <c r="C50" s="22" t="s">
        <v>278</v>
      </c>
      <c r="D50" s="11"/>
      <c r="E50" s="22" t="s">
        <v>62</v>
      </c>
      <c r="F50" s="22" t="s">
        <v>142</v>
      </c>
      <c r="G50" s="22" t="s">
        <v>279</v>
      </c>
      <c r="H50" s="22" t="s">
        <v>280</v>
      </c>
      <c r="I50" s="22" t="s">
        <v>281</v>
      </c>
      <c r="J50" s="22" t="s">
        <v>282</v>
      </c>
      <c r="K50" s="22" t="s">
        <v>283</v>
      </c>
      <c r="L50" s="22" t="s">
        <v>210</v>
      </c>
      <c r="M50" s="22">
        <v>3</v>
      </c>
      <c r="N50" s="22">
        <v>10</v>
      </c>
      <c r="O50" s="22">
        <v>10</v>
      </c>
      <c r="P50" s="22">
        <v>0</v>
      </c>
      <c r="Q50" s="22">
        <f t="shared" si="2"/>
        <v>7</v>
      </c>
      <c r="R50" s="1201">
        <v>245.2</v>
      </c>
      <c r="S50" s="1201">
        <v>2452</v>
      </c>
      <c r="T50" s="22" t="s">
        <v>148</v>
      </c>
      <c r="U50" s="1854" t="s">
        <v>149</v>
      </c>
      <c r="V50" s="22" t="s">
        <v>150</v>
      </c>
      <c r="W50" s="2006" t="s">
        <v>284</v>
      </c>
      <c r="X50" s="18"/>
      <c r="Y50" s="4"/>
      <c r="Z50" s="4"/>
    </row>
    <row r="51" spans="1:26" ht="14.1" hidden="1">
      <c r="A51" s="20">
        <v>58</v>
      </c>
      <c r="B51" s="24">
        <v>43349</v>
      </c>
      <c r="C51" s="22" t="s">
        <v>285</v>
      </c>
      <c r="D51" s="11"/>
      <c r="E51" s="22" t="s">
        <v>62</v>
      </c>
      <c r="F51" s="22" t="s">
        <v>286</v>
      </c>
      <c r="G51" s="22"/>
      <c r="H51" s="22" t="s">
        <v>287</v>
      </c>
      <c r="I51" s="22" t="s">
        <v>287</v>
      </c>
      <c r="J51" s="22"/>
      <c r="K51" s="22"/>
      <c r="L51" s="22"/>
      <c r="M51" s="22"/>
      <c r="N51" s="22"/>
      <c r="O51" s="22">
        <v>4</v>
      </c>
      <c r="P51" s="22"/>
      <c r="Q51" s="22">
        <v>0</v>
      </c>
      <c r="R51" s="1201"/>
      <c r="S51" s="1201">
        <v>25018</v>
      </c>
      <c r="T51" s="22"/>
      <c r="U51" s="1854"/>
      <c r="V51" s="22"/>
      <c r="W51" s="2007"/>
      <c r="X51" s="18"/>
      <c r="Y51" s="4"/>
      <c r="Z51" s="4"/>
    </row>
    <row r="52" spans="1:26" ht="14.1" hidden="1">
      <c r="A52" s="20">
        <v>59</v>
      </c>
      <c r="B52" s="24">
        <v>43351</v>
      </c>
      <c r="C52" s="22" t="s">
        <v>288</v>
      </c>
      <c r="D52" s="11"/>
      <c r="E52" s="22"/>
      <c r="F52" s="22" t="s">
        <v>289</v>
      </c>
      <c r="G52" s="22" t="s">
        <v>1</v>
      </c>
      <c r="H52" s="22" t="s">
        <v>1</v>
      </c>
      <c r="I52" s="22" t="s">
        <v>290</v>
      </c>
      <c r="J52" s="22"/>
      <c r="K52" s="22"/>
      <c r="L52" s="22"/>
      <c r="M52" s="22"/>
      <c r="N52" s="22"/>
      <c r="O52" s="22"/>
      <c r="P52" s="22"/>
      <c r="Q52" s="22">
        <v>0</v>
      </c>
      <c r="R52" s="1201"/>
      <c r="S52" s="1201">
        <v>88560</v>
      </c>
      <c r="T52" s="22" t="s">
        <v>291</v>
      </c>
      <c r="U52" s="1854"/>
      <c r="V52" s="22"/>
      <c r="W52" s="2007"/>
      <c r="X52" s="18"/>
      <c r="Y52" s="4"/>
      <c r="Z52" s="4"/>
    </row>
    <row r="53" spans="1:26" ht="14.1" hidden="1">
      <c r="A53" s="20">
        <v>60</v>
      </c>
      <c r="B53" s="24">
        <v>43351</v>
      </c>
      <c r="C53" s="22" t="s">
        <v>292</v>
      </c>
      <c r="D53" s="11"/>
      <c r="E53" s="22"/>
      <c r="F53" s="22" t="s">
        <v>289</v>
      </c>
      <c r="G53" s="22" t="s">
        <v>1</v>
      </c>
      <c r="H53" s="22" t="s">
        <v>1</v>
      </c>
      <c r="I53" s="22" t="s">
        <v>290</v>
      </c>
      <c r="J53" s="22"/>
      <c r="K53" s="22"/>
      <c r="L53" s="22"/>
      <c r="M53" s="22"/>
      <c r="N53" s="22"/>
      <c r="O53" s="22"/>
      <c r="P53" s="22"/>
      <c r="Q53" s="22">
        <v>0</v>
      </c>
      <c r="R53" s="1201"/>
      <c r="S53" s="1201">
        <v>154980</v>
      </c>
      <c r="T53" s="22" t="s">
        <v>293</v>
      </c>
      <c r="U53" s="1854"/>
      <c r="V53" s="22"/>
      <c r="W53" s="2007"/>
      <c r="X53" s="18"/>
      <c r="Y53" s="4"/>
      <c r="Z53" s="4"/>
    </row>
    <row r="54" spans="1:26" ht="14.1" hidden="1">
      <c r="A54" s="20">
        <v>61</v>
      </c>
      <c r="B54" s="24">
        <v>43353</v>
      </c>
      <c r="C54" s="22" t="s">
        <v>294</v>
      </c>
      <c r="D54" s="11"/>
      <c r="E54" s="22" t="s">
        <v>295</v>
      </c>
      <c r="F54" s="22" t="s">
        <v>296</v>
      </c>
      <c r="G54" s="22" t="s">
        <v>1</v>
      </c>
      <c r="H54" s="22" t="s">
        <v>297</v>
      </c>
      <c r="I54" s="22" t="s">
        <v>39</v>
      </c>
      <c r="J54" s="22" t="s">
        <v>298</v>
      </c>
      <c r="K54" s="22" t="s">
        <v>299</v>
      </c>
      <c r="L54" s="22"/>
      <c r="M54" s="22">
        <v>13</v>
      </c>
      <c r="N54" s="22">
        <v>1</v>
      </c>
      <c r="O54" s="22">
        <v>26</v>
      </c>
      <c r="P54" s="22">
        <v>5</v>
      </c>
      <c r="Q54" s="22">
        <v>31</v>
      </c>
      <c r="R54" s="1201">
        <v>49.9</v>
      </c>
      <c r="S54" s="1201">
        <v>1497</v>
      </c>
      <c r="T54" s="22" t="s">
        <v>300</v>
      </c>
      <c r="U54" s="1854" t="s">
        <v>301</v>
      </c>
      <c r="V54" s="22" t="s">
        <v>302</v>
      </c>
      <c r="W54" s="2007"/>
      <c r="X54" s="18"/>
      <c r="Y54" s="4"/>
      <c r="Z54" s="4"/>
    </row>
    <row r="55" spans="1:26" ht="14.1" hidden="1">
      <c r="A55" s="20">
        <v>62</v>
      </c>
      <c r="B55" s="24">
        <v>43353</v>
      </c>
      <c r="C55" s="22" t="s">
        <v>303</v>
      </c>
      <c r="D55" s="11"/>
      <c r="E55" s="22" t="s">
        <v>295</v>
      </c>
      <c r="F55" s="22" t="s">
        <v>296</v>
      </c>
      <c r="G55" s="22" t="s">
        <v>304</v>
      </c>
      <c r="H55" s="22" t="s">
        <v>305</v>
      </c>
      <c r="I55" s="22" t="s">
        <v>281</v>
      </c>
      <c r="J55" s="22" t="s">
        <v>306</v>
      </c>
      <c r="K55" s="22" t="s">
        <v>307</v>
      </c>
      <c r="L55" s="22"/>
      <c r="M55" s="22">
        <v>13</v>
      </c>
      <c r="N55" s="22">
        <v>10</v>
      </c>
      <c r="O55" s="22">
        <v>30</v>
      </c>
      <c r="P55" s="22">
        <v>2</v>
      </c>
      <c r="Q55" s="22">
        <v>32</v>
      </c>
      <c r="R55" s="1201">
        <v>165.24</v>
      </c>
      <c r="S55" s="1201">
        <v>4296</v>
      </c>
      <c r="T55" s="22" t="s">
        <v>300</v>
      </c>
      <c r="U55" s="1854" t="s">
        <v>301</v>
      </c>
      <c r="V55" s="22" t="s">
        <v>302</v>
      </c>
      <c r="W55" s="2007"/>
      <c r="X55" s="18"/>
      <c r="Y55" s="4"/>
      <c r="Z55" s="4"/>
    </row>
    <row r="56" spans="1:26" ht="14.1" hidden="1">
      <c r="A56" s="20">
        <v>63</v>
      </c>
      <c r="B56" s="24">
        <v>43355</v>
      </c>
      <c r="C56" s="22" t="s">
        <v>308</v>
      </c>
      <c r="D56" s="11"/>
      <c r="E56" s="22" t="s">
        <v>62</v>
      </c>
      <c r="F56" s="22" t="s">
        <v>309</v>
      </c>
      <c r="G56" s="22"/>
      <c r="H56" s="22"/>
      <c r="I56" s="22" t="s">
        <v>310</v>
      </c>
      <c r="J56" s="22"/>
      <c r="K56" s="22"/>
      <c r="L56" s="22"/>
      <c r="M56" s="22">
        <v>2</v>
      </c>
      <c r="N56" s="22"/>
      <c r="O56" s="22"/>
      <c r="P56" s="22"/>
      <c r="Q56" s="22">
        <v>0</v>
      </c>
      <c r="R56" s="1201"/>
      <c r="S56" s="1201">
        <v>1230</v>
      </c>
      <c r="T56" s="22" t="s">
        <v>311</v>
      </c>
      <c r="U56" s="1854"/>
      <c r="V56" s="22"/>
      <c r="W56" s="2007" t="s">
        <v>310</v>
      </c>
      <c r="X56" s="18"/>
      <c r="Y56" s="4"/>
      <c r="Z56" s="4"/>
    </row>
    <row r="57" spans="1:26" ht="27.95" hidden="1">
      <c r="A57" s="20">
        <v>64</v>
      </c>
      <c r="B57" s="24">
        <v>43355</v>
      </c>
      <c r="C57" s="22" t="s">
        <v>312</v>
      </c>
      <c r="D57" s="11"/>
      <c r="E57" s="22" t="s">
        <v>295</v>
      </c>
      <c r="F57" s="22" t="s">
        <v>313</v>
      </c>
      <c r="G57" s="22" t="s">
        <v>314</v>
      </c>
      <c r="H57" s="22" t="s">
        <v>315</v>
      </c>
      <c r="I57" s="22" t="s">
        <v>315</v>
      </c>
      <c r="J57" s="22"/>
      <c r="K57" s="28" t="s">
        <v>312</v>
      </c>
      <c r="L57" s="22" t="s">
        <v>316</v>
      </c>
      <c r="M57" s="22">
        <v>1</v>
      </c>
      <c r="N57" s="22">
        <v>1</v>
      </c>
      <c r="O57" s="22"/>
      <c r="P57" s="22">
        <v>0</v>
      </c>
      <c r="Q57" s="22">
        <v>0</v>
      </c>
      <c r="R57" s="1201">
        <v>156000</v>
      </c>
      <c r="S57" s="1201">
        <v>156000</v>
      </c>
      <c r="T57" s="22" t="s">
        <v>317</v>
      </c>
      <c r="U57" s="1854" t="s">
        <v>318</v>
      </c>
      <c r="V57" s="22" t="s">
        <v>319</v>
      </c>
      <c r="W57" s="2006" t="s">
        <v>320</v>
      </c>
      <c r="X57" s="18"/>
      <c r="Y57" s="4"/>
      <c r="Z57" s="4"/>
    </row>
    <row r="58" spans="1:26" ht="15.95" hidden="1">
      <c r="A58" s="20">
        <v>65</v>
      </c>
      <c r="B58" s="24">
        <v>43355</v>
      </c>
      <c r="C58" s="22" t="s">
        <v>321</v>
      </c>
      <c r="D58" s="11"/>
      <c r="E58" s="22" t="s">
        <v>62</v>
      </c>
      <c r="F58" s="22" t="s">
        <v>309</v>
      </c>
      <c r="G58" s="22"/>
      <c r="H58" s="22" t="s">
        <v>322</v>
      </c>
      <c r="I58" s="22" t="s">
        <v>322</v>
      </c>
      <c r="J58" s="29">
        <v>46313443</v>
      </c>
      <c r="K58" s="30" t="s">
        <v>323</v>
      </c>
      <c r="L58" s="26"/>
      <c r="M58" s="22">
        <v>2</v>
      </c>
      <c r="N58" s="22">
        <v>2</v>
      </c>
      <c r="O58" s="22"/>
      <c r="P58" s="22"/>
      <c r="Q58" s="22">
        <v>0</v>
      </c>
      <c r="R58" s="1201">
        <v>1120</v>
      </c>
      <c r="S58" s="1201">
        <v>1120</v>
      </c>
      <c r="T58" s="22" t="s">
        <v>311</v>
      </c>
      <c r="U58" s="1854"/>
      <c r="V58" s="22"/>
      <c r="W58" s="2006" t="s">
        <v>324</v>
      </c>
      <c r="X58" s="18"/>
      <c r="Y58" s="4"/>
      <c r="Z58" s="4"/>
    </row>
    <row r="59" spans="1:26" ht="15.95" hidden="1">
      <c r="A59" s="20">
        <v>66</v>
      </c>
      <c r="B59" s="24">
        <v>43355</v>
      </c>
      <c r="C59" s="22" t="s">
        <v>325</v>
      </c>
      <c r="D59" s="11"/>
      <c r="E59" s="22" t="s">
        <v>62</v>
      </c>
      <c r="F59" s="22" t="s">
        <v>309</v>
      </c>
      <c r="G59" s="22" t="s">
        <v>326</v>
      </c>
      <c r="H59" s="22" t="s">
        <v>322</v>
      </c>
      <c r="I59" s="22" t="s">
        <v>322</v>
      </c>
      <c r="J59" s="29">
        <v>34943754</v>
      </c>
      <c r="K59" s="30" t="s">
        <v>327</v>
      </c>
      <c r="L59" s="22"/>
      <c r="M59" s="22">
        <v>1</v>
      </c>
      <c r="N59" s="22">
        <v>1</v>
      </c>
      <c r="O59" s="22"/>
      <c r="P59" s="22"/>
      <c r="Q59" s="22">
        <v>0</v>
      </c>
      <c r="R59" s="1201">
        <v>479</v>
      </c>
      <c r="S59" s="1201">
        <v>479</v>
      </c>
      <c r="T59" s="22" t="s">
        <v>311</v>
      </c>
      <c r="U59" s="1854"/>
      <c r="V59" s="22"/>
      <c r="W59" s="2007"/>
      <c r="X59" s="18"/>
      <c r="Y59" s="4"/>
      <c r="Z59" s="4"/>
    </row>
    <row r="60" spans="1:26" ht="137.44999999999999" hidden="1">
      <c r="A60" s="20">
        <v>67</v>
      </c>
      <c r="B60" s="22" t="s">
        <v>328</v>
      </c>
      <c r="C60" s="22" t="s">
        <v>329</v>
      </c>
      <c r="D60" s="11"/>
      <c r="E60" s="22" t="s">
        <v>295</v>
      </c>
      <c r="F60" s="22" t="s">
        <v>330</v>
      </c>
      <c r="G60" s="22" t="s">
        <v>331</v>
      </c>
      <c r="H60" s="22" t="s">
        <v>332</v>
      </c>
      <c r="I60" s="22" t="s">
        <v>39</v>
      </c>
      <c r="J60" s="31" t="s">
        <v>333</v>
      </c>
      <c r="K60" s="26" t="s">
        <v>334</v>
      </c>
      <c r="L60" s="22">
        <v>805</v>
      </c>
      <c r="M60" s="22">
        <v>3</v>
      </c>
      <c r="N60" s="22">
        <v>100</v>
      </c>
      <c r="O60" s="22">
        <v>100</v>
      </c>
      <c r="P60" s="22">
        <v>0</v>
      </c>
      <c r="Q60" s="22">
        <v>100</v>
      </c>
      <c r="R60" s="1201">
        <v>8.6999999999999993</v>
      </c>
      <c r="S60" s="1201">
        <v>870</v>
      </c>
      <c r="T60" s="22" t="s">
        <v>335</v>
      </c>
      <c r="U60" s="1854" t="s">
        <v>336</v>
      </c>
      <c r="V60" s="22" t="s">
        <v>337</v>
      </c>
      <c r="W60" s="2008" t="s">
        <v>338</v>
      </c>
      <c r="X60" s="18"/>
      <c r="Y60" s="4"/>
      <c r="Z60" s="4"/>
    </row>
    <row r="61" spans="1:26" ht="153.94999999999999" hidden="1">
      <c r="A61" s="20">
        <v>68</v>
      </c>
      <c r="B61" s="22" t="s">
        <v>328</v>
      </c>
      <c r="C61" s="22" t="s">
        <v>339</v>
      </c>
      <c r="D61" s="11"/>
      <c r="E61" s="22" t="s">
        <v>295</v>
      </c>
      <c r="F61" s="22" t="s">
        <v>330</v>
      </c>
      <c r="G61" s="22" t="s">
        <v>340</v>
      </c>
      <c r="H61" s="22" t="s">
        <v>341</v>
      </c>
      <c r="I61" s="22" t="s">
        <v>39</v>
      </c>
      <c r="J61" s="22" t="s">
        <v>342</v>
      </c>
      <c r="K61" s="22" t="s">
        <v>343</v>
      </c>
      <c r="L61" s="22" t="s">
        <v>344</v>
      </c>
      <c r="M61" s="22">
        <v>3</v>
      </c>
      <c r="N61" s="22">
        <v>20</v>
      </c>
      <c r="O61" s="22">
        <v>20</v>
      </c>
      <c r="P61" s="22">
        <v>0</v>
      </c>
      <c r="Q61" s="22">
        <v>20</v>
      </c>
      <c r="R61" s="1201">
        <v>30</v>
      </c>
      <c r="S61" s="1201">
        <v>600</v>
      </c>
      <c r="T61" s="22" t="s">
        <v>335</v>
      </c>
      <c r="U61" s="1854" t="s">
        <v>336</v>
      </c>
      <c r="V61" s="22" t="s">
        <v>337</v>
      </c>
      <c r="W61" s="2006" t="s">
        <v>345</v>
      </c>
      <c r="X61" s="18"/>
      <c r="Y61" s="4"/>
      <c r="Z61" s="4"/>
    </row>
    <row r="62" spans="1:26" ht="42" hidden="1">
      <c r="A62" s="20">
        <v>69</v>
      </c>
      <c r="B62" s="24">
        <v>43361</v>
      </c>
      <c r="C62" s="22" t="s">
        <v>346</v>
      </c>
      <c r="D62" s="11"/>
      <c r="E62" s="22" t="s">
        <v>295</v>
      </c>
      <c r="F62" s="22" t="s">
        <v>131</v>
      </c>
      <c r="G62" s="22" t="s">
        <v>347</v>
      </c>
      <c r="H62" s="22" t="s">
        <v>348</v>
      </c>
      <c r="I62" s="22" t="s">
        <v>281</v>
      </c>
      <c r="J62" s="22" t="s">
        <v>349</v>
      </c>
      <c r="K62" s="22" t="s">
        <v>350</v>
      </c>
      <c r="L62" s="22" t="s">
        <v>351</v>
      </c>
      <c r="M62" s="22">
        <v>2</v>
      </c>
      <c r="N62" s="22">
        <v>1</v>
      </c>
      <c r="O62" s="22">
        <v>4</v>
      </c>
      <c r="P62" s="22">
        <v>0</v>
      </c>
      <c r="Q62" s="22">
        <v>4</v>
      </c>
      <c r="R62" s="1201">
        <v>591</v>
      </c>
      <c r="S62" s="1201">
        <v>2364</v>
      </c>
      <c r="T62" s="22" t="s">
        <v>87</v>
      </c>
      <c r="U62" s="1854" t="s">
        <v>138</v>
      </c>
      <c r="V62" s="22" t="s">
        <v>352</v>
      </c>
      <c r="W62" s="2006" t="s">
        <v>353</v>
      </c>
      <c r="X62" s="18"/>
      <c r="Y62" s="4"/>
      <c r="Z62" s="4"/>
    </row>
    <row r="63" spans="1:26" ht="27.95" hidden="1">
      <c r="A63" s="20">
        <v>70</v>
      </c>
      <c r="B63" s="24">
        <v>43361</v>
      </c>
      <c r="C63" s="22" t="s">
        <v>346</v>
      </c>
      <c r="D63" s="11"/>
      <c r="E63" s="22" t="s">
        <v>295</v>
      </c>
      <c r="F63" s="22" t="s">
        <v>131</v>
      </c>
      <c r="G63" s="22" t="s">
        <v>354</v>
      </c>
      <c r="H63" s="22" t="s">
        <v>315</v>
      </c>
      <c r="I63" s="22" t="s">
        <v>315</v>
      </c>
      <c r="J63" s="22" t="s">
        <v>355</v>
      </c>
      <c r="K63" s="22" t="s">
        <v>355</v>
      </c>
      <c r="L63" s="22"/>
      <c r="M63" s="22">
        <v>3</v>
      </c>
      <c r="N63" s="22">
        <v>20</v>
      </c>
      <c r="O63" s="22">
        <v>20</v>
      </c>
      <c r="P63" s="22">
        <v>0</v>
      </c>
      <c r="Q63" s="22">
        <v>20</v>
      </c>
      <c r="R63" s="1201" t="s">
        <v>356</v>
      </c>
      <c r="S63" s="1201" t="s">
        <v>357</v>
      </c>
      <c r="T63" s="22" t="s">
        <v>87</v>
      </c>
      <c r="U63" s="1854" t="s">
        <v>138</v>
      </c>
      <c r="V63" s="22" t="s">
        <v>352</v>
      </c>
      <c r="W63" s="2006" t="s">
        <v>358</v>
      </c>
      <c r="X63" s="18"/>
      <c r="Y63" s="4"/>
      <c r="Z63" s="4"/>
    </row>
    <row r="64" spans="1:26" ht="42" hidden="1">
      <c r="A64" s="20">
        <v>71</v>
      </c>
      <c r="B64" s="24">
        <v>43362</v>
      </c>
      <c r="C64" s="32" t="s">
        <v>188</v>
      </c>
      <c r="D64" s="11"/>
      <c r="E64" s="22" t="s">
        <v>295</v>
      </c>
      <c r="F64" s="22" t="s">
        <v>131</v>
      </c>
      <c r="G64" s="22" t="s">
        <v>359</v>
      </c>
      <c r="H64" s="22" t="s">
        <v>360</v>
      </c>
      <c r="I64" s="22" t="s">
        <v>281</v>
      </c>
      <c r="J64" s="22" t="s">
        <v>361</v>
      </c>
      <c r="K64" s="22" t="s">
        <v>362</v>
      </c>
      <c r="L64" s="22" t="s">
        <v>363</v>
      </c>
      <c r="M64" s="22">
        <v>5</v>
      </c>
      <c r="N64" s="22">
        <v>1</v>
      </c>
      <c r="O64" s="22">
        <v>10</v>
      </c>
      <c r="P64" s="22">
        <v>0</v>
      </c>
      <c r="Q64" s="22">
        <v>0</v>
      </c>
      <c r="R64" s="1201">
        <v>139</v>
      </c>
      <c r="S64" s="1201">
        <v>1390</v>
      </c>
      <c r="T64" s="22" t="s">
        <v>87</v>
      </c>
      <c r="U64" s="1854" t="s">
        <v>138</v>
      </c>
      <c r="V64" s="22" t="s">
        <v>352</v>
      </c>
      <c r="W64" s="2006" t="s">
        <v>364</v>
      </c>
      <c r="X64" s="18"/>
      <c r="Y64" s="4"/>
      <c r="Z64" s="4"/>
    </row>
    <row r="65" spans="1:26" ht="56.1" hidden="1">
      <c r="A65" s="20">
        <v>72</v>
      </c>
      <c r="B65" s="24">
        <v>43363</v>
      </c>
      <c r="C65" s="22" t="s">
        <v>365</v>
      </c>
      <c r="D65" s="11"/>
      <c r="E65" s="22" t="s">
        <v>295</v>
      </c>
      <c r="F65" s="22" t="s">
        <v>99</v>
      </c>
      <c r="G65" s="22" t="s">
        <v>1</v>
      </c>
      <c r="H65" s="22" t="s">
        <v>366</v>
      </c>
      <c r="I65" s="22" t="s">
        <v>366</v>
      </c>
      <c r="J65" s="22" t="s">
        <v>367</v>
      </c>
      <c r="K65" s="22"/>
      <c r="L65" s="22" t="s">
        <v>1</v>
      </c>
      <c r="M65" s="22">
        <v>24</v>
      </c>
      <c r="N65" s="22">
        <v>1</v>
      </c>
      <c r="O65" s="22">
        <v>1</v>
      </c>
      <c r="P65" s="22">
        <v>0</v>
      </c>
      <c r="Q65" s="22">
        <v>0</v>
      </c>
      <c r="R65" s="1201">
        <v>130</v>
      </c>
      <c r="S65" s="1201">
        <v>6500</v>
      </c>
      <c r="T65" s="22" t="s">
        <v>87</v>
      </c>
      <c r="U65" s="1854" t="s">
        <v>301</v>
      </c>
      <c r="V65" s="22" t="s">
        <v>352</v>
      </c>
      <c r="W65" s="2006" t="s">
        <v>368</v>
      </c>
      <c r="X65" s="18"/>
      <c r="Y65" s="4"/>
      <c r="Z65" s="4"/>
    </row>
    <row r="66" spans="1:26" ht="56.1" hidden="1">
      <c r="A66" s="20">
        <v>73</v>
      </c>
      <c r="B66" s="24">
        <v>43363</v>
      </c>
      <c r="C66" s="22" t="s">
        <v>369</v>
      </c>
      <c r="D66" s="11"/>
      <c r="E66" s="22" t="s">
        <v>295</v>
      </c>
      <c r="F66" s="22" t="s">
        <v>99</v>
      </c>
      <c r="G66" s="22" t="s">
        <v>1</v>
      </c>
      <c r="H66" s="22" t="s">
        <v>366</v>
      </c>
      <c r="I66" s="22" t="s">
        <v>366</v>
      </c>
      <c r="J66" s="22" t="s">
        <v>370</v>
      </c>
      <c r="K66" s="22"/>
      <c r="L66" s="22" t="s">
        <v>1</v>
      </c>
      <c r="M66" s="22">
        <v>12</v>
      </c>
      <c r="N66" s="22">
        <v>1</v>
      </c>
      <c r="O66" s="22">
        <v>20</v>
      </c>
      <c r="P66" s="22">
        <v>0</v>
      </c>
      <c r="Q66" s="22">
        <v>0</v>
      </c>
      <c r="R66" s="1201">
        <v>180</v>
      </c>
      <c r="S66" s="1201">
        <v>3600</v>
      </c>
      <c r="T66" s="22" t="s">
        <v>87</v>
      </c>
      <c r="U66" s="1854" t="s">
        <v>301</v>
      </c>
      <c r="V66" s="22" t="s">
        <v>352</v>
      </c>
      <c r="W66" s="2006" t="s">
        <v>368</v>
      </c>
      <c r="X66" s="18"/>
      <c r="Y66" s="4"/>
      <c r="Z66" s="4"/>
    </row>
    <row r="67" spans="1:26" ht="56.1" hidden="1">
      <c r="A67" s="20">
        <v>74</v>
      </c>
      <c r="B67" s="24">
        <v>43363</v>
      </c>
      <c r="C67" s="22" t="s">
        <v>371</v>
      </c>
      <c r="D67" s="11"/>
      <c r="E67" s="22" t="s">
        <v>295</v>
      </c>
      <c r="F67" s="22" t="s">
        <v>99</v>
      </c>
      <c r="G67" s="22" t="s">
        <v>1</v>
      </c>
      <c r="H67" s="22" t="s">
        <v>366</v>
      </c>
      <c r="I67" s="22" t="s">
        <v>366</v>
      </c>
      <c r="J67" s="22" t="s">
        <v>372</v>
      </c>
      <c r="K67" s="22"/>
      <c r="L67" s="22" t="s">
        <v>1</v>
      </c>
      <c r="M67" s="22">
        <v>12</v>
      </c>
      <c r="N67" s="22">
        <v>1</v>
      </c>
      <c r="O67" s="22">
        <v>20</v>
      </c>
      <c r="P67" s="22">
        <v>0</v>
      </c>
      <c r="Q67" s="22">
        <v>0</v>
      </c>
      <c r="R67" s="1201">
        <v>250</v>
      </c>
      <c r="S67" s="1201">
        <v>5000</v>
      </c>
      <c r="T67" s="22" t="s">
        <v>87</v>
      </c>
      <c r="U67" s="1854" t="s">
        <v>301</v>
      </c>
      <c r="V67" s="22" t="s">
        <v>352</v>
      </c>
      <c r="W67" s="2006" t="s">
        <v>368</v>
      </c>
      <c r="X67" s="18"/>
      <c r="Y67" s="4"/>
      <c r="Z67" s="4"/>
    </row>
    <row r="68" spans="1:26" ht="56.1" hidden="1">
      <c r="A68" s="20">
        <v>75</v>
      </c>
      <c r="B68" s="24">
        <v>43363</v>
      </c>
      <c r="C68" s="22" t="s">
        <v>373</v>
      </c>
      <c r="D68" s="11"/>
      <c r="E68" s="22" t="s">
        <v>295</v>
      </c>
      <c r="F68" s="22" t="s">
        <v>99</v>
      </c>
      <c r="G68" s="22" t="s">
        <v>1</v>
      </c>
      <c r="H68" s="22" t="s">
        <v>366</v>
      </c>
      <c r="I68" s="22" t="s">
        <v>366</v>
      </c>
      <c r="J68" s="22" t="s">
        <v>367</v>
      </c>
      <c r="K68" s="22"/>
      <c r="L68" s="22" t="s">
        <v>1</v>
      </c>
      <c r="M68" s="22">
        <v>12</v>
      </c>
      <c r="N68" s="22">
        <v>50</v>
      </c>
      <c r="O68" s="22">
        <v>50</v>
      </c>
      <c r="P68" s="22">
        <v>0</v>
      </c>
      <c r="Q68" s="22">
        <v>0</v>
      </c>
      <c r="R68" s="1201">
        <v>38.380000000000003</v>
      </c>
      <c r="S68" s="1201">
        <v>1919</v>
      </c>
      <c r="T68" s="22" t="s">
        <v>87</v>
      </c>
      <c r="U68" s="1854" t="s">
        <v>301</v>
      </c>
      <c r="V68" s="22" t="s">
        <v>352</v>
      </c>
      <c r="W68" s="2006" t="s">
        <v>374</v>
      </c>
      <c r="X68" s="18"/>
      <c r="Y68" s="4"/>
      <c r="Z68" s="4"/>
    </row>
    <row r="69" spans="1:26" ht="56.1" hidden="1">
      <c r="A69" s="20">
        <v>76</v>
      </c>
      <c r="B69" s="24">
        <v>43363</v>
      </c>
      <c r="C69" s="22" t="s">
        <v>375</v>
      </c>
      <c r="D69" s="11"/>
      <c r="E69" s="22" t="s">
        <v>295</v>
      </c>
      <c r="F69" s="22" t="s">
        <v>99</v>
      </c>
      <c r="G69" s="22" t="s">
        <v>1</v>
      </c>
      <c r="H69" s="22" t="s">
        <v>366</v>
      </c>
      <c r="I69" s="22" t="s">
        <v>366</v>
      </c>
      <c r="J69" s="22" t="s">
        <v>376</v>
      </c>
      <c r="K69" s="22"/>
      <c r="L69" s="22" t="s">
        <v>1</v>
      </c>
      <c r="M69" s="22">
        <v>12</v>
      </c>
      <c r="N69" s="22">
        <v>1</v>
      </c>
      <c r="O69" s="22">
        <v>18</v>
      </c>
      <c r="P69" s="22">
        <v>0</v>
      </c>
      <c r="Q69" s="22">
        <v>0</v>
      </c>
      <c r="R69" s="1201">
        <v>470</v>
      </c>
      <c r="S69" s="1201">
        <v>8460</v>
      </c>
      <c r="T69" s="22" t="s">
        <v>87</v>
      </c>
      <c r="U69" s="1854" t="s">
        <v>301</v>
      </c>
      <c r="V69" s="22" t="s">
        <v>352</v>
      </c>
      <c r="W69" s="2006" t="s">
        <v>377</v>
      </c>
      <c r="X69" s="18"/>
      <c r="Y69" s="4"/>
      <c r="Z69" s="4"/>
    </row>
    <row r="70" spans="1:26" ht="56.1" hidden="1">
      <c r="A70" s="20">
        <v>77</v>
      </c>
      <c r="B70" s="24">
        <v>43363</v>
      </c>
      <c r="C70" s="22" t="s">
        <v>378</v>
      </c>
      <c r="D70" s="11"/>
      <c r="E70" s="22" t="s">
        <v>295</v>
      </c>
      <c r="F70" s="22" t="s">
        <v>99</v>
      </c>
      <c r="G70" s="22" t="s">
        <v>1</v>
      </c>
      <c r="H70" s="22" t="s">
        <v>366</v>
      </c>
      <c r="I70" s="22" t="s">
        <v>366</v>
      </c>
      <c r="J70" s="22" t="s">
        <v>379</v>
      </c>
      <c r="K70" s="22"/>
      <c r="L70" s="22" t="s">
        <v>1</v>
      </c>
      <c r="M70" s="22">
        <v>36</v>
      </c>
      <c r="N70" s="22">
        <v>1</v>
      </c>
      <c r="O70" s="22">
        <v>100</v>
      </c>
      <c r="P70" s="22">
        <v>0</v>
      </c>
      <c r="Q70" s="22">
        <v>0</v>
      </c>
      <c r="R70" s="1201">
        <v>4</v>
      </c>
      <c r="S70" s="1201">
        <v>400</v>
      </c>
      <c r="T70" s="22" t="s">
        <v>87</v>
      </c>
      <c r="U70" s="1854" t="s">
        <v>301</v>
      </c>
      <c r="V70" s="22" t="s">
        <v>352</v>
      </c>
      <c r="W70" s="2006" t="s">
        <v>380</v>
      </c>
      <c r="X70" s="18"/>
      <c r="Y70" s="4"/>
      <c r="Z70" s="4"/>
    </row>
    <row r="71" spans="1:26" ht="27.95" hidden="1">
      <c r="A71" s="20">
        <v>78</v>
      </c>
      <c r="B71" s="24">
        <v>43363</v>
      </c>
      <c r="C71" s="22" t="s">
        <v>381</v>
      </c>
      <c r="D71" s="11"/>
      <c r="E71" s="22" t="s">
        <v>295</v>
      </c>
      <c r="F71" s="22" t="s">
        <v>99</v>
      </c>
      <c r="G71" s="22" t="s">
        <v>1</v>
      </c>
      <c r="H71" s="22" t="s">
        <v>382</v>
      </c>
      <c r="I71" s="22" t="s">
        <v>366</v>
      </c>
      <c r="J71" s="22" t="s">
        <v>381</v>
      </c>
      <c r="K71" s="22"/>
      <c r="L71" s="22" t="s">
        <v>1</v>
      </c>
      <c r="M71" s="22">
        <v>12</v>
      </c>
      <c r="N71" s="22">
        <v>20</v>
      </c>
      <c r="O71" s="22">
        <v>20</v>
      </c>
      <c r="P71" s="22">
        <v>0</v>
      </c>
      <c r="Q71" s="22">
        <v>0</v>
      </c>
      <c r="R71" s="1201">
        <v>20</v>
      </c>
      <c r="S71" s="1201">
        <v>400</v>
      </c>
      <c r="T71" s="22" t="s">
        <v>87</v>
      </c>
      <c r="U71" s="1854" t="s">
        <v>301</v>
      </c>
      <c r="V71" s="22" t="s">
        <v>352</v>
      </c>
      <c r="W71" s="2006" t="s">
        <v>383</v>
      </c>
      <c r="X71" s="18"/>
      <c r="Y71" s="4"/>
      <c r="Z71" s="4"/>
    </row>
    <row r="72" spans="1:26" ht="27.95" hidden="1">
      <c r="A72" s="20">
        <v>79</v>
      </c>
      <c r="B72" s="24">
        <v>43363</v>
      </c>
      <c r="C72" s="22" t="s">
        <v>384</v>
      </c>
      <c r="D72" s="11"/>
      <c r="E72" s="22" t="s">
        <v>295</v>
      </c>
      <c r="F72" s="22" t="s">
        <v>99</v>
      </c>
      <c r="G72" s="22" t="s">
        <v>1</v>
      </c>
      <c r="H72" s="22" t="s">
        <v>382</v>
      </c>
      <c r="I72" s="22" t="s">
        <v>366</v>
      </c>
      <c r="J72" s="22" t="s">
        <v>384</v>
      </c>
      <c r="K72" s="22"/>
      <c r="L72" s="22" t="s">
        <v>1</v>
      </c>
      <c r="M72" s="22">
        <v>12</v>
      </c>
      <c r="N72" s="22">
        <v>50</v>
      </c>
      <c r="O72" s="22">
        <v>50</v>
      </c>
      <c r="P72" s="22">
        <v>0</v>
      </c>
      <c r="Q72" s="22">
        <v>0</v>
      </c>
      <c r="R72" s="1201">
        <v>33</v>
      </c>
      <c r="S72" s="1201">
        <v>1650</v>
      </c>
      <c r="T72" s="22" t="s">
        <v>87</v>
      </c>
      <c r="U72" s="1854" t="s">
        <v>301</v>
      </c>
      <c r="V72" s="22" t="s">
        <v>352</v>
      </c>
      <c r="W72" s="2006" t="s">
        <v>385</v>
      </c>
      <c r="X72" s="18"/>
      <c r="Y72" s="4"/>
      <c r="Z72" s="4"/>
    </row>
    <row r="73" spans="1:26" ht="27.95" hidden="1">
      <c r="A73" s="20">
        <v>80</v>
      </c>
      <c r="B73" s="24">
        <v>43363</v>
      </c>
      <c r="C73" s="22" t="s">
        <v>386</v>
      </c>
      <c r="D73" s="11"/>
      <c r="E73" s="22" t="s">
        <v>295</v>
      </c>
      <c r="F73" s="22" t="s">
        <v>99</v>
      </c>
      <c r="G73" s="22" t="s">
        <v>1</v>
      </c>
      <c r="H73" s="22" t="s">
        <v>382</v>
      </c>
      <c r="I73" s="22" t="s">
        <v>366</v>
      </c>
      <c r="J73" s="22" t="s">
        <v>386</v>
      </c>
      <c r="K73" s="22"/>
      <c r="L73" s="22" t="s">
        <v>1</v>
      </c>
      <c r="M73" s="22">
        <v>12</v>
      </c>
      <c r="N73" s="22">
        <v>50</v>
      </c>
      <c r="O73" s="22">
        <v>50</v>
      </c>
      <c r="P73" s="22">
        <v>0</v>
      </c>
      <c r="Q73" s="22">
        <v>0</v>
      </c>
      <c r="R73" s="1201">
        <v>33</v>
      </c>
      <c r="S73" s="1201">
        <v>1650</v>
      </c>
      <c r="T73" s="22" t="s">
        <v>87</v>
      </c>
      <c r="U73" s="1854" t="s">
        <v>301</v>
      </c>
      <c r="V73" s="22" t="s">
        <v>352</v>
      </c>
      <c r="W73" s="2006" t="s">
        <v>385</v>
      </c>
      <c r="X73" s="18"/>
      <c r="Y73" s="4"/>
      <c r="Z73" s="4"/>
    </row>
    <row r="74" spans="1:26" ht="27.95" hidden="1">
      <c r="A74" s="20">
        <v>81</v>
      </c>
      <c r="B74" s="24">
        <v>43363</v>
      </c>
      <c r="C74" s="22" t="s">
        <v>387</v>
      </c>
      <c r="D74" s="11"/>
      <c r="E74" s="22" t="s">
        <v>295</v>
      </c>
      <c r="F74" s="22" t="s">
        <v>99</v>
      </c>
      <c r="G74" s="22" t="s">
        <v>1</v>
      </c>
      <c r="H74" s="22" t="s">
        <v>382</v>
      </c>
      <c r="I74" s="22" t="s">
        <v>366</v>
      </c>
      <c r="J74" s="22" t="s">
        <v>387</v>
      </c>
      <c r="K74" s="22"/>
      <c r="L74" s="22" t="s">
        <v>1</v>
      </c>
      <c r="M74" s="22">
        <v>6</v>
      </c>
      <c r="N74" s="22">
        <v>10</v>
      </c>
      <c r="O74" s="22">
        <v>10</v>
      </c>
      <c r="P74" s="22">
        <v>0</v>
      </c>
      <c r="Q74" s="22">
        <v>0</v>
      </c>
      <c r="R74" s="1201">
        <v>47</v>
      </c>
      <c r="S74" s="1201">
        <v>470</v>
      </c>
      <c r="T74" s="22" t="s">
        <v>87</v>
      </c>
      <c r="U74" s="1854" t="s">
        <v>301</v>
      </c>
      <c r="V74" s="22" t="s">
        <v>352</v>
      </c>
      <c r="W74" s="2006" t="s">
        <v>388</v>
      </c>
      <c r="X74" s="18"/>
      <c r="Y74" s="4"/>
      <c r="Z74" s="4"/>
    </row>
    <row r="75" spans="1:26" ht="27.95" hidden="1">
      <c r="A75" s="20">
        <v>82</v>
      </c>
      <c r="B75" s="24">
        <v>43363</v>
      </c>
      <c r="C75" s="22" t="s">
        <v>389</v>
      </c>
      <c r="D75" s="11"/>
      <c r="E75" s="22" t="s">
        <v>295</v>
      </c>
      <c r="F75" s="22" t="s">
        <v>99</v>
      </c>
      <c r="G75" s="22" t="s">
        <v>1</v>
      </c>
      <c r="H75" s="22" t="s">
        <v>382</v>
      </c>
      <c r="I75" s="22" t="s">
        <v>366</v>
      </c>
      <c r="J75" s="22" t="s">
        <v>389</v>
      </c>
      <c r="K75" s="22"/>
      <c r="L75" s="22" t="s">
        <v>1</v>
      </c>
      <c r="M75" s="22">
        <v>24</v>
      </c>
      <c r="N75" s="22">
        <v>10</v>
      </c>
      <c r="O75" s="22">
        <v>40</v>
      </c>
      <c r="P75" s="22">
        <v>0</v>
      </c>
      <c r="Q75" s="22">
        <v>0</v>
      </c>
      <c r="R75" s="1201">
        <v>38</v>
      </c>
      <c r="S75" s="1201">
        <v>1520</v>
      </c>
      <c r="T75" s="22" t="s">
        <v>87</v>
      </c>
      <c r="U75" s="1854" t="s">
        <v>301</v>
      </c>
      <c r="V75" s="22" t="s">
        <v>352</v>
      </c>
      <c r="W75" s="2006" t="s">
        <v>388</v>
      </c>
      <c r="X75" s="18"/>
      <c r="Y75" s="4"/>
      <c r="Z75" s="4"/>
    </row>
    <row r="76" spans="1:26" ht="27.95" hidden="1">
      <c r="A76" s="20">
        <v>83</v>
      </c>
      <c r="B76" s="24">
        <v>43363</v>
      </c>
      <c r="C76" s="22" t="s">
        <v>390</v>
      </c>
      <c r="D76" s="11"/>
      <c r="E76" s="22" t="s">
        <v>295</v>
      </c>
      <c r="F76" s="22" t="s">
        <v>99</v>
      </c>
      <c r="G76" s="22" t="s">
        <v>1</v>
      </c>
      <c r="H76" s="22" t="s">
        <v>382</v>
      </c>
      <c r="I76" s="22" t="s">
        <v>366</v>
      </c>
      <c r="J76" s="22" t="s">
        <v>390</v>
      </c>
      <c r="K76" s="22"/>
      <c r="L76" s="22" t="s">
        <v>1</v>
      </c>
      <c r="M76" s="22">
        <v>48</v>
      </c>
      <c r="N76" s="22">
        <v>10</v>
      </c>
      <c r="O76" s="22">
        <v>80</v>
      </c>
      <c r="P76" s="22">
        <v>0</v>
      </c>
      <c r="Q76" s="22">
        <v>0</v>
      </c>
      <c r="R76" s="1201">
        <v>38</v>
      </c>
      <c r="S76" s="1201">
        <v>3040</v>
      </c>
      <c r="T76" s="22" t="s">
        <v>87</v>
      </c>
      <c r="U76" s="1854" t="s">
        <v>301</v>
      </c>
      <c r="V76" s="22" t="s">
        <v>352</v>
      </c>
      <c r="W76" s="2006" t="s">
        <v>388</v>
      </c>
      <c r="X76" s="18"/>
      <c r="Y76" s="4"/>
      <c r="Z76" s="4"/>
    </row>
    <row r="77" spans="1:26" ht="27.95" hidden="1">
      <c r="A77" s="20">
        <v>84</v>
      </c>
      <c r="B77" s="24">
        <v>43363</v>
      </c>
      <c r="C77" s="22" t="s">
        <v>391</v>
      </c>
      <c r="D77" s="11"/>
      <c r="E77" s="22" t="s">
        <v>295</v>
      </c>
      <c r="F77" s="22" t="s">
        <v>99</v>
      </c>
      <c r="G77" s="22" t="s">
        <v>1</v>
      </c>
      <c r="H77" s="22" t="s">
        <v>382</v>
      </c>
      <c r="I77" s="22" t="s">
        <v>366</v>
      </c>
      <c r="J77" s="22" t="s">
        <v>391</v>
      </c>
      <c r="K77" s="22"/>
      <c r="L77" s="22" t="s">
        <v>1</v>
      </c>
      <c r="M77" s="22">
        <v>6</v>
      </c>
      <c r="N77" s="22">
        <v>10</v>
      </c>
      <c r="O77" s="22">
        <v>10</v>
      </c>
      <c r="P77" s="22">
        <v>0</v>
      </c>
      <c r="Q77" s="22">
        <v>0</v>
      </c>
      <c r="R77" s="1201">
        <v>148</v>
      </c>
      <c r="S77" s="1201">
        <v>1480</v>
      </c>
      <c r="T77" s="22" t="s">
        <v>87</v>
      </c>
      <c r="U77" s="1854" t="s">
        <v>301</v>
      </c>
      <c r="V77" s="22" t="s">
        <v>352</v>
      </c>
      <c r="W77" s="2006" t="s">
        <v>392</v>
      </c>
      <c r="X77" s="18"/>
      <c r="Y77" s="4"/>
      <c r="Z77" s="4"/>
    </row>
    <row r="78" spans="1:26" ht="27.95" hidden="1">
      <c r="A78" s="20">
        <v>85</v>
      </c>
      <c r="B78" s="24">
        <v>43363</v>
      </c>
      <c r="C78" s="22" t="s">
        <v>393</v>
      </c>
      <c r="D78" s="11"/>
      <c r="E78" s="22" t="s">
        <v>295</v>
      </c>
      <c r="F78" s="22" t="s">
        <v>99</v>
      </c>
      <c r="G78" s="22" t="s">
        <v>1</v>
      </c>
      <c r="H78" s="22" t="s">
        <v>382</v>
      </c>
      <c r="I78" s="22" t="s">
        <v>366</v>
      </c>
      <c r="J78" s="22" t="s">
        <v>393</v>
      </c>
      <c r="K78" s="22"/>
      <c r="L78" s="22" t="s">
        <v>1</v>
      </c>
      <c r="M78" s="22">
        <v>72</v>
      </c>
      <c r="N78" s="22">
        <v>10</v>
      </c>
      <c r="O78" s="22">
        <v>110</v>
      </c>
      <c r="P78" s="22">
        <v>0</v>
      </c>
      <c r="Q78" s="22">
        <v>0</v>
      </c>
      <c r="R78" s="1201">
        <v>148</v>
      </c>
      <c r="S78" s="1201">
        <v>16280</v>
      </c>
      <c r="T78" s="22" t="s">
        <v>87</v>
      </c>
      <c r="U78" s="1854" t="s">
        <v>301</v>
      </c>
      <c r="V78" s="22" t="s">
        <v>352</v>
      </c>
      <c r="W78" s="2006" t="s">
        <v>392</v>
      </c>
      <c r="X78" s="18"/>
      <c r="Y78" s="4"/>
      <c r="Z78" s="4"/>
    </row>
    <row r="79" spans="1:26" ht="27.95" hidden="1">
      <c r="A79" s="20">
        <v>86</v>
      </c>
      <c r="B79" s="24">
        <v>43363</v>
      </c>
      <c r="C79" s="22" t="s">
        <v>394</v>
      </c>
      <c r="D79" s="11"/>
      <c r="E79" s="22" t="s">
        <v>295</v>
      </c>
      <c r="F79" s="22" t="s">
        <v>99</v>
      </c>
      <c r="G79" s="22" t="s">
        <v>1</v>
      </c>
      <c r="H79" s="22" t="s">
        <v>382</v>
      </c>
      <c r="I79" s="22" t="s">
        <v>366</v>
      </c>
      <c r="J79" s="22" t="s">
        <v>394</v>
      </c>
      <c r="K79" s="22"/>
      <c r="L79" s="22" t="s">
        <v>1</v>
      </c>
      <c r="M79" s="22">
        <v>12</v>
      </c>
      <c r="N79" s="22">
        <v>10</v>
      </c>
      <c r="O79" s="22">
        <v>10</v>
      </c>
      <c r="P79" s="22">
        <v>0</v>
      </c>
      <c r="Q79" s="22">
        <v>0</v>
      </c>
      <c r="R79" s="1201">
        <v>160</v>
      </c>
      <c r="S79" s="1201">
        <v>1600</v>
      </c>
      <c r="T79" s="22" t="s">
        <v>87</v>
      </c>
      <c r="U79" s="1854" t="s">
        <v>301</v>
      </c>
      <c r="V79" s="22" t="s">
        <v>352</v>
      </c>
      <c r="W79" s="2006" t="s">
        <v>395</v>
      </c>
      <c r="X79" s="18"/>
      <c r="Y79" s="4"/>
      <c r="Z79" s="4"/>
    </row>
    <row r="80" spans="1:26" ht="27.95" hidden="1">
      <c r="A80" s="20">
        <v>87</v>
      </c>
      <c r="B80" s="24">
        <v>43363</v>
      </c>
      <c r="C80" s="22" t="s">
        <v>396</v>
      </c>
      <c r="D80" s="11"/>
      <c r="E80" s="22" t="s">
        <v>295</v>
      </c>
      <c r="F80" s="22" t="s">
        <v>99</v>
      </c>
      <c r="G80" s="22" t="s">
        <v>1</v>
      </c>
      <c r="H80" s="22" t="s">
        <v>382</v>
      </c>
      <c r="I80" s="22" t="s">
        <v>366</v>
      </c>
      <c r="J80" s="22" t="s">
        <v>396</v>
      </c>
      <c r="K80" s="22"/>
      <c r="L80" s="22" t="s">
        <v>1</v>
      </c>
      <c r="M80" s="22">
        <v>12</v>
      </c>
      <c r="N80" s="22">
        <v>10</v>
      </c>
      <c r="O80" s="22">
        <v>10</v>
      </c>
      <c r="P80" s="22">
        <v>0</v>
      </c>
      <c r="Q80" s="22">
        <v>0</v>
      </c>
      <c r="R80" s="1201">
        <v>160</v>
      </c>
      <c r="S80" s="1201">
        <v>1600</v>
      </c>
      <c r="T80" s="22" t="s">
        <v>87</v>
      </c>
      <c r="U80" s="1854" t="s">
        <v>301</v>
      </c>
      <c r="V80" s="22" t="s">
        <v>352</v>
      </c>
      <c r="W80" s="2006" t="s">
        <v>395</v>
      </c>
      <c r="X80" s="18"/>
      <c r="Y80" s="4"/>
      <c r="Z80" s="4"/>
    </row>
    <row r="81" spans="1:26" ht="42" hidden="1">
      <c r="A81" s="20">
        <v>88</v>
      </c>
      <c r="B81" s="24">
        <v>43363</v>
      </c>
      <c r="C81" s="22" t="s">
        <v>397</v>
      </c>
      <c r="D81" s="11"/>
      <c r="E81" s="22" t="s">
        <v>295</v>
      </c>
      <c r="F81" s="22" t="s">
        <v>99</v>
      </c>
      <c r="G81" s="22" t="s">
        <v>1</v>
      </c>
      <c r="H81" s="22" t="s">
        <v>382</v>
      </c>
      <c r="I81" s="22" t="s">
        <v>366</v>
      </c>
      <c r="J81" s="22" t="s">
        <v>398</v>
      </c>
      <c r="K81" s="22"/>
      <c r="L81" s="22" t="s">
        <v>1</v>
      </c>
      <c r="M81" s="22">
        <v>1</v>
      </c>
      <c r="N81" s="22">
        <v>1</v>
      </c>
      <c r="O81" s="22">
        <v>1</v>
      </c>
      <c r="P81" s="22">
        <v>1</v>
      </c>
      <c r="Q81" s="22">
        <v>0</v>
      </c>
      <c r="R81" s="1201">
        <v>243</v>
      </c>
      <c r="S81" s="1201">
        <v>243</v>
      </c>
      <c r="T81" s="22" t="s">
        <v>87</v>
      </c>
      <c r="U81" s="1854" t="s">
        <v>301</v>
      </c>
      <c r="V81" s="22" t="s">
        <v>352</v>
      </c>
      <c r="W81" s="2006" t="s">
        <v>399</v>
      </c>
      <c r="X81" s="18"/>
      <c r="Y81" s="4"/>
      <c r="Z81" s="4"/>
    </row>
    <row r="82" spans="1:26" ht="14.1" hidden="1">
      <c r="A82" s="20">
        <v>89</v>
      </c>
      <c r="B82" s="24">
        <v>43364</v>
      </c>
      <c r="C82" s="22" t="s">
        <v>400</v>
      </c>
      <c r="D82" s="11"/>
      <c r="E82" s="22" t="s">
        <v>295</v>
      </c>
      <c r="F82" s="22" t="s">
        <v>131</v>
      </c>
      <c r="G82" s="22"/>
      <c r="H82" s="22" t="s">
        <v>287</v>
      </c>
      <c r="I82" s="22" t="s">
        <v>287</v>
      </c>
      <c r="J82" s="22"/>
      <c r="K82" s="22"/>
      <c r="L82" s="22"/>
      <c r="M82" s="22"/>
      <c r="N82" s="22"/>
      <c r="O82" s="22">
        <v>4</v>
      </c>
      <c r="P82" s="22">
        <v>0</v>
      </c>
      <c r="Q82" s="22">
        <v>0</v>
      </c>
      <c r="R82" s="1201"/>
      <c r="S82" s="1201">
        <v>55150</v>
      </c>
      <c r="T82" s="22" t="s">
        <v>87</v>
      </c>
      <c r="U82" s="1854" t="s">
        <v>138</v>
      </c>
      <c r="V82" s="22" t="s">
        <v>352</v>
      </c>
      <c r="W82" s="2006" t="s">
        <v>401</v>
      </c>
      <c r="X82" s="18"/>
      <c r="Y82" s="4"/>
      <c r="Z82" s="4"/>
    </row>
    <row r="83" spans="1:26" ht="14.1" hidden="1">
      <c r="A83" s="20">
        <v>90</v>
      </c>
      <c r="B83" s="24">
        <v>43364</v>
      </c>
      <c r="C83" s="22" t="s">
        <v>402</v>
      </c>
      <c r="D83" s="11"/>
      <c r="E83" s="22" t="s">
        <v>295</v>
      </c>
      <c r="F83" s="22" t="s">
        <v>131</v>
      </c>
      <c r="G83" s="22"/>
      <c r="H83" s="22" t="s">
        <v>287</v>
      </c>
      <c r="I83" s="22" t="s">
        <v>287</v>
      </c>
      <c r="J83" s="22"/>
      <c r="K83" s="22"/>
      <c r="L83" s="22"/>
      <c r="M83" s="22"/>
      <c r="N83" s="22"/>
      <c r="O83" s="22">
        <v>4</v>
      </c>
      <c r="P83" s="22">
        <v>0</v>
      </c>
      <c r="Q83" s="22">
        <v>0</v>
      </c>
      <c r="R83" s="1201"/>
      <c r="S83" s="1201">
        <v>68650</v>
      </c>
      <c r="T83" s="22" t="s">
        <v>87</v>
      </c>
      <c r="U83" s="1854" t="s">
        <v>138</v>
      </c>
      <c r="V83" s="22" t="s">
        <v>352</v>
      </c>
      <c r="W83" s="2006" t="s">
        <v>401</v>
      </c>
      <c r="X83" s="18"/>
      <c r="Y83" s="4"/>
      <c r="Z83" s="4"/>
    </row>
    <row r="84" spans="1:26" ht="27.95" hidden="1">
      <c r="A84" s="20">
        <v>91</v>
      </c>
      <c r="B84" s="33">
        <v>43367</v>
      </c>
      <c r="C84" s="34" t="s">
        <v>403</v>
      </c>
      <c r="D84" s="11"/>
      <c r="E84" s="22" t="s">
        <v>295</v>
      </c>
      <c r="F84" s="22" t="s">
        <v>404</v>
      </c>
      <c r="G84" s="35"/>
      <c r="H84" s="35" t="s">
        <v>287</v>
      </c>
      <c r="I84" s="35" t="s">
        <v>287</v>
      </c>
      <c r="J84" s="35" t="s">
        <v>1</v>
      </c>
      <c r="K84" s="35" t="s">
        <v>1</v>
      </c>
      <c r="L84" s="35" t="s">
        <v>1</v>
      </c>
      <c r="M84" s="35">
        <v>3</v>
      </c>
      <c r="N84" s="35">
        <v>1</v>
      </c>
      <c r="O84" s="35">
        <v>9</v>
      </c>
      <c r="P84" s="35" t="s">
        <v>405</v>
      </c>
      <c r="Q84" s="35">
        <v>6</v>
      </c>
      <c r="R84" s="1203" t="s">
        <v>149</v>
      </c>
      <c r="S84" s="1201">
        <v>40103</v>
      </c>
      <c r="T84" s="22" t="s">
        <v>87</v>
      </c>
      <c r="U84" s="1854" t="s">
        <v>406</v>
      </c>
      <c r="V84" s="22" t="s">
        <v>352</v>
      </c>
      <c r="W84" s="2006" t="s">
        <v>401</v>
      </c>
      <c r="X84" s="18"/>
      <c r="Y84" s="4"/>
      <c r="Z84" s="4"/>
    </row>
    <row r="85" spans="1:26" ht="27.95" hidden="1">
      <c r="A85" s="20">
        <v>92</v>
      </c>
      <c r="B85" s="33">
        <v>43367</v>
      </c>
      <c r="C85" s="34" t="s">
        <v>407</v>
      </c>
      <c r="D85" s="11"/>
      <c r="E85" s="22" t="s">
        <v>295</v>
      </c>
      <c r="F85" s="22" t="s">
        <v>404</v>
      </c>
      <c r="G85" s="35"/>
      <c r="H85" s="35" t="s">
        <v>287</v>
      </c>
      <c r="I85" s="35" t="s">
        <v>287</v>
      </c>
      <c r="J85" s="35" t="s">
        <v>1</v>
      </c>
      <c r="K85" s="35" t="s">
        <v>1</v>
      </c>
      <c r="L85" s="35" t="s">
        <v>1</v>
      </c>
      <c r="M85" s="35">
        <v>3</v>
      </c>
      <c r="N85" s="35">
        <v>1</v>
      </c>
      <c r="O85" s="35">
        <v>9</v>
      </c>
      <c r="P85" s="35" t="s">
        <v>405</v>
      </c>
      <c r="Q85" s="35">
        <v>6</v>
      </c>
      <c r="R85" s="1203" t="s">
        <v>149</v>
      </c>
      <c r="S85" s="1201">
        <v>40103</v>
      </c>
      <c r="T85" s="22" t="s">
        <v>87</v>
      </c>
      <c r="U85" s="1854" t="s">
        <v>406</v>
      </c>
      <c r="V85" s="22" t="s">
        <v>352</v>
      </c>
      <c r="W85" s="2006" t="s">
        <v>401</v>
      </c>
      <c r="X85" s="18"/>
      <c r="Y85" s="4"/>
      <c r="Z85" s="4"/>
    </row>
    <row r="86" spans="1:26" ht="15.6" hidden="1">
      <c r="A86" s="20">
        <v>93</v>
      </c>
      <c r="B86" s="33">
        <v>43367</v>
      </c>
      <c r="C86" s="34" t="s">
        <v>408</v>
      </c>
      <c r="D86" s="11"/>
      <c r="E86" s="22" t="s">
        <v>295</v>
      </c>
      <c r="F86" s="22" t="s">
        <v>404</v>
      </c>
      <c r="G86" s="35"/>
      <c r="H86" s="35" t="s">
        <v>287</v>
      </c>
      <c r="I86" s="35" t="s">
        <v>287</v>
      </c>
      <c r="J86" s="35" t="s">
        <v>1</v>
      </c>
      <c r="K86" s="35" t="s">
        <v>1</v>
      </c>
      <c r="L86" s="35" t="s">
        <v>1</v>
      </c>
      <c r="M86" s="35">
        <v>3</v>
      </c>
      <c r="N86" s="35">
        <v>1</v>
      </c>
      <c r="O86" s="35">
        <v>9</v>
      </c>
      <c r="P86" s="35">
        <v>0</v>
      </c>
      <c r="Q86" s="35">
        <v>6</v>
      </c>
      <c r="R86" s="1203" t="s">
        <v>149</v>
      </c>
      <c r="S86" s="1201">
        <v>40456</v>
      </c>
      <c r="T86" s="22" t="s">
        <v>87</v>
      </c>
      <c r="U86" s="1854" t="s">
        <v>406</v>
      </c>
      <c r="V86" s="22" t="s">
        <v>352</v>
      </c>
      <c r="W86" s="2006" t="s">
        <v>401</v>
      </c>
      <c r="X86" s="18"/>
      <c r="Y86" s="4"/>
      <c r="Z86" s="4"/>
    </row>
    <row r="87" spans="1:26" ht="27.95" hidden="1">
      <c r="A87" s="20">
        <v>94</v>
      </c>
      <c r="B87" s="33">
        <v>43367</v>
      </c>
      <c r="C87" s="34" t="s">
        <v>409</v>
      </c>
      <c r="D87" s="11"/>
      <c r="E87" s="22" t="s">
        <v>295</v>
      </c>
      <c r="F87" s="22" t="s">
        <v>404</v>
      </c>
      <c r="G87" s="35"/>
      <c r="H87" s="35" t="s">
        <v>287</v>
      </c>
      <c r="I87" s="35" t="s">
        <v>287</v>
      </c>
      <c r="J87" s="35" t="s">
        <v>1</v>
      </c>
      <c r="K87" s="35" t="s">
        <v>1</v>
      </c>
      <c r="L87" s="35" t="s">
        <v>1</v>
      </c>
      <c r="M87" s="35">
        <v>3</v>
      </c>
      <c r="N87" s="35">
        <v>1</v>
      </c>
      <c r="O87" s="35">
        <v>9</v>
      </c>
      <c r="P87" s="35" t="s">
        <v>405</v>
      </c>
      <c r="Q87" s="35">
        <v>6</v>
      </c>
      <c r="R87" s="1203" t="s">
        <v>149</v>
      </c>
      <c r="S87" s="1201">
        <v>58436</v>
      </c>
      <c r="T87" s="22" t="s">
        <v>87</v>
      </c>
      <c r="U87" s="1854" t="s">
        <v>406</v>
      </c>
      <c r="V87" s="22" t="s">
        <v>352</v>
      </c>
      <c r="W87" s="2006" t="s">
        <v>401</v>
      </c>
      <c r="X87" s="18"/>
      <c r="Y87" s="4"/>
      <c r="Z87" s="4"/>
    </row>
    <row r="88" spans="1:26" ht="15.6" hidden="1">
      <c r="A88" s="20">
        <v>95</v>
      </c>
      <c r="B88" s="33">
        <v>43367</v>
      </c>
      <c r="C88" s="34" t="s">
        <v>410</v>
      </c>
      <c r="D88" s="11"/>
      <c r="E88" s="22" t="s">
        <v>295</v>
      </c>
      <c r="F88" s="22" t="s">
        <v>404</v>
      </c>
      <c r="G88" s="35"/>
      <c r="H88" s="35" t="s">
        <v>287</v>
      </c>
      <c r="I88" s="35" t="s">
        <v>287</v>
      </c>
      <c r="J88" s="35" t="s">
        <v>1</v>
      </c>
      <c r="K88" s="35" t="s">
        <v>1</v>
      </c>
      <c r="L88" s="35" t="s">
        <v>1</v>
      </c>
      <c r="M88" s="35">
        <v>3</v>
      </c>
      <c r="N88" s="35">
        <v>1</v>
      </c>
      <c r="O88" s="35">
        <v>9</v>
      </c>
      <c r="P88" s="35">
        <v>0</v>
      </c>
      <c r="Q88" s="35">
        <v>6</v>
      </c>
      <c r="R88" s="1203" t="s">
        <v>149</v>
      </c>
      <c r="S88" s="1201">
        <v>60723</v>
      </c>
      <c r="T88" s="22" t="s">
        <v>87</v>
      </c>
      <c r="U88" s="1854" t="s">
        <v>406</v>
      </c>
      <c r="V88" s="22" t="s">
        <v>352</v>
      </c>
      <c r="W88" s="2006" t="s">
        <v>401</v>
      </c>
      <c r="X88" s="18"/>
      <c r="Y88" s="4"/>
      <c r="Z88" s="4"/>
    </row>
    <row r="89" spans="1:26" ht="15.6" hidden="1">
      <c r="A89" s="20">
        <v>96</v>
      </c>
      <c r="B89" s="33">
        <v>43367</v>
      </c>
      <c r="C89" s="34" t="s">
        <v>411</v>
      </c>
      <c r="D89" s="11"/>
      <c r="E89" s="22" t="s">
        <v>295</v>
      </c>
      <c r="F89" s="22" t="s">
        <v>412</v>
      </c>
      <c r="G89" s="22" t="s">
        <v>1</v>
      </c>
      <c r="H89" s="22" t="s">
        <v>287</v>
      </c>
      <c r="I89" s="35" t="s">
        <v>287</v>
      </c>
      <c r="J89" s="35" t="s">
        <v>1</v>
      </c>
      <c r="K89" s="35" t="s">
        <v>1</v>
      </c>
      <c r="L89" s="35" t="s">
        <v>1</v>
      </c>
      <c r="M89" s="22">
        <v>3</v>
      </c>
      <c r="N89" s="22">
        <v>1</v>
      </c>
      <c r="O89" s="22">
        <v>7</v>
      </c>
      <c r="P89" s="22">
        <v>0</v>
      </c>
      <c r="Q89" s="22" t="s">
        <v>413</v>
      </c>
      <c r="R89" s="1203" t="s">
        <v>149</v>
      </c>
      <c r="S89" s="1201" t="s">
        <v>414</v>
      </c>
      <c r="T89" s="22" t="s">
        <v>87</v>
      </c>
      <c r="U89" s="1854" t="s">
        <v>415</v>
      </c>
      <c r="V89" s="22" t="s">
        <v>352</v>
      </c>
      <c r="W89" s="2006" t="s">
        <v>401</v>
      </c>
      <c r="X89" s="18"/>
      <c r="Y89" s="4"/>
      <c r="Z89" s="4"/>
    </row>
    <row r="90" spans="1:26" ht="14.1" hidden="1">
      <c r="A90" s="20">
        <v>97</v>
      </c>
      <c r="B90" s="25">
        <v>43368</v>
      </c>
      <c r="C90" s="22" t="s">
        <v>416</v>
      </c>
      <c r="D90" s="11"/>
      <c r="E90" s="22" t="s">
        <v>295</v>
      </c>
      <c r="F90" s="22" t="s">
        <v>417</v>
      </c>
      <c r="G90" s="22"/>
      <c r="H90" s="22" t="s">
        <v>287</v>
      </c>
      <c r="I90" s="22" t="s">
        <v>287</v>
      </c>
      <c r="J90" s="35" t="s">
        <v>1</v>
      </c>
      <c r="K90" s="35" t="s">
        <v>1</v>
      </c>
      <c r="L90" s="35" t="s">
        <v>1</v>
      </c>
      <c r="M90" s="22">
        <v>3</v>
      </c>
      <c r="N90" s="22">
        <v>1</v>
      </c>
      <c r="O90" s="22">
        <v>7</v>
      </c>
      <c r="P90" s="22">
        <v>0</v>
      </c>
      <c r="Q90" s="22" t="s">
        <v>413</v>
      </c>
      <c r="R90" s="1201">
        <f>S90/O90</f>
        <v>17391.428571428572</v>
      </c>
      <c r="S90" s="1201">
        <v>121740</v>
      </c>
      <c r="T90" s="22" t="s">
        <v>87</v>
      </c>
      <c r="U90" s="1854" t="s">
        <v>418</v>
      </c>
      <c r="V90" s="22" t="s">
        <v>1</v>
      </c>
      <c r="W90" s="2006" t="s">
        <v>401</v>
      </c>
      <c r="X90" s="18"/>
      <c r="Y90" s="4"/>
      <c r="Z90" s="4"/>
    </row>
    <row r="91" spans="1:26" ht="47.1" hidden="1">
      <c r="A91" s="20">
        <v>98</v>
      </c>
      <c r="B91" s="25">
        <v>43368</v>
      </c>
      <c r="C91" s="22" t="s">
        <v>419</v>
      </c>
      <c r="D91" s="11"/>
      <c r="E91" s="22" t="s">
        <v>62</v>
      </c>
      <c r="F91" s="22" t="s">
        <v>309</v>
      </c>
      <c r="G91" s="22"/>
      <c r="H91" s="22" t="s">
        <v>420</v>
      </c>
      <c r="I91" s="22" t="s">
        <v>322</v>
      </c>
      <c r="J91" s="22">
        <v>34665565</v>
      </c>
      <c r="K91" s="22" t="s">
        <v>421</v>
      </c>
      <c r="L91" s="22"/>
      <c r="M91" s="22">
        <v>1</v>
      </c>
      <c r="N91" s="22">
        <v>1</v>
      </c>
      <c r="O91" s="22">
        <v>1</v>
      </c>
      <c r="P91" s="22"/>
      <c r="Q91" s="22"/>
      <c r="R91" s="1201">
        <v>719</v>
      </c>
      <c r="S91" s="1201">
        <v>719</v>
      </c>
      <c r="T91" s="22" t="s">
        <v>422</v>
      </c>
      <c r="U91" s="1854"/>
      <c r="V91" s="22" t="s">
        <v>423</v>
      </c>
      <c r="W91" s="2009" t="s">
        <v>424</v>
      </c>
      <c r="X91" s="18"/>
      <c r="Y91" s="4"/>
      <c r="Z91" s="4"/>
    </row>
    <row r="92" spans="1:26" ht="47.1" hidden="1">
      <c r="A92" s="20">
        <v>99</v>
      </c>
      <c r="B92" s="25">
        <v>43369</v>
      </c>
      <c r="C92" s="22" t="s">
        <v>425</v>
      </c>
      <c r="D92" s="11"/>
      <c r="E92" s="22" t="s">
        <v>62</v>
      </c>
      <c r="F92" s="22" t="s">
        <v>309</v>
      </c>
      <c r="G92" s="22"/>
      <c r="H92" s="22" t="s">
        <v>322</v>
      </c>
      <c r="I92" s="22" t="s">
        <v>322</v>
      </c>
      <c r="J92" s="26"/>
      <c r="K92" s="22" t="s">
        <v>426</v>
      </c>
      <c r="L92" s="22"/>
      <c r="M92" s="22"/>
      <c r="N92" s="22"/>
      <c r="O92" s="22"/>
      <c r="P92" s="22"/>
      <c r="Q92" s="22"/>
      <c r="R92" s="1201">
        <v>1690</v>
      </c>
      <c r="S92" s="1201">
        <v>1690</v>
      </c>
      <c r="T92" s="22" t="s">
        <v>422</v>
      </c>
      <c r="U92" s="1854"/>
      <c r="V92" s="22" t="s">
        <v>423</v>
      </c>
      <c r="W92" s="2009" t="s">
        <v>427</v>
      </c>
      <c r="X92" s="18"/>
      <c r="Y92" s="4"/>
      <c r="Z92" s="4"/>
    </row>
    <row r="93" spans="1:26" ht="70.5" hidden="1">
      <c r="A93" s="20">
        <v>100</v>
      </c>
      <c r="B93" s="25">
        <v>43370</v>
      </c>
      <c r="C93" s="22" t="s">
        <v>428</v>
      </c>
      <c r="D93" s="11"/>
      <c r="E93" s="22" t="s">
        <v>62</v>
      </c>
      <c r="F93" s="22" t="s">
        <v>309</v>
      </c>
      <c r="G93" s="22"/>
      <c r="H93" s="22" t="s">
        <v>429</v>
      </c>
      <c r="I93" s="22" t="s">
        <v>429</v>
      </c>
      <c r="J93" s="22" t="s">
        <v>430</v>
      </c>
      <c r="K93" s="22" t="s">
        <v>431</v>
      </c>
      <c r="L93" s="22"/>
      <c r="M93" s="22">
        <v>1</v>
      </c>
      <c r="N93" s="22">
        <v>1</v>
      </c>
      <c r="O93" s="22">
        <v>1</v>
      </c>
      <c r="P93" s="22">
        <v>0</v>
      </c>
      <c r="Q93" s="22"/>
      <c r="R93" s="1204">
        <v>1560</v>
      </c>
      <c r="S93" s="1204">
        <v>1560</v>
      </c>
      <c r="T93" s="22" t="s">
        <v>422</v>
      </c>
      <c r="U93" s="1854"/>
      <c r="V93" s="22" t="s">
        <v>423</v>
      </c>
      <c r="W93" s="2009" t="s">
        <v>432</v>
      </c>
      <c r="X93" s="18"/>
      <c r="Y93" s="4"/>
      <c r="Z93" s="4"/>
    </row>
    <row r="94" spans="1:26" ht="14.1" hidden="1">
      <c r="A94" s="20">
        <v>101</v>
      </c>
      <c r="B94" s="25" t="s">
        <v>433</v>
      </c>
      <c r="C94" s="22" t="s">
        <v>434</v>
      </c>
      <c r="D94" s="11"/>
      <c r="E94" s="22" t="s">
        <v>62</v>
      </c>
      <c r="F94" s="22" t="s">
        <v>142</v>
      </c>
      <c r="G94" s="22" t="s">
        <v>435</v>
      </c>
      <c r="H94" s="22" t="s">
        <v>287</v>
      </c>
      <c r="I94" s="22" t="s">
        <v>287</v>
      </c>
      <c r="J94" s="22"/>
      <c r="K94" s="22"/>
      <c r="L94" s="22"/>
      <c r="M94" s="22">
        <v>2</v>
      </c>
      <c r="N94" s="22">
        <v>5</v>
      </c>
      <c r="O94" s="22">
        <v>5</v>
      </c>
      <c r="P94" s="22">
        <v>0</v>
      </c>
      <c r="Q94" s="22" t="s">
        <v>436</v>
      </c>
      <c r="R94" s="1201" t="s">
        <v>149</v>
      </c>
      <c r="S94" s="1201">
        <v>43984</v>
      </c>
      <c r="T94" s="22" t="s">
        <v>148</v>
      </c>
      <c r="U94" s="1854" t="s">
        <v>149</v>
      </c>
      <c r="V94" s="22" t="s">
        <v>150</v>
      </c>
      <c r="W94" s="2007"/>
      <c r="X94" s="18"/>
      <c r="Y94" s="4"/>
      <c r="Z94" s="4"/>
    </row>
    <row r="95" spans="1:26" ht="14.1" hidden="1">
      <c r="A95" s="20">
        <v>102</v>
      </c>
      <c r="B95" s="25">
        <v>43369</v>
      </c>
      <c r="C95" s="22" t="s">
        <v>437</v>
      </c>
      <c r="D95" s="11"/>
      <c r="E95" s="22" t="s">
        <v>438</v>
      </c>
      <c r="F95" s="22" t="s">
        <v>439</v>
      </c>
      <c r="G95" s="22"/>
      <c r="H95" s="22" t="s">
        <v>287</v>
      </c>
      <c r="I95" s="22" t="s">
        <v>287</v>
      </c>
      <c r="J95" s="22" t="s">
        <v>1</v>
      </c>
      <c r="K95" s="22" t="s">
        <v>1</v>
      </c>
      <c r="L95" s="22" t="s">
        <v>1</v>
      </c>
      <c r="M95" s="22">
        <v>3</v>
      </c>
      <c r="N95" s="22">
        <v>1</v>
      </c>
      <c r="O95" s="22">
        <v>6</v>
      </c>
      <c r="P95" s="22">
        <v>0</v>
      </c>
      <c r="Q95" s="22" t="s">
        <v>440</v>
      </c>
      <c r="R95" s="1201">
        <v>9238.66</v>
      </c>
      <c r="S95" s="1201">
        <v>55432</v>
      </c>
      <c r="T95" s="22" t="s">
        <v>87</v>
      </c>
      <c r="U95" s="1854" t="s">
        <v>441</v>
      </c>
      <c r="V95" s="22" t="s">
        <v>352</v>
      </c>
      <c r="W95" s="2006" t="s">
        <v>401</v>
      </c>
      <c r="X95" s="18"/>
      <c r="Y95" s="4"/>
      <c r="Z95" s="4"/>
    </row>
    <row r="96" spans="1:26" ht="18" hidden="1" customHeight="1">
      <c r="A96" s="20">
        <v>103</v>
      </c>
      <c r="B96" s="25">
        <v>43370</v>
      </c>
      <c r="C96" s="22" t="s">
        <v>442</v>
      </c>
      <c r="D96" s="11"/>
      <c r="E96" s="22" t="s">
        <v>438</v>
      </c>
      <c r="F96" s="22" t="s">
        <v>404</v>
      </c>
      <c r="G96" s="22" t="s">
        <v>443</v>
      </c>
      <c r="H96" s="35" t="s">
        <v>184</v>
      </c>
      <c r="I96" s="35" t="s">
        <v>281</v>
      </c>
      <c r="J96" s="35" t="s">
        <v>444</v>
      </c>
      <c r="K96" s="35" t="s">
        <v>445</v>
      </c>
      <c r="L96" s="35" t="s">
        <v>446</v>
      </c>
      <c r="M96" s="35">
        <v>72</v>
      </c>
      <c r="N96" s="35">
        <v>25</v>
      </c>
      <c r="O96" s="35">
        <v>50</v>
      </c>
      <c r="P96" s="35">
        <v>74</v>
      </c>
      <c r="Q96" s="35">
        <v>52</v>
      </c>
      <c r="R96" s="1203" t="s">
        <v>447</v>
      </c>
      <c r="S96" s="1203">
        <v>735</v>
      </c>
      <c r="T96" s="35" t="s">
        <v>87</v>
      </c>
      <c r="U96" s="1855" t="s">
        <v>448</v>
      </c>
      <c r="V96" s="22" t="s">
        <v>352</v>
      </c>
      <c r="W96" s="2010" t="s">
        <v>449</v>
      </c>
      <c r="X96" s="18"/>
      <c r="Y96" s="4"/>
      <c r="Z96" s="4"/>
    </row>
    <row r="97" spans="1:26" ht="36" hidden="1">
      <c r="A97" s="20">
        <v>104</v>
      </c>
      <c r="B97" s="25">
        <v>43370</v>
      </c>
      <c r="C97" s="22" t="s">
        <v>450</v>
      </c>
      <c r="D97" s="11"/>
      <c r="E97" s="22" t="s">
        <v>438</v>
      </c>
      <c r="F97" s="22" t="s">
        <v>404</v>
      </c>
      <c r="G97" s="22" t="s">
        <v>451</v>
      </c>
      <c r="H97" s="35" t="s">
        <v>452</v>
      </c>
      <c r="I97" s="35" t="s">
        <v>281</v>
      </c>
      <c r="J97" s="35" t="s">
        <v>453</v>
      </c>
      <c r="K97" s="35" t="s">
        <v>454</v>
      </c>
      <c r="L97" s="35" t="s">
        <v>455</v>
      </c>
      <c r="M97" s="35">
        <v>72</v>
      </c>
      <c r="N97" s="35">
        <v>1</v>
      </c>
      <c r="O97" s="35">
        <v>100</v>
      </c>
      <c r="P97" s="35">
        <v>10</v>
      </c>
      <c r="Q97" s="35">
        <v>18</v>
      </c>
      <c r="R97" s="1203" t="s">
        <v>456</v>
      </c>
      <c r="S97" s="1203">
        <v>3511</v>
      </c>
      <c r="T97" s="35" t="s">
        <v>87</v>
      </c>
      <c r="U97" s="1855" t="s">
        <v>448</v>
      </c>
      <c r="V97" s="22" t="s">
        <v>352</v>
      </c>
      <c r="W97" s="2010" t="s">
        <v>457</v>
      </c>
      <c r="X97" s="18"/>
      <c r="Y97" s="4"/>
      <c r="Z97" s="4"/>
    </row>
    <row r="98" spans="1:26" ht="27.95" hidden="1">
      <c r="A98" s="20">
        <v>105</v>
      </c>
      <c r="B98" s="25">
        <v>43370</v>
      </c>
      <c r="C98" s="22" t="s">
        <v>458</v>
      </c>
      <c r="D98" s="11"/>
      <c r="E98" s="22" t="s">
        <v>438</v>
      </c>
      <c r="F98" s="22" t="s">
        <v>404</v>
      </c>
      <c r="G98" s="22" t="s">
        <v>459</v>
      </c>
      <c r="H98" s="35" t="s">
        <v>460</v>
      </c>
      <c r="I98" s="35" t="s">
        <v>281</v>
      </c>
      <c r="J98" s="35" t="s">
        <v>461</v>
      </c>
      <c r="K98" s="35" t="s">
        <v>462</v>
      </c>
      <c r="L98" s="35" t="s">
        <v>463</v>
      </c>
      <c r="M98" s="35">
        <v>48</v>
      </c>
      <c r="N98" s="35">
        <v>1</v>
      </c>
      <c r="O98" s="35">
        <v>100</v>
      </c>
      <c r="P98" s="35">
        <v>0</v>
      </c>
      <c r="Q98" s="35">
        <v>52</v>
      </c>
      <c r="R98" s="1203" t="s">
        <v>464</v>
      </c>
      <c r="S98" s="1203">
        <v>6720</v>
      </c>
      <c r="T98" s="35" t="s">
        <v>87</v>
      </c>
      <c r="U98" s="1855" t="s">
        <v>448</v>
      </c>
      <c r="V98" s="22" t="s">
        <v>352</v>
      </c>
      <c r="W98" s="2010" t="s">
        <v>465</v>
      </c>
      <c r="X98" s="18"/>
      <c r="Y98" s="4"/>
      <c r="Z98" s="4"/>
    </row>
    <row r="99" spans="1:26" ht="14.1" hidden="1">
      <c r="A99" s="20">
        <v>106</v>
      </c>
      <c r="B99" s="25">
        <v>43370</v>
      </c>
      <c r="C99" s="22" t="s">
        <v>466</v>
      </c>
      <c r="D99" s="11"/>
      <c r="E99" s="22" t="s">
        <v>438</v>
      </c>
      <c r="F99" s="22" t="s">
        <v>404</v>
      </c>
      <c r="G99" s="22" t="s">
        <v>467</v>
      </c>
      <c r="H99" s="35" t="s">
        <v>468</v>
      </c>
      <c r="I99" s="35" t="s">
        <v>468</v>
      </c>
      <c r="J99" s="35" t="s">
        <v>469</v>
      </c>
      <c r="K99" s="35" t="s">
        <v>469</v>
      </c>
      <c r="L99" s="35" t="s">
        <v>469</v>
      </c>
      <c r="M99" s="35">
        <v>36</v>
      </c>
      <c r="N99" s="35">
        <v>50</v>
      </c>
      <c r="O99" s="35">
        <v>50</v>
      </c>
      <c r="P99" s="35">
        <v>2</v>
      </c>
      <c r="Q99" s="35">
        <v>16</v>
      </c>
      <c r="R99" s="1203" t="s">
        <v>470</v>
      </c>
      <c r="S99" s="1203">
        <v>2150</v>
      </c>
      <c r="T99" s="35" t="s">
        <v>87</v>
      </c>
      <c r="U99" s="1855" t="s">
        <v>448</v>
      </c>
      <c r="V99" s="22" t="s">
        <v>352</v>
      </c>
      <c r="W99" s="2010" t="s">
        <v>471</v>
      </c>
      <c r="X99" s="18"/>
      <c r="Y99" s="4"/>
      <c r="Z99" s="4"/>
    </row>
    <row r="100" spans="1:26" ht="24" hidden="1">
      <c r="A100" s="20">
        <v>107</v>
      </c>
      <c r="B100" s="25">
        <v>43370</v>
      </c>
      <c r="C100" s="22" t="s">
        <v>472</v>
      </c>
      <c r="D100" s="11"/>
      <c r="E100" s="22" t="s">
        <v>438</v>
      </c>
      <c r="F100" s="22" t="s">
        <v>404</v>
      </c>
      <c r="G100" s="22" t="s">
        <v>473</v>
      </c>
      <c r="H100" s="35" t="s">
        <v>474</v>
      </c>
      <c r="I100" s="35" t="s">
        <v>474</v>
      </c>
      <c r="J100" s="35" t="s">
        <v>475</v>
      </c>
      <c r="K100" s="35" t="s">
        <v>475</v>
      </c>
      <c r="L100" s="35" t="s">
        <v>1</v>
      </c>
      <c r="M100" s="35">
        <v>3</v>
      </c>
      <c r="N100" s="35">
        <v>1</v>
      </c>
      <c r="O100" s="35">
        <v>3</v>
      </c>
      <c r="P100" s="35">
        <v>2</v>
      </c>
      <c r="Q100" s="35">
        <v>2</v>
      </c>
      <c r="R100" s="1203" t="s">
        <v>476</v>
      </c>
      <c r="S100" s="1203">
        <v>25200</v>
      </c>
      <c r="T100" s="35" t="s">
        <v>87</v>
      </c>
      <c r="U100" s="1855" t="s">
        <v>448</v>
      </c>
      <c r="V100" s="22" t="s">
        <v>352</v>
      </c>
      <c r="W100" s="2010" t="s">
        <v>477</v>
      </c>
      <c r="X100" s="18"/>
      <c r="Y100" s="4"/>
      <c r="Z100" s="4"/>
    </row>
    <row r="101" spans="1:26" ht="14.1" hidden="1">
      <c r="A101" s="20">
        <v>108</v>
      </c>
      <c r="B101" s="25">
        <v>43370</v>
      </c>
      <c r="C101" s="22" t="s">
        <v>478</v>
      </c>
      <c r="D101" s="11"/>
      <c r="E101" s="22" t="s">
        <v>438</v>
      </c>
      <c r="F101" s="22" t="s">
        <v>404</v>
      </c>
      <c r="G101" s="22" t="s">
        <v>111</v>
      </c>
      <c r="H101" s="35" t="s">
        <v>112</v>
      </c>
      <c r="I101" s="35" t="s">
        <v>113</v>
      </c>
      <c r="J101" s="35" t="s">
        <v>114</v>
      </c>
      <c r="K101" s="35"/>
      <c r="L101" s="35"/>
      <c r="M101" s="35">
        <v>1</v>
      </c>
      <c r="N101" s="35">
        <v>1</v>
      </c>
      <c r="O101" s="35">
        <v>1</v>
      </c>
      <c r="P101" s="35">
        <v>0</v>
      </c>
      <c r="Q101" s="35">
        <v>0</v>
      </c>
      <c r="R101" s="1203">
        <v>2090</v>
      </c>
      <c r="S101" s="1203">
        <v>2090</v>
      </c>
      <c r="T101" s="35" t="s">
        <v>87</v>
      </c>
      <c r="U101" s="1855" t="s">
        <v>448</v>
      </c>
      <c r="V101" s="22" t="s">
        <v>352</v>
      </c>
      <c r="W101" s="2010" t="s">
        <v>479</v>
      </c>
      <c r="X101" s="18"/>
      <c r="Y101" s="4"/>
      <c r="Z101" s="4"/>
    </row>
    <row r="102" spans="1:26" ht="27.95" hidden="1">
      <c r="A102" s="20">
        <v>109</v>
      </c>
      <c r="B102" s="25">
        <v>43370</v>
      </c>
      <c r="C102" s="22" t="s">
        <v>480</v>
      </c>
      <c r="D102" s="11"/>
      <c r="E102" s="22" t="s">
        <v>438</v>
      </c>
      <c r="F102" s="22" t="s">
        <v>131</v>
      </c>
      <c r="G102" s="22" t="s">
        <v>481</v>
      </c>
      <c r="H102" s="22" t="s">
        <v>482</v>
      </c>
      <c r="I102" s="22" t="s">
        <v>482</v>
      </c>
      <c r="J102" s="22">
        <v>9445364</v>
      </c>
      <c r="K102" s="22">
        <v>9445364</v>
      </c>
      <c r="L102" s="22"/>
      <c r="M102" s="22">
        <v>20</v>
      </c>
      <c r="N102" s="22">
        <v>100</v>
      </c>
      <c r="O102" s="22">
        <v>100</v>
      </c>
      <c r="P102" s="22">
        <v>0</v>
      </c>
      <c r="Q102" s="22">
        <v>100</v>
      </c>
      <c r="R102" s="1201" t="s">
        <v>483</v>
      </c>
      <c r="S102" s="1201">
        <v>598</v>
      </c>
      <c r="T102" s="22" t="s">
        <v>87</v>
      </c>
      <c r="U102" s="1854" t="s">
        <v>484</v>
      </c>
      <c r="V102" s="22" t="s">
        <v>485</v>
      </c>
      <c r="W102" s="2006" t="s">
        <v>486</v>
      </c>
      <c r="X102" s="18"/>
      <c r="Y102" s="4"/>
      <c r="Z102" s="4"/>
    </row>
    <row r="103" spans="1:26" ht="27.95" hidden="1">
      <c r="A103" s="20">
        <v>110</v>
      </c>
      <c r="B103" s="25">
        <v>43370</v>
      </c>
      <c r="C103" s="22" t="s">
        <v>487</v>
      </c>
      <c r="D103" s="11"/>
      <c r="E103" s="22" t="s">
        <v>438</v>
      </c>
      <c r="F103" s="22" t="s">
        <v>131</v>
      </c>
      <c r="G103" s="22" t="s">
        <v>488</v>
      </c>
      <c r="H103" s="22" t="s">
        <v>482</v>
      </c>
      <c r="I103" s="22" t="s">
        <v>482</v>
      </c>
      <c r="J103" s="22">
        <v>9445589</v>
      </c>
      <c r="K103" s="22">
        <v>9445589</v>
      </c>
      <c r="L103" s="22"/>
      <c r="M103" s="22">
        <v>150</v>
      </c>
      <c r="N103" s="22">
        <v>200</v>
      </c>
      <c r="O103" s="22">
        <v>200</v>
      </c>
      <c r="P103" s="22">
        <v>40</v>
      </c>
      <c r="Q103" s="22">
        <v>240</v>
      </c>
      <c r="R103" s="1201" t="s">
        <v>489</v>
      </c>
      <c r="S103" s="1201">
        <v>272</v>
      </c>
      <c r="T103" s="22" t="s">
        <v>87</v>
      </c>
      <c r="U103" s="1854" t="s">
        <v>484</v>
      </c>
      <c r="V103" s="22" t="s">
        <v>490</v>
      </c>
      <c r="W103" s="2006" t="s">
        <v>491</v>
      </c>
      <c r="X103" s="18"/>
      <c r="Y103" s="4"/>
      <c r="Z103" s="4"/>
    </row>
    <row r="104" spans="1:26" ht="36" hidden="1">
      <c r="A104" s="20">
        <v>111</v>
      </c>
      <c r="B104" s="33">
        <v>43372</v>
      </c>
      <c r="C104" s="22" t="s">
        <v>492</v>
      </c>
      <c r="D104" s="11"/>
      <c r="E104" s="22" t="s">
        <v>438</v>
      </c>
      <c r="F104" s="35" t="s">
        <v>412</v>
      </c>
      <c r="G104" s="35" t="s">
        <v>493</v>
      </c>
      <c r="H104" s="35" t="s">
        <v>154</v>
      </c>
      <c r="I104" s="35" t="s">
        <v>281</v>
      </c>
      <c r="J104" s="22" t="s">
        <v>494</v>
      </c>
      <c r="K104" s="22" t="s">
        <v>495</v>
      </c>
      <c r="L104" s="35" t="s">
        <v>496</v>
      </c>
      <c r="M104" s="35">
        <v>6</v>
      </c>
      <c r="N104" s="35">
        <v>1</v>
      </c>
      <c r="O104" s="35">
        <v>8</v>
      </c>
      <c r="P104" s="35">
        <v>0</v>
      </c>
      <c r="Q104" s="35">
        <v>2</v>
      </c>
      <c r="R104" s="1203">
        <v>125</v>
      </c>
      <c r="S104" s="1203">
        <v>1000</v>
      </c>
      <c r="T104" s="35" t="s">
        <v>87</v>
      </c>
      <c r="U104" s="1855" t="s">
        <v>415</v>
      </c>
      <c r="V104" s="35" t="s">
        <v>352</v>
      </c>
      <c r="W104" s="2010" t="s">
        <v>497</v>
      </c>
      <c r="X104" s="18"/>
      <c r="Y104" s="4"/>
      <c r="Z104" s="4"/>
    </row>
    <row r="105" spans="1:26" ht="14.1" hidden="1">
      <c r="A105" s="20">
        <v>112</v>
      </c>
      <c r="B105" s="33">
        <v>43372</v>
      </c>
      <c r="C105" s="22" t="s">
        <v>498</v>
      </c>
      <c r="D105" s="11"/>
      <c r="E105" s="22" t="s">
        <v>438</v>
      </c>
      <c r="F105" s="35" t="s">
        <v>412</v>
      </c>
      <c r="G105" s="35" t="s">
        <v>499</v>
      </c>
      <c r="H105" s="35" t="s">
        <v>154</v>
      </c>
      <c r="I105" s="35" t="s">
        <v>281</v>
      </c>
      <c r="J105" s="22" t="s">
        <v>500</v>
      </c>
      <c r="K105" s="22" t="s">
        <v>501</v>
      </c>
      <c r="L105" s="35" t="s">
        <v>496</v>
      </c>
      <c r="M105" s="35">
        <v>12</v>
      </c>
      <c r="N105" s="35">
        <v>1</v>
      </c>
      <c r="O105" s="35">
        <v>14</v>
      </c>
      <c r="P105" s="35">
        <v>0</v>
      </c>
      <c r="Q105" s="35">
        <v>2</v>
      </c>
      <c r="R105" s="1203">
        <v>94.9</v>
      </c>
      <c r="S105" s="1203">
        <v>1329</v>
      </c>
      <c r="T105" s="35" t="s">
        <v>87</v>
      </c>
      <c r="U105" s="1855" t="s">
        <v>415</v>
      </c>
      <c r="V105" s="35" t="s">
        <v>352</v>
      </c>
      <c r="W105" s="2010" t="s">
        <v>502</v>
      </c>
      <c r="X105" s="18"/>
      <c r="Y105" s="4"/>
      <c r="Z105" s="4"/>
    </row>
    <row r="106" spans="1:26" ht="36" hidden="1">
      <c r="A106" s="20">
        <v>113</v>
      </c>
      <c r="B106" s="33">
        <v>43372</v>
      </c>
      <c r="C106" s="22" t="s">
        <v>503</v>
      </c>
      <c r="D106" s="11"/>
      <c r="E106" s="22" t="s">
        <v>438</v>
      </c>
      <c r="F106" s="35" t="s">
        <v>412</v>
      </c>
      <c r="G106" s="35" t="s">
        <v>504</v>
      </c>
      <c r="H106" s="35" t="s">
        <v>230</v>
      </c>
      <c r="I106" s="35" t="s">
        <v>281</v>
      </c>
      <c r="J106" s="22" t="s">
        <v>505</v>
      </c>
      <c r="K106" s="22" t="s">
        <v>506</v>
      </c>
      <c r="L106" s="35" t="s">
        <v>507</v>
      </c>
      <c r="M106" s="35">
        <v>6</v>
      </c>
      <c r="N106" s="35">
        <v>1</v>
      </c>
      <c r="O106" s="35">
        <v>6</v>
      </c>
      <c r="P106" s="35">
        <v>0</v>
      </c>
      <c r="Q106" s="35">
        <v>0</v>
      </c>
      <c r="R106" s="1203">
        <v>498</v>
      </c>
      <c r="S106" s="1203">
        <v>2998</v>
      </c>
      <c r="T106" s="35" t="s">
        <v>87</v>
      </c>
      <c r="U106" s="1855" t="s">
        <v>415</v>
      </c>
      <c r="V106" s="35" t="s">
        <v>352</v>
      </c>
      <c r="W106" s="2011" t="s">
        <v>508</v>
      </c>
      <c r="X106" s="18"/>
      <c r="Y106" s="4"/>
      <c r="Z106" s="4"/>
    </row>
    <row r="107" spans="1:26" ht="48" hidden="1">
      <c r="A107" s="20">
        <v>114</v>
      </c>
      <c r="B107" s="33">
        <v>43372</v>
      </c>
      <c r="C107" s="22" t="s">
        <v>509</v>
      </c>
      <c r="D107" s="11"/>
      <c r="E107" s="22" t="s">
        <v>438</v>
      </c>
      <c r="F107" s="35" t="s">
        <v>412</v>
      </c>
      <c r="G107" s="35" t="s">
        <v>510</v>
      </c>
      <c r="H107" s="35" t="s">
        <v>511</v>
      </c>
      <c r="I107" s="35" t="s">
        <v>281</v>
      </c>
      <c r="J107" s="22" t="s">
        <v>512</v>
      </c>
      <c r="K107" s="22" t="s">
        <v>509</v>
      </c>
      <c r="L107" s="35" t="s">
        <v>513</v>
      </c>
      <c r="M107" s="35">
        <v>6</v>
      </c>
      <c r="N107" s="35">
        <v>1</v>
      </c>
      <c r="O107" s="35">
        <v>6</v>
      </c>
      <c r="P107" s="35">
        <v>0</v>
      </c>
      <c r="Q107" s="35">
        <v>0</v>
      </c>
      <c r="R107" s="1203">
        <v>81</v>
      </c>
      <c r="S107" s="1203">
        <v>486</v>
      </c>
      <c r="T107" s="35" t="s">
        <v>87</v>
      </c>
      <c r="U107" s="1855" t="s">
        <v>415</v>
      </c>
      <c r="V107" s="35" t="s">
        <v>352</v>
      </c>
      <c r="W107" s="2010" t="s">
        <v>514</v>
      </c>
      <c r="X107" s="18"/>
      <c r="Y107" s="4"/>
      <c r="Z107" s="4"/>
    </row>
    <row r="108" spans="1:26" ht="36" hidden="1">
      <c r="A108" s="20">
        <v>115</v>
      </c>
      <c r="B108" s="33">
        <v>43372</v>
      </c>
      <c r="C108" s="22" t="s">
        <v>515</v>
      </c>
      <c r="D108" s="11"/>
      <c r="E108" s="22" t="s">
        <v>438</v>
      </c>
      <c r="F108" s="35" t="s">
        <v>412</v>
      </c>
      <c r="G108" s="35" t="s">
        <v>516</v>
      </c>
      <c r="H108" s="35" t="s">
        <v>517</v>
      </c>
      <c r="I108" s="35" t="s">
        <v>281</v>
      </c>
      <c r="J108" s="22" t="s">
        <v>518</v>
      </c>
      <c r="K108" s="22" t="s">
        <v>519</v>
      </c>
      <c r="L108" s="35" t="s">
        <v>520</v>
      </c>
      <c r="M108" s="35">
        <v>12</v>
      </c>
      <c r="N108" s="35">
        <v>1</v>
      </c>
      <c r="O108" s="35">
        <v>12</v>
      </c>
      <c r="P108" s="35">
        <v>0</v>
      </c>
      <c r="Q108" s="35">
        <v>0</v>
      </c>
      <c r="R108" s="1203">
        <v>251</v>
      </c>
      <c r="S108" s="1203">
        <v>3012</v>
      </c>
      <c r="T108" s="35" t="s">
        <v>87</v>
      </c>
      <c r="U108" s="1855" t="s">
        <v>415</v>
      </c>
      <c r="V108" s="35" t="s">
        <v>352</v>
      </c>
      <c r="W108" s="2010" t="s">
        <v>521</v>
      </c>
      <c r="X108" s="18"/>
      <c r="Y108" s="4"/>
      <c r="Z108" s="4"/>
    </row>
    <row r="109" spans="1:26" ht="36" hidden="1">
      <c r="A109" s="20">
        <v>116</v>
      </c>
      <c r="B109" s="33">
        <v>43372</v>
      </c>
      <c r="C109" s="22" t="s">
        <v>522</v>
      </c>
      <c r="D109" s="11"/>
      <c r="E109" s="22" t="s">
        <v>438</v>
      </c>
      <c r="F109" s="35" t="s">
        <v>412</v>
      </c>
      <c r="G109" s="35" t="s">
        <v>523</v>
      </c>
      <c r="H109" s="35" t="s">
        <v>524</v>
      </c>
      <c r="I109" s="35" t="s">
        <v>281</v>
      </c>
      <c r="J109" s="22" t="s">
        <v>525</v>
      </c>
      <c r="K109" s="22" t="s">
        <v>522</v>
      </c>
      <c r="L109" s="35" t="s">
        <v>526</v>
      </c>
      <c r="M109" s="35">
        <v>6</v>
      </c>
      <c r="N109" s="35">
        <v>1</v>
      </c>
      <c r="O109" s="35">
        <v>6</v>
      </c>
      <c r="P109" s="35">
        <v>0</v>
      </c>
      <c r="Q109" s="35">
        <v>0</v>
      </c>
      <c r="R109" s="1203">
        <v>626</v>
      </c>
      <c r="S109" s="1203">
        <v>3756</v>
      </c>
      <c r="T109" s="35" t="s">
        <v>87</v>
      </c>
      <c r="U109" s="1855" t="s">
        <v>415</v>
      </c>
      <c r="V109" s="35" t="s">
        <v>352</v>
      </c>
      <c r="W109" s="2010" t="s">
        <v>527</v>
      </c>
      <c r="X109" s="18"/>
      <c r="Y109" s="4"/>
      <c r="Z109" s="4"/>
    </row>
    <row r="110" spans="1:26" ht="48" hidden="1">
      <c r="A110" s="20">
        <v>117</v>
      </c>
      <c r="B110" s="33">
        <v>43372</v>
      </c>
      <c r="C110" s="22" t="s">
        <v>528</v>
      </c>
      <c r="D110" s="11"/>
      <c r="E110" s="22" t="s">
        <v>438</v>
      </c>
      <c r="F110" s="35" t="s">
        <v>412</v>
      </c>
      <c r="G110" s="35" t="s">
        <v>529</v>
      </c>
      <c r="H110" s="35" t="s">
        <v>517</v>
      </c>
      <c r="I110" s="35" t="s">
        <v>281</v>
      </c>
      <c r="J110" s="22" t="s">
        <v>530</v>
      </c>
      <c r="K110" s="22" t="s">
        <v>531</v>
      </c>
      <c r="L110" s="35" t="s">
        <v>532</v>
      </c>
      <c r="M110" s="35">
        <v>6</v>
      </c>
      <c r="N110" s="35">
        <v>1</v>
      </c>
      <c r="O110" s="35">
        <v>6</v>
      </c>
      <c r="P110" s="35">
        <v>5</v>
      </c>
      <c r="Q110" s="35">
        <v>5</v>
      </c>
      <c r="R110" s="1203">
        <v>419</v>
      </c>
      <c r="S110" s="1203">
        <v>2514</v>
      </c>
      <c r="T110" s="35" t="s">
        <v>87</v>
      </c>
      <c r="U110" s="1855" t="s">
        <v>415</v>
      </c>
      <c r="V110" s="35" t="s">
        <v>352</v>
      </c>
      <c r="W110" s="2010" t="s">
        <v>533</v>
      </c>
      <c r="X110" s="18"/>
      <c r="Y110" s="4"/>
      <c r="Z110" s="4"/>
    </row>
    <row r="111" spans="1:26" ht="36" hidden="1">
      <c r="A111" s="20">
        <v>118</v>
      </c>
      <c r="B111" s="33">
        <v>43372</v>
      </c>
      <c r="C111" s="22" t="s">
        <v>534</v>
      </c>
      <c r="D111" s="11"/>
      <c r="E111" s="22" t="s">
        <v>438</v>
      </c>
      <c r="F111" s="35" t="s">
        <v>412</v>
      </c>
      <c r="G111" s="35" t="s">
        <v>535</v>
      </c>
      <c r="H111" s="35" t="s">
        <v>536</v>
      </c>
      <c r="I111" s="35" t="s">
        <v>281</v>
      </c>
      <c r="J111" s="22" t="s">
        <v>537</v>
      </c>
      <c r="K111" s="22" t="s">
        <v>538</v>
      </c>
      <c r="L111" s="35" t="s">
        <v>539</v>
      </c>
      <c r="M111" s="35">
        <v>6</v>
      </c>
      <c r="N111" s="35">
        <v>1</v>
      </c>
      <c r="O111" s="35">
        <v>6</v>
      </c>
      <c r="P111" s="35">
        <v>4</v>
      </c>
      <c r="Q111" s="35">
        <v>4</v>
      </c>
      <c r="R111" s="1203">
        <v>30</v>
      </c>
      <c r="S111" s="1203">
        <v>180</v>
      </c>
      <c r="T111" s="35" t="s">
        <v>87</v>
      </c>
      <c r="U111" s="1855" t="s">
        <v>415</v>
      </c>
      <c r="V111" s="35" t="s">
        <v>352</v>
      </c>
      <c r="W111" s="2010" t="s">
        <v>540</v>
      </c>
      <c r="X111" s="18"/>
      <c r="Y111" s="4"/>
      <c r="Z111" s="4"/>
    </row>
    <row r="112" spans="1:26" ht="24" hidden="1">
      <c r="A112" s="20">
        <v>119</v>
      </c>
      <c r="B112" s="33">
        <v>43372</v>
      </c>
      <c r="C112" s="22" t="s">
        <v>541</v>
      </c>
      <c r="D112" s="11"/>
      <c r="E112" s="22" t="s">
        <v>438</v>
      </c>
      <c r="F112" s="35" t="s">
        <v>412</v>
      </c>
      <c r="G112" s="35" t="s">
        <v>542</v>
      </c>
      <c r="H112" s="35" t="s">
        <v>543</v>
      </c>
      <c r="I112" s="35" t="s">
        <v>281</v>
      </c>
      <c r="J112" s="22" t="s">
        <v>544</v>
      </c>
      <c r="K112" s="22" t="s">
        <v>545</v>
      </c>
      <c r="L112" s="35" t="s">
        <v>546</v>
      </c>
      <c r="M112" s="35">
        <v>12</v>
      </c>
      <c r="N112" s="35">
        <v>1</v>
      </c>
      <c r="O112" s="35">
        <v>12</v>
      </c>
      <c r="P112" s="35">
        <v>2</v>
      </c>
      <c r="Q112" s="35">
        <v>2</v>
      </c>
      <c r="R112" s="1203">
        <v>1757</v>
      </c>
      <c r="S112" s="1203">
        <v>21084</v>
      </c>
      <c r="T112" s="35" t="s">
        <v>87</v>
      </c>
      <c r="U112" s="1855" t="s">
        <v>415</v>
      </c>
      <c r="V112" s="35" t="s">
        <v>352</v>
      </c>
      <c r="W112" s="2010" t="s">
        <v>547</v>
      </c>
      <c r="X112" s="18"/>
      <c r="Y112" s="4"/>
      <c r="Z112" s="4"/>
    </row>
    <row r="113" spans="1:26" ht="36" hidden="1">
      <c r="A113" s="20">
        <v>120</v>
      </c>
      <c r="B113" s="33">
        <v>43372</v>
      </c>
      <c r="C113" s="22" t="s">
        <v>548</v>
      </c>
      <c r="D113" s="11"/>
      <c r="E113" s="22" t="s">
        <v>438</v>
      </c>
      <c r="F113" s="35" t="s">
        <v>412</v>
      </c>
      <c r="G113" s="35" t="s">
        <v>549</v>
      </c>
      <c r="H113" s="35" t="s">
        <v>144</v>
      </c>
      <c r="I113" s="35" t="s">
        <v>281</v>
      </c>
      <c r="J113" s="22" t="s">
        <v>550</v>
      </c>
      <c r="K113" s="22" t="s">
        <v>551</v>
      </c>
      <c r="L113" s="35" t="s">
        <v>552</v>
      </c>
      <c r="M113" s="35">
        <v>12</v>
      </c>
      <c r="N113" s="35">
        <v>1</v>
      </c>
      <c r="O113" s="35">
        <v>15</v>
      </c>
      <c r="P113" s="35">
        <v>0</v>
      </c>
      <c r="Q113" s="35">
        <v>3</v>
      </c>
      <c r="R113" s="1203">
        <v>10.6</v>
      </c>
      <c r="S113" s="1203">
        <v>159</v>
      </c>
      <c r="T113" s="35" t="s">
        <v>87</v>
      </c>
      <c r="U113" s="1855" t="s">
        <v>415</v>
      </c>
      <c r="V113" s="35" t="s">
        <v>352</v>
      </c>
      <c r="W113" s="2010" t="s">
        <v>553</v>
      </c>
      <c r="X113" s="18"/>
      <c r="Y113" s="4"/>
      <c r="Z113" s="4"/>
    </row>
    <row r="114" spans="1:26" ht="36" hidden="1">
      <c r="A114" s="20">
        <v>121</v>
      </c>
      <c r="B114" s="1063">
        <v>39891</v>
      </c>
      <c r="C114" s="22" t="s">
        <v>554</v>
      </c>
      <c r="D114" s="11"/>
      <c r="E114" s="22" t="s">
        <v>438</v>
      </c>
      <c r="F114" s="35" t="s">
        <v>412</v>
      </c>
      <c r="G114" s="35" t="s">
        <v>555</v>
      </c>
      <c r="H114" s="35" t="s">
        <v>556</v>
      </c>
      <c r="I114" s="35" t="s">
        <v>281</v>
      </c>
      <c r="J114" s="35" t="s">
        <v>557</v>
      </c>
      <c r="K114" s="22" t="s">
        <v>558</v>
      </c>
      <c r="L114" s="35" t="s">
        <v>496</v>
      </c>
      <c r="M114" s="35">
        <v>54</v>
      </c>
      <c r="N114" s="35">
        <v>1</v>
      </c>
      <c r="O114" s="35">
        <v>100</v>
      </c>
      <c r="P114" s="35">
        <v>0</v>
      </c>
      <c r="Q114" s="35">
        <v>46</v>
      </c>
      <c r="R114" s="1203">
        <v>5.79</v>
      </c>
      <c r="S114" s="1203">
        <v>579</v>
      </c>
      <c r="T114" s="35" t="s">
        <v>87</v>
      </c>
      <c r="U114" s="1855" t="s">
        <v>415</v>
      </c>
      <c r="V114" s="35" t="s">
        <v>352</v>
      </c>
      <c r="W114" s="2010" t="s">
        <v>559</v>
      </c>
      <c r="X114" s="18"/>
      <c r="Y114" s="4"/>
      <c r="Z114" s="4"/>
    </row>
    <row r="115" spans="1:26" ht="27.95" hidden="1">
      <c r="A115" s="20">
        <v>122</v>
      </c>
      <c r="B115" s="1063">
        <v>39892</v>
      </c>
      <c r="C115" s="22" t="s">
        <v>560</v>
      </c>
      <c r="D115" s="11"/>
      <c r="E115" s="22" t="s">
        <v>438</v>
      </c>
      <c r="F115" s="22" t="s">
        <v>131</v>
      </c>
      <c r="G115" s="22"/>
      <c r="H115" s="22" t="s">
        <v>561</v>
      </c>
      <c r="I115" s="22" t="s">
        <v>561</v>
      </c>
      <c r="J115" s="22" t="s">
        <v>562</v>
      </c>
      <c r="K115" s="22" t="s">
        <v>562</v>
      </c>
      <c r="L115" s="22"/>
      <c r="M115" s="22">
        <v>1</v>
      </c>
      <c r="N115" s="22">
        <v>1</v>
      </c>
      <c r="O115" s="22">
        <v>2</v>
      </c>
      <c r="P115" s="22">
        <v>0</v>
      </c>
      <c r="Q115" s="22">
        <v>2</v>
      </c>
      <c r="R115" s="1201">
        <v>16550</v>
      </c>
      <c r="S115" s="1201">
        <v>33100</v>
      </c>
      <c r="T115" s="22" t="s">
        <v>87</v>
      </c>
      <c r="U115" s="1854" t="s">
        <v>138</v>
      </c>
      <c r="V115" s="22" t="s">
        <v>352</v>
      </c>
      <c r="W115" s="2006" t="s">
        <v>563</v>
      </c>
      <c r="X115" s="18"/>
      <c r="Y115" s="4"/>
      <c r="Z115" s="4"/>
    </row>
    <row r="116" spans="1:26" ht="27.95" hidden="1">
      <c r="A116" s="20">
        <v>123</v>
      </c>
      <c r="B116" s="1063">
        <v>39893</v>
      </c>
      <c r="C116" s="22" t="s">
        <v>564</v>
      </c>
      <c r="D116" s="11"/>
      <c r="E116" s="22" t="s">
        <v>438</v>
      </c>
      <c r="F116" s="22" t="s">
        <v>131</v>
      </c>
      <c r="G116" s="22"/>
      <c r="H116" s="22" t="s">
        <v>561</v>
      </c>
      <c r="I116" s="22" t="s">
        <v>561</v>
      </c>
      <c r="J116" s="22" t="s">
        <v>565</v>
      </c>
      <c r="K116" s="22" t="s">
        <v>565</v>
      </c>
      <c r="L116" s="22"/>
      <c r="M116" s="22">
        <v>1</v>
      </c>
      <c r="N116" s="22">
        <v>1</v>
      </c>
      <c r="O116" s="22">
        <v>2</v>
      </c>
      <c r="P116" s="22">
        <v>0</v>
      </c>
      <c r="Q116" s="22">
        <v>2</v>
      </c>
      <c r="R116" s="1201">
        <v>17500</v>
      </c>
      <c r="S116" s="1201">
        <v>35000</v>
      </c>
      <c r="T116" s="22" t="s">
        <v>87</v>
      </c>
      <c r="U116" s="1854" t="s">
        <v>138</v>
      </c>
      <c r="V116" s="22" t="s">
        <v>352</v>
      </c>
      <c r="W116" s="2006" t="s">
        <v>566</v>
      </c>
      <c r="X116" s="18"/>
      <c r="Y116" s="4"/>
      <c r="Z116" s="4"/>
    </row>
    <row r="117" spans="1:26" ht="14.1" hidden="1">
      <c r="A117" s="20">
        <v>124</v>
      </c>
      <c r="B117" s="1063">
        <v>39894</v>
      </c>
      <c r="C117" s="22" t="s">
        <v>567</v>
      </c>
      <c r="D117" s="11"/>
      <c r="E117" s="22" t="s">
        <v>438</v>
      </c>
      <c r="F117" s="22" t="s">
        <v>99</v>
      </c>
      <c r="G117" s="22" t="s">
        <v>568</v>
      </c>
      <c r="H117" s="22" t="s">
        <v>569</v>
      </c>
      <c r="I117" s="22" t="s">
        <v>569</v>
      </c>
      <c r="J117" s="22" t="s">
        <v>1</v>
      </c>
      <c r="K117" s="22" t="s">
        <v>1</v>
      </c>
      <c r="L117" s="22" t="s">
        <v>1</v>
      </c>
      <c r="M117" s="22" t="s">
        <v>570</v>
      </c>
      <c r="N117" s="22" t="s">
        <v>571</v>
      </c>
      <c r="O117" s="22" t="s">
        <v>570</v>
      </c>
      <c r="P117" s="22">
        <v>0</v>
      </c>
      <c r="Q117" s="22" t="s">
        <v>570</v>
      </c>
      <c r="R117" s="1201" t="s">
        <v>568</v>
      </c>
      <c r="S117" s="1201">
        <v>1066176</v>
      </c>
      <c r="T117" s="22" t="s">
        <v>87</v>
      </c>
      <c r="U117" s="1854" t="s">
        <v>301</v>
      </c>
      <c r="V117" s="22" t="s">
        <v>352</v>
      </c>
      <c r="W117" s="2007" t="s">
        <v>568</v>
      </c>
      <c r="X117" s="18"/>
      <c r="Y117" s="4"/>
      <c r="Z117" s="4"/>
    </row>
    <row r="118" spans="1:26" ht="42" hidden="1">
      <c r="A118" s="20">
        <v>125</v>
      </c>
      <c r="B118" s="1063">
        <v>39895</v>
      </c>
      <c r="C118" s="22" t="s">
        <v>516</v>
      </c>
      <c r="D118" s="11"/>
      <c r="E118" s="22" t="s">
        <v>572</v>
      </c>
      <c r="F118" s="22" t="s">
        <v>417</v>
      </c>
      <c r="G118" s="22" t="s">
        <v>37</v>
      </c>
      <c r="H118" s="22" t="s">
        <v>573</v>
      </c>
      <c r="I118" s="22" t="s">
        <v>574</v>
      </c>
      <c r="J118" s="22" t="s">
        <v>518</v>
      </c>
      <c r="K118" s="22" t="s">
        <v>519</v>
      </c>
      <c r="L118" s="22" t="s">
        <v>575</v>
      </c>
      <c r="M118" s="28">
        <v>18</v>
      </c>
      <c r="N118" s="28">
        <v>1</v>
      </c>
      <c r="O118" s="28">
        <v>10</v>
      </c>
      <c r="P118" s="28">
        <v>13</v>
      </c>
      <c r="Q118" s="28">
        <v>5</v>
      </c>
      <c r="R118" s="1205">
        <v>251</v>
      </c>
      <c r="S118" s="1205">
        <v>2510</v>
      </c>
      <c r="T118" s="22" t="s">
        <v>87</v>
      </c>
      <c r="U118" s="1856" t="s">
        <v>576</v>
      </c>
      <c r="V118" s="28" t="s">
        <v>352</v>
      </c>
      <c r="W118" s="2012" t="s">
        <v>521</v>
      </c>
      <c r="X118" s="18"/>
      <c r="Y118" s="4"/>
      <c r="Z118" s="4"/>
    </row>
    <row r="119" spans="1:26" ht="27.95" hidden="1">
      <c r="A119" s="20">
        <v>126</v>
      </c>
      <c r="B119" s="1063">
        <v>39896</v>
      </c>
      <c r="C119" s="22" t="s">
        <v>152</v>
      </c>
      <c r="D119" s="11"/>
      <c r="E119" s="22" t="s">
        <v>572</v>
      </c>
      <c r="F119" s="22" t="s">
        <v>417</v>
      </c>
      <c r="G119" s="22" t="s">
        <v>577</v>
      </c>
      <c r="H119" s="22" t="s">
        <v>578</v>
      </c>
      <c r="I119" s="22" t="s">
        <v>574</v>
      </c>
      <c r="J119" s="22" t="s">
        <v>579</v>
      </c>
      <c r="K119" s="22" t="s">
        <v>580</v>
      </c>
      <c r="L119" s="22" t="s">
        <v>581</v>
      </c>
      <c r="M119" s="28">
        <v>18</v>
      </c>
      <c r="N119" s="28">
        <v>1</v>
      </c>
      <c r="O119" s="28">
        <v>10</v>
      </c>
      <c r="P119" s="28">
        <v>13</v>
      </c>
      <c r="Q119" s="28">
        <v>5</v>
      </c>
      <c r="R119" s="1206">
        <v>30.5</v>
      </c>
      <c r="S119" s="1201">
        <v>305</v>
      </c>
      <c r="T119" s="22" t="s">
        <v>87</v>
      </c>
      <c r="U119" s="1856" t="s">
        <v>576</v>
      </c>
      <c r="V119" s="28" t="s">
        <v>352</v>
      </c>
      <c r="W119" s="2006" t="s">
        <v>582</v>
      </c>
      <c r="X119" s="18"/>
      <c r="Y119" s="4"/>
      <c r="Z119" s="4"/>
    </row>
    <row r="120" spans="1:26" ht="27.95" hidden="1">
      <c r="A120" s="20">
        <v>127</v>
      </c>
      <c r="B120" s="1063">
        <v>39897</v>
      </c>
      <c r="C120" s="22" t="s">
        <v>583</v>
      </c>
      <c r="D120" s="11"/>
      <c r="E120" s="22" t="s">
        <v>572</v>
      </c>
      <c r="F120" s="22" t="s">
        <v>417</v>
      </c>
      <c r="G120" s="22" t="s">
        <v>584</v>
      </c>
      <c r="H120" s="22" t="s">
        <v>154</v>
      </c>
      <c r="I120" s="22" t="s">
        <v>53</v>
      </c>
      <c r="J120" s="22" t="s">
        <v>585</v>
      </c>
      <c r="K120" s="22" t="s">
        <v>586</v>
      </c>
      <c r="L120" s="22" t="s">
        <v>587</v>
      </c>
      <c r="M120" s="22">
        <v>24</v>
      </c>
      <c r="N120" s="28">
        <v>1</v>
      </c>
      <c r="O120" s="22">
        <v>25</v>
      </c>
      <c r="P120" s="22">
        <v>10</v>
      </c>
      <c r="Q120" s="22">
        <v>11</v>
      </c>
      <c r="R120" s="1201">
        <v>54</v>
      </c>
      <c r="S120" s="1201">
        <v>1350</v>
      </c>
      <c r="T120" s="22" t="s">
        <v>87</v>
      </c>
      <c r="U120" s="1856" t="s">
        <v>576</v>
      </c>
      <c r="V120" s="28" t="s">
        <v>352</v>
      </c>
      <c r="W120" s="2006" t="s">
        <v>588</v>
      </c>
      <c r="X120" s="18"/>
      <c r="Y120" s="4"/>
      <c r="Z120" s="4"/>
    </row>
    <row r="121" spans="1:26" ht="14.1">
      <c r="A121" s="20"/>
      <c r="B121" s="1063">
        <v>44960</v>
      </c>
      <c r="C121" s="22"/>
      <c r="D121" s="22"/>
      <c r="E121" s="22"/>
      <c r="F121" s="22"/>
      <c r="G121" s="22"/>
      <c r="H121" s="22"/>
      <c r="I121" s="22"/>
      <c r="J121" s="22"/>
      <c r="K121" s="22"/>
      <c r="L121" s="22"/>
      <c r="M121" s="22"/>
      <c r="N121" s="22"/>
      <c r="O121" s="22"/>
      <c r="P121" s="22"/>
      <c r="Q121" s="22"/>
      <c r="R121" s="1201"/>
      <c r="S121" s="1201"/>
      <c r="T121" s="22"/>
      <c r="U121" s="1856"/>
      <c r="V121" s="28"/>
      <c r="W121" s="2006"/>
      <c r="X121" s="18"/>
      <c r="Y121" s="4"/>
      <c r="Z121" s="4"/>
    </row>
    <row r="122" spans="1:26" ht="27.95" hidden="1">
      <c r="A122" s="20">
        <v>129</v>
      </c>
      <c r="B122" s="1063">
        <v>39899</v>
      </c>
      <c r="C122" s="22" t="s">
        <v>589</v>
      </c>
      <c r="D122" s="11"/>
      <c r="E122" s="22" t="s">
        <v>572</v>
      </c>
      <c r="F122" s="22" t="s">
        <v>417</v>
      </c>
      <c r="G122" s="22" t="s">
        <v>590</v>
      </c>
      <c r="H122" s="22" t="s">
        <v>591</v>
      </c>
      <c r="I122" s="22" t="s">
        <v>53</v>
      </c>
      <c r="J122" s="22" t="s">
        <v>592</v>
      </c>
      <c r="K122" s="22" t="s">
        <v>593</v>
      </c>
      <c r="L122" s="22" t="s">
        <v>594</v>
      </c>
      <c r="M122" s="22">
        <v>24</v>
      </c>
      <c r="N122" s="22">
        <v>1</v>
      </c>
      <c r="O122" s="22">
        <v>10</v>
      </c>
      <c r="P122" s="22">
        <v>19</v>
      </c>
      <c r="Q122" s="22">
        <v>5</v>
      </c>
      <c r="R122" s="1201">
        <v>30.9</v>
      </c>
      <c r="S122" s="1201">
        <v>309</v>
      </c>
      <c r="T122" s="22" t="s">
        <v>87</v>
      </c>
      <c r="U122" s="1856" t="s">
        <v>576</v>
      </c>
      <c r="V122" s="28" t="s">
        <v>352</v>
      </c>
      <c r="W122" s="2006" t="s">
        <v>595</v>
      </c>
      <c r="X122" s="18"/>
      <c r="Y122" s="4"/>
      <c r="Z122" s="4"/>
    </row>
    <row r="123" spans="1:26" ht="42" hidden="1">
      <c r="A123" s="20">
        <v>130</v>
      </c>
      <c r="B123" s="1063">
        <v>39900</v>
      </c>
      <c r="C123" s="22" t="s">
        <v>596</v>
      </c>
      <c r="D123" s="11"/>
      <c r="E123" s="22" t="s">
        <v>572</v>
      </c>
      <c r="F123" s="22" t="s">
        <v>417</v>
      </c>
      <c r="G123" s="22" t="s">
        <v>597</v>
      </c>
      <c r="H123" s="22" t="s">
        <v>598</v>
      </c>
      <c r="I123" s="22" t="s">
        <v>53</v>
      </c>
      <c r="J123" s="22" t="s">
        <v>599</v>
      </c>
      <c r="K123" s="22" t="s">
        <v>600</v>
      </c>
      <c r="L123" s="22" t="s">
        <v>601</v>
      </c>
      <c r="M123" s="22">
        <v>24</v>
      </c>
      <c r="N123" s="22">
        <v>1</v>
      </c>
      <c r="O123" s="22">
        <v>25</v>
      </c>
      <c r="P123" s="22">
        <v>10</v>
      </c>
      <c r="Q123" s="22">
        <v>11</v>
      </c>
      <c r="R123" s="1201">
        <v>20.84</v>
      </c>
      <c r="S123" s="1201">
        <v>521</v>
      </c>
      <c r="T123" s="22" t="s">
        <v>87</v>
      </c>
      <c r="U123" s="1856" t="s">
        <v>576</v>
      </c>
      <c r="V123" s="28" t="s">
        <v>352</v>
      </c>
      <c r="W123" s="2006" t="s">
        <v>602</v>
      </c>
      <c r="X123" s="18"/>
      <c r="Y123" s="4"/>
      <c r="Z123" s="4"/>
    </row>
    <row r="124" spans="1:26" ht="42" hidden="1">
      <c r="A124" s="20">
        <v>131</v>
      </c>
      <c r="B124" s="1063">
        <v>39901</v>
      </c>
      <c r="C124" s="22" t="s">
        <v>603</v>
      </c>
      <c r="D124" s="11"/>
      <c r="E124" s="22" t="s">
        <v>572</v>
      </c>
      <c r="F124" s="22" t="s">
        <v>417</v>
      </c>
      <c r="G124" s="22" t="s">
        <v>604</v>
      </c>
      <c r="H124" s="22" t="s">
        <v>64</v>
      </c>
      <c r="I124" s="22" t="s">
        <v>53</v>
      </c>
      <c r="J124" s="22" t="s">
        <v>605</v>
      </c>
      <c r="K124" s="22" t="s">
        <v>606</v>
      </c>
      <c r="L124" s="22" t="s">
        <v>607</v>
      </c>
      <c r="M124" s="22">
        <v>6</v>
      </c>
      <c r="N124" s="22">
        <v>1</v>
      </c>
      <c r="O124" s="22">
        <v>10</v>
      </c>
      <c r="P124" s="22">
        <v>0</v>
      </c>
      <c r="Q124" s="22">
        <v>4</v>
      </c>
      <c r="R124" s="1201">
        <v>1464</v>
      </c>
      <c r="S124" s="1201">
        <v>14640</v>
      </c>
      <c r="T124" s="22" t="s">
        <v>87</v>
      </c>
      <c r="U124" s="1856" t="s">
        <v>576</v>
      </c>
      <c r="V124" s="28" t="s">
        <v>352</v>
      </c>
      <c r="W124" s="2006" t="s">
        <v>608</v>
      </c>
      <c r="X124" s="18"/>
      <c r="Y124" s="4"/>
      <c r="Z124" s="4"/>
    </row>
    <row r="125" spans="1:26" ht="42" hidden="1">
      <c r="A125" s="20">
        <v>132</v>
      </c>
      <c r="B125" s="1063">
        <v>39902</v>
      </c>
      <c r="C125" s="22" t="s">
        <v>152</v>
      </c>
      <c r="D125" s="11"/>
      <c r="E125" s="22" t="s">
        <v>572</v>
      </c>
      <c r="F125" s="22" t="s">
        <v>417</v>
      </c>
      <c r="G125" s="22" t="s">
        <v>609</v>
      </c>
      <c r="H125" s="22" t="s">
        <v>154</v>
      </c>
      <c r="I125" s="22" t="s">
        <v>53</v>
      </c>
      <c r="J125" s="22" t="s">
        <v>494</v>
      </c>
      <c r="K125" s="22" t="s">
        <v>610</v>
      </c>
      <c r="L125" s="22" t="s">
        <v>581</v>
      </c>
      <c r="M125" s="22">
        <v>36</v>
      </c>
      <c r="N125" s="22">
        <v>1</v>
      </c>
      <c r="O125" s="22">
        <v>50</v>
      </c>
      <c r="P125" s="22">
        <v>11</v>
      </c>
      <c r="Q125" s="22">
        <v>25</v>
      </c>
      <c r="R125" s="1201">
        <v>92.58</v>
      </c>
      <c r="S125" s="1201">
        <v>4629</v>
      </c>
      <c r="T125" s="22" t="s">
        <v>87</v>
      </c>
      <c r="U125" s="1856" t="s">
        <v>576</v>
      </c>
      <c r="V125" s="28" t="s">
        <v>352</v>
      </c>
      <c r="W125" s="2006" t="s">
        <v>611</v>
      </c>
      <c r="X125" s="18"/>
      <c r="Y125" s="4"/>
      <c r="Z125" s="4"/>
    </row>
    <row r="126" spans="1:26" ht="27.95" hidden="1">
      <c r="A126" s="20">
        <v>133</v>
      </c>
      <c r="B126" s="1063">
        <v>39903</v>
      </c>
      <c r="C126" s="22" t="s">
        <v>612</v>
      </c>
      <c r="D126" s="11"/>
      <c r="E126" s="22" t="s">
        <v>572</v>
      </c>
      <c r="F126" s="22" t="s">
        <v>417</v>
      </c>
      <c r="G126" s="22" t="s">
        <v>613</v>
      </c>
      <c r="H126" s="22" t="s">
        <v>614</v>
      </c>
      <c r="I126" s="22" t="s">
        <v>53</v>
      </c>
      <c r="J126" s="22" t="s">
        <v>615</v>
      </c>
      <c r="K126" s="22" t="s">
        <v>616</v>
      </c>
      <c r="L126" s="22" t="s">
        <v>613</v>
      </c>
      <c r="M126" s="22">
        <v>18</v>
      </c>
      <c r="N126" s="22">
        <v>1</v>
      </c>
      <c r="O126" s="22">
        <v>25</v>
      </c>
      <c r="P126" s="22">
        <v>8</v>
      </c>
      <c r="Q126" s="22">
        <v>15</v>
      </c>
      <c r="R126" s="1201">
        <v>174</v>
      </c>
      <c r="S126" s="1201">
        <v>4350</v>
      </c>
      <c r="T126" s="22" t="s">
        <v>87</v>
      </c>
      <c r="U126" s="1856" t="s">
        <v>576</v>
      </c>
      <c r="V126" s="28" t="s">
        <v>352</v>
      </c>
      <c r="W126" s="2006" t="s">
        <v>617</v>
      </c>
      <c r="X126" s="18"/>
      <c r="Y126" s="4"/>
      <c r="Z126" s="4"/>
    </row>
    <row r="127" spans="1:26" ht="27.95" hidden="1">
      <c r="A127" s="20">
        <v>134</v>
      </c>
      <c r="B127" s="1063">
        <v>39904</v>
      </c>
      <c r="C127" s="22" t="s">
        <v>618</v>
      </c>
      <c r="D127" s="11"/>
      <c r="E127" s="22" t="s">
        <v>572</v>
      </c>
      <c r="F127" s="22" t="s">
        <v>417</v>
      </c>
      <c r="G127" s="22" t="s">
        <v>619</v>
      </c>
      <c r="H127" s="22" t="s">
        <v>620</v>
      </c>
      <c r="I127" s="22" t="s">
        <v>39</v>
      </c>
      <c r="J127" s="22" t="s">
        <v>621</v>
      </c>
      <c r="K127" s="22" t="s">
        <v>622</v>
      </c>
      <c r="L127" s="22" t="s">
        <v>623</v>
      </c>
      <c r="M127" s="22">
        <v>6</v>
      </c>
      <c r="N127" s="22">
        <v>5</v>
      </c>
      <c r="O127" s="22">
        <v>10</v>
      </c>
      <c r="P127" s="22">
        <v>0</v>
      </c>
      <c r="Q127" s="22">
        <v>4</v>
      </c>
      <c r="R127" s="1201">
        <v>32.200000000000003</v>
      </c>
      <c r="S127" s="1201">
        <v>322</v>
      </c>
      <c r="T127" s="22" t="s">
        <v>87</v>
      </c>
      <c r="U127" s="1856" t="s">
        <v>576</v>
      </c>
      <c r="V127" s="28" t="s">
        <v>352</v>
      </c>
      <c r="W127" s="2006" t="s">
        <v>624</v>
      </c>
      <c r="X127" s="18"/>
      <c r="Y127" s="4"/>
      <c r="Z127" s="4"/>
    </row>
    <row r="128" spans="1:26" ht="42" hidden="1">
      <c r="A128" s="20">
        <v>135</v>
      </c>
      <c r="B128" s="1063">
        <v>39905</v>
      </c>
      <c r="C128" s="22" t="s">
        <v>188</v>
      </c>
      <c r="D128" s="11"/>
      <c r="E128" s="22" t="s">
        <v>572</v>
      </c>
      <c r="F128" s="22" t="s">
        <v>417</v>
      </c>
      <c r="G128" s="22" t="s">
        <v>625</v>
      </c>
      <c r="H128" s="22" t="s">
        <v>626</v>
      </c>
      <c r="I128" s="22" t="s">
        <v>53</v>
      </c>
      <c r="J128" s="22" t="s">
        <v>627</v>
      </c>
      <c r="K128" s="22" t="s">
        <v>628</v>
      </c>
      <c r="L128" s="22" t="s">
        <v>629</v>
      </c>
      <c r="M128" s="22">
        <v>6</v>
      </c>
      <c r="N128" s="22">
        <v>1</v>
      </c>
      <c r="O128" s="22">
        <v>10</v>
      </c>
      <c r="P128" s="22">
        <v>0</v>
      </c>
      <c r="Q128" s="22">
        <v>4</v>
      </c>
      <c r="R128" s="1201">
        <v>17.2</v>
      </c>
      <c r="S128" s="1201">
        <v>172</v>
      </c>
      <c r="T128" s="22" t="s">
        <v>87</v>
      </c>
      <c r="U128" s="1856" t="s">
        <v>576</v>
      </c>
      <c r="V128" s="28" t="s">
        <v>352</v>
      </c>
      <c r="W128" s="2006" t="s">
        <v>630</v>
      </c>
      <c r="X128" s="18"/>
      <c r="Y128" s="4"/>
      <c r="Z128" s="4"/>
    </row>
    <row r="129" spans="1:26" ht="42" hidden="1">
      <c r="A129" s="20">
        <v>136</v>
      </c>
      <c r="B129" s="1063">
        <v>39906</v>
      </c>
      <c r="C129" s="22" t="s">
        <v>329</v>
      </c>
      <c r="D129" s="11"/>
      <c r="E129" s="22" t="s">
        <v>572</v>
      </c>
      <c r="F129" s="22" t="s">
        <v>417</v>
      </c>
      <c r="G129" s="22" t="s">
        <v>631</v>
      </c>
      <c r="H129" s="22" t="s">
        <v>578</v>
      </c>
      <c r="I129" s="22" t="s">
        <v>53</v>
      </c>
      <c r="J129" s="22" t="s">
        <v>632</v>
      </c>
      <c r="K129" s="22" t="s">
        <v>633</v>
      </c>
      <c r="L129" s="22" t="s">
        <v>629</v>
      </c>
      <c r="M129" s="22">
        <v>12</v>
      </c>
      <c r="N129" s="22">
        <v>1</v>
      </c>
      <c r="O129" s="22">
        <v>25</v>
      </c>
      <c r="P129" s="22">
        <v>0</v>
      </c>
      <c r="Q129" s="22">
        <v>13</v>
      </c>
      <c r="R129" s="1201">
        <v>8.1</v>
      </c>
      <c r="S129" s="1201">
        <v>203</v>
      </c>
      <c r="T129" s="22" t="s">
        <v>87</v>
      </c>
      <c r="U129" s="1856" t="s">
        <v>576</v>
      </c>
      <c r="V129" s="28" t="s">
        <v>352</v>
      </c>
      <c r="W129" s="2006" t="s">
        <v>634</v>
      </c>
      <c r="X129" s="18"/>
      <c r="Y129" s="4"/>
      <c r="Z129" s="4"/>
    </row>
    <row r="130" spans="1:26" ht="42" hidden="1">
      <c r="A130" s="20">
        <v>137</v>
      </c>
      <c r="B130" s="1063">
        <v>39907</v>
      </c>
      <c r="C130" s="22" t="s">
        <v>329</v>
      </c>
      <c r="D130" s="11"/>
      <c r="E130" s="22" t="s">
        <v>572</v>
      </c>
      <c r="F130" s="22" t="s">
        <v>417</v>
      </c>
      <c r="G130" s="22" t="s">
        <v>635</v>
      </c>
      <c r="H130" s="22" t="s">
        <v>636</v>
      </c>
      <c r="I130" s="22" t="s">
        <v>53</v>
      </c>
      <c r="J130" s="22" t="s">
        <v>637</v>
      </c>
      <c r="K130" s="22" t="s">
        <v>638</v>
      </c>
      <c r="L130" s="22" t="s">
        <v>629</v>
      </c>
      <c r="M130" s="22">
        <v>12</v>
      </c>
      <c r="N130" s="22">
        <v>1</v>
      </c>
      <c r="O130" s="22">
        <v>25</v>
      </c>
      <c r="P130" s="22">
        <v>0</v>
      </c>
      <c r="Q130" s="22">
        <v>13</v>
      </c>
      <c r="R130" s="1201">
        <v>12.6</v>
      </c>
      <c r="S130" s="1201">
        <v>315</v>
      </c>
      <c r="T130" s="22" t="s">
        <v>87</v>
      </c>
      <c r="U130" s="1856" t="s">
        <v>576</v>
      </c>
      <c r="V130" s="28" t="s">
        <v>352</v>
      </c>
      <c r="W130" s="2006" t="s">
        <v>639</v>
      </c>
      <c r="X130" s="18"/>
      <c r="Y130" s="4"/>
      <c r="Z130" s="4"/>
    </row>
    <row r="131" spans="1:26" ht="42" hidden="1">
      <c r="A131" s="20">
        <v>138</v>
      </c>
      <c r="B131" s="1063">
        <v>39908</v>
      </c>
      <c r="C131" s="22" t="s">
        <v>329</v>
      </c>
      <c r="D131" s="11"/>
      <c r="E131" s="22" t="s">
        <v>572</v>
      </c>
      <c r="F131" s="22" t="s">
        <v>417</v>
      </c>
      <c r="G131" s="22" t="s">
        <v>640</v>
      </c>
      <c r="H131" s="22" t="s">
        <v>641</v>
      </c>
      <c r="I131" s="22" t="s">
        <v>53</v>
      </c>
      <c r="J131" s="22" t="s">
        <v>642</v>
      </c>
      <c r="K131" s="22" t="s">
        <v>643</v>
      </c>
      <c r="L131" s="22" t="s">
        <v>644</v>
      </c>
      <c r="M131" s="22">
        <v>54</v>
      </c>
      <c r="N131" s="22">
        <v>1</v>
      </c>
      <c r="O131" s="22">
        <v>100</v>
      </c>
      <c r="P131" s="22">
        <v>0</v>
      </c>
      <c r="Q131" s="22">
        <v>46</v>
      </c>
      <c r="R131" s="1201">
        <v>5.26</v>
      </c>
      <c r="S131" s="1201">
        <v>526</v>
      </c>
      <c r="T131" s="22" t="s">
        <v>87</v>
      </c>
      <c r="U131" s="1856" t="s">
        <v>576</v>
      </c>
      <c r="V131" s="28" t="s">
        <v>352</v>
      </c>
      <c r="W131" s="2006" t="s">
        <v>645</v>
      </c>
      <c r="X131" s="18"/>
      <c r="Y131" s="4"/>
      <c r="Z131" s="4"/>
    </row>
    <row r="132" spans="1:26" ht="42" hidden="1">
      <c r="A132" s="20">
        <v>139</v>
      </c>
      <c r="B132" s="1063">
        <v>39909</v>
      </c>
      <c r="C132" s="22" t="s">
        <v>329</v>
      </c>
      <c r="D132" s="11"/>
      <c r="E132" s="22" t="s">
        <v>572</v>
      </c>
      <c r="F132" s="22" t="s">
        <v>417</v>
      </c>
      <c r="G132" s="22" t="s">
        <v>646</v>
      </c>
      <c r="H132" s="22" t="s">
        <v>144</v>
      </c>
      <c r="I132" s="22" t="s">
        <v>53</v>
      </c>
      <c r="J132" s="22" t="s">
        <v>647</v>
      </c>
      <c r="K132" s="22" t="s">
        <v>648</v>
      </c>
      <c r="L132" s="22" t="s">
        <v>629</v>
      </c>
      <c r="M132" s="22">
        <v>24</v>
      </c>
      <c r="N132" s="22">
        <v>1</v>
      </c>
      <c r="O132" s="22">
        <v>50</v>
      </c>
      <c r="P132" s="22">
        <v>0</v>
      </c>
      <c r="Q132" s="22">
        <v>26</v>
      </c>
      <c r="R132" s="1201">
        <v>113.4</v>
      </c>
      <c r="S132" s="1201">
        <v>5670</v>
      </c>
      <c r="T132" s="22" t="s">
        <v>87</v>
      </c>
      <c r="U132" s="1856" t="s">
        <v>576</v>
      </c>
      <c r="V132" s="28" t="s">
        <v>352</v>
      </c>
      <c r="W132" s="2006" t="s">
        <v>649</v>
      </c>
      <c r="X132" s="18"/>
      <c r="Y132" s="4"/>
      <c r="Z132" s="4"/>
    </row>
    <row r="133" spans="1:26" ht="42" hidden="1">
      <c r="A133" s="20">
        <v>140</v>
      </c>
      <c r="B133" s="1063">
        <v>39910</v>
      </c>
      <c r="C133" s="22" t="s">
        <v>329</v>
      </c>
      <c r="D133" s="11"/>
      <c r="E133" s="22" t="s">
        <v>572</v>
      </c>
      <c r="F133" s="22" t="s">
        <v>417</v>
      </c>
      <c r="G133" s="22" t="s">
        <v>650</v>
      </c>
      <c r="H133" s="22" t="s">
        <v>651</v>
      </c>
      <c r="I133" s="22" t="s">
        <v>53</v>
      </c>
      <c r="J133" s="22" t="s">
        <v>652</v>
      </c>
      <c r="K133" s="22" t="s">
        <v>653</v>
      </c>
      <c r="L133" s="22" t="s">
        <v>629</v>
      </c>
      <c r="M133" s="22">
        <v>114</v>
      </c>
      <c r="N133" s="22">
        <v>1</v>
      </c>
      <c r="O133" s="22">
        <v>200</v>
      </c>
      <c r="P133" s="22">
        <v>0</v>
      </c>
      <c r="Q133" s="22">
        <v>86</v>
      </c>
      <c r="R133" s="1201">
        <v>8.86</v>
      </c>
      <c r="S133" s="1201">
        <v>1772</v>
      </c>
      <c r="T133" s="22" t="s">
        <v>87</v>
      </c>
      <c r="U133" s="1856" t="s">
        <v>576</v>
      </c>
      <c r="V133" s="28" t="s">
        <v>352</v>
      </c>
      <c r="W133" s="2006" t="s">
        <v>654</v>
      </c>
      <c r="X133" s="18"/>
      <c r="Y133" s="4"/>
      <c r="Z133" s="4"/>
    </row>
    <row r="134" spans="1:26" ht="32.25" hidden="1" customHeight="1">
      <c r="A134" s="20">
        <v>141</v>
      </c>
      <c r="B134" s="1063">
        <v>39911</v>
      </c>
      <c r="C134" s="22" t="s">
        <v>655</v>
      </c>
      <c r="D134" s="11"/>
      <c r="E134" s="22" t="s">
        <v>572</v>
      </c>
      <c r="F134" s="22" t="s">
        <v>439</v>
      </c>
      <c r="G134" s="22" t="s">
        <v>656</v>
      </c>
      <c r="H134" s="22" t="s">
        <v>657</v>
      </c>
      <c r="I134" s="22" t="s">
        <v>658</v>
      </c>
      <c r="J134" s="22" t="s">
        <v>659</v>
      </c>
      <c r="K134" s="22" t="s">
        <v>659</v>
      </c>
      <c r="L134" s="22"/>
      <c r="M134" s="22">
        <v>3</v>
      </c>
      <c r="N134" s="22">
        <v>1</v>
      </c>
      <c r="O134" s="22">
        <v>5</v>
      </c>
      <c r="P134" s="22">
        <v>3</v>
      </c>
      <c r="Q134" s="22">
        <v>5</v>
      </c>
      <c r="R134" s="1201" t="s">
        <v>660</v>
      </c>
      <c r="S134" s="1201" t="s">
        <v>661</v>
      </c>
      <c r="T134" s="22" t="s">
        <v>87</v>
      </c>
      <c r="U134" s="1856" t="s">
        <v>576</v>
      </c>
      <c r="V134" s="28" t="s">
        <v>352</v>
      </c>
      <c r="W134" s="2006" t="s">
        <v>662</v>
      </c>
      <c r="X134" s="18"/>
      <c r="Y134" s="4"/>
      <c r="Z134" s="4"/>
    </row>
    <row r="135" spans="1:26" ht="27.95" hidden="1">
      <c r="A135" s="20">
        <v>142</v>
      </c>
      <c r="B135" s="1063">
        <v>39912</v>
      </c>
      <c r="C135" s="22" t="s">
        <v>663</v>
      </c>
      <c r="D135" s="11"/>
      <c r="E135" s="22" t="s">
        <v>572</v>
      </c>
      <c r="F135" s="22" t="s">
        <v>439</v>
      </c>
      <c r="G135" s="22" t="s">
        <v>664</v>
      </c>
      <c r="H135" s="22" t="s">
        <v>665</v>
      </c>
      <c r="I135" s="22" t="s">
        <v>666</v>
      </c>
      <c r="J135" s="22" t="s">
        <v>667</v>
      </c>
      <c r="K135" s="22" t="s">
        <v>667</v>
      </c>
      <c r="L135" s="22"/>
      <c r="M135" s="22">
        <v>6</v>
      </c>
      <c r="N135" s="22">
        <v>1</v>
      </c>
      <c r="O135" s="22">
        <v>10</v>
      </c>
      <c r="P135" s="22">
        <v>0</v>
      </c>
      <c r="Q135" s="22">
        <v>4</v>
      </c>
      <c r="R135" s="1201">
        <v>450</v>
      </c>
      <c r="S135" s="1201">
        <v>4500</v>
      </c>
      <c r="T135" s="22" t="s">
        <v>87</v>
      </c>
      <c r="U135" s="1856" t="s">
        <v>576</v>
      </c>
      <c r="V135" s="28" t="s">
        <v>352</v>
      </c>
      <c r="W135" s="2006" t="s">
        <v>668</v>
      </c>
      <c r="X135" s="18"/>
      <c r="Y135" s="4"/>
      <c r="Z135" s="4"/>
    </row>
    <row r="136" spans="1:26" ht="27.95" hidden="1">
      <c r="A136" s="20">
        <v>143</v>
      </c>
      <c r="B136" s="1063">
        <v>39913</v>
      </c>
      <c r="C136" s="22" t="s">
        <v>669</v>
      </c>
      <c r="D136" s="11"/>
      <c r="E136" s="22" t="s">
        <v>572</v>
      </c>
      <c r="F136" s="22" t="s">
        <v>439</v>
      </c>
      <c r="G136" s="22" t="s">
        <v>670</v>
      </c>
      <c r="H136" s="22" t="s">
        <v>671</v>
      </c>
      <c r="I136" s="22" t="s">
        <v>672</v>
      </c>
      <c r="J136" s="22" t="s">
        <v>673</v>
      </c>
      <c r="K136" s="22" t="s">
        <v>673</v>
      </c>
      <c r="L136" s="22"/>
      <c r="M136" s="22">
        <v>6</v>
      </c>
      <c r="N136" s="22">
        <v>1</v>
      </c>
      <c r="O136" s="22">
        <v>15</v>
      </c>
      <c r="P136" s="22">
        <v>0</v>
      </c>
      <c r="Q136" s="22">
        <v>9</v>
      </c>
      <c r="R136" s="1201">
        <v>727</v>
      </c>
      <c r="S136" s="1201">
        <v>10905</v>
      </c>
      <c r="T136" s="22" t="s">
        <v>87</v>
      </c>
      <c r="U136" s="1856" t="s">
        <v>576</v>
      </c>
      <c r="V136" s="28" t="s">
        <v>352</v>
      </c>
      <c r="W136" s="2006" t="s">
        <v>674</v>
      </c>
      <c r="X136" s="18"/>
      <c r="Y136" s="4"/>
      <c r="Z136" s="4"/>
    </row>
    <row r="137" spans="1:26" ht="14.1" hidden="1">
      <c r="A137" s="20">
        <v>144</v>
      </c>
      <c r="B137" s="1063">
        <v>39914</v>
      </c>
      <c r="C137" s="22" t="s">
        <v>675</v>
      </c>
      <c r="D137" s="11"/>
      <c r="E137" s="22" t="s">
        <v>572</v>
      </c>
      <c r="F137" s="22" t="s">
        <v>417</v>
      </c>
      <c r="G137" s="22" t="s">
        <v>676</v>
      </c>
      <c r="H137" s="22" t="s">
        <v>287</v>
      </c>
      <c r="I137" s="22" t="s">
        <v>287</v>
      </c>
      <c r="J137" s="35" t="s">
        <v>1</v>
      </c>
      <c r="K137" s="35" t="s">
        <v>1</v>
      </c>
      <c r="L137" s="35" t="s">
        <v>1</v>
      </c>
      <c r="M137" s="22">
        <v>1</v>
      </c>
      <c r="N137" s="22">
        <v>1</v>
      </c>
      <c r="O137" s="22">
        <v>3</v>
      </c>
      <c r="P137" s="22">
        <v>0</v>
      </c>
      <c r="Q137" s="22" t="s">
        <v>677</v>
      </c>
      <c r="R137" s="1201">
        <f t="shared" ref="R137:R138" si="3">S137/O137</f>
        <v>28913</v>
      </c>
      <c r="S137" s="1201">
        <v>86739</v>
      </c>
      <c r="T137" s="22" t="s">
        <v>87</v>
      </c>
      <c r="U137" s="1854" t="s">
        <v>678</v>
      </c>
      <c r="V137" s="22" t="s">
        <v>1</v>
      </c>
      <c r="W137" s="2006" t="s">
        <v>401</v>
      </c>
      <c r="X137" s="18"/>
      <c r="Y137" s="4"/>
      <c r="Z137" s="4"/>
    </row>
    <row r="138" spans="1:26" ht="14.1" hidden="1">
      <c r="A138" s="20">
        <v>145</v>
      </c>
      <c r="B138" s="1063">
        <v>39915</v>
      </c>
      <c r="C138" s="22" t="s">
        <v>679</v>
      </c>
      <c r="D138" s="11"/>
      <c r="E138" s="22" t="s">
        <v>81</v>
      </c>
      <c r="F138" s="22" t="s">
        <v>417</v>
      </c>
      <c r="G138" s="22" t="s">
        <v>680</v>
      </c>
      <c r="H138" s="22" t="s">
        <v>287</v>
      </c>
      <c r="I138" s="22" t="s">
        <v>287</v>
      </c>
      <c r="J138" s="35" t="s">
        <v>1</v>
      </c>
      <c r="K138" s="35" t="s">
        <v>1</v>
      </c>
      <c r="L138" s="35" t="s">
        <v>1</v>
      </c>
      <c r="M138" s="22">
        <v>2</v>
      </c>
      <c r="N138" s="22">
        <v>1</v>
      </c>
      <c r="O138" s="22">
        <v>5</v>
      </c>
      <c r="P138" s="22">
        <v>0</v>
      </c>
      <c r="Q138" s="22" t="s">
        <v>681</v>
      </c>
      <c r="R138" s="1201">
        <f t="shared" si="3"/>
        <v>17631.400000000001</v>
      </c>
      <c r="S138" s="1201">
        <v>88157</v>
      </c>
      <c r="T138" s="22" t="s">
        <v>87</v>
      </c>
      <c r="U138" s="1854" t="s">
        <v>678</v>
      </c>
      <c r="V138" s="22" t="s">
        <v>1</v>
      </c>
      <c r="W138" s="2006" t="s">
        <v>401</v>
      </c>
      <c r="X138" s="18"/>
      <c r="Y138" s="4"/>
      <c r="Z138" s="4"/>
    </row>
    <row r="139" spans="1:26" ht="98.1" hidden="1">
      <c r="A139" s="20">
        <v>146</v>
      </c>
      <c r="B139" s="1063">
        <v>39916</v>
      </c>
      <c r="C139" s="22" t="s">
        <v>682</v>
      </c>
      <c r="D139" s="11"/>
      <c r="E139" s="22" t="s">
        <v>683</v>
      </c>
      <c r="F139" s="22" t="s">
        <v>684</v>
      </c>
      <c r="G139" s="22" t="s">
        <v>685</v>
      </c>
      <c r="H139" s="22" t="s">
        <v>686</v>
      </c>
      <c r="I139" s="22" t="s">
        <v>366</v>
      </c>
      <c r="J139" s="22" t="s">
        <v>687</v>
      </c>
      <c r="K139" s="22" t="s">
        <v>687</v>
      </c>
      <c r="L139" s="22"/>
      <c r="M139" s="22">
        <v>34</v>
      </c>
      <c r="N139" s="22">
        <v>1</v>
      </c>
      <c r="O139" s="22">
        <v>34</v>
      </c>
      <c r="P139" s="22">
        <v>0</v>
      </c>
      <c r="Q139" s="22">
        <v>34</v>
      </c>
      <c r="R139" s="1201">
        <v>104</v>
      </c>
      <c r="S139" s="1201">
        <v>3536</v>
      </c>
      <c r="T139" s="22" t="s">
        <v>688</v>
      </c>
      <c r="U139" s="1854" t="s">
        <v>684</v>
      </c>
      <c r="V139" s="22" t="s">
        <v>689</v>
      </c>
      <c r="W139" s="2006" t="s">
        <v>690</v>
      </c>
      <c r="X139" s="18"/>
      <c r="Y139" s="4"/>
      <c r="Z139" s="4"/>
    </row>
    <row r="140" spans="1:26" ht="98.1" hidden="1">
      <c r="A140" s="20">
        <v>147</v>
      </c>
      <c r="B140" s="1063">
        <v>39917</v>
      </c>
      <c r="C140" s="22" t="s">
        <v>682</v>
      </c>
      <c r="D140" s="11"/>
      <c r="E140" s="22" t="s">
        <v>683</v>
      </c>
      <c r="F140" s="22" t="s">
        <v>684</v>
      </c>
      <c r="G140" s="22" t="s">
        <v>691</v>
      </c>
      <c r="H140" s="22" t="s">
        <v>686</v>
      </c>
      <c r="I140" s="22" t="s">
        <v>366</v>
      </c>
      <c r="J140" s="22" t="s">
        <v>692</v>
      </c>
      <c r="K140" s="22" t="s">
        <v>692</v>
      </c>
      <c r="L140" s="22"/>
      <c r="M140" s="22">
        <v>8</v>
      </c>
      <c r="N140" s="22">
        <v>1</v>
      </c>
      <c r="O140" s="22">
        <v>8</v>
      </c>
      <c r="P140" s="22">
        <v>0</v>
      </c>
      <c r="Q140" s="22">
        <v>8</v>
      </c>
      <c r="R140" s="1201">
        <v>132</v>
      </c>
      <c r="S140" s="1201">
        <v>1056</v>
      </c>
      <c r="T140" s="22" t="s">
        <v>688</v>
      </c>
      <c r="U140" s="1854" t="s">
        <v>684</v>
      </c>
      <c r="V140" s="22" t="s">
        <v>689</v>
      </c>
      <c r="W140" s="2006" t="s">
        <v>690</v>
      </c>
      <c r="X140" s="18"/>
      <c r="Y140" s="4"/>
      <c r="Z140" s="4"/>
    </row>
    <row r="141" spans="1:26" ht="98.1" hidden="1">
      <c r="A141" s="20">
        <v>148</v>
      </c>
      <c r="B141" s="1063">
        <v>39918</v>
      </c>
      <c r="C141" s="22" t="s">
        <v>682</v>
      </c>
      <c r="D141" s="11"/>
      <c r="E141" s="22" t="s">
        <v>683</v>
      </c>
      <c r="F141" s="22" t="s">
        <v>684</v>
      </c>
      <c r="G141" s="22" t="s">
        <v>693</v>
      </c>
      <c r="H141" s="22" t="s">
        <v>686</v>
      </c>
      <c r="I141" s="22" t="s">
        <v>366</v>
      </c>
      <c r="J141" s="22" t="s">
        <v>694</v>
      </c>
      <c r="K141" s="22" t="s">
        <v>694</v>
      </c>
      <c r="L141" s="22"/>
      <c r="M141" s="22">
        <v>21</v>
      </c>
      <c r="N141" s="22">
        <v>1</v>
      </c>
      <c r="O141" s="22">
        <v>21</v>
      </c>
      <c r="P141" s="22">
        <v>0</v>
      </c>
      <c r="Q141" s="22">
        <v>21</v>
      </c>
      <c r="R141" s="1201">
        <v>133</v>
      </c>
      <c r="S141" s="1201">
        <v>2793</v>
      </c>
      <c r="T141" s="22" t="s">
        <v>688</v>
      </c>
      <c r="U141" s="1854" t="s">
        <v>684</v>
      </c>
      <c r="V141" s="22" t="s">
        <v>689</v>
      </c>
      <c r="W141" s="2006" t="s">
        <v>690</v>
      </c>
      <c r="X141" s="18"/>
      <c r="Y141" s="4"/>
      <c r="Z141" s="4"/>
    </row>
    <row r="142" spans="1:26" ht="14.1" hidden="1">
      <c r="A142" s="20">
        <v>149</v>
      </c>
      <c r="B142" s="1063">
        <v>39919</v>
      </c>
      <c r="C142" s="22" t="s">
        <v>695</v>
      </c>
      <c r="D142" s="11"/>
      <c r="E142" s="22" t="s">
        <v>683</v>
      </c>
      <c r="F142" s="22" t="s">
        <v>684</v>
      </c>
      <c r="G142" s="22" t="s">
        <v>696</v>
      </c>
      <c r="H142" s="22" t="s">
        <v>697</v>
      </c>
      <c r="I142" s="22" t="s">
        <v>366</v>
      </c>
      <c r="J142" s="22" t="s">
        <v>698</v>
      </c>
      <c r="K142" s="22" t="s">
        <v>698</v>
      </c>
      <c r="L142" s="22"/>
      <c r="M142" s="22">
        <v>21</v>
      </c>
      <c r="N142" s="22">
        <v>10</v>
      </c>
      <c r="O142" s="22">
        <v>30</v>
      </c>
      <c r="P142" s="22">
        <v>0</v>
      </c>
      <c r="Q142" s="22">
        <v>30</v>
      </c>
      <c r="R142" s="1201">
        <v>220</v>
      </c>
      <c r="S142" s="1201">
        <v>660</v>
      </c>
      <c r="T142" s="22" t="s">
        <v>688</v>
      </c>
      <c r="U142" s="1854" t="s">
        <v>684</v>
      </c>
      <c r="V142" s="22" t="s">
        <v>689</v>
      </c>
      <c r="W142" s="2006" t="s">
        <v>699</v>
      </c>
      <c r="X142" s="18"/>
      <c r="Y142" s="4"/>
      <c r="Z142" s="4"/>
    </row>
    <row r="143" spans="1:26" ht="56.1" hidden="1">
      <c r="A143" s="20">
        <v>150</v>
      </c>
      <c r="B143" s="1063">
        <v>39920</v>
      </c>
      <c r="C143" s="22" t="s">
        <v>695</v>
      </c>
      <c r="D143" s="11"/>
      <c r="E143" s="22" t="s">
        <v>683</v>
      </c>
      <c r="F143" s="22" t="s">
        <v>684</v>
      </c>
      <c r="G143" s="22" t="s">
        <v>700</v>
      </c>
      <c r="H143" s="22" t="s">
        <v>686</v>
      </c>
      <c r="I143" s="22" t="s">
        <v>366</v>
      </c>
      <c r="J143" s="22" t="s">
        <v>701</v>
      </c>
      <c r="K143" s="22" t="s">
        <v>701</v>
      </c>
      <c r="L143" s="22"/>
      <c r="M143" s="22">
        <v>42</v>
      </c>
      <c r="N143" s="22">
        <v>1</v>
      </c>
      <c r="O143" s="22">
        <v>42</v>
      </c>
      <c r="P143" s="22">
        <v>0</v>
      </c>
      <c r="Q143" s="22">
        <v>42</v>
      </c>
      <c r="R143" s="1201">
        <v>24</v>
      </c>
      <c r="S143" s="1201">
        <v>1008</v>
      </c>
      <c r="T143" s="22" t="s">
        <v>688</v>
      </c>
      <c r="U143" s="1854" t="s">
        <v>684</v>
      </c>
      <c r="V143" s="22" t="s">
        <v>689</v>
      </c>
      <c r="W143" s="2006" t="s">
        <v>702</v>
      </c>
      <c r="X143" s="18"/>
      <c r="Y143" s="4"/>
      <c r="Z143" s="4"/>
    </row>
    <row r="144" spans="1:26" ht="98.1" hidden="1">
      <c r="A144" s="20">
        <v>151</v>
      </c>
      <c r="B144" s="1063">
        <v>39921</v>
      </c>
      <c r="C144" s="22" t="s">
        <v>682</v>
      </c>
      <c r="D144" s="11"/>
      <c r="E144" s="22" t="s">
        <v>683</v>
      </c>
      <c r="F144" s="22" t="s">
        <v>684</v>
      </c>
      <c r="G144" s="22" t="s">
        <v>693</v>
      </c>
      <c r="H144" s="22" t="s">
        <v>703</v>
      </c>
      <c r="I144" s="22" t="s">
        <v>366</v>
      </c>
      <c r="J144" s="22" t="s">
        <v>704</v>
      </c>
      <c r="K144" s="22" t="s">
        <v>704</v>
      </c>
      <c r="L144" s="22"/>
      <c r="M144" s="22">
        <v>31</v>
      </c>
      <c r="N144" s="22">
        <v>1</v>
      </c>
      <c r="O144" s="22">
        <v>31</v>
      </c>
      <c r="P144" s="22">
        <v>0</v>
      </c>
      <c r="Q144" s="22">
        <v>31</v>
      </c>
      <c r="R144" s="1201">
        <v>51</v>
      </c>
      <c r="S144" s="1201">
        <v>1581</v>
      </c>
      <c r="T144" s="22" t="s">
        <v>688</v>
      </c>
      <c r="U144" s="1854" t="s">
        <v>684</v>
      </c>
      <c r="V144" s="22" t="s">
        <v>689</v>
      </c>
      <c r="W144" s="2006" t="s">
        <v>705</v>
      </c>
      <c r="X144" s="18"/>
      <c r="Y144" s="4"/>
      <c r="Z144" s="4"/>
    </row>
    <row r="145" spans="1:26" ht="98.1" hidden="1">
      <c r="A145" s="20">
        <v>152</v>
      </c>
      <c r="B145" s="1063">
        <v>39922</v>
      </c>
      <c r="C145" s="22" t="s">
        <v>682</v>
      </c>
      <c r="D145" s="11"/>
      <c r="E145" s="22" t="s">
        <v>683</v>
      </c>
      <c r="F145" s="22" t="s">
        <v>684</v>
      </c>
      <c r="G145" s="22" t="s">
        <v>706</v>
      </c>
      <c r="H145" s="22" t="s">
        <v>703</v>
      </c>
      <c r="I145" s="22" t="s">
        <v>366</v>
      </c>
      <c r="J145" s="22" t="s">
        <v>707</v>
      </c>
      <c r="K145" s="22" t="s">
        <v>707</v>
      </c>
      <c r="L145" s="22"/>
      <c r="M145" s="22">
        <v>8</v>
      </c>
      <c r="N145" s="22">
        <v>1</v>
      </c>
      <c r="O145" s="22">
        <v>8</v>
      </c>
      <c r="P145" s="22">
        <v>0</v>
      </c>
      <c r="Q145" s="22">
        <v>8</v>
      </c>
      <c r="R145" s="1201">
        <v>299</v>
      </c>
      <c r="S145" s="1201">
        <v>2392</v>
      </c>
      <c r="T145" s="22" t="s">
        <v>688</v>
      </c>
      <c r="U145" s="1854" t="s">
        <v>684</v>
      </c>
      <c r="V145" s="22" t="s">
        <v>689</v>
      </c>
      <c r="W145" s="2006" t="s">
        <v>705</v>
      </c>
      <c r="X145" s="18"/>
      <c r="Y145" s="4"/>
      <c r="Z145" s="4"/>
    </row>
    <row r="146" spans="1:26" ht="42" hidden="1">
      <c r="A146" s="20">
        <v>153</v>
      </c>
      <c r="B146" s="1063">
        <v>39923</v>
      </c>
      <c r="C146" s="22" t="s">
        <v>695</v>
      </c>
      <c r="D146" s="11"/>
      <c r="E146" s="22" t="s">
        <v>683</v>
      </c>
      <c r="F146" s="22" t="s">
        <v>684</v>
      </c>
      <c r="G146" s="22" t="s">
        <v>708</v>
      </c>
      <c r="H146" s="22" t="s">
        <v>686</v>
      </c>
      <c r="I146" s="22" t="s">
        <v>366</v>
      </c>
      <c r="J146" s="22" t="s">
        <v>709</v>
      </c>
      <c r="K146" s="22" t="s">
        <v>709</v>
      </c>
      <c r="L146" s="22"/>
      <c r="M146" s="22">
        <v>8</v>
      </c>
      <c r="N146" s="22">
        <v>1</v>
      </c>
      <c r="O146" s="22">
        <v>8</v>
      </c>
      <c r="P146" s="22">
        <v>0</v>
      </c>
      <c r="Q146" s="22">
        <v>8</v>
      </c>
      <c r="R146" s="1201">
        <v>88</v>
      </c>
      <c r="S146" s="1201">
        <v>704</v>
      </c>
      <c r="T146" s="22" t="s">
        <v>688</v>
      </c>
      <c r="U146" s="1854" t="s">
        <v>684</v>
      </c>
      <c r="V146" s="22" t="s">
        <v>689</v>
      </c>
      <c r="W146" s="2006" t="s">
        <v>710</v>
      </c>
      <c r="X146" s="18"/>
      <c r="Y146" s="4"/>
      <c r="Z146" s="4"/>
    </row>
    <row r="147" spans="1:26" ht="27.95" hidden="1">
      <c r="A147" s="20">
        <v>154</v>
      </c>
      <c r="B147" s="1063">
        <v>39924</v>
      </c>
      <c r="C147" s="22" t="s">
        <v>711</v>
      </c>
      <c r="D147" s="11"/>
      <c r="E147" s="22" t="s">
        <v>81</v>
      </c>
      <c r="F147" s="22" t="s">
        <v>417</v>
      </c>
      <c r="G147" s="22" t="s">
        <v>712</v>
      </c>
      <c r="H147" s="22" t="s">
        <v>713</v>
      </c>
      <c r="I147" s="22" t="s">
        <v>714</v>
      </c>
      <c r="J147" s="22" t="s">
        <v>715</v>
      </c>
      <c r="K147" s="22" t="s">
        <v>716</v>
      </c>
      <c r="L147" s="22"/>
      <c r="M147" s="22">
        <v>3</v>
      </c>
      <c r="N147" s="22">
        <v>1</v>
      </c>
      <c r="O147" s="22">
        <v>6</v>
      </c>
      <c r="P147" s="22">
        <v>0</v>
      </c>
      <c r="Q147" s="22">
        <v>3</v>
      </c>
      <c r="R147" s="1201">
        <f>S147/O147</f>
        <v>4630</v>
      </c>
      <c r="S147" s="1201">
        <v>27780</v>
      </c>
      <c r="T147" s="22" t="s">
        <v>87</v>
      </c>
      <c r="U147" s="1854" t="s">
        <v>717</v>
      </c>
      <c r="V147" s="22" t="s">
        <v>718</v>
      </c>
      <c r="W147" s="2006" t="s">
        <v>719</v>
      </c>
      <c r="X147" s="18"/>
      <c r="Y147" s="4"/>
      <c r="Z147" s="4"/>
    </row>
    <row r="148" spans="1:26" ht="27.95" hidden="1">
      <c r="A148" s="20">
        <v>155</v>
      </c>
      <c r="B148" s="1063">
        <v>39925</v>
      </c>
      <c r="C148" s="22" t="s">
        <v>720</v>
      </c>
      <c r="D148" s="11"/>
      <c r="E148" s="22" t="s">
        <v>81</v>
      </c>
      <c r="F148" s="22" t="s">
        <v>417</v>
      </c>
      <c r="G148" s="22" t="s">
        <v>721</v>
      </c>
      <c r="H148" s="22" t="s">
        <v>722</v>
      </c>
      <c r="I148" s="22" t="s">
        <v>723</v>
      </c>
      <c r="J148" s="22">
        <v>9956</v>
      </c>
      <c r="K148" s="22" t="s">
        <v>720</v>
      </c>
      <c r="L148" s="22" t="s">
        <v>724</v>
      </c>
      <c r="M148" s="22">
        <v>3</v>
      </c>
      <c r="N148" s="22">
        <v>1</v>
      </c>
      <c r="O148" s="22">
        <v>6</v>
      </c>
      <c r="P148" s="22">
        <v>0</v>
      </c>
      <c r="Q148" s="22">
        <v>3</v>
      </c>
      <c r="R148" s="1201" t="s">
        <v>725</v>
      </c>
      <c r="S148" s="1201" t="s">
        <v>726</v>
      </c>
      <c r="T148" s="22" t="s">
        <v>87</v>
      </c>
      <c r="U148" s="1854" t="s">
        <v>717</v>
      </c>
      <c r="V148" s="22" t="s">
        <v>718</v>
      </c>
      <c r="W148" s="2006" t="s">
        <v>727</v>
      </c>
      <c r="X148" s="18"/>
      <c r="Y148" s="4"/>
      <c r="Z148" s="4"/>
    </row>
    <row r="149" spans="1:26" ht="27.95" hidden="1">
      <c r="A149" s="20">
        <v>156</v>
      </c>
      <c r="B149" s="1063">
        <v>39926</v>
      </c>
      <c r="C149" s="22" t="s">
        <v>728</v>
      </c>
      <c r="D149" s="11"/>
      <c r="E149" s="22" t="s">
        <v>62</v>
      </c>
      <c r="F149" s="22" t="s">
        <v>142</v>
      </c>
      <c r="G149" s="22" t="s">
        <v>729</v>
      </c>
      <c r="H149" s="22" t="s">
        <v>201</v>
      </c>
      <c r="I149" s="22" t="s">
        <v>39</v>
      </c>
      <c r="J149" s="22" t="s">
        <v>730</v>
      </c>
      <c r="K149" s="22" t="s">
        <v>731</v>
      </c>
      <c r="L149" s="22" t="s">
        <v>732</v>
      </c>
      <c r="M149" s="22">
        <v>10</v>
      </c>
      <c r="N149" s="22">
        <v>50</v>
      </c>
      <c r="O149" s="22">
        <v>50</v>
      </c>
      <c r="P149" s="22">
        <v>0</v>
      </c>
      <c r="Q149" s="22">
        <v>40</v>
      </c>
      <c r="R149" s="1201">
        <v>16.739999999999998</v>
      </c>
      <c r="S149" s="1201">
        <v>837</v>
      </c>
      <c r="T149" s="22" t="s">
        <v>733</v>
      </c>
      <c r="U149" s="1854"/>
      <c r="V149" s="22" t="s">
        <v>150</v>
      </c>
      <c r="W149" s="2006" t="s">
        <v>734</v>
      </c>
      <c r="X149" s="18"/>
      <c r="Y149" s="4"/>
      <c r="Z149" s="4"/>
    </row>
    <row r="150" spans="1:26" ht="27.95" hidden="1">
      <c r="A150" s="20">
        <v>157</v>
      </c>
      <c r="B150" s="1063">
        <v>39927</v>
      </c>
      <c r="C150" s="22" t="s">
        <v>728</v>
      </c>
      <c r="D150" s="11"/>
      <c r="E150" s="22" t="s">
        <v>62</v>
      </c>
      <c r="F150" s="22" t="s">
        <v>142</v>
      </c>
      <c r="G150" s="22" t="s">
        <v>735</v>
      </c>
      <c r="H150" s="22" t="s">
        <v>144</v>
      </c>
      <c r="I150" s="22" t="s">
        <v>39</v>
      </c>
      <c r="J150" s="22" t="s">
        <v>736</v>
      </c>
      <c r="K150" s="22" t="s">
        <v>737</v>
      </c>
      <c r="L150" s="22" t="s">
        <v>732</v>
      </c>
      <c r="M150" s="22">
        <v>6</v>
      </c>
      <c r="N150" s="22">
        <v>50</v>
      </c>
      <c r="O150" s="22">
        <v>50</v>
      </c>
      <c r="P150" s="22">
        <v>0</v>
      </c>
      <c r="Q150" s="22">
        <v>44</v>
      </c>
      <c r="R150" s="1201">
        <v>8.8000000000000007</v>
      </c>
      <c r="S150" s="1201">
        <v>440</v>
      </c>
      <c r="T150" s="22" t="s">
        <v>733</v>
      </c>
      <c r="U150" s="1854"/>
      <c r="V150" s="22" t="s">
        <v>150</v>
      </c>
      <c r="W150" s="2006" t="s">
        <v>738</v>
      </c>
      <c r="X150" s="18"/>
      <c r="Y150" s="4"/>
      <c r="Z150" s="4"/>
    </row>
    <row r="151" spans="1:26" ht="27.95" hidden="1">
      <c r="A151" s="20">
        <v>158</v>
      </c>
      <c r="B151" s="1063">
        <v>39928</v>
      </c>
      <c r="C151" s="22" t="s">
        <v>728</v>
      </c>
      <c r="D151" s="11"/>
      <c r="E151" s="22" t="s">
        <v>62</v>
      </c>
      <c r="F151" s="22" t="s">
        <v>142</v>
      </c>
      <c r="G151" s="22" t="s">
        <v>739</v>
      </c>
      <c r="H151" s="22" t="s">
        <v>144</v>
      </c>
      <c r="I151" s="22" t="s">
        <v>39</v>
      </c>
      <c r="J151" s="22" t="s">
        <v>740</v>
      </c>
      <c r="K151" s="22" t="s">
        <v>741</v>
      </c>
      <c r="L151" s="22" t="s">
        <v>732</v>
      </c>
      <c r="M151" s="22">
        <v>16</v>
      </c>
      <c r="N151" s="22">
        <v>50</v>
      </c>
      <c r="O151" s="22">
        <v>50</v>
      </c>
      <c r="P151" s="22">
        <v>0</v>
      </c>
      <c r="Q151" s="22">
        <v>34</v>
      </c>
      <c r="R151" s="1201">
        <v>16.46</v>
      </c>
      <c r="S151" s="1201">
        <v>823</v>
      </c>
      <c r="T151" s="22" t="s">
        <v>733</v>
      </c>
      <c r="U151" s="1854"/>
      <c r="V151" s="22" t="s">
        <v>150</v>
      </c>
      <c r="W151" s="2006" t="s">
        <v>742</v>
      </c>
      <c r="X151" s="18"/>
      <c r="Y151" s="4"/>
      <c r="Z151" s="4"/>
    </row>
    <row r="152" spans="1:26" ht="27.95" hidden="1">
      <c r="A152" s="20">
        <v>159</v>
      </c>
      <c r="B152" s="1063">
        <v>39929</v>
      </c>
      <c r="C152" s="22" t="s">
        <v>743</v>
      </c>
      <c r="D152" s="11"/>
      <c r="E152" s="22" t="s">
        <v>62</v>
      </c>
      <c r="F152" s="22" t="s">
        <v>142</v>
      </c>
      <c r="G152" s="22" t="s">
        <v>183</v>
      </c>
      <c r="H152" s="22" t="s">
        <v>184</v>
      </c>
      <c r="I152" s="22" t="s">
        <v>39</v>
      </c>
      <c r="J152" s="22" t="s">
        <v>185</v>
      </c>
      <c r="K152" s="22" t="s">
        <v>186</v>
      </c>
      <c r="L152" s="22" t="s">
        <v>744</v>
      </c>
      <c r="M152" s="22">
        <v>10</v>
      </c>
      <c r="N152" s="22">
        <v>10</v>
      </c>
      <c r="O152" s="22">
        <v>10</v>
      </c>
      <c r="P152" s="22">
        <v>0</v>
      </c>
      <c r="Q152" s="22">
        <v>0</v>
      </c>
      <c r="R152" s="1201">
        <v>110</v>
      </c>
      <c r="S152" s="1201" t="s">
        <v>745</v>
      </c>
      <c r="T152" s="22" t="s">
        <v>733</v>
      </c>
      <c r="U152" s="1854"/>
      <c r="V152" s="22" t="s">
        <v>150</v>
      </c>
      <c r="W152" s="2006" t="s">
        <v>746</v>
      </c>
      <c r="X152" s="18"/>
      <c r="Y152" s="4"/>
      <c r="Z152" s="4"/>
    </row>
    <row r="153" spans="1:26" ht="14.1" hidden="1">
      <c r="A153" s="20">
        <v>160</v>
      </c>
      <c r="B153" s="1063">
        <v>39930</v>
      </c>
      <c r="C153" s="22" t="s">
        <v>747</v>
      </c>
      <c r="D153" s="11"/>
      <c r="E153" s="22" t="s">
        <v>62</v>
      </c>
      <c r="F153" s="22" t="s">
        <v>142</v>
      </c>
      <c r="G153" s="22" t="s">
        <v>224</v>
      </c>
      <c r="H153" s="22" t="s">
        <v>220</v>
      </c>
      <c r="I153" s="22" t="s">
        <v>39</v>
      </c>
      <c r="J153" s="22" t="s">
        <v>225</v>
      </c>
      <c r="K153" s="22" t="s">
        <v>748</v>
      </c>
      <c r="L153" s="22"/>
      <c r="M153" s="22">
        <v>6</v>
      </c>
      <c r="N153" s="22">
        <v>10</v>
      </c>
      <c r="O153" s="22">
        <v>10</v>
      </c>
      <c r="P153" s="22">
        <v>2</v>
      </c>
      <c r="Q153" s="22">
        <v>6</v>
      </c>
      <c r="R153" s="1201">
        <v>22.7</v>
      </c>
      <c r="S153" s="1201">
        <v>227</v>
      </c>
      <c r="T153" s="22" t="s">
        <v>733</v>
      </c>
      <c r="U153" s="1854"/>
      <c r="V153" s="22" t="s">
        <v>150</v>
      </c>
      <c r="W153" s="2006" t="s">
        <v>749</v>
      </c>
      <c r="X153" s="18"/>
      <c r="Y153" s="4"/>
      <c r="Z153" s="4"/>
    </row>
    <row r="154" spans="1:26" ht="27.95" hidden="1">
      <c r="A154" s="20">
        <v>161</v>
      </c>
      <c r="B154" s="1063">
        <v>39931</v>
      </c>
      <c r="C154" s="22" t="s">
        <v>750</v>
      </c>
      <c r="D154" s="11"/>
      <c r="E154" s="22" t="s">
        <v>62</v>
      </c>
      <c r="F154" s="22" t="s">
        <v>142</v>
      </c>
      <c r="G154" s="22" t="s">
        <v>751</v>
      </c>
      <c r="H154" s="22" t="s">
        <v>752</v>
      </c>
      <c r="I154" s="22" t="s">
        <v>39</v>
      </c>
      <c r="J154" s="22" t="s">
        <v>753</v>
      </c>
      <c r="K154" s="22" t="s">
        <v>754</v>
      </c>
      <c r="L154" s="22" t="s">
        <v>755</v>
      </c>
      <c r="M154" s="22">
        <v>10</v>
      </c>
      <c r="N154" s="22">
        <v>25</v>
      </c>
      <c r="O154" s="22">
        <v>25</v>
      </c>
      <c r="P154" s="22">
        <v>0</v>
      </c>
      <c r="Q154" s="22">
        <v>15</v>
      </c>
      <c r="R154" s="1201">
        <v>56.28</v>
      </c>
      <c r="S154" s="1201" t="s">
        <v>756</v>
      </c>
      <c r="T154" s="22" t="s">
        <v>733</v>
      </c>
      <c r="U154" s="1854"/>
      <c r="V154" s="22" t="s">
        <v>150</v>
      </c>
      <c r="W154" s="2006" t="s">
        <v>757</v>
      </c>
      <c r="X154" s="18"/>
      <c r="Y154" s="4"/>
      <c r="Z154" s="4"/>
    </row>
    <row r="155" spans="1:26" ht="14.1" hidden="1">
      <c r="A155" s="20">
        <v>162</v>
      </c>
      <c r="B155" s="1063">
        <v>39932</v>
      </c>
      <c r="C155" s="22" t="s">
        <v>758</v>
      </c>
      <c r="D155" s="11"/>
      <c r="E155" s="22" t="s">
        <v>62</v>
      </c>
      <c r="F155" s="22" t="s">
        <v>142</v>
      </c>
      <c r="G155" s="22" t="s">
        <v>759</v>
      </c>
      <c r="H155" s="22" t="s">
        <v>598</v>
      </c>
      <c r="I155" s="22" t="s">
        <v>39</v>
      </c>
      <c r="J155" s="22" t="s">
        <v>760</v>
      </c>
      <c r="K155" s="22" t="s">
        <v>761</v>
      </c>
      <c r="L155" s="22" t="s">
        <v>762</v>
      </c>
      <c r="M155" s="22">
        <v>14</v>
      </c>
      <c r="N155" s="22">
        <v>20</v>
      </c>
      <c r="O155" s="22">
        <v>20</v>
      </c>
      <c r="P155" s="22">
        <v>0</v>
      </c>
      <c r="Q155" s="22">
        <v>0</v>
      </c>
      <c r="R155" s="1201">
        <v>38.5</v>
      </c>
      <c r="S155" s="1201">
        <v>539</v>
      </c>
      <c r="T155" s="22" t="s">
        <v>733</v>
      </c>
      <c r="U155" s="1854"/>
      <c r="V155" s="22" t="s">
        <v>150</v>
      </c>
      <c r="W155" s="2006" t="s">
        <v>763</v>
      </c>
      <c r="X155" s="18"/>
      <c r="Y155" s="4"/>
      <c r="Z155" s="4"/>
    </row>
    <row r="156" spans="1:26" ht="14.1" hidden="1">
      <c r="A156" s="20">
        <v>163</v>
      </c>
      <c r="B156" s="1063">
        <v>39933</v>
      </c>
      <c r="C156" s="22" t="s">
        <v>764</v>
      </c>
      <c r="D156" s="11"/>
      <c r="E156" s="22" t="s">
        <v>62</v>
      </c>
      <c r="F156" s="22" t="s">
        <v>142</v>
      </c>
      <c r="G156" s="22" t="s">
        <v>765</v>
      </c>
      <c r="H156" s="22" t="s">
        <v>766</v>
      </c>
      <c r="I156" s="22" t="s">
        <v>39</v>
      </c>
      <c r="J156" s="22" t="s">
        <v>767</v>
      </c>
      <c r="K156" s="22" t="s">
        <v>768</v>
      </c>
      <c r="L156" s="22"/>
      <c r="M156" s="22">
        <v>8</v>
      </c>
      <c r="N156" s="22">
        <v>10</v>
      </c>
      <c r="O156" s="22">
        <v>10</v>
      </c>
      <c r="P156" s="22">
        <v>0</v>
      </c>
      <c r="Q156" s="22">
        <v>2</v>
      </c>
      <c r="R156" s="1201">
        <v>141.4</v>
      </c>
      <c r="S156" s="1201" t="s">
        <v>769</v>
      </c>
      <c r="T156" s="22" t="s">
        <v>733</v>
      </c>
      <c r="U156" s="1854"/>
      <c r="V156" s="22" t="s">
        <v>150</v>
      </c>
      <c r="W156" s="2006" t="s">
        <v>770</v>
      </c>
      <c r="X156" s="18"/>
      <c r="Y156" s="4"/>
      <c r="Z156" s="4"/>
    </row>
    <row r="157" spans="1:26" ht="14.1" hidden="1">
      <c r="A157" s="20">
        <v>164</v>
      </c>
      <c r="B157" s="1063">
        <v>39934</v>
      </c>
      <c r="C157" s="22" t="s">
        <v>764</v>
      </c>
      <c r="D157" s="11"/>
      <c r="E157" s="22" t="s">
        <v>62</v>
      </c>
      <c r="F157" s="22" t="s">
        <v>142</v>
      </c>
      <c r="G157" s="22" t="s">
        <v>771</v>
      </c>
      <c r="H157" s="22" t="s">
        <v>766</v>
      </c>
      <c r="I157" s="22" t="s">
        <v>39</v>
      </c>
      <c r="J157" s="22" t="s">
        <v>772</v>
      </c>
      <c r="K157" s="22" t="s">
        <v>773</v>
      </c>
      <c r="L157" s="22"/>
      <c r="M157" s="22">
        <v>8</v>
      </c>
      <c r="N157" s="22">
        <v>10</v>
      </c>
      <c r="O157" s="22">
        <v>10</v>
      </c>
      <c r="P157" s="22">
        <v>0</v>
      </c>
      <c r="Q157" s="22">
        <v>2</v>
      </c>
      <c r="R157" s="1201">
        <v>158</v>
      </c>
      <c r="S157" s="1201" t="s">
        <v>774</v>
      </c>
      <c r="T157" s="22" t="s">
        <v>733</v>
      </c>
      <c r="U157" s="1854"/>
      <c r="V157" s="22" t="s">
        <v>150</v>
      </c>
      <c r="W157" s="2006" t="s">
        <v>775</v>
      </c>
      <c r="X157" s="18"/>
      <c r="Y157" s="4"/>
      <c r="Z157" s="4"/>
    </row>
    <row r="158" spans="1:26" ht="27.95" hidden="1">
      <c r="A158" s="20">
        <v>165</v>
      </c>
      <c r="B158" s="1063">
        <v>39935</v>
      </c>
      <c r="C158" s="22" t="s">
        <v>776</v>
      </c>
      <c r="D158" s="11"/>
      <c r="E158" s="22" t="s">
        <v>62</v>
      </c>
      <c r="F158" s="22" t="s">
        <v>142</v>
      </c>
      <c r="G158" s="22" t="s">
        <v>777</v>
      </c>
      <c r="H158" s="22" t="s">
        <v>207</v>
      </c>
      <c r="I158" s="22" t="s">
        <v>39</v>
      </c>
      <c r="J158" s="22" t="s">
        <v>208</v>
      </c>
      <c r="K158" s="22" t="s">
        <v>778</v>
      </c>
      <c r="L158" s="22" t="s">
        <v>210</v>
      </c>
      <c r="M158" s="22">
        <v>8</v>
      </c>
      <c r="N158" s="22">
        <v>10</v>
      </c>
      <c r="O158" s="22">
        <v>10</v>
      </c>
      <c r="P158" s="22">
        <v>0</v>
      </c>
      <c r="Q158" s="22">
        <v>2</v>
      </c>
      <c r="R158" s="1201">
        <v>436</v>
      </c>
      <c r="S158" s="1201" t="s">
        <v>779</v>
      </c>
      <c r="T158" s="22" t="s">
        <v>733</v>
      </c>
      <c r="U158" s="1854"/>
      <c r="V158" s="22" t="s">
        <v>150</v>
      </c>
      <c r="W158" s="2006" t="s">
        <v>780</v>
      </c>
      <c r="X158" s="18"/>
      <c r="Y158" s="4"/>
      <c r="Z158" s="4"/>
    </row>
    <row r="159" spans="1:26" ht="14.1" hidden="1">
      <c r="A159" s="20">
        <v>166</v>
      </c>
      <c r="B159" s="1063">
        <v>39936</v>
      </c>
      <c r="C159" s="22" t="s">
        <v>781</v>
      </c>
      <c r="D159" s="11"/>
      <c r="E159" s="22" t="s">
        <v>62</v>
      </c>
      <c r="F159" s="22" t="s">
        <v>142</v>
      </c>
      <c r="G159" s="22" t="s">
        <v>782</v>
      </c>
      <c r="H159" s="22" t="s">
        <v>287</v>
      </c>
      <c r="I159" s="22" t="s">
        <v>287</v>
      </c>
      <c r="J159" s="22"/>
      <c r="K159" s="22"/>
      <c r="L159" s="22"/>
      <c r="M159" s="22">
        <v>2</v>
      </c>
      <c r="N159" s="22">
        <v>10</v>
      </c>
      <c r="O159" s="22">
        <v>10</v>
      </c>
      <c r="P159" s="22">
        <v>0</v>
      </c>
      <c r="Q159" s="22">
        <v>8</v>
      </c>
      <c r="R159" s="1201" t="s">
        <v>149</v>
      </c>
      <c r="S159" s="1201">
        <v>31006</v>
      </c>
      <c r="T159" s="22" t="s">
        <v>733</v>
      </c>
      <c r="U159" s="1854" t="s">
        <v>149</v>
      </c>
      <c r="V159" s="22" t="s">
        <v>150</v>
      </c>
      <c r="W159" s="2007"/>
      <c r="X159" s="18"/>
      <c r="Y159" s="4"/>
      <c r="Z159" s="4"/>
    </row>
    <row r="160" spans="1:26" ht="14.1" hidden="1">
      <c r="A160" s="20">
        <v>167</v>
      </c>
      <c r="B160" s="1063">
        <v>39937</v>
      </c>
      <c r="C160" s="22" t="s">
        <v>783</v>
      </c>
      <c r="D160" s="11"/>
      <c r="E160" s="22" t="s">
        <v>81</v>
      </c>
      <c r="F160" s="22" t="s">
        <v>784</v>
      </c>
      <c r="G160" s="22" t="s">
        <v>785</v>
      </c>
      <c r="H160" s="22" t="s">
        <v>786</v>
      </c>
      <c r="I160" s="22" t="s">
        <v>786</v>
      </c>
      <c r="J160" s="22" t="s">
        <v>787</v>
      </c>
      <c r="K160" s="22" t="s">
        <v>787</v>
      </c>
      <c r="L160" s="22"/>
      <c r="M160" s="22">
        <v>1</v>
      </c>
      <c r="N160" s="22">
        <v>1</v>
      </c>
      <c r="O160" s="22">
        <v>1</v>
      </c>
      <c r="P160" s="22">
        <v>1</v>
      </c>
      <c r="Q160" s="22">
        <v>0</v>
      </c>
      <c r="R160" s="1201">
        <v>23000</v>
      </c>
      <c r="S160" s="1201">
        <v>23000</v>
      </c>
      <c r="T160" s="22" t="s">
        <v>788</v>
      </c>
      <c r="U160" s="1854" t="s">
        <v>448</v>
      </c>
      <c r="V160" s="22" t="s">
        <v>789</v>
      </c>
      <c r="W160" s="2007"/>
      <c r="X160" s="18"/>
      <c r="Y160" s="4"/>
      <c r="Z160" s="4"/>
    </row>
    <row r="161" spans="1:26" ht="14.1" hidden="1">
      <c r="A161" s="20">
        <v>168</v>
      </c>
      <c r="B161" s="1063">
        <v>39938</v>
      </c>
      <c r="C161" s="22" t="s">
        <v>130</v>
      </c>
      <c r="D161" s="11"/>
      <c r="E161" s="22" t="s">
        <v>81</v>
      </c>
      <c r="F161" s="22" t="s">
        <v>131</v>
      </c>
      <c r="G161" s="22" t="s">
        <v>790</v>
      </c>
      <c r="H161" s="22" t="s">
        <v>133</v>
      </c>
      <c r="I161" s="22" t="s">
        <v>133</v>
      </c>
      <c r="J161" s="22" t="s">
        <v>134</v>
      </c>
      <c r="K161" s="22"/>
      <c r="L161" s="22"/>
      <c r="M161" s="22" t="s">
        <v>135</v>
      </c>
      <c r="N161" s="22" t="s">
        <v>136</v>
      </c>
      <c r="O161" s="22" t="s">
        <v>136</v>
      </c>
      <c r="P161" s="22" t="s">
        <v>791</v>
      </c>
      <c r="Q161" s="22" t="s">
        <v>136</v>
      </c>
      <c r="R161" s="1201">
        <v>7000</v>
      </c>
      <c r="S161" s="1201">
        <v>7000</v>
      </c>
      <c r="T161" s="22" t="s">
        <v>87</v>
      </c>
      <c r="U161" s="1854" t="s">
        <v>138</v>
      </c>
      <c r="V161" s="22" t="s">
        <v>139</v>
      </c>
      <c r="W161" s="2006" t="s">
        <v>140</v>
      </c>
      <c r="X161" s="18"/>
      <c r="Y161" s="4"/>
      <c r="Z161" s="4"/>
    </row>
    <row r="162" spans="1:26" ht="14.1" hidden="1">
      <c r="A162" s="20">
        <v>169</v>
      </c>
      <c r="B162" s="1063">
        <v>39939</v>
      </c>
      <c r="C162" s="22" t="s">
        <v>792</v>
      </c>
      <c r="D162" s="11"/>
      <c r="E162" s="22" t="s">
        <v>81</v>
      </c>
      <c r="F162" s="22" t="s">
        <v>99</v>
      </c>
      <c r="G162" s="22" t="s">
        <v>793</v>
      </c>
      <c r="H162" s="22" t="s">
        <v>794</v>
      </c>
      <c r="I162" s="22" t="s">
        <v>794</v>
      </c>
      <c r="J162" s="22" t="s">
        <v>795</v>
      </c>
      <c r="K162" s="22" t="s">
        <v>1</v>
      </c>
      <c r="L162" s="22"/>
      <c r="M162" s="22">
        <v>6</v>
      </c>
      <c r="N162" s="22">
        <v>1</v>
      </c>
      <c r="O162" s="22">
        <v>6</v>
      </c>
      <c r="P162" s="22">
        <v>0</v>
      </c>
      <c r="Q162" s="22">
        <v>6</v>
      </c>
      <c r="R162" s="1201">
        <v>594</v>
      </c>
      <c r="S162" s="1201">
        <v>3564</v>
      </c>
      <c r="T162" s="22" t="s">
        <v>87</v>
      </c>
      <c r="U162" s="1854" t="s">
        <v>448</v>
      </c>
      <c r="V162" s="22" t="s">
        <v>352</v>
      </c>
      <c r="W162" s="2007" t="s">
        <v>1</v>
      </c>
      <c r="X162" s="18"/>
      <c r="Y162" s="4"/>
      <c r="Z162" s="4"/>
    </row>
    <row r="163" spans="1:26" ht="14.1" hidden="1">
      <c r="A163" s="20">
        <v>170</v>
      </c>
      <c r="B163" s="1063">
        <v>39940</v>
      </c>
      <c r="C163" s="22" t="s">
        <v>792</v>
      </c>
      <c r="D163" s="11"/>
      <c r="E163" s="22" t="s">
        <v>81</v>
      </c>
      <c r="F163" s="22" t="s">
        <v>99</v>
      </c>
      <c r="G163" s="22" t="s">
        <v>796</v>
      </c>
      <c r="H163" s="22" t="s">
        <v>794</v>
      </c>
      <c r="I163" s="22" t="s">
        <v>794</v>
      </c>
      <c r="J163" s="22" t="s">
        <v>795</v>
      </c>
      <c r="K163" s="22" t="s">
        <v>1</v>
      </c>
      <c r="L163" s="22"/>
      <c r="M163" s="22">
        <v>18</v>
      </c>
      <c r="N163" s="22">
        <v>1</v>
      </c>
      <c r="O163" s="22">
        <v>20</v>
      </c>
      <c r="P163" s="22">
        <v>0</v>
      </c>
      <c r="Q163" s="22">
        <v>18</v>
      </c>
      <c r="R163" s="1201">
        <v>194</v>
      </c>
      <c r="S163" s="1201">
        <v>3880</v>
      </c>
      <c r="T163" s="22" t="s">
        <v>87</v>
      </c>
      <c r="U163" s="1854" t="s">
        <v>448</v>
      </c>
      <c r="V163" s="22" t="s">
        <v>352</v>
      </c>
      <c r="W163" s="2007" t="s">
        <v>1</v>
      </c>
      <c r="X163" s="18"/>
      <c r="Y163" s="4"/>
      <c r="Z163" s="4"/>
    </row>
    <row r="164" spans="1:26" ht="14.1" hidden="1">
      <c r="A164" s="20">
        <v>171</v>
      </c>
      <c r="B164" s="1063">
        <v>39941</v>
      </c>
      <c r="C164" s="22" t="s">
        <v>797</v>
      </c>
      <c r="D164" s="11"/>
      <c r="E164" s="22" t="s">
        <v>81</v>
      </c>
      <c r="F164" s="22" t="s">
        <v>404</v>
      </c>
      <c r="G164" s="22" t="s">
        <v>798</v>
      </c>
      <c r="H164" s="22" t="s">
        <v>799</v>
      </c>
      <c r="I164" s="22" t="s">
        <v>322</v>
      </c>
      <c r="J164" s="22" t="s">
        <v>800</v>
      </c>
      <c r="K164" s="22" t="s">
        <v>1</v>
      </c>
      <c r="L164" s="22" t="s">
        <v>1</v>
      </c>
      <c r="M164" s="22">
        <v>4</v>
      </c>
      <c r="N164" s="22">
        <v>1</v>
      </c>
      <c r="O164" s="22">
        <v>3</v>
      </c>
      <c r="P164" s="22">
        <v>1</v>
      </c>
      <c r="Q164" s="22">
        <v>0</v>
      </c>
      <c r="R164" s="1201">
        <v>10900</v>
      </c>
      <c r="S164" s="1201">
        <v>43600</v>
      </c>
      <c r="T164" s="22" t="s">
        <v>87</v>
      </c>
      <c r="U164" s="1854" t="s">
        <v>448</v>
      </c>
      <c r="V164" s="22" t="s">
        <v>801</v>
      </c>
      <c r="W164" s="2006" t="s">
        <v>802</v>
      </c>
      <c r="X164" s="18"/>
      <c r="Y164" s="4"/>
      <c r="Z164" s="4"/>
    </row>
    <row r="165" spans="1:26" ht="14.1" hidden="1">
      <c r="A165" s="20">
        <v>172</v>
      </c>
      <c r="B165" s="1063">
        <v>39942</v>
      </c>
      <c r="C165" s="22" t="s">
        <v>803</v>
      </c>
      <c r="D165" s="11"/>
      <c r="E165" s="22" t="s">
        <v>572</v>
      </c>
      <c r="F165" s="22" t="s">
        <v>417</v>
      </c>
      <c r="G165" s="22" t="s">
        <v>804</v>
      </c>
      <c r="H165" s="22" t="s">
        <v>201</v>
      </c>
      <c r="I165" s="22" t="s">
        <v>805</v>
      </c>
      <c r="J165" s="22" t="s">
        <v>806</v>
      </c>
      <c r="K165" s="22" t="s">
        <v>807</v>
      </c>
      <c r="L165" s="22" t="s">
        <v>808</v>
      </c>
      <c r="M165" s="22">
        <v>2</v>
      </c>
      <c r="N165" s="22">
        <v>10</v>
      </c>
      <c r="O165" s="22">
        <v>10</v>
      </c>
      <c r="P165" s="22">
        <v>0</v>
      </c>
      <c r="Q165" s="22">
        <f t="shared" ref="Q165:Q166" si="4">O165-M165</f>
        <v>8</v>
      </c>
      <c r="R165" s="1201">
        <f t="shared" ref="R165:R167" si="5">S165/O165</f>
        <v>86.3</v>
      </c>
      <c r="S165" s="1201">
        <v>863</v>
      </c>
      <c r="T165" s="22" t="s">
        <v>87</v>
      </c>
      <c r="U165" s="1854" t="s">
        <v>809</v>
      </c>
      <c r="V165" s="22" t="s">
        <v>1</v>
      </c>
      <c r="W165" s="2006" t="s">
        <v>810</v>
      </c>
      <c r="X165" s="18"/>
      <c r="Y165" s="4"/>
      <c r="Z165" s="4"/>
    </row>
    <row r="166" spans="1:26" ht="14.1" hidden="1">
      <c r="A166" s="20">
        <v>173</v>
      </c>
      <c r="B166" s="1063">
        <v>39943</v>
      </c>
      <c r="C166" s="22" t="s">
        <v>803</v>
      </c>
      <c r="D166" s="11"/>
      <c r="E166" s="22" t="s">
        <v>572</v>
      </c>
      <c r="F166" s="22" t="s">
        <v>417</v>
      </c>
      <c r="G166" s="22" t="s">
        <v>811</v>
      </c>
      <c r="H166" s="22" t="s">
        <v>651</v>
      </c>
      <c r="I166" s="22" t="s">
        <v>805</v>
      </c>
      <c r="J166" s="22" t="s">
        <v>812</v>
      </c>
      <c r="K166" s="22" t="s">
        <v>813</v>
      </c>
      <c r="L166" s="22" t="s">
        <v>808</v>
      </c>
      <c r="M166" s="22">
        <v>2</v>
      </c>
      <c r="N166" s="22">
        <v>10</v>
      </c>
      <c r="O166" s="22">
        <v>10</v>
      </c>
      <c r="P166" s="22">
        <v>0</v>
      </c>
      <c r="Q166" s="22">
        <f t="shared" si="4"/>
        <v>8</v>
      </c>
      <c r="R166" s="1201">
        <f t="shared" si="5"/>
        <v>6.8</v>
      </c>
      <c r="S166" s="1201">
        <v>68</v>
      </c>
      <c r="T166" s="22" t="s">
        <v>87</v>
      </c>
      <c r="U166" s="1854" t="s">
        <v>809</v>
      </c>
      <c r="V166" s="22" t="s">
        <v>1</v>
      </c>
      <c r="W166" s="2006" t="s">
        <v>814</v>
      </c>
      <c r="X166" s="18"/>
      <c r="Y166" s="4"/>
      <c r="Z166" s="4"/>
    </row>
    <row r="167" spans="1:26" ht="14.1" hidden="1">
      <c r="A167" s="20">
        <v>174</v>
      </c>
      <c r="B167" s="1063">
        <v>39944</v>
      </c>
      <c r="C167" s="22" t="s">
        <v>815</v>
      </c>
      <c r="D167" s="11"/>
      <c r="E167" s="22" t="s">
        <v>572</v>
      </c>
      <c r="F167" s="22" t="s">
        <v>417</v>
      </c>
      <c r="G167" s="22" t="s">
        <v>816</v>
      </c>
      <c r="H167" s="22" t="s">
        <v>817</v>
      </c>
      <c r="I167" s="22" t="s">
        <v>805</v>
      </c>
      <c r="J167" s="22" t="s">
        <v>818</v>
      </c>
      <c r="K167" s="22" t="s">
        <v>819</v>
      </c>
      <c r="L167" s="22" t="s">
        <v>1</v>
      </c>
      <c r="M167" s="22">
        <v>24</v>
      </c>
      <c r="N167" s="22">
        <v>1</v>
      </c>
      <c r="O167" s="22">
        <v>30</v>
      </c>
      <c r="P167" s="22">
        <v>3</v>
      </c>
      <c r="Q167" s="22">
        <f>O167-M167+P167</f>
        <v>9</v>
      </c>
      <c r="R167" s="1201">
        <f t="shared" si="5"/>
        <v>589</v>
      </c>
      <c r="S167" s="1201">
        <v>17670</v>
      </c>
      <c r="T167" s="22" t="s">
        <v>87</v>
      </c>
      <c r="U167" s="1854" t="s">
        <v>820</v>
      </c>
      <c r="V167" s="22" t="s">
        <v>352</v>
      </c>
      <c r="W167" s="2006" t="s">
        <v>821</v>
      </c>
      <c r="X167" s="18"/>
      <c r="Y167" s="4"/>
      <c r="Z167" s="4"/>
    </row>
    <row r="168" spans="1:26" ht="14.1" hidden="1">
      <c r="A168" s="20">
        <v>175</v>
      </c>
      <c r="B168" s="1063">
        <v>39945</v>
      </c>
      <c r="C168" s="22" t="s">
        <v>822</v>
      </c>
      <c r="D168" s="11"/>
      <c r="E168" s="22" t="s">
        <v>62</v>
      </c>
      <c r="F168" s="22" t="s">
        <v>823</v>
      </c>
      <c r="G168" s="22"/>
      <c r="H168" s="22"/>
      <c r="I168" s="22" t="s">
        <v>310</v>
      </c>
      <c r="J168" s="36"/>
      <c r="K168" s="36"/>
      <c r="L168" s="36"/>
      <c r="M168" s="22">
        <v>3</v>
      </c>
      <c r="N168" s="22">
        <v>3</v>
      </c>
      <c r="O168" s="22">
        <v>3</v>
      </c>
      <c r="P168" s="22">
        <v>3</v>
      </c>
      <c r="Q168" s="22">
        <v>1</v>
      </c>
      <c r="R168" s="1201">
        <v>1000</v>
      </c>
      <c r="S168" s="1205">
        <v>3000</v>
      </c>
      <c r="T168" s="22" t="s">
        <v>422</v>
      </c>
      <c r="U168" s="1854"/>
      <c r="V168" s="22" t="s">
        <v>423</v>
      </c>
      <c r="W168" s="2007" t="s">
        <v>824</v>
      </c>
      <c r="X168" s="18"/>
      <c r="Y168" s="4"/>
      <c r="Z168" s="4"/>
    </row>
    <row r="169" spans="1:26" ht="27.95" hidden="1">
      <c r="A169" s="20">
        <v>176</v>
      </c>
      <c r="B169" s="1063">
        <v>39946</v>
      </c>
      <c r="C169" s="22" t="s">
        <v>825</v>
      </c>
      <c r="D169" s="11"/>
      <c r="E169" s="22" t="s">
        <v>62</v>
      </c>
      <c r="F169" s="22" t="s">
        <v>823</v>
      </c>
      <c r="G169" s="22" t="s">
        <v>826</v>
      </c>
      <c r="H169" s="22" t="s">
        <v>827</v>
      </c>
      <c r="I169" s="22" t="s">
        <v>672</v>
      </c>
      <c r="J169" s="36" t="s">
        <v>828</v>
      </c>
      <c r="K169" s="36" t="s">
        <v>829</v>
      </c>
      <c r="L169" s="36"/>
      <c r="M169" s="22">
        <v>10</v>
      </c>
      <c r="N169" s="22">
        <v>9</v>
      </c>
      <c r="O169" s="22">
        <v>10</v>
      </c>
      <c r="P169" s="22">
        <v>1</v>
      </c>
      <c r="Q169" s="22">
        <v>0</v>
      </c>
      <c r="R169" s="1201">
        <v>8582</v>
      </c>
      <c r="S169" s="1205">
        <v>78331</v>
      </c>
      <c r="T169" s="22" t="s">
        <v>422</v>
      </c>
      <c r="U169" s="1854" t="s">
        <v>422</v>
      </c>
      <c r="V169" s="22" t="s">
        <v>423</v>
      </c>
      <c r="W169" s="2006" t="s">
        <v>830</v>
      </c>
      <c r="X169" s="18"/>
      <c r="Y169" s="4"/>
      <c r="Z169" s="4"/>
    </row>
    <row r="170" spans="1:26" ht="27.95" hidden="1">
      <c r="A170" s="20">
        <v>177</v>
      </c>
      <c r="B170" s="1063">
        <v>39947</v>
      </c>
      <c r="C170" s="22" t="s">
        <v>831</v>
      </c>
      <c r="D170" s="11"/>
      <c r="E170" s="22" t="s">
        <v>62</v>
      </c>
      <c r="F170" s="22" t="s">
        <v>142</v>
      </c>
      <c r="G170" s="22" t="s">
        <v>832</v>
      </c>
      <c r="H170" s="22" t="s">
        <v>249</v>
      </c>
      <c r="I170" s="22" t="s">
        <v>39</v>
      </c>
      <c r="J170" s="22" t="s">
        <v>833</v>
      </c>
      <c r="K170" s="22" t="s">
        <v>834</v>
      </c>
      <c r="L170" s="22"/>
      <c r="M170" s="22">
        <v>4</v>
      </c>
      <c r="N170" s="22">
        <v>1</v>
      </c>
      <c r="O170" s="22">
        <v>4</v>
      </c>
      <c r="P170" s="22">
        <v>0</v>
      </c>
      <c r="Q170" s="22">
        <v>0</v>
      </c>
      <c r="R170" s="1201">
        <v>977</v>
      </c>
      <c r="S170" s="1201" t="s">
        <v>835</v>
      </c>
      <c r="T170" s="22"/>
      <c r="U170" s="1854"/>
      <c r="V170" s="22"/>
      <c r="W170" s="2007" t="s">
        <v>836</v>
      </c>
      <c r="X170" s="18"/>
      <c r="Y170" s="4"/>
      <c r="Z170" s="4"/>
    </row>
    <row r="171" spans="1:26" ht="27.95" hidden="1">
      <c r="A171" s="20">
        <v>178</v>
      </c>
      <c r="B171" s="1063">
        <v>39948</v>
      </c>
      <c r="C171" s="22" t="s">
        <v>837</v>
      </c>
      <c r="D171" s="11"/>
      <c r="E171" s="22" t="s">
        <v>62</v>
      </c>
      <c r="F171" s="22" t="s">
        <v>142</v>
      </c>
      <c r="G171" s="22" t="s">
        <v>838</v>
      </c>
      <c r="H171" s="22" t="s">
        <v>839</v>
      </c>
      <c r="I171" s="22" t="s">
        <v>39</v>
      </c>
      <c r="J171" s="22" t="s">
        <v>840</v>
      </c>
      <c r="K171" s="22" t="s">
        <v>841</v>
      </c>
      <c r="L171" s="22"/>
      <c r="M171" s="22">
        <v>1</v>
      </c>
      <c r="N171" s="22">
        <v>1</v>
      </c>
      <c r="O171" s="22">
        <v>1</v>
      </c>
      <c r="P171" s="22">
        <v>0</v>
      </c>
      <c r="Q171" s="22">
        <v>0</v>
      </c>
      <c r="R171" s="1201" t="s">
        <v>842</v>
      </c>
      <c r="S171" s="1201" t="s">
        <v>842</v>
      </c>
      <c r="T171" s="22"/>
      <c r="U171" s="1854"/>
      <c r="V171" s="22"/>
      <c r="W171" s="2007" t="s">
        <v>843</v>
      </c>
      <c r="X171" s="18"/>
      <c r="Y171" s="4"/>
      <c r="Z171" s="4"/>
    </row>
    <row r="172" spans="1:26" ht="27.95" hidden="1">
      <c r="A172" s="20">
        <v>179</v>
      </c>
      <c r="B172" s="1063">
        <v>39949</v>
      </c>
      <c r="C172" s="22" t="s">
        <v>844</v>
      </c>
      <c r="D172" s="11"/>
      <c r="E172" s="22" t="s">
        <v>62</v>
      </c>
      <c r="F172" s="22" t="s">
        <v>142</v>
      </c>
      <c r="G172" s="22" t="s">
        <v>845</v>
      </c>
      <c r="H172" s="22" t="s">
        <v>846</v>
      </c>
      <c r="I172" s="22" t="s">
        <v>39</v>
      </c>
      <c r="J172" s="22" t="s">
        <v>847</v>
      </c>
      <c r="K172" s="22" t="s">
        <v>848</v>
      </c>
      <c r="L172" s="22"/>
      <c r="M172" s="22">
        <v>4</v>
      </c>
      <c r="N172" s="22">
        <v>1</v>
      </c>
      <c r="O172" s="22">
        <v>4</v>
      </c>
      <c r="P172" s="22">
        <v>0</v>
      </c>
      <c r="Q172" s="22">
        <v>0</v>
      </c>
      <c r="R172" s="1201">
        <v>121</v>
      </c>
      <c r="S172" s="1201">
        <v>484</v>
      </c>
      <c r="T172" s="22"/>
      <c r="U172" s="1854"/>
      <c r="V172" s="22"/>
      <c r="W172" s="2007" t="s">
        <v>849</v>
      </c>
      <c r="X172" s="18"/>
      <c r="Y172" s="4"/>
      <c r="Z172" s="4"/>
    </row>
    <row r="173" spans="1:26" ht="27.95" hidden="1">
      <c r="A173" s="20">
        <v>180</v>
      </c>
      <c r="B173" s="1063">
        <v>39950</v>
      </c>
      <c r="C173" s="22" t="s">
        <v>850</v>
      </c>
      <c r="D173" s="11"/>
      <c r="E173" s="22" t="s">
        <v>62</v>
      </c>
      <c r="F173" s="22" t="s">
        <v>142</v>
      </c>
      <c r="G173" s="22" t="s">
        <v>851</v>
      </c>
      <c r="H173" s="22" t="s">
        <v>846</v>
      </c>
      <c r="I173" s="22" t="s">
        <v>39</v>
      </c>
      <c r="J173" s="22" t="s">
        <v>852</v>
      </c>
      <c r="K173" s="22" t="s">
        <v>853</v>
      </c>
      <c r="L173" s="22"/>
      <c r="M173" s="22">
        <v>4</v>
      </c>
      <c r="N173" s="22">
        <v>1</v>
      </c>
      <c r="O173" s="22">
        <v>4</v>
      </c>
      <c r="P173" s="22">
        <v>0</v>
      </c>
      <c r="Q173" s="22">
        <v>0</v>
      </c>
      <c r="R173" s="1201">
        <v>99</v>
      </c>
      <c r="S173" s="1201">
        <v>396</v>
      </c>
      <c r="T173" s="22"/>
      <c r="U173" s="1854"/>
      <c r="V173" s="22"/>
      <c r="W173" s="2007" t="s">
        <v>854</v>
      </c>
      <c r="X173" s="18"/>
      <c r="Y173" s="4"/>
      <c r="Z173" s="4"/>
    </row>
    <row r="174" spans="1:26" ht="27.95" hidden="1">
      <c r="A174" s="20">
        <v>181</v>
      </c>
      <c r="B174" s="1063">
        <v>39951</v>
      </c>
      <c r="C174" s="22" t="s">
        <v>855</v>
      </c>
      <c r="D174" s="11"/>
      <c r="E174" s="22" t="s">
        <v>62</v>
      </c>
      <c r="F174" s="22" t="s">
        <v>142</v>
      </c>
      <c r="G174" s="22" t="s">
        <v>856</v>
      </c>
      <c r="H174" s="22" t="s">
        <v>857</v>
      </c>
      <c r="I174" s="22" t="s">
        <v>39</v>
      </c>
      <c r="J174" s="22" t="s">
        <v>858</v>
      </c>
      <c r="K174" s="22" t="s">
        <v>859</v>
      </c>
      <c r="L174" s="22"/>
      <c r="M174" s="22">
        <v>2</v>
      </c>
      <c r="N174" s="22">
        <v>1</v>
      </c>
      <c r="O174" s="22">
        <v>2</v>
      </c>
      <c r="P174" s="22">
        <v>0</v>
      </c>
      <c r="Q174" s="22">
        <v>0</v>
      </c>
      <c r="R174" s="1201" t="s">
        <v>860</v>
      </c>
      <c r="S174" s="1201" t="s">
        <v>861</v>
      </c>
      <c r="T174" s="22"/>
      <c r="U174" s="1854"/>
      <c r="V174" s="22"/>
      <c r="W174" s="2007" t="s">
        <v>862</v>
      </c>
      <c r="X174" s="18"/>
      <c r="Y174" s="4"/>
      <c r="Z174" s="4"/>
    </row>
    <row r="175" spans="1:26" ht="27.95" hidden="1">
      <c r="A175" s="20">
        <v>182</v>
      </c>
      <c r="B175" s="1063">
        <v>39952</v>
      </c>
      <c r="C175" s="22" t="s">
        <v>863</v>
      </c>
      <c r="D175" s="11"/>
      <c r="E175" s="22" t="s">
        <v>62</v>
      </c>
      <c r="F175" s="22" t="s">
        <v>142</v>
      </c>
      <c r="G175" s="22" t="s">
        <v>864</v>
      </c>
      <c r="H175" s="22" t="s">
        <v>865</v>
      </c>
      <c r="I175" s="22" t="s">
        <v>39</v>
      </c>
      <c r="J175" s="22" t="s">
        <v>866</v>
      </c>
      <c r="K175" s="22" t="s">
        <v>867</v>
      </c>
      <c r="L175" s="22"/>
      <c r="M175" s="22">
        <v>4</v>
      </c>
      <c r="N175" s="22">
        <v>1</v>
      </c>
      <c r="O175" s="22">
        <v>4</v>
      </c>
      <c r="P175" s="22">
        <v>0</v>
      </c>
      <c r="Q175" s="22">
        <v>0</v>
      </c>
      <c r="R175" s="1201" t="s">
        <v>868</v>
      </c>
      <c r="S175" s="1201" t="s">
        <v>869</v>
      </c>
      <c r="T175" s="22"/>
      <c r="U175" s="1854"/>
      <c r="V175" s="22"/>
      <c r="W175" s="2007" t="s">
        <v>870</v>
      </c>
      <c r="X175" s="18"/>
      <c r="Y175" s="4"/>
      <c r="Z175" s="4"/>
    </row>
    <row r="176" spans="1:26" ht="27.95" hidden="1">
      <c r="A176" s="20">
        <v>183</v>
      </c>
      <c r="B176" s="1063">
        <v>39953</v>
      </c>
      <c r="C176" s="22" t="s">
        <v>871</v>
      </c>
      <c r="D176" s="11"/>
      <c r="E176" s="22" t="s">
        <v>62</v>
      </c>
      <c r="F176" s="22" t="s">
        <v>142</v>
      </c>
      <c r="G176" s="22" t="s">
        <v>872</v>
      </c>
      <c r="H176" s="22" t="s">
        <v>873</v>
      </c>
      <c r="I176" s="22" t="s">
        <v>281</v>
      </c>
      <c r="J176" s="22" t="s">
        <v>874</v>
      </c>
      <c r="K176" s="22" t="s">
        <v>875</v>
      </c>
      <c r="L176" s="22"/>
      <c r="M176" s="22">
        <v>2</v>
      </c>
      <c r="N176" s="22">
        <v>1</v>
      </c>
      <c r="O176" s="22">
        <v>2</v>
      </c>
      <c r="P176" s="22">
        <v>0</v>
      </c>
      <c r="Q176" s="22">
        <v>0</v>
      </c>
      <c r="R176" s="1201" t="s">
        <v>876</v>
      </c>
      <c r="S176" s="1201" t="s">
        <v>877</v>
      </c>
      <c r="T176" s="22"/>
      <c r="U176" s="1854"/>
      <c r="V176" s="22"/>
      <c r="W176" s="2007" t="s">
        <v>878</v>
      </c>
      <c r="X176" s="18"/>
      <c r="Y176" s="4"/>
      <c r="Z176" s="4"/>
    </row>
    <row r="177" spans="1:26" ht="27.95" hidden="1">
      <c r="A177" s="20">
        <v>184</v>
      </c>
      <c r="B177" s="1063">
        <v>39954</v>
      </c>
      <c r="C177" s="22" t="s">
        <v>879</v>
      </c>
      <c r="D177" s="11"/>
      <c r="E177" s="22" t="s">
        <v>62</v>
      </c>
      <c r="F177" s="22" t="s">
        <v>142</v>
      </c>
      <c r="G177" s="22" t="s">
        <v>880</v>
      </c>
      <c r="H177" s="22" t="s">
        <v>881</v>
      </c>
      <c r="I177" s="22" t="s">
        <v>39</v>
      </c>
      <c r="J177" s="22" t="s">
        <v>882</v>
      </c>
      <c r="K177" s="22">
        <v>934091100</v>
      </c>
      <c r="L177" s="22"/>
      <c r="M177" s="22">
        <v>4</v>
      </c>
      <c r="N177" s="22">
        <v>1</v>
      </c>
      <c r="O177" s="22">
        <v>4</v>
      </c>
      <c r="P177" s="22">
        <v>0</v>
      </c>
      <c r="Q177" s="22">
        <v>0</v>
      </c>
      <c r="R177" s="1201">
        <v>629</v>
      </c>
      <c r="S177" s="1201" t="s">
        <v>883</v>
      </c>
      <c r="T177" s="22"/>
      <c r="U177" s="1854"/>
      <c r="V177" s="22"/>
      <c r="W177" s="2013" t="s">
        <v>884</v>
      </c>
      <c r="X177" s="18"/>
      <c r="Y177" s="4"/>
      <c r="Z177" s="4"/>
    </row>
    <row r="178" spans="1:26" ht="27.95" hidden="1">
      <c r="A178" s="20">
        <v>185</v>
      </c>
      <c r="B178" s="1063">
        <v>39955</v>
      </c>
      <c r="C178" s="22" t="s">
        <v>885</v>
      </c>
      <c r="D178" s="11"/>
      <c r="E178" s="22" t="s">
        <v>62</v>
      </c>
      <c r="F178" s="22" t="s">
        <v>142</v>
      </c>
      <c r="G178" s="22" t="s">
        <v>886</v>
      </c>
      <c r="H178" s="22" t="s">
        <v>881</v>
      </c>
      <c r="I178" s="22" t="s">
        <v>39</v>
      </c>
      <c r="J178" s="22" t="s">
        <v>887</v>
      </c>
      <c r="K178" s="22">
        <v>934061101</v>
      </c>
      <c r="L178" s="22"/>
      <c r="M178" s="22">
        <v>4</v>
      </c>
      <c r="N178" s="22">
        <v>1</v>
      </c>
      <c r="O178" s="22">
        <v>4</v>
      </c>
      <c r="P178" s="22">
        <v>0</v>
      </c>
      <c r="Q178" s="22">
        <v>0</v>
      </c>
      <c r="R178" s="1201">
        <v>629</v>
      </c>
      <c r="S178" s="1201" t="s">
        <v>883</v>
      </c>
      <c r="T178" s="22"/>
      <c r="U178" s="1854"/>
      <c r="V178" s="22"/>
      <c r="W178" s="2007" t="s">
        <v>888</v>
      </c>
      <c r="X178" s="18"/>
      <c r="Y178" s="4"/>
      <c r="Z178" s="4"/>
    </row>
    <row r="179" spans="1:26" ht="27.95" hidden="1">
      <c r="A179" s="20">
        <v>186</v>
      </c>
      <c r="B179" s="1063">
        <v>39956</v>
      </c>
      <c r="C179" s="22" t="s">
        <v>889</v>
      </c>
      <c r="D179" s="11"/>
      <c r="E179" s="22" t="s">
        <v>62</v>
      </c>
      <c r="F179" s="22" t="s">
        <v>142</v>
      </c>
      <c r="G179" s="22" t="s">
        <v>890</v>
      </c>
      <c r="H179" s="22" t="s">
        <v>881</v>
      </c>
      <c r="I179" s="22" t="s">
        <v>39</v>
      </c>
      <c r="J179" s="22" t="s">
        <v>891</v>
      </c>
      <c r="K179" s="22">
        <v>930046100</v>
      </c>
      <c r="L179" s="22"/>
      <c r="M179" s="22">
        <v>10</v>
      </c>
      <c r="N179" s="22">
        <v>1</v>
      </c>
      <c r="O179" s="22">
        <v>10</v>
      </c>
      <c r="P179" s="22">
        <v>0</v>
      </c>
      <c r="Q179" s="22">
        <v>0</v>
      </c>
      <c r="R179" s="1201">
        <v>124</v>
      </c>
      <c r="S179" s="1201" t="s">
        <v>892</v>
      </c>
      <c r="T179" s="22"/>
      <c r="U179" s="1854"/>
      <c r="V179" s="22"/>
      <c r="W179" s="2007" t="s">
        <v>893</v>
      </c>
      <c r="X179" s="18"/>
      <c r="Y179" s="4"/>
      <c r="Z179" s="4"/>
    </row>
    <row r="180" spans="1:26" ht="27.95" hidden="1">
      <c r="A180" s="20">
        <v>187</v>
      </c>
      <c r="B180" s="1063">
        <v>39957</v>
      </c>
      <c r="C180" s="22" t="s">
        <v>894</v>
      </c>
      <c r="D180" s="11"/>
      <c r="E180" s="22" t="s">
        <v>62</v>
      </c>
      <c r="F180" s="22" t="s">
        <v>142</v>
      </c>
      <c r="G180" s="22" t="s">
        <v>890</v>
      </c>
      <c r="H180" s="22" t="s">
        <v>881</v>
      </c>
      <c r="I180" s="22" t="s">
        <v>39</v>
      </c>
      <c r="J180" s="22" t="s">
        <v>895</v>
      </c>
      <c r="K180" s="22">
        <v>930046101</v>
      </c>
      <c r="L180" s="22"/>
      <c r="M180" s="22">
        <v>10</v>
      </c>
      <c r="N180" s="22">
        <v>1</v>
      </c>
      <c r="O180" s="22">
        <v>10</v>
      </c>
      <c r="P180" s="22">
        <v>0</v>
      </c>
      <c r="Q180" s="22">
        <v>0</v>
      </c>
      <c r="R180" s="1201">
        <v>124</v>
      </c>
      <c r="S180" s="1201" t="s">
        <v>892</v>
      </c>
      <c r="T180" s="22"/>
      <c r="U180" s="1854"/>
      <c r="V180" s="22"/>
      <c r="W180" s="2007" t="s">
        <v>896</v>
      </c>
      <c r="X180" s="18"/>
      <c r="Y180" s="4"/>
      <c r="Z180" s="4"/>
    </row>
    <row r="181" spans="1:26" ht="27.95" hidden="1">
      <c r="A181" s="20">
        <v>188</v>
      </c>
      <c r="B181" s="1063">
        <v>39958</v>
      </c>
      <c r="C181" s="22" t="s">
        <v>897</v>
      </c>
      <c r="D181" s="11"/>
      <c r="E181" s="22" t="s">
        <v>62</v>
      </c>
      <c r="F181" s="22" t="s">
        <v>142</v>
      </c>
      <c r="G181" s="22" t="s">
        <v>898</v>
      </c>
      <c r="H181" s="22" t="s">
        <v>899</v>
      </c>
      <c r="I181" s="22" t="s">
        <v>39</v>
      </c>
      <c r="J181" s="22" t="s">
        <v>900</v>
      </c>
      <c r="K181" s="22" t="s">
        <v>901</v>
      </c>
      <c r="L181" s="22"/>
      <c r="M181" s="22">
        <v>20</v>
      </c>
      <c r="N181" s="22">
        <v>1</v>
      </c>
      <c r="O181" s="22">
        <v>20</v>
      </c>
      <c r="P181" s="22">
        <v>0</v>
      </c>
      <c r="Q181" s="22">
        <v>0</v>
      </c>
      <c r="R181" s="1201">
        <v>86.2</v>
      </c>
      <c r="S181" s="1201" t="s">
        <v>902</v>
      </c>
      <c r="T181" s="22"/>
      <c r="U181" s="1854"/>
      <c r="V181" s="22"/>
      <c r="W181" s="2007" t="s">
        <v>903</v>
      </c>
      <c r="X181" s="18"/>
      <c r="Y181" s="4"/>
      <c r="Z181" s="4"/>
    </row>
    <row r="182" spans="1:26" ht="14.1" hidden="1">
      <c r="A182" s="20">
        <v>189</v>
      </c>
      <c r="B182" s="1063">
        <v>39959</v>
      </c>
      <c r="C182" s="22" t="s">
        <v>904</v>
      </c>
      <c r="D182" s="11"/>
      <c r="E182" s="22" t="s">
        <v>62</v>
      </c>
      <c r="F182" s="22" t="s">
        <v>142</v>
      </c>
      <c r="G182" s="22" t="s">
        <v>905</v>
      </c>
      <c r="H182" s="22" t="s">
        <v>260</v>
      </c>
      <c r="I182" s="22" t="s">
        <v>39</v>
      </c>
      <c r="J182" s="22" t="s">
        <v>906</v>
      </c>
      <c r="K182" s="22" t="s">
        <v>906</v>
      </c>
      <c r="L182" s="22"/>
      <c r="M182" s="22">
        <v>10</v>
      </c>
      <c r="N182" s="22">
        <v>10</v>
      </c>
      <c r="O182" s="22">
        <v>10</v>
      </c>
      <c r="P182" s="22">
        <v>0</v>
      </c>
      <c r="Q182" s="22">
        <v>0</v>
      </c>
      <c r="R182" s="1201">
        <v>213.5</v>
      </c>
      <c r="S182" s="1201" t="s">
        <v>907</v>
      </c>
      <c r="T182" s="22"/>
      <c r="U182" s="1854"/>
      <c r="V182" s="22"/>
      <c r="W182" s="2007" t="s">
        <v>908</v>
      </c>
      <c r="X182" s="18"/>
      <c r="Y182" s="4"/>
      <c r="Z182" s="4"/>
    </row>
    <row r="183" spans="1:26" ht="27.95" hidden="1">
      <c r="A183" s="20">
        <v>190</v>
      </c>
      <c r="B183" s="1063">
        <v>39960</v>
      </c>
      <c r="C183" s="22" t="s">
        <v>152</v>
      </c>
      <c r="D183" s="11"/>
      <c r="E183" s="22" t="s">
        <v>62</v>
      </c>
      <c r="F183" s="22" t="s">
        <v>142</v>
      </c>
      <c r="G183" s="22" t="s">
        <v>909</v>
      </c>
      <c r="H183" s="22" t="s">
        <v>154</v>
      </c>
      <c r="I183" s="22" t="s">
        <v>39</v>
      </c>
      <c r="J183" s="22" t="s">
        <v>910</v>
      </c>
      <c r="K183" s="22" t="s">
        <v>911</v>
      </c>
      <c r="L183" s="22" t="s">
        <v>912</v>
      </c>
      <c r="M183" s="22">
        <v>9</v>
      </c>
      <c r="N183" s="22">
        <v>1</v>
      </c>
      <c r="O183" s="22">
        <v>9</v>
      </c>
      <c r="P183" s="22">
        <v>0</v>
      </c>
      <c r="Q183" s="22">
        <v>0</v>
      </c>
      <c r="R183" s="1201">
        <v>870</v>
      </c>
      <c r="S183" s="1201" t="s">
        <v>913</v>
      </c>
      <c r="T183" s="22"/>
      <c r="U183" s="1854"/>
      <c r="V183" s="22"/>
      <c r="W183" s="2007" t="s">
        <v>914</v>
      </c>
      <c r="X183" s="18"/>
      <c r="Y183" s="4"/>
      <c r="Z183" s="4"/>
    </row>
    <row r="184" spans="1:26" ht="27.95" hidden="1">
      <c r="A184" s="20">
        <v>191</v>
      </c>
      <c r="B184" s="1063">
        <v>39961</v>
      </c>
      <c r="C184" s="22" t="s">
        <v>915</v>
      </c>
      <c r="D184" s="11"/>
      <c r="E184" s="22" t="s">
        <v>62</v>
      </c>
      <c r="F184" s="22" t="s">
        <v>142</v>
      </c>
      <c r="G184" s="22" t="s">
        <v>916</v>
      </c>
      <c r="H184" s="22" t="s">
        <v>260</v>
      </c>
      <c r="I184" s="22" t="s">
        <v>39</v>
      </c>
      <c r="J184" s="22" t="s">
        <v>917</v>
      </c>
      <c r="K184" s="22" t="s">
        <v>917</v>
      </c>
      <c r="L184" s="22"/>
      <c r="M184" s="22">
        <v>40</v>
      </c>
      <c r="N184" s="22">
        <v>10</v>
      </c>
      <c r="O184" s="22">
        <v>40</v>
      </c>
      <c r="P184" s="22">
        <v>0</v>
      </c>
      <c r="Q184" s="22">
        <v>0</v>
      </c>
      <c r="R184" s="1201">
        <v>31.9</v>
      </c>
      <c r="S184" s="1201" t="s">
        <v>918</v>
      </c>
      <c r="T184" s="22"/>
      <c r="U184" s="1854"/>
      <c r="V184" s="22"/>
      <c r="W184" s="2007" t="s">
        <v>919</v>
      </c>
      <c r="X184" s="18"/>
      <c r="Y184" s="4"/>
      <c r="Z184" s="4"/>
    </row>
    <row r="185" spans="1:26" ht="32.25" hidden="1" customHeight="1">
      <c r="A185" s="20">
        <v>192</v>
      </c>
      <c r="B185" s="1063">
        <v>39962</v>
      </c>
      <c r="C185" s="22" t="s">
        <v>920</v>
      </c>
      <c r="D185" s="11"/>
      <c r="E185" s="22" t="s">
        <v>62</v>
      </c>
      <c r="F185" s="22" t="s">
        <v>142</v>
      </c>
      <c r="G185" s="22" t="s">
        <v>921</v>
      </c>
      <c r="H185" s="22" t="s">
        <v>230</v>
      </c>
      <c r="I185" s="22" t="s">
        <v>39</v>
      </c>
      <c r="J185" s="22" t="s">
        <v>922</v>
      </c>
      <c r="K185" s="22" t="s">
        <v>923</v>
      </c>
      <c r="L185" s="22"/>
      <c r="M185" s="22">
        <v>10</v>
      </c>
      <c r="N185" s="22">
        <v>5</v>
      </c>
      <c r="O185" s="22">
        <v>10</v>
      </c>
      <c r="P185" s="22">
        <v>0</v>
      </c>
      <c r="Q185" s="22">
        <v>0</v>
      </c>
      <c r="R185" s="1201">
        <v>296.2</v>
      </c>
      <c r="S185" s="1201" t="s">
        <v>924</v>
      </c>
      <c r="T185" s="22"/>
      <c r="U185" s="1854"/>
      <c r="V185" s="22"/>
      <c r="W185" s="2007" t="s">
        <v>925</v>
      </c>
      <c r="X185" s="18"/>
      <c r="Y185" s="4"/>
      <c r="Z185" s="4"/>
    </row>
    <row r="186" spans="1:26" ht="14.1" hidden="1">
      <c r="A186" s="20">
        <v>193</v>
      </c>
      <c r="B186" s="1063">
        <v>39963</v>
      </c>
      <c r="C186" s="22" t="s">
        <v>926</v>
      </c>
      <c r="D186" s="11"/>
      <c r="E186" s="22" t="s">
        <v>572</v>
      </c>
      <c r="F186" s="22" t="s">
        <v>784</v>
      </c>
      <c r="G186" s="22" t="s">
        <v>927</v>
      </c>
      <c r="H186" s="22" t="s">
        <v>786</v>
      </c>
      <c r="I186" s="22" t="s">
        <v>786</v>
      </c>
      <c r="J186" s="22" t="s">
        <v>149</v>
      </c>
      <c r="K186" s="22" t="s">
        <v>149</v>
      </c>
      <c r="L186" s="22" t="s">
        <v>149</v>
      </c>
      <c r="M186" s="22">
        <v>1</v>
      </c>
      <c r="N186" s="22">
        <v>1</v>
      </c>
      <c r="O186" s="22">
        <v>1</v>
      </c>
      <c r="P186" s="22">
        <v>0</v>
      </c>
      <c r="Q186" s="22">
        <v>0</v>
      </c>
      <c r="R186" s="1201">
        <v>331000</v>
      </c>
      <c r="S186" s="1201">
        <f>R186*O186</f>
        <v>331000</v>
      </c>
      <c r="T186" s="22" t="s">
        <v>149</v>
      </c>
      <c r="U186" s="1854"/>
      <c r="V186" s="22"/>
      <c r="W186" s="2007"/>
      <c r="X186" s="18"/>
      <c r="Y186" s="4"/>
      <c r="Z186" s="4"/>
    </row>
    <row r="187" spans="1:26" ht="42" hidden="1">
      <c r="A187" s="20">
        <v>194</v>
      </c>
      <c r="B187" s="1063">
        <v>39964</v>
      </c>
      <c r="C187" s="22" t="s">
        <v>926</v>
      </c>
      <c r="D187" s="11"/>
      <c r="E187" s="22" t="s">
        <v>572</v>
      </c>
      <c r="F187" s="22" t="s">
        <v>417</v>
      </c>
      <c r="G187" s="22" t="s">
        <v>928</v>
      </c>
      <c r="H187" s="22" t="s">
        <v>287</v>
      </c>
      <c r="I187" s="22" t="s">
        <v>287</v>
      </c>
      <c r="J187" s="22"/>
      <c r="K187" s="22"/>
      <c r="L187" s="22"/>
      <c r="M187" s="22">
        <v>5</v>
      </c>
      <c r="N187" s="22">
        <v>1</v>
      </c>
      <c r="O187" s="22">
        <v>5</v>
      </c>
      <c r="P187" s="22">
        <v>0</v>
      </c>
      <c r="Q187" s="22">
        <v>0</v>
      </c>
      <c r="R187" s="1201">
        <f t="shared" ref="R187:R192" si="6">S187/O187</f>
        <v>12804.2</v>
      </c>
      <c r="S187" s="1201">
        <v>64021</v>
      </c>
      <c r="T187" s="22" t="s">
        <v>929</v>
      </c>
      <c r="U187" s="1854" t="s">
        <v>930</v>
      </c>
      <c r="V187" s="22" t="s">
        <v>931</v>
      </c>
      <c r="W187" s="2006" t="s">
        <v>932</v>
      </c>
      <c r="X187" s="18"/>
      <c r="Y187" s="4"/>
      <c r="Z187" s="4"/>
    </row>
    <row r="188" spans="1:26" ht="42" hidden="1">
      <c r="A188" s="20">
        <v>195</v>
      </c>
      <c r="B188" s="1063">
        <v>39965</v>
      </c>
      <c r="C188" s="22" t="s">
        <v>926</v>
      </c>
      <c r="D188" s="11"/>
      <c r="E188" s="22" t="s">
        <v>572</v>
      </c>
      <c r="F188" s="22" t="s">
        <v>417</v>
      </c>
      <c r="G188" s="22" t="s">
        <v>928</v>
      </c>
      <c r="H188" s="22" t="s">
        <v>817</v>
      </c>
      <c r="I188" s="22" t="s">
        <v>574</v>
      </c>
      <c r="J188" s="22" t="s">
        <v>933</v>
      </c>
      <c r="K188" s="22" t="s">
        <v>934</v>
      </c>
      <c r="L188" s="22" t="s">
        <v>935</v>
      </c>
      <c r="M188" s="22">
        <v>30</v>
      </c>
      <c r="N188" s="22">
        <v>1</v>
      </c>
      <c r="O188" s="22">
        <v>50</v>
      </c>
      <c r="P188" s="22" t="s">
        <v>936</v>
      </c>
      <c r="Q188" s="22">
        <v>29</v>
      </c>
      <c r="R188" s="1201">
        <f t="shared" si="6"/>
        <v>447.56</v>
      </c>
      <c r="S188" s="1201">
        <v>22378</v>
      </c>
      <c r="T188" s="22" t="s">
        <v>929</v>
      </c>
      <c r="U188" s="1854" t="s">
        <v>930</v>
      </c>
      <c r="V188" s="22" t="s">
        <v>931</v>
      </c>
      <c r="W188" s="2006" t="s">
        <v>937</v>
      </c>
      <c r="X188" s="18"/>
      <c r="Y188" s="4"/>
      <c r="Z188" s="4"/>
    </row>
    <row r="189" spans="1:26" ht="14.1" hidden="1">
      <c r="A189" s="20">
        <v>196</v>
      </c>
      <c r="B189" s="1063">
        <v>39966</v>
      </c>
      <c r="C189" s="26"/>
      <c r="D189" s="11"/>
      <c r="E189" s="22" t="s">
        <v>572</v>
      </c>
      <c r="F189" s="22" t="s">
        <v>417</v>
      </c>
      <c r="G189" s="22" t="s">
        <v>928</v>
      </c>
      <c r="H189" s="22" t="s">
        <v>260</v>
      </c>
      <c r="I189" s="22" t="s">
        <v>39</v>
      </c>
      <c r="J189" s="22" t="s">
        <v>938</v>
      </c>
      <c r="K189" s="22" t="s">
        <v>938</v>
      </c>
      <c r="L189" s="22" t="s">
        <v>939</v>
      </c>
      <c r="M189" s="22">
        <v>25</v>
      </c>
      <c r="N189" s="22">
        <v>1</v>
      </c>
      <c r="O189" s="22">
        <v>50</v>
      </c>
      <c r="P189" s="22">
        <v>0</v>
      </c>
      <c r="Q189" s="22">
        <f t="shared" ref="Q189:Q192" si="7">O189-M189+P189</f>
        <v>25</v>
      </c>
      <c r="R189" s="1201">
        <f t="shared" si="6"/>
        <v>173</v>
      </c>
      <c r="S189" s="1201">
        <v>8650</v>
      </c>
      <c r="T189" s="22" t="s">
        <v>929</v>
      </c>
      <c r="U189" s="1854" t="s">
        <v>930</v>
      </c>
      <c r="V189" s="22" t="s">
        <v>931</v>
      </c>
      <c r="W189" s="2006" t="s">
        <v>940</v>
      </c>
      <c r="X189" s="18"/>
      <c r="Y189" s="4"/>
      <c r="Z189" s="4"/>
    </row>
    <row r="190" spans="1:26" ht="14.1" hidden="1">
      <c r="A190" s="20">
        <v>197</v>
      </c>
      <c r="B190" s="1063">
        <v>39967</v>
      </c>
      <c r="C190" s="22" t="s">
        <v>926</v>
      </c>
      <c r="D190" s="11"/>
      <c r="E190" s="22" t="s">
        <v>572</v>
      </c>
      <c r="F190" s="22" t="s">
        <v>417</v>
      </c>
      <c r="G190" s="22" t="s">
        <v>928</v>
      </c>
      <c r="H190" s="22" t="s">
        <v>220</v>
      </c>
      <c r="I190" s="22" t="s">
        <v>39</v>
      </c>
      <c r="J190" s="22" t="s">
        <v>941</v>
      </c>
      <c r="K190" s="22" t="s">
        <v>942</v>
      </c>
      <c r="L190" s="22" t="s">
        <v>943</v>
      </c>
      <c r="M190" s="22">
        <v>15</v>
      </c>
      <c r="N190" s="22">
        <v>1</v>
      </c>
      <c r="O190" s="22">
        <v>30</v>
      </c>
      <c r="P190" s="22">
        <v>0</v>
      </c>
      <c r="Q190" s="22">
        <f t="shared" si="7"/>
        <v>15</v>
      </c>
      <c r="R190" s="1201">
        <f t="shared" si="6"/>
        <v>17.100000000000001</v>
      </c>
      <c r="S190" s="1201">
        <v>513</v>
      </c>
      <c r="T190" s="22" t="s">
        <v>929</v>
      </c>
      <c r="U190" s="1854" t="s">
        <v>930</v>
      </c>
      <c r="V190" s="22" t="s">
        <v>931</v>
      </c>
      <c r="W190" s="2006" t="s">
        <v>944</v>
      </c>
      <c r="X190" s="18"/>
      <c r="Y190" s="4"/>
      <c r="Z190" s="4"/>
    </row>
    <row r="191" spans="1:26" ht="14.1" hidden="1">
      <c r="A191" s="20">
        <v>198</v>
      </c>
      <c r="B191" s="1063">
        <v>39968</v>
      </c>
      <c r="C191" s="22" t="s">
        <v>926</v>
      </c>
      <c r="D191" s="11"/>
      <c r="E191" s="22" t="s">
        <v>572</v>
      </c>
      <c r="F191" s="22" t="s">
        <v>417</v>
      </c>
      <c r="G191" s="22" t="s">
        <v>928</v>
      </c>
      <c r="H191" s="22" t="s">
        <v>945</v>
      </c>
      <c r="I191" s="22" t="s">
        <v>39</v>
      </c>
      <c r="J191" s="22" t="s">
        <v>946</v>
      </c>
      <c r="K191" s="22" t="s">
        <v>947</v>
      </c>
      <c r="L191" s="22" t="s">
        <v>948</v>
      </c>
      <c r="M191" s="22">
        <v>10</v>
      </c>
      <c r="N191" s="22">
        <v>1</v>
      </c>
      <c r="O191" s="22">
        <v>14</v>
      </c>
      <c r="P191" s="22">
        <v>1</v>
      </c>
      <c r="Q191" s="22">
        <f t="shared" si="7"/>
        <v>5</v>
      </c>
      <c r="R191" s="1201">
        <f t="shared" si="6"/>
        <v>666.5</v>
      </c>
      <c r="S191" s="1201">
        <v>9331</v>
      </c>
      <c r="T191" s="22" t="s">
        <v>929</v>
      </c>
      <c r="U191" s="1854" t="s">
        <v>930</v>
      </c>
      <c r="V191" s="22" t="s">
        <v>931</v>
      </c>
      <c r="W191" s="2006" t="s">
        <v>949</v>
      </c>
      <c r="X191" s="18"/>
      <c r="Y191" s="4"/>
      <c r="Z191" s="4"/>
    </row>
    <row r="192" spans="1:26" ht="14.1" hidden="1">
      <c r="A192" s="20">
        <v>199</v>
      </c>
      <c r="B192" s="1063">
        <v>39969</v>
      </c>
      <c r="C192" s="22" t="s">
        <v>926</v>
      </c>
      <c r="D192" s="11"/>
      <c r="E192" s="22" t="s">
        <v>572</v>
      </c>
      <c r="F192" s="22" t="s">
        <v>417</v>
      </c>
      <c r="G192" s="22" t="s">
        <v>928</v>
      </c>
      <c r="H192" s="22" t="s">
        <v>950</v>
      </c>
      <c r="I192" s="22" t="s">
        <v>39</v>
      </c>
      <c r="J192" s="22" t="s">
        <v>951</v>
      </c>
      <c r="K192" s="22">
        <v>1984617</v>
      </c>
      <c r="L192" s="22" t="s">
        <v>952</v>
      </c>
      <c r="M192" s="22">
        <v>5</v>
      </c>
      <c r="N192" s="22">
        <v>1</v>
      </c>
      <c r="O192" s="22">
        <v>10</v>
      </c>
      <c r="P192" s="22">
        <v>0</v>
      </c>
      <c r="Q192" s="22">
        <f t="shared" si="7"/>
        <v>5</v>
      </c>
      <c r="R192" s="1201">
        <f t="shared" si="6"/>
        <v>50</v>
      </c>
      <c r="S192" s="1201">
        <v>500</v>
      </c>
      <c r="T192" s="22" t="s">
        <v>929</v>
      </c>
      <c r="U192" s="1854" t="s">
        <v>930</v>
      </c>
      <c r="V192" s="22" t="s">
        <v>931</v>
      </c>
      <c r="W192" s="2006" t="s">
        <v>953</v>
      </c>
      <c r="X192" s="18"/>
      <c r="Y192" s="4"/>
      <c r="Z192" s="4"/>
    </row>
    <row r="193" spans="1:26" ht="14.1" hidden="1">
      <c r="A193" s="20">
        <v>200</v>
      </c>
      <c r="B193" s="1063">
        <v>39970</v>
      </c>
      <c r="C193" s="22" t="s">
        <v>954</v>
      </c>
      <c r="D193" s="11"/>
      <c r="E193" s="22" t="s">
        <v>955</v>
      </c>
      <c r="F193" s="22" t="s">
        <v>784</v>
      </c>
      <c r="G193" s="22" t="s">
        <v>956</v>
      </c>
      <c r="H193" s="22" t="s">
        <v>287</v>
      </c>
      <c r="I193" s="22" t="s">
        <v>287</v>
      </c>
      <c r="J193" s="22" t="s">
        <v>149</v>
      </c>
      <c r="K193" s="22" t="s">
        <v>149</v>
      </c>
      <c r="L193" s="22" t="s">
        <v>149</v>
      </c>
      <c r="M193" s="22">
        <v>4</v>
      </c>
      <c r="N193" s="22">
        <v>1</v>
      </c>
      <c r="O193" s="22">
        <v>4</v>
      </c>
      <c r="P193" s="22">
        <v>1</v>
      </c>
      <c r="Q193" s="22">
        <v>5</v>
      </c>
      <c r="R193" s="1201" t="s">
        <v>149</v>
      </c>
      <c r="S193" s="1201">
        <v>20263</v>
      </c>
      <c r="T193" s="22" t="s">
        <v>957</v>
      </c>
      <c r="U193" s="1854" t="s">
        <v>957</v>
      </c>
      <c r="V193" s="22"/>
      <c r="W193" s="2007"/>
      <c r="X193" s="18"/>
      <c r="Y193" s="4"/>
      <c r="Z193" s="4"/>
    </row>
    <row r="194" spans="1:26" ht="69.95" hidden="1">
      <c r="A194" s="20">
        <v>201</v>
      </c>
      <c r="B194" s="1063">
        <v>39971</v>
      </c>
      <c r="C194" s="22" t="s">
        <v>958</v>
      </c>
      <c r="D194" s="11"/>
      <c r="E194" s="22" t="s">
        <v>62</v>
      </c>
      <c r="F194" s="22" t="s">
        <v>959</v>
      </c>
      <c r="G194" s="22" t="s">
        <v>960</v>
      </c>
      <c r="H194" s="22" t="s">
        <v>961</v>
      </c>
      <c r="I194" s="22" t="s">
        <v>961</v>
      </c>
      <c r="J194" s="22" t="s">
        <v>962</v>
      </c>
      <c r="K194" s="22" t="s">
        <v>962</v>
      </c>
      <c r="L194" s="22" t="s">
        <v>149</v>
      </c>
      <c r="M194" s="22">
        <v>4</v>
      </c>
      <c r="N194" s="22">
        <v>1</v>
      </c>
      <c r="O194" s="22">
        <v>10</v>
      </c>
      <c r="P194" s="22">
        <v>0</v>
      </c>
      <c r="Q194" s="22">
        <v>10</v>
      </c>
      <c r="R194" s="1201">
        <v>103</v>
      </c>
      <c r="S194" s="1201">
        <v>1030</v>
      </c>
      <c r="T194" s="22" t="s">
        <v>422</v>
      </c>
      <c r="U194" s="1854" t="s">
        <v>422</v>
      </c>
      <c r="V194" s="22" t="s">
        <v>689</v>
      </c>
      <c r="W194" s="2006" t="s">
        <v>963</v>
      </c>
      <c r="X194" s="18"/>
      <c r="Y194" s="4"/>
      <c r="Z194" s="4"/>
    </row>
    <row r="195" spans="1:26" ht="69.95" hidden="1">
      <c r="A195" s="20">
        <v>202</v>
      </c>
      <c r="B195" s="1063">
        <v>39972</v>
      </c>
      <c r="C195" s="22" t="s">
        <v>964</v>
      </c>
      <c r="D195" s="11"/>
      <c r="E195" s="22" t="s">
        <v>62</v>
      </c>
      <c r="F195" s="22" t="s">
        <v>959</v>
      </c>
      <c r="G195" s="22" t="s">
        <v>965</v>
      </c>
      <c r="H195" s="22" t="s">
        <v>686</v>
      </c>
      <c r="I195" s="22" t="s">
        <v>961</v>
      </c>
      <c r="J195" s="26" t="s">
        <v>966</v>
      </c>
      <c r="K195" s="22" t="s">
        <v>149</v>
      </c>
      <c r="L195" s="22" t="s">
        <v>149</v>
      </c>
      <c r="M195" s="22">
        <v>4</v>
      </c>
      <c r="N195" s="22">
        <v>1</v>
      </c>
      <c r="O195" s="22">
        <v>10</v>
      </c>
      <c r="P195" s="22">
        <v>0</v>
      </c>
      <c r="Q195" s="22">
        <v>10</v>
      </c>
      <c r="R195" s="1201">
        <v>25</v>
      </c>
      <c r="S195" s="1201">
        <v>250</v>
      </c>
      <c r="T195" s="22" t="s">
        <v>422</v>
      </c>
      <c r="U195" s="1854" t="s">
        <v>422</v>
      </c>
      <c r="V195" s="22" t="s">
        <v>689</v>
      </c>
      <c r="W195" s="2006" t="s">
        <v>967</v>
      </c>
      <c r="X195" s="18"/>
      <c r="Y195" s="4"/>
      <c r="Z195" s="4"/>
    </row>
    <row r="196" spans="1:26" ht="42" hidden="1">
      <c r="A196" s="20">
        <v>203</v>
      </c>
      <c r="B196" s="1063">
        <v>39973</v>
      </c>
      <c r="C196" s="22" t="s">
        <v>968</v>
      </c>
      <c r="D196" s="11"/>
      <c r="E196" s="22" t="s">
        <v>969</v>
      </c>
      <c r="F196" s="22" t="s">
        <v>970</v>
      </c>
      <c r="G196" s="22" t="s">
        <v>971</v>
      </c>
      <c r="H196" s="22" t="s">
        <v>972</v>
      </c>
      <c r="I196" s="22" t="s">
        <v>973</v>
      </c>
      <c r="J196" s="22" t="s">
        <v>974</v>
      </c>
      <c r="K196" s="22" t="s">
        <v>974</v>
      </c>
      <c r="L196" s="22" t="s">
        <v>149</v>
      </c>
      <c r="M196" s="22">
        <v>1</v>
      </c>
      <c r="N196" s="22">
        <v>1</v>
      </c>
      <c r="O196" s="22">
        <v>1</v>
      </c>
      <c r="P196" s="22">
        <v>0</v>
      </c>
      <c r="Q196" s="22">
        <v>1</v>
      </c>
      <c r="R196" s="1201">
        <v>100341.7</v>
      </c>
      <c r="S196" s="1201">
        <v>100341.7</v>
      </c>
      <c r="T196" s="22" t="s">
        <v>422</v>
      </c>
      <c r="U196" s="1854" t="s">
        <v>422</v>
      </c>
      <c r="V196" s="22" t="s">
        <v>975</v>
      </c>
      <c r="W196" s="2006" t="s">
        <v>976</v>
      </c>
      <c r="X196" s="18"/>
      <c r="Y196" s="4"/>
      <c r="Z196" s="4"/>
    </row>
    <row r="197" spans="1:26" ht="42" hidden="1">
      <c r="A197" s="20">
        <v>204</v>
      </c>
      <c r="B197" s="1063">
        <v>39974</v>
      </c>
      <c r="C197" s="22" t="s">
        <v>977</v>
      </c>
      <c r="D197" s="11"/>
      <c r="E197" s="22" t="s">
        <v>969</v>
      </c>
      <c r="F197" s="22" t="s">
        <v>970</v>
      </c>
      <c r="G197" s="22" t="s">
        <v>978</v>
      </c>
      <c r="H197" s="22" t="s">
        <v>979</v>
      </c>
      <c r="I197" s="22" t="s">
        <v>980</v>
      </c>
      <c r="J197" s="22" t="s">
        <v>981</v>
      </c>
      <c r="K197" s="22" t="s">
        <v>981</v>
      </c>
      <c r="L197" s="22" t="s">
        <v>149</v>
      </c>
      <c r="M197" s="22">
        <v>1</v>
      </c>
      <c r="N197" s="22">
        <v>1</v>
      </c>
      <c r="O197" s="22">
        <v>1</v>
      </c>
      <c r="P197" s="22">
        <v>0</v>
      </c>
      <c r="Q197" s="22">
        <v>1</v>
      </c>
      <c r="R197" s="1201">
        <v>30000</v>
      </c>
      <c r="S197" s="1201">
        <v>30000</v>
      </c>
      <c r="T197" s="22" t="s">
        <v>422</v>
      </c>
      <c r="U197" s="1854" t="s">
        <v>422</v>
      </c>
      <c r="V197" s="22" t="s">
        <v>975</v>
      </c>
      <c r="W197" s="2007"/>
      <c r="X197" s="18"/>
      <c r="Y197" s="4"/>
      <c r="Z197" s="4"/>
    </row>
    <row r="198" spans="1:26" ht="27.95" hidden="1">
      <c r="A198" s="20">
        <v>205</v>
      </c>
      <c r="B198" s="1063">
        <v>39975</v>
      </c>
      <c r="C198" s="22" t="s">
        <v>982</v>
      </c>
      <c r="D198" s="11"/>
      <c r="E198" s="22" t="s">
        <v>969</v>
      </c>
      <c r="F198" s="22" t="s">
        <v>970</v>
      </c>
      <c r="G198" s="22" t="s">
        <v>983</v>
      </c>
      <c r="H198" s="22" t="s">
        <v>984</v>
      </c>
      <c r="I198" s="22" t="s">
        <v>574</v>
      </c>
      <c r="J198" s="22" t="s">
        <v>985</v>
      </c>
      <c r="K198" s="22" t="s">
        <v>986</v>
      </c>
      <c r="L198" s="22" t="s">
        <v>987</v>
      </c>
      <c r="M198" s="22">
        <v>6</v>
      </c>
      <c r="N198" s="22">
        <v>10</v>
      </c>
      <c r="O198" s="22">
        <v>10</v>
      </c>
      <c r="P198" s="22">
        <v>0</v>
      </c>
      <c r="Q198" s="22">
        <v>10</v>
      </c>
      <c r="R198" s="1201">
        <v>508.8</v>
      </c>
      <c r="S198" s="1201">
        <v>5088</v>
      </c>
      <c r="T198" s="22" t="s">
        <v>422</v>
      </c>
      <c r="U198" s="1854" t="s">
        <v>422</v>
      </c>
      <c r="V198" s="22" t="s">
        <v>975</v>
      </c>
      <c r="W198" s="2006" t="s">
        <v>988</v>
      </c>
      <c r="X198" s="18"/>
      <c r="Y198" s="4"/>
      <c r="Z198" s="4"/>
    </row>
    <row r="199" spans="1:26" ht="69.95" hidden="1">
      <c r="A199" s="20">
        <v>206</v>
      </c>
      <c r="B199" s="1063">
        <v>39976</v>
      </c>
      <c r="C199" s="22" t="s">
        <v>989</v>
      </c>
      <c r="D199" s="11"/>
      <c r="E199" s="22" t="s">
        <v>572</v>
      </c>
      <c r="F199" s="22" t="s">
        <v>99</v>
      </c>
      <c r="G199" s="22" t="s">
        <v>1</v>
      </c>
      <c r="H199" s="22" t="s">
        <v>366</v>
      </c>
      <c r="I199" s="22" t="s">
        <v>366</v>
      </c>
      <c r="J199" s="22" t="s">
        <v>990</v>
      </c>
      <c r="K199" s="22"/>
      <c r="L199" s="22" t="s">
        <v>1</v>
      </c>
      <c r="M199" s="22">
        <v>12</v>
      </c>
      <c r="N199" s="22">
        <v>50</v>
      </c>
      <c r="O199" s="22">
        <v>50</v>
      </c>
      <c r="P199" s="22">
        <v>0</v>
      </c>
      <c r="Q199" s="22">
        <v>0</v>
      </c>
      <c r="R199" s="1201">
        <v>38.380000000000003</v>
      </c>
      <c r="S199" s="1201">
        <v>1919</v>
      </c>
      <c r="T199" s="22" t="s">
        <v>87</v>
      </c>
      <c r="U199" s="1854" t="s">
        <v>301</v>
      </c>
      <c r="V199" s="22" t="s">
        <v>352</v>
      </c>
      <c r="W199" s="2006" t="s">
        <v>991</v>
      </c>
      <c r="X199" s="18"/>
      <c r="Y199" s="4"/>
      <c r="Z199" s="4"/>
    </row>
    <row r="200" spans="1:26" ht="14.1" hidden="1">
      <c r="A200" s="20">
        <v>207</v>
      </c>
      <c r="B200" s="1063">
        <v>39977</v>
      </c>
      <c r="C200" s="22" t="s">
        <v>992</v>
      </c>
      <c r="D200" s="11"/>
      <c r="E200" s="22" t="s">
        <v>62</v>
      </c>
      <c r="F200" s="22" t="s">
        <v>784</v>
      </c>
      <c r="G200" s="22" t="s">
        <v>993</v>
      </c>
      <c r="H200" s="22" t="s">
        <v>994</v>
      </c>
      <c r="I200" s="22" t="s">
        <v>322</v>
      </c>
      <c r="J200" s="22">
        <v>20917812</v>
      </c>
      <c r="K200" s="22" t="s">
        <v>992</v>
      </c>
      <c r="L200" s="22" t="s">
        <v>149</v>
      </c>
      <c r="M200" s="22">
        <v>2</v>
      </c>
      <c r="N200" s="22">
        <v>2</v>
      </c>
      <c r="O200" s="22">
        <v>2</v>
      </c>
      <c r="P200" s="22" t="s">
        <v>149</v>
      </c>
      <c r="Q200" s="22" t="s">
        <v>149</v>
      </c>
      <c r="R200" s="1201">
        <v>5790</v>
      </c>
      <c r="S200" s="1201">
        <f>R200*O200</f>
        <v>11580</v>
      </c>
      <c r="T200" s="22" t="s">
        <v>957</v>
      </c>
      <c r="U200" s="1854" t="s">
        <v>957</v>
      </c>
      <c r="V200" s="22" t="s">
        <v>995</v>
      </c>
      <c r="W200" s="2007"/>
      <c r="X200" s="18"/>
      <c r="Y200" s="4"/>
      <c r="Z200" s="4"/>
    </row>
    <row r="201" spans="1:26" ht="69.95" hidden="1">
      <c r="A201" s="20">
        <v>208</v>
      </c>
      <c r="B201" s="1063">
        <v>39978</v>
      </c>
      <c r="C201" s="22" t="s">
        <v>682</v>
      </c>
      <c r="D201" s="11"/>
      <c r="E201" s="22" t="s">
        <v>62</v>
      </c>
      <c r="F201" s="22" t="s">
        <v>959</v>
      </c>
      <c r="G201" s="22" t="s">
        <v>996</v>
      </c>
      <c r="H201" s="22" t="s">
        <v>997</v>
      </c>
      <c r="I201" s="22" t="s">
        <v>961</v>
      </c>
      <c r="J201" s="26" t="s">
        <v>998</v>
      </c>
      <c r="K201" s="22"/>
      <c r="L201" s="22" t="s">
        <v>149</v>
      </c>
      <c r="M201" s="22">
        <v>4</v>
      </c>
      <c r="N201" s="22">
        <v>1</v>
      </c>
      <c r="O201" s="22">
        <v>10</v>
      </c>
      <c r="P201" s="22">
        <v>0</v>
      </c>
      <c r="Q201" s="22">
        <v>10</v>
      </c>
      <c r="R201" s="1201">
        <v>37</v>
      </c>
      <c r="S201" s="1201">
        <v>370</v>
      </c>
      <c r="T201" s="22" t="s">
        <v>422</v>
      </c>
      <c r="U201" s="1854" t="s">
        <v>422</v>
      </c>
      <c r="V201" s="22" t="s">
        <v>689</v>
      </c>
      <c r="W201" s="2006" t="s">
        <v>999</v>
      </c>
      <c r="X201" s="18"/>
      <c r="Y201" s="4"/>
      <c r="Z201" s="4"/>
    </row>
    <row r="202" spans="1:26" ht="14.1" hidden="1">
      <c r="A202" s="20">
        <v>209</v>
      </c>
      <c r="B202" s="1063">
        <v>39979</v>
      </c>
      <c r="C202" s="22" t="s">
        <v>1000</v>
      </c>
      <c r="D202" s="11"/>
      <c r="E202" s="22" t="s">
        <v>1001</v>
      </c>
      <c r="F202" s="22" t="s">
        <v>131</v>
      </c>
      <c r="G202" s="22"/>
      <c r="H202" s="22" t="s">
        <v>1002</v>
      </c>
      <c r="I202" s="22" t="s">
        <v>1002</v>
      </c>
      <c r="J202" s="22" t="s">
        <v>1</v>
      </c>
      <c r="K202" s="22"/>
      <c r="L202" s="22"/>
      <c r="M202" s="22">
        <v>2</v>
      </c>
      <c r="N202" s="22">
        <v>1</v>
      </c>
      <c r="O202" s="22">
        <v>4</v>
      </c>
      <c r="P202" s="22">
        <v>0</v>
      </c>
      <c r="Q202" s="22">
        <v>4</v>
      </c>
      <c r="R202" s="1201"/>
      <c r="S202" s="1201">
        <v>99856</v>
      </c>
      <c r="T202" s="22" t="s">
        <v>300</v>
      </c>
      <c r="U202" s="1854" t="s">
        <v>138</v>
      </c>
      <c r="V202" s="22" t="s">
        <v>1003</v>
      </c>
      <c r="W202" s="2007"/>
      <c r="X202" s="18"/>
      <c r="Y202" s="4"/>
      <c r="Z202" s="4"/>
    </row>
    <row r="203" spans="1:26" ht="14.1" hidden="1">
      <c r="A203" s="20">
        <v>210</v>
      </c>
      <c r="B203" s="1063">
        <v>39980</v>
      </c>
      <c r="C203" s="22" t="s">
        <v>1004</v>
      </c>
      <c r="D203" s="11"/>
      <c r="E203" s="22" t="s">
        <v>1001</v>
      </c>
      <c r="F203" s="22" t="s">
        <v>131</v>
      </c>
      <c r="G203" s="22"/>
      <c r="H203" s="22" t="s">
        <v>1005</v>
      </c>
      <c r="I203" s="22" t="s">
        <v>1005</v>
      </c>
      <c r="J203" s="22"/>
      <c r="K203" s="22" t="s">
        <v>1006</v>
      </c>
      <c r="L203" s="22"/>
      <c r="M203" s="22">
        <v>2</v>
      </c>
      <c r="N203" s="22">
        <v>1</v>
      </c>
      <c r="O203" s="22">
        <v>2</v>
      </c>
      <c r="P203" s="22">
        <v>0</v>
      </c>
      <c r="Q203" s="22">
        <v>2</v>
      </c>
      <c r="R203" s="1201" t="s">
        <v>1007</v>
      </c>
      <c r="S203" s="1201" t="s">
        <v>1008</v>
      </c>
      <c r="T203" s="22" t="s">
        <v>1009</v>
      </c>
      <c r="U203" s="1854" t="s">
        <v>118</v>
      </c>
      <c r="V203" s="22" t="s">
        <v>118</v>
      </c>
      <c r="W203" s="2007"/>
      <c r="X203" s="18"/>
      <c r="Y203" s="4"/>
      <c r="Z203" s="4"/>
    </row>
    <row r="204" spans="1:26" ht="27.95" hidden="1">
      <c r="A204" s="20">
        <v>211</v>
      </c>
      <c r="B204" s="1063">
        <v>39981</v>
      </c>
      <c r="C204" s="22" t="s">
        <v>1004</v>
      </c>
      <c r="D204" s="11"/>
      <c r="E204" s="22" t="s">
        <v>1001</v>
      </c>
      <c r="F204" s="22" t="s">
        <v>131</v>
      </c>
      <c r="G204" s="22"/>
      <c r="H204" s="22" t="s">
        <v>1005</v>
      </c>
      <c r="I204" s="22" t="s">
        <v>1005</v>
      </c>
      <c r="J204" s="22"/>
      <c r="K204" s="22" t="s">
        <v>1010</v>
      </c>
      <c r="L204" s="22"/>
      <c r="M204" s="22">
        <v>1</v>
      </c>
      <c r="N204" s="22">
        <v>1</v>
      </c>
      <c r="O204" s="22">
        <v>1</v>
      </c>
      <c r="P204" s="22">
        <v>0</v>
      </c>
      <c r="Q204" s="22">
        <v>1</v>
      </c>
      <c r="R204" s="1201" t="s">
        <v>1011</v>
      </c>
      <c r="S204" s="1201" t="s">
        <v>1011</v>
      </c>
      <c r="T204" s="22" t="s">
        <v>1009</v>
      </c>
      <c r="U204" s="1854" t="s">
        <v>118</v>
      </c>
      <c r="V204" s="22" t="s">
        <v>118</v>
      </c>
      <c r="W204" s="2007"/>
      <c r="X204" s="18"/>
      <c r="Y204" s="4"/>
      <c r="Z204" s="4"/>
    </row>
    <row r="205" spans="1:26" ht="14.1" hidden="1">
      <c r="A205" s="20">
        <v>212</v>
      </c>
      <c r="B205" s="1063">
        <v>39982</v>
      </c>
      <c r="C205" s="22" t="s">
        <v>1004</v>
      </c>
      <c r="D205" s="11"/>
      <c r="E205" s="22" t="s">
        <v>1001</v>
      </c>
      <c r="F205" s="22" t="s">
        <v>131</v>
      </c>
      <c r="G205" s="22"/>
      <c r="H205" s="22" t="s">
        <v>1005</v>
      </c>
      <c r="I205" s="22" t="s">
        <v>1005</v>
      </c>
      <c r="J205" s="22"/>
      <c r="K205" s="22" t="s">
        <v>1012</v>
      </c>
      <c r="L205" s="22"/>
      <c r="M205" s="22">
        <v>1</v>
      </c>
      <c r="N205" s="22">
        <v>1</v>
      </c>
      <c r="O205" s="22">
        <v>1</v>
      </c>
      <c r="P205" s="22">
        <v>0</v>
      </c>
      <c r="Q205" s="22">
        <v>1</v>
      </c>
      <c r="R205" s="1201" t="s">
        <v>1013</v>
      </c>
      <c r="S205" s="1201" t="s">
        <v>1013</v>
      </c>
      <c r="T205" s="22" t="s">
        <v>1009</v>
      </c>
      <c r="U205" s="1854" t="s">
        <v>118</v>
      </c>
      <c r="V205" s="22" t="s">
        <v>118</v>
      </c>
      <c r="W205" s="2007"/>
      <c r="X205" s="18"/>
      <c r="Y205" s="4"/>
      <c r="Z205" s="4"/>
    </row>
    <row r="206" spans="1:26" ht="14.1" hidden="1">
      <c r="A206" s="20">
        <v>213</v>
      </c>
      <c r="B206" s="1063">
        <v>39983</v>
      </c>
      <c r="C206" s="22" t="s">
        <v>1004</v>
      </c>
      <c r="D206" s="11"/>
      <c r="E206" s="22" t="s">
        <v>1001</v>
      </c>
      <c r="F206" s="22" t="s">
        <v>131</v>
      </c>
      <c r="G206" s="22"/>
      <c r="H206" s="22" t="s">
        <v>1005</v>
      </c>
      <c r="I206" s="22" t="s">
        <v>1005</v>
      </c>
      <c r="J206" s="22"/>
      <c r="K206" s="22" t="s">
        <v>1014</v>
      </c>
      <c r="L206" s="22"/>
      <c r="M206" s="22">
        <v>1</v>
      </c>
      <c r="N206" s="22">
        <v>1</v>
      </c>
      <c r="O206" s="22">
        <v>1</v>
      </c>
      <c r="P206" s="22">
        <v>0</v>
      </c>
      <c r="Q206" s="22">
        <v>1</v>
      </c>
      <c r="R206" s="1201" t="s">
        <v>1015</v>
      </c>
      <c r="S206" s="1201" t="s">
        <v>1015</v>
      </c>
      <c r="T206" s="22" t="s">
        <v>1009</v>
      </c>
      <c r="U206" s="1854" t="s">
        <v>118</v>
      </c>
      <c r="V206" s="22" t="s">
        <v>118</v>
      </c>
      <c r="W206" s="2007"/>
      <c r="X206" s="18"/>
      <c r="Y206" s="4"/>
      <c r="Z206" s="4"/>
    </row>
    <row r="207" spans="1:26" ht="27.95" hidden="1">
      <c r="A207" s="20">
        <v>214</v>
      </c>
      <c r="B207" s="1063">
        <v>39984</v>
      </c>
      <c r="C207" s="22" t="s">
        <v>1004</v>
      </c>
      <c r="D207" s="11"/>
      <c r="E207" s="22" t="s">
        <v>1001</v>
      </c>
      <c r="F207" s="22" t="s">
        <v>131</v>
      </c>
      <c r="G207" s="22"/>
      <c r="H207" s="22" t="s">
        <v>1005</v>
      </c>
      <c r="I207" s="22" t="s">
        <v>1005</v>
      </c>
      <c r="J207" s="22"/>
      <c r="K207" s="22" t="s">
        <v>1016</v>
      </c>
      <c r="L207" s="22"/>
      <c r="M207" s="22">
        <v>2</v>
      </c>
      <c r="N207" s="22">
        <v>1</v>
      </c>
      <c r="O207" s="22">
        <v>2</v>
      </c>
      <c r="P207" s="22">
        <v>0</v>
      </c>
      <c r="Q207" s="22">
        <v>2</v>
      </c>
      <c r="R207" s="1201" t="s">
        <v>1017</v>
      </c>
      <c r="S207" s="1201" t="s">
        <v>1018</v>
      </c>
      <c r="T207" s="22" t="s">
        <v>1009</v>
      </c>
      <c r="U207" s="1854" t="s">
        <v>118</v>
      </c>
      <c r="V207" s="22" t="s">
        <v>118</v>
      </c>
      <c r="W207" s="2007"/>
      <c r="X207" s="18"/>
      <c r="Y207" s="4"/>
      <c r="Z207" s="4"/>
    </row>
    <row r="208" spans="1:26" ht="27.95" hidden="1">
      <c r="A208" s="20">
        <v>215</v>
      </c>
      <c r="B208" s="1063">
        <v>39985</v>
      </c>
      <c r="C208" s="22" t="s">
        <v>1019</v>
      </c>
      <c r="D208" s="11"/>
      <c r="E208" s="22" t="s">
        <v>62</v>
      </c>
      <c r="F208" s="22" t="s">
        <v>784</v>
      </c>
      <c r="G208" s="22" t="s">
        <v>1020</v>
      </c>
      <c r="H208" s="22" t="s">
        <v>1021</v>
      </c>
      <c r="I208" s="22" t="s">
        <v>1022</v>
      </c>
      <c r="J208" s="22" t="s">
        <v>149</v>
      </c>
      <c r="K208" s="22" t="s">
        <v>1023</v>
      </c>
      <c r="L208" s="22" t="s">
        <v>149</v>
      </c>
      <c r="M208" s="22">
        <v>1</v>
      </c>
      <c r="N208" s="22">
        <v>1</v>
      </c>
      <c r="O208" s="22">
        <v>1</v>
      </c>
      <c r="P208" s="22">
        <v>0</v>
      </c>
      <c r="Q208" s="22">
        <v>1</v>
      </c>
      <c r="R208" s="1201">
        <v>2575</v>
      </c>
      <c r="S208" s="1201">
        <f>R208*O208</f>
        <v>2575</v>
      </c>
      <c r="T208" s="22" t="s">
        <v>957</v>
      </c>
      <c r="U208" s="1854" t="s">
        <v>957</v>
      </c>
      <c r="V208" s="22" t="s">
        <v>995</v>
      </c>
      <c r="W208" s="2006" t="s">
        <v>1024</v>
      </c>
      <c r="X208" s="18"/>
      <c r="Y208" s="4"/>
      <c r="Z208" s="4"/>
    </row>
    <row r="209" spans="1:26" ht="69.95" hidden="1">
      <c r="A209" s="20">
        <v>216</v>
      </c>
      <c r="B209" s="1063">
        <v>39986</v>
      </c>
      <c r="C209" s="22" t="s">
        <v>1025</v>
      </c>
      <c r="D209" s="11"/>
      <c r="E209" s="22" t="s">
        <v>62</v>
      </c>
      <c r="F209" s="22" t="s">
        <v>959</v>
      </c>
      <c r="G209" s="22" t="s">
        <v>1026</v>
      </c>
      <c r="H209" s="22" t="s">
        <v>1027</v>
      </c>
      <c r="I209" s="22" t="s">
        <v>961</v>
      </c>
      <c r="J209" s="26" t="s">
        <v>1028</v>
      </c>
      <c r="K209" s="22" t="s">
        <v>149</v>
      </c>
      <c r="L209" s="22" t="s">
        <v>149</v>
      </c>
      <c r="M209" s="22">
        <v>2</v>
      </c>
      <c r="N209" s="22">
        <v>1</v>
      </c>
      <c r="O209" s="22">
        <v>2</v>
      </c>
      <c r="P209" s="22">
        <v>0</v>
      </c>
      <c r="Q209" s="22">
        <v>2</v>
      </c>
      <c r="R209" s="1201">
        <v>995</v>
      </c>
      <c r="S209" s="1201">
        <v>1990</v>
      </c>
      <c r="T209" s="22" t="s">
        <v>422</v>
      </c>
      <c r="U209" s="1854" t="s">
        <v>422</v>
      </c>
      <c r="V209" s="22" t="s">
        <v>1029</v>
      </c>
      <c r="W209" s="2006" t="s">
        <v>1030</v>
      </c>
      <c r="X209" s="18"/>
      <c r="Y209" s="4"/>
      <c r="Z209" s="4"/>
    </row>
    <row r="210" spans="1:26" ht="42" hidden="1">
      <c r="A210" s="20">
        <v>217</v>
      </c>
      <c r="B210" s="1063">
        <v>39987</v>
      </c>
      <c r="C210" s="22" t="s">
        <v>339</v>
      </c>
      <c r="D210" s="11"/>
      <c r="E210" s="22" t="s">
        <v>1031</v>
      </c>
      <c r="F210" s="22" t="s">
        <v>1032</v>
      </c>
      <c r="G210" s="22" t="s">
        <v>1033</v>
      </c>
      <c r="H210" s="22" t="s">
        <v>1034</v>
      </c>
      <c r="I210" s="22" t="s">
        <v>39</v>
      </c>
      <c r="J210" s="22">
        <v>582199</v>
      </c>
      <c r="K210" s="22" t="s">
        <v>1035</v>
      </c>
      <c r="L210" s="22" t="s">
        <v>1036</v>
      </c>
      <c r="M210" s="22">
        <v>3</v>
      </c>
      <c r="N210" s="22">
        <v>5</v>
      </c>
      <c r="O210" s="22">
        <v>5</v>
      </c>
      <c r="P210" s="22">
        <v>0</v>
      </c>
      <c r="Q210" s="22">
        <v>5</v>
      </c>
      <c r="R210" s="1201">
        <v>70</v>
      </c>
      <c r="S210" s="1201">
        <v>350</v>
      </c>
      <c r="T210" s="22" t="s">
        <v>422</v>
      </c>
      <c r="U210" s="1854" t="s">
        <v>422</v>
      </c>
      <c r="V210" s="22" t="s">
        <v>1029</v>
      </c>
      <c r="W210" s="2006" t="s">
        <v>1037</v>
      </c>
      <c r="X210" s="18"/>
      <c r="Y210" s="4"/>
      <c r="Z210" s="4"/>
    </row>
    <row r="211" spans="1:26" ht="27.95" hidden="1">
      <c r="A211" s="20">
        <v>218</v>
      </c>
      <c r="B211" s="1063">
        <v>39988</v>
      </c>
      <c r="C211" s="22" t="s">
        <v>339</v>
      </c>
      <c r="D211" s="11"/>
      <c r="E211" s="22" t="s">
        <v>1031</v>
      </c>
      <c r="F211" s="22" t="s">
        <v>1032</v>
      </c>
      <c r="G211" s="22" t="s">
        <v>1038</v>
      </c>
      <c r="H211" s="22" t="s">
        <v>1039</v>
      </c>
      <c r="I211" s="22" t="s">
        <v>39</v>
      </c>
      <c r="J211" s="22">
        <v>9154967</v>
      </c>
      <c r="K211" s="22" t="s">
        <v>1040</v>
      </c>
      <c r="L211" s="22" t="s">
        <v>1041</v>
      </c>
      <c r="M211" s="22">
        <v>3</v>
      </c>
      <c r="N211" s="22">
        <v>10</v>
      </c>
      <c r="O211" s="22">
        <v>10</v>
      </c>
      <c r="P211" s="22">
        <v>0</v>
      </c>
      <c r="Q211" s="22">
        <v>10</v>
      </c>
      <c r="R211" s="1201">
        <v>127</v>
      </c>
      <c r="S211" s="1201">
        <v>1270</v>
      </c>
      <c r="T211" s="22" t="s">
        <v>422</v>
      </c>
      <c r="U211" s="1854" t="s">
        <v>422</v>
      </c>
      <c r="V211" s="22" t="s">
        <v>1029</v>
      </c>
      <c r="W211" s="2006" t="s">
        <v>1042</v>
      </c>
      <c r="X211" s="18"/>
      <c r="Y211" s="4"/>
      <c r="Z211" s="4"/>
    </row>
    <row r="212" spans="1:26" ht="27.95" hidden="1">
      <c r="A212" s="20">
        <v>219</v>
      </c>
      <c r="B212" s="1063">
        <v>39989</v>
      </c>
      <c r="C212" s="22" t="s">
        <v>339</v>
      </c>
      <c r="D212" s="11"/>
      <c r="E212" s="22" t="s">
        <v>1031</v>
      </c>
      <c r="F212" s="22" t="s">
        <v>1032</v>
      </c>
      <c r="G212" s="22" t="s">
        <v>1038</v>
      </c>
      <c r="H212" s="22" t="s">
        <v>1039</v>
      </c>
      <c r="I212" s="22" t="s">
        <v>39</v>
      </c>
      <c r="J212" s="22">
        <v>7259344</v>
      </c>
      <c r="K212" s="22" t="s">
        <v>1043</v>
      </c>
      <c r="L212" s="22" t="s">
        <v>344</v>
      </c>
      <c r="M212" s="22">
        <v>3</v>
      </c>
      <c r="N212" s="22">
        <v>20</v>
      </c>
      <c r="O212" s="22">
        <v>20</v>
      </c>
      <c r="P212" s="22">
        <v>0</v>
      </c>
      <c r="Q212" s="22">
        <v>20</v>
      </c>
      <c r="R212" s="1201">
        <v>34.4</v>
      </c>
      <c r="S212" s="1201">
        <v>688</v>
      </c>
      <c r="T212" s="22" t="s">
        <v>422</v>
      </c>
      <c r="U212" s="1854" t="s">
        <v>422</v>
      </c>
      <c r="V212" s="22" t="s">
        <v>1029</v>
      </c>
      <c r="W212" s="2006" t="s">
        <v>1044</v>
      </c>
      <c r="X212" s="18"/>
      <c r="Y212" s="4"/>
      <c r="Z212" s="4"/>
    </row>
    <row r="213" spans="1:26" ht="27.95" hidden="1">
      <c r="A213" s="20">
        <v>220</v>
      </c>
      <c r="B213" s="1063">
        <v>39990</v>
      </c>
      <c r="C213" s="22" t="s">
        <v>339</v>
      </c>
      <c r="D213" s="11"/>
      <c r="E213" s="22" t="s">
        <v>1031</v>
      </c>
      <c r="F213" s="22" t="s">
        <v>1032</v>
      </c>
      <c r="G213" s="22" t="s">
        <v>1033</v>
      </c>
      <c r="H213" s="22" t="s">
        <v>1039</v>
      </c>
      <c r="I213" s="22" t="s">
        <v>39</v>
      </c>
      <c r="J213" s="22">
        <v>5410806</v>
      </c>
      <c r="K213" s="22" t="s">
        <v>1045</v>
      </c>
      <c r="L213" s="22" t="s">
        <v>1046</v>
      </c>
      <c r="M213" s="22">
        <v>3</v>
      </c>
      <c r="N213" s="22">
        <v>5</v>
      </c>
      <c r="O213" s="22">
        <v>5</v>
      </c>
      <c r="P213" s="22">
        <v>0</v>
      </c>
      <c r="Q213" s="22">
        <v>5</v>
      </c>
      <c r="R213" s="1201">
        <v>92</v>
      </c>
      <c r="S213" s="1201">
        <v>460</v>
      </c>
      <c r="T213" s="22" t="s">
        <v>422</v>
      </c>
      <c r="U213" s="1854" t="s">
        <v>422</v>
      </c>
      <c r="V213" s="22" t="s">
        <v>1029</v>
      </c>
      <c r="W213" s="2006" t="s">
        <v>1047</v>
      </c>
      <c r="X213" s="18"/>
      <c r="Y213" s="4"/>
      <c r="Z213" s="4"/>
    </row>
    <row r="214" spans="1:26" ht="27.95" hidden="1">
      <c r="A214" s="20">
        <v>221</v>
      </c>
      <c r="B214" s="1063">
        <v>39991</v>
      </c>
      <c r="C214" s="22" t="s">
        <v>339</v>
      </c>
      <c r="D214" s="11"/>
      <c r="E214" s="22" t="s">
        <v>1031</v>
      </c>
      <c r="F214" s="22" t="s">
        <v>1032</v>
      </c>
      <c r="G214" s="22" t="s">
        <v>1033</v>
      </c>
      <c r="H214" s="22" t="s">
        <v>452</v>
      </c>
      <c r="I214" s="22" t="s">
        <v>39</v>
      </c>
      <c r="J214" s="22">
        <v>7800517</v>
      </c>
      <c r="K214" s="22" t="s">
        <v>1048</v>
      </c>
      <c r="L214" s="22" t="s">
        <v>1049</v>
      </c>
      <c r="M214" s="22">
        <v>3</v>
      </c>
      <c r="N214" s="22">
        <v>10</v>
      </c>
      <c r="O214" s="22">
        <v>10</v>
      </c>
      <c r="P214" s="22">
        <v>0</v>
      </c>
      <c r="Q214" s="22">
        <v>10</v>
      </c>
      <c r="R214" s="1201">
        <v>63.9</v>
      </c>
      <c r="S214" s="1201">
        <v>639</v>
      </c>
      <c r="T214" s="22" t="s">
        <v>422</v>
      </c>
      <c r="U214" s="1854" t="s">
        <v>422</v>
      </c>
      <c r="V214" s="22" t="s">
        <v>1029</v>
      </c>
      <c r="W214" s="2006" t="s">
        <v>1050</v>
      </c>
      <c r="X214" s="18"/>
      <c r="Y214" s="4"/>
      <c r="Z214" s="4"/>
    </row>
    <row r="215" spans="1:26" ht="27.95" hidden="1">
      <c r="A215" s="20">
        <v>222</v>
      </c>
      <c r="B215" s="1063">
        <v>39992</v>
      </c>
      <c r="C215" s="22" t="s">
        <v>339</v>
      </c>
      <c r="D215" s="11"/>
      <c r="E215" s="22" t="s">
        <v>1031</v>
      </c>
      <c r="F215" s="22" t="s">
        <v>1032</v>
      </c>
      <c r="G215" s="22" t="s">
        <v>1038</v>
      </c>
      <c r="H215" s="22" t="s">
        <v>154</v>
      </c>
      <c r="I215" s="22" t="s">
        <v>39</v>
      </c>
      <c r="J215" s="22">
        <v>5430052</v>
      </c>
      <c r="K215" s="22" t="s">
        <v>1051</v>
      </c>
      <c r="L215" s="22" t="s">
        <v>1046</v>
      </c>
      <c r="M215" s="22">
        <v>3</v>
      </c>
      <c r="N215" s="22">
        <v>10</v>
      </c>
      <c r="O215" s="22">
        <v>10</v>
      </c>
      <c r="P215" s="22">
        <v>0</v>
      </c>
      <c r="Q215" s="22">
        <v>10</v>
      </c>
      <c r="R215" s="1201">
        <v>102</v>
      </c>
      <c r="S215" s="1201">
        <v>1020</v>
      </c>
      <c r="T215" s="22" t="s">
        <v>422</v>
      </c>
      <c r="U215" s="1854" t="s">
        <v>422</v>
      </c>
      <c r="V215" s="22" t="s">
        <v>1029</v>
      </c>
      <c r="W215" s="2006" t="s">
        <v>1052</v>
      </c>
      <c r="X215" s="18"/>
      <c r="Y215" s="4"/>
      <c r="Z215" s="4"/>
    </row>
    <row r="216" spans="1:26" ht="27.95" hidden="1">
      <c r="A216" s="20">
        <v>223</v>
      </c>
      <c r="B216" s="1063">
        <v>39993</v>
      </c>
      <c r="C216" s="22" t="s">
        <v>339</v>
      </c>
      <c r="D216" s="11"/>
      <c r="E216" s="22" t="s">
        <v>1031</v>
      </c>
      <c r="F216" s="22" t="s">
        <v>1032</v>
      </c>
      <c r="G216" s="22" t="s">
        <v>1033</v>
      </c>
      <c r="H216" s="22" t="s">
        <v>452</v>
      </c>
      <c r="I216" s="22" t="s">
        <v>39</v>
      </c>
      <c r="J216" s="22">
        <v>463038</v>
      </c>
      <c r="K216" s="22" t="s">
        <v>1053</v>
      </c>
      <c r="L216" s="22" t="s">
        <v>1054</v>
      </c>
      <c r="M216" s="22">
        <v>3</v>
      </c>
      <c r="N216" s="22">
        <v>10</v>
      </c>
      <c r="O216" s="22">
        <v>10</v>
      </c>
      <c r="P216" s="22">
        <v>0</v>
      </c>
      <c r="Q216" s="22">
        <v>10</v>
      </c>
      <c r="R216" s="1201">
        <v>63</v>
      </c>
      <c r="S216" s="1201">
        <v>630</v>
      </c>
      <c r="T216" s="22" t="s">
        <v>422</v>
      </c>
      <c r="U216" s="1854" t="s">
        <v>422</v>
      </c>
      <c r="V216" s="22" t="s">
        <v>1029</v>
      </c>
      <c r="W216" s="2006" t="s">
        <v>1055</v>
      </c>
      <c r="X216" s="18"/>
      <c r="Y216" s="4"/>
      <c r="Z216" s="4"/>
    </row>
    <row r="217" spans="1:26" ht="14.1" hidden="1">
      <c r="A217" s="20">
        <v>224</v>
      </c>
      <c r="B217" s="1063">
        <v>39994</v>
      </c>
      <c r="C217" s="22" t="s">
        <v>1056</v>
      </c>
      <c r="D217" s="11"/>
      <c r="E217" s="22" t="s">
        <v>62</v>
      </c>
      <c r="F217" s="22" t="s">
        <v>784</v>
      </c>
      <c r="G217" s="22" t="s">
        <v>1057</v>
      </c>
      <c r="H217" s="22" t="s">
        <v>287</v>
      </c>
      <c r="I217" s="22" t="s">
        <v>287</v>
      </c>
      <c r="J217" s="22" t="s">
        <v>149</v>
      </c>
      <c r="K217" s="22" t="s">
        <v>149</v>
      </c>
      <c r="L217" s="22" t="s">
        <v>149</v>
      </c>
      <c r="M217" s="22">
        <v>1</v>
      </c>
      <c r="N217" s="22">
        <v>1</v>
      </c>
      <c r="O217" s="22">
        <v>1</v>
      </c>
      <c r="P217" s="22">
        <v>0</v>
      </c>
      <c r="Q217" s="22">
        <v>0</v>
      </c>
      <c r="R217" s="1201">
        <v>28730</v>
      </c>
      <c r="S217" s="1201">
        <f>O217*R217</f>
        <v>28730</v>
      </c>
      <c r="T217" s="22" t="s">
        <v>957</v>
      </c>
      <c r="U217" s="1854" t="s">
        <v>957</v>
      </c>
      <c r="V217" s="22" t="s">
        <v>995</v>
      </c>
      <c r="W217" s="2007"/>
      <c r="X217" s="18"/>
      <c r="Y217" s="4"/>
      <c r="Z217" s="4"/>
    </row>
    <row r="218" spans="1:26" ht="14.1" hidden="1">
      <c r="A218" s="20">
        <v>225</v>
      </c>
      <c r="B218" s="1063">
        <v>39995</v>
      </c>
      <c r="C218" s="22" t="s">
        <v>1058</v>
      </c>
      <c r="D218" s="11"/>
      <c r="E218" s="22" t="s">
        <v>62</v>
      </c>
      <c r="F218" s="22" t="s">
        <v>784</v>
      </c>
      <c r="G218" s="22" t="s">
        <v>1058</v>
      </c>
      <c r="H218" s="22" t="s">
        <v>1059</v>
      </c>
      <c r="I218" s="22" t="s">
        <v>281</v>
      </c>
      <c r="J218" s="36" t="s">
        <v>1060</v>
      </c>
      <c r="K218" s="36">
        <v>132140</v>
      </c>
      <c r="L218" s="22" t="s">
        <v>1061</v>
      </c>
      <c r="M218" s="22">
        <v>4</v>
      </c>
      <c r="N218" s="22">
        <v>1</v>
      </c>
      <c r="O218" s="22">
        <v>4</v>
      </c>
      <c r="P218" s="22">
        <v>0</v>
      </c>
      <c r="Q218" s="22">
        <v>0</v>
      </c>
      <c r="R218" s="1201">
        <v>2237</v>
      </c>
      <c r="S218" s="1201">
        <f>R218*O218</f>
        <v>8948</v>
      </c>
      <c r="T218" s="22" t="s">
        <v>957</v>
      </c>
      <c r="U218" s="1854" t="s">
        <v>957</v>
      </c>
      <c r="V218" s="22" t="s">
        <v>995</v>
      </c>
      <c r="W218" s="2007"/>
      <c r="X218" s="18"/>
      <c r="Y218" s="4"/>
      <c r="Z218" s="4"/>
    </row>
    <row r="219" spans="1:26" ht="14.1" hidden="1">
      <c r="A219" s="20">
        <v>226</v>
      </c>
      <c r="B219" s="1063">
        <v>39996</v>
      </c>
      <c r="C219" s="22" t="s">
        <v>339</v>
      </c>
      <c r="D219" s="11"/>
      <c r="E219" s="22" t="s">
        <v>1031</v>
      </c>
      <c r="F219" s="22" t="s">
        <v>1032</v>
      </c>
      <c r="G219" s="22" t="s">
        <v>1033</v>
      </c>
      <c r="H219" s="22" t="s">
        <v>1062</v>
      </c>
      <c r="I219" s="22" t="s">
        <v>1063</v>
      </c>
      <c r="J219" s="22" t="s">
        <v>1064</v>
      </c>
      <c r="K219" s="22" t="s">
        <v>1065</v>
      </c>
      <c r="L219" s="22" t="s">
        <v>1066</v>
      </c>
      <c r="M219" s="22">
        <v>3</v>
      </c>
      <c r="N219" s="22">
        <v>10</v>
      </c>
      <c r="O219" s="22">
        <v>10</v>
      </c>
      <c r="P219" s="22">
        <v>0</v>
      </c>
      <c r="Q219" s="22">
        <v>10</v>
      </c>
      <c r="R219" s="1201">
        <v>20</v>
      </c>
      <c r="S219" s="1201">
        <v>200</v>
      </c>
      <c r="T219" s="22" t="s">
        <v>422</v>
      </c>
      <c r="U219" s="1854" t="s">
        <v>422</v>
      </c>
      <c r="V219" s="22" t="s">
        <v>1029</v>
      </c>
      <c r="W219" s="2006" t="s">
        <v>1067</v>
      </c>
      <c r="X219" s="18"/>
      <c r="Y219" s="4"/>
      <c r="Z219" s="4"/>
    </row>
    <row r="220" spans="1:26" ht="14.1" hidden="1">
      <c r="A220" s="20">
        <v>227</v>
      </c>
      <c r="B220" s="1063">
        <v>39997</v>
      </c>
      <c r="C220" s="22" t="s">
        <v>339</v>
      </c>
      <c r="D220" s="11"/>
      <c r="E220" s="22" t="s">
        <v>1031</v>
      </c>
      <c r="F220" s="22" t="s">
        <v>1032</v>
      </c>
      <c r="G220" s="22" t="s">
        <v>339</v>
      </c>
      <c r="H220" s="22" t="s">
        <v>1034</v>
      </c>
      <c r="I220" s="22" t="s">
        <v>1063</v>
      </c>
      <c r="J220" s="22" t="s">
        <v>1068</v>
      </c>
      <c r="K220" s="22" t="s">
        <v>1069</v>
      </c>
      <c r="L220" s="22" t="s">
        <v>1070</v>
      </c>
      <c r="M220" s="22">
        <v>3</v>
      </c>
      <c r="N220" s="22">
        <v>10</v>
      </c>
      <c r="O220" s="22">
        <v>10</v>
      </c>
      <c r="P220" s="22">
        <v>0</v>
      </c>
      <c r="Q220" s="22">
        <v>10</v>
      </c>
      <c r="R220" s="1201">
        <v>20</v>
      </c>
      <c r="S220" s="1201">
        <v>200</v>
      </c>
      <c r="T220" s="22" t="s">
        <v>422</v>
      </c>
      <c r="U220" s="1854" t="s">
        <v>422</v>
      </c>
      <c r="V220" s="22" t="s">
        <v>1029</v>
      </c>
      <c r="W220" s="2006" t="s">
        <v>1071</v>
      </c>
      <c r="X220" s="18"/>
      <c r="Y220" s="4"/>
      <c r="Z220" s="4"/>
    </row>
    <row r="221" spans="1:26" ht="42" hidden="1">
      <c r="A221" s="20">
        <v>228</v>
      </c>
      <c r="B221" s="1063">
        <v>39998</v>
      </c>
      <c r="C221" s="22" t="s">
        <v>1072</v>
      </c>
      <c r="D221" s="11"/>
      <c r="E221" s="22" t="s">
        <v>572</v>
      </c>
      <c r="F221" s="22" t="s">
        <v>131</v>
      </c>
      <c r="G221" s="22"/>
      <c r="H221" s="22" t="s">
        <v>1073</v>
      </c>
      <c r="I221" s="22" t="s">
        <v>281</v>
      </c>
      <c r="J221" s="22" t="s">
        <v>1074</v>
      </c>
      <c r="K221" s="22" t="s">
        <v>1075</v>
      </c>
      <c r="L221" s="22" t="s">
        <v>469</v>
      </c>
      <c r="M221" s="22">
        <v>12</v>
      </c>
      <c r="N221" s="22">
        <v>1</v>
      </c>
      <c r="O221" s="22">
        <v>5</v>
      </c>
      <c r="P221" s="22">
        <v>7</v>
      </c>
      <c r="Q221" s="22">
        <v>0</v>
      </c>
      <c r="R221" s="1201">
        <v>285</v>
      </c>
      <c r="S221" s="1201">
        <v>1425</v>
      </c>
      <c r="T221" s="22" t="s">
        <v>300</v>
      </c>
      <c r="U221" s="1854" t="s">
        <v>138</v>
      </c>
      <c r="V221" s="22" t="s">
        <v>1003</v>
      </c>
      <c r="W221" s="2006" t="s">
        <v>1076</v>
      </c>
      <c r="X221" s="18"/>
      <c r="Y221" s="4"/>
      <c r="Z221" s="4"/>
    </row>
    <row r="222" spans="1:26" ht="27.95" hidden="1">
      <c r="A222" s="20">
        <v>229</v>
      </c>
      <c r="B222" s="1063">
        <v>39999</v>
      </c>
      <c r="C222" s="22" t="s">
        <v>1077</v>
      </c>
      <c r="D222" s="11"/>
      <c r="E222" s="22" t="s">
        <v>572</v>
      </c>
      <c r="F222" s="22" t="s">
        <v>131</v>
      </c>
      <c r="G222" s="22"/>
      <c r="H222" s="22" t="s">
        <v>1078</v>
      </c>
      <c r="I222" s="22" t="s">
        <v>281</v>
      </c>
      <c r="J222" s="22" t="s">
        <v>1079</v>
      </c>
      <c r="K222" s="22" t="s">
        <v>1080</v>
      </c>
      <c r="L222" s="22" t="s">
        <v>1081</v>
      </c>
      <c r="M222" s="22">
        <v>24</v>
      </c>
      <c r="N222" s="22">
        <v>1</v>
      </c>
      <c r="O222" s="22">
        <v>13</v>
      </c>
      <c r="P222" s="22">
        <v>11</v>
      </c>
      <c r="Q222" s="22">
        <v>0</v>
      </c>
      <c r="R222" s="1201">
        <v>964.4</v>
      </c>
      <c r="S222" s="1201">
        <v>12537.2</v>
      </c>
      <c r="T222" s="22" t="s">
        <v>300</v>
      </c>
      <c r="U222" s="1854" t="s">
        <v>138</v>
      </c>
      <c r="V222" s="22" t="s">
        <v>1003</v>
      </c>
      <c r="W222" s="2006" t="s">
        <v>1082</v>
      </c>
      <c r="X222" s="18"/>
      <c r="Y222" s="4"/>
      <c r="Z222" s="4"/>
    </row>
    <row r="223" spans="1:26" ht="42" hidden="1">
      <c r="A223" s="20">
        <v>230</v>
      </c>
      <c r="B223" s="1063">
        <v>40000</v>
      </c>
      <c r="C223" s="22" t="s">
        <v>1083</v>
      </c>
      <c r="D223" s="11"/>
      <c r="E223" s="22" t="s">
        <v>572</v>
      </c>
      <c r="F223" s="22" t="s">
        <v>131</v>
      </c>
      <c r="G223" s="22" t="s">
        <v>1084</v>
      </c>
      <c r="H223" s="22" t="s">
        <v>1085</v>
      </c>
      <c r="I223" s="22" t="s">
        <v>281</v>
      </c>
      <c r="J223" s="22" t="s">
        <v>1086</v>
      </c>
      <c r="K223" s="22" t="s">
        <v>1087</v>
      </c>
      <c r="L223" s="22" t="s">
        <v>1088</v>
      </c>
      <c r="M223" s="22">
        <v>12</v>
      </c>
      <c r="N223" s="22">
        <v>1</v>
      </c>
      <c r="O223" s="22">
        <v>12</v>
      </c>
      <c r="P223" s="22">
        <v>0</v>
      </c>
      <c r="Q223" s="22">
        <v>0</v>
      </c>
      <c r="R223" s="1201">
        <v>1005.8</v>
      </c>
      <c r="S223" s="1201">
        <v>12069.6</v>
      </c>
      <c r="T223" s="22" t="s">
        <v>300</v>
      </c>
      <c r="U223" s="1854" t="s">
        <v>1089</v>
      </c>
      <c r="V223" s="22" t="s">
        <v>1003</v>
      </c>
      <c r="W223" s="2006" t="s">
        <v>1090</v>
      </c>
      <c r="X223" s="18"/>
      <c r="Y223" s="4"/>
      <c r="Z223" s="4"/>
    </row>
    <row r="224" spans="1:26" ht="42" hidden="1">
      <c r="A224" s="20">
        <v>231</v>
      </c>
      <c r="B224" s="1063">
        <v>40001</v>
      </c>
      <c r="C224" s="22" t="s">
        <v>329</v>
      </c>
      <c r="D224" s="11"/>
      <c r="E224" s="22" t="s">
        <v>572</v>
      </c>
      <c r="F224" s="22" t="s">
        <v>131</v>
      </c>
      <c r="G224" s="22" t="s">
        <v>1091</v>
      </c>
      <c r="H224" s="22" t="s">
        <v>1092</v>
      </c>
      <c r="I224" s="22" t="s">
        <v>281</v>
      </c>
      <c r="J224" s="22" t="s">
        <v>1093</v>
      </c>
      <c r="K224" s="22" t="s">
        <v>1094</v>
      </c>
      <c r="L224" s="22" t="s">
        <v>1095</v>
      </c>
      <c r="M224" s="22">
        <v>24</v>
      </c>
      <c r="N224" s="22">
        <v>1</v>
      </c>
      <c r="O224" s="22">
        <v>24</v>
      </c>
      <c r="P224" s="22">
        <v>0</v>
      </c>
      <c r="Q224" s="22">
        <v>0</v>
      </c>
      <c r="R224" s="1201">
        <v>26.6</v>
      </c>
      <c r="S224" s="1201">
        <v>638.4</v>
      </c>
      <c r="T224" s="22" t="s">
        <v>300</v>
      </c>
      <c r="U224" s="1854" t="s">
        <v>1089</v>
      </c>
      <c r="V224" s="22" t="s">
        <v>1003</v>
      </c>
      <c r="W224" s="2006" t="s">
        <v>1096</v>
      </c>
      <c r="X224" s="18"/>
      <c r="Y224" s="4"/>
      <c r="Z224" s="4"/>
    </row>
    <row r="225" spans="1:26" ht="42" hidden="1">
      <c r="A225" s="20">
        <v>232</v>
      </c>
      <c r="B225" s="1063">
        <v>40002</v>
      </c>
      <c r="C225" s="22" t="s">
        <v>152</v>
      </c>
      <c r="D225" s="11"/>
      <c r="E225" s="22" t="s">
        <v>572</v>
      </c>
      <c r="F225" s="22" t="s">
        <v>131</v>
      </c>
      <c r="G225" s="22" t="s">
        <v>1097</v>
      </c>
      <c r="H225" s="22" t="s">
        <v>1098</v>
      </c>
      <c r="I225" s="22" t="s">
        <v>281</v>
      </c>
      <c r="J225" s="22" t="s">
        <v>1099</v>
      </c>
      <c r="K225" s="22" t="s">
        <v>1100</v>
      </c>
      <c r="L225" s="22" t="s">
        <v>1095</v>
      </c>
      <c r="M225" s="22">
        <v>20</v>
      </c>
      <c r="N225" s="22">
        <v>1</v>
      </c>
      <c r="O225" s="22">
        <v>20</v>
      </c>
      <c r="P225" s="22">
        <v>0</v>
      </c>
      <c r="Q225" s="22">
        <v>0</v>
      </c>
      <c r="R225" s="1201">
        <v>11.8</v>
      </c>
      <c r="S225" s="1201">
        <v>23.6</v>
      </c>
      <c r="T225" s="22" t="s">
        <v>300</v>
      </c>
      <c r="U225" s="1854" t="s">
        <v>415</v>
      </c>
      <c r="V225" s="22" t="s">
        <v>1003</v>
      </c>
      <c r="W225" s="2006" t="s">
        <v>1101</v>
      </c>
      <c r="X225" s="18"/>
      <c r="Y225" s="4"/>
      <c r="Z225" s="4"/>
    </row>
    <row r="226" spans="1:26" ht="42" hidden="1">
      <c r="A226" s="20">
        <v>233</v>
      </c>
      <c r="B226" s="1063">
        <v>40003</v>
      </c>
      <c r="C226" s="22" t="s">
        <v>1102</v>
      </c>
      <c r="D226" s="11"/>
      <c r="E226" s="22" t="s">
        <v>572</v>
      </c>
      <c r="F226" s="22" t="s">
        <v>131</v>
      </c>
      <c r="G226" s="28" t="s">
        <v>1103</v>
      </c>
      <c r="H226" s="22" t="s">
        <v>1104</v>
      </c>
      <c r="I226" s="22" t="s">
        <v>281</v>
      </c>
      <c r="J226" s="22" t="s">
        <v>1105</v>
      </c>
      <c r="K226" s="22" t="s">
        <v>1106</v>
      </c>
      <c r="L226" s="22"/>
      <c r="M226" s="22">
        <v>100</v>
      </c>
      <c r="N226" s="22">
        <v>1</v>
      </c>
      <c r="O226" s="22">
        <v>200</v>
      </c>
      <c r="P226" s="22">
        <v>50</v>
      </c>
      <c r="Q226" s="22">
        <v>150</v>
      </c>
      <c r="R226" s="1201">
        <v>3.59</v>
      </c>
      <c r="S226" s="1201">
        <v>718</v>
      </c>
      <c r="T226" s="22" t="s">
        <v>300</v>
      </c>
      <c r="U226" s="1854" t="s">
        <v>1107</v>
      </c>
      <c r="V226" s="22" t="s">
        <v>1003</v>
      </c>
      <c r="W226" s="2006" t="s">
        <v>1108</v>
      </c>
      <c r="X226" s="18"/>
      <c r="Y226" s="4"/>
      <c r="Z226" s="4"/>
    </row>
    <row r="227" spans="1:26" ht="42" hidden="1">
      <c r="A227" s="20">
        <v>234</v>
      </c>
      <c r="B227" s="1063">
        <v>40004</v>
      </c>
      <c r="C227" s="28" t="s">
        <v>1109</v>
      </c>
      <c r="D227" s="11"/>
      <c r="E227" s="22" t="s">
        <v>572</v>
      </c>
      <c r="F227" s="22" t="s">
        <v>131</v>
      </c>
      <c r="G227" s="22" t="s">
        <v>1110</v>
      </c>
      <c r="H227" s="22" t="s">
        <v>1111</v>
      </c>
      <c r="I227" s="22" t="s">
        <v>281</v>
      </c>
      <c r="J227" s="22" t="s">
        <v>1112</v>
      </c>
      <c r="K227" s="22" t="s">
        <v>1113</v>
      </c>
      <c r="L227" s="26"/>
      <c r="M227" s="22">
        <v>3</v>
      </c>
      <c r="N227" s="22">
        <v>1</v>
      </c>
      <c r="O227" s="22">
        <v>5</v>
      </c>
      <c r="P227" s="22">
        <v>3</v>
      </c>
      <c r="Q227" s="22">
        <v>5</v>
      </c>
      <c r="R227" s="1201">
        <v>240</v>
      </c>
      <c r="S227" s="1201">
        <v>1200</v>
      </c>
      <c r="T227" s="22" t="s">
        <v>300</v>
      </c>
      <c r="U227" s="1854" t="s">
        <v>1114</v>
      </c>
      <c r="V227" s="22" t="s">
        <v>1003</v>
      </c>
      <c r="W227" s="2006" t="s">
        <v>1115</v>
      </c>
      <c r="X227" s="18"/>
      <c r="Y227" s="4"/>
      <c r="Z227" s="4"/>
    </row>
    <row r="228" spans="1:26" ht="14.1" hidden="1">
      <c r="A228" s="20">
        <v>235</v>
      </c>
      <c r="B228" s="1063">
        <v>40005</v>
      </c>
      <c r="C228" s="22" t="s">
        <v>1116</v>
      </c>
      <c r="D228" s="11"/>
      <c r="E228" s="22" t="s">
        <v>1117</v>
      </c>
      <c r="F228" s="37" t="s">
        <v>1118</v>
      </c>
      <c r="G228" s="22" t="s">
        <v>1119</v>
      </c>
      <c r="H228" s="22" t="s">
        <v>1120</v>
      </c>
      <c r="I228" s="22" t="s">
        <v>1120</v>
      </c>
      <c r="J228" s="22" t="s">
        <v>1121</v>
      </c>
      <c r="K228" s="22" t="s">
        <v>1121</v>
      </c>
      <c r="L228" s="22"/>
      <c r="M228" s="22">
        <v>1</v>
      </c>
      <c r="N228" s="22">
        <v>1</v>
      </c>
      <c r="O228" s="22">
        <v>1</v>
      </c>
      <c r="P228" s="22">
        <v>0</v>
      </c>
      <c r="Q228" s="22">
        <v>1</v>
      </c>
      <c r="R228" s="1201" t="s">
        <v>1122</v>
      </c>
      <c r="S228" s="1201" t="s">
        <v>1122</v>
      </c>
      <c r="T228" s="22" t="s">
        <v>1123</v>
      </c>
      <c r="U228" s="1854" t="s">
        <v>336</v>
      </c>
      <c r="V228" s="22" t="s">
        <v>1124</v>
      </c>
      <c r="W228" s="2007"/>
      <c r="X228" s="18"/>
      <c r="Y228" s="4"/>
      <c r="Z228" s="4"/>
    </row>
    <row r="229" spans="1:26" ht="14.1" hidden="1">
      <c r="A229" s="20">
        <v>236</v>
      </c>
      <c r="B229" s="1063">
        <v>40006</v>
      </c>
      <c r="C229" s="22" t="s">
        <v>1125</v>
      </c>
      <c r="D229" s="11"/>
      <c r="E229" s="22" t="s">
        <v>1126</v>
      </c>
      <c r="F229" s="37" t="s">
        <v>1118</v>
      </c>
      <c r="G229" s="22"/>
      <c r="H229" s="22" t="s">
        <v>1127</v>
      </c>
      <c r="I229" s="22" t="s">
        <v>1127</v>
      </c>
      <c r="J229" s="22" t="s">
        <v>1128</v>
      </c>
      <c r="K229" s="22" t="s">
        <v>1128</v>
      </c>
      <c r="L229" s="22"/>
      <c r="M229" s="22">
        <v>1</v>
      </c>
      <c r="N229" s="22">
        <v>1</v>
      </c>
      <c r="O229" s="22">
        <v>1</v>
      </c>
      <c r="P229" s="22">
        <v>0</v>
      </c>
      <c r="Q229" s="22">
        <v>1</v>
      </c>
      <c r="R229" s="1201" t="s">
        <v>1129</v>
      </c>
      <c r="S229" s="1201" t="s">
        <v>1129</v>
      </c>
      <c r="T229" s="22" t="s">
        <v>300</v>
      </c>
      <c r="U229" s="1854" t="s">
        <v>336</v>
      </c>
      <c r="V229" s="22"/>
      <c r="W229" s="2007"/>
      <c r="X229" s="18"/>
      <c r="Y229" s="4"/>
      <c r="Z229" s="4"/>
    </row>
    <row r="230" spans="1:26" ht="14.1" hidden="1">
      <c r="A230" s="20">
        <v>237</v>
      </c>
      <c r="B230" s="1063">
        <v>40007</v>
      </c>
      <c r="C230" s="22" t="s">
        <v>1130</v>
      </c>
      <c r="D230" s="11"/>
      <c r="E230" s="22" t="s">
        <v>1117</v>
      </c>
      <c r="F230" s="37" t="s">
        <v>1118</v>
      </c>
      <c r="G230" s="22"/>
      <c r="H230" s="22" t="s">
        <v>1127</v>
      </c>
      <c r="I230" s="22" t="s">
        <v>1127</v>
      </c>
      <c r="J230" s="22" t="s">
        <v>1131</v>
      </c>
      <c r="K230" s="22" t="s">
        <v>1131</v>
      </c>
      <c r="L230" s="22"/>
      <c r="M230" s="22">
        <v>1</v>
      </c>
      <c r="N230" s="22">
        <v>1</v>
      </c>
      <c r="O230" s="22">
        <v>1</v>
      </c>
      <c r="P230" s="22">
        <v>0</v>
      </c>
      <c r="Q230" s="22">
        <v>1</v>
      </c>
      <c r="R230" s="1201" t="s">
        <v>1132</v>
      </c>
      <c r="S230" s="1201" t="s">
        <v>1132</v>
      </c>
      <c r="T230" s="22" t="s">
        <v>1123</v>
      </c>
      <c r="U230" s="1854" t="s">
        <v>336</v>
      </c>
      <c r="V230" s="22"/>
      <c r="W230" s="2007"/>
      <c r="X230" s="18"/>
      <c r="Y230" s="4"/>
      <c r="Z230" s="4"/>
    </row>
    <row r="231" spans="1:26" ht="14.1" hidden="1">
      <c r="A231" s="20">
        <v>238</v>
      </c>
      <c r="B231" s="1063">
        <v>40008</v>
      </c>
      <c r="C231" s="22" t="s">
        <v>1133</v>
      </c>
      <c r="D231" s="11"/>
      <c r="E231" s="22" t="s">
        <v>62</v>
      </c>
      <c r="F231" s="22" t="s">
        <v>784</v>
      </c>
      <c r="G231" s="22" t="s">
        <v>1134</v>
      </c>
      <c r="H231" s="22" t="s">
        <v>149</v>
      </c>
      <c r="I231" s="22" t="s">
        <v>281</v>
      </c>
      <c r="J231" s="22" t="s">
        <v>149</v>
      </c>
      <c r="K231" s="22" t="s">
        <v>149</v>
      </c>
      <c r="L231" s="22" t="s">
        <v>149</v>
      </c>
      <c r="M231" s="22">
        <v>1</v>
      </c>
      <c r="N231" s="22">
        <v>1</v>
      </c>
      <c r="O231" s="22">
        <v>1</v>
      </c>
      <c r="P231" s="22">
        <v>0</v>
      </c>
      <c r="Q231" s="22">
        <v>0</v>
      </c>
      <c r="R231" s="1201">
        <v>12766</v>
      </c>
      <c r="S231" s="1201">
        <f t="shared" ref="S231:S232" si="8">R231*O231</f>
        <v>12766</v>
      </c>
      <c r="T231" s="22" t="s">
        <v>957</v>
      </c>
      <c r="U231" s="1854" t="s">
        <v>957</v>
      </c>
      <c r="V231" s="22" t="s">
        <v>1135</v>
      </c>
      <c r="W231" s="2007"/>
      <c r="X231" s="18"/>
      <c r="Y231" s="4"/>
      <c r="Z231" s="4"/>
    </row>
    <row r="232" spans="1:26" ht="14.1" hidden="1">
      <c r="A232" s="20">
        <v>239</v>
      </c>
      <c r="B232" s="1063">
        <v>40009</v>
      </c>
      <c r="C232" s="22" t="s">
        <v>1136</v>
      </c>
      <c r="D232" s="11"/>
      <c r="E232" s="22" t="s">
        <v>62</v>
      </c>
      <c r="F232" s="22" t="s">
        <v>784</v>
      </c>
      <c r="G232" s="22" t="s">
        <v>1137</v>
      </c>
      <c r="H232" s="22" t="s">
        <v>149</v>
      </c>
      <c r="I232" s="22" t="s">
        <v>429</v>
      </c>
      <c r="J232" s="22" t="s">
        <v>149</v>
      </c>
      <c r="K232" s="22" t="s">
        <v>149</v>
      </c>
      <c r="L232" s="22" t="s">
        <v>149</v>
      </c>
      <c r="M232" s="22">
        <v>1</v>
      </c>
      <c r="N232" s="22">
        <v>1</v>
      </c>
      <c r="O232" s="22">
        <v>1</v>
      </c>
      <c r="P232" s="22">
        <v>0</v>
      </c>
      <c r="Q232" s="22">
        <v>0</v>
      </c>
      <c r="R232" s="1201">
        <v>8063</v>
      </c>
      <c r="S232" s="1201">
        <f t="shared" si="8"/>
        <v>8063</v>
      </c>
      <c r="T232" s="22" t="s">
        <v>957</v>
      </c>
      <c r="U232" s="1854" t="s">
        <v>957</v>
      </c>
      <c r="V232" s="22" t="s">
        <v>1135</v>
      </c>
      <c r="W232" s="2007"/>
      <c r="X232" s="18"/>
      <c r="Y232" s="4"/>
      <c r="Z232" s="4"/>
    </row>
    <row r="233" spans="1:26" ht="14.1" hidden="1">
      <c r="A233" s="20">
        <v>240</v>
      </c>
      <c r="B233" s="1063">
        <v>40010</v>
      </c>
      <c r="C233" s="22" t="s">
        <v>1138</v>
      </c>
      <c r="D233" s="11"/>
      <c r="E233" s="22" t="s">
        <v>1126</v>
      </c>
      <c r="F233" s="22" t="s">
        <v>1139</v>
      </c>
      <c r="G233" s="22"/>
      <c r="H233" s="22" t="s">
        <v>1140</v>
      </c>
      <c r="I233" s="22" t="s">
        <v>117</v>
      </c>
      <c r="J233" s="22" t="s">
        <v>1140</v>
      </c>
      <c r="K233" s="22" t="s">
        <v>1140</v>
      </c>
      <c r="L233" s="22" t="s">
        <v>1140</v>
      </c>
      <c r="M233" s="22">
        <v>3</v>
      </c>
      <c r="N233" s="22">
        <v>1</v>
      </c>
      <c r="O233" s="22">
        <v>3</v>
      </c>
      <c r="P233" s="22">
        <v>0</v>
      </c>
      <c r="Q233" s="22">
        <v>3</v>
      </c>
      <c r="R233" s="1201">
        <v>200</v>
      </c>
      <c r="S233" s="1201">
        <v>600</v>
      </c>
      <c r="T233" s="22" t="s">
        <v>87</v>
      </c>
      <c r="U233" s="1854" t="s">
        <v>301</v>
      </c>
      <c r="V233" s="22" t="s">
        <v>1141</v>
      </c>
      <c r="W233" s="2007" t="s">
        <v>1140</v>
      </c>
      <c r="X233" s="18"/>
      <c r="Y233" s="4"/>
      <c r="Z233" s="4"/>
    </row>
    <row r="234" spans="1:26" ht="27.95" hidden="1">
      <c r="A234" s="20">
        <v>241</v>
      </c>
      <c r="B234" s="1063">
        <v>40011</v>
      </c>
      <c r="C234" s="22" t="s">
        <v>1142</v>
      </c>
      <c r="D234" s="11"/>
      <c r="E234" s="22" t="s">
        <v>1126</v>
      </c>
      <c r="F234" s="22" t="s">
        <v>1139</v>
      </c>
      <c r="G234" s="22"/>
      <c r="H234" s="22" t="s">
        <v>1143</v>
      </c>
      <c r="I234" s="22" t="s">
        <v>1144</v>
      </c>
      <c r="J234" s="22" t="s">
        <v>1145</v>
      </c>
      <c r="K234" s="22">
        <v>502128100</v>
      </c>
      <c r="L234" s="22" t="s">
        <v>1140</v>
      </c>
      <c r="M234" s="22">
        <v>12</v>
      </c>
      <c r="N234" s="22">
        <v>1</v>
      </c>
      <c r="O234" s="22">
        <v>50</v>
      </c>
      <c r="P234" s="22">
        <v>0</v>
      </c>
      <c r="Q234" s="22">
        <v>50</v>
      </c>
      <c r="R234" s="1201">
        <v>19.399999999999999</v>
      </c>
      <c r="S234" s="1201">
        <v>970</v>
      </c>
      <c r="T234" s="22" t="s">
        <v>87</v>
      </c>
      <c r="U234" s="1854" t="s">
        <v>301</v>
      </c>
      <c r="V234" s="22" t="s">
        <v>1141</v>
      </c>
      <c r="W234" s="2006" t="s">
        <v>1146</v>
      </c>
      <c r="X234" s="18"/>
      <c r="Y234" s="4"/>
      <c r="Z234" s="4"/>
    </row>
    <row r="235" spans="1:26" ht="27.95" hidden="1">
      <c r="A235" s="20">
        <v>242</v>
      </c>
      <c r="B235" s="1063">
        <v>40012</v>
      </c>
      <c r="C235" s="22" t="s">
        <v>1147</v>
      </c>
      <c r="D235" s="11"/>
      <c r="E235" s="22" t="s">
        <v>1126</v>
      </c>
      <c r="F235" s="22" t="s">
        <v>1139</v>
      </c>
      <c r="G235" s="22"/>
      <c r="H235" s="22" t="s">
        <v>382</v>
      </c>
      <c r="I235" s="22" t="s">
        <v>382</v>
      </c>
      <c r="J235" s="22" t="s">
        <v>1148</v>
      </c>
      <c r="K235" s="22" t="s">
        <v>1140</v>
      </c>
      <c r="L235" s="22" t="s">
        <v>1140</v>
      </c>
      <c r="M235" s="22">
        <v>18</v>
      </c>
      <c r="N235" s="22">
        <v>20</v>
      </c>
      <c r="O235" s="22">
        <v>20</v>
      </c>
      <c r="P235" s="22">
        <v>20</v>
      </c>
      <c r="Q235" s="22">
        <v>40</v>
      </c>
      <c r="R235" s="1201">
        <v>20</v>
      </c>
      <c r="S235" s="1201">
        <v>400</v>
      </c>
      <c r="T235" s="22" t="s">
        <v>87</v>
      </c>
      <c r="U235" s="1854" t="s">
        <v>301</v>
      </c>
      <c r="V235" s="22" t="s">
        <v>1141</v>
      </c>
      <c r="W235" s="2006" t="s">
        <v>383</v>
      </c>
      <c r="X235" s="18"/>
      <c r="Y235" s="4"/>
      <c r="Z235" s="4"/>
    </row>
    <row r="236" spans="1:26" ht="27.95" hidden="1">
      <c r="A236" s="20">
        <v>243</v>
      </c>
      <c r="B236" s="1063">
        <v>40013</v>
      </c>
      <c r="C236" s="22" t="s">
        <v>1149</v>
      </c>
      <c r="D236" s="11"/>
      <c r="E236" s="22" t="s">
        <v>1126</v>
      </c>
      <c r="F236" s="22" t="s">
        <v>131</v>
      </c>
      <c r="G236" s="22"/>
      <c r="H236" s="22" t="s">
        <v>1150</v>
      </c>
      <c r="I236" s="22" t="s">
        <v>113</v>
      </c>
      <c r="J236" s="22">
        <v>2208543</v>
      </c>
      <c r="K236" s="22" t="s">
        <v>1151</v>
      </c>
      <c r="L236" s="22"/>
      <c r="M236" s="22">
        <v>3</v>
      </c>
      <c r="N236" s="22">
        <v>2</v>
      </c>
      <c r="O236" s="22">
        <v>4</v>
      </c>
      <c r="P236" s="22">
        <v>0</v>
      </c>
      <c r="Q236" s="22">
        <v>1</v>
      </c>
      <c r="R236" s="1201">
        <v>1790</v>
      </c>
      <c r="S236" s="1201">
        <f>R236*2</f>
        <v>3580</v>
      </c>
      <c r="T236" s="22" t="s">
        <v>87</v>
      </c>
      <c r="U236" s="1854" t="s">
        <v>484</v>
      </c>
      <c r="V236" s="22" t="s">
        <v>1152</v>
      </c>
      <c r="W236" s="2006" t="s">
        <v>1153</v>
      </c>
      <c r="X236" s="18"/>
      <c r="Y236" s="4"/>
      <c r="Z236" s="4"/>
    </row>
    <row r="237" spans="1:26" ht="14.1" hidden="1">
      <c r="A237" s="20">
        <v>244</v>
      </c>
      <c r="B237" s="1063">
        <v>40014</v>
      </c>
      <c r="C237" s="22" t="s">
        <v>1154</v>
      </c>
      <c r="D237" s="11"/>
      <c r="E237" s="22" t="s">
        <v>1126</v>
      </c>
      <c r="F237" s="22" t="s">
        <v>131</v>
      </c>
      <c r="G237" s="22" t="s">
        <v>1155</v>
      </c>
      <c r="H237" s="22" t="s">
        <v>113</v>
      </c>
      <c r="I237" s="22" t="s">
        <v>113</v>
      </c>
      <c r="J237" s="22">
        <v>78390707</v>
      </c>
      <c r="K237" s="22" t="s">
        <v>1</v>
      </c>
      <c r="L237" s="22"/>
      <c r="M237" s="22">
        <v>3</v>
      </c>
      <c r="N237" s="22">
        <v>1</v>
      </c>
      <c r="O237" s="22">
        <v>3</v>
      </c>
      <c r="P237" s="22">
        <v>0</v>
      </c>
      <c r="Q237" s="22">
        <v>0</v>
      </c>
      <c r="R237" s="1201">
        <v>4990</v>
      </c>
      <c r="S237" s="1201">
        <f t="shared" ref="S237:S238" si="9">3*R237</f>
        <v>14970</v>
      </c>
      <c r="T237" s="22" t="s">
        <v>87</v>
      </c>
      <c r="U237" s="1854" t="s">
        <v>484</v>
      </c>
      <c r="V237" s="22" t="s">
        <v>1152</v>
      </c>
      <c r="W237" s="2006" t="s">
        <v>1156</v>
      </c>
      <c r="X237" s="18"/>
      <c r="Y237" s="4"/>
      <c r="Z237" s="4"/>
    </row>
    <row r="238" spans="1:26" ht="27.95" hidden="1">
      <c r="A238" s="20">
        <v>245</v>
      </c>
      <c r="B238" s="1063">
        <v>40015</v>
      </c>
      <c r="C238" s="22" t="s">
        <v>1157</v>
      </c>
      <c r="D238" s="11"/>
      <c r="E238" s="22" t="s">
        <v>1126</v>
      </c>
      <c r="F238" s="22" t="s">
        <v>131</v>
      </c>
      <c r="G238" s="22"/>
      <c r="H238" s="22" t="s">
        <v>1150</v>
      </c>
      <c r="I238" s="22" t="s">
        <v>113</v>
      </c>
      <c r="J238" s="22">
        <v>33460646</v>
      </c>
      <c r="K238" s="22" t="s">
        <v>1158</v>
      </c>
      <c r="L238" s="22"/>
      <c r="M238" s="22">
        <v>3</v>
      </c>
      <c r="N238" s="22">
        <v>1</v>
      </c>
      <c r="O238" s="22">
        <v>3</v>
      </c>
      <c r="P238" s="22">
        <v>0</v>
      </c>
      <c r="Q238" s="22">
        <v>0</v>
      </c>
      <c r="R238" s="1201">
        <v>4690</v>
      </c>
      <c r="S238" s="1201">
        <f t="shared" si="9"/>
        <v>14070</v>
      </c>
      <c r="T238" s="22" t="s">
        <v>87</v>
      </c>
      <c r="U238" s="1854" t="s">
        <v>484</v>
      </c>
      <c r="V238" s="22" t="s">
        <v>1152</v>
      </c>
      <c r="W238" s="2006" t="s">
        <v>1159</v>
      </c>
      <c r="X238" s="18"/>
      <c r="Y238" s="4"/>
      <c r="Z238" s="4"/>
    </row>
    <row r="239" spans="1:26" ht="14.1" hidden="1">
      <c r="A239" s="20">
        <v>246</v>
      </c>
      <c r="B239" s="1063">
        <v>40016</v>
      </c>
      <c r="C239" s="22" t="s">
        <v>1160</v>
      </c>
      <c r="D239" s="11"/>
      <c r="E239" s="22" t="s">
        <v>1126</v>
      </c>
      <c r="F239" s="22" t="s">
        <v>131</v>
      </c>
      <c r="G239" s="22" t="s">
        <v>1161</v>
      </c>
      <c r="H239" s="22" t="s">
        <v>1162</v>
      </c>
      <c r="I239" s="22" t="s">
        <v>113</v>
      </c>
      <c r="J239" s="22">
        <v>9450917</v>
      </c>
      <c r="K239" s="22" t="s">
        <v>1163</v>
      </c>
      <c r="L239" s="22"/>
      <c r="M239" s="22">
        <v>2</v>
      </c>
      <c r="N239" s="22">
        <v>1</v>
      </c>
      <c r="O239" s="22">
        <v>1</v>
      </c>
      <c r="P239" s="22">
        <v>1</v>
      </c>
      <c r="Q239" s="22">
        <v>0</v>
      </c>
      <c r="R239" s="1201">
        <v>959</v>
      </c>
      <c r="S239" s="1201">
        <v>959</v>
      </c>
      <c r="T239" s="22" t="s">
        <v>87</v>
      </c>
      <c r="U239" s="1854" t="s">
        <v>484</v>
      </c>
      <c r="V239" s="22" t="s">
        <v>1152</v>
      </c>
      <c r="W239" s="2006" t="s">
        <v>1164</v>
      </c>
      <c r="X239" s="18"/>
      <c r="Y239" s="4"/>
      <c r="Z239" s="4"/>
    </row>
    <row r="240" spans="1:26" ht="14.1" hidden="1">
      <c r="A240" s="20">
        <v>247</v>
      </c>
      <c r="B240" s="1063">
        <v>40017</v>
      </c>
      <c r="C240" s="22" t="s">
        <v>1165</v>
      </c>
      <c r="D240" s="11"/>
      <c r="E240" s="22" t="s">
        <v>1126</v>
      </c>
      <c r="F240" s="22" t="s">
        <v>131</v>
      </c>
      <c r="G240" s="22" t="s">
        <v>1166</v>
      </c>
      <c r="H240" s="22" t="s">
        <v>101</v>
      </c>
      <c r="I240" s="22" t="s">
        <v>113</v>
      </c>
      <c r="J240" s="22">
        <v>9890754</v>
      </c>
      <c r="K240" s="22" t="s">
        <v>1167</v>
      </c>
      <c r="L240" s="22"/>
      <c r="M240" s="22">
        <v>10</v>
      </c>
      <c r="N240" s="22">
        <v>1</v>
      </c>
      <c r="O240" s="22">
        <v>10</v>
      </c>
      <c r="P240" s="22">
        <v>2</v>
      </c>
      <c r="Q240" s="22">
        <v>0</v>
      </c>
      <c r="R240" s="1201">
        <v>2790</v>
      </c>
      <c r="S240" s="1201">
        <f>10*R240</f>
        <v>27900</v>
      </c>
      <c r="T240" s="22" t="s">
        <v>87</v>
      </c>
      <c r="U240" s="1854" t="s">
        <v>484</v>
      </c>
      <c r="V240" s="22" t="s">
        <v>1152</v>
      </c>
      <c r="W240" s="2006" t="s">
        <v>1168</v>
      </c>
      <c r="X240" s="18"/>
      <c r="Y240" s="4"/>
      <c r="Z240" s="4"/>
    </row>
    <row r="241" spans="1:26" ht="69.95" hidden="1">
      <c r="A241" s="20">
        <v>248</v>
      </c>
      <c r="B241" s="1063">
        <v>40018</v>
      </c>
      <c r="C241" s="22" t="s">
        <v>682</v>
      </c>
      <c r="D241" s="11"/>
      <c r="E241" s="22" t="s">
        <v>62</v>
      </c>
      <c r="F241" s="22" t="s">
        <v>959</v>
      </c>
      <c r="G241" s="22" t="s">
        <v>965</v>
      </c>
      <c r="H241" s="22" t="s">
        <v>997</v>
      </c>
      <c r="I241" s="22" t="s">
        <v>961</v>
      </c>
      <c r="J241" s="26" t="s">
        <v>1169</v>
      </c>
      <c r="K241" s="22"/>
      <c r="L241" s="22" t="s">
        <v>149</v>
      </c>
      <c r="M241" s="22">
        <v>4</v>
      </c>
      <c r="N241" s="22">
        <v>1</v>
      </c>
      <c r="O241" s="22">
        <v>10</v>
      </c>
      <c r="P241" s="22">
        <v>0</v>
      </c>
      <c r="Q241" s="22">
        <v>10</v>
      </c>
      <c r="R241" s="1201">
        <v>32</v>
      </c>
      <c r="S241" s="1201">
        <v>320</v>
      </c>
      <c r="T241" s="22" t="s">
        <v>422</v>
      </c>
      <c r="U241" s="1854" t="s">
        <v>422</v>
      </c>
      <c r="V241" s="22" t="s">
        <v>689</v>
      </c>
      <c r="W241" s="2006" t="s">
        <v>999</v>
      </c>
      <c r="X241" s="18"/>
      <c r="Y241" s="4"/>
      <c r="Z241" s="4"/>
    </row>
    <row r="242" spans="1:26" ht="69.95" hidden="1">
      <c r="A242" s="20">
        <v>249</v>
      </c>
      <c r="B242" s="1063">
        <v>40019</v>
      </c>
      <c r="C242" s="22" t="s">
        <v>1025</v>
      </c>
      <c r="D242" s="11"/>
      <c r="E242" s="22" t="s">
        <v>62</v>
      </c>
      <c r="F242" s="22" t="s">
        <v>959</v>
      </c>
      <c r="G242" s="22" t="s">
        <v>1026</v>
      </c>
      <c r="H242" s="22" t="s">
        <v>1027</v>
      </c>
      <c r="I242" s="22" t="s">
        <v>961</v>
      </c>
      <c r="J242" s="26" t="s">
        <v>1028</v>
      </c>
      <c r="K242" s="22" t="s">
        <v>149</v>
      </c>
      <c r="L242" s="22" t="s">
        <v>149</v>
      </c>
      <c r="M242" s="22">
        <v>2</v>
      </c>
      <c r="N242" s="22">
        <v>1</v>
      </c>
      <c r="O242" s="22">
        <v>2</v>
      </c>
      <c r="P242" s="22">
        <v>1</v>
      </c>
      <c r="Q242" s="22">
        <v>2</v>
      </c>
      <c r="R242" s="1201">
        <v>995</v>
      </c>
      <c r="S242" s="1201">
        <v>1990</v>
      </c>
      <c r="T242" s="22" t="s">
        <v>422</v>
      </c>
      <c r="U242" s="1854" t="s">
        <v>422</v>
      </c>
      <c r="V242" s="22" t="s">
        <v>1029</v>
      </c>
      <c r="W242" s="2006" t="s">
        <v>1030</v>
      </c>
      <c r="X242" s="18"/>
      <c r="Y242" s="4"/>
      <c r="Z242" s="4"/>
    </row>
    <row r="243" spans="1:26" ht="14.1" hidden="1">
      <c r="A243" s="20">
        <v>250</v>
      </c>
      <c r="B243" s="1063">
        <v>40020</v>
      </c>
      <c r="C243" s="22" t="s">
        <v>1170</v>
      </c>
      <c r="D243" s="11"/>
      <c r="E243" s="22" t="s">
        <v>1126</v>
      </c>
      <c r="F243" s="22" t="s">
        <v>131</v>
      </c>
      <c r="G243" s="22" t="s">
        <v>1171</v>
      </c>
      <c r="H243" s="22" t="s">
        <v>1172</v>
      </c>
      <c r="I243" s="22" t="s">
        <v>482</v>
      </c>
      <c r="J243" s="22">
        <v>1845762</v>
      </c>
      <c r="K243" s="22" t="s">
        <v>1173</v>
      </c>
      <c r="L243" s="22"/>
      <c r="M243" s="22">
        <v>3</v>
      </c>
      <c r="N243" s="22">
        <v>1</v>
      </c>
      <c r="O243" s="22">
        <v>3</v>
      </c>
      <c r="P243" s="22">
        <v>1</v>
      </c>
      <c r="Q243" s="22">
        <v>1</v>
      </c>
      <c r="R243" s="1201" t="s">
        <v>1174</v>
      </c>
      <c r="S243" s="1201">
        <v>1374</v>
      </c>
      <c r="T243" s="22" t="s">
        <v>87</v>
      </c>
      <c r="U243" s="1854" t="s">
        <v>484</v>
      </c>
      <c r="V243" s="22" t="s">
        <v>1152</v>
      </c>
      <c r="W243" s="2006" t="s">
        <v>1175</v>
      </c>
      <c r="X243" s="18"/>
      <c r="Y243" s="4"/>
      <c r="Z243" s="4"/>
    </row>
    <row r="244" spans="1:26" ht="14.1" hidden="1">
      <c r="A244" s="20">
        <v>251</v>
      </c>
      <c r="B244" s="1063">
        <v>40021</v>
      </c>
      <c r="C244" s="22" t="s">
        <v>1176</v>
      </c>
      <c r="D244" s="11"/>
      <c r="E244" s="22" t="s">
        <v>1126</v>
      </c>
      <c r="F244" s="22" t="s">
        <v>131</v>
      </c>
      <c r="G244" s="22"/>
      <c r="H244" s="22" t="s">
        <v>1177</v>
      </c>
      <c r="I244" s="22" t="s">
        <v>482</v>
      </c>
      <c r="J244" s="22">
        <v>8441979</v>
      </c>
      <c r="K244" s="22"/>
      <c r="L244" s="22"/>
      <c r="M244" s="22">
        <v>10</v>
      </c>
      <c r="N244" s="22">
        <v>1</v>
      </c>
      <c r="O244" s="22">
        <v>10</v>
      </c>
      <c r="P244" s="22">
        <v>2</v>
      </c>
      <c r="Q244" s="22">
        <v>2</v>
      </c>
      <c r="R244" s="1201">
        <v>568</v>
      </c>
      <c r="S244" s="1201">
        <f>10*R244</f>
        <v>5680</v>
      </c>
      <c r="T244" s="22" t="s">
        <v>87</v>
      </c>
      <c r="U244" s="1854" t="s">
        <v>484</v>
      </c>
      <c r="V244" s="22" t="s">
        <v>1152</v>
      </c>
      <c r="W244" s="2006" t="s">
        <v>1178</v>
      </c>
      <c r="X244" s="18"/>
      <c r="Y244" s="4"/>
      <c r="Z244" s="4"/>
    </row>
    <row r="245" spans="1:26" ht="14.1" hidden="1">
      <c r="A245" s="20">
        <v>252</v>
      </c>
      <c r="B245" s="1063">
        <v>40022</v>
      </c>
      <c r="C245" s="22" t="s">
        <v>1179</v>
      </c>
      <c r="D245" s="11"/>
      <c r="E245" s="22" t="s">
        <v>1126</v>
      </c>
      <c r="F245" s="22" t="s">
        <v>131</v>
      </c>
      <c r="G245" s="22"/>
      <c r="H245" s="22" t="s">
        <v>1180</v>
      </c>
      <c r="I245" s="22" t="s">
        <v>482</v>
      </c>
      <c r="J245" s="22">
        <v>7203239</v>
      </c>
      <c r="K245" s="22" t="s">
        <v>1181</v>
      </c>
      <c r="L245" s="22"/>
      <c r="M245" s="22">
        <v>2</v>
      </c>
      <c r="N245" s="22">
        <v>1</v>
      </c>
      <c r="O245" s="22">
        <v>2</v>
      </c>
      <c r="P245" s="22">
        <v>0</v>
      </c>
      <c r="Q245" s="22">
        <v>0</v>
      </c>
      <c r="R245" s="1201">
        <v>1665</v>
      </c>
      <c r="S245" s="1201">
        <f>2*R245</f>
        <v>3330</v>
      </c>
      <c r="T245" s="22" t="s">
        <v>87</v>
      </c>
      <c r="U245" s="1854" t="s">
        <v>484</v>
      </c>
      <c r="V245" s="22" t="s">
        <v>1152</v>
      </c>
      <c r="W245" s="2006" t="s">
        <v>1182</v>
      </c>
      <c r="X245" s="18"/>
      <c r="Y245" s="4"/>
      <c r="Z245" s="4"/>
    </row>
    <row r="246" spans="1:26" ht="14.1" hidden="1">
      <c r="A246" s="20">
        <v>253</v>
      </c>
      <c r="B246" s="1063">
        <v>40023</v>
      </c>
      <c r="C246" s="22" t="s">
        <v>1183</v>
      </c>
      <c r="D246" s="11"/>
      <c r="E246" s="22" t="s">
        <v>1126</v>
      </c>
      <c r="F246" s="22" t="s">
        <v>99</v>
      </c>
      <c r="G246" s="22" t="s">
        <v>1184</v>
      </c>
      <c r="H246" s="22" t="s">
        <v>794</v>
      </c>
      <c r="I246" s="22" t="s">
        <v>794</v>
      </c>
      <c r="J246" s="22"/>
      <c r="K246" s="22"/>
      <c r="L246" s="22"/>
      <c r="M246" s="22">
        <v>4</v>
      </c>
      <c r="N246" s="22">
        <v>1</v>
      </c>
      <c r="O246" s="22">
        <v>4</v>
      </c>
      <c r="P246" s="22">
        <v>0</v>
      </c>
      <c r="Q246" s="22">
        <v>4</v>
      </c>
      <c r="R246" s="1201">
        <v>1026</v>
      </c>
      <c r="S246" s="1201">
        <v>4104</v>
      </c>
      <c r="T246" s="22" t="s">
        <v>87</v>
      </c>
      <c r="U246" s="1854" t="s">
        <v>301</v>
      </c>
      <c r="V246" s="22" t="s">
        <v>1152</v>
      </c>
      <c r="W246" s="2007"/>
      <c r="X246" s="18"/>
      <c r="Y246" s="4"/>
      <c r="Z246" s="4"/>
    </row>
    <row r="247" spans="1:26" ht="14.1" hidden="1">
      <c r="A247" s="20">
        <v>254</v>
      </c>
      <c r="B247" s="1063">
        <v>40024</v>
      </c>
      <c r="C247" s="22" t="s">
        <v>1183</v>
      </c>
      <c r="D247" s="11"/>
      <c r="E247" s="22" t="s">
        <v>1126</v>
      </c>
      <c r="F247" s="22" t="s">
        <v>99</v>
      </c>
      <c r="G247" s="22" t="s">
        <v>1185</v>
      </c>
      <c r="H247" s="22" t="s">
        <v>794</v>
      </c>
      <c r="I247" s="22" t="s">
        <v>794</v>
      </c>
      <c r="J247" s="22"/>
      <c r="K247" s="22"/>
      <c r="L247" s="22"/>
      <c r="M247" s="22">
        <v>1</v>
      </c>
      <c r="N247" s="22">
        <v>1</v>
      </c>
      <c r="O247" s="22">
        <v>1</v>
      </c>
      <c r="P247" s="22">
        <v>1</v>
      </c>
      <c r="Q247" s="22">
        <v>0</v>
      </c>
      <c r="R247" s="1201">
        <v>2268</v>
      </c>
      <c r="S247" s="1201">
        <v>2720</v>
      </c>
      <c r="T247" s="22" t="s">
        <v>87</v>
      </c>
      <c r="U247" s="1854" t="s">
        <v>301</v>
      </c>
      <c r="V247" s="22" t="s">
        <v>1152</v>
      </c>
      <c r="W247" s="2007"/>
      <c r="X247" s="18"/>
      <c r="Y247" s="4"/>
      <c r="Z247" s="4"/>
    </row>
    <row r="248" spans="1:26" ht="69.95" hidden="1">
      <c r="A248" s="20">
        <v>255</v>
      </c>
      <c r="B248" s="1063">
        <v>40025</v>
      </c>
      <c r="C248" s="22" t="s">
        <v>1186</v>
      </c>
      <c r="D248" s="11"/>
      <c r="E248" s="22" t="s">
        <v>1126</v>
      </c>
      <c r="F248" s="22" t="s">
        <v>99</v>
      </c>
      <c r="G248" s="22" t="s">
        <v>1187</v>
      </c>
      <c r="H248" s="22" t="s">
        <v>1188</v>
      </c>
      <c r="I248" s="22" t="s">
        <v>366</v>
      </c>
      <c r="J248" s="22" t="s">
        <v>1189</v>
      </c>
      <c r="K248" s="22"/>
      <c r="L248" s="22"/>
      <c r="M248" s="22">
        <v>1</v>
      </c>
      <c r="N248" s="22">
        <v>1</v>
      </c>
      <c r="O248" s="22">
        <v>1</v>
      </c>
      <c r="P248" s="22">
        <v>1</v>
      </c>
      <c r="Q248" s="22">
        <v>0</v>
      </c>
      <c r="R248" s="1201">
        <v>3600</v>
      </c>
      <c r="S248" s="1201">
        <v>3600</v>
      </c>
      <c r="T248" s="22" t="s">
        <v>87</v>
      </c>
      <c r="U248" s="1854" t="s">
        <v>301</v>
      </c>
      <c r="V248" s="22" t="s">
        <v>1152</v>
      </c>
      <c r="W248" s="2006" t="s">
        <v>1190</v>
      </c>
      <c r="X248" s="18"/>
      <c r="Y248" s="4"/>
      <c r="Z248" s="4"/>
    </row>
    <row r="249" spans="1:26" ht="69.95" hidden="1">
      <c r="A249" s="20">
        <v>256</v>
      </c>
      <c r="B249" s="1063">
        <v>40026</v>
      </c>
      <c r="C249" s="22" t="s">
        <v>1191</v>
      </c>
      <c r="D249" s="11"/>
      <c r="E249" s="22" t="s">
        <v>1126</v>
      </c>
      <c r="F249" s="22" t="s">
        <v>99</v>
      </c>
      <c r="G249" s="22" t="s">
        <v>960</v>
      </c>
      <c r="H249" s="22" t="s">
        <v>382</v>
      </c>
      <c r="I249" s="22" t="s">
        <v>382</v>
      </c>
      <c r="J249" s="22" t="s">
        <v>1192</v>
      </c>
      <c r="K249" s="22"/>
      <c r="L249" s="22"/>
      <c r="M249" s="22">
        <v>78</v>
      </c>
      <c r="N249" s="22">
        <v>50</v>
      </c>
      <c r="O249" s="22">
        <v>100</v>
      </c>
      <c r="P249" s="22">
        <v>0</v>
      </c>
      <c r="Q249" s="22">
        <v>22</v>
      </c>
      <c r="R249" s="1201">
        <v>1650</v>
      </c>
      <c r="S249" s="1201">
        <v>3300</v>
      </c>
      <c r="T249" s="22" t="s">
        <v>87</v>
      </c>
      <c r="U249" s="1854" t="s">
        <v>301</v>
      </c>
      <c r="V249" s="22" t="s">
        <v>1152</v>
      </c>
      <c r="W249" s="2006" t="s">
        <v>1190</v>
      </c>
      <c r="X249" s="18"/>
      <c r="Y249" s="4"/>
      <c r="Z249" s="4"/>
    </row>
    <row r="250" spans="1:26" ht="27.95" hidden="1">
      <c r="A250" s="20">
        <v>257</v>
      </c>
      <c r="B250" s="1063">
        <v>40027</v>
      </c>
      <c r="C250" s="22" t="s">
        <v>1193</v>
      </c>
      <c r="D250" s="11"/>
      <c r="E250" s="22" t="s">
        <v>1126</v>
      </c>
      <c r="F250" s="22" t="s">
        <v>99</v>
      </c>
      <c r="G250" s="22" t="s">
        <v>1005</v>
      </c>
      <c r="H250" s="22" t="s">
        <v>1194</v>
      </c>
      <c r="I250" s="22" t="s">
        <v>1195</v>
      </c>
      <c r="J250" s="22">
        <v>42199473</v>
      </c>
      <c r="K250" s="22"/>
      <c r="L250" s="22"/>
      <c r="M250" s="22">
        <v>24</v>
      </c>
      <c r="N250" s="22">
        <v>50</v>
      </c>
      <c r="O250" s="22">
        <v>50</v>
      </c>
      <c r="P250" s="22">
        <v>0</v>
      </c>
      <c r="Q250" s="22">
        <v>26</v>
      </c>
      <c r="R250" s="1201">
        <v>299</v>
      </c>
      <c r="S250" s="1201">
        <v>299</v>
      </c>
      <c r="T250" s="22" t="s">
        <v>87</v>
      </c>
      <c r="U250" s="1854" t="s">
        <v>301</v>
      </c>
      <c r="V250" s="22" t="s">
        <v>1152</v>
      </c>
      <c r="W250" s="2006" t="s">
        <v>1196</v>
      </c>
      <c r="X250" s="18"/>
      <c r="Y250" s="4"/>
      <c r="Z250" s="4"/>
    </row>
    <row r="251" spans="1:26" ht="14.1" hidden="1">
      <c r="A251" s="20">
        <v>258</v>
      </c>
      <c r="B251" s="1063">
        <v>40028</v>
      </c>
      <c r="C251" s="22" t="s">
        <v>1197</v>
      </c>
      <c r="D251" s="11"/>
      <c r="E251" s="22" t="s">
        <v>62</v>
      </c>
      <c r="F251" s="22" t="s">
        <v>784</v>
      </c>
      <c r="G251" s="22" t="s">
        <v>1198</v>
      </c>
      <c r="H251" s="22" t="s">
        <v>1199</v>
      </c>
      <c r="I251" s="22" t="s">
        <v>1022</v>
      </c>
      <c r="J251" s="22" t="s">
        <v>149</v>
      </c>
      <c r="K251" s="22" t="s">
        <v>1200</v>
      </c>
      <c r="L251" s="22" t="s">
        <v>149</v>
      </c>
      <c r="M251" s="22">
        <v>1</v>
      </c>
      <c r="N251" s="22">
        <v>1</v>
      </c>
      <c r="O251" s="22">
        <v>1</v>
      </c>
      <c r="P251" s="22">
        <v>0</v>
      </c>
      <c r="Q251" s="22">
        <v>0</v>
      </c>
      <c r="R251" s="1201">
        <v>5999</v>
      </c>
      <c r="S251" s="1201">
        <v>5999</v>
      </c>
      <c r="T251" s="22" t="s">
        <v>957</v>
      </c>
      <c r="U251" s="1854" t="s">
        <v>957</v>
      </c>
      <c r="V251" s="22" t="s">
        <v>1135</v>
      </c>
      <c r="W251" s="2007"/>
      <c r="X251" s="18"/>
      <c r="Y251" s="4"/>
      <c r="Z251" s="4"/>
    </row>
    <row r="252" spans="1:26" ht="14.1" hidden="1">
      <c r="A252" s="20">
        <v>259</v>
      </c>
      <c r="B252" s="1063">
        <v>40029</v>
      </c>
      <c r="C252" s="22" t="s">
        <v>1201</v>
      </c>
      <c r="D252" s="11"/>
      <c r="E252" s="22" t="s">
        <v>1126</v>
      </c>
      <c r="F252" s="22" t="s">
        <v>131</v>
      </c>
      <c r="G252" s="22"/>
      <c r="H252" s="22" t="s">
        <v>1202</v>
      </c>
      <c r="I252" s="22" t="s">
        <v>1202</v>
      </c>
      <c r="J252" s="22">
        <v>406561</v>
      </c>
      <c r="K252" s="22">
        <v>406561</v>
      </c>
      <c r="L252" s="22"/>
      <c r="M252" s="22">
        <v>1</v>
      </c>
      <c r="N252" s="22">
        <v>1</v>
      </c>
      <c r="O252" s="22">
        <v>1</v>
      </c>
      <c r="P252" s="22">
        <v>0</v>
      </c>
      <c r="Q252" s="22">
        <v>0</v>
      </c>
      <c r="R252" s="1201">
        <v>1430</v>
      </c>
      <c r="S252" s="1201">
        <v>1430</v>
      </c>
      <c r="T252" s="22" t="s">
        <v>87</v>
      </c>
      <c r="U252" s="1854" t="s">
        <v>484</v>
      </c>
      <c r="V252" s="22" t="s">
        <v>1152</v>
      </c>
      <c r="W252" s="2006" t="s">
        <v>1203</v>
      </c>
      <c r="X252" s="18"/>
      <c r="Y252" s="4"/>
      <c r="Z252" s="4"/>
    </row>
    <row r="253" spans="1:26" ht="14.1" hidden="1">
      <c r="A253" s="20">
        <v>260</v>
      </c>
      <c r="B253" s="1063">
        <v>40030</v>
      </c>
      <c r="C253" s="22" t="s">
        <v>1204</v>
      </c>
      <c r="D253" s="11"/>
      <c r="E253" s="22" t="s">
        <v>1126</v>
      </c>
      <c r="F253" s="22" t="s">
        <v>131</v>
      </c>
      <c r="G253" s="22"/>
      <c r="H253" s="22" t="s">
        <v>1202</v>
      </c>
      <c r="I253" s="22" t="s">
        <v>1202</v>
      </c>
      <c r="J253" s="22">
        <v>406347</v>
      </c>
      <c r="K253" s="22">
        <v>406347</v>
      </c>
      <c r="L253" s="22"/>
      <c r="M253" s="22">
        <v>1</v>
      </c>
      <c r="N253" s="22">
        <v>1</v>
      </c>
      <c r="O253" s="22">
        <v>1</v>
      </c>
      <c r="P253" s="22">
        <v>0</v>
      </c>
      <c r="Q253" s="22">
        <v>0</v>
      </c>
      <c r="R253" s="1201">
        <v>1430</v>
      </c>
      <c r="S253" s="1201">
        <v>1430</v>
      </c>
      <c r="T253" s="22" t="s">
        <v>87</v>
      </c>
      <c r="U253" s="1854" t="s">
        <v>484</v>
      </c>
      <c r="V253" s="22" t="s">
        <v>1152</v>
      </c>
      <c r="W253" s="2006" t="s">
        <v>1205</v>
      </c>
      <c r="X253" s="18"/>
      <c r="Y253" s="4"/>
      <c r="Z253" s="4"/>
    </row>
    <row r="254" spans="1:26" ht="14.1" hidden="1">
      <c r="A254" s="20">
        <v>261</v>
      </c>
      <c r="B254" s="1063">
        <v>40031</v>
      </c>
      <c r="C254" s="22" t="s">
        <v>1206</v>
      </c>
      <c r="D254" s="11"/>
      <c r="E254" s="22" t="s">
        <v>1126</v>
      </c>
      <c r="F254" s="22" t="s">
        <v>131</v>
      </c>
      <c r="G254" s="22"/>
      <c r="H254" s="22" t="s">
        <v>1202</v>
      </c>
      <c r="I254" s="22" t="s">
        <v>1202</v>
      </c>
      <c r="J254" s="22">
        <v>41911</v>
      </c>
      <c r="K254" s="22">
        <v>41911</v>
      </c>
      <c r="L254" s="22"/>
      <c r="M254" s="22">
        <v>2</v>
      </c>
      <c r="N254" s="22">
        <v>1</v>
      </c>
      <c r="O254" s="22">
        <v>2</v>
      </c>
      <c r="P254" s="22">
        <v>0</v>
      </c>
      <c r="Q254" s="22">
        <v>0</v>
      </c>
      <c r="R254" s="1201">
        <v>1625</v>
      </c>
      <c r="S254" s="1201">
        <f>2*R254</f>
        <v>3250</v>
      </c>
      <c r="T254" s="22" t="s">
        <v>87</v>
      </c>
      <c r="U254" s="1854" t="s">
        <v>484</v>
      </c>
      <c r="V254" s="22" t="s">
        <v>1152</v>
      </c>
      <c r="W254" s="2006" t="s">
        <v>1207</v>
      </c>
      <c r="X254" s="18"/>
      <c r="Y254" s="4"/>
      <c r="Z254" s="4"/>
    </row>
    <row r="255" spans="1:26" ht="14.1" hidden="1">
      <c r="A255" s="20">
        <v>262</v>
      </c>
      <c r="B255" s="1063">
        <v>40032</v>
      </c>
      <c r="C255" s="22" t="s">
        <v>1208</v>
      </c>
      <c r="D255" s="11"/>
      <c r="E255" s="22" t="s">
        <v>1126</v>
      </c>
      <c r="F255" s="22" t="s">
        <v>131</v>
      </c>
      <c r="G255" s="22" t="s">
        <v>1209</v>
      </c>
      <c r="H255" s="22" t="s">
        <v>1150</v>
      </c>
      <c r="I255" s="22" t="s">
        <v>113</v>
      </c>
      <c r="J255" s="22">
        <v>63406473</v>
      </c>
      <c r="K255" s="22" t="s">
        <v>1210</v>
      </c>
      <c r="L255" s="22"/>
      <c r="M255" s="22">
        <v>1</v>
      </c>
      <c r="N255" s="22">
        <v>1</v>
      </c>
      <c r="O255" s="22">
        <v>1</v>
      </c>
      <c r="P255" s="22">
        <v>0</v>
      </c>
      <c r="Q255" s="22">
        <v>0</v>
      </c>
      <c r="R255" s="1201">
        <v>1490</v>
      </c>
      <c r="S255" s="1201">
        <v>1490</v>
      </c>
      <c r="T255" s="22" t="s">
        <v>87</v>
      </c>
      <c r="U255" s="1854" t="s">
        <v>484</v>
      </c>
      <c r="V255" s="22" t="s">
        <v>1152</v>
      </c>
      <c r="W255" s="2006" t="s">
        <v>1211</v>
      </c>
      <c r="X255" s="18"/>
      <c r="Y255" s="4"/>
      <c r="Z255" s="4"/>
    </row>
    <row r="256" spans="1:26" ht="14.1" hidden="1">
      <c r="A256" s="20">
        <v>263</v>
      </c>
      <c r="B256" s="1063">
        <v>40033</v>
      </c>
      <c r="C256" s="22" t="s">
        <v>1212</v>
      </c>
      <c r="D256" s="11"/>
      <c r="E256" s="22" t="s">
        <v>62</v>
      </c>
      <c r="F256" s="22" t="s">
        <v>784</v>
      </c>
      <c r="G256" s="22" t="s">
        <v>1213</v>
      </c>
      <c r="H256" s="22" t="s">
        <v>429</v>
      </c>
      <c r="I256" s="22" t="s">
        <v>429</v>
      </c>
      <c r="J256" s="22" t="s">
        <v>149</v>
      </c>
      <c r="K256" s="22" t="s">
        <v>149</v>
      </c>
      <c r="L256" s="22" t="s">
        <v>149</v>
      </c>
      <c r="M256" s="22">
        <v>1</v>
      </c>
      <c r="N256" s="22">
        <v>1</v>
      </c>
      <c r="O256" s="22">
        <v>1</v>
      </c>
      <c r="P256" s="22">
        <v>0</v>
      </c>
      <c r="Q256" s="22">
        <v>0</v>
      </c>
      <c r="R256" s="1201">
        <v>8246</v>
      </c>
      <c r="S256" s="1201">
        <v>8246</v>
      </c>
      <c r="T256" s="22" t="s">
        <v>957</v>
      </c>
      <c r="U256" s="1854" t="s">
        <v>957</v>
      </c>
      <c r="V256" s="22" t="s">
        <v>1135</v>
      </c>
      <c r="W256" s="2007"/>
      <c r="X256" s="18"/>
      <c r="Y256" s="4"/>
      <c r="Z256" s="4"/>
    </row>
    <row r="257" spans="1:26" ht="42" hidden="1">
      <c r="A257" s="20">
        <v>264</v>
      </c>
      <c r="B257" s="1063">
        <v>40034</v>
      </c>
      <c r="C257" s="22" t="s">
        <v>152</v>
      </c>
      <c r="D257" s="11"/>
      <c r="E257" s="22" t="s">
        <v>1117</v>
      </c>
      <c r="F257" s="22" t="s">
        <v>1214</v>
      </c>
      <c r="G257" s="22" t="s">
        <v>1215</v>
      </c>
      <c r="H257" s="22" t="s">
        <v>1216</v>
      </c>
      <c r="I257" s="22" t="s">
        <v>1144</v>
      </c>
      <c r="J257" s="38" t="s">
        <v>1217</v>
      </c>
      <c r="K257" s="38" t="s">
        <v>1218</v>
      </c>
      <c r="L257" s="22" t="s">
        <v>1219</v>
      </c>
      <c r="M257" s="22">
        <v>2</v>
      </c>
      <c r="N257" s="22">
        <v>1</v>
      </c>
      <c r="O257" s="22">
        <v>2</v>
      </c>
      <c r="P257" s="22">
        <v>0</v>
      </c>
      <c r="Q257" s="22">
        <v>0</v>
      </c>
      <c r="R257" s="1201">
        <v>169</v>
      </c>
      <c r="S257" s="1201">
        <f>R257*2</f>
        <v>338</v>
      </c>
      <c r="T257" s="22" t="s">
        <v>422</v>
      </c>
      <c r="U257" s="1854" t="s">
        <v>422</v>
      </c>
      <c r="V257" s="22" t="s">
        <v>1029</v>
      </c>
      <c r="W257" s="2006" t="s">
        <v>1220</v>
      </c>
      <c r="X257" s="18"/>
      <c r="Y257" s="4"/>
      <c r="Z257" s="4"/>
    </row>
    <row r="258" spans="1:26" ht="27.95" hidden="1">
      <c r="A258" s="20">
        <v>265</v>
      </c>
      <c r="B258" s="1063">
        <v>40035</v>
      </c>
      <c r="C258" s="22" t="s">
        <v>329</v>
      </c>
      <c r="D258" s="11"/>
      <c r="E258" s="22" t="s">
        <v>1117</v>
      </c>
      <c r="F258" s="22" t="s">
        <v>1214</v>
      </c>
      <c r="G258" s="22" t="s">
        <v>1221</v>
      </c>
      <c r="H258" s="22" t="s">
        <v>332</v>
      </c>
      <c r="I258" s="22" t="s">
        <v>1144</v>
      </c>
      <c r="J258" s="22" t="s">
        <v>1222</v>
      </c>
      <c r="K258" s="22" t="s">
        <v>1223</v>
      </c>
      <c r="L258" s="22" t="s">
        <v>1095</v>
      </c>
      <c r="M258" s="22">
        <v>2</v>
      </c>
      <c r="N258" s="22">
        <v>1</v>
      </c>
      <c r="O258" s="22">
        <v>2</v>
      </c>
      <c r="P258" s="22">
        <v>0</v>
      </c>
      <c r="Q258" s="22">
        <v>0</v>
      </c>
      <c r="R258" s="1201">
        <v>49</v>
      </c>
      <c r="S258" s="1201">
        <v>98</v>
      </c>
      <c r="T258" s="22" t="s">
        <v>422</v>
      </c>
      <c r="U258" s="1854" t="s">
        <v>422</v>
      </c>
      <c r="V258" s="22" t="s">
        <v>1029</v>
      </c>
      <c r="W258" s="2006" t="s">
        <v>1224</v>
      </c>
      <c r="X258" s="18"/>
      <c r="Y258" s="4"/>
      <c r="Z258" s="4"/>
    </row>
    <row r="259" spans="1:26" ht="27.95" hidden="1">
      <c r="A259" s="20">
        <v>266</v>
      </c>
      <c r="B259" s="1063">
        <v>40036</v>
      </c>
      <c r="C259" s="22" t="s">
        <v>329</v>
      </c>
      <c r="D259" s="11"/>
      <c r="E259" s="22" t="s">
        <v>1117</v>
      </c>
      <c r="F259" s="22" t="s">
        <v>1214</v>
      </c>
      <c r="G259" s="22" t="s">
        <v>1225</v>
      </c>
      <c r="H259" s="22" t="s">
        <v>144</v>
      </c>
      <c r="I259" s="22" t="s">
        <v>1144</v>
      </c>
      <c r="J259" s="22" t="s">
        <v>1226</v>
      </c>
      <c r="K259" s="22" t="s">
        <v>1227</v>
      </c>
      <c r="L259" s="22" t="s">
        <v>1228</v>
      </c>
      <c r="M259" s="22">
        <v>4</v>
      </c>
      <c r="N259" s="22">
        <v>1</v>
      </c>
      <c r="O259" s="22">
        <v>4</v>
      </c>
      <c r="P259" s="22">
        <v>0</v>
      </c>
      <c r="Q259" s="22">
        <v>0</v>
      </c>
      <c r="R259" s="1201">
        <v>12</v>
      </c>
      <c r="S259" s="1201">
        <f t="shared" ref="S259:S267" si="10">R259*O259</f>
        <v>48</v>
      </c>
      <c r="T259" s="22" t="s">
        <v>422</v>
      </c>
      <c r="U259" s="1854" t="s">
        <v>422</v>
      </c>
      <c r="V259" s="22" t="s">
        <v>1029</v>
      </c>
      <c r="W259" s="2006" t="s">
        <v>1229</v>
      </c>
      <c r="X259" s="18"/>
      <c r="Y259" s="4"/>
      <c r="Z259" s="4"/>
    </row>
    <row r="260" spans="1:26" ht="42" hidden="1">
      <c r="A260" s="20">
        <v>267</v>
      </c>
      <c r="B260" s="1063">
        <v>40037</v>
      </c>
      <c r="C260" s="22" t="s">
        <v>1230</v>
      </c>
      <c r="D260" s="11"/>
      <c r="E260" s="22" t="s">
        <v>1117</v>
      </c>
      <c r="F260" s="22" t="s">
        <v>1214</v>
      </c>
      <c r="G260" s="22" t="s">
        <v>1231</v>
      </c>
      <c r="H260" s="22" t="s">
        <v>154</v>
      </c>
      <c r="I260" s="22" t="s">
        <v>1144</v>
      </c>
      <c r="J260" s="22" t="s">
        <v>1232</v>
      </c>
      <c r="K260" s="22" t="s">
        <v>1233</v>
      </c>
      <c r="L260" s="22" t="s">
        <v>1234</v>
      </c>
      <c r="M260" s="22">
        <v>2</v>
      </c>
      <c r="N260" s="22">
        <v>1</v>
      </c>
      <c r="O260" s="22">
        <v>2</v>
      </c>
      <c r="P260" s="22">
        <v>0</v>
      </c>
      <c r="Q260" s="22">
        <v>0</v>
      </c>
      <c r="R260" s="1201">
        <v>52</v>
      </c>
      <c r="S260" s="1201">
        <f t="shared" si="10"/>
        <v>104</v>
      </c>
      <c r="T260" s="22" t="s">
        <v>422</v>
      </c>
      <c r="U260" s="1854" t="s">
        <v>422</v>
      </c>
      <c r="V260" s="22" t="s">
        <v>1029</v>
      </c>
      <c r="W260" s="2006" t="s">
        <v>1235</v>
      </c>
      <c r="X260" s="18"/>
      <c r="Y260" s="4"/>
      <c r="Z260" s="4"/>
    </row>
    <row r="261" spans="1:26" ht="27.95" hidden="1">
      <c r="A261" s="20">
        <v>268</v>
      </c>
      <c r="B261" s="1063">
        <v>40038</v>
      </c>
      <c r="C261" s="22" t="s">
        <v>329</v>
      </c>
      <c r="D261" s="11"/>
      <c r="E261" s="22" t="s">
        <v>1117</v>
      </c>
      <c r="F261" s="22" t="s">
        <v>1214</v>
      </c>
      <c r="G261" s="22" t="s">
        <v>1236</v>
      </c>
      <c r="H261" s="22" t="s">
        <v>201</v>
      </c>
      <c r="I261" s="22" t="s">
        <v>1144</v>
      </c>
      <c r="J261" s="22" t="s">
        <v>1237</v>
      </c>
      <c r="K261" s="22" t="s">
        <v>1238</v>
      </c>
      <c r="L261" s="22">
        <v>1812</v>
      </c>
      <c r="M261" s="22">
        <v>2</v>
      </c>
      <c r="N261" s="22">
        <v>1</v>
      </c>
      <c r="O261" s="22">
        <v>2</v>
      </c>
      <c r="P261" s="22">
        <v>0</v>
      </c>
      <c r="Q261" s="22">
        <v>0</v>
      </c>
      <c r="R261" s="1201">
        <v>191</v>
      </c>
      <c r="S261" s="1201">
        <f t="shared" si="10"/>
        <v>382</v>
      </c>
      <c r="T261" s="22" t="s">
        <v>422</v>
      </c>
      <c r="U261" s="1854" t="s">
        <v>422</v>
      </c>
      <c r="V261" s="22" t="s">
        <v>1029</v>
      </c>
      <c r="W261" s="2006" t="s">
        <v>1239</v>
      </c>
      <c r="X261" s="18"/>
      <c r="Y261" s="4"/>
      <c r="Z261" s="4"/>
    </row>
    <row r="262" spans="1:26" ht="27.95" hidden="1">
      <c r="A262" s="20">
        <v>269</v>
      </c>
      <c r="B262" s="1063">
        <v>40039</v>
      </c>
      <c r="C262" s="22" t="s">
        <v>1240</v>
      </c>
      <c r="D262" s="11"/>
      <c r="E262" s="22" t="s">
        <v>1117</v>
      </c>
      <c r="F262" s="22" t="s">
        <v>1214</v>
      </c>
      <c r="G262" s="22" t="s">
        <v>1241</v>
      </c>
      <c r="H262" s="22" t="s">
        <v>1242</v>
      </c>
      <c r="I262" s="22" t="s">
        <v>1144</v>
      </c>
      <c r="J262" s="22" t="s">
        <v>1243</v>
      </c>
      <c r="K262" s="22" t="s">
        <v>1244</v>
      </c>
      <c r="L262" s="22" t="s">
        <v>1245</v>
      </c>
      <c r="M262" s="22">
        <v>2</v>
      </c>
      <c r="N262" s="22">
        <v>1</v>
      </c>
      <c r="O262" s="22">
        <v>2</v>
      </c>
      <c r="P262" s="22">
        <v>0</v>
      </c>
      <c r="Q262" s="22">
        <v>0</v>
      </c>
      <c r="R262" s="1201">
        <v>763</v>
      </c>
      <c r="S262" s="1201">
        <f t="shared" si="10"/>
        <v>1526</v>
      </c>
      <c r="T262" s="22" t="s">
        <v>422</v>
      </c>
      <c r="U262" s="1854" t="s">
        <v>422</v>
      </c>
      <c r="V262" s="22" t="s">
        <v>1029</v>
      </c>
      <c r="W262" s="2006" t="s">
        <v>1246</v>
      </c>
      <c r="X262" s="18"/>
      <c r="Y262" s="4"/>
      <c r="Z262" s="4"/>
    </row>
    <row r="263" spans="1:26" ht="27.95" hidden="1">
      <c r="A263" s="20">
        <v>270</v>
      </c>
      <c r="B263" s="1063">
        <v>40040</v>
      </c>
      <c r="C263" s="22" t="s">
        <v>1247</v>
      </c>
      <c r="D263" s="11"/>
      <c r="E263" s="22" t="s">
        <v>1117</v>
      </c>
      <c r="F263" s="22" t="s">
        <v>1214</v>
      </c>
      <c r="G263" s="22" t="s">
        <v>1248</v>
      </c>
      <c r="H263" s="22" t="s">
        <v>1242</v>
      </c>
      <c r="I263" s="22" t="s">
        <v>1144</v>
      </c>
      <c r="J263" s="22" t="s">
        <v>1249</v>
      </c>
      <c r="K263" s="22" t="s">
        <v>1250</v>
      </c>
      <c r="L263" s="22" t="s">
        <v>1245</v>
      </c>
      <c r="M263" s="22">
        <v>2</v>
      </c>
      <c r="N263" s="22">
        <v>1</v>
      </c>
      <c r="O263" s="22">
        <v>2</v>
      </c>
      <c r="P263" s="22">
        <v>0</v>
      </c>
      <c r="Q263" s="22">
        <v>0</v>
      </c>
      <c r="R263" s="1201">
        <v>290</v>
      </c>
      <c r="S263" s="1201">
        <f t="shared" si="10"/>
        <v>580</v>
      </c>
      <c r="T263" s="22" t="s">
        <v>422</v>
      </c>
      <c r="U263" s="1854" t="s">
        <v>422</v>
      </c>
      <c r="V263" s="22" t="s">
        <v>1029</v>
      </c>
      <c r="W263" s="2006" t="s">
        <v>1251</v>
      </c>
      <c r="X263" s="18"/>
      <c r="Y263" s="4"/>
      <c r="Z263" s="4"/>
    </row>
    <row r="264" spans="1:26" ht="27.95" hidden="1">
      <c r="A264" s="20">
        <v>271</v>
      </c>
      <c r="B264" s="1063">
        <v>40041</v>
      </c>
      <c r="C264" s="22" t="s">
        <v>1252</v>
      </c>
      <c r="D264" s="11"/>
      <c r="E264" s="22" t="s">
        <v>1117</v>
      </c>
      <c r="F264" s="22" t="s">
        <v>1214</v>
      </c>
      <c r="G264" s="22" t="s">
        <v>1253</v>
      </c>
      <c r="H264" s="22" t="s">
        <v>1242</v>
      </c>
      <c r="I264" s="22" t="s">
        <v>1144</v>
      </c>
      <c r="J264" s="22" t="s">
        <v>1254</v>
      </c>
      <c r="K264" s="22" t="s">
        <v>1255</v>
      </c>
      <c r="L264" s="22" t="s">
        <v>1256</v>
      </c>
      <c r="M264" s="22">
        <v>2</v>
      </c>
      <c r="N264" s="22">
        <v>1</v>
      </c>
      <c r="O264" s="22">
        <v>2</v>
      </c>
      <c r="P264" s="22">
        <v>0</v>
      </c>
      <c r="Q264" s="22">
        <v>0</v>
      </c>
      <c r="R264" s="1201">
        <v>296</v>
      </c>
      <c r="S264" s="1201">
        <f t="shared" si="10"/>
        <v>592</v>
      </c>
      <c r="T264" s="22" t="s">
        <v>422</v>
      </c>
      <c r="U264" s="1854" t="s">
        <v>422</v>
      </c>
      <c r="V264" s="22" t="s">
        <v>1029</v>
      </c>
      <c r="W264" s="2006" t="s">
        <v>1257</v>
      </c>
      <c r="X264" s="18"/>
      <c r="Y264" s="4"/>
      <c r="Z264" s="4"/>
    </row>
    <row r="265" spans="1:26" ht="27.95" hidden="1">
      <c r="A265" s="20">
        <v>272</v>
      </c>
      <c r="B265" s="1063">
        <v>40042</v>
      </c>
      <c r="C265" s="22" t="s">
        <v>1258</v>
      </c>
      <c r="D265" s="11"/>
      <c r="E265" s="22" t="s">
        <v>1117</v>
      </c>
      <c r="F265" s="22" t="s">
        <v>1214</v>
      </c>
      <c r="G265" s="22" t="s">
        <v>1259</v>
      </c>
      <c r="H265" s="22" t="s">
        <v>1260</v>
      </c>
      <c r="I265" s="22" t="s">
        <v>1144</v>
      </c>
      <c r="J265" s="22" t="s">
        <v>1261</v>
      </c>
      <c r="K265" s="22" t="s">
        <v>1262</v>
      </c>
      <c r="L265" s="22" t="s">
        <v>1263</v>
      </c>
      <c r="M265" s="22">
        <v>2</v>
      </c>
      <c r="N265" s="22">
        <v>1</v>
      </c>
      <c r="O265" s="22">
        <v>2</v>
      </c>
      <c r="P265" s="22">
        <v>0</v>
      </c>
      <c r="Q265" s="22">
        <v>0</v>
      </c>
      <c r="R265" s="1201">
        <v>1607</v>
      </c>
      <c r="S265" s="1201">
        <f t="shared" si="10"/>
        <v>3214</v>
      </c>
      <c r="T265" s="22" t="s">
        <v>422</v>
      </c>
      <c r="U265" s="1854" t="s">
        <v>422</v>
      </c>
      <c r="V265" s="22" t="s">
        <v>1029</v>
      </c>
      <c r="W265" s="2006" t="s">
        <v>1264</v>
      </c>
      <c r="X265" s="18"/>
      <c r="Y265" s="4"/>
      <c r="Z265" s="4"/>
    </row>
    <row r="266" spans="1:26" ht="27.95" hidden="1">
      <c r="A266" s="20">
        <v>273</v>
      </c>
      <c r="B266" s="1063">
        <v>40043</v>
      </c>
      <c r="C266" s="22" t="s">
        <v>1265</v>
      </c>
      <c r="D266" s="11"/>
      <c r="E266" s="22" t="s">
        <v>1117</v>
      </c>
      <c r="F266" s="22" t="s">
        <v>1214</v>
      </c>
      <c r="G266" s="22" t="s">
        <v>1266</v>
      </c>
      <c r="H266" s="22" t="s">
        <v>1078</v>
      </c>
      <c r="I266" s="22" t="s">
        <v>1144</v>
      </c>
      <c r="J266" s="22" t="s">
        <v>1267</v>
      </c>
      <c r="K266" s="22" t="s">
        <v>1268</v>
      </c>
      <c r="L266" s="22" t="s">
        <v>1269</v>
      </c>
      <c r="M266" s="22">
        <v>8</v>
      </c>
      <c r="N266" s="22">
        <v>1</v>
      </c>
      <c r="O266" s="22">
        <v>8</v>
      </c>
      <c r="P266" s="22">
        <v>0</v>
      </c>
      <c r="Q266" s="22">
        <v>0</v>
      </c>
      <c r="R266" s="1201">
        <v>1082</v>
      </c>
      <c r="S266" s="1201">
        <f t="shared" si="10"/>
        <v>8656</v>
      </c>
      <c r="T266" s="22" t="s">
        <v>422</v>
      </c>
      <c r="U266" s="1854" t="s">
        <v>422</v>
      </c>
      <c r="V266" s="22" t="s">
        <v>1029</v>
      </c>
      <c r="W266" s="2006" t="s">
        <v>1270</v>
      </c>
      <c r="X266" s="18"/>
      <c r="Y266" s="4"/>
      <c r="Z266" s="4"/>
    </row>
    <row r="267" spans="1:26" ht="27.95" hidden="1">
      <c r="A267" s="20">
        <v>274</v>
      </c>
      <c r="B267" s="1063">
        <v>40044</v>
      </c>
      <c r="C267" s="22" t="s">
        <v>1271</v>
      </c>
      <c r="D267" s="11"/>
      <c r="E267" s="22" t="s">
        <v>1117</v>
      </c>
      <c r="F267" s="22" t="s">
        <v>1214</v>
      </c>
      <c r="G267" s="22" t="s">
        <v>1272</v>
      </c>
      <c r="H267" s="22" t="s">
        <v>1273</v>
      </c>
      <c r="I267" s="22" t="s">
        <v>1144</v>
      </c>
      <c r="J267" s="22" t="s">
        <v>1274</v>
      </c>
      <c r="K267" s="22" t="s">
        <v>1275</v>
      </c>
      <c r="L267" s="22" t="s">
        <v>1276</v>
      </c>
      <c r="M267" s="22">
        <v>2</v>
      </c>
      <c r="N267" s="22">
        <v>1</v>
      </c>
      <c r="O267" s="22">
        <v>2</v>
      </c>
      <c r="P267" s="22">
        <v>0</v>
      </c>
      <c r="Q267" s="22">
        <v>0</v>
      </c>
      <c r="R267" s="1201">
        <v>275</v>
      </c>
      <c r="S267" s="1201">
        <f t="shared" si="10"/>
        <v>550</v>
      </c>
      <c r="T267" s="22" t="s">
        <v>422</v>
      </c>
      <c r="U267" s="1854" t="s">
        <v>422</v>
      </c>
      <c r="V267" s="22" t="s">
        <v>1029</v>
      </c>
      <c r="W267" s="2006" t="s">
        <v>1277</v>
      </c>
      <c r="X267" s="18"/>
      <c r="Y267" s="4"/>
      <c r="Z267" s="4"/>
    </row>
    <row r="268" spans="1:26" ht="56.1" hidden="1">
      <c r="A268" s="20">
        <v>275</v>
      </c>
      <c r="B268" s="1063">
        <v>40045</v>
      </c>
      <c r="C268" s="22" t="s">
        <v>1278</v>
      </c>
      <c r="D268" s="11"/>
      <c r="E268" s="22" t="s">
        <v>1117</v>
      </c>
      <c r="F268" s="22" t="s">
        <v>1214</v>
      </c>
      <c r="G268" s="22" t="s">
        <v>1279</v>
      </c>
      <c r="H268" s="22" t="s">
        <v>1280</v>
      </c>
      <c r="I268" s="22" t="s">
        <v>1022</v>
      </c>
      <c r="J268" s="22"/>
      <c r="K268" s="22"/>
      <c r="L268" s="22"/>
      <c r="M268" s="22">
        <v>1</v>
      </c>
      <c r="N268" s="22">
        <v>1</v>
      </c>
      <c r="O268" s="22">
        <v>1</v>
      </c>
      <c r="P268" s="22">
        <v>0</v>
      </c>
      <c r="Q268" s="22">
        <v>0</v>
      </c>
      <c r="R268" s="1201">
        <v>5480</v>
      </c>
      <c r="S268" s="1201">
        <v>5480</v>
      </c>
      <c r="T268" s="22" t="s">
        <v>422</v>
      </c>
      <c r="U268" s="1854" t="s">
        <v>422</v>
      </c>
      <c r="V268" s="22" t="s">
        <v>1029</v>
      </c>
      <c r="W268" s="2007" t="s">
        <v>1281</v>
      </c>
      <c r="X268" s="18"/>
      <c r="Y268" s="4"/>
      <c r="Z268" s="4"/>
    </row>
    <row r="269" spans="1:26" ht="27.95" hidden="1">
      <c r="A269" s="20">
        <v>276</v>
      </c>
      <c r="B269" s="1063">
        <v>40046</v>
      </c>
      <c r="C269" s="22" t="s">
        <v>1282</v>
      </c>
      <c r="D269" s="11"/>
      <c r="E269" s="22" t="s">
        <v>1117</v>
      </c>
      <c r="F269" s="22" t="s">
        <v>1214</v>
      </c>
      <c r="G269" s="22" t="s">
        <v>1283</v>
      </c>
      <c r="H269" s="22" t="s">
        <v>220</v>
      </c>
      <c r="I269" s="22" t="s">
        <v>1144</v>
      </c>
      <c r="J269" s="22" t="s">
        <v>1284</v>
      </c>
      <c r="K269" s="22" t="s">
        <v>1285</v>
      </c>
      <c r="L269" s="22" t="s">
        <v>1276</v>
      </c>
      <c r="M269" s="22">
        <v>6</v>
      </c>
      <c r="N269" s="22">
        <v>1</v>
      </c>
      <c r="O269" s="22">
        <v>2</v>
      </c>
      <c r="P269" s="22">
        <v>4</v>
      </c>
      <c r="Q269" s="22">
        <v>6</v>
      </c>
      <c r="R269" s="1201">
        <v>20</v>
      </c>
      <c r="S269" s="1201">
        <f>R269*O269</f>
        <v>40</v>
      </c>
      <c r="T269" s="22" t="s">
        <v>422</v>
      </c>
      <c r="U269" s="1854" t="s">
        <v>422</v>
      </c>
      <c r="V269" s="22" t="s">
        <v>1029</v>
      </c>
      <c r="W269" s="2006" t="s">
        <v>1286</v>
      </c>
      <c r="X269" s="18"/>
      <c r="Y269" s="4"/>
      <c r="Z269" s="4"/>
    </row>
    <row r="270" spans="1:26" ht="56.1" hidden="1">
      <c r="A270" s="20">
        <v>277</v>
      </c>
      <c r="B270" s="1063">
        <v>40047</v>
      </c>
      <c r="C270" s="39" t="s">
        <v>1287</v>
      </c>
      <c r="D270" s="11" t="s">
        <v>1288</v>
      </c>
      <c r="E270" s="39" t="s">
        <v>1289</v>
      </c>
      <c r="F270" s="39" t="s">
        <v>1290</v>
      </c>
      <c r="G270" s="39" t="s">
        <v>1291</v>
      </c>
      <c r="H270" s="39" t="s">
        <v>1292</v>
      </c>
      <c r="I270" s="39" t="s">
        <v>1022</v>
      </c>
      <c r="J270" s="39" t="s">
        <v>1293</v>
      </c>
      <c r="K270" s="39" t="s">
        <v>1</v>
      </c>
      <c r="L270" s="39" t="s">
        <v>1</v>
      </c>
      <c r="M270" s="39">
        <v>2</v>
      </c>
      <c r="N270" s="39">
        <v>2</v>
      </c>
      <c r="O270" s="39"/>
      <c r="P270" s="39">
        <v>0</v>
      </c>
      <c r="Q270" s="39">
        <v>0</v>
      </c>
      <c r="R270" s="1207">
        <v>1687.42</v>
      </c>
      <c r="S270" s="1207">
        <f t="shared" ref="S270:S273" si="11">R270*N270</f>
        <v>3374.84</v>
      </c>
      <c r="T270" s="39" t="s">
        <v>1009</v>
      </c>
      <c r="U270" s="1857" t="s">
        <v>1294</v>
      </c>
      <c r="V270" s="39" t="s">
        <v>336</v>
      </c>
      <c r="W270" s="2014" t="s">
        <v>1295</v>
      </c>
      <c r="X270" s="18"/>
      <c r="Y270" s="4"/>
      <c r="Z270" s="4"/>
    </row>
    <row r="271" spans="1:26" ht="195.95" hidden="1">
      <c r="A271" s="20">
        <v>278</v>
      </c>
      <c r="B271" s="1063">
        <v>40048</v>
      </c>
      <c r="C271" s="39" t="s">
        <v>1296</v>
      </c>
      <c r="D271" s="11" t="s">
        <v>1288</v>
      </c>
      <c r="E271" s="39" t="s">
        <v>1289</v>
      </c>
      <c r="F271" s="39" t="s">
        <v>1290</v>
      </c>
      <c r="G271" s="39" t="s">
        <v>1297</v>
      </c>
      <c r="H271" s="39" t="s">
        <v>1298</v>
      </c>
      <c r="I271" s="39" t="s">
        <v>1022</v>
      </c>
      <c r="J271" s="39" t="s">
        <v>1299</v>
      </c>
      <c r="K271" s="39" t="s">
        <v>1299</v>
      </c>
      <c r="L271" s="39" t="s">
        <v>1</v>
      </c>
      <c r="M271" s="39">
        <v>2</v>
      </c>
      <c r="N271" s="39">
        <v>2</v>
      </c>
      <c r="O271" s="39"/>
      <c r="P271" s="39">
        <v>0</v>
      </c>
      <c r="Q271" s="39">
        <v>0</v>
      </c>
      <c r="R271" s="1207">
        <v>3385</v>
      </c>
      <c r="S271" s="1207">
        <f t="shared" si="11"/>
        <v>6770</v>
      </c>
      <c r="T271" s="39" t="s">
        <v>1009</v>
      </c>
      <c r="U271" s="1857" t="s">
        <v>1294</v>
      </c>
      <c r="V271" s="39" t="s">
        <v>336</v>
      </c>
      <c r="W271" s="2014" t="s">
        <v>1300</v>
      </c>
      <c r="X271" s="18"/>
      <c r="Y271" s="4"/>
      <c r="Z271" s="4"/>
    </row>
    <row r="272" spans="1:26" ht="195.95" hidden="1">
      <c r="A272" s="20">
        <v>279</v>
      </c>
      <c r="B272" s="1063">
        <v>40049</v>
      </c>
      <c r="C272" s="39" t="s">
        <v>1301</v>
      </c>
      <c r="D272" s="11" t="s">
        <v>1288</v>
      </c>
      <c r="E272" s="39" t="s">
        <v>1289</v>
      </c>
      <c r="F272" s="39" t="s">
        <v>1290</v>
      </c>
      <c r="G272" s="39" t="s">
        <v>1302</v>
      </c>
      <c r="H272" s="39" t="s">
        <v>1298</v>
      </c>
      <c r="I272" s="39" t="s">
        <v>1022</v>
      </c>
      <c r="J272" s="39" t="s">
        <v>1303</v>
      </c>
      <c r="K272" s="39" t="s">
        <v>1303</v>
      </c>
      <c r="L272" s="39" t="s">
        <v>1</v>
      </c>
      <c r="M272" s="39">
        <v>2</v>
      </c>
      <c r="N272" s="39">
        <v>2</v>
      </c>
      <c r="O272" s="39"/>
      <c r="P272" s="39">
        <v>0</v>
      </c>
      <c r="Q272" s="39">
        <v>0</v>
      </c>
      <c r="R272" s="1207">
        <v>3159.26</v>
      </c>
      <c r="S272" s="1207">
        <f t="shared" si="11"/>
        <v>6318.52</v>
      </c>
      <c r="T272" s="39" t="s">
        <v>1009</v>
      </c>
      <c r="U272" s="1857" t="s">
        <v>1294</v>
      </c>
      <c r="V272" s="39" t="s">
        <v>336</v>
      </c>
      <c r="W272" s="2014" t="s">
        <v>1304</v>
      </c>
      <c r="X272" s="18"/>
      <c r="Y272" s="4"/>
      <c r="Z272" s="4"/>
    </row>
    <row r="273" spans="1:26" ht="140.1" hidden="1">
      <c r="A273" s="20">
        <v>280</v>
      </c>
      <c r="B273" s="1063">
        <v>40050</v>
      </c>
      <c r="C273" s="39" t="s">
        <v>1305</v>
      </c>
      <c r="D273" s="11" t="s">
        <v>1288</v>
      </c>
      <c r="E273" s="39" t="s">
        <v>1289</v>
      </c>
      <c r="F273" s="39" t="s">
        <v>1290</v>
      </c>
      <c r="G273" s="39" t="s">
        <v>1306</v>
      </c>
      <c r="H273" s="39" t="s">
        <v>1292</v>
      </c>
      <c r="I273" s="39" t="s">
        <v>1307</v>
      </c>
      <c r="J273" s="39" t="s">
        <v>1308</v>
      </c>
      <c r="K273" s="39" t="s">
        <v>1</v>
      </c>
      <c r="L273" s="39" t="s">
        <v>1</v>
      </c>
      <c r="M273" s="39">
        <v>1</v>
      </c>
      <c r="N273" s="39">
        <v>1</v>
      </c>
      <c r="O273" s="39"/>
      <c r="P273" s="39">
        <v>0</v>
      </c>
      <c r="Q273" s="39">
        <v>0</v>
      </c>
      <c r="R273" s="1207">
        <v>1715.64</v>
      </c>
      <c r="S273" s="1207">
        <f t="shared" si="11"/>
        <v>1715.64</v>
      </c>
      <c r="T273" s="39" t="s">
        <v>1009</v>
      </c>
      <c r="U273" s="1857" t="s">
        <v>1294</v>
      </c>
      <c r="V273" s="39" t="s">
        <v>336</v>
      </c>
      <c r="W273" s="2014" t="s">
        <v>1309</v>
      </c>
      <c r="X273" s="18"/>
      <c r="Y273" s="4"/>
      <c r="Z273" s="4"/>
    </row>
    <row r="274" spans="1:26" ht="42" hidden="1">
      <c r="A274" s="20">
        <v>281</v>
      </c>
      <c r="B274" s="1063">
        <v>40051</v>
      </c>
      <c r="C274" s="22" t="s">
        <v>1310</v>
      </c>
      <c r="D274" s="11"/>
      <c r="E274" s="22" t="s">
        <v>1117</v>
      </c>
      <c r="F274" s="22" t="s">
        <v>1311</v>
      </c>
      <c r="G274" s="36" t="s">
        <v>1312</v>
      </c>
      <c r="H274" s="36" t="s">
        <v>1085</v>
      </c>
      <c r="I274" s="22" t="s">
        <v>1144</v>
      </c>
      <c r="J274" s="36" t="s">
        <v>1313</v>
      </c>
      <c r="K274" s="36" t="s">
        <v>1314</v>
      </c>
      <c r="L274" s="22"/>
      <c r="M274" s="22">
        <v>2</v>
      </c>
      <c r="N274" s="22">
        <v>1</v>
      </c>
      <c r="O274" s="22">
        <v>4</v>
      </c>
      <c r="P274" s="22">
        <v>0</v>
      </c>
      <c r="Q274" s="22">
        <v>4</v>
      </c>
      <c r="R274" s="1208">
        <v>1548</v>
      </c>
      <c r="S274" s="1201">
        <v>6192</v>
      </c>
      <c r="T274" s="22" t="s">
        <v>1123</v>
      </c>
      <c r="U274" s="1854" t="s">
        <v>118</v>
      </c>
      <c r="V274" s="22" t="s">
        <v>118</v>
      </c>
      <c r="W274" s="2006" t="s">
        <v>1315</v>
      </c>
      <c r="X274" s="18"/>
      <c r="Y274" s="4"/>
      <c r="Z274" s="4"/>
    </row>
    <row r="275" spans="1:26" ht="27.95" hidden="1">
      <c r="A275" s="20">
        <v>282</v>
      </c>
      <c r="B275" s="1063">
        <v>40052</v>
      </c>
      <c r="C275" s="22" t="s">
        <v>1316</v>
      </c>
      <c r="D275" s="11"/>
      <c r="E275" s="22" t="s">
        <v>1117</v>
      </c>
      <c r="F275" s="22" t="s">
        <v>1311</v>
      </c>
      <c r="G275" s="36" t="s">
        <v>1317</v>
      </c>
      <c r="H275" s="36" t="s">
        <v>1318</v>
      </c>
      <c r="I275" s="22" t="s">
        <v>1144</v>
      </c>
      <c r="J275" s="36" t="s">
        <v>1319</v>
      </c>
      <c r="K275" s="36" t="s">
        <v>1320</v>
      </c>
      <c r="L275" s="22"/>
      <c r="M275" s="22">
        <v>1</v>
      </c>
      <c r="N275" s="22">
        <v>1</v>
      </c>
      <c r="O275" s="22">
        <v>2</v>
      </c>
      <c r="P275" s="22">
        <v>0</v>
      </c>
      <c r="Q275" s="22">
        <v>2</v>
      </c>
      <c r="R275" s="1208">
        <v>1800</v>
      </c>
      <c r="S275" s="1201">
        <v>3600</v>
      </c>
      <c r="T275" s="22" t="s">
        <v>1123</v>
      </c>
      <c r="U275" s="1854" t="s">
        <v>118</v>
      </c>
      <c r="V275" s="22" t="s">
        <v>118</v>
      </c>
      <c r="W275" s="2006" t="s">
        <v>1321</v>
      </c>
      <c r="X275" s="18"/>
      <c r="Y275" s="4"/>
      <c r="Z275" s="4"/>
    </row>
    <row r="276" spans="1:26" ht="42" hidden="1">
      <c r="A276" s="20">
        <v>283</v>
      </c>
      <c r="B276" s="1063">
        <v>40053</v>
      </c>
      <c r="C276" s="22" t="s">
        <v>1322</v>
      </c>
      <c r="D276" s="11"/>
      <c r="E276" s="22" t="s">
        <v>1117</v>
      </c>
      <c r="F276" s="22" t="s">
        <v>1311</v>
      </c>
      <c r="G276" s="36" t="s">
        <v>1323</v>
      </c>
      <c r="H276" s="36" t="s">
        <v>1085</v>
      </c>
      <c r="I276" s="22" t="s">
        <v>1144</v>
      </c>
      <c r="J276" s="36" t="s">
        <v>1324</v>
      </c>
      <c r="K276" s="36" t="s">
        <v>1325</v>
      </c>
      <c r="L276" s="22"/>
      <c r="M276" s="22">
        <v>1</v>
      </c>
      <c r="N276" s="22">
        <v>1</v>
      </c>
      <c r="O276" s="22">
        <v>2</v>
      </c>
      <c r="P276" s="22">
        <v>0</v>
      </c>
      <c r="Q276" s="22">
        <v>2</v>
      </c>
      <c r="R276" s="1208">
        <v>2232</v>
      </c>
      <c r="S276" s="1201">
        <v>4464</v>
      </c>
      <c r="T276" s="22" t="s">
        <v>1123</v>
      </c>
      <c r="U276" s="1854" t="s">
        <v>118</v>
      </c>
      <c r="V276" s="22" t="s">
        <v>118</v>
      </c>
      <c r="W276" s="2006" t="s">
        <v>1326</v>
      </c>
      <c r="X276" s="18"/>
      <c r="Y276" s="4"/>
      <c r="Z276" s="4"/>
    </row>
    <row r="277" spans="1:26" ht="98.1" hidden="1">
      <c r="A277" s="20">
        <v>284</v>
      </c>
      <c r="B277" s="1063">
        <v>40054</v>
      </c>
      <c r="C277" s="22" t="s">
        <v>1327</v>
      </c>
      <c r="D277" s="11"/>
      <c r="E277" s="22" t="s">
        <v>62</v>
      </c>
      <c r="F277" s="22" t="s">
        <v>784</v>
      </c>
      <c r="G277" s="22" t="s">
        <v>1328</v>
      </c>
      <c r="H277" s="22" t="s">
        <v>1329</v>
      </c>
      <c r="I277" s="22" t="s">
        <v>1022</v>
      </c>
      <c r="J277" s="22" t="s">
        <v>1330</v>
      </c>
      <c r="K277" s="22" t="s">
        <v>1330</v>
      </c>
      <c r="L277" s="22" t="s">
        <v>149</v>
      </c>
      <c r="M277" s="22">
        <v>1</v>
      </c>
      <c r="N277" s="22">
        <v>1</v>
      </c>
      <c r="O277" s="22">
        <v>1</v>
      </c>
      <c r="P277" s="22">
        <v>0</v>
      </c>
      <c r="Q277" s="22">
        <v>0</v>
      </c>
      <c r="R277" s="1201">
        <v>30651</v>
      </c>
      <c r="S277" s="1201">
        <v>30651</v>
      </c>
      <c r="T277" s="22" t="s">
        <v>957</v>
      </c>
      <c r="U277" s="1854" t="s">
        <v>957</v>
      </c>
      <c r="V277" s="22" t="s">
        <v>1135</v>
      </c>
      <c r="W277" s="2006" t="s">
        <v>1331</v>
      </c>
      <c r="X277" s="18"/>
      <c r="Y277" s="4"/>
      <c r="Z277" s="4"/>
    </row>
    <row r="278" spans="1:26" ht="14.1" hidden="1">
      <c r="A278" s="20">
        <v>285</v>
      </c>
      <c r="B278" s="1063">
        <v>40055</v>
      </c>
      <c r="C278" s="22" t="s">
        <v>1332</v>
      </c>
      <c r="D278" s="11"/>
      <c r="E278" s="22" t="s">
        <v>62</v>
      </c>
      <c r="F278" s="22" t="s">
        <v>784</v>
      </c>
      <c r="G278" s="22" t="s">
        <v>1333</v>
      </c>
      <c r="H278" s="22" t="s">
        <v>817</v>
      </c>
      <c r="I278" s="22" t="s">
        <v>281</v>
      </c>
      <c r="J278" s="22" t="s">
        <v>149</v>
      </c>
      <c r="K278" s="22" t="s">
        <v>149</v>
      </c>
      <c r="L278" s="22" t="s">
        <v>149</v>
      </c>
      <c r="M278" s="22">
        <v>1</v>
      </c>
      <c r="N278" s="22">
        <v>1</v>
      </c>
      <c r="O278" s="22">
        <v>1</v>
      </c>
      <c r="P278" s="22">
        <v>0</v>
      </c>
      <c r="Q278" s="22">
        <v>0</v>
      </c>
      <c r="R278" s="1201">
        <v>9250</v>
      </c>
      <c r="S278" s="1201">
        <v>9250</v>
      </c>
      <c r="T278" s="22" t="s">
        <v>957</v>
      </c>
      <c r="U278" s="1854" t="s">
        <v>957</v>
      </c>
      <c r="V278" s="22" t="s">
        <v>1135</v>
      </c>
      <c r="W278" s="2007"/>
      <c r="X278" s="18"/>
      <c r="Y278" s="4"/>
      <c r="Z278" s="4"/>
    </row>
    <row r="279" spans="1:26" ht="42" hidden="1">
      <c r="A279" s="20">
        <v>286</v>
      </c>
      <c r="B279" s="1063">
        <v>40056</v>
      </c>
      <c r="C279" s="22" t="s">
        <v>1334</v>
      </c>
      <c r="D279" s="11"/>
      <c r="E279" s="22" t="s">
        <v>1117</v>
      </c>
      <c r="F279" s="22" t="s">
        <v>784</v>
      </c>
      <c r="G279" s="22" t="s">
        <v>1335</v>
      </c>
      <c r="H279" s="22" t="s">
        <v>1336</v>
      </c>
      <c r="I279" s="22" t="s">
        <v>84</v>
      </c>
      <c r="J279" s="29">
        <v>20217585</v>
      </c>
      <c r="K279" s="22" t="s">
        <v>1337</v>
      </c>
      <c r="L279" s="22" t="s">
        <v>149</v>
      </c>
      <c r="M279" s="22">
        <v>1</v>
      </c>
      <c r="N279" s="22">
        <v>1</v>
      </c>
      <c r="O279" s="22">
        <v>1</v>
      </c>
      <c r="P279" s="22">
        <v>0</v>
      </c>
      <c r="Q279" s="22">
        <v>0</v>
      </c>
      <c r="R279" s="1201">
        <v>44900</v>
      </c>
      <c r="S279" s="1201">
        <v>44900</v>
      </c>
      <c r="T279" s="22" t="s">
        <v>1123</v>
      </c>
      <c r="U279" s="1854" t="s">
        <v>1338</v>
      </c>
      <c r="V279" s="22" t="s">
        <v>118</v>
      </c>
      <c r="W279" s="2006" t="s">
        <v>1339</v>
      </c>
      <c r="X279" s="18"/>
      <c r="Y279" s="4"/>
      <c r="Z279" s="4"/>
    </row>
    <row r="280" spans="1:26" ht="27.95" hidden="1">
      <c r="A280" s="20">
        <v>287</v>
      </c>
      <c r="B280" s="1063">
        <v>40057</v>
      </c>
      <c r="C280" s="22" t="s">
        <v>1340</v>
      </c>
      <c r="D280" s="11"/>
      <c r="E280" s="22" t="s">
        <v>1001</v>
      </c>
      <c r="F280" s="22" t="s">
        <v>1341</v>
      </c>
      <c r="G280" s="22"/>
      <c r="H280" s="22" t="s">
        <v>1342</v>
      </c>
      <c r="I280" s="22" t="s">
        <v>84</v>
      </c>
      <c r="J280" s="22">
        <v>34933543</v>
      </c>
      <c r="K280" s="22" t="s">
        <v>1343</v>
      </c>
      <c r="L280" s="22" t="s">
        <v>149</v>
      </c>
      <c r="M280" s="22">
        <v>6</v>
      </c>
      <c r="N280" s="22">
        <v>1</v>
      </c>
      <c r="O280" s="22">
        <v>9</v>
      </c>
      <c r="P280" s="22">
        <v>0</v>
      </c>
      <c r="Q280" s="22">
        <v>9</v>
      </c>
      <c r="R280" s="1201">
        <v>659</v>
      </c>
      <c r="S280" s="1201">
        <v>5931</v>
      </c>
      <c r="T280" s="22" t="s">
        <v>87</v>
      </c>
      <c r="U280" s="1854" t="s">
        <v>301</v>
      </c>
      <c r="V280" s="22" t="s">
        <v>1141</v>
      </c>
      <c r="W280" s="2006" t="s">
        <v>1344</v>
      </c>
      <c r="X280" s="18"/>
      <c r="Y280" s="4"/>
      <c r="Z280" s="4"/>
    </row>
    <row r="281" spans="1:26" ht="14.1" hidden="1">
      <c r="A281" s="20">
        <v>288</v>
      </c>
      <c r="B281" s="1063">
        <v>40058</v>
      </c>
      <c r="C281" s="22" t="s">
        <v>1345</v>
      </c>
      <c r="D281" s="11"/>
      <c r="E281" s="22" t="s">
        <v>1001</v>
      </c>
      <c r="F281" s="22" t="s">
        <v>1346</v>
      </c>
      <c r="G281" s="22" t="s">
        <v>1347</v>
      </c>
      <c r="H281" s="22" t="s">
        <v>1348</v>
      </c>
      <c r="I281" s="22" t="s">
        <v>84</v>
      </c>
      <c r="J281" s="22">
        <v>58757973</v>
      </c>
      <c r="K281" s="22" t="s">
        <v>1349</v>
      </c>
      <c r="L281" s="22"/>
      <c r="M281" s="22">
        <v>1</v>
      </c>
      <c r="N281" s="22">
        <v>1</v>
      </c>
      <c r="O281" s="22">
        <v>1</v>
      </c>
      <c r="P281" s="22">
        <v>0</v>
      </c>
      <c r="Q281" s="22">
        <v>0</v>
      </c>
      <c r="R281" s="1201">
        <v>3690</v>
      </c>
      <c r="S281" s="1201">
        <v>3690</v>
      </c>
      <c r="T281" s="22" t="s">
        <v>1009</v>
      </c>
      <c r="U281" s="1854" t="s">
        <v>118</v>
      </c>
      <c r="V281" s="22" t="s">
        <v>118</v>
      </c>
      <c r="W281" s="2006" t="s">
        <v>1350</v>
      </c>
      <c r="X281" s="18"/>
      <c r="Y281" s="4"/>
      <c r="Z281" s="4"/>
    </row>
    <row r="282" spans="1:26" ht="42" hidden="1">
      <c r="A282" s="20">
        <v>289</v>
      </c>
      <c r="B282" s="1063">
        <v>40059</v>
      </c>
      <c r="C282" s="22" t="s">
        <v>1351</v>
      </c>
      <c r="D282" s="11"/>
      <c r="E282" s="22" t="s">
        <v>1001</v>
      </c>
      <c r="F282" s="22" t="s">
        <v>1346</v>
      </c>
      <c r="G282" s="22" t="s">
        <v>1352</v>
      </c>
      <c r="H282" s="22" t="s">
        <v>1353</v>
      </c>
      <c r="I282" s="22" t="s">
        <v>281</v>
      </c>
      <c r="J282" s="22" t="s">
        <v>1354</v>
      </c>
      <c r="K282" s="22" t="s">
        <v>1355</v>
      </c>
      <c r="L282" s="22"/>
      <c r="M282" s="22">
        <v>2</v>
      </c>
      <c r="N282" s="22">
        <v>1</v>
      </c>
      <c r="O282" s="22">
        <v>2</v>
      </c>
      <c r="P282" s="22">
        <v>0</v>
      </c>
      <c r="Q282" s="22">
        <v>0</v>
      </c>
      <c r="R282" s="1201">
        <v>362</v>
      </c>
      <c r="S282" s="1201">
        <f t="shared" ref="S282:S283" si="12">2*R282</f>
        <v>724</v>
      </c>
      <c r="T282" s="22" t="s">
        <v>1009</v>
      </c>
      <c r="U282" s="1854" t="s">
        <v>118</v>
      </c>
      <c r="V282" s="22" t="s">
        <v>118</v>
      </c>
      <c r="W282" s="2006" t="s">
        <v>1356</v>
      </c>
      <c r="X282" s="18"/>
      <c r="Y282" s="4"/>
      <c r="Z282" s="4"/>
    </row>
    <row r="283" spans="1:26" ht="27.95" hidden="1">
      <c r="A283" s="20">
        <v>290</v>
      </c>
      <c r="B283" s="1063">
        <v>40060</v>
      </c>
      <c r="C283" s="22" t="s">
        <v>1357</v>
      </c>
      <c r="D283" s="11"/>
      <c r="E283" s="22" t="s">
        <v>1001</v>
      </c>
      <c r="F283" s="22" t="s">
        <v>1346</v>
      </c>
      <c r="G283" s="22" t="s">
        <v>1358</v>
      </c>
      <c r="H283" s="22" t="s">
        <v>1353</v>
      </c>
      <c r="I283" s="22" t="s">
        <v>281</v>
      </c>
      <c r="J283" s="22" t="s">
        <v>1359</v>
      </c>
      <c r="K283" s="22" t="s">
        <v>1360</v>
      </c>
      <c r="L283" s="22"/>
      <c r="M283" s="22">
        <v>2</v>
      </c>
      <c r="N283" s="22">
        <v>1</v>
      </c>
      <c r="O283" s="22">
        <v>2</v>
      </c>
      <c r="P283" s="22">
        <v>0</v>
      </c>
      <c r="Q283" s="22">
        <v>0</v>
      </c>
      <c r="R283" s="1201">
        <v>2668</v>
      </c>
      <c r="S283" s="1201">
        <f t="shared" si="12"/>
        <v>5336</v>
      </c>
      <c r="T283" s="22" t="s">
        <v>1009</v>
      </c>
      <c r="U283" s="1854" t="s">
        <v>118</v>
      </c>
      <c r="V283" s="22" t="s">
        <v>118</v>
      </c>
      <c r="W283" s="2006" t="s">
        <v>1361</v>
      </c>
      <c r="X283" s="18"/>
      <c r="Y283" s="4"/>
      <c r="Z283" s="4"/>
    </row>
    <row r="284" spans="1:26" ht="14.1" hidden="1">
      <c r="A284" s="20">
        <v>291</v>
      </c>
      <c r="B284" s="1063">
        <v>40061</v>
      </c>
      <c r="C284" s="22" t="s">
        <v>1362</v>
      </c>
      <c r="D284" s="11"/>
      <c r="E284" s="22" t="s">
        <v>1001</v>
      </c>
      <c r="F284" s="22" t="s">
        <v>784</v>
      </c>
      <c r="G284" s="22" t="s">
        <v>134</v>
      </c>
      <c r="H284" s="22" t="s">
        <v>1363</v>
      </c>
      <c r="I284" s="22" t="s">
        <v>1363</v>
      </c>
      <c r="J284" s="22" t="s">
        <v>134</v>
      </c>
      <c r="K284" s="22" t="s">
        <v>134</v>
      </c>
      <c r="L284" s="22" t="s">
        <v>149</v>
      </c>
      <c r="M284" s="22">
        <v>1</v>
      </c>
      <c r="N284" s="22">
        <v>1</v>
      </c>
      <c r="O284" s="22">
        <v>1</v>
      </c>
      <c r="P284" s="22">
        <v>0</v>
      </c>
      <c r="Q284" s="22">
        <v>0</v>
      </c>
      <c r="R284" s="1201">
        <v>15000</v>
      </c>
      <c r="S284" s="1201">
        <v>15000</v>
      </c>
      <c r="T284" s="22" t="s">
        <v>1009</v>
      </c>
      <c r="U284" s="1854" t="s">
        <v>788</v>
      </c>
      <c r="V284" s="22" t="s">
        <v>1364</v>
      </c>
      <c r="W284" s="2007"/>
      <c r="X284" s="18"/>
      <c r="Y284" s="4"/>
      <c r="Z284" s="4"/>
    </row>
    <row r="285" spans="1:26" ht="14.1" hidden="1">
      <c r="A285" s="20">
        <v>292</v>
      </c>
      <c r="B285" s="1063">
        <v>40062</v>
      </c>
      <c r="C285" s="22" t="s">
        <v>1365</v>
      </c>
      <c r="D285" s="11"/>
      <c r="E285" s="22" t="s">
        <v>62</v>
      </c>
      <c r="F285" s="22" t="s">
        <v>73</v>
      </c>
      <c r="G285" s="22" t="s">
        <v>1366</v>
      </c>
      <c r="H285" s="22" t="s">
        <v>1367</v>
      </c>
      <c r="I285" s="22" t="s">
        <v>482</v>
      </c>
      <c r="J285" s="22" t="s">
        <v>1368</v>
      </c>
      <c r="K285" s="26">
        <v>2702684</v>
      </c>
      <c r="L285" s="22"/>
      <c r="M285" s="22">
        <v>4</v>
      </c>
      <c r="N285" s="22">
        <v>1</v>
      </c>
      <c r="O285" s="22">
        <v>4</v>
      </c>
      <c r="P285" s="22">
        <v>0</v>
      </c>
      <c r="Q285" s="22">
        <v>0</v>
      </c>
      <c r="R285" s="1201">
        <v>892</v>
      </c>
      <c r="S285" s="1201">
        <v>3568</v>
      </c>
      <c r="T285" s="22" t="s">
        <v>1369</v>
      </c>
      <c r="U285" s="1854" t="s">
        <v>118</v>
      </c>
      <c r="V285" s="22" t="s">
        <v>118</v>
      </c>
      <c r="W285" s="2006" t="s">
        <v>1370</v>
      </c>
      <c r="X285" s="18"/>
      <c r="Y285" s="4"/>
      <c r="Z285" s="4"/>
    </row>
    <row r="286" spans="1:26" ht="14.1" hidden="1">
      <c r="A286" s="20">
        <v>293</v>
      </c>
      <c r="B286" s="1063">
        <v>40063</v>
      </c>
      <c r="C286" s="22" t="s">
        <v>1371</v>
      </c>
      <c r="D286" s="11"/>
      <c r="E286" s="22" t="s">
        <v>1001</v>
      </c>
      <c r="F286" s="22" t="s">
        <v>330</v>
      </c>
      <c r="G286" s="22" t="s">
        <v>1372</v>
      </c>
      <c r="H286" s="22" t="s">
        <v>1373</v>
      </c>
      <c r="I286" s="22" t="s">
        <v>84</v>
      </c>
      <c r="J286" s="22">
        <v>16408132</v>
      </c>
      <c r="K286" s="22" t="s">
        <v>1374</v>
      </c>
      <c r="L286" s="22"/>
      <c r="M286" s="22">
        <v>1</v>
      </c>
      <c r="N286" s="22">
        <v>1</v>
      </c>
      <c r="O286" s="22">
        <v>1</v>
      </c>
      <c r="P286" s="22">
        <v>0</v>
      </c>
      <c r="Q286" s="22">
        <v>0</v>
      </c>
      <c r="R286" s="1201">
        <v>6690</v>
      </c>
      <c r="S286" s="1205">
        <v>6690</v>
      </c>
      <c r="T286" s="22" t="s">
        <v>1375</v>
      </c>
      <c r="U286" s="1854" t="s">
        <v>1375</v>
      </c>
      <c r="V286" s="22"/>
      <c r="W286" s="2006" t="s">
        <v>1376</v>
      </c>
      <c r="X286" s="18"/>
      <c r="Y286" s="4"/>
      <c r="Z286" s="4"/>
    </row>
    <row r="287" spans="1:26" ht="27.95" hidden="1">
      <c r="A287" s="20">
        <v>294</v>
      </c>
      <c r="B287" s="1063">
        <v>40064</v>
      </c>
      <c r="C287" s="22" t="s">
        <v>1377</v>
      </c>
      <c r="D287" s="11"/>
      <c r="E287" s="22" t="s">
        <v>1031</v>
      </c>
      <c r="F287" s="22" t="s">
        <v>1378</v>
      </c>
      <c r="G287" s="22"/>
      <c r="H287" s="22" t="s">
        <v>1379</v>
      </c>
      <c r="I287" s="22" t="s">
        <v>1379</v>
      </c>
      <c r="J287" s="22"/>
      <c r="K287" s="22"/>
      <c r="L287" s="22"/>
      <c r="M287" s="22">
        <v>1</v>
      </c>
      <c r="N287" s="22">
        <v>1</v>
      </c>
      <c r="O287" s="22">
        <v>4</v>
      </c>
      <c r="P287" s="22">
        <v>0</v>
      </c>
      <c r="Q287" s="22">
        <v>0</v>
      </c>
      <c r="R287" s="1201">
        <v>55005</v>
      </c>
      <c r="S287" s="1201">
        <v>55005</v>
      </c>
      <c r="T287" s="22" t="s">
        <v>422</v>
      </c>
      <c r="U287" s="1854" t="s">
        <v>422</v>
      </c>
      <c r="V287" s="22" t="s">
        <v>1380</v>
      </c>
      <c r="W287" s="2006" t="s">
        <v>401</v>
      </c>
      <c r="X287" s="18"/>
      <c r="Y287" s="4"/>
      <c r="Z287" s="4"/>
    </row>
    <row r="288" spans="1:26" ht="24.95" hidden="1">
      <c r="A288" s="20">
        <v>295</v>
      </c>
      <c r="B288" s="1063">
        <v>40065</v>
      </c>
      <c r="C288" s="26" t="s">
        <v>1381</v>
      </c>
      <c r="D288" s="11"/>
      <c r="E288" s="22" t="s">
        <v>1031</v>
      </c>
      <c r="F288" s="22" t="s">
        <v>1378</v>
      </c>
      <c r="G288" s="22"/>
      <c r="H288" s="22" t="s">
        <v>1379</v>
      </c>
      <c r="I288" s="22" t="s">
        <v>1379</v>
      </c>
      <c r="J288" s="22"/>
      <c r="K288" s="22"/>
      <c r="L288" s="22"/>
      <c r="M288" s="22">
        <v>1</v>
      </c>
      <c r="N288" s="22">
        <v>1</v>
      </c>
      <c r="O288" s="22">
        <v>4</v>
      </c>
      <c r="P288" s="22">
        <v>0</v>
      </c>
      <c r="Q288" s="22">
        <v>0</v>
      </c>
      <c r="R288" s="1201">
        <v>33836</v>
      </c>
      <c r="S288" s="1201">
        <v>33836</v>
      </c>
      <c r="T288" s="22" t="s">
        <v>422</v>
      </c>
      <c r="U288" s="1854" t="s">
        <v>422</v>
      </c>
      <c r="V288" s="22" t="s">
        <v>1380</v>
      </c>
      <c r="W288" s="2006" t="s">
        <v>401</v>
      </c>
      <c r="X288" s="18"/>
      <c r="Y288" s="4"/>
      <c r="Z288" s="4"/>
    </row>
    <row r="289" spans="1:26" ht="27.95" hidden="1">
      <c r="A289" s="20">
        <v>296</v>
      </c>
      <c r="B289" s="1063">
        <v>40066</v>
      </c>
      <c r="C289" s="22" t="s">
        <v>1382</v>
      </c>
      <c r="D289" s="11"/>
      <c r="E289" s="22" t="s">
        <v>1031</v>
      </c>
      <c r="F289" s="22" t="s">
        <v>1378</v>
      </c>
      <c r="G289" s="22"/>
      <c r="H289" s="22" t="s">
        <v>1379</v>
      </c>
      <c r="I289" s="22" t="s">
        <v>1379</v>
      </c>
      <c r="J289" s="22"/>
      <c r="K289" s="22"/>
      <c r="L289" s="22"/>
      <c r="M289" s="22">
        <v>1</v>
      </c>
      <c r="N289" s="22">
        <v>1</v>
      </c>
      <c r="O289" s="22">
        <v>4</v>
      </c>
      <c r="P289" s="22">
        <v>0</v>
      </c>
      <c r="Q289" s="22">
        <v>0</v>
      </c>
      <c r="R289" s="1201">
        <v>26661</v>
      </c>
      <c r="S289" s="1201">
        <v>26661</v>
      </c>
      <c r="T289" s="22" t="s">
        <v>422</v>
      </c>
      <c r="U289" s="1854" t="s">
        <v>422</v>
      </c>
      <c r="V289" s="22" t="s">
        <v>1380</v>
      </c>
      <c r="W289" s="2272" t="s">
        <v>401</v>
      </c>
      <c r="X289" s="18"/>
      <c r="Y289" s="4"/>
      <c r="Z289" s="4"/>
    </row>
    <row r="290" spans="1:26" ht="14.1" hidden="1">
      <c r="A290" s="20">
        <v>297</v>
      </c>
      <c r="B290" s="1063">
        <v>40067</v>
      </c>
      <c r="C290" s="22" t="s">
        <v>1383</v>
      </c>
      <c r="D290" s="11"/>
      <c r="E290" s="22" t="s">
        <v>62</v>
      </c>
      <c r="F290" s="22" t="s">
        <v>1214</v>
      </c>
      <c r="G290" s="22" t="s">
        <v>1384</v>
      </c>
      <c r="H290" s="22" t="s">
        <v>287</v>
      </c>
      <c r="I290" s="22" t="s">
        <v>287</v>
      </c>
      <c r="J290" s="22"/>
      <c r="K290" s="22"/>
      <c r="L290" s="22"/>
      <c r="M290" s="22">
        <v>1</v>
      </c>
      <c r="N290" s="22">
        <v>1</v>
      </c>
      <c r="O290" s="22">
        <v>1</v>
      </c>
      <c r="P290" s="22">
        <v>0</v>
      </c>
      <c r="Q290" s="22">
        <v>0</v>
      </c>
      <c r="R290" s="1201">
        <v>37019</v>
      </c>
      <c r="S290" s="1201">
        <v>37019</v>
      </c>
      <c r="T290" s="22" t="s">
        <v>422</v>
      </c>
      <c r="U290" s="1854" t="s">
        <v>422</v>
      </c>
      <c r="V290" s="22" t="s">
        <v>1385</v>
      </c>
      <c r="W290" s="2006" t="s">
        <v>401</v>
      </c>
      <c r="X290" s="18"/>
      <c r="Y290" s="4"/>
      <c r="Z290" s="4"/>
    </row>
    <row r="291" spans="1:26" ht="14.1" hidden="1">
      <c r="A291" s="20">
        <v>298</v>
      </c>
      <c r="B291" s="1063">
        <v>40068</v>
      </c>
      <c r="C291" s="22" t="s">
        <v>1386</v>
      </c>
      <c r="D291" s="11"/>
      <c r="E291" s="22" t="s">
        <v>1001</v>
      </c>
      <c r="F291" s="22" t="s">
        <v>131</v>
      </c>
      <c r="G291" s="22" t="s">
        <v>1387</v>
      </c>
      <c r="H291" s="22" t="s">
        <v>1388</v>
      </c>
      <c r="I291" s="22" t="s">
        <v>1388</v>
      </c>
      <c r="J291" s="22"/>
      <c r="K291" s="22"/>
      <c r="L291" s="22"/>
      <c r="M291" s="22">
        <v>3</v>
      </c>
      <c r="N291" s="22">
        <v>10</v>
      </c>
      <c r="O291" s="22">
        <v>15</v>
      </c>
      <c r="P291" s="22">
        <v>0</v>
      </c>
      <c r="Q291" s="22">
        <v>12</v>
      </c>
      <c r="R291" s="1201">
        <v>1030</v>
      </c>
      <c r="S291" s="1201">
        <v>1030</v>
      </c>
      <c r="T291" s="22" t="s">
        <v>87</v>
      </c>
      <c r="U291" s="1854" t="s">
        <v>138</v>
      </c>
      <c r="V291" s="22" t="s">
        <v>801</v>
      </c>
      <c r="W291" s="2006" t="s">
        <v>1389</v>
      </c>
      <c r="X291" s="18"/>
      <c r="Y291" s="4"/>
      <c r="Z291" s="4"/>
    </row>
    <row r="292" spans="1:26" ht="14.1" hidden="1">
      <c r="A292" s="20">
        <v>299</v>
      </c>
      <c r="B292" s="1063">
        <v>40069</v>
      </c>
      <c r="C292" s="22" t="s">
        <v>1390</v>
      </c>
      <c r="D292" s="11"/>
      <c r="E292" s="22" t="s">
        <v>572</v>
      </c>
      <c r="F292" s="22" t="s">
        <v>784</v>
      </c>
      <c r="G292" s="40" t="s">
        <v>1391</v>
      </c>
      <c r="H292" s="22" t="s">
        <v>1392</v>
      </c>
      <c r="I292" s="22" t="s">
        <v>84</v>
      </c>
      <c r="J292" s="40">
        <v>34740623</v>
      </c>
      <c r="K292" s="41" t="s">
        <v>1393</v>
      </c>
      <c r="L292" s="22" t="s">
        <v>149</v>
      </c>
      <c r="M292" s="22">
        <v>5</v>
      </c>
      <c r="N292" s="22">
        <v>1</v>
      </c>
      <c r="O292" s="22">
        <v>5</v>
      </c>
      <c r="P292" s="22">
        <v>0</v>
      </c>
      <c r="Q292" s="22">
        <v>0</v>
      </c>
      <c r="R292" s="1201">
        <v>959</v>
      </c>
      <c r="S292" s="1201">
        <f>R292*O292</f>
        <v>4795</v>
      </c>
      <c r="T292" s="22" t="s">
        <v>1394</v>
      </c>
      <c r="U292" s="1854" t="s">
        <v>1395</v>
      </c>
      <c r="V292" s="22" t="s">
        <v>1135</v>
      </c>
      <c r="W292" s="2006" t="s">
        <v>1396</v>
      </c>
      <c r="X292" s="18"/>
      <c r="Y292" s="4"/>
      <c r="Z292" s="4"/>
    </row>
    <row r="293" spans="1:26" ht="14.1" hidden="1">
      <c r="A293" s="20">
        <v>300</v>
      </c>
      <c r="B293" s="1063">
        <v>40070</v>
      </c>
      <c r="C293" s="22" t="s">
        <v>1397</v>
      </c>
      <c r="D293" s="11"/>
      <c r="E293" s="22" t="s">
        <v>1031</v>
      </c>
      <c r="F293" s="22" t="s">
        <v>1398</v>
      </c>
      <c r="G293" s="22" t="s">
        <v>1399</v>
      </c>
      <c r="H293" s="22" t="s">
        <v>1400</v>
      </c>
      <c r="I293" s="22" t="s">
        <v>39</v>
      </c>
      <c r="J293" s="22" t="s">
        <v>1401</v>
      </c>
      <c r="K293" s="22" t="s">
        <v>1402</v>
      </c>
      <c r="L293" s="22" t="s">
        <v>1403</v>
      </c>
      <c r="M293" s="22">
        <v>17</v>
      </c>
      <c r="N293" s="22">
        <v>5</v>
      </c>
      <c r="O293" s="22">
        <v>55</v>
      </c>
      <c r="P293" s="22">
        <v>0</v>
      </c>
      <c r="Q293" s="22">
        <v>55</v>
      </c>
      <c r="R293" s="1201">
        <v>15</v>
      </c>
      <c r="S293" s="1201">
        <v>792</v>
      </c>
      <c r="T293" s="22" t="s">
        <v>422</v>
      </c>
      <c r="U293" s="1854" t="s">
        <v>422</v>
      </c>
      <c r="V293" s="22" t="s">
        <v>1385</v>
      </c>
      <c r="W293" s="2006" t="s">
        <v>1404</v>
      </c>
      <c r="X293" s="18"/>
      <c r="Y293" s="4"/>
      <c r="Z293" s="4"/>
    </row>
    <row r="294" spans="1:26" ht="14.1" hidden="1">
      <c r="A294" s="20">
        <v>301</v>
      </c>
      <c r="B294" s="1063">
        <v>40071</v>
      </c>
      <c r="C294" s="22" t="s">
        <v>1405</v>
      </c>
      <c r="D294" s="11"/>
      <c r="E294" s="22" t="s">
        <v>1031</v>
      </c>
      <c r="F294" s="22" t="s">
        <v>1398</v>
      </c>
      <c r="G294" s="22" t="s">
        <v>1406</v>
      </c>
      <c r="H294" s="22" t="s">
        <v>249</v>
      </c>
      <c r="I294" s="22" t="s">
        <v>39</v>
      </c>
      <c r="J294" s="22" t="s">
        <v>1407</v>
      </c>
      <c r="K294" s="22" t="s">
        <v>1408</v>
      </c>
      <c r="L294" s="22" t="s">
        <v>1403</v>
      </c>
      <c r="M294" s="22">
        <v>13</v>
      </c>
      <c r="N294" s="22">
        <v>10</v>
      </c>
      <c r="O294" s="22">
        <v>40</v>
      </c>
      <c r="P294" s="22">
        <v>0</v>
      </c>
      <c r="Q294" s="22">
        <v>40</v>
      </c>
      <c r="R294" s="1201">
        <v>25.5</v>
      </c>
      <c r="S294" s="1201">
        <v>1020</v>
      </c>
      <c r="T294" s="22" t="s">
        <v>422</v>
      </c>
      <c r="U294" s="1854" t="s">
        <v>422</v>
      </c>
      <c r="V294" s="22" t="s">
        <v>1385</v>
      </c>
      <c r="W294" s="2006" t="s">
        <v>1409</v>
      </c>
      <c r="X294" s="18"/>
      <c r="Y294" s="4"/>
      <c r="Z294" s="4"/>
    </row>
    <row r="295" spans="1:26" ht="14.1" hidden="1">
      <c r="A295" s="20">
        <v>302</v>
      </c>
      <c r="B295" s="1063">
        <v>40072</v>
      </c>
      <c r="C295" s="22" t="s">
        <v>1410</v>
      </c>
      <c r="D295" s="11"/>
      <c r="E295" s="22" t="s">
        <v>1031</v>
      </c>
      <c r="F295" s="22" t="s">
        <v>1398</v>
      </c>
      <c r="G295" s="22" t="s">
        <v>1411</v>
      </c>
      <c r="H295" s="22" t="s">
        <v>249</v>
      </c>
      <c r="I295" s="22" t="s">
        <v>39</v>
      </c>
      <c r="J295" s="22" t="s">
        <v>1412</v>
      </c>
      <c r="K295" s="22" t="s">
        <v>1413</v>
      </c>
      <c r="L295" s="22" t="s">
        <v>1403</v>
      </c>
      <c r="M295" s="22">
        <v>2</v>
      </c>
      <c r="N295" s="22">
        <v>10</v>
      </c>
      <c r="O295" s="22">
        <v>10</v>
      </c>
      <c r="P295" s="22">
        <v>0</v>
      </c>
      <c r="Q295" s="22">
        <v>6</v>
      </c>
      <c r="R295" s="1201">
        <v>18.600000000000001</v>
      </c>
      <c r="S295" s="1201">
        <v>186</v>
      </c>
      <c r="T295" s="22" t="s">
        <v>422</v>
      </c>
      <c r="U295" s="1854" t="s">
        <v>422</v>
      </c>
      <c r="V295" s="22" t="s">
        <v>1385</v>
      </c>
      <c r="W295" s="2006" t="s">
        <v>1414</v>
      </c>
      <c r="X295" s="18"/>
      <c r="Y295" s="4"/>
      <c r="Z295" s="4"/>
    </row>
    <row r="296" spans="1:26" ht="14.1" hidden="1">
      <c r="A296" s="20">
        <v>303</v>
      </c>
      <c r="B296" s="1063">
        <v>40073</v>
      </c>
      <c r="C296" s="22" t="s">
        <v>1415</v>
      </c>
      <c r="D296" s="11"/>
      <c r="E296" s="22" t="s">
        <v>1031</v>
      </c>
      <c r="F296" s="22" t="s">
        <v>1398</v>
      </c>
      <c r="G296" s="22" t="s">
        <v>1416</v>
      </c>
      <c r="H296" s="22" t="s">
        <v>1400</v>
      </c>
      <c r="I296" s="22" t="s">
        <v>39</v>
      </c>
      <c r="J296" s="22" t="s">
        <v>1417</v>
      </c>
      <c r="K296" s="22" t="s">
        <v>1418</v>
      </c>
      <c r="L296" s="22" t="s">
        <v>1403</v>
      </c>
      <c r="M296" s="22">
        <v>46</v>
      </c>
      <c r="N296" s="22">
        <v>5</v>
      </c>
      <c r="O296" s="22">
        <v>140</v>
      </c>
      <c r="P296" s="22">
        <v>0</v>
      </c>
      <c r="Q296" s="22">
        <v>140</v>
      </c>
      <c r="R296" s="1201">
        <v>31</v>
      </c>
      <c r="S296" s="1201">
        <v>4340</v>
      </c>
      <c r="T296" s="22" t="s">
        <v>422</v>
      </c>
      <c r="U296" s="1854" t="s">
        <v>422</v>
      </c>
      <c r="V296" s="22" t="s">
        <v>1385</v>
      </c>
      <c r="W296" s="2006" t="s">
        <v>1419</v>
      </c>
      <c r="X296" s="18"/>
      <c r="Y296" s="4"/>
      <c r="Z296" s="4"/>
    </row>
    <row r="297" spans="1:26" ht="14.1" hidden="1">
      <c r="A297" s="20">
        <v>304</v>
      </c>
      <c r="B297" s="1063">
        <v>40074</v>
      </c>
      <c r="C297" s="22" t="s">
        <v>1420</v>
      </c>
      <c r="D297" s="11"/>
      <c r="E297" s="22" t="s">
        <v>1031</v>
      </c>
      <c r="F297" s="22" t="s">
        <v>1398</v>
      </c>
      <c r="G297" s="22" t="s">
        <v>1421</v>
      </c>
      <c r="H297" s="22" t="s">
        <v>1422</v>
      </c>
      <c r="I297" s="22" t="s">
        <v>39</v>
      </c>
      <c r="J297" s="22" t="s">
        <v>1423</v>
      </c>
      <c r="K297" s="22" t="s">
        <v>1424</v>
      </c>
      <c r="L297" s="22" t="s">
        <v>1425</v>
      </c>
      <c r="M297" s="22">
        <v>27</v>
      </c>
      <c r="N297" s="22">
        <v>50</v>
      </c>
      <c r="O297" s="22">
        <v>100</v>
      </c>
      <c r="P297" s="22">
        <v>0</v>
      </c>
      <c r="Q297" s="22">
        <v>100</v>
      </c>
      <c r="R297" s="1201">
        <v>15.68</v>
      </c>
      <c r="S297" s="1201">
        <v>1568</v>
      </c>
      <c r="T297" s="22" t="s">
        <v>422</v>
      </c>
      <c r="U297" s="1854" t="s">
        <v>422</v>
      </c>
      <c r="V297" s="22" t="s">
        <v>1385</v>
      </c>
      <c r="W297" s="2006" t="s">
        <v>1426</v>
      </c>
      <c r="X297" s="18"/>
      <c r="Y297" s="4"/>
      <c r="Z297" s="4"/>
    </row>
    <row r="298" spans="1:26" ht="14.1" hidden="1">
      <c r="A298" s="20">
        <v>305</v>
      </c>
      <c r="B298" s="1063">
        <v>40075</v>
      </c>
      <c r="C298" s="22" t="s">
        <v>1427</v>
      </c>
      <c r="D298" s="11"/>
      <c r="E298" s="22" t="s">
        <v>1031</v>
      </c>
      <c r="F298" s="22" t="s">
        <v>1398</v>
      </c>
      <c r="G298" s="22" t="s">
        <v>1428</v>
      </c>
      <c r="H298" s="22" t="s">
        <v>1429</v>
      </c>
      <c r="I298" s="22" t="s">
        <v>39</v>
      </c>
      <c r="J298" s="22" t="s">
        <v>1430</v>
      </c>
      <c r="K298" s="22" t="s">
        <v>1431</v>
      </c>
      <c r="L298" s="22" t="s">
        <v>1432</v>
      </c>
      <c r="M298" s="22">
        <v>4</v>
      </c>
      <c r="N298" s="22">
        <v>5</v>
      </c>
      <c r="O298" s="22">
        <v>15</v>
      </c>
      <c r="P298" s="22">
        <v>0</v>
      </c>
      <c r="Q298" s="22">
        <v>15</v>
      </c>
      <c r="R298" s="1201">
        <v>51.4</v>
      </c>
      <c r="S298" s="1201">
        <v>771</v>
      </c>
      <c r="T298" s="22" t="s">
        <v>422</v>
      </c>
      <c r="U298" s="1854" t="s">
        <v>422</v>
      </c>
      <c r="V298" s="22" t="s">
        <v>1385</v>
      </c>
      <c r="W298" s="2006" t="s">
        <v>1433</v>
      </c>
      <c r="X298" s="18"/>
      <c r="Y298" s="4"/>
      <c r="Z298" s="4"/>
    </row>
    <row r="299" spans="1:26" ht="14.1" hidden="1">
      <c r="A299" s="20">
        <v>306</v>
      </c>
      <c r="B299" s="1063">
        <v>40076</v>
      </c>
      <c r="C299" s="22" t="s">
        <v>1434</v>
      </c>
      <c r="D299" s="11"/>
      <c r="E299" s="22" t="s">
        <v>1031</v>
      </c>
      <c r="F299" s="22" t="s">
        <v>1398</v>
      </c>
      <c r="G299" s="22" t="s">
        <v>1435</v>
      </c>
      <c r="H299" s="22" t="s">
        <v>1436</v>
      </c>
      <c r="I299" s="22" t="s">
        <v>39</v>
      </c>
      <c r="J299" s="22" t="s">
        <v>1437</v>
      </c>
      <c r="K299" s="22" t="s">
        <v>1438</v>
      </c>
      <c r="L299" s="22" t="s">
        <v>1432</v>
      </c>
      <c r="M299" s="22">
        <v>3</v>
      </c>
      <c r="N299" s="22">
        <v>1</v>
      </c>
      <c r="O299" s="22">
        <v>9</v>
      </c>
      <c r="P299" s="22">
        <v>0</v>
      </c>
      <c r="Q299" s="22">
        <v>9</v>
      </c>
      <c r="R299" s="1201">
        <v>629</v>
      </c>
      <c r="S299" s="1201">
        <v>5661</v>
      </c>
      <c r="T299" s="22" t="s">
        <v>422</v>
      </c>
      <c r="U299" s="1854" t="s">
        <v>422</v>
      </c>
      <c r="V299" s="22" t="s">
        <v>1385</v>
      </c>
      <c r="W299" s="2006" t="s">
        <v>1439</v>
      </c>
      <c r="X299" s="18"/>
      <c r="Y299" s="4"/>
      <c r="Z299" s="4"/>
    </row>
    <row r="300" spans="1:26" ht="14.1" hidden="1">
      <c r="A300" s="20">
        <v>307</v>
      </c>
      <c r="B300" s="1063">
        <v>40077</v>
      </c>
      <c r="C300" s="22" t="s">
        <v>1440</v>
      </c>
      <c r="D300" s="11"/>
      <c r="E300" s="22" t="s">
        <v>1031</v>
      </c>
      <c r="F300" s="22" t="s">
        <v>1398</v>
      </c>
      <c r="G300" s="22" t="s">
        <v>1441</v>
      </c>
      <c r="H300" s="22" t="s">
        <v>1442</v>
      </c>
      <c r="I300" s="22" t="s">
        <v>39</v>
      </c>
      <c r="J300" s="22" t="s">
        <v>1443</v>
      </c>
      <c r="K300" s="22" t="s">
        <v>1444</v>
      </c>
      <c r="L300" s="22" t="s">
        <v>1432</v>
      </c>
      <c r="M300" s="22">
        <v>2</v>
      </c>
      <c r="N300" s="22">
        <v>5</v>
      </c>
      <c r="O300" s="22">
        <v>5</v>
      </c>
      <c r="P300" s="22">
        <v>0</v>
      </c>
      <c r="Q300" s="22">
        <v>5</v>
      </c>
      <c r="R300" s="1201">
        <v>287.39999999999998</v>
      </c>
      <c r="S300" s="1201">
        <v>1437</v>
      </c>
      <c r="T300" s="22" t="s">
        <v>422</v>
      </c>
      <c r="U300" s="1854" t="s">
        <v>422</v>
      </c>
      <c r="V300" s="22" t="s">
        <v>1385</v>
      </c>
      <c r="W300" s="2006" t="s">
        <v>1445</v>
      </c>
      <c r="X300" s="18"/>
      <c r="Y300" s="4"/>
      <c r="Z300" s="4"/>
    </row>
    <row r="301" spans="1:26" ht="14.1" hidden="1">
      <c r="A301" s="20">
        <v>308</v>
      </c>
      <c r="B301" s="1063">
        <v>40078</v>
      </c>
      <c r="C301" s="22" t="s">
        <v>1446</v>
      </c>
      <c r="D301" s="11"/>
      <c r="E301" s="22" t="s">
        <v>1031</v>
      </c>
      <c r="F301" s="22" t="s">
        <v>1398</v>
      </c>
      <c r="G301" s="22" t="s">
        <v>1447</v>
      </c>
      <c r="H301" s="22" t="s">
        <v>1143</v>
      </c>
      <c r="I301" s="22" t="s">
        <v>39</v>
      </c>
      <c r="J301" s="26" t="s">
        <v>1448</v>
      </c>
      <c r="K301" s="22" t="s">
        <v>1449</v>
      </c>
      <c r="L301" s="22" t="s">
        <v>1432</v>
      </c>
      <c r="M301" s="22">
        <v>1</v>
      </c>
      <c r="N301" s="22">
        <v>10</v>
      </c>
      <c r="O301" s="22">
        <v>10</v>
      </c>
      <c r="P301" s="22">
        <v>0</v>
      </c>
      <c r="Q301" s="22">
        <v>10</v>
      </c>
      <c r="R301" s="1201">
        <v>29.7</v>
      </c>
      <c r="S301" s="1201">
        <v>297</v>
      </c>
      <c r="T301" s="22" t="s">
        <v>422</v>
      </c>
      <c r="U301" s="1854" t="s">
        <v>422</v>
      </c>
      <c r="V301" s="22" t="s">
        <v>1385</v>
      </c>
      <c r="W301" s="2006" t="s">
        <v>1450</v>
      </c>
      <c r="X301" s="18"/>
      <c r="Y301" s="4"/>
      <c r="Z301" s="4"/>
    </row>
    <row r="302" spans="1:26" ht="14.1" hidden="1">
      <c r="A302" s="20">
        <v>309</v>
      </c>
      <c r="B302" s="1063">
        <v>40079</v>
      </c>
      <c r="C302" s="22" t="s">
        <v>1451</v>
      </c>
      <c r="D302" s="11"/>
      <c r="E302" s="22" t="s">
        <v>1031</v>
      </c>
      <c r="F302" s="22" t="s">
        <v>1398</v>
      </c>
      <c r="G302" s="22" t="s">
        <v>1452</v>
      </c>
      <c r="H302" s="22" t="s">
        <v>1453</v>
      </c>
      <c r="I302" s="22" t="s">
        <v>39</v>
      </c>
      <c r="J302" s="22" t="s">
        <v>1454</v>
      </c>
      <c r="K302" s="22" t="s">
        <v>1455</v>
      </c>
      <c r="L302" s="22" t="s">
        <v>1456</v>
      </c>
      <c r="M302" s="22">
        <v>1</v>
      </c>
      <c r="N302" s="22">
        <v>2</v>
      </c>
      <c r="O302" s="22">
        <v>4</v>
      </c>
      <c r="P302" s="22">
        <v>0</v>
      </c>
      <c r="Q302" s="22">
        <v>4</v>
      </c>
      <c r="R302" s="1201">
        <v>565</v>
      </c>
      <c r="S302" s="1201">
        <v>2260</v>
      </c>
      <c r="T302" s="22" t="s">
        <v>422</v>
      </c>
      <c r="U302" s="1854" t="s">
        <v>422</v>
      </c>
      <c r="V302" s="22" t="s">
        <v>1385</v>
      </c>
      <c r="W302" s="2006" t="s">
        <v>1457</v>
      </c>
      <c r="X302" s="18"/>
      <c r="Y302" s="4"/>
      <c r="Z302" s="4"/>
    </row>
    <row r="303" spans="1:26" ht="14.1" hidden="1">
      <c r="A303" s="20">
        <v>310</v>
      </c>
      <c r="B303" s="1063">
        <v>40080</v>
      </c>
      <c r="C303" s="22" t="s">
        <v>1458</v>
      </c>
      <c r="D303" s="11"/>
      <c r="E303" s="22" t="s">
        <v>1031</v>
      </c>
      <c r="F303" s="22" t="s">
        <v>1398</v>
      </c>
      <c r="G303" s="22" t="s">
        <v>1459</v>
      </c>
      <c r="H303" s="22" t="s">
        <v>1460</v>
      </c>
      <c r="I303" s="22" t="s">
        <v>39</v>
      </c>
      <c r="J303" s="22" t="s">
        <v>1461</v>
      </c>
      <c r="K303" s="22" t="s">
        <v>1462</v>
      </c>
      <c r="L303" s="22" t="s">
        <v>1456</v>
      </c>
      <c r="M303" s="22">
        <v>1</v>
      </c>
      <c r="N303" s="22">
        <v>1</v>
      </c>
      <c r="O303" s="22">
        <v>3</v>
      </c>
      <c r="P303" s="22">
        <v>0</v>
      </c>
      <c r="Q303" s="22">
        <v>3</v>
      </c>
      <c r="R303" s="1201">
        <v>538</v>
      </c>
      <c r="S303" s="1201">
        <v>1614</v>
      </c>
      <c r="T303" s="22" t="s">
        <v>422</v>
      </c>
      <c r="U303" s="1854" t="s">
        <v>422</v>
      </c>
      <c r="V303" s="22" t="s">
        <v>1385</v>
      </c>
      <c r="W303" s="2006" t="s">
        <v>1463</v>
      </c>
      <c r="X303" s="18"/>
      <c r="Y303" s="4"/>
      <c r="Z303" s="4"/>
    </row>
    <row r="304" spans="1:26" ht="14.1" hidden="1">
      <c r="A304" s="20">
        <v>311</v>
      </c>
      <c r="B304" s="1063">
        <v>40081</v>
      </c>
      <c r="C304" s="22" t="s">
        <v>1464</v>
      </c>
      <c r="D304" s="11"/>
      <c r="E304" s="22" t="s">
        <v>1031</v>
      </c>
      <c r="F304" s="22" t="s">
        <v>1398</v>
      </c>
      <c r="G304" s="22" t="s">
        <v>1465</v>
      </c>
      <c r="H304" s="22" t="s">
        <v>1466</v>
      </c>
      <c r="I304" s="22" t="s">
        <v>1063</v>
      </c>
      <c r="J304" s="22" t="s">
        <v>1467</v>
      </c>
      <c r="K304" s="22" t="s">
        <v>1468</v>
      </c>
      <c r="L304" s="22" t="s">
        <v>1432</v>
      </c>
      <c r="M304" s="22">
        <v>1</v>
      </c>
      <c r="N304" s="22">
        <v>1</v>
      </c>
      <c r="O304" s="22">
        <v>3</v>
      </c>
      <c r="P304" s="22">
        <v>0</v>
      </c>
      <c r="Q304" s="22">
        <v>3</v>
      </c>
      <c r="R304" s="1201">
        <v>100</v>
      </c>
      <c r="S304" s="1201">
        <v>300</v>
      </c>
      <c r="T304" s="22" t="s">
        <v>422</v>
      </c>
      <c r="U304" s="1854" t="s">
        <v>422</v>
      </c>
      <c r="V304" s="22" t="s">
        <v>1385</v>
      </c>
      <c r="W304" s="2006" t="s">
        <v>1469</v>
      </c>
      <c r="X304" s="18"/>
      <c r="Y304" s="4"/>
      <c r="Z304" s="4"/>
    </row>
    <row r="305" spans="1:26" ht="14.1" hidden="1">
      <c r="A305" s="20">
        <v>312</v>
      </c>
      <c r="B305" s="1063">
        <v>40082</v>
      </c>
      <c r="C305" s="22" t="s">
        <v>1470</v>
      </c>
      <c r="D305" s="11"/>
      <c r="E305" s="22" t="s">
        <v>1031</v>
      </c>
      <c r="F305" s="22" t="s">
        <v>1398</v>
      </c>
      <c r="G305" s="22" t="s">
        <v>1471</v>
      </c>
      <c r="H305" s="22" t="s">
        <v>1472</v>
      </c>
      <c r="I305" s="22" t="s">
        <v>1063</v>
      </c>
      <c r="J305" s="22" t="s">
        <v>1473</v>
      </c>
      <c r="K305" s="22" t="s">
        <v>1474</v>
      </c>
      <c r="L305" s="22" t="s">
        <v>1456</v>
      </c>
      <c r="M305" s="22">
        <v>1</v>
      </c>
      <c r="N305" s="22">
        <v>1</v>
      </c>
      <c r="O305" s="22">
        <v>2</v>
      </c>
      <c r="P305" s="22">
        <v>0</v>
      </c>
      <c r="Q305" s="22">
        <v>2</v>
      </c>
      <c r="R305" s="1201">
        <v>450</v>
      </c>
      <c r="S305" s="1201">
        <v>900</v>
      </c>
      <c r="T305" s="22" t="s">
        <v>422</v>
      </c>
      <c r="U305" s="1854" t="s">
        <v>422</v>
      </c>
      <c r="V305" s="22" t="s">
        <v>1385</v>
      </c>
      <c r="W305" s="2006" t="s">
        <v>1475</v>
      </c>
      <c r="X305" s="18"/>
      <c r="Y305" s="4"/>
      <c r="Z305" s="4"/>
    </row>
    <row r="306" spans="1:26" ht="14.1" hidden="1">
      <c r="A306" s="20">
        <v>313</v>
      </c>
      <c r="B306" s="1063">
        <v>40083</v>
      </c>
      <c r="C306" s="22" t="s">
        <v>1476</v>
      </c>
      <c r="D306" s="11"/>
      <c r="E306" s="22" t="s">
        <v>1031</v>
      </c>
      <c r="F306" s="22" t="s">
        <v>1398</v>
      </c>
      <c r="G306" s="22" t="s">
        <v>1477</v>
      </c>
      <c r="H306" s="22" t="s">
        <v>1478</v>
      </c>
      <c r="I306" s="22" t="s">
        <v>1063</v>
      </c>
      <c r="J306" s="22" t="s">
        <v>1479</v>
      </c>
      <c r="K306" s="22" t="s">
        <v>1480</v>
      </c>
      <c r="L306" s="22" t="s">
        <v>1432</v>
      </c>
      <c r="M306" s="22">
        <v>10</v>
      </c>
      <c r="N306" s="22">
        <v>1</v>
      </c>
      <c r="O306" s="22">
        <v>10</v>
      </c>
      <c r="P306" s="22">
        <v>0</v>
      </c>
      <c r="Q306" s="22">
        <v>10</v>
      </c>
      <c r="R306" s="1201">
        <v>35</v>
      </c>
      <c r="S306" s="1201">
        <v>350</v>
      </c>
      <c r="T306" s="22" t="s">
        <v>422</v>
      </c>
      <c r="U306" s="1854" t="s">
        <v>422</v>
      </c>
      <c r="V306" s="22" t="s">
        <v>1385</v>
      </c>
      <c r="W306" s="2006" t="s">
        <v>1481</v>
      </c>
      <c r="X306" s="18"/>
      <c r="Y306" s="4"/>
      <c r="Z306" s="4"/>
    </row>
    <row r="307" spans="1:26" ht="42" hidden="1">
      <c r="A307" s="20">
        <v>314</v>
      </c>
      <c r="B307" s="1063">
        <v>40084</v>
      </c>
      <c r="C307" s="22" t="s">
        <v>1482</v>
      </c>
      <c r="D307" s="11"/>
      <c r="E307" s="22" t="s">
        <v>1031</v>
      </c>
      <c r="F307" s="22" t="s">
        <v>1398</v>
      </c>
      <c r="G307" s="22" t="s">
        <v>1483</v>
      </c>
      <c r="H307" s="22" t="s">
        <v>1484</v>
      </c>
      <c r="I307" s="22" t="s">
        <v>1485</v>
      </c>
      <c r="J307" s="22" t="s">
        <v>1486</v>
      </c>
      <c r="K307" s="22" t="s">
        <v>1487</v>
      </c>
      <c r="L307" s="22" t="s">
        <v>1488</v>
      </c>
      <c r="M307" s="22">
        <v>1</v>
      </c>
      <c r="N307" s="22">
        <v>1</v>
      </c>
      <c r="O307" s="22">
        <v>3</v>
      </c>
      <c r="P307" s="22">
        <v>0</v>
      </c>
      <c r="Q307" s="22">
        <v>3</v>
      </c>
      <c r="R307" s="1201">
        <v>154.34</v>
      </c>
      <c r="S307" s="1201">
        <v>463.03</v>
      </c>
      <c r="T307" s="22" t="s">
        <v>422</v>
      </c>
      <c r="U307" s="1854" t="s">
        <v>422</v>
      </c>
      <c r="V307" s="22" t="s">
        <v>1385</v>
      </c>
      <c r="W307" s="2006" t="s">
        <v>1489</v>
      </c>
      <c r="X307" s="18"/>
      <c r="Y307" s="4"/>
      <c r="Z307" s="4"/>
    </row>
    <row r="308" spans="1:26" ht="42" hidden="1">
      <c r="A308" s="20">
        <v>315</v>
      </c>
      <c r="B308" s="1063">
        <v>40085</v>
      </c>
      <c r="C308" s="22" t="s">
        <v>1490</v>
      </c>
      <c r="D308" s="11"/>
      <c r="E308" s="22" t="s">
        <v>1031</v>
      </c>
      <c r="F308" s="22" t="s">
        <v>1398</v>
      </c>
      <c r="G308" s="22" t="s">
        <v>1491</v>
      </c>
      <c r="H308" s="22" t="s">
        <v>1492</v>
      </c>
      <c r="I308" s="22" t="s">
        <v>1485</v>
      </c>
      <c r="J308" s="22" t="s">
        <v>1493</v>
      </c>
      <c r="K308" s="22" t="s">
        <v>1494</v>
      </c>
      <c r="L308" s="22" t="s">
        <v>1495</v>
      </c>
      <c r="M308" s="22">
        <v>1</v>
      </c>
      <c r="N308" s="22">
        <v>1</v>
      </c>
      <c r="O308" s="22">
        <v>3</v>
      </c>
      <c r="P308" s="22">
        <v>0</v>
      </c>
      <c r="Q308" s="22">
        <v>3</v>
      </c>
      <c r="R308" s="1201">
        <v>510.69</v>
      </c>
      <c r="S308" s="1201">
        <v>1532.08</v>
      </c>
      <c r="T308" s="22" t="s">
        <v>422</v>
      </c>
      <c r="U308" s="1854" t="s">
        <v>422</v>
      </c>
      <c r="V308" s="22" t="s">
        <v>1385</v>
      </c>
      <c r="W308" s="2006" t="s">
        <v>1496</v>
      </c>
      <c r="X308" s="18"/>
      <c r="Y308" s="4"/>
      <c r="Z308" s="4"/>
    </row>
    <row r="309" spans="1:26" ht="42" hidden="1">
      <c r="A309" s="20">
        <v>316</v>
      </c>
      <c r="B309" s="1063">
        <v>40086</v>
      </c>
      <c r="C309" s="22" t="s">
        <v>1497</v>
      </c>
      <c r="D309" s="11"/>
      <c r="E309" s="22" t="s">
        <v>1031</v>
      </c>
      <c r="F309" s="22" t="s">
        <v>1398</v>
      </c>
      <c r="G309" s="22"/>
      <c r="H309" s="22" t="s">
        <v>1498</v>
      </c>
      <c r="I309" s="22" t="s">
        <v>1485</v>
      </c>
      <c r="J309" s="22" t="s">
        <v>1499</v>
      </c>
      <c r="K309" s="22" t="s">
        <v>1500</v>
      </c>
      <c r="L309" s="22" t="s">
        <v>1500</v>
      </c>
      <c r="M309" s="22">
        <v>14</v>
      </c>
      <c r="N309" s="22">
        <v>1</v>
      </c>
      <c r="O309" s="22">
        <v>42</v>
      </c>
      <c r="P309" s="22">
        <v>0</v>
      </c>
      <c r="Q309" s="22">
        <v>42</v>
      </c>
      <c r="R309" s="1201">
        <v>232.69</v>
      </c>
      <c r="S309" s="1201">
        <v>9773.5400000000009</v>
      </c>
      <c r="T309" s="22" t="s">
        <v>422</v>
      </c>
      <c r="U309" s="1854" t="s">
        <v>422</v>
      </c>
      <c r="V309" s="22" t="s">
        <v>1385</v>
      </c>
      <c r="W309" s="2006" t="s">
        <v>1501</v>
      </c>
      <c r="X309" s="18"/>
      <c r="Y309" s="4"/>
      <c r="Z309" s="4"/>
    </row>
    <row r="310" spans="1:26" ht="98.1" hidden="1">
      <c r="A310" s="20">
        <v>317</v>
      </c>
      <c r="B310" s="1063">
        <v>40087</v>
      </c>
      <c r="C310" s="22" t="s">
        <v>1502</v>
      </c>
      <c r="D310" s="11"/>
      <c r="E310" s="22" t="s">
        <v>62</v>
      </c>
      <c r="F310" s="22" t="s">
        <v>1503</v>
      </c>
      <c r="G310" s="42" t="s">
        <v>1504</v>
      </c>
      <c r="H310" s="22" t="s">
        <v>1505</v>
      </c>
      <c r="I310" s="22" t="s">
        <v>1022</v>
      </c>
      <c r="J310" s="22"/>
      <c r="K310" s="42" t="s">
        <v>1504</v>
      </c>
      <c r="L310" s="22"/>
      <c r="M310" s="22">
        <v>1</v>
      </c>
      <c r="N310" s="22">
        <v>1</v>
      </c>
      <c r="O310" s="22">
        <v>1</v>
      </c>
      <c r="P310" s="22">
        <v>0</v>
      </c>
      <c r="Q310" s="22">
        <v>0</v>
      </c>
      <c r="R310" s="1201">
        <v>1820</v>
      </c>
      <c r="S310" s="1201">
        <v>1820</v>
      </c>
      <c r="T310" s="22" t="s">
        <v>422</v>
      </c>
      <c r="U310" s="1854" t="s">
        <v>422</v>
      </c>
      <c r="V310" s="22" t="s">
        <v>1506</v>
      </c>
      <c r="W310" s="2006" t="s">
        <v>1507</v>
      </c>
      <c r="X310" s="18"/>
      <c r="Y310" s="4"/>
      <c r="Z310" s="4"/>
    </row>
    <row r="311" spans="1:26" ht="15.95" hidden="1">
      <c r="A311" s="20">
        <v>318</v>
      </c>
      <c r="B311" s="1063">
        <v>40088</v>
      </c>
      <c r="C311" s="22" t="s">
        <v>1508</v>
      </c>
      <c r="D311" s="11"/>
      <c r="E311" s="22" t="s">
        <v>62</v>
      </c>
      <c r="F311" s="22" t="s">
        <v>1503</v>
      </c>
      <c r="G311" s="22" t="s">
        <v>1509</v>
      </c>
      <c r="H311" s="22" t="s">
        <v>1510</v>
      </c>
      <c r="I311" s="22" t="s">
        <v>84</v>
      </c>
      <c r="J311" s="29">
        <v>35456942</v>
      </c>
      <c r="K311" s="30" t="s">
        <v>1511</v>
      </c>
      <c r="L311" s="22"/>
      <c r="M311" s="22">
        <v>1</v>
      </c>
      <c r="N311" s="22">
        <v>1</v>
      </c>
      <c r="O311" s="22">
        <v>1</v>
      </c>
      <c r="P311" s="22">
        <v>0</v>
      </c>
      <c r="Q311" s="22">
        <v>0</v>
      </c>
      <c r="R311" s="1201">
        <v>6190</v>
      </c>
      <c r="S311" s="1201">
        <v>6190</v>
      </c>
      <c r="T311" s="22" t="s">
        <v>422</v>
      </c>
      <c r="U311" s="1854" t="s">
        <v>422</v>
      </c>
      <c r="V311" s="22" t="s">
        <v>1506</v>
      </c>
      <c r="W311" s="2006" t="s">
        <v>1512</v>
      </c>
      <c r="X311" s="18"/>
      <c r="Y311" s="4"/>
      <c r="Z311" s="4"/>
    </row>
    <row r="312" spans="1:26" ht="15.95" hidden="1">
      <c r="A312" s="20">
        <v>319</v>
      </c>
      <c r="B312" s="1063">
        <v>40089</v>
      </c>
      <c r="C312" s="22" t="s">
        <v>1513</v>
      </c>
      <c r="D312" s="11"/>
      <c r="E312" s="22" t="s">
        <v>62</v>
      </c>
      <c r="F312" s="22" t="s">
        <v>1503</v>
      </c>
      <c r="G312" s="22" t="s">
        <v>1514</v>
      </c>
      <c r="H312" s="26" t="s">
        <v>1515</v>
      </c>
      <c r="I312" s="22" t="s">
        <v>84</v>
      </c>
      <c r="J312" s="29">
        <v>51078676</v>
      </c>
      <c r="K312" s="30" t="s">
        <v>1516</v>
      </c>
      <c r="L312" s="22"/>
      <c r="M312" s="22">
        <v>1</v>
      </c>
      <c r="N312" s="22">
        <v>1</v>
      </c>
      <c r="O312" s="22">
        <v>1</v>
      </c>
      <c r="P312" s="22">
        <v>0</v>
      </c>
      <c r="Q312" s="22">
        <v>0</v>
      </c>
      <c r="R312" s="1201">
        <v>226900</v>
      </c>
      <c r="S312" s="1201">
        <v>226900</v>
      </c>
      <c r="T312" s="22" t="s">
        <v>422</v>
      </c>
      <c r="U312" s="1854" t="s">
        <v>422</v>
      </c>
      <c r="V312" s="22" t="s">
        <v>1506</v>
      </c>
      <c r="W312" s="2006" t="s">
        <v>1517</v>
      </c>
      <c r="X312" s="18"/>
      <c r="Y312" s="4"/>
      <c r="Z312" s="4"/>
    </row>
    <row r="313" spans="1:26" ht="42" hidden="1">
      <c r="A313" s="20">
        <v>320</v>
      </c>
      <c r="B313" s="1063">
        <v>40090</v>
      </c>
      <c r="C313" s="22" t="s">
        <v>1191</v>
      </c>
      <c r="D313" s="11"/>
      <c r="E313" s="22" t="s">
        <v>1001</v>
      </c>
      <c r="F313" s="22" t="s">
        <v>99</v>
      </c>
      <c r="G313" s="22" t="s">
        <v>1518</v>
      </c>
      <c r="H313" s="22" t="s">
        <v>382</v>
      </c>
      <c r="I313" s="22" t="s">
        <v>382</v>
      </c>
      <c r="J313" s="22" t="s">
        <v>1519</v>
      </c>
      <c r="K313" s="22"/>
      <c r="L313" s="22"/>
      <c r="M313" s="22">
        <v>50</v>
      </c>
      <c r="N313" s="22">
        <v>50</v>
      </c>
      <c r="O313" s="43">
        <v>50</v>
      </c>
      <c r="P313" s="22">
        <v>0</v>
      </c>
      <c r="Q313" s="22">
        <v>0</v>
      </c>
      <c r="R313" s="1201">
        <v>1650</v>
      </c>
      <c r="S313" s="1201">
        <v>1650</v>
      </c>
      <c r="T313" s="22" t="s">
        <v>87</v>
      </c>
      <c r="U313" s="1854" t="s">
        <v>301</v>
      </c>
      <c r="V313" s="22" t="s">
        <v>1152</v>
      </c>
      <c r="W313" s="2006" t="s">
        <v>1520</v>
      </c>
      <c r="X313" s="18"/>
      <c r="Y313" s="4"/>
      <c r="Z313" s="4"/>
    </row>
    <row r="314" spans="1:26" ht="27.95" hidden="1">
      <c r="A314" s="20">
        <v>321</v>
      </c>
      <c r="B314" s="1063">
        <v>40091</v>
      </c>
      <c r="C314" s="22" t="s">
        <v>1191</v>
      </c>
      <c r="D314" s="11"/>
      <c r="E314" s="22" t="s">
        <v>1001</v>
      </c>
      <c r="F314" s="22" t="s">
        <v>99</v>
      </c>
      <c r="G314" s="22" t="s">
        <v>960</v>
      </c>
      <c r="H314" s="22" t="s">
        <v>382</v>
      </c>
      <c r="I314" s="22" t="s">
        <v>382</v>
      </c>
      <c r="J314" s="22" t="s">
        <v>1192</v>
      </c>
      <c r="K314" s="22"/>
      <c r="L314" s="22"/>
      <c r="M314" s="22">
        <v>24</v>
      </c>
      <c r="N314" s="22">
        <v>10</v>
      </c>
      <c r="O314" s="22">
        <v>30</v>
      </c>
      <c r="P314" s="22">
        <v>0</v>
      </c>
      <c r="Q314" s="22">
        <v>0</v>
      </c>
      <c r="R314" s="1201">
        <v>1190</v>
      </c>
      <c r="S314" s="1201">
        <v>3570</v>
      </c>
      <c r="T314" s="22" t="s">
        <v>87</v>
      </c>
      <c r="U314" s="1854" t="s">
        <v>301</v>
      </c>
      <c r="V314" s="22" t="s">
        <v>1152</v>
      </c>
      <c r="W314" s="2006" t="s">
        <v>385</v>
      </c>
      <c r="X314" s="18"/>
      <c r="Y314" s="4"/>
      <c r="Z314" s="4"/>
    </row>
    <row r="315" spans="1:26" ht="42" hidden="1">
      <c r="A315" s="20">
        <v>322</v>
      </c>
      <c r="B315" s="1063">
        <v>40092</v>
      </c>
      <c r="C315" s="22" t="s">
        <v>1193</v>
      </c>
      <c r="D315" s="11"/>
      <c r="E315" s="22" t="s">
        <v>1001</v>
      </c>
      <c r="F315" s="22" t="s">
        <v>99</v>
      </c>
      <c r="G315" s="22" t="s">
        <v>1521</v>
      </c>
      <c r="H315" s="22" t="s">
        <v>1194</v>
      </c>
      <c r="I315" s="22" t="s">
        <v>113</v>
      </c>
      <c r="J315" s="22" t="s">
        <v>1192</v>
      </c>
      <c r="K315" s="22"/>
      <c r="L315" s="22"/>
      <c r="M315" s="22">
        <v>24</v>
      </c>
      <c r="N315" s="22">
        <v>50</v>
      </c>
      <c r="O315" s="22">
        <v>50</v>
      </c>
      <c r="P315" s="22">
        <v>0</v>
      </c>
      <c r="Q315" s="22">
        <v>22</v>
      </c>
      <c r="R315" s="1201">
        <v>299</v>
      </c>
      <c r="S315" s="1201">
        <v>299</v>
      </c>
      <c r="T315" s="22" t="s">
        <v>87</v>
      </c>
      <c r="U315" s="1854" t="s">
        <v>301</v>
      </c>
      <c r="V315" s="22" t="s">
        <v>1152</v>
      </c>
      <c r="W315" s="2006" t="s">
        <v>1522</v>
      </c>
      <c r="X315" s="18"/>
      <c r="Y315" s="4"/>
      <c r="Z315" s="4"/>
    </row>
    <row r="316" spans="1:26" ht="27.95" hidden="1">
      <c r="A316" s="20">
        <v>323</v>
      </c>
      <c r="B316" s="1063">
        <v>40093</v>
      </c>
      <c r="C316" s="22" t="s">
        <v>1191</v>
      </c>
      <c r="D316" s="11"/>
      <c r="E316" s="22" t="s">
        <v>1001</v>
      </c>
      <c r="F316" s="22"/>
      <c r="G316" s="22" t="s">
        <v>1521</v>
      </c>
      <c r="H316" s="22" t="s">
        <v>382</v>
      </c>
      <c r="I316" s="22" t="s">
        <v>382</v>
      </c>
      <c r="J316" s="22" t="s">
        <v>1523</v>
      </c>
      <c r="K316" s="22"/>
      <c r="L316" s="22"/>
      <c r="M316" s="22">
        <v>6</v>
      </c>
      <c r="N316" s="22">
        <v>10</v>
      </c>
      <c r="O316" s="22">
        <v>10</v>
      </c>
      <c r="P316" s="22">
        <v>0</v>
      </c>
      <c r="Q316" s="22">
        <v>4</v>
      </c>
      <c r="R316" s="1201">
        <v>470</v>
      </c>
      <c r="S316" s="1201">
        <v>470</v>
      </c>
      <c r="T316" s="22" t="s">
        <v>87</v>
      </c>
      <c r="U316" s="1854" t="s">
        <v>301</v>
      </c>
      <c r="V316" s="22" t="s">
        <v>1152</v>
      </c>
      <c r="W316" s="2006" t="s">
        <v>388</v>
      </c>
      <c r="X316" s="18"/>
      <c r="Y316" s="4"/>
      <c r="Z316" s="4"/>
    </row>
    <row r="317" spans="1:26" ht="27.95" hidden="1">
      <c r="A317" s="20">
        <v>324</v>
      </c>
      <c r="B317" s="1063">
        <v>40094</v>
      </c>
      <c r="C317" s="22" t="s">
        <v>1191</v>
      </c>
      <c r="D317" s="11"/>
      <c r="E317" s="22" t="s">
        <v>1001</v>
      </c>
      <c r="F317" s="22" t="s">
        <v>99</v>
      </c>
      <c r="G317" s="22" t="s">
        <v>1521</v>
      </c>
      <c r="H317" s="22" t="s">
        <v>382</v>
      </c>
      <c r="I317" s="22" t="s">
        <v>382</v>
      </c>
      <c r="J317" s="22" t="s">
        <v>1524</v>
      </c>
      <c r="K317" s="22"/>
      <c r="L317" s="22"/>
      <c r="M317" s="22">
        <v>6</v>
      </c>
      <c r="N317" s="22">
        <v>10</v>
      </c>
      <c r="O317" s="22">
        <v>10</v>
      </c>
      <c r="P317" s="22">
        <v>0</v>
      </c>
      <c r="Q317" s="22">
        <v>4</v>
      </c>
      <c r="R317" s="1201">
        <v>470</v>
      </c>
      <c r="S317" s="1201">
        <v>470</v>
      </c>
      <c r="T317" s="22" t="s">
        <v>87</v>
      </c>
      <c r="U317" s="1854" t="s">
        <v>301</v>
      </c>
      <c r="V317" s="22" t="s">
        <v>1152</v>
      </c>
      <c r="W317" s="2006" t="s">
        <v>388</v>
      </c>
      <c r="X317" s="18"/>
      <c r="Y317" s="4"/>
      <c r="Z317" s="4"/>
    </row>
    <row r="318" spans="1:26" ht="27.95" hidden="1">
      <c r="A318" s="20">
        <v>325</v>
      </c>
      <c r="B318" s="1063">
        <v>40095</v>
      </c>
      <c r="C318" s="22" t="s">
        <v>1525</v>
      </c>
      <c r="D318" s="11"/>
      <c r="E318" s="22" t="s">
        <v>1001</v>
      </c>
      <c r="F318" s="43" t="s">
        <v>99</v>
      </c>
      <c r="G318" s="22"/>
      <c r="H318" s="22" t="s">
        <v>574</v>
      </c>
      <c r="I318" s="22" t="s">
        <v>574</v>
      </c>
      <c r="J318" s="22">
        <v>502128100</v>
      </c>
      <c r="K318" s="22"/>
      <c r="L318" s="22"/>
      <c r="M318" s="22">
        <v>12</v>
      </c>
      <c r="N318" s="22">
        <v>1</v>
      </c>
      <c r="O318" s="22">
        <v>50</v>
      </c>
      <c r="P318" s="22">
        <v>4</v>
      </c>
      <c r="Q318" s="22">
        <v>54</v>
      </c>
      <c r="R318" s="1201">
        <v>986</v>
      </c>
      <c r="S318" s="1201">
        <v>986</v>
      </c>
      <c r="T318" s="22" t="s">
        <v>87</v>
      </c>
      <c r="U318" s="1854" t="s">
        <v>301</v>
      </c>
      <c r="V318" s="22" t="s">
        <v>1152</v>
      </c>
      <c r="W318" s="2006" t="s">
        <v>1146</v>
      </c>
      <c r="X318" s="18"/>
      <c r="Y318" s="4"/>
      <c r="Z318" s="4"/>
    </row>
    <row r="319" spans="1:26" ht="27.95" hidden="1">
      <c r="A319" s="20">
        <v>326</v>
      </c>
      <c r="B319" s="1063">
        <v>40096</v>
      </c>
      <c r="C319" s="22" t="s">
        <v>1526</v>
      </c>
      <c r="D319" s="11"/>
      <c r="E319" s="22" t="s">
        <v>572</v>
      </c>
      <c r="F319" s="22" t="s">
        <v>1527</v>
      </c>
      <c r="G319" s="26" t="s">
        <v>1528</v>
      </c>
      <c r="H319" s="22" t="s">
        <v>1529</v>
      </c>
      <c r="I319" s="22" t="s">
        <v>1529</v>
      </c>
      <c r="J319" s="22"/>
      <c r="K319" s="22"/>
      <c r="L319" s="22"/>
      <c r="M319" s="22">
        <v>1</v>
      </c>
      <c r="N319" s="22">
        <v>1</v>
      </c>
      <c r="O319" s="22">
        <v>1</v>
      </c>
      <c r="P319" s="22">
        <v>0</v>
      </c>
      <c r="Q319" s="22">
        <v>0</v>
      </c>
      <c r="R319" s="1201">
        <v>9084.56</v>
      </c>
      <c r="S319" s="1201">
        <v>9084.56</v>
      </c>
      <c r="T319" s="22" t="s">
        <v>1395</v>
      </c>
      <c r="U319" s="1854"/>
      <c r="V319" s="22" t="s">
        <v>1530</v>
      </c>
      <c r="W319" s="2006" t="s">
        <v>1531</v>
      </c>
      <c r="X319" s="18"/>
      <c r="Y319" s="4"/>
      <c r="Z319" s="4"/>
    </row>
    <row r="320" spans="1:26" ht="14.1" hidden="1">
      <c r="A320" s="20">
        <v>327</v>
      </c>
      <c r="B320" s="1063">
        <v>40097</v>
      </c>
      <c r="C320" s="22" t="s">
        <v>1532</v>
      </c>
      <c r="D320" s="11"/>
      <c r="E320" s="22" t="s">
        <v>1001</v>
      </c>
      <c r="F320" s="22" t="s">
        <v>99</v>
      </c>
      <c r="G320" s="22" t="s">
        <v>1533</v>
      </c>
      <c r="H320" s="22"/>
      <c r="I320" s="22"/>
      <c r="J320" s="22"/>
      <c r="K320" s="22"/>
      <c r="L320" s="22"/>
      <c r="M320" s="22"/>
      <c r="N320" s="22"/>
      <c r="O320" s="22"/>
      <c r="P320" s="22"/>
      <c r="Q320" s="22"/>
      <c r="R320" s="1201"/>
      <c r="S320" s="1201">
        <v>5040</v>
      </c>
      <c r="T320" s="22" t="s">
        <v>87</v>
      </c>
      <c r="U320" s="1854"/>
      <c r="V320" s="22"/>
      <c r="W320" s="2007"/>
      <c r="X320" s="18"/>
      <c r="Y320" s="4"/>
      <c r="Z320" s="4"/>
    </row>
    <row r="321" spans="1:26" ht="14.1" hidden="1">
      <c r="A321" s="20">
        <v>328</v>
      </c>
      <c r="B321" s="1063">
        <v>40098</v>
      </c>
      <c r="C321" s="22" t="s">
        <v>1534</v>
      </c>
      <c r="D321" s="11"/>
      <c r="E321" s="22" t="s">
        <v>1001</v>
      </c>
      <c r="F321" s="22" t="s">
        <v>99</v>
      </c>
      <c r="G321" s="22" t="s">
        <v>1533</v>
      </c>
      <c r="H321" s="22"/>
      <c r="I321" s="22"/>
      <c r="J321" s="22"/>
      <c r="K321" s="22"/>
      <c r="L321" s="22"/>
      <c r="M321" s="22"/>
      <c r="N321" s="22"/>
      <c r="O321" s="22"/>
      <c r="P321" s="22"/>
      <c r="Q321" s="22"/>
      <c r="R321" s="1201"/>
      <c r="S321" s="1201">
        <v>4800</v>
      </c>
      <c r="T321" s="22" t="s">
        <v>87</v>
      </c>
      <c r="U321" s="1854"/>
      <c r="V321" s="22"/>
      <c r="W321" s="2007"/>
      <c r="X321" s="18"/>
      <c r="Y321" s="4"/>
      <c r="Z321" s="4"/>
    </row>
    <row r="322" spans="1:26" ht="14.1" hidden="1">
      <c r="A322" s="20">
        <v>329</v>
      </c>
      <c r="B322" s="1063">
        <v>40099</v>
      </c>
      <c r="C322" s="22" t="s">
        <v>1535</v>
      </c>
      <c r="D322" s="11"/>
      <c r="E322" s="22" t="s">
        <v>1001</v>
      </c>
      <c r="F322" s="22" t="s">
        <v>131</v>
      </c>
      <c r="G322" s="22" t="s">
        <v>1536</v>
      </c>
      <c r="H322" s="44" t="s">
        <v>1537</v>
      </c>
      <c r="I322" s="22" t="s">
        <v>76</v>
      </c>
      <c r="J322" s="22">
        <v>8475270</v>
      </c>
      <c r="K322" s="22" t="s">
        <v>1538</v>
      </c>
      <c r="L322" s="22"/>
      <c r="M322" s="22">
        <v>10</v>
      </c>
      <c r="N322" s="22">
        <v>1</v>
      </c>
      <c r="O322" s="22">
        <v>10</v>
      </c>
      <c r="P322" s="22">
        <v>1</v>
      </c>
      <c r="Q322" s="22">
        <v>10</v>
      </c>
      <c r="R322" s="1201">
        <v>218</v>
      </c>
      <c r="S322" s="1201">
        <v>2180</v>
      </c>
      <c r="T322" s="22" t="s">
        <v>87</v>
      </c>
      <c r="U322" s="1854" t="s">
        <v>484</v>
      </c>
      <c r="V322" s="22" t="s">
        <v>1152</v>
      </c>
      <c r="W322" s="2006" t="s">
        <v>1539</v>
      </c>
      <c r="X322" s="18"/>
      <c r="Y322" s="4"/>
      <c r="Z322" s="4"/>
    </row>
    <row r="323" spans="1:26" ht="15.95" hidden="1">
      <c r="A323" s="20">
        <v>330</v>
      </c>
      <c r="B323" s="1063">
        <v>40100</v>
      </c>
      <c r="C323" s="22" t="s">
        <v>1540</v>
      </c>
      <c r="D323" s="11"/>
      <c r="E323" s="22" t="s">
        <v>62</v>
      </c>
      <c r="F323" s="22" t="s">
        <v>823</v>
      </c>
      <c r="G323" s="22" t="s">
        <v>1541</v>
      </c>
      <c r="H323" s="22" t="s">
        <v>1542</v>
      </c>
      <c r="I323" s="22" t="s">
        <v>84</v>
      </c>
      <c r="J323" s="29">
        <v>3728207</v>
      </c>
      <c r="K323" s="29">
        <v>3728207</v>
      </c>
      <c r="L323" s="22"/>
      <c r="M323" s="22">
        <v>2</v>
      </c>
      <c r="N323" s="22">
        <v>2</v>
      </c>
      <c r="O323" s="22"/>
      <c r="P323" s="22">
        <v>0</v>
      </c>
      <c r="Q323" s="22">
        <v>0</v>
      </c>
      <c r="R323" s="1201">
        <v>650</v>
      </c>
      <c r="S323" s="1201">
        <v>1300</v>
      </c>
      <c r="T323" s="22"/>
      <c r="U323" s="1854" t="s">
        <v>1543</v>
      </c>
      <c r="V323" s="22" t="s">
        <v>1544</v>
      </c>
      <c r="W323" s="2006" t="s">
        <v>1545</v>
      </c>
      <c r="X323" s="18"/>
      <c r="Y323" s="4"/>
      <c r="Z323" s="4"/>
    </row>
    <row r="324" spans="1:26" ht="15.95" hidden="1">
      <c r="A324" s="20">
        <v>331</v>
      </c>
      <c r="B324" s="1063">
        <v>40101</v>
      </c>
      <c r="C324" s="22" t="s">
        <v>1546</v>
      </c>
      <c r="D324" s="11"/>
      <c r="E324" s="22" t="s">
        <v>62</v>
      </c>
      <c r="F324" s="22" t="s">
        <v>823</v>
      </c>
      <c r="G324" s="22" t="s">
        <v>1547</v>
      </c>
      <c r="H324" s="22" t="s">
        <v>1542</v>
      </c>
      <c r="I324" s="22" t="s">
        <v>84</v>
      </c>
      <c r="J324" s="45">
        <v>31085048</v>
      </c>
      <c r="K324" s="45">
        <v>31085048</v>
      </c>
      <c r="L324" s="22"/>
      <c r="M324" s="22">
        <v>1</v>
      </c>
      <c r="N324" s="22">
        <v>1</v>
      </c>
      <c r="O324" s="46">
        <v>8990</v>
      </c>
      <c r="P324" s="22">
        <v>0</v>
      </c>
      <c r="Q324" s="22">
        <v>0</v>
      </c>
      <c r="R324" s="1201">
        <v>8990</v>
      </c>
      <c r="S324" s="1201">
        <v>8990</v>
      </c>
      <c r="T324" s="22"/>
      <c r="U324" s="1854" t="s">
        <v>1543</v>
      </c>
      <c r="V324" s="22" t="s">
        <v>1544</v>
      </c>
      <c r="W324" s="2006" t="s">
        <v>1548</v>
      </c>
      <c r="X324" s="18"/>
      <c r="Y324" s="4"/>
      <c r="Z324" s="4"/>
    </row>
    <row r="325" spans="1:26" ht="14.1" hidden="1">
      <c r="A325" s="20">
        <v>332</v>
      </c>
      <c r="B325" s="1063">
        <v>40102</v>
      </c>
      <c r="C325" s="22" t="s">
        <v>1549</v>
      </c>
      <c r="D325" s="11"/>
      <c r="E325" s="22" t="s">
        <v>62</v>
      </c>
      <c r="F325" s="22" t="s">
        <v>823</v>
      </c>
      <c r="G325" s="22" t="s">
        <v>1550</v>
      </c>
      <c r="H325" s="22" t="s">
        <v>1551</v>
      </c>
      <c r="I325" s="22" t="s">
        <v>84</v>
      </c>
      <c r="J325" s="26">
        <v>75195355</v>
      </c>
      <c r="K325" s="22" t="s">
        <v>1552</v>
      </c>
      <c r="L325" s="22"/>
      <c r="M325" s="22">
        <v>2</v>
      </c>
      <c r="N325" s="22">
        <v>0</v>
      </c>
      <c r="O325" s="22">
        <v>0</v>
      </c>
      <c r="P325" s="22">
        <v>0</v>
      </c>
      <c r="Q325" s="22">
        <v>0</v>
      </c>
      <c r="R325" s="1201">
        <v>5690</v>
      </c>
      <c r="S325" s="1201">
        <v>11380</v>
      </c>
      <c r="T325" s="22"/>
      <c r="U325" s="1854" t="s">
        <v>1543</v>
      </c>
      <c r="V325" s="22" t="s">
        <v>1544</v>
      </c>
      <c r="W325" s="2006" t="s">
        <v>1553</v>
      </c>
      <c r="X325" s="18"/>
      <c r="Y325" s="4"/>
      <c r="Z325" s="4"/>
    </row>
    <row r="326" spans="1:26" ht="140.1" hidden="1">
      <c r="A326" s="20">
        <v>333</v>
      </c>
      <c r="B326" s="1063">
        <v>40103</v>
      </c>
      <c r="C326" s="22" t="s">
        <v>1554</v>
      </c>
      <c r="D326" s="11"/>
      <c r="E326" s="22" t="s">
        <v>62</v>
      </c>
      <c r="F326" s="22" t="s">
        <v>823</v>
      </c>
      <c r="G326" s="22" t="s">
        <v>1555</v>
      </c>
      <c r="H326" s="22"/>
      <c r="I326" s="22" t="s">
        <v>1022</v>
      </c>
      <c r="J326" s="29"/>
      <c r="K326" s="22"/>
      <c r="L326" s="22"/>
      <c r="M326" s="22">
        <v>2</v>
      </c>
      <c r="N326" s="22">
        <v>2</v>
      </c>
      <c r="O326" s="22">
        <v>2</v>
      </c>
      <c r="P326" s="22">
        <v>1</v>
      </c>
      <c r="Q326" s="22">
        <v>1</v>
      </c>
      <c r="R326" s="1201"/>
      <c r="S326" s="1201">
        <v>1446</v>
      </c>
      <c r="T326" s="22"/>
      <c r="U326" s="1854" t="s">
        <v>1543</v>
      </c>
      <c r="V326" s="22" t="s">
        <v>1544</v>
      </c>
      <c r="W326" s="2006" t="s">
        <v>1556</v>
      </c>
      <c r="X326" s="18"/>
      <c r="Y326" s="4"/>
      <c r="Z326" s="4"/>
    </row>
    <row r="327" spans="1:26" ht="42" hidden="1">
      <c r="A327" s="20">
        <v>334</v>
      </c>
      <c r="B327" s="1063">
        <v>40104</v>
      </c>
      <c r="C327" s="22" t="s">
        <v>1557</v>
      </c>
      <c r="D327" s="11"/>
      <c r="E327" s="22" t="s">
        <v>62</v>
      </c>
      <c r="F327" s="22" t="s">
        <v>823</v>
      </c>
      <c r="G327" s="22" t="s">
        <v>1558</v>
      </c>
      <c r="H327" s="22" t="s">
        <v>1559</v>
      </c>
      <c r="I327" s="22" t="s">
        <v>1022</v>
      </c>
      <c r="J327" s="22"/>
      <c r="K327" s="47" t="s">
        <v>1560</v>
      </c>
      <c r="L327" s="22"/>
      <c r="M327" s="22">
        <v>2</v>
      </c>
      <c r="N327" s="22">
        <v>2</v>
      </c>
      <c r="O327" s="22">
        <v>2</v>
      </c>
      <c r="P327" s="22">
        <v>1</v>
      </c>
      <c r="Q327" s="22">
        <v>1</v>
      </c>
      <c r="R327" s="1201">
        <v>1869.76</v>
      </c>
      <c r="S327" s="1201">
        <v>3738</v>
      </c>
      <c r="T327" s="22"/>
      <c r="U327" s="1854" t="s">
        <v>1543</v>
      </c>
      <c r="V327" s="22" t="s">
        <v>1544</v>
      </c>
      <c r="W327" s="2006" t="s">
        <v>1561</v>
      </c>
      <c r="X327" s="18"/>
      <c r="Y327" s="4"/>
      <c r="Z327" s="4"/>
    </row>
    <row r="328" spans="1:26" ht="140.1" hidden="1">
      <c r="A328" s="20">
        <v>335</v>
      </c>
      <c r="B328" s="1063">
        <v>40105</v>
      </c>
      <c r="C328" s="22" t="s">
        <v>1562</v>
      </c>
      <c r="D328" s="11"/>
      <c r="E328" s="22" t="s">
        <v>62</v>
      </c>
      <c r="F328" s="22" t="s">
        <v>823</v>
      </c>
      <c r="G328" s="22" t="s">
        <v>1563</v>
      </c>
      <c r="H328" s="22" t="s">
        <v>1564</v>
      </c>
      <c r="I328" s="22" t="s">
        <v>1022</v>
      </c>
      <c r="J328" s="47">
        <v>1126</v>
      </c>
      <c r="K328" s="47">
        <v>1126</v>
      </c>
      <c r="L328" s="22"/>
      <c r="M328" s="22">
        <v>10</v>
      </c>
      <c r="N328" s="22">
        <v>10</v>
      </c>
      <c r="O328" s="22">
        <v>10</v>
      </c>
      <c r="P328" s="22">
        <v>0</v>
      </c>
      <c r="Q328" s="22">
        <v>0</v>
      </c>
      <c r="R328" s="1201">
        <v>991.63</v>
      </c>
      <c r="S328" s="1201">
        <v>991.63</v>
      </c>
      <c r="T328" s="22"/>
      <c r="U328" s="1854" t="s">
        <v>1543</v>
      </c>
      <c r="V328" s="22" t="s">
        <v>1544</v>
      </c>
      <c r="W328" s="2012" t="s">
        <v>1565</v>
      </c>
      <c r="X328" s="18"/>
      <c r="Y328" s="4"/>
      <c r="Z328" s="4"/>
    </row>
    <row r="329" spans="1:26" ht="14.1" hidden="1">
      <c r="A329" s="20">
        <v>336</v>
      </c>
      <c r="B329" s="1063">
        <v>40106</v>
      </c>
      <c r="C329" s="22" t="s">
        <v>1566</v>
      </c>
      <c r="D329" s="11"/>
      <c r="E329" s="22" t="s">
        <v>62</v>
      </c>
      <c r="F329" s="22" t="s">
        <v>823</v>
      </c>
      <c r="G329" s="22" t="s">
        <v>1567</v>
      </c>
      <c r="H329" s="22" t="s">
        <v>310</v>
      </c>
      <c r="I329" s="22" t="s">
        <v>310</v>
      </c>
      <c r="J329" s="22"/>
      <c r="K329" s="22"/>
      <c r="L329" s="22"/>
      <c r="M329" s="22">
        <v>3</v>
      </c>
      <c r="N329" s="22">
        <v>3</v>
      </c>
      <c r="O329" s="22">
        <v>3</v>
      </c>
      <c r="P329" s="22">
        <v>0</v>
      </c>
      <c r="Q329" s="22">
        <v>0</v>
      </c>
      <c r="R329" s="1201">
        <v>500</v>
      </c>
      <c r="S329" s="1201">
        <v>1500</v>
      </c>
      <c r="T329" s="22"/>
      <c r="U329" s="1854" t="s">
        <v>1543</v>
      </c>
      <c r="V329" s="22" t="s">
        <v>1544</v>
      </c>
      <c r="W329" s="2007" t="s">
        <v>310</v>
      </c>
      <c r="X329" s="18"/>
      <c r="Y329" s="4"/>
      <c r="Z329" s="4"/>
    </row>
    <row r="330" spans="1:26" ht="14.1" hidden="1">
      <c r="A330" s="20">
        <v>337</v>
      </c>
      <c r="B330" s="1063">
        <v>40107</v>
      </c>
      <c r="C330" s="22" t="s">
        <v>1568</v>
      </c>
      <c r="D330" s="11"/>
      <c r="E330" s="22" t="s">
        <v>572</v>
      </c>
      <c r="F330" s="22" t="s">
        <v>1569</v>
      </c>
      <c r="G330" s="22" t="s">
        <v>1570</v>
      </c>
      <c r="H330" s="22" t="s">
        <v>341</v>
      </c>
      <c r="I330" s="22" t="s">
        <v>39</v>
      </c>
      <c r="J330" s="48" t="s">
        <v>1571</v>
      </c>
      <c r="K330" s="48" t="s">
        <v>1572</v>
      </c>
      <c r="L330" s="22" t="s">
        <v>1573</v>
      </c>
      <c r="M330" s="22">
        <v>2</v>
      </c>
      <c r="N330" s="22">
        <v>10</v>
      </c>
      <c r="O330" s="22">
        <v>10</v>
      </c>
      <c r="P330" s="22">
        <v>0</v>
      </c>
      <c r="Q330" s="22">
        <v>8</v>
      </c>
      <c r="R330" s="1201">
        <v>176</v>
      </c>
      <c r="S330" s="1201">
        <v>1760</v>
      </c>
      <c r="T330" s="22" t="s">
        <v>929</v>
      </c>
      <c r="U330" s="1854" t="s">
        <v>1574</v>
      </c>
      <c r="V330" s="22" t="s">
        <v>1575</v>
      </c>
      <c r="W330" s="2006" t="s">
        <v>1576</v>
      </c>
      <c r="X330" s="18"/>
      <c r="Y330" s="4"/>
      <c r="Z330" s="4"/>
    </row>
    <row r="331" spans="1:26" ht="50.1" hidden="1">
      <c r="A331" s="20">
        <v>338</v>
      </c>
      <c r="B331" s="1063">
        <v>40108</v>
      </c>
      <c r="C331" s="22" t="s">
        <v>1577</v>
      </c>
      <c r="D331" s="11"/>
      <c r="E331" s="22" t="s">
        <v>572</v>
      </c>
      <c r="F331" s="22" t="s">
        <v>1569</v>
      </c>
      <c r="G331" s="22" t="s">
        <v>1578</v>
      </c>
      <c r="H331" s="22" t="s">
        <v>1579</v>
      </c>
      <c r="I331" s="22" t="s">
        <v>1579</v>
      </c>
      <c r="J331" s="22"/>
      <c r="K331" s="22"/>
      <c r="L331" s="22"/>
      <c r="M331" s="22">
        <v>1</v>
      </c>
      <c r="N331" s="22">
        <v>1</v>
      </c>
      <c r="O331" s="22">
        <v>1</v>
      </c>
      <c r="P331" s="22">
        <v>0</v>
      </c>
      <c r="Q331" s="22">
        <v>0</v>
      </c>
      <c r="R331" s="1201">
        <v>9821.74</v>
      </c>
      <c r="S331" s="1201">
        <v>9821.74</v>
      </c>
      <c r="T331" s="22" t="s">
        <v>929</v>
      </c>
      <c r="U331" s="1854" t="s">
        <v>1580</v>
      </c>
      <c r="V331" s="22" t="s">
        <v>1575</v>
      </c>
      <c r="W331" s="2013" t="s">
        <v>1581</v>
      </c>
      <c r="X331" s="18"/>
      <c r="Y331" s="4"/>
      <c r="Z331" s="4"/>
    </row>
    <row r="332" spans="1:26" ht="14.1" hidden="1">
      <c r="A332" s="20">
        <v>339</v>
      </c>
      <c r="B332" s="1063">
        <v>40109</v>
      </c>
      <c r="C332" s="22" t="s">
        <v>1582</v>
      </c>
      <c r="D332" s="11"/>
      <c r="E332" s="22" t="s">
        <v>572</v>
      </c>
      <c r="F332" s="22" t="s">
        <v>1569</v>
      </c>
      <c r="G332" s="22" t="s">
        <v>1583</v>
      </c>
      <c r="H332" s="22" t="s">
        <v>1584</v>
      </c>
      <c r="I332" s="22" t="s">
        <v>1584</v>
      </c>
      <c r="J332" s="22"/>
      <c r="K332" s="22"/>
      <c r="L332" s="22"/>
      <c r="M332" s="22">
        <v>1</v>
      </c>
      <c r="N332" s="22">
        <v>1</v>
      </c>
      <c r="O332" s="22">
        <v>1</v>
      </c>
      <c r="P332" s="22">
        <v>0</v>
      </c>
      <c r="Q332" s="22">
        <v>0</v>
      </c>
      <c r="R332" s="1201">
        <v>8113.24</v>
      </c>
      <c r="S332" s="1201">
        <v>8113.24</v>
      </c>
      <c r="T332" s="22" t="s">
        <v>929</v>
      </c>
      <c r="U332" s="1854" t="s">
        <v>1580</v>
      </c>
      <c r="V332" s="22" t="s">
        <v>1575</v>
      </c>
      <c r="W332" s="2006" t="s">
        <v>1585</v>
      </c>
      <c r="X332" s="18"/>
      <c r="Y332" s="4"/>
      <c r="Z332" s="4"/>
    </row>
    <row r="333" spans="1:26" ht="56.1" hidden="1">
      <c r="A333" s="20">
        <v>340</v>
      </c>
      <c r="B333" s="1063">
        <v>40110</v>
      </c>
      <c r="C333" s="22" t="s">
        <v>1586</v>
      </c>
      <c r="D333" s="11"/>
      <c r="E333" s="22" t="s">
        <v>62</v>
      </c>
      <c r="F333" s="22" t="s">
        <v>1587</v>
      </c>
      <c r="G333" s="22" t="s">
        <v>1588</v>
      </c>
      <c r="H333" s="22"/>
      <c r="I333" s="22" t="s">
        <v>1022</v>
      </c>
      <c r="J333" s="22"/>
      <c r="K333" s="22"/>
      <c r="L333" s="22"/>
      <c r="M333" s="22">
        <v>1</v>
      </c>
      <c r="N333" s="22">
        <v>1</v>
      </c>
      <c r="O333" s="22">
        <v>1</v>
      </c>
      <c r="P333" s="22">
        <v>0</v>
      </c>
      <c r="Q333" s="22">
        <v>0</v>
      </c>
      <c r="R333" s="1201">
        <v>11571</v>
      </c>
      <c r="S333" s="1201">
        <v>11571</v>
      </c>
      <c r="T333" s="22" t="s">
        <v>311</v>
      </c>
      <c r="U333" s="1854" t="s">
        <v>1543</v>
      </c>
      <c r="V333" s="22" t="s">
        <v>1589</v>
      </c>
      <c r="W333" s="2006" t="s">
        <v>1590</v>
      </c>
      <c r="X333" s="18"/>
      <c r="Y333" s="4"/>
      <c r="Z333" s="4"/>
    </row>
    <row r="334" spans="1:26" ht="14.1" hidden="1">
      <c r="A334" s="20">
        <v>341</v>
      </c>
      <c r="B334" s="1063">
        <v>40111</v>
      </c>
      <c r="C334" s="22" t="s">
        <v>1591</v>
      </c>
      <c r="D334" s="11"/>
      <c r="E334" s="22" t="s">
        <v>1592</v>
      </c>
      <c r="F334" s="22" t="s">
        <v>1398</v>
      </c>
      <c r="G334" s="22" t="s">
        <v>1033</v>
      </c>
      <c r="H334" s="22" t="s">
        <v>1039</v>
      </c>
      <c r="I334" s="22" t="s">
        <v>39</v>
      </c>
      <c r="J334" s="22" t="s">
        <v>1593</v>
      </c>
      <c r="K334" s="22" t="s">
        <v>1591</v>
      </c>
      <c r="L334" s="22"/>
      <c r="M334" s="22">
        <v>3</v>
      </c>
      <c r="N334" s="22">
        <v>1</v>
      </c>
      <c r="O334" s="22">
        <v>6</v>
      </c>
      <c r="P334" s="22">
        <v>0</v>
      </c>
      <c r="Q334" s="22">
        <v>6</v>
      </c>
      <c r="R334" s="1201">
        <v>100</v>
      </c>
      <c r="S334" s="1201">
        <v>600</v>
      </c>
      <c r="T334" s="22" t="s">
        <v>311</v>
      </c>
      <c r="U334" s="1854" t="s">
        <v>1543</v>
      </c>
      <c r="V334" s="22" t="s">
        <v>1575</v>
      </c>
      <c r="W334" s="2006" t="s">
        <v>1594</v>
      </c>
      <c r="X334" s="18"/>
      <c r="Y334" s="4"/>
      <c r="Z334" s="4"/>
    </row>
    <row r="335" spans="1:26" ht="14.1" hidden="1">
      <c r="A335" s="20">
        <v>342</v>
      </c>
      <c r="B335" s="1063">
        <v>40112</v>
      </c>
      <c r="C335" s="22" t="s">
        <v>1595</v>
      </c>
      <c r="D335" s="11"/>
      <c r="E335" s="22" t="s">
        <v>572</v>
      </c>
      <c r="F335" s="22" t="s">
        <v>1398</v>
      </c>
      <c r="G335" s="22" t="s">
        <v>1596</v>
      </c>
      <c r="H335" s="22" t="s">
        <v>1597</v>
      </c>
      <c r="I335" s="22" t="s">
        <v>1597</v>
      </c>
      <c r="J335" s="22" t="s">
        <v>1598</v>
      </c>
      <c r="K335" s="22" t="s">
        <v>1599</v>
      </c>
      <c r="L335" s="22"/>
      <c r="M335" s="22">
        <v>14</v>
      </c>
      <c r="N335" s="22">
        <v>1</v>
      </c>
      <c r="O335" s="22">
        <v>20</v>
      </c>
      <c r="P335" s="22">
        <v>0</v>
      </c>
      <c r="Q335" s="22">
        <v>20</v>
      </c>
      <c r="R335" s="1201">
        <v>20</v>
      </c>
      <c r="S335" s="1201">
        <v>400</v>
      </c>
      <c r="T335" s="22" t="s">
        <v>311</v>
      </c>
      <c r="U335" s="1854" t="s">
        <v>1543</v>
      </c>
      <c r="V335" s="22" t="s">
        <v>1575</v>
      </c>
      <c r="W335" s="2006" t="s">
        <v>1600</v>
      </c>
      <c r="X335" s="18"/>
      <c r="Y335" s="4"/>
      <c r="Z335" s="4"/>
    </row>
    <row r="336" spans="1:26" ht="27.95" hidden="1">
      <c r="A336" s="20">
        <v>343</v>
      </c>
      <c r="B336" s="1063">
        <v>40113</v>
      </c>
      <c r="C336" s="22" t="s">
        <v>1601</v>
      </c>
      <c r="D336" s="11"/>
      <c r="E336" s="22" t="s">
        <v>1602</v>
      </c>
      <c r="F336" s="22" t="s">
        <v>1603</v>
      </c>
      <c r="G336" s="22" t="s">
        <v>1604</v>
      </c>
      <c r="H336" s="22" t="s">
        <v>1605</v>
      </c>
      <c r="I336" s="22" t="s">
        <v>1605</v>
      </c>
      <c r="J336" s="22" t="s">
        <v>1606</v>
      </c>
      <c r="K336" s="22" t="s">
        <v>1606</v>
      </c>
      <c r="L336" s="22" t="s">
        <v>1606</v>
      </c>
      <c r="M336" s="22">
        <v>5</v>
      </c>
      <c r="N336" s="22">
        <v>5</v>
      </c>
      <c r="O336" s="22">
        <v>5</v>
      </c>
      <c r="P336" s="22">
        <v>0</v>
      </c>
      <c r="Q336" s="22">
        <v>5</v>
      </c>
      <c r="R336" s="1201">
        <v>6070</v>
      </c>
      <c r="S336" s="1201">
        <v>30350</v>
      </c>
      <c r="T336" s="22" t="s">
        <v>1375</v>
      </c>
      <c r="U336" s="1854" t="s">
        <v>1375</v>
      </c>
      <c r="V336" s="22"/>
      <c r="W336" s="2006" t="s">
        <v>1607</v>
      </c>
      <c r="X336" s="18"/>
      <c r="Y336" s="4"/>
      <c r="Z336" s="4"/>
    </row>
    <row r="337" spans="1:26" ht="14.1" hidden="1">
      <c r="A337" s="20">
        <v>344</v>
      </c>
      <c r="B337" s="1063">
        <v>40114</v>
      </c>
      <c r="C337" s="22" t="s">
        <v>1608</v>
      </c>
      <c r="D337" s="11"/>
      <c r="E337" s="22" t="s">
        <v>1602</v>
      </c>
      <c r="F337" s="22" t="s">
        <v>1603</v>
      </c>
      <c r="G337" s="22" t="s">
        <v>1609</v>
      </c>
      <c r="H337" s="22" t="s">
        <v>1610</v>
      </c>
      <c r="I337" s="22" t="s">
        <v>1610</v>
      </c>
      <c r="J337" s="22" t="s">
        <v>1606</v>
      </c>
      <c r="K337" s="22" t="s">
        <v>1606</v>
      </c>
      <c r="L337" s="22" t="s">
        <v>1606</v>
      </c>
      <c r="M337" s="22">
        <v>15</v>
      </c>
      <c r="N337" s="22">
        <v>15</v>
      </c>
      <c r="O337" s="22">
        <v>15</v>
      </c>
      <c r="P337" s="22">
        <v>0</v>
      </c>
      <c r="Q337" s="22">
        <v>15</v>
      </c>
      <c r="R337" s="1201">
        <v>770</v>
      </c>
      <c r="S337" s="1201">
        <v>11560</v>
      </c>
      <c r="T337" s="22" t="s">
        <v>1375</v>
      </c>
      <c r="U337" s="1854" t="s">
        <v>1375</v>
      </c>
      <c r="V337" s="22"/>
      <c r="W337" s="2006" t="s">
        <v>1611</v>
      </c>
      <c r="X337" s="18"/>
      <c r="Y337" s="4"/>
      <c r="Z337" s="4"/>
    </row>
    <row r="338" spans="1:26" ht="27.95" hidden="1">
      <c r="A338" s="20">
        <v>345</v>
      </c>
      <c r="B338" s="1063">
        <v>40115</v>
      </c>
      <c r="C338" s="22" t="s">
        <v>1612</v>
      </c>
      <c r="D338" s="11"/>
      <c r="E338" s="22" t="s">
        <v>62</v>
      </c>
      <c r="F338" s="22" t="s">
        <v>823</v>
      </c>
      <c r="G338" s="22" t="s">
        <v>1613</v>
      </c>
      <c r="H338" s="22" t="s">
        <v>1614</v>
      </c>
      <c r="I338" s="22" t="s">
        <v>84</v>
      </c>
      <c r="J338" s="29">
        <v>20344932</v>
      </c>
      <c r="K338" s="30" t="s">
        <v>1615</v>
      </c>
      <c r="L338" s="22" t="s">
        <v>1606</v>
      </c>
      <c r="M338" s="22">
        <v>1</v>
      </c>
      <c r="N338" s="22">
        <v>1</v>
      </c>
      <c r="O338" s="22">
        <v>1</v>
      </c>
      <c r="P338" s="22">
        <v>0</v>
      </c>
      <c r="Q338" s="22">
        <v>0</v>
      </c>
      <c r="R338" s="1201">
        <v>87900</v>
      </c>
      <c r="S338" s="1201">
        <v>87900</v>
      </c>
      <c r="T338" s="22"/>
      <c r="U338" s="1854" t="s">
        <v>1543</v>
      </c>
      <c r="V338" s="22" t="s">
        <v>1616</v>
      </c>
      <c r="W338" s="2006" t="s">
        <v>1617</v>
      </c>
      <c r="X338" s="18"/>
      <c r="Y338" s="4"/>
      <c r="Z338" s="4"/>
    </row>
    <row r="339" spans="1:26" ht="37.5" hidden="1">
      <c r="A339" s="20">
        <v>346</v>
      </c>
      <c r="B339" s="1063">
        <v>40116</v>
      </c>
      <c r="C339" s="22" t="s">
        <v>1618</v>
      </c>
      <c r="D339" s="11"/>
      <c r="E339" s="22" t="s">
        <v>62</v>
      </c>
      <c r="F339" s="22" t="s">
        <v>823</v>
      </c>
      <c r="G339" s="22" t="s">
        <v>1619</v>
      </c>
      <c r="H339" s="22" t="s">
        <v>1620</v>
      </c>
      <c r="I339" s="22" t="s">
        <v>84</v>
      </c>
      <c r="J339" s="29">
        <v>9482636</v>
      </c>
      <c r="K339" s="30" t="s">
        <v>1621</v>
      </c>
      <c r="L339" s="22" t="s">
        <v>1606</v>
      </c>
      <c r="M339" s="22">
        <v>0</v>
      </c>
      <c r="N339" s="22">
        <v>0</v>
      </c>
      <c r="O339" s="22">
        <v>1</v>
      </c>
      <c r="P339" s="22">
        <v>0</v>
      </c>
      <c r="Q339" s="22">
        <v>0</v>
      </c>
      <c r="R339" s="1201">
        <v>7690</v>
      </c>
      <c r="S339" s="1201">
        <v>7690</v>
      </c>
      <c r="T339" s="22"/>
      <c r="U339" s="1854" t="s">
        <v>1543</v>
      </c>
      <c r="V339" s="22" t="s">
        <v>1616</v>
      </c>
      <c r="W339" s="2013" t="s">
        <v>1622</v>
      </c>
      <c r="X339" s="18"/>
      <c r="Y339" s="4"/>
      <c r="Z339" s="4"/>
    </row>
    <row r="340" spans="1:26" ht="15.95" hidden="1">
      <c r="A340" s="20">
        <v>347</v>
      </c>
      <c r="B340" s="1063">
        <v>40117</v>
      </c>
      <c r="C340" s="22" t="s">
        <v>1623</v>
      </c>
      <c r="D340" s="11"/>
      <c r="E340" s="22" t="s">
        <v>62</v>
      </c>
      <c r="F340" s="22" t="s">
        <v>823</v>
      </c>
      <c r="G340" s="26" t="s">
        <v>1624</v>
      </c>
      <c r="H340" s="22" t="s">
        <v>1625</v>
      </c>
      <c r="I340" s="22" t="s">
        <v>1626</v>
      </c>
      <c r="J340" s="22">
        <v>49036461</v>
      </c>
      <c r="K340" s="30">
        <v>3533</v>
      </c>
      <c r="L340" s="22" t="s">
        <v>1606</v>
      </c>
      <c r="M340" s="22">
        <v>6</v>
      </c>
      <c r="N340" s="22">
        <v>6</v>
      </c>
      <c r="O340" s="22">
        <v>6</v>
      </c>
      <c r="P340" s="22">
        <v>2</v>
      </c>
      <c r="Q340" s="22">
        <v>2</v>
      </c>
      <c r="R340" s="1201">
        <v>279</v>
      </c>
      <c r="S340" s="1201">
        <v>1674</v>
      </c>
      <c r="T340" s="22"/>
      <c r="U340" s="1854" t="s">
        <v>1543</v>
      </c>
      <c r="V340" s="22" t="s">
        <v>1616</v>
      </c>
      <c r="W340" s="2006" t="s">
        <v>1627</v>
      </c>
      <c r="X340" s="18"/>
      <c r="Y340" s="4"/>
      <c r="Z340" s="4"/>
    </row>
    <row r="341" spans="1:26" ht="27.95" hidden="1">
      <c r="A341" s="20">
        <v>348</v>
      </c>
      <c r="B341" s="1063">
        <v>40118</v>
      </c>
      <c r="C341" s="22" t="s">
        <v>1628</v>
      </c>
      <c r="D341" s="11"/>
      <c r="E341" s="22" t="s">
        <v>62</v>
      </c>
      <c r="F341" s="22" t="s">
        <v>823</v>
      </c>
      <c r="G341" s="22" t="s">
        <v>1629</v>
      </c>
      <c r="H341" s="22" t="s">
        <v>1606</v>
      </c>
      <c r="I341" s="22" t="s">
        <v>84</v>
      </c>
      <c r="J341" s="45">
        <v>19402048</v>
      </c>
      <c r="K341" s="22" t="s">
        <v>1606</v>
      </c>
      <c r="L341" s="22" t="s">
        <v>1606</v>
      </c>
      <c r="M341" s="22">
        <v>2</v>
      </c>
      <c r="N341" s="22">
        <v>2</v>
      </c>
      <c r="O341" s="22">
        <v>2</v>
      </c>
      <c r="P341" s="22">
        <v>2</v>
      </c>
      <c r="Q341" s="22">
        <v>1</v>
      </c>
      <c r="R341" s="1201">
        <v>2590</v>
      </c>
      <c r="S341" s="1201">
        <v>5180</v>
      </c>
      <c r="T341" s="22"/>
      <c r="U341" s="1854" t="s">
        <v>1543</v>
      </c>
      <c r="V341" s="22" t="s">
        <v>1616</v>
      </c>
      <c r="W341" s="2006" t="s">
        <v>1630</v>
      </c>
      <c r="X341" s="18"/>
      <c r="Y341" s="4"/>
      <c r="Z341" s="4"/>
    </row>
    <row r="342" spans="1:26" ht="14.1" hidden="1">
      <c r="A342" s="20">
        <v>349</v>
      </c>
      <c r="B342" s="1063">
        <v>40119</v>
      </c>
      <c r="C342" s="22" t="s">
        <v>1631</v>
      </c>
      <c r="D342" s="11"/>
      <c r="E342" s="22" t="s">
        <v>62</v>
      </c>
      <c r="F342" s="22" t="s">
        <v>823</v>
      </c>
      <c r="G342" s="22" t="s">
        <v>1632</v>
      </c>
      <c r="H342" s="22" t="s">
        <v>1606</v>
      </c>
      <c r="I342" s="22" t="s">
        <v>310</v>
      </c>
      <c r="J342" s="22" t="s">
        <v>1606</v>
      </c>
      <c r="K342" s="22" t="s">
        <v>1606</v>
      </c>
      <c r="L342" s="22" t="s">
        <v>1606</v>
      </c>
      <c r="M342" s="22">
        <v>12</v>
      </c>
      <c r="N342" s="22">
        <v>12</v>
      </c>
      <c r="O342" s="22">
        <v>12</v>
      </c>
      <c r="P342" s="22">
        <v>0</v>
      </c>
      <c r="Q342" s="22">
        <v>0</v>
      </c>
      <c r="R342" s="1201">
        <v>500</v>
      </c>
      <c r="S342" s="1201">
        <v>6000</v>
      </c>
      <c r="T342" s="22"/>
      <c r="U342" s="1854" t="s">
        <v>1543</v>
      </c>
      <c r="V342" s="22" t="s">
        <v>1616</v>
      </c>
      <c r="W342" s="2007" t="s">
        <v>310</v>
      </c>
      <c r="X342" s="18"/>
      <c r="Y342" s="4"/>
      <c r="Z342" s="4"/>
    </row>
    <row r="343" spans="1:26" ht="42" hidden="1">
      <c r="A343" s="20">
        <v>350</v>
      </c>
      <c r="B343" s="1063">
        <v>40120</v>
      </c>
      <c r="C343" s="22" t="s">
        <v>1633</v>
      </c>
      <c r="D343" s="11"/>
      <c r="E343" s="22" t="s">
        <v>572</v>
      </c>
      <c r="F343" s="22" t="s">
        <v>1569</v>
      </c>
      <c r="G343" s="22" t="s">
        <v>1634</v>
      </c>
      <c r="H343" s="22" t="s">
        <v>598</v>
      </c>
      <c r="I343" s="22" t="s">
        <v>574</v>
      </c>
      <c r="J343" s="49" t="s">
        <v>1635</v>
      </c>
      <c r="K343" s="49" t="s">
        <v>1636</v>
      </c>
      <c r="L343" s="22" t="s">
        <v>1637</v>
      </c>
      <c r="M343" s="22">
        <v>3</v>
      </c>
      <c r="N343" s="22">
        <v>10</v>
      </c>
      <c r="O343" s="22">
        <v>10</v>
      </c>
      <c r="P343" s="22">
        <v>0</v>
      </c>
      <c r="Q343" s="22">
        <v>7</v>
      </c>
      <c r="R343" s="1201">
        <v>27</v>
      </c>
      <c r="S343" s="1201">
        <v>244</v>
      </c>
      <c r="T343" s="22" t="s">
        <v>929</v>
      </c>
      <c r="U343" s="1854" t="s">
        <v>1638</v>
      </c>
      <c r="V343" s="22" t="s">
        <v>1575</v>
      </c>
      <c r="W343" s="2006" t="s">
        <v>1639</v>
      </c>
      <c r="X343" s="18"/>
      <c r="Y343" s="4"/>
      <c r="Z343" s="4"/>
    </row>
    <row r="344" spans="1:26" ht="42" hidden="1">
      <c r="A344" s="20">
        <v>351</v>
      </c>
      <c r="B344" s="1063">
        <v>40121</v>
      </c>
      <c r="C344" s="22" t="s">
        <v>1640</v>
      </c>
      <c r="D344" s="11"/>
      <c r="E344" s="22" t="s">
        <v>572</v>
      </c>
      <c r="F344" s="22" t="s">
        <v>1569</v>
      </c>
      <c r="G344" s="22" t="s">
        <v>1641</v>
      </c>
      <c r="H344" s="22" t="s">
        <v>230</v>
      </c>
      <c r="I344" s="22" t="s">
        <v>574</v>
      </c>
      <c r="J344" s="49" t="s">
        <v>1642</v>
      </c>
      <c r="K344" s="49" t="s">
        <v>1643</v>
      </c>
      <c r="L344" s="22" t="s">
        <v>1644</v>
      </c>
      <c r="M344" s="22">
        <v>1</v>
      </c>
      <c r="N344" s="22">
        <v>3</v>
      </c>
      <c r="O344" s="22">
        <v>3</v>
      </c>
      <c r="P344" s="22">
        <v>0</v>
      </c>
      <c r="Q344" s="22">
        <v>2</v>
      </c>
      <c r="R344" s="1201">
        <v>273</v>
      </c>
      <c r="S344" s="1201">
        <f t="shared" ref="S344:S345" si="13">R344*3</f>
        <v>819</v>
      </c>
      <c r="T344" s="22" t="s">
        <v>929</v>
      </c>
      <c r="U344" s="1854" t="s">
        <v>1638</v>
      </c>
      <c r="V344" s="22" t="s">
        <v>1575</v>
      </c>
      <c r="W344" s="2006" t="s">
        <v>1645</v>
      </c>
      <c r="X344" s="18"/>
      <c r="Y344" s="4"/>
      <c r="Z344" s="4"/>
    </row>
    <row r="345" spans="1:26" ht="42" hidden="1">
      <c r="A345" s="20">
        <v>352</v>
      </c>
      <c r="B345" s="1063">
        <v>40122</v>
      </c>
      <c r="C345" s="22" t="s">
        <v>1646</v>
      </c>
      <c r="D345" s="11"/>
      <c r="E345" s="22" t="s">
        <v>572</v>
      </c>
      <c r="F345" s="22" t="s">
        <v>1569</v>
      </c>
      <c r="G345" s="22" t="s">
        <v>618</v>
      </c>
      <c r="H345" s="22" t="s">
        <v>1647</v>
      </c>
      <c r="I345" s="22" t="s">
        <v>574</v>
      </c>
      <c r="J345" s="49" t="s">
        <v>1648</v>
      </c>
      <c r="K345" s="49" t="s">
        <v>1649</v>
      </c>
      <c r="L345" s="22" t="s">
        <v>1650</v>
      </c>
      <c r="M345" s="22">
        <v>1</v>
      </c>
      <c r="N345" s="22">
        <v>3</v>
      </c>
      <c r="O345" s="22">
        <v>3</v>
      </c>
      <c r="P345" s="22">
        <v>0</v>
      </c>
      <c r="Q345" s="22">
        <v>2</v>
      </c>
      <c r="R345" s="1201">
        <v>49</v>
      </c>
      <c r="S345" s="1201">
        <f t="shared" si="13"/>
        <v>147</v>
      </c>
      <c r="T345" s="22" t="s">
        <v>1651</v>
      </c>
      <c r="U345" s="1854" t="s">
        <v>1638</v>
      </c>
      <c r="V345" s="22" t="s">
        <v>1575</v>
      </c>
      <c r="W345" s="2006" t="s">
        <v>1652</v>
      </c>
      <c r="X345" s="18"/>
      <c r="Y345" s="4"/>
      <c r="Z345" s="4"/>
    </row>
    <row r="346" spans="1:26" ht="42" hidden="1">
      <c r="A346" s="20">
        <v>353</v>
      </c>
      <c r="B346" s="1063">
        <v>40123</v>
      </c>
      <c r="C346" s="37" t="s">
        <v>329</v>
      </c>
      <c r="D346" s="11"/>
      <c r="E346" s="22" t="s">
        <v>572</v>
      </c>
      <c r="F346" s="22" t="s">
        <v>1569</v>
      </c>
      <c r="G346" s="22" t="s">
        <v>635</v>
      </c>
      <c r="H346" s="22" t="s">
        <v>1653</v>
      </c>
      <c r="I346" s="22" t="s">
        <v>574</v>
      </c>
      <c r="J346" s="49" t="s">
        <v>1654</v>
      </c>
      <c r="K346" s="49" t="s">
        <v>1655</v>
      </c>
      <c r="L346" s="22">
        <v>805</v>
      </c>
      <c r="M346" s="22">
        <v>2</v>
      </c>
      <c r="N346" s="22">
        <v>10</v>
      </c>
      <c r="O346" s="22">
        <v>10</v>
      </c>
      <c r="P346" s="22">
        <v>0</v>
      </c>
      <c r="Q346" s="22">
        <v>8</v>
      </c>
      <c r="R346" s="1201">
        <v>16</v>
      </c>
      <c r="S346" s="1201">
        <v>114</v>
      </c>
      <c r="T346" s="22" t="s">
        <v>929</v>
      </c>
      <c r="U346" s="1854" t="s">
        <v>1638</v>
      </c>
      <c r="V346" s="22" t="s">
        <v>1575</v>
      </c>
      <c r="W346" s="2006" t="s">
        <v>1656</v>
      </c>
      <c r="X346" s="18"/>
      <c r="Y346" s="4"/>
      <c r="Z346" s="4"/>
    </row>
    <row r="347" spans="1:26" ht="42" hidden="1">
      <c r="A347" s="20">
        <v>354</v>
      </c>
      <c r="B347" s="1063">
        <v>40124</v>
      </c>
      <c r="C347" s="22" t="s">
        <v>329</v>
      </c>
      <c r="D347" s="11"/>
      <c r="E347" s="22" t="s">
        <v>572</v>
      </c>
      <c r="F347" s="22" t="s">
        <v>1569</v>
      </c>
      <c r="G347" s="22" t="s">
        <v>650</v>
      </c>
      <c r="H347" s="22" t="s">
        <v>1422</v>
      </c>
      <c r="I347" s="22" t="s">
        <v>574</v>
      </c>
      <c r="J347" s="49" t="s">
        <v>1657</v>
      </c>
      <c r="K347" s="49" t="s">
        <v>1658</v>
      </c>
      <c r="L347" s="22">
        <v>805</v>
      </c>
      <c r="M347" s="22">
        <v>5</v>
      </c>
      <c r="N347" s="22">
        <v>15</v>
      </c>
      <c r="O347" s="22">
        <v>15</v>
      </c>
      <c r="P347" s="22">
        <v>0</v>
      </c>
      <c r="Q347" s="22">
        <v>10</v>
      </c>
      <c r="R347" s="1201">
        <v>49</v>
      </c>
      <c r="S347" s="1201">
        <f>34.1*15</f>
        <v>511.5</v>
      </c>
      <c r="T347" s="22" t="s">
        <v>929</v>
      </c>
      <c r="U347" s="1854" t="s">
        <v>1638</v>
      </c>
      <c r="V347" s="22" t="s">
        <v>1575</v>
      </c>
      <c r="W347" s="2006" t="s">
        <v>1659</v>
      </c>
      <c r="X347" s="18"/>
      <c r="Y347" s="4"/>
      <c r="Z347" s="4"/>
    </row>
    <row r="348" spans="1:26" ht="42" hidden="1">
      <c r="A348" s="20">
        <v>355</v>
      </c>
      <c r="B348" s="1063">
        <v>40125</v>
      </c>
      <c r="C348" s="22" t="s">
        <v>1660</v>
      </c>
      <c r="D348" s="11"/>
      <c r="E348" s="22" t="s">
        <v>572</v>
      </c>
      <c r="F348" s="22" t="s">
        <v>1569</v>
      </c>
      <c r="G348" s="22" t="s">
        <v>1661</v>
      </c>
      <c r="H348" s="22" t="s">
        <v>1039</v>
      </c>
      <c r="I348" s="22" t="s">
        <v>1662</v>
      </c>
      <c r="J348" s="49" t="s">
        <v>1663</v>
      </c>
      <c r="K348" s="49" t="s">
        <v>1664</v>
      </c>
      <c r="L348" s="22" t="s">
        <v>1665</v>
      </c>
      <c r="M348" s="22">
        <v>3</v>
      </c>
      <c r="N348" s="22">
        <v>10</v>
      </c>
      <c r="O348" s="22">
        <v>10</v>
      </c>
      <c r="P348" s="22">
        <v>0</v>
      </c>
      <c r="Q348" s="22">
        <v>7</v>
      </c>
      <c r="R348" s="1201">
        <v>122</v>
      </c>
      <c r="S348" s="1201">
        <v>1084</v>
      </c>
      <c r="T348" s="22" t="s">
        <v>929</v>
      </c>
      <c r="U348" s="1854" t="s">
        <v>1638</v>
      </c>
      <c r="V348" s="22" t="s">
        <v>1575</v>
      </c>
      <c r="W348" s="2006" t="s">
        <v>1666</v>
      </c>
      <c r="X348" s="18"/>
      <c r="Y348" s="4"/>
      <c r="Z348" s="4"/>
    </row>
    <row r="349" spans="1:26" ht="42" hidden="1">
      <c r="A349" s="20">
        <v>356</v>
      </c>
      <c r="B349" s="1063">
        <v>40126</v>
      </c>
      <c r="C349" s="22" t="s">
        <v>1667</v>
      </c>
      <c r="D349" s="11"/>
      <c r="E349" s="22" t="s">
        <v>572</v>
      </c>
      <c r="F349" s="22" t="s">
        <v>1569</v>
      </c>
      <c r="G349" s="22" t="s">
        <v>1668</v>
      </c>
      <c r="H349" s="22" t="s">
        <v>230</v>
      </c>
      <c r="I349" s="22" t="s">
        <v>574</v>
      </c>
      <c r="J349" s="49" t="s">
        <v>1669</v>
      </c>
      <c r="K349" s="49" t="s">
        <v>1670</v>
      </c>
      <c r="L349" s="22" t="s">
        <v>1671</v>
      </c>
      <c r="M349" s="22">
        <v>3</v>
      </c>
      <c r="N349" s="22">
        <v>10</v>
      </c>
      <c r="O349" s="22">
        <v>10</v>
      </c>
      <c r="P349" s="22">
        <v>0</v>
      </c>
      <c r="Q349" s="22">
        <v>7</v>
      </c>
      <c r="R349" s="1201">
        <v>53</v>
      </c>
      <c r="S349" s="1201">
        <v>530</v>
      </c>
      <c r="T349" s="22" t="s">
        <v>929</v>
      </c>
      <c r="U349" s="1854" t="s">
        <v>1638</v>
      </c>
      <c r="V349" s="22" t="s">
        <v>1575</v>
      </c>
      <c r="W349" s="2006" t="s">
        <v>1672</v>
      </c>
      <c r="X349" s="18"/>
      <c r="Y349" s="4"/>
      <c r="Z349" s="4"/>
    </row>
    <row r="350" spans="1:26" ht="27.95" hidden="1">
      <c r="A350" s="20">
        <v>357</v>
      </c>
      <c r="B350" s="1063">
        <v>40127</v>
      </c>
      <c r="C350" s="22" t="s">
        <v>1673</v>
      </c>
      <c r="D350" s="11"/>
      <c r="E350" s="22" t="s">
        <v>572</v>
      </c>
      <c r="F350" s="22" t="s">
        <v>1569</v>
      </c>
      <c r="G350" s="22" t="s">
        <v>1674</v>
      </c>
      <c r="H350" s="22" t="s">
        <v>341</v>
      </c>
      <c r="I350" s="22" t="s">
        <v>574</v>
      </c>
      <c r="J350" s="49" t="s">
        <v>1675</v>
      </c>
      <c r="K350" s="49" t="s">
        <v>1676</v>
      </c>
      <c r="L350" s="22" t="s">
        <v>344</v>
      </c>
      <c r="M350" s="22">
        <v>3</v>
      </c>
      <c r="N350" s="22">
        <v>10</v>
      </c>
      <c r="O350" s="22">
        <v>10</v>
      </c>
      <c r="P350" s="22">
        <v>0</v>
      </c>
      <c r="Q350" s="22">
        <v>7</v>
      </c>
      <c r="R350" s="1201">
        <v>46</v>
      </c>
      <c r="S350" s="1201">
        <v>421</v>
      </c>
      <c r="T350" s="22" t="s">
        <v>929</v>
      </c>
      <c r="U350" s="1854" t="s">
        <v>1638</v>
      </c>
      <c r="V350" s="22" t="s">
        <v>1575</v>
      </c>
      <c r="W350" s="2006" t="s">
        <v>1677</v>
      </c>
      <c r="X350" s="18"/>
      <c r="Y350" s="4"/>
      <c r="Z350" s="4"/>
    </row>
    <row r="351" spans="1:26" ht="27.95" hidden="1">
      <c r="A351" s="20">
        <v>358</v>
      </c>
      <c r="B351" s="1063">
        <v>40128</v>
      </c>
      <c r="C351" s="22" t="s">
        <v>1678</v>
      </c>
      <c r="D351" s="11"/>
      <c r="E351" s="22" t="s">
        <v>572</v>
      </c>
      <c r="F351" s="22" t="s">
        <v>1569</v>
      </c>
      <c r="G351" s="22" t="s">
        <v>1679</v>
      </c>
      <c r="H351" s="22" t="s">
        <v>1680</v>
      </c>
      <c r="I351" s="22" t="s">
        <v>1662</v>
      </c>
      <c r="J351" s="49" t="s">
        <v>1681</v>
      </c>
      <c r="K351" s="49" t="s">
        <v>1682</v>
      </c>
      <c r="L351" s="22">
        <v>805</v>
      </c>
      <c r="M351" s="22">
        <v>3</v>
      </c>
      <c r="N351" s="22">
        <v>10</v>
      </c>
      <c r="O351" s="22">
        <v>10</v>
      </c>
      <c r="P351" s="22">
        <v>0</v>
      </c>
      <c r="Q351" s="22">
        <v>7</v>
      </c>
      <c r="R351" s="1201">
        <v>20</v>
      </c>
      <c r="S351" s="1201">
        <v>175</v>
      </c>
      <c r="T351" s="22" t="s">
        <v>929</v>
      </c>
      <c r="U351" s="1854" t="s">
        <v>1638</v>
      </c>
      <c r="V351" s="22" t="s">
        <v>1575</v>
      </c>
      <c r="W351" s="2006" t="s">
        <v>1683</v>
      </c>
      <c r="X351" s="18"/>
      <c r="Y351" s="4"/>
      <c r="Z351" s="4"/>
    </row>
    <row r="352" spans="1:26" ht="42" hidden="1">
      <c r="A352" s="20">
        <v>359</v>
      </c>
      <c r="B352" s="1063">
        <v>40129</v>
      </c>
      <c r="C352" s="22" t="s">
        <v>1684</v>
      </c>
      <c r="D352" s="11"/>
      <c r="E352" s="22" t="s">
        <v>572</v>
      </c>
      <c r="F352" s="22" t="s">
        <v>1569</v>
      </c>
      <c r="G352" s="22" t="s">
        <v>1685</v>
      </c>
      <c r="H352" s="22" t="s">
        <v>1653</v>
      </c>
      <c r="I352" s="22" t="s">
        <v>1662</v>
      </c>
      <c r="J352" s="49" t="s">
        <v>1686</v>
      </c>
      <c r="K352" s="49" t="s">
        <v>1687</v>
      </c>
      <c r="L352" s="22">
        <v>805</v>
      </c>
      <c r="M352" s="22">
        <v>5</v>
      </c>
      <c r="N352" s="22">
        <v>10</v>
      </c>
      <c r="O352" s="22">
        <v>10</v>
      </c>
      <c r="P352" s="22">
        <v>0</v>
      </c>
      <c r="Q352" s="22">
        <v>5</v>
      </c>
      <c r="R352" s="1201">
        <v>12</v>
      </c>
      <c r="S352" s="1201">
        <v>43</v>
      </c>
      <c r="T352" s="22" t="s">
        <v>929</v>
      </c>
      <c r="U352" s="1854" t="s">
        <v>1688</v>
      </c>
      <c r="V352" s="22" t="s">
        <v>1575</v>
      </c>
      <c r="W352" s="2006" t="s">
        <v>1689</v>
      </c>
      <c r="X352" s="18"/>
      <c r="Y352" s="4"/>
      <c r="Z352" s="4"/>
    </row>
    <row r="353" spans="1:26" ht="42" hidden="1">
      <c r="A353" s="20">
        <v>360</v>
      </c>
      <c r="B353" s="1063">
        <v>40130</v>
      </c>
      <c r="C353" s="22" t="s">
        <v>1690</v>
      </c>
      <c r="D353" s="11"/>
      <c r="E353" s="22" t="s">
        <v>572</v>
      </c>
      <c r="F353" s="22" t="s">
        <v>1569</v>
      </c>
      <c r="G353" s="22" t="s">
        <v>188</v>
      </c>
      <c r="H353" s="22" t="s">
        <v>1691</v>
      </c>
      <c r="I353" s="22" t="s">
        <v>1662</v>
      </c>
      <c r="J353" s="49" t="s">
        <v>1692</v>
      </c>
      <c r="K353" s="49" t="s">
        <v>1693</v>
      </c>
      <c r="L353" s="22">
        <v>805</v>
      </c>
      <c r="M353" s="22">
        <v>1</v>
      </c>
      <c r="N353" s="22">
        <v>10</v>
      </c>
      <c r="O353" s="22">
        <v>10</v>
      </c>
      <c r="P353" s="22">
        <v>0</v>
      </c>
      <c r="Q353" s="22">
        <v>9</v>
      </c>
      <c r="R353" s="1201">
        <v>42</v>
      </c>
      <c r="S353" s="1201">
        <v>378</v>
      </c>
      <c r="T353" s="22" t="s">
        <v>929</v>
      </c>
      <c r="U353" s="1854" t="s">
        <v>1688</v>
      </c>
      <c r="V353" s="22" t="s">
        <v>1575</v>
      </c>
      <c r="W353" s="2006" t="s">
        <v>1694</v>
      </c>
      <c r="X353" s="18"/>
      <c r="Y353" s="4"/>
      <c r="Z353" s="4"/>
    </row>
    <row r="354" spans="1:26" ht="42" hidden="1">
      <c r="A354" s="20">
        <v>361</v>
      </c>
      <c r="B354" s="1063">
        <v>40131</v>
      </c>
      <c r="C354" s="22" t="s">
        <v>1695</v>
      </c>
      <c r="D354" s="11"/>
      <c r="E354" s="22" t="s">
        <v>572</v>
      </c>
      <c r="F354" s="22" t="s">
        <v>1569</v>
      </c>
      <c r="G354" s="22" t="s">
        <v>188</v>
      </c>
      <c r="H354" s="22" t="s">
        <v>1691</v>
      </c>
      <c r="I354" s="22" t="s">
        <v>1662</v>
      </c>
      <c r="J354" s="49" t="s">
        <v>1696</v>
      </c>
      <c r="K354" s="49" t="s">
        <v>1697</v>
      </c>
      <c r="L354" s="22">
        <v>805</v>
      </c>
      <c r="M354" s="22">
        <v>2</v>
      </c>
      <c r="N354" s="22">
        <v>10</v>
      </c>
      <c r="O354" s="22">
        <v>10</v>
      </c>
      <c r="P354" s="22">
        <v>0</v>
      </c>
      <c r="Q354" s="22">
        <v>8</v>
      </c>
      <c r="R354" s="1201">
        <v>42</v>
      </c>
      <c r="S354" s="1201">
        <v>378</v>
      </c>
      <c r="T354" s="22" t="s">
        <v>929</v>
      </c>
      <c r="U354" s="1854" t="s">
        <v>1688</v>
      </c>
      <c r="V354" s="22" t="s">
        <v>1575</v>
      </c>
      <c r="W354" s="2006" t="s">
        <v>1698</v>
      </c>
      <c r="X354" s="18"/>
      <c r="Y354" s="4"/>
      <c r="Z354" s="4"/>
    </row>
    <row r="355" spans="1:26" ht="42" hidden="1">
      <c r="A355" s="20">
        <v>362</v>
      </c>
      <c r="B355" s="1063">
        <v>40132</v>
      </c>
      <c r="C355" s="22" t="s">
        <v>1699</v>
      </c>
      <c r="D355" s="11"/>
      <c r="E355" s="22" t="s">
        <v>572</v>
      </c>
      <c r="F355" s="22" t="s">
        <v>1569</v>
      </c>
      <c r="G355" s="22" t="s">
        <v>188</v>
      </c>
      <c r="H355" s="22" t="s">
        <v>1691</v>
      </c>
      <c r="I355" s="22" t="s">
        <v>1662</v>
      </c>
      <c r="J355" s="49" t="s">
        <v>1700</v>
      </c>
      <c r="K355" s="49" t="s">
        <v>1701</v>
      </c>
      <c r="L355" s="22">
        <v>805</v>
      </c>
      <c r="M355" s="22">
        <v>2</v>
      </c>
      <c r="N355" s="22">
        <v>10</v>
      </c>
      <c r="O355" s="22">
        <v>10</v>
      </c>
      <c r="P355" s="22">
        <v>0</v>
      </c>
      <c r="Q355" s="22">
        <v>8</v>
      </c>
      <c r="R355" s="1201">
        <v>36</v>
      </c>
      <c r="S355" s="1201">
        <v>324</v>
      </c>
      <c r="T355" s="22" t="s">
        <v>929</v>
      </c>
      <c r="U355" s="1854" t="s">
        <v>1688</v>
      </c>
      <c r="V355" s="22" t="s">
        <v>1575</v>
      </c>
      <c r="W355" s="2006" t="s">
        <v>1702</v>
      </c>
      <c r="X355" s="18"/>
      <c r="Y355" s="4"/>
      <c r="Z355" s="4"/>
    </row>
    <row r="356" spans="1:26" ht="42" hidden="1">
      <c r="A356" s="20">
        <v>363</v>
      </c>
      <c r="B356" s="1063">
        <v>40133</v>
      </c>
      <c r="C356" s="22" t="s">
        <v>1703</v>
      </c>
      <c r="D356" s="11"/>
      <c r="E356" s="22" t="s">
        <v>572</v>
      </c>
      <c r="F356" s="22" t="s">
        <v>1569</v>
      </c>
      <c r="G356" s="22" t="s">
        <v>329</v>
      </c>
      <c r="H356" s="22" t="s">
        <v>1704</v>
      </c>
      <c r="I356" s="22" t="s">
        <v>1662</v>
      </c>
      <c r="J356" s="49" t="s">
        <v>1705</v>
      </c>
      <c r="K356" s="49" t="s">
        <v>1706</v>
      </c>
      <c r="L356" s="22">
        <v>805</v>
      </c>
      <c r="M356" s="22">
        <v>3</v>
      </c>
      <c r="N356" s="22">
        <v>10</v>
      </c>
      <c r="O356" s="22">
        <v>10</v>
      </c>
      <c r="P356" s="22">
        <v>0</v>
      </c>
      <c r="Q356" s="22">
        <v>7</v>
      </c>
      <c r="R356" s="1201">
        <v>40</v>
      </c>
      <c r="S356" s="1201">
        <v>276</v>
      </c>
      <c r="T356" s="22" t="s">
        <v>929</v>
      </c>
      <c r="U356" s="1854" t="s">
        <v>1688</v>
      </c>
      <c r="V356" s="22" t="s">
        <v>1575</v>
      </c>
      <c r="W356" s="2006" t="s">
        <v>1707</v>
      </c>
      <c r="X356" s="18"/>
      <c r="Y356" s="4"/>
      <c r="Z356" s="4"/>
    </row>
    <row r="357" spans="1:26" ht="42" hidden="1">
      <c r="A357" s="20">
        <v>364</v>
      </c>
      <c r="B357" s="1063">
        <v>40134</v>
      </c>
      <c r="C357" s="22" t="s">
        <v>1083</v>
      </c>
      <c r="D357" s="11"/>
      <c r="E357" s="22" t="s">
        <v>572</v>
      </c>
      <c r="F357" s="22" t="s">
        <v>1569</v>
      </c>
      <c r="G357" s="22" t="s">
        <v>1708</v>
      </c>
      <c r="H357" s="22" t="s">
        <v>1709</v>
      </c>
      <c r="I357" s="22" t="s">
        <v>1662</v>
      </c>
      <c r="J357" s="49" t="s">
        <v>1710</v>
      </c>
      <c r="K357" s="49" t="s">
        <v>1711</v>
      </c>
      <c r="L357" s="22"/>
      <c r="M357" s="22">
        <v>1</v>
      </c>
      <c r="N357" s="22">
        <v>3</v>
      </c>
      <c r="O357" s="22">
        <v>3</v>
      </c>
      <c r="P357" s="22">
        <v>0</v>
      </c>
      <c r="Q357" s="22">
        <v>2</v>
      </c>
      <c r="R357" s="1201">
        <v>205</v>
      </c>
      <c r="S357" s="1201">
        <f>205*3</f>
        <v>615</v>
      </c>
      <c r="T357" s="22" t="s">
        <v>929</v>
      </c>
      <c r="U357" s="1854" t="s">
        <v>1688</v>
      </c>
      <c r="V357" s="22" t="s">
        <v>1575</v>
      </c>
      <c r="W357" s="2006" t="s">
        <v>1712</v>
      </c>
      <c r="X357" s="18"/>
      <c r="Y357" s="4"/>
      <c r="Z357" s="4"/>
    </row>
    <row r="358" spans="1:26" ht="27.95" hidden="1">
      <c r="A358" s="20">
        <v>365</v>
      </c>
      <c r="B358" s="1063">
        <v>40135</v>
      </c>
      <c r="C358" s="22" t="s">
        <v>603</v>
      </c>
      <c r="D358" s="11"/>
      <c r="E358" s="22" t="s">
        <v>572</v>
      </c>
      <c r="F358" s="22" t="s">
        <v>1713</v>
      </c>
      <c r="G358" s="32" t="s">
        <v>1714</v>
      </c>
      <c r="H358" s="22" t="s">
        <v>1715</v>
      </c>
      <c r="I358" s="22" t="s">
        <v>1662</v>
      </c>
      <c r="J358" s="22" t="s">
        <v>1716</v>
      </c>
      <c r="K358" s="32" t="s">
        <v>1717</v>
      </c>
      <c r="L358" s="22" t="s">
        <v>149</v>
      </c>
      <c r="M358" s="22">
        <v>2</v>
      </c>
      <c r="N358" s="22">
        <v>1</v>
      </c>
      <c r="O358" s="22">
        <v>2</v>
      </c>
      <c r="P358" s="22">
        <v>0</v>
      </c>
      <c r="Q358" s="22">
        <v>0</v>
      </c>
      <c r="R358" s="1201">
        <v>1452</v>
      </c>
      <c r="S358" s="1201">
        <f>1452*2</f>
        <v>2904</v>
      </c>
      <c r="T358" s="22" t="s">
        <v>1718</v>
      </c>
      <c r="U358" s="1854" t="s">
        <v>1719</v>
      </c>
      <c r="V358" s="22" t="s">
        <v>1720</v>
      </c>
      <c r="W358" s="2006" t="s">
        <v>1721</v>
      </c>
      <c r="X358" s="18"/>
      <c r="Y358" s="4"/>
      <c r="Z358" s="4"/>
    </row>
    <row r="359" spans="1:26" ht="27.95" hidden="1">
      <c r="A359" s="20">
        <v>366</v>
      </c>
      <c r="B359" s="1063">
        <v>40136</v>
      </c>
      <c r="C359" s="22" t="s">
        <v>1722</v>
      </c>
      <c r="D359" s="11"/>
      <c r="E359" s="22" t="s">
        <v>572</v>
      </c>
      <c r="F359" s="22" t="s">
        <v>1713</v>
      </c>
      <c r="G359" s="32" t="s">
        <v>1723</v>
      </c>
      <c r="H359" s="22" t="s">
        <v>460</v>
      </c>
      <c r="I359" s="22" t="s">
        <v>1662</v>
      </c>
      <c r="J359" s="22" t="s">
        <v>1724</v>
      </c>
      <c r="K359" s="32" t="s">
        <v>1725</v>
      </c>
      <c r="L359" s="22" t="s">
        <v>149</v>
      </c>
      <c r="M359" s="22">
        <v>6</v>
      </c>
      <c r="N359" s="22">
        <v>1</v>
      </c>
      <c r="O359" s="22">
        <v>10</v>
      </c>
      <c r="P359" s="22">
        <v>0</v>
      </c>
      <c r="Q359" s="22">
        <v>4</v>
      </c>
      <c r="R359" s="1201">
        <v>74.900000000000006</v>
      </c>
      <c r="S359" s="1201">
        <v>749</v>
      </c>
      <c r="T359" s="22" t="s">
        <v>1718</v>
      </c>
      <c r="U359" s="1854" t="s">
        <v>1719</v>
      </c>
      <c r="V359" s="22" t="s">
        <v>1720</v>
      </c>
      <c r="W359" s="2006" t="s">
        <v>1726</v>
      </c>
      <c r="X359" s="18"/>
      <c r="Y359" s="4"/>
      <c r="Z359" s="4"/>
    </row>
    <row r="360" spans="1:26" ht="27.95" hidden="1">
      <c r="A360" s="20">
        <v>367</v>
      </c>
      <c r="B360" s="1063">
        <v>40137</v>
      </c>
      <c r="C360" s="22" t="s">
        <v>1727</v>
      </c>
      <c r="D360" s="11"/>
      <c r="E360" s="22" t="s">
        <v>572</v>
      </c>
      <c r="F360" s="22" t="s">
        <v>1713</v>
      </c>
      <c r="G360" s="32" t="s">
        <v>1728</v>
      </c>
      <c r="H360" s="22" t="s">
        <v>1729</v>
      </c>
      <c r="I360" s="22" t="s">
        <v>1662</v>
      </c>
      <c r="J360" s="22" t="s">
        <v>1730</v>
      </c>
      <c r="K360" s="22" t="s">
        <v>1731</v>
      </c>
      <c r="L360" s="22" t="s">
        <v>149</v>
      </c>
      <c r="M360" s="22">
        <v>1</v>
      </c>
      <c r="N360" s="22">
        <v>1</v>
      </c>
      <c r="O360" s="22">
        <v>1</v>
      </c>
      <c r="P360" s="22">
        <v>0</v>
      </c>
      <c r="Q360" s="22">
        <v>0</v>
      </c>
      <c r="R360" s="1201">
        <v>4525</v>
      </c>
      <c r="S360" s="1201">
        <v>4525</v>
      </c>
      <c r="T360" s="22" t="s">
        <v>1718</v>
      </c>
      <c r="U360" s="1854" t="s">
        <v>1719</v>
      </c>
      <c r="V360" s="22" t="s">
        <v>1720</v>
      </c>
      <c r="W360" s="2006" t="s">
        <v>1732</v>
      </c>
      <c r="X360" s="18"/>
      <c r="Y360" s="4"/>
      <c r="Z360" s="4"/>
    </row>
    <row r="361" spans="1:26" ht="42" hidden="1">
      <c r="A361" s="20">
        <v>368</v>
      </c>
      <c r="B361" s="1063">
        <v>40138</v>
      </c>
      <c r="C361" s="22" t="s">
        <v>1733</v>
      </c>
      <c r="D361" s="11"/>
      <c r="E361" s="22" t="s">
        <v>572</v>
      </c>
      <c r="F361" s="22" t="s">
        <v>1713</v>
      </c>
      <c r="G361" s="32" t="s">
        <v>1734</v>
      </c>
      <c r="H361" s="22" t="s">
        <v>1735</v>
      </c>
      <c r="I361" s="22" t="s">
        <v>1662</v>
      </c>
      <c r="J361" s="22" t="s">
        <v>1736</v>
      </c>
      <c r="K361" s="32" t="s">
        <v>1737</v>
      </c>
      <c r="L361" s="22" t="s">
        <v>149</v>
      </c>
      <c r="M361" s="22">
        <v>1</v>
      </c>
      <c r="N361" s="22">
        <v>1</v>
      </c>
      <c r="O361" s="22">
        <v>1</v>
      </c>
      <c r="P361" s="22">
        <v>0</v>
      </c>
      <c r="Q361" s="22">
        <v>0</v>
      </c>
      <c r="R361" s="1201">
        <v>4724</v>
      </c>
      <c r="S361" s="1201">
        <v>4724</v>
      </c>
      <c r="T361" s="22" t="s">
        <v>1718</v>
      </c>
      <c r="U361" s="1854" t="s">
        <v>1719</v>
      </c>
      <c r="V361" s="22" t="s">
        <v>1720</v>
      </c>
      <c r="W361" s="2006" t="s">
        <v>1738</v>
      </c>
      <c r="X361" s="18"/>
      <c r="Y361" s="4"/>
      <c r="Z361" s="4"/>
    </row>
    <row r="362" spans="1:26" ht="27.95" hidden="1">
      <c r="A362" s="20">
        <v>369</v>
      </c>
      <c r="B362" s="1063">
        <v>40139</v>
      </c>
      <c r="C362" s="22" t="s">
        <v>1646</v>
      </c>
      <c r="D362" s="11"/>
      <c r="E362" s="22" t="s">
        <v>572</v>
      </c>
      <c r="F362" s="22" t="s">
        <v>1713</v>
      </c>
      <c r="G362" s="32" t="s">
        <v>1739</v>
      </c>
      <c r="H362" s="32" t="s">
        <v>1740</v>
      </c>
      <c r="I362" s="22" t="s">
        <v>1662</v>
      </c>
      <c r="J362" s="22" t="s">
        <v>1741</v>
      </c>
      <c r="K362" s="32" t="s">
        <v>1742</v>
      </c>
      <c r="L362" s="22" t="s">
        <v>149</v>
      </c>
      <c r="M362" s="22">
        <v>1</v>
      </c>
      <c r="N362" s="22">
        <v>1</v>
      </c>
      <c r="O362" s="22">
        <v>10</v>
      </c>
      <c r="P362" s="22">
        <v>0</v>
      </c>
      <c r="Q362" s="22">
        <v>9</v>
      </c>
      <c r="R362" s="1201">
        <v>67.599999999999994</v>
      </c>
      <c r="S362" s="1201">
        <v>676</v>
      </c>
      <c r="T362" s="22" t="s">
        <v>1718</v>
      </c>
      <c r="U362" s="1854" t="s">
        <v>1719</v>
      </c>
      <c r="V362" s="22" t="s">
        <v>1720</v>
      </c>
      <c r="W362" s="2006" t="s">
        <v>1743</v>
      </c>
      <c r="X362" s="18"/>
      <c r="Y362" s="4"/>
      <c r="Z362" s="4"/>
    </row>
    <row r="363" spans="1:26" ht="27.95" hidden="1">
      <c r="A363" s="20">
        <v>370</v>
      </c>
      <c r="B363" s="1063">
        <v>40140</v>
      </c>
      <c r="C363" s="22" t="s">
        <v>1744</v>
      </c>
      <c r="D363" s="11"/>
      <c r="E363" s="22" t="s">
        <v>572</v>
      </c>
      <c r="F363" s="22" t="s">
        <v>1713</v>
      </c>
      <c r="G363" s="32" t="s">
        <v>1745</v>
      </c>
      <c r="H363" s="22" t="s">
        <v>460</v>
      </c>
      <c r="I363" s="22" t="s">
        <v>1662</v>
      </c>
      <c r="J363" s="32" t="s">
        <v>1746</v>
      </c>
      <c r="K363" s="32" t="s">
        <v>1747</v>
      </c>
      <c r="L363" s="22" t="s">
        <v>149</v>
      </c>
      <c r="M363" s="22">
        <v>2</v>
      </c>
      <c r="N363" s="22">
        <v>1</v>
      </c>
      <c r="O363" s="22">
        <v>10</v>
      </c>
      <c r="P363" s="22">
        <v>0</v>
      </c>
      <c r="Q363" s="22">
        <v>9</v>
      </c>
      <c r="R363" s="1201">
        <v>48.5</v>
      </c>
      <c r="S363" s="1201">
        <v>485</v>
      </c>
      <c r="T363" s="22" t="s">
        <v>1718</v>
      </c>
      <c r="U363" s="1854" t="s">
        <v>1719</v>
      </c>
      <c r="V363" s="22" t="s">
        <v>1720</v>
      </c>
      <c r="W363" s="2006" t="s">
        <v>1748</v>
      </c>
      <c r="X363" s="18"/>
      <c r="Y363" s="4"/>
      <c r="Z363" s="4"/>
    </row>
    <row r="364" spans="1:26" ht="42" hidden="1">
      <c r="A364" s="20">
        <v>371</v>
      </c>
      <c r="B364" s="1063">
        <v>40141</v>
      </c>
      <c r="C364" s="22" t="s">
        <v>1749</v>
      </c>
      <c r="D364" s="11"/>
      <c r="E364" s="22" t="s">
        <v>572</v>
      </c>
      <c r="F364" s="22" t="s">
        <v>1713</v>
      </c>
      <c r="G364" s="32" t="s">
        <v>1750</v>
      </c>
      <c r="H364" s="32" t="s">
        <v>1751</v>
      </c>
      <c r="I364" s="22" t="s">
        <v>1662</v>
      </c>
      <c r="J364" s="22" t="s">
        <v>1752</v>
      </c>
      <c r="K364" s="32" t="s">
        <v>1753</v>
      </c>
      <c r="L364" s="22" t="s">
        <v>149</v>
      </c>
      <c r="M364" s="22">
        <v>2</v>
      </c>
      <c r="N364" s="22">
        <v>1</v>
      </c>
      <c r="O364" s="22">
        <v>2</v>
      </c>
      <c r="P364" s="22">
        <v>0</v>
      </c>
      <c r="Q364" s="22">
        <v>0</v>
      </c>
      <c r="R364" s="1201">
        <v>1287</v>
      </c>
      <c r="S364" s="1201">
        <f>1287*2</f>
        <v>2574</v>
      </c>
      <c r="T364" s="22" t="s">
        <v>1718</v>
      </c>
      <c r="U364" s="1854" t="s">
        <v>1719</v>
      </c>
      <c r="V364" s="22" t="s">
        <v>1720</v>
      </c>
      <c r="W364" s="2006" t="s">
        <v>1754</v>
      </c>
      <c r="X364" s="18"/>
      <c r="Y364" s="4"/>
      <c r="Z364" s="4"/>
    </row>
    <row r="365" spans="1:26" ht="27.95" hidden="1">
      <c r="A365" s="20">
        <v>372</v>
      </c>
      <c r="B365" s="1063">
        <v>40142</v>
      </c>
      <c r="C365" s="22" t="s">
        <v>1755</v>
      </c>
      <c r="D365" s="11"/>
      <c r="E365" s="22" t="s">
        <v>572</v>
      </c>
      <c r="F365" s="22" t="s">
        <v>1713</v>
      </c>
      <c r="G365" s="32" t="s">
        <v>1756</v>
      </c>
      <c r="H365" s="22" t="s">
        <v>460</v>
      </c>
      <c r="I365" s="22" t="s">
        <v>1662</v>
      </c>
      <c r="J365" s="22" t="s">
        <v>1757</v>
      </c>
      <c r="K365" s="32" t="s">
        <v>1758</v>
      </c>
      <c r="L365" s="22" t="s">
        <v>149</v>
      </c>
      <c r="M365" s="22">
        <v>1</v>
      </c>
      <c r="N365" s="22">
        <v>1</v>
      </c>
      <c r="O365" s="22">
        <v>1</v>
      </c>
      <c r="P365" s="22">
        <v>0</v>
      </c>
      <c r="Q365" s="22">
        <v>0</v>
      </c>
      <c r="R365" s="1201">
        <v>23801</v>
      </c>
      <c r="S365" s="1201">
        <v>23801</v>
      </c>
      <c r="T365" s="22" t="s">
        <v>1718</v>
      </c>
      <c r="U365" s="1854" t="s">
        <v>1719</v>
      </c>
      <c r="V365" s="22" t="s">
        <v>1720</v>
      </c>
      <c r="W365" s="2006" t="s">
        <v>1759</v>
      </c>
      <c r="X365" s="18"/>
      <c r="Y365" s="4"/>
      <c r="Z365" s="4"/>
    </row>
    <row r="366" spans="1:26" ht="27.95" hidden="1">
      <c r="A366" s="20">
        <v>373</v>
      </c>
      <c r="B366" s="1063">
        <v>40143</v>
      </c>
      <c r="C366" s="22" t="s">
        <v>1760</v>
      </c>
      <c r="D366" s="11"/>
      <c r="E366" s="22" t="s">
        <v>572</v>
      </c>
      <c r="F366" s="22" t="s">
        <v>1713</v>
      </c>
      <c r="G366" s="32" t="s">
        <v>1761</v>
      </c>
      <c r="H366" s="32" t="s">
        <v>1762</v>
      </c>
      <c r="I366" s="22" t="s">
        <v>1662</v>
      </c>
      <c r="J366" s="22" t="s">
        <v>1763</v>
      </c>
      <c r="K366" s="32" t="s">
        <v>1764</v>
      </c>
      <c r="L366" s="22" t="s">
        <v>149</v>
      </c>
      <c r="M366" s="22">
        <v>20</v>
      </c>
      <c r="N366" s="22">
        <v>20</v>
      </c>
      <c r="O366" s="22">
        <v>20</v>
      </c>
      <c r="P366" s="22">
        <v>0</v>
      </c>
      <c r="Q366" s="22">
        <v>0</v>
      </c>
      <c r="R366" s="1201">
        <f>229/20</f>
        <v>11.45</v>
      </c>
      <c r="S366" s="1201">
        <v>229</v>
      </c>
      <c r="T366" s="22" t="s">
        <v>1718</v>
      </c>
      <c r="U366" s="1854" t="s">
        <v>1719</v>
      </c>
      <c r="V366" s="22" t="s">
        <v>1720</v>
      </c>
      <c r="W366" s="2006" t="s">
        <v>1765</v>
      </c>
      <c r="X366" s="18"/>
      <c r="Y366" s="4"/>
      <c r="Z366" s="4"/>
    </row>
    <row r="367" spans="1:26" ht="27.95" hidden="1">
      <c r="A367" s="20">
        <v>374</v>
      </c>
      <c r="B367" s="1063">
        <v>40144</v>
      </c>
      <c r="C367" s="22" t="s">
        <v>1766</v>
      </c>
      <c r="D367" s="11"/>
      <c r="E367" s="22" t="s">
        <v>572</v>
      </c>
      <c r="F367" s="22" t="s">
        <v>1713</v>
      </c>
      <c r="G367" s="32" t="s">
        <v>1767</v>
      </c>
      <c r="H367" s="32" t="s">
        <v>1762</v>
      </c>
      <c r="I367" s="22" t="s">
        <v>1662</v>
      </c>
      <c r="J367" s="22" t="s">
        <v>1768</v>
      </c>
      <c r="K367" s="32" t="s">
        <v>1769</v>
      </c>
      <c r="L367" s="22" t="s">
        <v>149</v>
      </c>
      <c r="M367" s="22">
        <v>20</v>
      </c>
      <c r="N367" s="22">
        <v>20</v>
      </c>
      <c r="O367" s="22">
        <v>20</v>
      </c>
      <c r="P367" s="22">
        <v>0</v>
      </c>
      <c r="Q367" s="22">
        <v>0</v>
      </c>
      <c r="R367" s="1201">
        <v>11.45</v>
      </c>
      <c r="S367" s="1201">
        <v>229</v>
      </c>
      <c r="T367" s="22" t="s">
        <v>1718</v>
      </c>
      <c r="U367" s="1854" t="s">
        <v>1719</v>
      </c>
      <c r="V367" s="22" t="s">
        <v>1720</v>
      </c>
      <c r="W367" s="2006" t="s">
        <v>1770</v>
      </c>
      <c r="X367" s="18"/>
      <c r="Y367" s="4"/>
      <c r="Z367" s="4"/>
    </row>
    <row r="368" spans="1:26" ht="27.95" hidden="1">
      <c r="A368" s="20">
        <v>375</v>
      </c>
      <c r="B368" s="1063">
        <v>40145</v>
      </c>
      <c r="C368" s="22" t="s">
        <v>1771</v>
      </c>
      <c r="D368" s="11"/>
      <c r="E368" s="22" t="s">
        <v>572</v>
      </c>
      <c r="F368" s="22" t="s">
        <v>1713</v>
      </c>
      <c r="G368" s="32" t="s">
        <v>1772</v>
      </c>
      <c r="H368" s="32" t="s">
        <v>1762</v>
      </c>
      <c r="I368" s="22" t="s">
        <v>1662</v>
      </c>
      <c r="J368" s="22" t="s">
        <v>1773</v>
      </c>
      <c r="K368" s="32" t="s">
        <v>1774</v>
      </c>
      <c r="L368" s="22" t="s">
        <v>149</v>
      </c>
      <c r="M368" s="22">
        <v>20</v>
      </c>
      <c r="N368" s="22">
        <v>20</v>
      </c>
      <c r="O368" s="22">
        <v>20</v>
      </c>
      <c r="P368" s="22">
        <v>0</v>
      </c>
      <c r="Q368" s="22">
        <v>0</v>
      </c>
      <c r="R368" s="1201">
        <v>11.5</v>
      </c>
      <c r="S368" s="1201">
        <v>229</v>
      </c>
      <c r="T368" s="22" t="s">
        <v>1718</v>
      </c>
      <c r="U368" s="1854" t="s">
        <v>1719</v>
      </c>
      <c r="V368" s="22" t="s">
        <v>1720</v>
      </c>
      <c r="W368" s="2006" t="s">
        <v>1775</v>
      </c>
      <c r="X368" s="18"/>
      <c r="Y368" s="4"/>
      <c r="Z368" s="4"/>
    </row>
    <row r="369" spans="1:26" ht="42" hidden="1">
      <c r="A369" s="20">
        <v>376</v>
      </c>
      <c r="B369" s="1063">
        <v>40146</v>
      </c>
      <c r="C369" s="50" t="s">
        <v>1776</v>
      </c>
      <c r="D369" s="11"/>
      <c r="E369" s="22" t="s">
        <v>572</v>
      </c>
      <c r="F369" s="22" t="s">
        <v>1713</v>
      </c>
      <c r="G369" s="32" t="s">
        <v>1777</v>
      </c>
      <c r="H369" s="32" t="s">
        <v>1778</v>
      </c>
      <c r="I369" s="22" t="s">
        <v>1662</v>
      </c>
      <c r="J369" s="37" t="s">
        <v>1779</v>
      </c>
      <c r="K369" s="32" t="s">
        <v>1780</v>
      </c>
      <c r="L369" s="22" t="s">
        <v>149</v>
      </c>
      <c r="M369" s="22">
        <v>2</v>
      </c>
      <c r="N369" s="22">
        <v>1</v>
      </c>
      <c r="O369" s="22">
        <v>2</v>
      </c>
      <c r="P369" s="22">
        <v>0</v>
      </c>
      <c r="Q369" s="22">
        <v>0</v>
      </c>
      <c r="R369" s="1201">
        <v>1769</v>
      </c>
      <c r="S369" s="1201">
        <f>1769*2</f>
        <v>3538</v>
      </c>
      <c r="T369" s="22" t="s">
        <v>1718</v>
      </c>
      <c r="U369" s="1854" t="s">
        <v>1719</v>
      </c>
      <c r="V369" s="22" t="s">
        <v>1720</v>
      </c>
      <c r="W369" s="2006" t="s">
        <v>1781</v>
      </c>
      <c r="X369" s="18"/>
      <c r="Y369" s="4"/>
      <c r="Z369" s="4"/>
    </row>
    <row r="370" spans="1:26" ht="42" hidden="1">
      <c r="A370" s="20">
        <v>377</v>
      </c>
      <c r="B370" s="1063">
        <v>40147</v>
      </c>
      <c r="C370" s="51" t="s">
        <v>1782</v>
      </c>
      <c r="D370" s="11"/>
      <c r="E370" s="22" t="s">
        <v>572</v>
      </c>
      <c r="F370" s="22" t="s">
        <v>1713</v>
      </c>
      <c r="G370" s="32" t="s">
        <v>1783</v>
      </c>
      <c r="H370" s="22" t="s">
        <v>1784</v>
      </c>
      <c r="I370" s="22" t="s">
        <v>1662</v>
      </c>
      <c r="J370" s="22" t="s">
        <v>1785</v>
      </c>
      <c r="K370" s="32">
        <v>321010008</v>
      </c>
      <c r="L370" s="22" t="s">
        <v>149</v>
      </c>
      <c r="M370" s="22">
        <v>1</v>
      </c>
      <c r="N370" s="22">
        <v>1</v>
      </c>
      <c r="O370" s="22">
        <v>1</v>
      </c>
      <c r="P370" s="22">
        <v>0</v>
      </c>
      <c r="Q370" s="22">
        <v>0</v>
      </c>
      <c r="R370" s="1201">
        <v>234</v>
      </c>
      <c r="S370" s="1201">
        <v>234</v>
      </c>
      <c r="T370" s="22" t="s">
        <v>1718</v>
      </c>
      <c r="U370" s="1854" t="s">
        <v>1719</v>
      </c>
      <c r="V370" s="22" t="s">
        <v>1720</v>
      </c>
      <c r="W370" s="2006" t="s">
        <v>1786</v>
      </c>
      <c r="X370" s="18"/>
      <c r="Y370" s="4"/>
      <c r="Z370" s="4"/>
    </row>
    <row r="371" spans="1:26" ht="14.1" hidden="1">
      <c r="A371" s="20">
        <v>378</v>
      </c>
      <c r="B371" s="1063">
        <v>40148</v>
      </c>
      <c r="C371" s="22" t="s">
        <v>339</v>
      </c>
      <c r="D371" s="11"/>
      <c r="E371" s="22" t="s">
        <v>572</v>
      </c>
      <c r="F371" s="22" t="s">
        <v>1787</v>
      </c>
      <c r="G371" s="22" t="s">
        <v>1788</v>
      </c>
      <c r="H371" s="22" t="s">
        <v>1039</v>
      </c>
      <c r="I371" s="22" t="s">
        <v>39</v>
      </c>
      <c r="J371" s="22" t="s">
        <v>1789</v>
      </c>
      <c r="K371" s="22" t="s">
        <v>1040</v>
      </c>
      <c r="L371" s="22"/>
      <c r="M371" s="22">
        <v>1</v>
      </c>
      <c r="N371" s="22">
        <v>10</v>
      </c>
      <c r="O371" s="22">
        <v>10</v>
      </c>
      <c r="P371" s="22">
        <v>0</v>
      </c>
      <c r="Q371" s="22">
        <v>10</v>
      </c>
      <c r="R371" s="1201">
        <v>133.19999999999999</v>
      </c>
      <c r="S371" s="1201">
        <v>1332</v>
      </c>
      <c r="T371" s="22" t="s">
        <v>1790</v>
      </c>
      <c r="U371" s="1854" t="s">
        <v>1719</v>
      </c>
      <c r="V371" s="22"/>
      <c r="W371" s="2015"/>
      <c r="X371" s="18"/>
      <c r="Y371" s="4"/>
      <c r="Z371" s="4"/>
    </row>
    <row r="372" spans="1:26" ht="14.1" hidden="1">
      <c r="A372" s="20">
        <v>379</v>
      </c>
      <c r="B372" s="1063">
        <v>40149</v>
      </c>
      <c r="C372" s="22" t="s">
        <v>339</v>
      </c>
      <c r="D372" s="11"/>
      <c r="E372" s="22" t="s">
        <v>572</v>
      </c>
      <c r="F372" s="22" t="s">
        <v>1787</v>
      </c>
      <c r="G372" s="22" t="s">
        <v>1788</v>
      </c>
      <c r="H372" s="22" t="s">
        <v>452</v>
      </c>
      <c r="I372" s="22" t="s">
        <v>39</v>
      </c>
      <c r="J372" s="22" t="s">
        <v>1791</v>
      </c>
      <c r="K372" s="22" t="s">
        <v>1792</v>
      </c>
      <c r="L372" s="22"/>
      <c r="M372" s="22">
        <v>1</v>
      </c>
      <c r="N372" s="22">
        <v>10</v>
      </c>
      <c r="O372" s="22">
        <v>10</v>
      </c>
      <c r="P372" s="22">
        <v>0</v>
      </c>
      <c r="Q372" s="22">
        <v>10</v>
      </c>
      <c r="R372" s="1201">
        <v>21.7</v>
      </c>
      <c r="S372" s="1201">
        <v>217</v>
      </c>
      <c r="T372" s="22" t="s">
        <v>1790</v>
      </c>
      <c r="U372" s="1854" t="s">
        <v>1719</v>
      </c>
      <c r="V372" s="22"/>
      <c r="W372" s="2007"/>
      <c r="X372" s="18"/>
      <c r="Y372" s="4"/>
      <c r="Z372" s="4"/>
    </row>
    <row r="373" spans="1:26" ht="14.1" hidden="1">
      <c r="A373" s="20">
        <v>380</v>
      </c>
      <c r="B373" s="1063">
        <v>40150</v>
      </c>
      <c r="C373" s="22" t="s">
        <v>1793</v>
      </c>
      <c r="D373" s="11"/>
      <c r="E373" s="22" t="s">
        <v>572</v>
      </c>
      <c r="F373" s="22" t="s">
        <v>1787</v>
      </c>
      <c r="G373" s="22" t="s">
        <v>1794</v>
      </c>
      <c r="H373" s="22" t="s">
        <v>230</v>
      </c>
      <c r="I373" s="22" t="s">
        <v>39</v>
      </c>
      <c r="J373" s="22" t="s">
        <v>1795</v>
      </c>
      <c r="K373" s="22" t="s">
        <v>1796</v>
      </c>
      <c r="L373" s="22"/>
      <c r="M373" s="22">
        <v>1</v>
      </c>
      <c r="N373" s="22">
        <v>1</v>
      </c>
      <c r="O373" s="22">
        <v>1</v>
      </c>
      <c r="P373" s="22">
        <v>0</v>
      </c>
      <c r="Q373" s="22">
        <v>1</v>
      </c>
      <c r="R373" s="1201">
        <v>549</v>
      </c>
      <c r="S373" s="1201">
        <v>549</v>
      </c>
      <c r="T373" s="22" t="s">
        <v>1790</v>
      </c>
      <c r="U373" s="1854" t="s">
        <v>1719</v>
      </c>
      <c r="V373" s="22"/>
      <c r="W373" s="2007"/>
      <c r="X373" s="18"/>
      <c r="Y373" s="4"/>
      <c r="Z373" s="4"/>
    </row>
    <row r="374" spans="1:26" ht="14.1" hidden="1">
      <c r="A374" s="20">
        <v>381</v>
      </c>
      <c r="B374" s="1063">
        <v>40151</v>
      </c>
      <c r="C374" s="22" t="s">
        <v>1797</v>
      </c>
      <c r="D374" s="11"/>
      <c r="E374" s="22" t="s">
        <v>572</v>
      </c>
      <c r="F374" s="22" t="s">
        <v>1787</v>
      </c>
      <c r="G374" s="22" t="s">
        <v>1798</v>
      </c>
      <c r="H374" s="22" t="s">
        <v>230</v>
      </c>
      <c r="I374" s="22" t="s">
        <v>39</v>
      </c>
      <c r="J374" s="22" t="s">
        <v>1799</v>
      </c>
      <c r="K374" s="22" t="s">
        <v>1800</v>
      </c>
      <c r="L374" s="22"/>
      <c r="M374" s="22">
        <v>1</v>
      </c>
      <c r="N374" s="22">
        <v>5</v>
      </c>
      <c r="O374" s="22">
        <v>5</v>
      </c>
      <c r="P374" s="22">
        <v>0</v>
      </c>
      <c r="Q374" s="22">
        <v>5</v>
      </c>
      <c r="R374" s="1201">
        <v>164.2</v>
      </c>
      <c r="S374" s="1201">
        <v>821</v>
      </c>
      <c r="T374" s="22" t="s">
        <v>1790</v>
      </c>
      <c r="U374" s="1854" t="s">
        <v>1719</v>
      </c>
      <c r="V374" s="22"/>
      <c r="W374" s="2007"/>
      <c r="X374" s="18"/>
      <c r="Y374" s="4"/>
      <c r="Z374" s="4"/>
    </row>
    <row r="375" spans="1:26" ht="14.1" hidden="1">
      <c r="A375" s="20">
        <v>382</v>
      </c>
      <c r="B375" s="1063">
        <v>40152</v>
      </c>
      <c r="C375" s="22" t="s">
        <v>1801</v>
      </c>
      <c r="D375" s="11"/>
      <c r="E375" s="22" t="s">
        <v>572</v>
      </c>
      <c r="F375" s="22" t="s">
        <v>1787</v>
      </c>
      <c r="G375" s="22" t="s">
        <v>1802</v>
      </c>
      <c r="H375" s="22" t="s">
        <v>1803</v>
      </c>
      <c r="I375" s="22" t="s">
        <v>39</v>
      </c>
      <c r="J375" s="22" t="s">
        <v>1804</v>
      </c>
      <c r="K375" s="22" t="s">
        <v>519</v>
      </c>
      <c r="L375" s="22"/>
      <c r="M375" s="22">
        <v>1</v>
      </c>
      <c r="N375" s="22">
        <v>1</v>
      </c>
      <c r="O375" s="22">
        <v>1</v>
      </c>
      <c r="P375" s="22">
        <v>0</v>
      </c>
      <c r="Q375" s="22">
        <v>1</v>
      </c>
      <c r="R375" s="1201">
        <v>259</v>
      </c>
      <c r="S375" s="1201">
        <v>259</v>
      </c>
      <c r="T375" s="22" t="s">
        <v>1790</v>
      </c>
      <c r="U375" s="1854" t="s">
        <v>1719</v>
      </c>
      <c r="V375" s="22"/>
      <c r="W375" s="2007"/>
      <c r="X375" s="18"/>
      <c r="Y375" s="4"/>
      <c r="Z375" s="4"/>
    </row>
    <row r="376" spans="1:26" ht="14.1" hidden="1">
      <c r="A376" s="20">
        <v>383</v>
      </c>
      <c r="B376" s="1063">
        <v>40153</v>
      </c>
      <c r="C376" s="22" t="s">
        <v>1805</v>
      </c>
      <c r="D376" s="11"/>
      <c r="E376" s="22" t="s">
        <v>572</v>
      </c>
      <c r="F376" s="22" t="s">
        <v>1787</v>
      </c>
      <c r="G376" s="22" t="s">
        <v>1806</v>
      </c>
      <c r="H376" s="22" t="s">
        <v>220</v>
      </c>
      <c r="I376" s="22" t="s">
        <v>39</v>
      </c>
      <c r="J376" s="22" t="s">
        <v>941</v>
      </c>
      <c r="K376" s="22" t="s">
        <v>942</v>
      </c>
      <c r="L376" s="22"/>
      <c r="M376" s="22">
        <v>1</v>
      </c>
      <c r="N376" s="22">
        <v>10</v>
      </c>
      <c r="O376" s="22">
        <v>10</v>
      </c>
      <c r="P376" s="22">
        <v>0</v>
      </c>
      <c r="Q376" s="22">
        <v>10</v>
      </c>
      <c r="R376" s="1201">
        <v>18.3</v>
      </c>
      <c r="S376" s="1201">
        <v>183</v>
      </c>
      <c r="T376" s="22" t="s">
        <v>1790</v>
      </c>
      <c r="U376" s="1854" t="s">
        <v>1719</v>
      </c>
      <c r="V376" s="22"/>
      <c r="W376" s="2007"/>
      <c r="X376" s="18"/>
      <c r="Y376" s="4"/>
      <c r="Z376" s="4"/>
    </row>
    <row r="377" spans="1:26" ht="14.1" hidden="1">
      <c r="A377" s="20">
        <v>384</v>
      </c>
      <c r="B377" s="1063">
        <v>40154</v>
      </c>
      <c r="C377" s="22" t="s">
        <v>1807</v>
      </c>
      <c r="D377" s="11"/>
      <c r="E377" s="22" t="s">
        <v>572</v>
      </c>
      <c r="F377" s="22" t="s">
        <v>1787</v>
      </c>
      <c r="G377" s="22" t="s">
        <v>1806</v>
      </c>
      <c r="H377" s="22" t="s">
        <v>220</v>
      </c>
      <c r="I377" s="22" t="s">
        <v>39</v>
      </c>
      <c r="J377" s="22" t="s">
        <v>1808</v>
      </c>
      <c r="K377" s="22" t="s">
        <v>1809</v>
      </c>
      <c r="L377" s="22"/>
      <c r="M377" s="22">
        <v>1</v>
      </c>
      <c r="N377" s="22">
        <v>10</v>
      </c>
      <c r="O377" s="22">
        <v>10</v>
      </c>
      <c r="P377" s="22">
        <v>0</v>
      </c>
      <c r="Q377" s="22">
        <v>10</v>
      </c>
      <c r="R377" s="1201">
        <v>14.8</v>
      </c>
      <c r="S377" s="1201">
        <v>148</v>
      </c>
      <c r="T377" s="22" t="s">
        <v>1790</v>
      </c>
      <c r="U377" s="1854" t="s">
        <v>1719</v>
      </c>
      <c r="V377" s="22"/>
      <c r="W377" s="2007"/>
      <c r="X377" s="18"/>
      <c r="Y377" s="4"/>
      <c r="Z377" s="4"/>
    </row>
    <row r="378" spans="1:26" ht="14.1" hidden="1">
      <c r="A378" s="20">
        <v>385</v>
      </c>
      <c r="B378" s="1063">
        <v>40155</v>
      </c>
      <c r="C378" s="22" t="s">
        <v>1810</v>
      </c>
      <c r="D378" s="11"/>
      <c r="E378" s="22" t="s">
        <v>572</v>
      </c>
      <c r="F378" s="22" t="s">
        <v>1787</v>
      </c>
      <c r="G378" s="22" t="s">
        <v>1806</v>
      </c>
      <c r="H378" s="22" t="s">
        <v>220</v>
      </c>
      <c r="I378" s="22" t="s">
        <v>39</v>
      </c>
      <c r="J378" s="22" t="s">
        <v>1811</v>
      </c>
      <c r="K378" s="22" t="s">
        <v>1812</v>
      </c>
      <c r="L378" s="22"/>
      <c r="M378" s="22">
        <v>1</v>
      </c>
      <c r="N378" s="22">
        <v>10</v>
      </c>
      <c r="O378" s="22">
        <v>10</v>
      </c>
      <c r="P378" s="22">
        <v>0</v>
      </c>
      <c r="Q378" s="22">
        <v>10</v>
      </c>
      <c r="R378" s="1201">
        <v>8.3000000000000007</v>
      </c>
      <c r="S378" s="1201">
        <v>83</v>
      </c>
      <c r="T378" s="22" t="s">
        <v>1790</v>
      </c>
      <c r="U378" s="1854" t="s">
        <v>1719</v>
      </c>
      <c r="V378" s="22"/>
      <c r="W378" s="2007"/>
      <c r="X378" s="18"/>
      <c r="Y378" s="4"/>
      <c r="Z378" s="4"/>
    </row>
    <row r="379" spans="1:26" ht="14.1" hidden="1">
      <c r="A379" s="20">
        <v>386</v>
      </c>
      <c r="B379" s="1063">
        <v>40156</v>
      </c>
      <c r="C379" s="22" t="s">
        <v>1813</v>
      </c>
      <c r="D379" s="11"/>
      <c r="E379" s="22" t="s">
        <v>572</v>
      </c>
      <c r="F379" s="22" t="s">
        <v>1787</v>
      </c>
      <c r="G379" s="22" t="s">
        <v>1806</v>
      </c>
      <c r="H379" s="22" t="s">
        <v>220</v>
      </c>
      <c r="I379" s="22" t="s">
        <v>39</v>
      </c>
      <c r="J379" s="22" t="s">
        <v>1814</v>
      </c>
      <c r="K379" s="22" t="s">
        <v>1815</v>
      </c>
      <c r="L379" s="22"/>
      <c r="M379" s="22">
        <v>1</v>
      </c>
      <c r="N379" s="22">
        <v>10</v>
      </c>
      <c r="O379" s="22">
        <v>10</v>
      </c>
      <c r="P379" s="22">
        <v>0</v>
      </c>
      <c r="Q379" s="22">
        <v>10</v>
      </c>
      <c r="R379" s="1201">
        <v>10.1</v>
      </c>
      <c r="S379" s="1201">
        <v>101</v>
      </c>
      <c r="T379" s="22" t="s">
        <v>1790</v>
      </c>
      <c r="U379" s="1854" t="s">
        <v>1719</v>
      </c>
      <c r="V379" s="22"/>
      <c r="W379" s="2007"/>
      <c r="X379" s="18"/>
      <c r="Y379" s="4"/>
      <c r="Z379" s="4"/>
    </row>
    <row r="380" spans="1:26" ht="14.1" hidden="1">
      <c r="A380" s="20">
        <v>387</v>
      </c>
      <c r="B380" s="1063">
        <v>40157</v>
      </c>
      <c r="C380" s="22" t="s">
        <v>1816</v>
      </c>
      <c r="D380" s="11"/>
      <c r="E380" s="22" t="s">
        <v>572</v>
      </c>
      <c r="F380" s="22" t="s">
        <v>1787</v>
      </c>
      <c r="G380" s="22" t="s">
        <v>1806</v>
      </c>
      <c r="H380" s="22" t="s">
        <v>220</v>
      </c>
      <c r="I380" s="22" t="s">
        <v>39</v>
      </c>
      <c r="J380" s="22" t="s">
        <v>1817</v>
      </c>
      <c r="K380" s="22" t="s">
        <v>1818</v>
      </c>
      <c r="L380" s="22"/>
      <c r="M380" s="22">
        <v>5</v>
      </c>
      <c r="N380" s="22">
        <v>250</v>
      </c>
      <c r="O380" s="22">
        <v>250</v>
      </c>
      <c r="P380" s="22">
        <v>0</v>
      </c>
      <c r="Q380" s="22">
        <v>250</v>
      </c>
      <c r="R380" s="1201">
        <v>5</v>
      </c>
      <c r="S380" s="1201">
        <v>1250</v>
      </c>
      <c r="T380" s="22" t="s">
        <v>1790</v>
      </c>
      <c r="U380" s="1854" t="s">
        <v>1719</v>
      </c>
      <c r="V380" s="22"/>
      <c r="W380" s="2007"/>
      <c r="X380" s="18"/>
      <c r="Y380" s="4"/>
      <c r="Z380" s="4"/>
    </row>
    <row r="381" spans="1:26" ht="14.1" hidden="1">
      <c r="A381" s="20">
        <v>388</v>
      </c>
      <c r="B381" s="1063">
        <v>40158</v>
      </c>
      <c r="C381" s="22" t="s">
        <v>1819</v>
      </c>
      <c r="D381" s="11"/>
      <c r="E381" s="22" t="s">
        <v>572</v>
      </c>
      <c r="F381" s="22" t="s">
        <v>1787</v>
      </c>
      <c r="G381" s="22" t="s">
        <v>1820</v>
      </c>
      <c r="H381" s="22" t="s">
        <v>1821</v>
      </c>
      <c r="I381" s="22" t="s">
        <v>39</v>
      </c>
      <c r="J381" s="22" t="s">
        <v>1822</v>
      </c>
      <c r="K381" s="22" t="s">
        <v>1823</v>
      </c>
      <c r="L381" s="22"/>
      <c r="M381" s="22">
        <v>1</v>
      </c>
      <c r="N381" s="22">
        <v>5</v>
      </c>
      <c r="O381" s="22">
        <v>5</v>
      </c>
      <c r="P381" s="22">
        <v>0</v>
      </c>
      <c r="Q381" s="22">
        <v>5</v>
      </c>
      <c r="R381" s="1201">
        <v>97.2</v>
      </c>
      <c r="S381" s="1201">
        <v>486</v>
      </c>
      <c r="T381" s="22" t="s">
        <v>1790</v>
      </c>
      <c r="U381" s="1854" t="s">
        <v>1719</v>
      </c>
      <c r="V381" s="22"/>
      <c r="W381" s="2007"/>
      <c r="X381" s="18"/>
      <c r="Y381" s="4"/>
      <c r="Z381" s="4"/>
    </row>
    <row r="382" spans="1:26" ht="14.1" hidden="1">
      <c r="A382" s="20">
        <v>389</v>
      </c>
      <c r="B382" s="1063">
        <v>40159</v>
      </c>
      <c r="C382" s="22" t="s">
        <v>1824</v>
      </c>
      <c r="D382" s="11"/>
      <c r="E382" s="22" t="s">
        <v>572</v>
      </c>
      <c r="F382" s="22" t="s">
        <v>1787</v>
      </c>
      <c r="G382" s="22" t="s">
        <v>1825</v>
      </c>
      <c r="H382" s="22" t="s">
        <v>511</v>
      </c>
      <c r="I382" s="22" t="s">
        <v>39</v>
      </c>
      <c r="J382" s="22" t="s">
        <v>1826</v>
      </c>
      <c r="K382" s="22" t="s">
        <v>1827</v>
      </c>
      <c r="L382" s="22"/>
      <c r="M382" s="22">
        <v>1</v>
      </c>
      <c r="N382" s="22">
        <v>25</v>
      </c>
      <c r="O382" s="22">
        <v>25</v>
      </c>
      <c r="P382" s="22">
        <v>0</v>
      </c>
      <c r="Q382" s="22">
        <v>25</v>
      </c>
      <c r="R382" s="1201">
        <v>26.52</v>
      </c>
      <c r="S382" s="1201">
        <v>663</v>
      </c>
      <c r="T382" s="22" t="s">
        <v>1790</v>
      </c>
      <c r="U382" s="1854" t="s">
        <v>1719</v>
      </c>
      <c r="V382" s="22"/>
      <c r="W382" s="2007"/>
      <c r="X382" s="18"/>
      <c r="Y382" s="4"/>
      <c r="Z382" s="4"/>
    </row>
    <row r="383" spans="1:26" ht="14.1" hidden="1">
      <c r="A383" s="20">
        <v>390</v>
      </c>
      <c r="B383" s="1063">
        <v>40160</v>
      </c>
      <c r="C383" s="22" t="s">
        <v>1828</v>
      </c>
      <c r="D383" s="11"/>
      <c r="E383" s="22" t="s">
        <v>572</v>
      </c>
      <c r="F383" s="22" t="s">
        <v>1787</v>
      </c>
      <c r="G383" s="22" t="s">
        <v>1829</v>
      </c>
      <c r="H383" s="22" t="s">
        <v>1803</v>
      </c>
      <c r="I383" s="22" t="s">
        <v>1662</v>
      </c>
      <c r="J383" s="22" t="s">
        <v>1830</v>
      </c>
      <c r="K383" s="22" t="s">
        <v>1831</v>
      </c>
      <c r="L383" s="22"/>
      <c r="M383" s="22">
        <v>1</v>
      </c>
      <c r="N383" s="22">
        <v>3</v>
      </c>
      <c r="O383" s="22">
        <v>3</v>
      </c>
      <c r="P383" s="22">
        <v>0</v>
      </c>
      <c r="Q383" s="22">
        <v>3</v>
      </c>
      <c r="R383" s="1201">
        <v>455</v>
      </c>
      <c r="S383" s="1201">
        <v>1365</v>
      </c>
      <c r="T383" s="22" t="s">
        <v>1790</v>
      </c>
      <c r="U383" s="1854" t="s">
        <v>1719</v>
      </c>
      <c r="V383" s="22"/>
      <c r="W383" s="2007"/>
      <c r="X383" s="18"/>
      <c r="Y383" s="4"/>
      <c r="Z383" s="4"/>
    </row>
    <row r="384" spans="1:26" ht="14.1" hidden="1">
      <c r="A384" s="20">
        <v>391</v>
      </c>
      <c r="B384" s="1063">
        <v>40161</v>
      </c>
      <c r="C384" s="22" t="s">
        <v>1832</v>
      </c>
      <c r="D384" s="11"/>
      <c r="E384" s="22" t="s">
        <v>572</v>
      </c>
      <c r="F384" s="22" t="s">
        <v>1787</v>
      </c>
      <c r="G384" s="22" t="s">
        <v>1833</v>
      </c>
      <c r="H384" s="22" t="s">
        <v>1073</v>
      </c>
      <c r="I384" s="22" t="s">
        <v>1662</v>
      </c>
      <c r="J384" s="22" t="s">
        <v>1834</v>
      </c>
      <c r="K384" s="22" t="s">
        <v>1835</v>
      </c>
      <c r="L384" s="22"/>
      <c r="M384" s="22">
        <v>1</v>
      </c>
      <c r="N384" s="22">
        <v>3</v>
      </c>
      <c r="O384" s="22">
        <v>3</v>
      </c>
      <c r="P384" s="22">
        <v>0</v>
      </c>
      <c r="Q384" s="22">
        <v>3</v>
      </c>
      <c r="R384" s="1201">
        <v>366</v>
      </c>
      <c r="S384" s="1201">
        <v>1098</v>
      </c>
      <c r="T384" s="22" t="s">
        <v>1790</v>
      </c>
      <c r="U384" s="1854" t="s">
        <v>1719</v>
      </c>
      <c r="V384" s="22"/>
      <c r="W384" s="2007"/>
      <c r="X384" s="18"/>
      <c r="Y384" s="4"/>
      <c r="Z384" s="4"/>
    </row>
    <row r="385" spans="1:26" ht="14.1" hidden="1">
      <c r="A385" s="20">
        <v>392</v>
      </c>
      <c r="B385" s="1063">
        <v>40162</v>
      </c>
      <c r="C385" s="22" t="s">
        <v>1836</v>
      </c>
      <c r="D385" s="11"/>
      <c r="E385" s="22" t="s">
        <v>572</v>
      </c>
      <c r="F385" s="22" t="s">
        <v>1787</v>
      </c>
      <c r="G385" s="22" t="s">
        <v>1057</v>
      </c>
      <c r="H385" s="22" t="s">
        <v>1379</v>
      </c>
      <c r="I385" s="22" t="s">
        <v>1379</v>
      </c>
      <c r="J385" s="22"/>
      <c r="K385" s="22"/>
      <c r="L385" s="22"/>
      <c r="M385" s="22">
        <v>1</v>
      </c>
      <c r="N385" s="22">
        <v>1</v>
      </c>
      <c r="O385" s="22">
        <v>3</v>
      </c>
      <c r="P385" s="22">
        <v>0</v>
      </c>
      <c r="Q385" s="22">
        <v>3</v>
      </c>
      <c r="R385" s="1201"/>
      <c r="S385" s="1201">
        <v>23310</v>
      </c>
      <c r="T385" s="22" t="s">
        <v>1790</v>
      </c>
      <c r="U385" s="1854" t="s">
        <v>1719</v>
      </c>
      <c r="V385" s="22"/>
      <c r="W385" s="2007"/>
      <c r="X385" s="18"/>
      <c r="Y385" s="4"/>
      <c r="Z385" s="4"/>
    </row>
    <row r="386" spans="1:26" ht="42" hidden="1">
      <c r="A386" s="20">
        <v>393</v>
      </c>
      <c r="B386" s="1063">
        <v>40163</v>
      </c>
      <c r="C386" s="53" t="s">
        <v>1837</v>
      </c>
      <c r="D386" s="11"/>
      <c r="E386" s="22" t="s">
        <v>572</v>
      </c>
      <c r="F386" s="22" t="s">
        <v>1838</v>
      </c>
      <c r="G386" s="22" t="s">
        <v>1839</v>
      </c>
      <c r="H386" s="22" t="s">
        <v>1803</v>
      </c>
      <c r="I386" s="22" t="s">
        <v>574</v>
      </c>
      <c r="J386" s="26" t="s">
        <v>1840</v>
      </c>
      <c r="K386" s="26" t="s">
        <v>1841</v>
      </c>
      <c r="L386" s="26" t="s">
        <v>1842</v>
      </c>
      <c r="M386" s="22">
        <v>1</v>
      </c>
      <c r="N386" s="22">
        <v>3</v>
      </c>
      <c r="O386" s="22">
        <v>3</v>
      </c>
      <c r="P386" s="22">
        <v>0</v>
      </c>
      <c r="Q386" s="22">
        <v>3</v>
      </c>
      <c r="R386" s="1209">
        <v>1883</v>
      </c>
      <c r="S386" s="1201">
        <f t="shared" ref="S386:S395" si="14">PRODUCT(Q386:R386)</f>
        <v>5649</v>
      </c>
      <c r="T386" s="22" t="s">
        <v>1843</v>
      </c>
      <c r="U386" s="1854" t="s">
        <v>1719</v>
      </c>
      <c r="V386" s="22"/>
      <c r="W386" s="2006" t="s">
        <v>1844</v>
      </c>
      <c r="X386" s="18"/>
      <c r="Y386" s="4"/>
      <c r="Z386" s="4"/>
    </row>
    <row r="387" spans="1:26" ht="42" hidden="1">
      <c r="A387" s="20">
        <v>394</v>
      </c>
      <c r="B387" s="1063">
        <v>40164</v>
      </c>
      <c r="C387" s="53" t="s">
        <v>1845</v>
      </c>
      <c r="D387" s="11"/>
      <c r="E387" s="22" t="s">
        <v>572</v>
      </c>
      <c r="F387" s="22" t="s">
        <v>1838</v>
      </c>
      <c r="G387" s="22" t="s">
        <v>1846</v>
      </c>
      <c r="H387" s="22" t="s">
        <v>1847</v>
      </c>
      <c r="I387" s="22" t="s">
        <v>574</v>
      </c>
      <c r="J387" s="26" t="s">
        <v>1848</v>
      </c>
      <c r="K387" s="26" t="s">
        <v>1849</v>
      </c>
      <c r="L387" s="26" t="s">
        <v>1256</v>
      </c>
      <c r="M387" s="22">
        <v>2</v>
      </c>
      <c r="N387" s="22">
        <v>4</v>
      </c>
      <c r="O387" s="22">
        <v>5</v>
      </c>
      <c r="P387" s="22">
        <v>0</v>
      </c>
      <c r="Q387" s="22">
        <v>5</v>
      </c>
      <c r="R387" s="1209">
        <v>574.20000000000005</v>
      </c>
      <c r="S387" s="1201">
        <f t="shared" si="14"/>
        <v>2871</v>
      </c>
      <c r="T387" s="22" t="s">
        <v>1843</v>
      </c>
      <c r="U387" s="1854" t="s">
        <v>1719</v>
      </c>
      <c r="V387" s="22"/>
      <c r="W387" s="2006" t="s">
        <v>1850</v>
      </c>
      <c r="X387" s="18"/>
      <c r="Y387" s="4"/>
      <c r="Z387" s="4"/>
    </row>
    <row r="388" spans="1:26" ht="27.95" hidden="1">
      <c r="A388" s="20">
        <v>395</v>
      </c>
      <c r="B388" s="1063">
        <v>40165</v>
      </c>
      <c r="C388" s="53" t="s">
        <v>1851</v>
      </c>
      <c r="D388" s="11"/>
      <c r="E388" s="22" t="s">
        <v>572</v>
      </c>
      <c r="F388" s="22" t="s">
        <v>1838</v>
      </c>
      <c r="G388" s="22" t="s">
        <v>1852</v>
      </c>
      <c r="H388" s="22" t="s">
        <v>1853</v>
      </c>
      <c r="I388" s="22" t="s">
        <v>574</v>
      </c>
      <c r="J388" s="26" t="s">
        <v>1854</v>
      </c>
      <c r="K388" s="26" t="s">
        <v>1855</v>
      </c>
      <c r="L388" s="26" t="s">
        <v>1856</v>
      </c>
      <c r="M388" s="22">
        <v>2</v>
      </c>
      <c r="N388" s="22">
        <v>4</v>
      </c>
      <c r="O388" s="22">
        <v>5</v>
      </c>
      <c r="P388" s="22">
        <v>0</v>
      </c>
      <c r="Q388" s="22">
        <v>5</v>
      </c>
      <c r="R388" s="1209">
        <v>54</v>
      </c>
      <c r="S388" s="1201">
        <f t="shared" si="14"/>
        <v>270</v>
      </c>
      <c r="T388" s="22" t="s">
        <v>1843</v>
      </c>
      <c r="U388" s="1854" t="s">
        <v>1719</v>
      </c>
      <c r="V388" s="22"/>
      <c r="W388" s="2006" t="s">
        <v>1857</v>
      </c>
      <c r="X388" s="18"/>
      <c r="Y388" s="4"/>
      <c r="Z388" s="4"/>
    </row>
    <row r="389" spans="1:26" ht="27.95" hidden="1">
      <c r="A389" s="20">
        <v>396</v>
      </c>
      <c r="B389" s="1063">
        <v>40166</v>
      </c>
      <c r="C389" s="53" t="s">
        <v>1858</v>
      </c>
      <c r="D389" s="11"/>
      <c r="E389" s="22" t="s">
        <v>572</v>
      </c>
      <c r="F389" s="22" t="s">
        <v>1838</v>
      </c>
      <c r="G389" s="53" t="s">
        <v>1858</v>
      </c>
      <c r="H389" s="22" t="s">
        <v>230</v>
      </c>
      <c r="I389" s="22" t="s">
        <v>39</v>
      </c>
      <c r="J389" s="26" t="s">
        <v>1859</v>
      </c>
      <c r="K389" s="26" t="s">
        <v>1860</v>
      </c>
      <c r="L389" s="26" t="s">
        <v>1861</v>
      </c>
      <c r="M389" s="22">
        <v>1</v>
      </c>
      <c r="N389" s="22">
        <v>3</v>
      </c>
      <c r="O389" s="22">
        <v>3</v>
      </c>
      <c r="P389" s="22">
        <v>0</v>
      </c>
      <c r="Q389" s="22">
        <v>3</v>
      </c>
      <c r="R389" s="1209">
        <v>761.4</v>
      </c>
      <c r="S389" s="1201">
        <f t="shared" si="14"/>
        <v>2284.1999999999998</v>
      </c>
      <c r="T389" s="22" t="s">
        <v>1843</v>
      </c>
      <c r="U389" s="1854" t="s">
        <v>1719</v>
      </c>
      <c r="V389" s="22"/>
      <c r="W389" s="2006" t="s">
        <v>1862</v>
      </c>
      <c r="X389" s="18"/>
      <c r="Y389" s="4"/>
      <c r="Z389" s="4"/>
    </row>
    <row r="390" spans="1:26" ht="14.45" hidden="1">
      <c r="A390" s="20">
        <v>397</v>
      </c>
      <c r="B390" s="1063">
        <v>40167</v>
      </c>
      <c r="C390" s="53" t="s">
        <v>1863</v>
      </c>
      <c r="D390" s="11"/>
      <c r="E390" s="22" t="s">
        <v>572</v>
      </c>
      <c r="F390" s="22" t="s">
        <v>1838</v>
      </c>
      <c r="G390" s="22" t="s">
        <v>1864</v>
      </c>
      <c r="H390" s="22" t="s">
        <v>1865</v>
      </c>
      <c r="I390" s="22" t="s">
        <v>574</v>
      </c>
      <c r="J390" s="26" t="s">
        <v>1866</v>
      </c>
      <c r="K390" s="26" t="s">
        <v>1867</v>
      </c>
      <c r="L390" s="26" t="s">
        <v>1868</v>
      </c>
      <c r="M390" s="22">
        <v>5</v>
      </c>
      <c r="N390" s="22">
        <v>10</v>
      </c>
      <c r="O390" s="22">
        <v>10</v>
      </c>
      <c r="P390" s="22">
        <v>0</v>
      </c>
      <c r="Q390" s="22">
        <v>10</v>
      </c>
      <c r="R390" s="1209">
        <v>212.5</v>
      </c>
      <c r="S390" s="1201">
        <f t="shared" si="14"/>
        <v>2125</v>
      </c>
      <c r="T390" s="22" t="s">
        <v>1843</v>
      </c>
      <c r="U390" s="1854" t="s">
        <v>1719</v>
      </c>
      <c r="V390" s="22"/>
      <c r="W390" s="2007"/>
      <c r="X390" s="18"/>
      <c r="Y390" s="4"/>
      <c r="Z390" s="4"/>
    </row>
    <row r="391" spans="1:26" ht="27.95" hidden="1">
      <c r="A391" s="20">
        <v>398</v>
      </c>
      <c r="B391" s="1063">
        <v>40168</v>
      </c>
      <c r="C391" s="53" t="s">
        <v>1869</v>
      </c>
      <c r="D391" s="11"/>
      <c r="E391" s="22" t="s">
        <v>572</v>
      </c>
      <c r="F391" s="22" t="s">
        <v>1838</v>
      </c>
      <c r="G391" s="22" t="s">
        <v>1870</v>
      </c>
      <c r="H391" s="22" t="s">
        <v>1871</v>
      </c>
      <c r="I391" s="22" t="s">
        <v>39</v>
      </c>
      <c r="J391" s="26" t="s">
        <v>1872</v>
      </c>
      <c r="K391" s="26" t="s">
        <v>1873</v>
      </c>
      <c r="L391" s="26" t="s">
        <v>1874</v>
      </c>
      <c r="M391" s="22">
        <v>10</v>
      </c>
      <c r="N391" s="22">
        <v>20</v>
      </c>
      <c r="O391" s="22">
        <v>25</v>
      </c>
      <c r="P391" s="22">
        <v>0</v>
      </c>
      <c r="Q391" s="22">
        <v>25</v>
      </c>
      <c r="R391" s="1209">
        <v>90.55</v>
      </c>
      <c r="S391" s="1201">
        <f t="shared" si="14"/>
        <v>2263.75</v>
      </c>
      <c r="T391" s="22" t="s">
        <v>1843</v>
      </c>
      <c r="U391" s="1854" t="s">
        <v>1719</v>
      </c>
      <c r="V391" s="22"/>
      <c r="W391" s="2006" t="s">
        <v>1875</v>
      </c>
      <c r="X391" s="18"/>
      <c r="Y391" s="4"/>
      <c r="Z391" s="4"/>
    </row>
    <row r="392" spans="1:26" ht="27.95" hidden="1">
      <c r="A392" s="20">
        <v>399</v>
      </c>
      <c r="B392" s="1063">
        <v>40169</v>
      </c>
      <c r="C392" s="22" t="s">
        <v>1760</v>
      </c>
      <c r="D392" s="11"/>
      <c r="E392" s="22" t="s">
        <v>572</v>
      </c>
      <c r="F392" s="22" t="s">
        <v>1838</v>
      </c>
      <c r="G392" s="32" t="s">
        <v>1761</v>
      </c>
      <c r="H392" s="32" t="s">
        <v>1762</v>
      </c>
      <c r="I392" s="22" t="s">
        <v>1662</v>
      </c>
      <c r="J392" s="22" t="s">
        <v>1763</v>
      </c>
      <c r="K392" s="32" t="s">
        <v>1764</v>
      </c>
      <c r="L392" s="22" t="s">
        <v>149</v>
      </c>
      <c r="M392" s="22">
        <v>20</v>
      </c>
      <c r="N392" s="22">
        <v>20</v>
      </c>
      <c r="O392" s="22">
        <v>20</v>
      </c>
      <c r="P392" s="22">
        <v>0</v>
      </c>
      <c r="Q392" s="22">
        <v>20</v>
      </c>
      <c r="R392" s="1201">
        <f>229/20</f>
        <v>11.45</v>
      </c>
      <c r="S392" s="1201">
        <f t="shared" si="14"/>
        <v>229</v>
      </c>
      <c r="T392" s="22" t="s">
        <v>1843</v>
      </c>
      <c r="U392" s="1854" t="s">
        <v>1719</v>
      </c>
      <c r="V392" s="22"/>
      <c r="W392" s="2006" t="s">
        <v>1765</v>
      </c>
      <c r="X392" s="18"/>
      <c r="Y392" s="4"/>
      <c r="Z392" s="4"/>
    </row>
    <row r="393" spans="1:26" ht="27.95" hidden="1">
      <c r="A393" s="20">
        <v>400</v>
      </c>
      <c r="B393" s="1063">
        <v>40170</v>
      </c>
      <c r="C393" s="22" t="s">
        <v>1766</v>
      </c>
      <c r="D393" s="11"/>
      <c r="E393" s="22" t="s">
        <v>572</v>
      </c>
      <c r="F393" s="22" t="s">
        <v>1838</v>
      </c>
      <c r="G393" s="32" t="s">
        <v>1767</v>
      </c>
      <c r="H393" s="32" t="s">
        <v>1762</v>
      </c>
      <c r="I393" s="22" t="s">
        <v>1662</v>
      </c>
      <c r="J393" s="22" t="s">
        <v>1768</v>
      </c>
      <c r="K393" s="32" t="s">
        <v>1769</v>
      </c>
      <c r="L393" s="22" t="s">
        <v>149</v>
      </c>
      <c r="M393" s="22">
        <v>20</v>
      </c>
      <c r="N393" s="22">
        <v>20</v>
      </c>
      <c r="O393" s="22">
        <v>20</v>
      </c>
      <c r="P393" s="22">
        <v>0</v>
      </c>
      <c r="Q393" s="22">
        <v>20</v>
      </c>
      <c r="R393" s="1201">
        <v>11.45</v>
      </c>
      <c r="S393" s="1201">
        <f t="shared" si="14"/>
        <v>229</v>
      </c>
      <c r="T393" s="22" t="s">
        <v>1843</v>
      </c>
      <c r="U393" s="1854" t="s">
        <v>1719</v>
      </c>
      <c r="V393" s="22"/>
      <c r="W393" s="2006" t="s">
        <v>1770</v>
      </c>
      <c r="X393" s="18"/>
      <c r="Y393" s="4"/>
      <c r="Z393" s="4"/>
    </row>
    <row r="394" spans="1:26" ht="27.95" hidden="1">
      <c r="A394" s="20">
        <v>401</v>
      </c>
      <c r="B394" s="1063">
        <v>40171</v>
      </c>
      <c r="C394" s="22" t="s">
        <v>1771</v>
      </c>
      <c r="D394" s="11"/>
      <c r="E394" s="22" t="s">
        <v>572</v>
      </c>
      <c r="F394" s="22" t="s">
        <v>1838</v>
      </c>
      <c r="G394" s="32" t="s">
        <v>1772</v>
      </c>
      <c r="H394" s="32" t="s">
        <v>1762</v>
      </c>
      <c r="I394" s="22" t="s">
        <v>1662</v>
      </c>
      <c r="J394" s="22" t="s">
        <v>1773</v>
      </c>
      <c r="K394" s="32" t="s">
        <v>1774</v>
      </c>
      <c r="L394" s="22" t="s">
        <v>149</v>
      </c>
      <c r="M394" s="22">
        <v>20</v>
      </c>
      <c r="N394" s="22">
        <v>20</v>
      </c>
      <c r="O394" s="22">
        <v>20</v>
      </c>
      <c r="P394" s="22">
        <v>0</v>
      </c>
      <c r="Q394" s="22">
        <v>20</v>
      </c>
      <c r="R394" s="1201">
        <v>11.5</v>
      </c>
      <c r="S394" s="1201">
        <f t="shared" si="14"/>
        <v>230</v>
      </c>
      <c r="T394" s="22" t="s">
        <v>1843</v>
      </c>
      <c r="U394" s="1854" t="s">
        <v>1719</v>
      </c>
      <c r="V394" s="22"/>
      <c r="W394" s="2006" t="s">
        <v>1775</v>
      </c>
      <c r="X394" s="18"/>
      <c r="Y394" s="4"/>
      <c r="Z394" s="4"/>
    </row>
    <row r="395" spans="1:26" ht="27.95" hidden="1">
      <c r="A395" s="20">
        <v>402</v>
      </c>
      <c r="B395" s="1063">
        <v>40172</v>
      </c>
      <c r="C395" s="22" t="s">
        <v>1858</v>
      </c>
      <c r="D395" s="11"/>
      <c r="E395" s="22" t="s">
        <v>572</v>
      </c>
      <c r="F395" s="22" t="s">
        <v>1838</v>
      </c>
      <c r="G395" s="53" t="s">
        <v>1876</v>
      </c>
      <c r="H395" s="22" t="s">
        <v>230</v>
      </c>
      <c r="I395" s="22" t="s">
        <v>39</v>
      </c>
      <c r="J395" s="26" t="s">
        <v>1877</v>
      </c>
      <c r="K395" s="26" t="s">
        <v>1878</v>
      </c>
      <c r="L395" s="26" t="s">
        <v>1879</v>
      </c>
      <c r="M395" s="22">
        <v>1</v>
      </c>
      <c r="N395" s="22">
        <v>2</v>
      </c>
      <c r="O395" s="22">
        <v>2</v>
      </c>
      <c r="P395" s="22">
        <v>0</v>
      </c>
      <c r="Q395" s="22">
        <v>2</v>
      </c>
      <c r="R395" s="1209">
        <v>757.4</v>
      </c>
      <c r="S395" s="1201">
        <f t="shared" si="14"/>
        <v>1514.8</v>
      </c>
      <c r="T395" s="22" t="s">
        <v>1843</v>
      </c>
      <c r="U395" s="1854" t="s">
        <v>1719</v>
      </c>
      <c r="V395" s="22"/>
      <c r="W395" s="2006" t="s">
        <v>1880</v>
      </c>
      <c r="X395" s="18"/>
      <c r="Y395" s="4"/>
      <c r="Z395" s="4"/>
    </row>
    <row r="396" spans="1:26" ht="42" hidden="1">
      <c r="A396" s="20">
        <v>403</v>
      </c>
      <c r="B396" s="1063">
        <v>40173</v>
      </c>
      <c r="C396" s="22" t="s">
        <v>1776</v>
      </c>
      <c r="D396" s="11"/>
      <c r="E396" s="22" t="s">
        <v>572</v>
      </c>
      <c r="F396" s="22" t="s">
        <v>1838</v>
      </c>
      <c r="G396" s="32" t="s">
        <v>1881</v>
      </c>
      <c r="H396" s="32" t="s">
        <v>1778</v>
      </c>
      <c r="I396" s="22" t="s">
        <v>1662</v>
      </c>
      <c r="J396" s="37" t="s">
        <v>1779</v>
      </c>
      <c r="K396" s="32" t="s">
        <v>1780</v>
      </c>
      <c r="L396" s="22" t="s">
        <v>149</v>
      </c>
      <c r="M396" s="22">
        <v>2</v>
      </c>
      <c r="N396" s="22">
        <v>1</v>
      </c>
      <c r="O396" s="22">
        <v>2</v>
      </c>
      <c r="P396" s="22">
        <v>0</v>
      </c>
      <c r="Q396" s="22">
        <v>0</v>
      </c>
      <c r="R396" s="1201">
        <v>1769</v>
      </c>
      <c r="S396" s="1201">
        <f>1769*2</f>
        <v>3538</v>
      </c>
      <c r="T396" s="22" t="s">
        <v>1843</v>
      </c>
      <c r="U396" s="1854" t="s">
        <v>1719</v>
      </c>
      <c r="V396" s="22" t="s">
        <v>1881</v>
      </c>
      <c r="W396" s="2006" t="s">
        <v>1781</v>
      </c>
      <c r="X396" s="18"/>
      <c r="Y396" s="4"/>
      <c r="Z396" s="4"/>
    </row>
    <row r="397" spans="1:26" ht="24.95" hidden="1">
      <c r="A397" s="20">
        <v>404</v>
      </c>
      <c r="B397" s="1063">
        <v>40174</v>
      </c>
      <c r="C397" s="22" t="s">
        <v>1882</v>
      </c>
      <c r="D397" s="11"/>
      <c r="E397" s="22" t="s">
        <v>572</v>
      </c>
      <c r="F397" s="22" t="s">
        <v>970</v>
      </c>
      <c r="G397" s="22" t="s">
        <v>1883</v>
      </c>
      <c r="H397" s="22" t="s">
        <v>1884</v>
      </c>
      <c r="I397" s="22" t="s">
        <v>1884</v>
      </c>
      <c r="J397" s="22" t="s">
        <v>1885</v>
      </c>
      <c r="K397" s="22" t="s">
        <v>1885</v>
      </c>
      <c r="L397" s="22" t="s">
        <v>149</v>
      </c>
      <c r="M397" s="22">
        <v>1</v>
      </c>
      <c r="N397" s="22">
        <v>1</v>
      </c>
      <c r="O397" s="22">
        <v>2</v>
      </c>
      <c r="P397" s="22">
        <v>0</v>
      </c>
      <c r="Q397" s="22">
        <v>2</v>
      </c>
      <c r="R397" s="1201">
        <v>50000</v>
      </c>
      <c r="S397" s="1201">
        <v>100000</v>
      </c>
      <c r="T397" s="22" t="s">
        <v>929</v>
      </c>
      <c r="U397" s="1854" t="s">
        <v>1886</v>
      </c>
      <c r="V397" s="22" t="s">
        <v>1887</v>
      </c>
      <c r="W397" s="2016" t="s">
        <v>1888</v>
      </c>
      <c r="X397" s="18"/>
      <c r="Y397" s="4"/>
      <c r="Z397" s="4"/>
    </row>
    <row r="398" spans="1:26" ht="42" hidden="1">
      <c r="A398" s="20">
        <v>405</v>
      </c>
      <c r="B398" s="1063">
        <v>40175</v>
      </c>
      <c r="C398" s="22" t="s">
        <v>1889</v>
      </c>
      <c r="D398" s="11"/>
      <c r="E398" s="22" t="s">
        <v>1890</v>
      </c>
      <c r="F398" s="22" t="s">
        <v>784</v>
      </c>
      <c r="G398" s="22" t="s">
        <v>1891</v>
      </c>
      <c r="H398" s="22" t="s">
        <v>1892</v>
      </c>
      <c r="I398" s="22" t="s">
        <v>1893</v>
      </c>
      <c r="J398" s="22" t="s">
        <v>1894</v>
      </c>
      <c r="K398" s="22" t="s">
        <v>1895</v>
      </c>
      <c r="L398" s="22" t="s">
        <v>149</v>
      </c>
      <c r="M398" s="22">
        <v>1</v>
      </c>
      <c r="N398" s="22">
        <v>1</v>
      </c>
      <c r="O398" s="22">
        <v>1</v>
      </c>
      <c r="P398" s="22">
        <v>0</v>
      </c>
      <c r="Q398" s="22">
        <v>0</v>
      </c>
      <c r="R398" s="1201">
        <v>164000</v>
      </c>
      <c r="S398" s="1201">
        <f>O398*R398</f>
        <v>164000</v>
      </c>
      <c r="T398" s="22" t="s">
        <v>929</v>
      </c>
      <c r="U398" s="1854" t="s">
        <v>1896</v>
      </c>
      <c r="V398" s="22" t="s">
        <v>1544</v>
      </c>
      <c r="W398" s="2006" t="s">
        <v>1897</v>
      </c>
      <c r="X398" s="18"/>
      <c r="Y398" s="4"/>
      <c r="Z398" s="4"/>
    </row>
    <row r="399" spans="1:26" ht="42" hidden="1">
      <c r="A399" s="20">
        <v>406</v>
      </c>
      <c r="B399" s="1063">
        <v>40176</v>
      </c>
      <c r="C399" s="22" t="s">
        <v>977</v>
      </c>
      <c r="D399" s="11"/>
      <c r="E399" s="22" t="s">
        <v>572</v>
      </c>
      <c r="F399" s="22" t="s">
        <v>970</v>
      </c>
      <c r="G399" s="22" t="s">
        <v>978</v>
      </c>
      <c r="H399" s="22" t="s">
        <v>979</v>
      </c>
      <c r="I399" s="22" t="s">
        <v>980</v>
      </c>
      <c r="J399" s="22" t="s">
        <v>981</v>
      </c>
      <c r="K399" s="22" t="s">
        <v>981</v>
      </c>
      <c r="L399" s="22" t="s">
        <v>149</v>
      </c>
      <c r="M399" s="22">
        <v>1</v>
      </c>
      <c r="N399" s="22">
        <v>1</v>
      </c>
      <c r="O399" s="22">
        <v>1</v>
      </c>
      <c r="P399" s="22">
        <v>0</v>
      </c>
      <c r="Q399" s="22">
        <v>1</v>
      </c>
      <c r="R399" s="1201">
        <v>30000</v>
      </c>
      <c r="S399" s="1201">
        <v>30000</v>
      </c>
      <c r="T399" s="22" t="s">
        <v>422</v>
      </c>
      <c r="U399" s="1854" t="s">
        <v>422</v>
      </c>
      <c r="V399" s="22" t="s">
        <v>975</v>
      </c>
      <c r="W399" s="2007"/>
      <c r="X399" s="18"/>
      <c r="Y399" s="4"/>
      <c r="Z399" s="4"/>
    </row>
    <row r="400" spans="1:26" ht="14.1" hidden="1">
      <c r="A400" s="20">
        <v>407</v>
      </c>
      <c r="B400" s="1063">
        <v>40177</v>
      </c>
      <c r="C400" s="22" t="s">
        <v>1898</v>
      </c>
      <c r="D400" s="11"/>
      <c r="E400" s="22" t="s">
        <v>572</v>
      </c>
      <c r="F400" s="22" t="s">
        <v>970</v>
      </c>
      <c r="G400" s="22" t="s">
        <v>1899</v>
      </c>
      <c r="H400" s="22" t="s">
        <v>1900</v>
      </c>
      <c r="I400" s="22" t="s">
        <v>1901</v>
      </c>
      <c r="J400" s="22" t="s">
        <v>1</v>
      </c>
      <c r="K400" s="22" t="s">
        <v>1</v>
      </c>
      <c r="L400" s="22" t="s">
        <v>149</v>
      </c>
      <c r="M400" s="22"/>
      <c r="N400" s="22"/>
      <c r="O400" s="22"/>
      <c r="P400" s="22"/>
      <c r="Q400" s="22"/>
      <c r="R400" s="1201">
        <v>8252</v>
      </c>
      <c r="S400" s="1201">
        <v>8252</v>
      </c>
      <c r="T400" s="22" t="s">
        <v>422</v>
      </c>
      <c r="U400" s="1854" t="s">
        <v>422</v>
      </c>
      <c r="V400" s="22" t="s">
        <v>975</v>
      </c>
      <c r="W400" s="2007"/>
      <c r="X400" s="18"/>
      <c r="Y400" s="4"/>
      <c r="Z400" s="4"/>
    </row>
    <row r="401" spans="1:26" ht="15.75" hidden="1" customHeight="1">
      <c r="A401" s="20">
        <v>408</v>
      </c>
      <c r="B401" s="1063">
        <v>40178</v>
      </c>
      <c r="C401" s="22" t="s">
        <v>1902</v>
      </c>
      <c r="D401" s="11"/>
      <c r="E401" s="22" t="s">
        <v>572</v>
      </c>
      <c r="F401" s="22" t="s">
        <v>1569</v>
      </c>
      <c r="G401" s="22" t="s">
        <v>1903</v>
      </c>
      <c r="H401" s="22" t="s">
        <v>1904</v>
      </c>
      <c r="I401" s="22" t="s">
        <v>574</v>
      </c>
      <c r="J401" s="49" t="s">
        <v>1905</v>
      </c>
      <c r="K401" s="49" t="s">
        <v>1906</v>
      </c>
      <c r="L401" s="22" t="s">
        <v>1907</v>
      </c>
      <c r="M401" s="22">
        <v>1</v>
      </c>
      <c r="N401" s="22">
        <v>10</v>
      </c>
      <c r="O401" s="22">
        <v>10</v>
      </c>
      <c r="P401" s="22">
        <v>0</v>
      </c>
      <c r="Q401" s="22">
        <v>9</v>
      </c>
      <c r="R401" s="1201">
        <v>76</v>
      </c>
      <c r="S401" s="1201">
        <v>760</v>
      </c>
      <c r="T401" s="22" t="s">
        <v>929</v>
      </c>
      <c r="U401" s="1854" t="s">
        <v>1688</v>
      </c>
      <c r="V401" s="22" t="s">
        <v>1575</v>
      </c>
      <c r="W401" s="2006" t="s">
        <v>1908</v>
      </c>
      <c r="X401" s="18"/>
      <c r="Y401" s="4"/>
      <c r="Z401" s="4"/>
    </row>
    <row r="402" spans="1:26" ht="42" hidden="1">
      <c r="A402" s="20">
        <v>409</v>
      </c>
      <c r="B402" s="1063">
        <v>40179</v>
      </c>
      <c r="C402" s="22" t="s">
        <v>1909</v>
      </c>
      <c r="D402" s="11"/>
      <c r="E402" s="22" t="s">
        <v>572</v>
      </c>
      <c r="F402" s="22" t="s">
        <v>1569</v>
      </c>
      <c r="G402" s="22" t="s">
        <v>1749</v>
      </c>
      <c r="H402" s="22" t="s">
        <v>1751</v>
      </c>
      <c r="I402" s="22" t="s">
        <v>574</v>
      </c>
      <c r="J402" s="49" t="s">
        <v>1910</v>
      </c>
      <c r="K402" s="49" t="s">
        <v>1911</v>
      </c>
      <c r="L402" s="22" t="s">
        <v>1495</v>
      </c>
      <c r="M402" s="22">
        <v>3</v>
      </c>
      <c r="N402" s="22">
        <v>100</v>
      </c>
      <c r="O402" s="22">
        <v>100</v>
      </c>
      <c r="P402" s="22">
        <v>0</v>
      </c>
      <c r="Q402" s="22">
        <v>97</v>
      </c>
      <c r="R402" s="1201">
        <v>1416</v>
      </c>
      <c r="S402" s="1201">
        <f>R402*100</f>
        <v>141600</v>
      </c>
      <c r="T402" s="22" t="s">
        <v>929</v>
      </c>
      <c r="U402" s="1854" t="s">
        <v>1912</v>
      </c>
      <c r="V402" s="22" t="s">
        <v>1575</v>
      </c>
      <c r="W402" s="2006" t="s">
        <v>1913</v>
      </c>
      <c r="X402" s="18"/>
      <c r="Y402" s="4"/>
      <c r="Z402" s="4"/>
    </row>
    <row r="403" spans="1:26" ht="27.95" hidden="1">
      <c r="A403" s="20">
        <v>410</v>
      </c>
      <c r="B403" s="1063">
        <v>40180</v>
      </c>
      <c r="C403" s="22" t="s">
        <v>1914</v>
      </c>
      <c r="D403" s="11"/>
      <c r="E403" s="22" t="s">
        <v>572</v>
      </c>
      <c r="F403" s="22" t="s">
        <v>1569</v>
      </c>
      <c r="G403" s="22" t="s">
        <v>1915</v>
      </c>
      <c r="H403" s="22" t="s">
        <v>1916</v>
      </c>
      <c r="I403" s="22" t="s">
        <v>39</v>
      </c>
      <c r="J403" s="54" t="s">
        <v>1917</v>
      </c>
      <c r="K403" s="54" t="s">
        <v>1914</v>
      </c>
      <c r="L403" s="22" t="s">
        <v>1256</v>
      </c>
      <c r="M403" s="22">
        <v>1</v>
      </c>
      <c r="N403" s="22">
        <v>5</v>
      </c>
      <c r="O403" s="22">
        <v>5</v>
      </c>
      <c r="P403" s="22">
        <v>0</v>
      </c>
      <c r="Q403" s="22">
        <v>4</v>
      </c>
      <c r="R403" s="1201">
        <v>162.46899999999999</v>
      </c>
      <c r="S403" s="1201">
        <f>5*R403</f>
        <v>812.34500000000003</v>
      </c>
      <c r="T403" s="22" t="s">
        <v>929</v>
      </c>
      <c r="U403" s="1854" t="s">
        <v>1638</v>
      </c>
      <c r="V403" s="22" t="s">
        <v>1575</v>
      </c>
      <c r="W403" s="2006" t="s">
        <v>1918</v>
      </c>
      <c r="X403" s="18"/>
      <c r="Y403" s="4"/>
      <c r="Z403" s="4"/>
    </row>
    <row r="404" spans="1:26" ht="27.95" hidden="1">
      <c r="A404" s="20">
        <v>411</v>
      </c>
      <c r="B404" s="1063">
        <v>40181</v>
      </c>
      <c r="C404" s="22" t="s">
        <v>1919</v>
      </c>
      <c r="D404" s="11"/>
      <c r="E404" s="22" t="s">
        <v>572</v>
      </c>
      <c r="F404" s="22" t="s">
        <v>1569</v>
      </c>
      <c r="G404" s="22" t="s">
        <v>1920</v>
      </c>
      <c r="H404" s="22" t="s">
        <v>1921</v>
      </c>
      <c r="I404" s="22" t="s">
        <v>39</v>
      </c>
      <c r="J404" s="54" t="s">
        <v>1922</v>
      </c>
      <c r="K404" s="54" t="s">
        <v>1923</v>
      </c>
      <c r="L404" s="22"/>
      <c r="M404" s="22">
        <v>1</v>
      </c>
      <c r="N404" s="22">
        <v>2</v>
      </c>
      <c r="O404" s="22">
        <v>2</v>
      </c>
      <c r="P404" s="22">
        <v>0</v>
      </c>
      <c r="Q404" s="22">
        <v>1</v>
      </c>
      <c r="R404" s="1201">
        <v>846</v>
      </c>
      <c r="S404" s="1201">
        <f>2*846</f>
        <v>1692</v>
      </c>
      <c r="T404" s="22" t="s">
        <v>929</v>
      </c>
      <c r="U404" s="1854" t="s">
        <v>1924</v>
      </c>
      <c r="V404" s="22" t="s">
        <v>1575</v>
      </c>
      <c r="W404" s="2006" t="s">
        <v>1925</v>
      </c>
      <c r="X404" s="18"/>
      <c r="Y404" s="4"/>
      <c r="Z404" s="4"/>
    </row>
    <row r="405" spans="1:26" ht="14.1" hidden="1">
      <c r="A405" s="20">
        <v>412</v>
      </c>
      <c r="B405" s="1063">
        <v>40182</v>
      </c>
      <c r="C405" s="22" t="s">
        <v>1926</v>
      </c>
      <c r="D405" s="11"/>
      <c r="E405" s="22" t="s">
        <v>572</v>
      </c>
      <c r="F405" s="22" t="s">
        <v>1569</v>
      </c>
      <c r="G405" s="22" t="s">
        <v>1927</v>
      </c>
      <c r="H405" s="22" t="s">
        <v>1928</v>
      </c>
      <c r="I405" s="22" t="s">
        <v>39</v>
      </c>
      <c r="J405" s="54" t="s">
        <v>1929</v>
      </c>
      <c r="K405" s="22"/>
      <c r="L405" s="22"/>
      <c r="M405" s="22">
        <v>1</v>
      </c>
      <c r="N405" s="22">
        <v>1</v>
      </c>
      <c r="O405" s="22">
        <v>1</v>
      </c>
      <c r="P405" s="22">
        <v>0</v>
      </c>
      <c r="Q405" s="22">
        <v>1</v>
      </c>
      <c r="R405" s="1201">
        <v>2907</v>
      </c>
      <c r="S405" s="1201">
        <v>2907</v>
      </c>
      <c r="T405" s="22" t="s">
        <v>929</v>
      </c>
      <c r="U405" s="1854" t="s">
        <v>1924</v>
      </c>
      <c r="V405" s="22" t="s">
        <v>1575</v>
      </c>
      <c r="W405" s="2006" t="s">
        <v>1930</v>
      </c>
      <c r="X405" s="18"/>
      <c r="Y405" s="4"/>
      <c r="Z405" s="4"/>
    </row>
    <row r="406" spans="1:26" ht="42" hidden="1">
      <c r="A406" s="20">
        <v>413</v>
      </c>
      <c r="B406" s="1063">
        <v>40183</v>
      </c>
      <c r="C406" s="22" t="s">
        <v>640</v>
      </c>
      <c r="D406" s="11"/>
      <c r="E406" s="22" t="s">
        <v>572</v>
      </c>
      <c r="F406" s="22" t="s">
        <v>1569</v>
      </c>
      <c r="G406" s="22" t="s">
        <v>1931</v>
      </c>
      <c r="H406" s="22" t="s">
        <v>1932</v>
      </c>
      <c r="I406" s="22" t="s">
        <v>574</v>
      </c>
      <c r="J406" s="49" t="s">
        <v>1933</v>
      </c>
      <c r="K406" s="49" t="s">
        <v>1934</v>
      </c>
      <c r="L406" s="22">
        <v>805</v>
      </c>
      <c r="M406" s="22">
        <v>5</v>
      </c>
      <c r="N406" s="22">
        <v>20</v>
      </c>
      <c r="O406" s="22">
        <v>20</v>
      </c>
      <c r="P406" s="22">
        <v>0</v>
      </c>
      <c r="Q406" s="22">
        <v>15</v>
      </c>
      <c r="R406" s="1201">
        <v>16</v>
      </c>
      <c r="S406" s="1201">
        <v>320</v>
      </c>
      <c r="T406" s="22" t="s">
        <v>929</v>
      </c>
      <c r="U406" s="1854" t="s">
        <v>1924</v>
      </c>
      <c r="V406" s="22" t="s">
        <v>1575</v>
      </c>
      <c r="W406" s="2006" t="s">
        <v>1935</v>
      </c>
      <c r="X406" s="18"/>
      <c r="Y406" s="4"/>
      <c r="Z406" s="4"/>
    </row>
    <row r="407" spans="1:26" ht="27.95" hidden="1">
      <c r="A407" s="20">
        <v>414</v>
      </c>
      <c r="B407" s="1063">
        <v>40184</v>
      </c>
      <c r="C407" s="22" t="s">
        <v>1936</v>
      </c>
      <c r="D407" s="11"/>
      <c r="E407" s="22" t="s">
        <v>572</v>
      </c>
      <c r="F407" s="22" t="s">
        <v>1937</v>
      </c>
      <c r="G407" s="22" t="s">
        <v>1938</v>
      </c>
      <c r="H407" s="22" t="s">
        <v>1916</v>
      </c>
      <c r="I407" s="22" t="s">
        <v>39</v>
      </c>
      <c r="J407" s="54" t="s">
        <v>1939</v>
      </c>
      <c r="K407" s="54" t="s">
        <v>1940</v>
      </c>
      <c r="L407" s="22" t="s">
        <v>1941</v>
      </c>
      <c r="M407" s="22">
        <v>1</v>
      </c>
      <c r="N407" s="22">
        <v>3</v>
      </c>
      <c r="O407" s="22">
        <v>3</v>
      </c>
      <c r="P407" s="22">
        <v>0</v>
      </c>
      <c r="Q407" s="22">
        <v>2</v>
      </c>
      <c r="R407" s="1201">
        <v>678</v>
      </c>
      <c r="S407" s="1201">
        <f>678*3</f>
        <v>2034</v>
      </c>
      <c r="T407" s="22" t="s">
        <v>929</v>
      </c>
      <c r="U407" s="1854" t="s">
        <v>1924</v>
      </c>
      <c r="V407" s="22" t="s">
        <v>1575</v>
      </c>
      <c r="W407" s="2006" t="s">
        <v>1942</v>
      </c>
      <c r="X407" s="18"/>
      <c r="Y407" s="4"/>
      <c r="Z407" s="4"/>
    </row>
    <row r="408" spans="1:26" ht="27.95" hidden="1">
      <c r="A408" s="20">
        <v>415</v>
      </c>
      <c r="B408" s="1063">
        <v>40185</v>
      </c>
      <c r="C408" s="49" t="s">
        <v>1943</v>
      </c>
      <c r="D408" s="11"/>
      <c r="E408" s="22" t="s">
        <v>572</v>
      </c>
      <c r="F408" s="22" t="s">
        <v>1937</v>
      </c>
      <c r="G408" s="22" t="s">
        <v>1944</v>
      </c>
      <c r="H408" s="22" t="s">
        <v>1945</v>
      </c>
      <c r="I408" s="22" t="s">
        <v>574</v>
      </c>
      <c r="J408" s="49" t="s">
        <v>1946</v>
      </c>
      <c r="K408" s="49" t="s">
        <v>1943</v>
      </c>
      <c r="L408" s="22">
        <v>805</v>
      </c>
      <c r="M408" s="22">
        <v>1</v>
      </c>
      <c r="N408" s="22">
        <v>10</v>
      </c>
      <c r="O408" s="22">
        <v>10</v>
      </c>
      <c r="P408" s="22">
        <v>0</v>
      </c>
      <c r="Q408" s="22">
        <v>9</v>
      </c>
      <c r="R408" s="1201">
        <v>34</v>
      </c>
      <c r="S408" s="1201">
        <v>340</v>
      </c>
      <c r="T408" s="22" t="s">
        <v>929</v>
      </c>
      <c r="U408" s="1854" t="s">
        <v>1924</v>
      </c>
      <c r="V408" s="22" t="s">
        <v>1575</v>
      </c>
      <c r="W408" s="2006" t="s">
        <v>1947</v>
      </c>
      <c r="X408" s="18"/>
      <c r="Y408" s="4"/>
      <c r="Z408" s="4"/>
    </row>
    <row r="409" spans="1:26" ht="27.95" hidden="1">
      <c r="A409" s="20">
        <v>416</v>
      </c>
      <c r="B409" s="1063">
        <v>40186</v>
      </c>
      <c r="C409" s="49" t="s">
        <v>1948</v>
      </c>
      <c r="D409" s="11"/>
      <c r="E409" s="22" t="s">
        <v>572</v>
      </c>
      <c r="F409" s="22" t="s">
        <v>1937</v>
      </c>
      <c r="G409" s="22" t="s">
        <v>1949</v>
      </c>
      <c r="H409" s="22" t="s">
        <v>1945</v>
      </c>
      <c r="I409" s="22" t="s">
        <v>574</v>
      </c>
      <c r="J409" s="49" t="s">
        <v>1950</v>
      </c>
      <c r="K409" s="49" t="s">
        <v>1948</v>
      </c>
      <c r="L409" s="22">
        <v>805</v>
      </c>
      <c r="M409" s="22">
        <v>1</v>
      </c>
      <c r="N409" s="22">
        <v>10</v>
      </c>
      <c r="O409" s="22">
        <v>10</v>
      </c>
      <c r="P409" s="22">
        <v>0</v>
      </c>
      <c r="Q409" s="22">
        <v>9</v>
      </c>
      <c r="R409" s="1201">
        <v>36</v>
      </c>
      <c r="S409" s="1201">
        <v>360</v>
      </c>
      <c r="T409" s="22" t="s">
        <v>929</v>
      </c>
      <c r="U409" s="1854" t="s">
        <v>1924</v>
      </c>
      <c r="V409" s="22" t="s">
        <v>1575</v>
      </c>
      <c r="W409" s="2006" t="s">
        <v>1951</v>
      </c>
      <c r="X409" s="18"/>
      <c r="Y409" s="4"/>
      <c r="Z409" s="4"/>
    </row>
    <row r="410" spans="1:26" ht="14.1" hidden="1">
      <c r="A410" s="20">
        <v>417</v>
      </c>
      <c r="B410" s="1063">
        <v>40187</v>
      </c>
      <c r="C410" s="22" t="s">
        <v>1952</v>
      </c>
      <c r="D410" s="11"/>
      <c r="E410" s="22" t="s">
        <v>1953</v>
      </c>
      <c r="F410" s="22" t="s">
        <v>330</v>
      </c>
      <c r="G410" s="22"/>
      <c r="H410" s="22" t="s">
        <v>1954</v>
      </c>
      <c r="I410" s="22" t="s">
        <v>1955</v>
      </c>
      <c r="J410" s="22"/>
      <c r="K410" s="49" t="s">
        <v>1956</v>
      </c>
      <c r="L410" s="22"/>
      <c r="M410" s="22">
        <v>9</v>
      </c>
      <c r="N410" s="22">
        <v>1</v>
      </c>
      <c r="O410" s="22">
        <v>9</v>
      </c>
      <c r="P410" s="22">
        <v>0</v>
      </c>
      <c r="Q410" s="22">
        <v>0</v>
      </c>
      <c r="R410" s="1201">
        <v>3100</v>
      </c>
      <c r="S410" s="1201">
        <v>27900</v>
      </c>
      <c r="T410" s="22" t="s">
        <v>1957</v>
      </c>
      <c r="U410" s="1854" t="s">
        <v>1957</v>
      </c>
      <c r="V410" s="22" t="s">
        <v>1141</v>
      </c>
      <c r="W410" s="2006" t="s">
        <v>1958</v>
      </c>
      <c r="X410" s="18"/>
      <c r="Y410" s="4"/>
      <c r="Z410" s="4"/>
    </row>
    <row r="411" spans="1:26" ht="24.95" hidden="1">
      <c r="A411" s="20">
        <v>418</v>
      </c>
      <c r="B411" s="1063">
        <v>40188</v>
      </c>
      <c r="C411" s="22" t="s">
        <v>1959</v>
      </c>
      <c r="D411" s="11"/>
      <c r="E411" s="22" t="s">
        <v>62</v>
      </c>
      <c r="F411" s="54" t="s">
        <v>823</v>
      </c>
      <c r="G411" s="22" t="s">
        <v>1960</v>
      </c>
      <c r="H411" s="54" t="s">
        <v>1961</v>
      </c>
      <c r="I411" s="22" t="s">
        <v>84</v>
      </c>
      <c r="J411" s="29">
        <v>34664682</v>
      </c>
      <c r="K411" s="22" t="s">
        <v>1962</v>
      </c>
      <c r="L411" s="22"/>
      <c r="M411" s="22">
        <v>1</v>
      </c>
      <c r="N411" s="22">
        <v>1</v>
      </c>
      <c r="O411" s="22">
        <v>1</v>
      </c>
      <c r="P411" s="22">
        <v>0</v>
      </c>
      <c r="Q411" s="22">
        <v>0</v>
      </c>
      <c r="R411" s="1201">
        <v>43</v>
      </c>
      <c r="S411" s="1201">
        <v>43</v>
      </c>
      <c r="T411" s="22" t="s">
        <v>311</v>
      </c>
      <c r="U411" s="1854" t="s">
        <v>311</v>
      </c>
      <c r="V411" s="22" t="s">
        <v>1963</v>
      </c>
      <c r="W411" s="2006" t="s">
        <v>1964</v>
      </c>
      <c r="X411" s="18"/>
      <c r="Y411" s="4"/>
      <c r="Z411" s="4"/>
    </row>
    <row r="412" spans="1:26" ht="32.1" hidden="1">
      <c r="A412" s="20">
        <v>419</v>
      </c>
      <c r="B412" s="1063">
        <v>40189</v>
      </c>
      <c r="C412" s="22" t="s">
        <v>1959</v>
      </c>
      <c r="D412" s="11"/>
      <c r="E412" s="22" t="s">
        <v>62</v>
      </c>
      <c r="F412" s="54" t="s">
        <v>823</v>
      </c>
      <c r="G412" s="22" t="s">
        <v>1965</v>
      </c>
      <c r="H412" s="30" t="s">
        <v>1961</v>
      </c>
      <c r="I412" s="22" t="s">
        <v>84</v>
      </c>
      <c r="J412" s="29">
        <v>34664646</v>
      </c>
      <c r="K412" s="22" t="s">
        <v>1962</v>
      </c>
      <c r="L412" s="22"/>
      <c r="M412" s="22">
        <v>1</v>
      </c>
      <c r="N412" s="22">
        <v>1</v>
      </c>
      <c r="O412" s="22">
        <v>1</v>
      </c>
      <c r="P412" s="22">
        <v>0</v>
      </c>
      <c r="Q412" s="22">
        <v>0</v>
      </c>
      <c r="R412" s="1201">
        <v>139</v>
      </c>
      <c r="S412" s="1201">
        <v>139</v>
      </c>
      <c r="T412" s="22" t="s">
        <v>311</v>
      </c>
      <c r="U412" s="1854" t="s">
        <v>311</v>
      </c>
      <c r="V412" s="22" t="s">
        <v>1963</v>
      </c>
      <c r="W412" s="2006" t="s">
        <v>1966</v>
      </c>
      <c r="X412" s="18"/>
      <c r="Y412" s="4"/>
      <c r="Z412" s="4"/>
    </row>
    <row r="413" spans="1:26" ht="32.1" hidden="1">
      <c r="A413" s="20">
        <v>420</v>
      </c>
      <c r="B413" s="1063">
        <v>40190</v>
      </c>
      <c r="C413" s="22" t="s">
        <v>1967</v>
      </c>
      <c r="D413" s="11"/>
      <c r="E413" s="22" t="s">
        <v>62</v>
      </c>
      <c r="F413" s="22" t="s">
        <v>823</v>
      </c>
      <c r="G413" s="22" t="s">
        <v>1968</v>
      </c>
      <c r="H413" s="30" t="s">
        <v>1969</v>
      </c>
      <c r="I413" s="22" t="s">
        <v>84</v>
      </c>
      <c r="J413" s="29">
        <v>5708997</v>
      </c>
      <c r="K413" s="30" t="s">
        <v>1970</v>
      </c>
      <c r="L413" s="22"/>
      <c r="M413" s="22">
        <v>1</v>
      </c>
      <c r="N413" s="22">
        <v>1</v>
      </c>
      <c r="O413" s="22">
        <v>1</v>
      </c>
      <c r="P413" s="22">
        <v>1</v>
      </c>
      <c r="Q413" s="22">
        <v>1</v>
      </c>
      <c r="R413" s="1201">
        <v>8690</v>
      </c>
      <c r="S413" s="1201">
        <v>8690</v>
      </c>
      <c r="T413" s="22" t="s">
        <v>311</v>
      </c>
      <c r="U413" s="1854" t="s">
        <v>311</v>
      </c>
      <c r="V413" s="22" t="s">
        <v>1963</v>
      </c>
      <c r="W413" s="2006" t="s">
        <v>1971</v>
      </c>
      <c r="X413" s="18"/>
      <c r="Y413" s="4"/>
      <c r="Z413" s="4"/>
    </row>
    <row r="414" spans="1:26" ht="15.95" hidden="1">
      <c r="A414" s="20">
        <v>421</v>
      </c>
      <c r="B414" s="1063">
        <v>40191</v>
      </c>
      <c r="C414" s="22" t="s">
        <v>1972</v>
      </c>
      <c r="D414" s="11"/>
      <c r="E414" s="22" t="s">
        <v>62</v>
      </c>
      <c r="F414" s="54" t="s">
        <v>823</v>
      </c>
      <c r="G414" s="54" t="s">
        <v>1973</v>
      </c>
      <c r="H414" s="22" t="s">
        <v>1974</v>
      </c>
      <c r="I414" s="54" t="s">
        <v>84</v>
      </c>
      <c r="J414" s="29">
        <v>24122342</v>
      </c>
      <c r="K414" s="22"/>
      <c r="L414" s="22"/>
      <c r="M414" s="22">
        <v>2</v>
      </c>
      <c r="N414" s="22">
        <v>2</v>
      </c>
      <c r="O414" s="22">
        <v>2</v>
      </c>
      <c r="P414" s="22">
        <v>1</v>
      </c>
      <c r="Q414" s="22">
        <v>1</v>
      </c>
      <c r="R414" s="1201">
        <v>929</v>
      </c>
      <c r="S414" s="1201">
        <v>1859</v>
      </c>
      <c r="T414" s="22" t="s">
        <v>311</v>
      </c>
      <c r="U414" s="1854" t="s">
        <v>311</v>
      </c>
      <c r="V414" s="22" t="s">
        <v>1963</v>
      </c>
      <c r="W414" s="2006" t="s">
        <v>1975</v>
      </c>
      <c r="X414" s="18"/>
      <c r="Y414" s="4"/>
      <c r="Z414" s="4"/>
    </row>
    <row r="415" spans="1:26" ht="22.5" hidden="1" customHeight="1">
      <c r="A415" s="20">
        <v>422</v>
      </c>
      <c r="B415" s="1063">
        <v>40192</v>
      </c>
      <c r="C415" s="22" t="s">
        <v>1976</v>
      </c>
      <c r="D415" s="11"/>
      <c r="E415" s="22" t="s">
        <v>572</v>
      </c>
      <c r="F415" s="22" t="s">
        <v>1937</v>
      </c>
      <c r="G415" s="22" t="s">
        <v>1977</v>
      </c>
      <c r="H415" s="22" t="s">
        <v>1978</v>
      </c>
      <c r="I415" s="54" t="s">
        <v>574</v>
      </c>
      <c r="J415" s="49" t="s">
        <v>1979</v>
      </c>
      <c r="K415" s="49" t="s">
        <v>1980</v>
      </c>
      <c r="L415" s="22" t="s">
        <v>1981</v>
      </c>
      <c r="M415" s="22">
        <v>1</v>
      </c>
      <c r="N415" s="22">
        <v>5</v>
      </c>
      <c r="O415" s="22">
        <v>5</v>
      </c>
      <c r="P415" s="22">
        <v>0</v>
      </c>
      <c r="Q415" s="22">
        <v>4</v>
      </c>
      <c r="R415" s="1201">
        <v>68</v>
      </c>
      <c r="S415" s="1201">
        <f>R415*5</f>
        <v>340</v>
      </c>
      <c r="T415" s="22" t="s">
        <v>929</v>
      </c>
      <c r="U415" s="1854" t="s">
        <v>1638</v>
      </c>
      <c r="V415" s="22" t="s">
        <v>1575</v>
      </c>
      <c r="W415" s="2006" t="s">
        <v>1982</v>
      </c>
      <c r="X415" s="18"/>
      <c r="Y415" s="4"/>
      <c r="Z415" s="4"/>
    </row>
    <row r="416" spans="1:26" ht="14.1" hidden="1">
      <c r="A416" s="20">
        <v>423</v>
      </c>
      <c r="B416" s="1063">
        <v>40193</v>
      </c>
      <c r="C416" s="39" t="s">
        <v>1983</v>
      </c>
      <c r="D416" s="11"/>
      <c r="E416" s="39" t="s">
        <v>1953</v>
      </c>
      <c r="F416" s="39" t="s">
        <v>1118</v>
      </c>
      <c r="G416" s="39" t="s">
        <v>1984</v>
      </c>
      <c r="H416" s="39" t="s">
        <v>429</v>
      </c>
      <c r="I416" s="55" t="s">
        <v>429</v>
      </c>
      <c r="J416" s="39" t="s">
        <v>1985</v>
      </c>
      <c r="K416" s="39" t="s">
        <v>1985</v>
      </c>
      <c r="L416" s="39"/>
      <c r="M416" s="39">
        <v>2</v>
      </c>
      <c r="N416" s="39">
        <v>1</v>
      </c>
      <c r="O416" s="39">
        <v>2</v>
      </c>
      <c r="P416" s="39">
        <v>0</v>
      </c>
      <c r="Q416" s="39">
        <v>2</v>
      </c>
      <c r="R416" s="1207">
        <v>51200</v>
      </c>
      <c r="S416" s="1207">
        <v>102400</v>
      </c>
      <c r="T416" s="39" t="s">
        <v>1009</v>
      </c>
      <c r="U416" s="1857" t="s">
        <v>1986</v>
      </c>
      <c r="V416" s="39" t="s">
        <v>1987</v>
      </c>
      <c r="W416" s="2014"/>
      <c r="X416" s="56"/>
      <c r="Y416" s="57"/>
      <c r="Z416" s="57"/>
    </row>
    <row r="417" spans="1:26" ht="42" hidden="1">
      <c r="A417" s="20">
        <v>424</v>
      </c>
      <c r="B417" s="1063">
        <v>40194</v>
      </c>
      <c r="C417" s="54" t="s">
        <v>1988</v>
      </c>
      <c r="D417" s="11"/>
      <c r="E417" s="22" t="s">
        <v>572</v>
      </c>
      <c r="F417" s="54" t="s">
        <v>1989</v>
      </c>
      <c r="G417" s="54" t="s">
        <v>1990</v>
      </c>
      <c r="H417" s="22" t="s">
        <v>1853</v>
      </c>
      <c r="I417" s="22" t="s">
        <v>574</v>
      </c>
      <c r="J417" s="22" t="s">
        <v>599</v>
      </c>
      <c r="K417" s="22" t="s">
        <v>1991</v>
      </c>
      <c r="L417" s="22" t="s">
        <v>1992</v>
      </c>
      <c r="M417" s="22">
        <v>2</v>
      </c>
      <c r="N417" s="22">
        <v>1</v>
      </c>
      <c r="O417" s="22">
        <v>10</v>
      </c>
      <c r="P417" s="22">
        <v>0</v>
      </c>
      <c r="Q417" s="22">
        <v>8</v>
      </c>
      <c r="R417" s="1201">
        <v>24</v>
      </c>
      <c r="S417" s="1201">
        <f t="shared" ref="S417:S419" si="15">R417*O417</f>
        <v>240</v>
      </c>
      <c r="T417" s="22" t="s">
        <v>929</v>
      </c>
      <c r="U417" s="1854" t="s">
        <v>1993</v>
      </c>
      <c r="V417" s="22" t="s">
        <v>1887</v>
      </c>
      <c r="W417" s="2006" t="s">
        <v>1994</v>
      </c>
      <c r="X417" s="18"/>
      <c r="Y417" s="4"/>
      <c r="Z417" s="4"/>
    </row>
    <row r="418" spans="1:26" ht="42" hidden="1">
      <c r="A418" s="20">
        <v>425</v>
      </c>
      <c r="B418" s="1063">
        <v>40195</v>
      </c>
      <c r="C418" s="39" t="s">
        <v>339</v>
      </c>
      <c r="D418" s="11" t="s">
        <v>1995</v>
      </c>
      <c r="E418" s="39" t="s">
        <v>572</v>
      </c>
      <c r="F418" s="39" t="s">
        <v>1989</v>
      </c>
      <c r="G418" s="39" t="s">
        <v>1996</v>
      </c>
      <c r="H418" s="39" t="s">
        <v>1865</v>
      </c>
      <c r="I418" s="39" t="s">
        <v>574</v>
      </c>
      <c r="J418" s="39" t="s">
        <v>585</v>
      </c>
      <c r="K418" s="39" t="s">
        <v>586</v>
      </c>
      <c r="L418" s="39" t="s">
        <v>1997</v>
      </c>
      <c r="M418" s="39">
        <v>2</v>
      </c>
      <c r="N418" s="39">
        <v>1</v>
      </c>
      <c r="O418" s="39">
        <v>10</v>
      </c>
      <c r="P418" s="39">
        <v>0</v>
      </c>
      <c r="Q418" s="39">
        <v>8</v>
      </c>
      <c r="R418" s="1207">
        <v>66</v>
      </c>
      <c r="S418" s="1207">
        <f t="shared" si="15"/>
        <v>660</v>
      </c>
      <c r="T418" s="39" t="s">
        <v>929</v>
      </c>
      <c r="U418" s="1857" t="s">
        <v>1993</v>
      </c>
      <c r="V418" s="39" t="s">
        <v>1887</v>
      </c>
      <c r="W418" s="2006" t="s">
        <v>1998</v>
      </c>
      <c r="X418" s="18"/>
      <c r="Y418" s="4"/>
      <c r="Z418" s="4"/>
    </row>
    <row r="419" spans="1:26" ht="56.1" hidden="1">
      <c r="A419" s="20">
        <v>426</v>
      </c>
      <c r="B419" s="1063">
        <v>40196</v>
      </c>
      <c r="C419" s="22" t="s">
        <v>1999</v>
      </c>
      <c r="D419" s="11"/>
      <c r="E419" s="22" t="s">
        <v>572</v>
      </c>
      <c r="F419" s="22" t="s">
        <v>1989</v>
      </c>
      <c r="G419" s="22" t="s">
        <v>2000</v>
      </c>
      <c r="H419" s="22" t="s">
        <v>2001</v>
      </c>
      <c r="I419" s="22" t="s">
        <v>574</v>
      </c>
      <c r="J419" s="49" t="s">
        <v>2002</v>
      </c>
      <c r="K419" s="22" t="s">
        <v>2003</v>
      </c>
      <c r="L419" s="22" t="s">
        <v>149</v>
      </c>
      <c r="M419" s="22">
        <v>1</v>
      </c>
      <c r="N419" s="22">
        <v>1</v>
      </c>
      <c r="O419" s="22">
        <v>5</v>
      </c>
      <c r="P419" s="22">
        <v>0</v>
      </c>
      <c r="Q419" s="22">
        <v>4</v>
      </c>
      <c r="R419" s="1201">
        <v>105</v>
      </c>
      <c r="S419" s="1201">
        <f t="shared" si="15"/>
        <v>525</v>
      </c>
      <c r="T419" s="22" t="s">
        <v>929</v>
      </c>
      <c r="U419" s="1854" t="s">
        <v>1993</v>
      </c>
      <c r="V419" s="22" t="s">
        <v>1887</v>
      </c>
      <c r="W419" s="2006" t="s">
        <v>2004</v>
      </c>
      <c r="X419" s="18"/>
      <c r="Y419" s="4"/>
      <c r="Z419" s="4"/>
    </row>
    <row r="420" spans="1:26" ht="24.95" hidden="1">
      <c r="A420" s="20">
        <v>427</v>
      </c>
      <c r="B420" s="1063">
        <v>40197</v>
      </c>
      <c r="C420" s="28" t="s">
        <v>2005</v>
      </c>
      <c r="D420" s="11"/>
      <c r="E420" s="22" t="s">
        <v>572</v>
      </c>
      <c r="F420" s="28" t="s">
        <v>2006</v>
      </c>
      <c r="G420" s="28" t="s">
        <v>2007</v>
      </c>
      <c r="H420" s="28" t="s">
        <v>2008</v>
      </c>
      <c r="I420" s="28" t="s">
        <v>574</v>
      </c>
      <c r="J420" s="28" t="s">
        <v>2009</v>
      </c>
      <c r="K420" s="28" t="s">
        <v>2010</v>
      </c>
      <c r="L420" s="28" t="s">
        <v>2011</v>
      </c>
      <c r="M420" s="28">
        <v>1</v>
      </c>
      <c r="N420" s="28">
        <v>1</v>
      </c>
      <c r="O420" s="28">
        <v>4</v>
      </c>
      <c r="P420" s="28">
        <v>0</v>
      </c>
      <c r="Q420" s="28">
        <v>3</v>
      </c>
      <c r="R420" s="1205">
        <v>448</v>
      </c>
      <c r="S420" s="1205">
        <v>1792</v>
      </c>
      <c r="T420" s="28" t="s">
        <v>929</v>
      </c>
      <c r="U420" s="1856" t="s">
        <v>2012</v>
      </c>
      <c r="V420" s="28" t="s">
        <v>104</v>
      </c>
      <c r="W420" s="2017" t="s">
        <v>2013</v>
      </c>
      <c r="X420" s="58"/>
      <c r="Y420" s="59"/>
      <c r="Z420" s="59"/>
    </row>
    <row r="421" spans="1:26" ht="27.95" hidden="1">
      <c r="A421" s="20">
        <v>428</v>
      </c>
      <c r="B421" s="1063">
        <v>40198</v>
      </c>
      <c r="C421" s="22" t="s">
        <v>2014</v>
      </c>
      <c r="D421" s="11"/>
      <c r="E421" s="22" t="s">
        <v>572</v>
      </c>
      <c r="F421" s="22" t="s">
        <v>970</v>
      </c>
      <c r="G421" s="22" t="s">
        <v>2015</v>
      </c>
      <c r="H421" s="22" t="s">
        <v>2016</v>
      </c>
      <c r="I421" s="22" t="s">
        <v>2017</v>
      </c>
      <c r="J421" s="22">
        <v>12120</v>
      </c>
      <c r="K421" s="22" t="s">
        <v>2015</v>
      </c>
      <c r="L421" s="22" t="s">
        <v>1</v>
      </c>
      <c r="M421" s="22">
        <v>1</v>
      </c>
      <c r="N421" s="22">
        <v>1</v>
      </c>
      <c r="O421" s="22">
        <v>5</v>
      </c>
      <c r="P421" s="22">
        <v>0</v>
      </c>
      <c r="Q421" s="22">
        <v>5</v>
      </c>
      <c r="R421" s="1201">
        <v>1500</v>
      </c>
      <c r="S421" s="1201">
        <v>7500</v>
      </c>
      <c r="T421" s="22" t="s">
        <v>929</v>
      </c>
      <c r="U421" s="1854" t="s">
        <v>1886</v>
      </c>
      <c r="V421" s="22" t="s">
        <v>1887</v>
      </c>
      <c r="W421" s="2006" t="s">
        <v>2018</v>
      </c>
      <c r="X421" s="18"/>
      <c r="Y421" s="4"/>
      <c r="Z421" s="4"/>
    </row>
    <row r="422" spans="1:26" ht="27.95" hidden="1">
      <c r="A422" s="20">
        <v>429</v>
      </c>
      <c r="B422" s="1063">
        <v>40199</v>
      </c>
      <c r="C422" s="54" t="s">
        <v>2019</v>
      </c>
      <c r="D422" s="11"/>
      <c r="E422" s="22" t="s">
        <v>572</v>
      </c>
      <c r="F422" s="22" t="s">
        <v>970</v>
      </c>
      <c r="G422" s="22" t="s">
        <v>2020</v>
      </c>
      <c r="H422" s="22" t="s">
        <v>2021</v>
      </c>
      <c r="I422" s="22" t="s">
        <v>574</v>
      </c>
      <c r="J422" s="22" t="s">
        <v>2020</v>
      </c>
      <c r="K422" s="22" t="s">
        <v>2022</v>
      </c>
      <c r="L422" s="22" t="s">
        <v>1</v>
      </c>
      <c r="M422" s="22">
        <v>1</v>
      </c>
      <c r="N422" s="22">
        <v>1</v>
      </c>
      <c r="O422" s="22">
        <v>3</v>
      </c>
      <c r="P422" s="22">
        <v>0</v>
      </c>
      <c r="Q422" s="22">
        <v>3</v>
      </c>
      <c r="R422" s="1201">
        <v>2149</v>
      </c>
      <c r="S422" s="1201">
        <v>6447</v>
      </c>
      <c r="T422" s="22" t="s">
        <v>929</v>
      </c>
      <c r="U422" s="1854" t="s">
        <v>1886</v>
      </c>
      <c r="V422" s="22" t="s">
        <v>1887</v>
      </c>
      <c r="W422" s="2006" t="s">
        <v>2023</v>
      </c>
      <c r="X422" s="18"/>
      <c r="Y422" s="4"/>
      <c r="Z422" s="4"/>
    </row>
    <row r="423" spans="1:26" ht="14.1" hidden="1">
      <c r="A423" s="20">
        <v>430</v>
      </c>
      <c r="B423" s="1063">
        <v>40200</v>
      </c>
      <c r="C423" s="22" t="s">
        <v>2024</v>
      </c>
      <c r="D423" s="11"/>
      <c r="E423" s="22" t="s">
        <v>572</v>
      </c>
      <c r="F423" s="22" t="s">
        <v>970</v>
      </c>
      <c r="G423" s="22" t="s">
        <v>2025</v>
      </c>
      <c r="H423" s="22" t="s">
        <v>2026</v>
      </c>
      <c r="I423" s="22" t="s">
        <v>39</v>
      </c>
      <c r="J423" s="54" t="s">
        <v>2027</v>
      </c>
      <c r="K423" s="22" t="s">
        <v>2025</v>
      </c>
      <c r="L423" s="22" t="s">
        <v>1</v>
      </c>
      <c r="M423" s="22">
        <v>2</v>
      </c>
      <c r="N423" s="22">
        <v>1</v>
      </c>
      <c r="O423" s="22">
        <v>10</v>
      </c>
      <c r="P423" s="22">
        <v>0</v>
      </c>
      <c r="Q423" s="22">
        <v>10</v>
      </c>
      <c r="R423" s="1201">
        <v>84</v>
      </c>
      <c r="S423" s="1201">
        <v>840</v>
      </c>
      <c r="T423" s="22" t="s">
        <v>929</v>
      </c>
      <c r="U423" s="1854" t="s">
        <v>1886</v>
      </c>
      <c r="V423" s="22" t="s">
        <v>1887</v>
      </c>
      <c r="W423" s="2006" t="s">
        <v>2028</v>
      </c>
      <c r="X423" s="18"/>
      <c r="Y423" s="4"/>
      <c r="Z423" s="4"/>
    </row>
    <row r="424" spans="1:26" ht="27.95" hidden="1">
      <c r="A424" s="20">
        <v>431</v>
      </c>
      <c r="B424" s="1063">
        <v>40201</v>
      </c>
      <c r="C424" s="22" t="s">
        <v>2029</v>
      </c>
      <c r="D424" s="11"/>
      <c r="E424" s="22" t="s">
        <v>572</v>
      </c>
      <c r="F424" s="22" t="s">
        <v>970</v>
      </c>
      <c r="G424" s="22" t="s">
        <v>2030</v>
      </c>
      <c r="H424" s="22" t="s">
        <v>752</v>
      </c>
      <c r="I424" s="22" t="s">
        <v>39</v>
      </c>
      <c r="J424" s="22" t="s">
        <v>2031</v>
      </c>
      <c r="K424" s="22" t="s">
        <v>2030</v>
      </c>
      <c r="L424" s="22" t="s">
        <v>1</v>
      </c>
      <c r="M424" s="22">
        <v>2</v>
      </c>
      <c r="N424" s="22">
        <v>1</v>
      </c>
      <c r="O424" s="22">
        <v>2</v>
      </c>
      <c r="P424" s="22">
        <v>0</v>
      </c>
      <c r="Q424" s="22">
        <v>2</v>
      </c>
      <c r="R424" s="1201">
        <v>2815</v>
      </c>
      <c r="S424" s="1201">
        <v>5630</v>
      </c>
      <c r="T424" s="22" t="s">
        <v>929</v>
      </c>
      <c r="U424" s="1854" t="s">
        <v>1886</v>
      </c>
      <c r="V424" s="22" t="s">
        <v>1887</v>
      </c>
      <c r="W424" s="2006" t="s">
        <v>2032</v>
      </c>
      <c r="X424" s="18"/>
      <c r="Y424" s="4"/>
      <c r="Z424" s="4"/>
    </row>
    <row r="425" spans="1:26" ht="27.95" hidden="1">
      <c r="A425" s="20">
        <v>432</v>
      </c>
      <c r="B425" s="1063">
        <v>40202</v>
      </c>
      <c r="C425" s="22" t="s">
        <v>2033</v>
      </c>
      <c r="D425" s="11"/>
      <c r="E425" s="22" t="s">
        <v>572</v>
      </c>
      <c r="F425" s="22" t="s">
        <v>970</v>
      </c>
      <c r="G425" s="22" t="s">
        <v>2034</v>
      </c>
      <c r="H425" s="22" t="s">
        <v>752</v>
      </c>
      <c r="I425" s="22" t="s">
        <v>39</v>
      </c>
      <c r="J425" s="22" t="s">
        <v>2035</v>
      </c>
      <c r="K425" s="22" t="s">
        <v>2034</v>
      </c>
      <c r="L425" s="22" t="s">
        <v>2036</v>
      </c>
      <c r="M425" s="22">
        <v>2</v>
      </c>
      <c r="N425" s="22">
        <v>5</v>
      </c>
      <c r="O425" s="22">
        <v>5</v>
      </c>
      <c r="P425" s="22">
        <v>0</v>
      </c>
      <c r="Q425" s="22">
        <v>5</v>
      </c>
      <c r="R425" s="1201">
        <v>999</v>
      </c>
      <c r="S425" s="1201">
        <v>4995</v>
      </c>
      <c r="T425" s="22" t="s">
        <v>929</v>
      </c>
      <c r="U425" s="1854" t="s">
        <v>1886</v>
      </c>
      <c r="V425" s="22" t="s">
        <v>1887</v>
      </c>
      <c r="W425" s="2006" t="s">
        <v>2037</v>
      </c>
      <c r="X425" s="18"/>
      <c r="Y425" s="4"/>
      <c r="Z425" s="4"/>
    </row>
    <row r="426" spans="1:26" ht="27.95" hidden="1">
      <c r="A426" s="20">
        <v>433</v>
      </c>
      <c r="B426" s="1063">
        <v>40203</v>
      </c>
      <c r="C426" s="22" t="s">
        <v>2038</v>
      </c>
      <c r="D426" s="11"/>
      <c r="E426" s="22" t="s">
        <v>572</v>
      </c>
      <c r="F426" s="22" t="s">
        <v>970</v>
      </c>
      <c r="G426" s="22" t="s">
        <v>2039</v>
      </c>
      <c r="H426" s="22" t="s">
        <v>752</v>
      </c>
      <c r="I426" s="22" t="s">
        <v>39</v>
      </c>
      <c r="J426" s="22" t="s">
        <v>2040</v>
      </c>
      <c r="K426" s="22" t="s">
        <v>2041</v>
      </c>
      <c r="L426" s="22" t="s">
        <v>1</v>
      </c>
      <c r="M426" s="54">
        <v>2</v>
      </c>
      <c r="N426" s="54">
        <v>1</v>
      </c>
      <c r="O426" s="54">
        <v>4</v>
      </c>
      <c r="P426" s="54">
        <v>0</v>
      </c>
      <c r="Q426" s="26">
        <v>4</v>
      </c>
      <c r="R426" s="1201">
        <v>1793</v>
      </c>
      <c r="S426" s="1201">
        <v>7172</v>
      </c>
      <c r="T426" s="22" t="s">
        <v>929</v>
      </c>
      <c r="U426" s="1854" t="s">
        <v>1886</v>
      </c>
      <c r="V426" s="22" t="s">
        <v>1887</v>
      </c>
      <c r="W426" s="2006" t="s">
        <v>2042</v>
      </c>
      <c r="X426" s="18"/>
      <c r="Y426" s="4"/>
      <c r="Z426" s="4"/>
    </row>
    <row r="427" spans="1:26" ht="14.1" hidden="1">
      <c r="A427" s="20">
        <v>434</v>
      </c>
      <c r="B427" s="1063">
        <v>40204</v>
      </c>
      <c r="C427" s="22" t="s">
        <v>2043</v>
      </c>
      <c r="D427" s="11"/>
      <c r="E427" s="22" t="s">
        <v>572</v>
      </c>
      <c r="F427" s="22" t="s">
        <v>970</v>
      </c>
      <c r="G427" s="22" t="s">
        <v>2044</v>
      </c>
      <c r="H427" s="22" t="s">
        <v>2045</v>
      </c>
      <c r="I427" s="22" t="s">
        <v>39</v>
      </c>
      <c r="J427" s="22" t="s">
        <v>2046</v>
      </c>
      <c r="K427" s="22" t="s">
        <v>2047</v>
      </c>
      <c r="L427" s="22" t="s">
        <v>1088</v>
      </c>
      <c r="M427" s="54">
        <v>5</v>
      </c>
      <c r="N427" s="54">
        <v>1</v>
      </c>
      <c r="O427" s="54">
        <v>20</v>
      </c>
      <c r="P427" s="54">
        <v>0</v>
      </c>
      <c r="Q427" s="26">
        <v>20</v>
      </c>
      <c r="R427" s="1201">
        <v>215</v>
      </c>
      <c r="S427" s="1201">
        <v>4300</v>
      </c>
      <c r="T427" s="22" t="s">
        <v>929</v>
      </c>
      <c r="U427" s="1854" t="s">
        <v>1886</v>
      </c>
      <c r="V427" s="22" t="s">
        <v>1887</v>
      </c>
      <c r="W427" s="2006" t="s">
        <v>2048</v>
      </c>
      <c r="X427" s="18"/>
      <c r="Y427" s="4"/>
      <c r="Z427" s="4"/>
    </row>
    <row r="428" spans="1:26" ht="27.95" hidden="1">
      <c r="A428" s="20">
        <v>435</v>
      </c>
      <c r="B428" s="1063">
        <v>40205</v>
      </c>
      <c r="C428" s="22" t="s">
        <v>2049</v>
      </c>
      <c r="D428" s="11"/>
      <c r="E428" s="22" t="s">
        <v>572</v>
      </c>
      <c r="F428" s="22" t="s">
        <v>970</v>
      </c>
      <c r="G428" s="22" t="s">
        <v>2050</v>
      </c>
      <c r="H428" s="22" t="s">
        <v>2051</v>
      </c>
      <c r="I428" s="22" t="s">
        <v>39</v>
      </c>
      <c r="J428" s="22" t="s">
        <v>2052</v>
      </c>
      <c r="K428" s="22" t="s">
        <v>2050</v>
      </c>
      <c r="L428" s="22" t="s">
        <v>1036</v>
      </c>
      <c r="M428" s="22">
        <v>6</v>
      </c>
      <c r="N428" s="22">
        <v>10</v>
      </c>
      <c r="O428" s="22">
        <v>12</v>
      </c>
      <c r="P428" s="22">
        <v>0</v>
      </c>
      <c r="Q428" s="22">
        <v>12</v>
      </c>
      <c r="R428" s="1201">
        <v>187</v>
      </c>
      <c r="S428" s="1201">
        <v>2244</v>
      </c>
      <c r="T428" s="22" t="s">
        <v>929</v>
      </c>
      <c r="U428" s="1854" t="s">
        <v>1886</v>
      </c>
      <c r="V428" s="22" t="s">
        <v>1887</v>
      </c>
      <c r="W428" s="2006" t="s">
        <v>2053</v>
      </c>
      <c r="X428" s="18"/>
      <c r="Y428" s="4"/>
      <c r="Z428" s="4"/>
    </row>
    <row r="429" spans="1:26" ht="27.95" hidden="1">
      <c r="A429" s="20">
        <v>436</v>
      </c>
      <c r="B429" s="1063">
        <v>40206</v>
      </c>
      <c r="C429" s="22" t="s">
        <v>2049</v>
      </c>
      <c r="D429" s="11"/>
      <c r="E429" s="22" t="s">
        <v>572</v>
      </c>
      <c r="F429" s="22" t="s">
        <v>970</v>
      </c>
      <c r="G429" s="22" t="s">
        <v>2054</v>
      </c>
      <c r="H429" s="22" t="s">
        <v>511</v>
      </c>
      <c r="I429" s="22" t="s">
        <v>39</v>
      </c>
      <c r="J429" s="22" t="s">
        <v>2055</v>
      </c>
      <c r="K429" s="22" t="s">
        <v>2054</v>
      </c>
      <c r="L429" s="22" t="s">
        <v>2056</v>
      </c>
      <c r="M429" s="22">
        <v>6</v>
      </c>
      <c r="N429" s="22">
        <v>10</v>
      </c>
      <c r="O429" s="22">
        <v>12</v>
      </c>
      <c r="P429" s="22">
        <v>0</v>
      </c>
      <c r="Q429" s="22">
        <v>12</v>
      </c>
      <c r="R429" s="1201">
        <v>203</v>
      </c>
      <c r="S429" s="1201">
        <v>2436</v>
      </c>
      <c r="T429" s="22" t="s">
        <v>929</v>
      </c>
      <c r="U429" s="1854" t="s">
        <v>1886</v>
      </c>
      <c r="V429" s="22" t="s">
        <v>1887</v>
      </c>
      <c r="W429" s="2006" t="s">
        <v>2057</v>
      </c>
      <c r="X429" s="18"/>
      <c r="Y429" s="4"/>
      <c r="Z429" s="4"/>
    </row>
    <row r="430" spans="1:26" ht="24.95" hidden="1">
      <c r="A430" s="20">
        <v>437</v>
      </c>
      <c r="B430" s="1063">
        <v>40207</v>
      </c>
      <c r="C430" s="28" t="s">
        <v>2058</v>
      </c>
      <c r="D430" s="11"/>
      <c r="E430" s="22" t="s">
        <v>572</v>
      </c>
      <c r="F430" s="28" t="s">
        <v>2006</v>
      </c>
      <c r="G430" s="28" t="s">
        <v>2059</v>
      </c>
      <c r="H430" s="28" t="s">
        <v>2060</v>
      </c>
      <c r="I430" s="28" t="s">
        <v>574</v>
      </c>
      <c r="J430" s="28" t="s">
        <v>2061</v>
      </c>
      <c r="K430" s="28" t="s">
        <v>2062</v>
      </c>
      <c r="L430" s="28" t="s">
        <v>2063</v>
      </c>
      <c r="M430" s="28">
        <v>2</v>
      </c>
      <c r="N430" s="28">
        <v>1</v>
      </c>
      <c r="O430" s="28">
        <v>3</v>
      </c>
      <c r="P430" s="28">
        <v>0</v>
      </c>
      <c r="Q430" s="28">
        <v>1</v>
      </c>
      <c r="R430" s="1205">
        <v>31</v>
      </c>
      <c r="S430" s="1205">
        <v>93</v>
      </c>
      <c r="T430" s="28" t="s">
        <v>929</v>
      </c>
      <c r="U430" s="1856" t="s">
        <v>2012</v>
      </c>
      <c r="V430" s="28" t="s">
        <v>104</v>
      </c>
      <c r="W430" s="2017" t="s">
        <v>2064</v>
      </c>
      <c r="X430" s="18"/>
      <c r="Y430" s="4"/>
      <c r="Z430" s="4"/>
    </row>
    <row r="431" spans="1:26" ht="27.95" hidden="1">
      <c r="A431" s="20">
        <v>438</v>
      </c>
      <c r="B431" s="1063">
        <v>40208</v>
      </c>
      <c r="C431" s="22" t="s">
        <v>188</v>
      </c>
      <c r="D431" s="11"/>
      <c r="E431" s="22" t="s">
        <v>572</v>
      </c>
      <c r="F431" s="22" t="s">
        <v>970</v>
      </c>
      <c r="G431" s="22" t="s">
        <v>2065</v>
      </c>
      <c r="H431" s="22" t="s">
        <v>641</v>
      </c>
      <c r="I431" s="22" t="s">
        <v>574</v>
      </c>
      <c r="J431" s="22" t="s">
        <v>2065</v>
      </c>
      <c r="K431" s="22" t="s">
        <v>2066</v>
      </c>
      <c r="L431" s="22" t="s">
        <v>2067</v>
      </c>
      <c r="M431" s="22">
        <v>5</v>
      </c>
      <c r="N431" s="22">
        <v>1</v>
      </c>
      <c r="O431" s="22">
        <v>10</v>
      </c>
      <c r="P431" s="22">
        <v>0</v>
      </c>
      <c r="Q431" s="22">
        <v>10</v>
      </c>
      <c r="R431" s="1201">
        <v>250</v>
      </c>
      <c r="S431" s="1201">
        <v>2500</v>
      </c>
      <c r="T431" s="22" t="s">
        <v>929</v>
      </c>
      <c r="U431" s="1854" t="s">
        <v>1886</v>
      </c>
      <c r="V431" s="22" t="s">
        <v>1887</v>
      </c>
      <c r="W431" s="2006" t="s">
        <v>2068</v>
      </c>
      <c r="X431" s="18"/>
      <c r="Y431" s="4"/>
      <c r="Z431" s="4"/>
    </row>
    <row r="432" spans="1:26" ht="42" hidden="1">
      <c r="A432" s="20">
        <v>439</v>
      </c>
      <c r="B432" s="1063">
        <v>40209</v>
      </c>
      <c r="C432" s="39" t="s">
        <v>339</v>
      </c>
      <c r="D432" s="11" t="s">
        <v>2069</v>
      </c>
      <c r="E432" s="39" t="s">
        <v>572</v>
      </c>
      <c r="F432" s="39" t="s">
        <v>970</v>
      </c>
      <c r="G432" s="39" t="s">
        <v>2070</v>
      </c>
      <c r="H432" s="39" t="s">
        <v>2071</v>
      </c>
      <c r="I432" s="39" t="s">
        <v>574</v>
      </c>
      <c r="J432" s="39" t="s">
        <v>2072</v>
      </c>
      <c r="K432" s="39" t="s">
        <v>2070</v>
      </c>
      <c r="L432" s="39" t="s">
        <v>2073</v>
      </c>
      <c r="M432" s="39">
        <v>3</v>
      </c>
      <c r="N432" s="39">
        <v>1</v>
      </c>
      <c r="O432" s="39">
        <v>10</v>
      </c>
      <c r="P432" s="39">
        <v>0</v>
      </c>
      <c r="Q432" s="39">
        <v>10</v>
      </c>
      <c r="R432" s="1207">
        <v>57</v>
      </c>
      <c r="S432" s="1207">
        <v>572</v>
      </c>
      <c r="T432" s="39" t="s">
        <v>929</v>
      </c>
      <c r="U432" s="1857" t="s">
        <v>1886</v>
      </c>
      <c r="V432" s="39" t="s">
        <v>1887</v>
      </c>
      <c r="W432" s="2014" t="s">
        <v>2074</v>
      </c>
      <c r="X432" s="56"/>
      <c r="Y432" s="57"/>
      <c r="Z432" s="57"/>
    </row>
    <row r="433" spans="1:26" ht="42" hidden="1">
      <c r="A433" s="20">
        <v>440</v>
      </c>
      <c r="B433" s="1063">
        <v>40210</v>
      </c>
      <c r="C433" s="22" t="s">
        <v>1988</v>
      </c>
      <c r="D433" s="11"/>
      <c r="E433" s="22" t="s">
        <v>572</v>
      </c>
      <c r="F433" s="22" t="s">
        <v>970</v>
      </c>
      <c r="G433" s="22" t="s">
        <v>2075</v>
      </c>
      <c r="H433" s="22" t="s">
        <v>2051</v>
      </c>
      <c r="I433" s="22" t="s">
        <v>574</v>
      </c>
      <c r="J433" s="22" t="s">
        <v>2076</v>
      </c>
      <c r="K433" s="22" t="s">
        <v>2075</v>
      </c>
      <c r="L433" s="22" t="s">
        <v>2077</v>
      </c>
      <c r="M433" s="22">
        <v>3</v>
      </c>
      <c r="N433" s="22">
        <v>1</v>
      </c>
      <c r="O433" s="22">
        <v>10</v>
      </c>
      <c r="P433" s="22">
        <v>0</v>
      </c>
      <c r="Q433" s="22">
        <v>10</v>
      </c>
      <c r="R433" s="1201">
        <v>42.3</v>
      </c>
      <c r="S433" s="1201">
        <v>423</v>
      </c>
      <c r="T433" s="22" t="s">
        <v>929</v>
      </c>
      <c r="U433" s="1854" t="s">
        <v>1886</v>
      </c>
      <c r="V433" s="22" t="s">
        <v>1887</v>
      </c>
      <c r="W433" s="2006" t="s">
        <v>2078</v>
      </c>
      <c r="X433" s="18"/>
      <c r="Y433" s="4"/>
      <c r="Z433" s="4"/>
    </row>
    <row r="434" spans="1:26" ht="27.95" hidden="1">
      <c r="A434" s="20">
        <v>441</v>
      </c>
      <c r="B434" s="1063">
        <v>40211</v>
      </c>
      <c r="C434" s="22" t="s">
        <v>2079</v>
      </c>
      <c r="D434" s="11"/>
      <c r="E434" s="22" t="s">
        <v>572</v>
      </c>
      <c r="F434" s="22" t="s">
        <v>970</v>
      </c>
      <c r="G434" s="22" t="s">
        <v>2080</v>
      </c>
      <c r="H434" s="22" t="s">
        <v>2081</v>
      </c>
      <c r="I434" s="616" t="s">
        <v>2082</v>
      </c>
      <c r="J434" s="22" t="s">
        <v>2080</v>
      </c>
      <c r="K434" s="22" t="s">
        <v>2080</v>
      </c>
      <c r="L434" s="22" t="s">
        <v>2083</v>
      </c>
      <c r="M434" s="22">
        <v>4</v>
      </c>
      <c r="N434" s="22">
        <v>1</v>
      </c>
      <c r="O434" s="22">
        <v>6</v>
      </c>
      <c r="P434" s="22">
        <v>0</v>
      </c>
      <c r="Q434" s="22">
        <v>6</v>
      </c>
      <c r="R434" s="1201">
        <v>11438</v>
      </c>
      <c r="S434" s="1201">
        <v>68627</v>
      </c>
      <c r="T434" s="22" t="s">
        <v>929</v>
      </c>
      <c r="U434" s="1854" t="s">
        <v>1886</v>
      </c>
      <c r="V434" s="22" t="s">
        <v>1887</v>
      </c>
      <c r="W434" s="2006" t="s">
        <v>2084</v>
      </c>
      <c r="X434" s="18"/>
      <c r="Y434" s="4"/>
      <c r="Z434" s="4"/>
    </row>
    <row r="435" spans="1:26" ht="27.95" hidden="1">
      <c r="A435" s="20">
        <v>442</v>
      </c>
      <c r="B435" s="1063">
        <v>40212</v>
      </c>
      <c r="C435" s="22" t="s">
        <v>589</v>
      </c>
      <c r="D435" s="11"/>
      <c r="E435" s="22" t="s">
        <v>572</v>
      </c>
      <c r="F435" s="22" t="s">
        <v>970</v>
      </c>
      <c r="G435" s="22" t="s">
        <v>2085</v>
      </c>
      <c r="H435" s="22" t="s">
        <v>2086</v>
      </c>
      <c r="I435" s="22" t="s">
        <v>574</v>
      </c>
      <c r="J435" s="22" t="s">
        <v>2087</v>
      </c>
      <c r="K435" s="22" t="s">
        <v>2088</v>
      </c>
      <c r="L435" s="22" t="s">
        <v>1088</v>
      </c>
      <c r="M435" s="22">
        <v>5</v>
      </c>
      <c r="N435" s="22">
        <v>10</v>
      </c>
      <c r="O435" s="22">
        <v>10</v>
      </c>
      <c r="P435" s="22">
        <v>0</v>
      </c>
      <c r="Q435" s="22">
        <v>10</v>
      </c>
      <c r="R435" s="1201">
        <v>41.7</v>
      </c>
      <c r="S435" s="1201">
        <v>417</v>
      </c>
      <c r="T435" s="22" t="s">
        <v>929</v>
      </c>
      <c r="U435" s="1854" t="s">
        <v>1886</v>
      </c>
      <c r="V435" s="22" t="s">
        <v>1887</v>
      </c>
      <c r="W435" s="2006" t="s">
        <v>2089</v>
      </c>
      <c r="X435" s="18"/>
      <c r="Y435" s="4"/>
      <c r="Z435" s="4"/>
    </row>
    <row r="436" spans="1:26" ht="42" hidden="1">
      <c r="A436" s="20">
        <v>443</v>
      </c>
      <c r="B436" s="1063">
        <v>40213</v>
      </c>
      <c r="C436" s="39" t="s">
        <v>2090</v>
      </c>
      <c r="D436" s="11" t="s">
        <v>2069</v>
      </c>
      <c r="E436" s="39" t="s">
        <v>572</v>
      </c>
      <c r="F436" s="39" t="s">
        <v>970</v>
      </c>
      <c r="G436" s="39" t="s">
        <v>2091</v>
      </c>
      <c r="H436" s="39" t="s">
        <v>2092</v>
      </c>
      <c r="I436" s="39" t="s">
        <v>574</v>
      </c>
      <c r="J436" s="39" t="s">
        <v>2093</v>
      </c>
      <c r="K436" s="39" t="s">
        <v>2091</v>
      </c>
      <c r="L436" s="39" t="s">
        <v>2094</v>
      </c>
      <c r="M436" s="39">
        <v>20</v>
      </c>
      <c r="N436" s="39">
        <v>250</v>
      </c>
      <c r="O436" s="39">
        <v>250</v>
      </c>
      <c r="P436" s="39">
        <v>0</v>
      </c>
      <c r="Q436" s="39">
        <v>250</v>
      </c>
      <c r="R436" s="1207">
        <v>14.3</v>
      </c>
      <c r="S436" s="1207">
        <v>143</v>
      </c>
      <c r="T436" s="39" t="s">
        <v>929</v>
      </c>
      <c r="U436" s="1857" t="s">
        <v>1886</v>
      </c>
      <c r="V436" s="39" t="s">
        <v>1887</v>
      </c>
      <c r="W436" s="2014" t="s">
        <v>2095</v>
      </c>
      <c r="X436" s="56"/>
      <c r="Y436" s="57"/>
      <c r="Z436" s="57"/>
    </row>
    <row r="437" spans="1:26" ht="42" hidden="1">
      <c r="A437" s="20">
        <v>444</v>
      </c>
      <c r="B437" s="1063">
        <v>40214</v>
      </c>
      <c r="C437" s="22" t="s">
        <v>2096</v>
      </c>
      <c r="D437" s="11"/>
      <c r="E437" s="22" t="s">
        <v>572</v>
      </c>
      <c r="F437" s="22" t="s">
        <v>970</v>
      </c>
      <c r="G437" s="22" t="s">
        <v>2097</v>
      </c>
      <c r="H437" s="22" t="s">
        <v>2051</v>
      </c>
      <c r="I437" s="22" t="s">
        <v>574</v>
      </c>
      <c r="J437" s="22" t="s">
        <v>2098</v>
      </c>
      <c r="K437" s="22" t="s">
        <v>2097</v>
      </c>
      <c r="L437" s="22" t="s">
        <v>2099</v>
      </c>
      <c r="M437" s="22">
        <v>3</v>
      </c>
      <c r="N437" s="22">
        <v>1</v>
      </c>
      <c r="O437" s="22">
        <v>5</v>
      </c>
      <c r="P437" s="22">
        <v>0</v>
      </c>
      <c r="Q437" s="22">
        <v>5</v>
      </c>
      <c r="R437" s="1201">
        <v>404</v>
      </c>
      <c r="S437" s="1201">
        <v>2020</v>
      </c>
      <c r="T437" s="22" t="s">
        <v>929</v>
      </c>
      <c r="U437" s="1854" t="s">
        <v>1886</v>
      </c>
      <c r="V437" s="22" t="s">
        <v>1887</v>
      </c>
      <c r="W437" s="2006" t="s">
        <v>2100</v>
      </c>
      <c r="X437" s="18"/>
      <c r="Y437" s="4"/>
      <c r="Z437" s="4"/>
    </row>
    <row r="438" spans="1:26" ht="14.1" hidden="1">
      <c r="A438" s="20">
        <v>445</v>
      </c>
      <c r="B438" s="1063">
        <v>40215</v>
      </c>
      <c r="C438" s="22" t="s">
        <v>2101</v>
      </c>
      <c r="D438" s="11"/>
      <c r="E438" s="22" t="s">
        <v>572</v>
      </c>
      <c r="F438" s="22" t="s">
        <v>970</v>
      </c>
      <c r="G438" s="22" t="s">
        <v>2102</v>
      </c>
      <c r="H438" s="22" t="s">
        <v>2103</v>
      </c>
      <c r="I438" s="26" t="s">
        <v>2103</v>
      </c>
      <c r="J438" s="22" t="s">
        <v>2102</v>
      </c>
      <c r="K438" s="22" t="s">
        <v>2102</v>
      </c>
      <c r="L438" s="22" t="s">
        <v>1</v>
      </c>
      <c r="M438" s="22">
        <v>1</v>
      </c>
      <c r="N438" s="22">
        <v>1</v>
      </c>
      <c r="O438" s="22">
        <v>1</v>
      </c>
      <c r="P438" s="22">
        <v>0</v>
      </c>
      <c r="Q438" s="22">
        <v>1</v>
      </c>
      <c r="R438" s="1201">
        <v>14500</v>
      </c>
      <c r="S438" s="1201">
        <v>14500</v>
      </c>
      <c r="T438" s="22" t="s">
        <v>929</v>
      </c>
      <c r="U438" s="1854" t="s">
        <v>1886</v>
      </c>
      <c r="V438" s="22" t="s">
        <v>1887</v>
      </c>
      <c r="W438" s="2006" t="s">
        <v>2104</v>
      </c>
      <c r="X438" s="18"/>
      <c r="Y438" s="4"/>
      <c r="Z438" s="4"/>
    </row>
    <row r="439" spans="1:26" ht="27.95" hidden="1">
      <c r="A439" s="20">
        <v>446</v>
      </c>
      <c r="B439" s="1063">
        <v>40216</v>
      </c>
      <c r="C439" s="22" t="s">
        <v>2105</v>
      </c>
      <c r="D439" s="11"/>
      <c r="E439" s="22" t="s">
        <v>572</v>
      </c>
      <c r="F439" s="22" t="s">
        <v>970</v>
      </c>
      <c r="G439" s="22" t="s">
        <v>2106</v>
      </c>
      <c r="H439" s="22" t="s">
        <v>2107</v>
      </c>
      <c r="I439" s="22" t="s">
        <v>39</v>
      </c>
      <c r="J439" s="22" t="s">
        <v>2108</v>
      </c>
      <c r="K439" s="22" t="s">
        <v>2109</v>
      </c>
      <c r="L439" s="22" t="s">
        <v>1</v>
      </c>
      <c r="M439" s="22">
        <v>3</v>
      </c>
      <c r="N439" s="22">
        <v>10</v>
      </c>
      <c r="O439" s="22">
        <v>10</v>
      </c>
      <c r="P439" s="22">
        <v>0</v>
      </c>
      <c r="Q439" s="22">
        <v>10</v>
      </c>
      <c r="R439" s="1201">
        <v>2733.3</v>
      </c>
      <c r="S439" s="1201">
        <v>2733</v>
      </c>
      <c r="T439" s="22" t="s">
        <v>929</v>
      </c>
      <c r="U439" s="1854" t="s">
        <v>1886</v>
      </c>
      <c r="V439" s="22" t="s">
        <v>1887</v>
      </c>
      <c r="W439" s="2006" t="s">
        <v>2110</v>
      </c>
      <c r="X439" s="18"/>
      <c r="Y439" s="4"/>
      <c r="Z439" s="4"/>
    </row>
    <row r="440" spans="1:26" ht="27.95" hidden="1">
      <c r="A440" s="20">
        <v>447</v>
      </c>
      <c r="B440" s="1063">
        <v>40217</v>
      </c>
      <c r="C440" s="22" t="s">
        <v>2105</v>
      </c>
      <c r="D440" s="11"/>
      <c r="E440" s="22" t="s">
        <v>572</v>
      </c>
      <c r="F440" s="22" t="s">
        <v>970</v>
      </c>
      <c r="G440" s="22" t="s">
        <v>2111</v>
      </c>
      <c r="H440" s="22" t="s">
        <v>2107</v>
      </c>
      <c r="I440" s="22" t="s">
        <v>39</v>
      </c>
      <c r="J440" s="22" t="s">
        <v>2112</v>
      </c>
      <c r="K440" s="22" t="s">
        <v>2113</v>
      </c>
      <c r="L440" s="22" t="s">
        <v>1</v>
      </c>
      <c r="M440" s="22">
        <v>3</v>
      </c>
      <c r="N440" s="22">
        <v>5</v>
      </c>
      <c r="O440" s="22">
        <v>10</v>
      </c>
      <c r="P440" s="22">
        <v>0</v>
      </c>
      <c r="Q440" s="22">
        <v>10</v>
      </c>
      <c r="R440" s="1201">
        <v>169</v>
      </c>
      <c r="S440" s="1201">
        <v>1690</v>
      </c>
      <c r="T440" s="22" t="s">
        <v>929</v>
      </c>
      <c r="U440" s="1854" t="s">
        <v>1886</v>
      </c>
      <c r="V440" s="22" t="s">
        <v>1887</v>
      </c>
      <c r="W440" s="2006" t="s">
        <v>2114</v>
      </c>
      <c r="X440" s="18"/>
      <c r="Y440" s="4"/>
      <c r="Z440" s="4"/>
    </row>
    <row r="441" spans="1:26" ht="37.5" hidden="1">
      <c r="A441" s="20">
        <v>448</v>
      </c>
      <c r="B441" s="1063">
        <v>40218</v>
      </c>
      <c r="C441" s="35" t="s">
        <v>2115</v>
      </c>
      <c r="D441" s="11"/>
      <c r="E441" s="22" t="s">
        <v>572</v>
      </c>
      <c r="F441" s="35" t="s">
        <v>2006</v>
      </c>
      <c r="G441" s="35" t="s">
        <v>2116</v>
      </c>
      <c r="H441" s="35" t="s">
        <v>1715</v>
      </c>
      <c r="I441" s="35" t="s">
        <v>574</v>
      </c>
      <c r="J441" s="35" t="s">
        <v>2117</v>
      </c>
      <c r="K441" s="60" t="s">
        <v>2115</v>
      </c>
      <c r="L441" s="35" t="s">
        <v>1861</v>
      </c>
      <c r="M441" s="35">
        <v>1</v>
      </c>
      <c r="N441" s="35">
        <v>1</v>
      </c>
      <c r="O441" s="35">
        <v>3</v>
      </c>
      <c r="P441" s="35">
        <v>0</v>
      </c>
      <c r="Q441" s="35">
        <v>2</v>
      </c>
      <c r="R441" s="1210">
        <v>636</v>
      </c>
      <c r="S441" s="1205">
        <v>1908</v>
      </c>
      <c r="T441" s="35" t="s">
        <v>929</v>
      </c>
      <c r="U441" s="1855" t="s">
        <v>2012</v>
      </c>
      <c r="V441" s="35" t="s">
        <v>104</v>
      </c>
      <c r="W441" s="2018" t="s">
        <v>2118</v>
      </c>
      <c r="X441" s="18"/>
      <c r="Y441" s="4"/>
      <c r="Z441" s="4"/>
    </row>
    <row r="442" spans="1:26" ht="24.95" hidden="1">
      <c r="A442" s="20">
        <v>449</v>
      </c>
      <c r="B442" s="1063">
        <v>40219</v>
      </c>
      <c r="C442" s="61" t="s">
        <v>589</v>
      </c>
      <c r="D442" s="11" t="s">
        <v>1288</v>
      </c>
      <c r="E442" s="61"/>
      <c r="F442" s="61" t="s">
        <v>2006</v>
      </c>
      <c r="G442" s="61" t="s">
        <v>2119</v>
      </c>
      <c r="H442" s="61" t="s">
        <v>2120</v>
      </c>
      <c r="I442" s="61" t="s">
        <v>574</v>
      </c>
      <c r="J442" s="61" t="s">
        <v>2121</v>
      </c>
      <c r="K442" s="61" t="s">
        <v>2122</v>
      </c>
      <c r="L442" s="61">
        <v>805</v>
      </c>
      <c r="M442" s="61">
        <v>1</v>
      </c>
      <c r="N442" s="61">
        <v>1</v>
      </c>
      <c r="O442" s="61">
        <v>5</v>
      </c>
      <c r="P442" s="61">
        <v>0</v>
      </c>
      <c r="Q442" s="61">
        <v>4</v>
      </c>
      <c r="R442" s="1211">
        <v>38</v>
      </c>
      <c r="S442" s="1212">
        <v>190</v>
      </c>
      <c r="T442" s="61" t="s">
        <v>929</v>
      </c>
      <c r="U442" s="1858" t="s">
        <v>2012</v>
      </c>
      <c r="V442" s="61" t="s">
        <v>104</v>
      </c>
      <c r="W442" s="2019" t="s">
        <v>2123</v>
      </c>
      <c r="X442" s="18"/>
      <c r="Y442" s="4"/>
      <c r="Z442" s="4"/>
    </row>
    <row r="443" spans="1:26" ht="24.95" hidden="1">
      <c r="A443" s="20">
        <v>450</v>
      </c>
      <c r="B443" s="1063">
        <v>40220</v>
      </c>
      <c r="C443" s="61" t="s">
        <v>589</v>
      </c>
      <c r="D443" s="11" t="s">
        <v>1288</v>
      </c>
      <c r="E443" s="61"/>
      <c r="F443" s="61" t="s">
        <v>2006</v>
      </c>
      <c r="G443" s="61" t="s">
        <v>2124</v>
      </c>
      <c r="H443" s="61" t="s">
        <v>2120</v>
      </c>
      <c r="I443" s="61" t="s">
        <v>574</v>
      </c>
      <c r="J443" s="61" t="s">
        <v>2125</v>
      </c>
      <c r="K443" s="61" t="s">
        <v>2126</v>
      </c>
      <c r="L443" s="61">
        <v>805</v>
      </c>
      <c r="M443" s="61">
        <v>1</v>
      </c>
      <c r="N443" s="61">
        <v>1</v>
      </c>
      <c r="O443" s="61">
        <v>5</v>
      </c>
      <c r="P443" s="61">
        <v>0</v>
      </c>
      <c r="Q443" s="61">
        <v>4</v>
      </c>
      <c r="R443" s="1211">
        <v>58</v>
      </c>
      <c r="S443" s="1211">
        <v>290</v>
      </c>
      <c r="T443" s="61" t="s">
        <v>929</v>
      </c>
      <c r="U443" s="1858" t="s">
        <v>2012</v>
      </c>
      <c r="V443" s="61" t="s">
        <v>104</v>
      </c>
      <c r="W443" s="2019" t="s">
        <v>2089</v>
      </c>
      <c r="X443" s="18"/>
      <c r="Y443" s="4"/>
      <c r="Z443" s="4"/>
    </row>
    <row r="444" spans="1:26" ht="24.95" hidden="1">
      <c r="A444" s="20">
        <v>451</v>
      </c>
      <c r="B444" s="1063">
        <v>40221</v>
      </c>
      <c r="C444" s="35" t="s">
        <v>1646</v>
      </c>
      <c r="D444" s="11"/>
      <c r="E444" s="22" t="s">
        <v>572</v>
      </c>
      <c r="F444" s="35" t="s">
        <v>2006</v>
      </c>
      <c r="G444" s="35" t="s">
        <v>2127</v>
      </c>
      <c r="H444" s="35" t="s">
        <v>2128</v>
      </c>
      <c r="I444" s="35" t="s">
        <v>574</v>
      </c>
      <c r="J444" s="35" t="s">
        <v>2129</v>
      </c>
      <c r="K444" s="35" t="s">
        <v>2130</v>
      </c>
      <c r="L444" s="35" t="s">
        <v>2131</v>
      </c>
      <c r="M444" s="35">
        <v>1</v>
      </c>
      <c r="N444" s="35">
        <v>1</v>
      </c>
      <c r="O444" s="35">
        <v>5</v>
      </c>
      <c r="P444" s="35">
        <v>0</v>
      </c>
      <c r="Q444" s="35">
        <v>4</v>
      </c>
      <c r="R444" s="1203">
        <v>32</v>
      </c>
      <c r="S444" s="1203">
        <v>160</v>
      </c>
      <c r="T444" s="35" t="s">
        <v>929</v>
      </c>
      <c r="U444" s="1855" t="s">
        <v>2012</v>
      </c>
      <c r="V444" s="35" t="s">
        <v>104</v>
      </c>
      <c r="W444" s="2018" t="s">
        <v>2132</v>
      </c>
      <c r="X444" s="18"/>
      <c r="Y444" s="4"/>
      <c r="Z444" s="4"/>
    </row>
    <row r="445" spans="1:26" ht="37.5" hidden="1">
      <c r="A445" s="20">
        <v>452</v>
      </c>
      <c r="B445" s="1063">
        <v>40222</v>
      </c>
      <c r="C445" s="28" t="s">
        <v>2133</v>
      </c>
      <c r="D445" s="11"/>
      <c r="E445" s="22" t="s">
        <v>572</v>
      </c>
      <c r="F445" s="28" t="s">
        <v>2006</v>
      </c>
      <c r="G445" s="28" t="s">
        <v>2134</v>
      </c>
      <c r="H445" s="28" t="s">
        <v>1715</v>
      </c>
      <c r="I445" s="28" t="s">
        <v>574</v>
      </c>
      <c r="J445" s="28" t="s">
        <v>2135</v>
      </c>
      <c r="K445" s="28" t="s">
        <v>2136</v>
      </c>
      <c r="L445" s="28" t="s">
        <v>1041</v>
      </c>
      <c r="M445" s="28">
        <v>1</v>
      </c>
      <c r="N445" s="28">
        <v>1</v>
      </c>
      <c r="O445" s="28">
        <v>2</v>
      </c>
      <c r="P445" s="28">
        <v>0</v>
      </c>
      <c r="Q445" s="28">
        <v>1</v>
      </c>
      <c r="R445" s="1205">
        <v>68</v>
      </c>
      <c r="S445" s="1205">
        <v>136</v>
      </c>
      <c r="T445" s="28" t="s">
        <v>929</v>
      </c>
      <c r="U445" s="1856" t="s">
        <v>2012</v>
      </c>
      <c r="V445" s="28" t="s">
        <v>104</v>
      </c>
      <c r="W445" s="2017" t="s">
        <v>2137</v>
      </c>
      <c r="X445" s="18"/>
      <c r="Y445" s="4"/>
      <c r="Z445" s="4"/>
    </row>
    <row r="446" spans="1:26" ht="37.5" hidden="1">
      <c r="A446" s="20">
        <v>453</v>
      </c>
      <c r="B446" s="1063">
        <v>40223</v>
      </c>
      <c r="C446" s="28" t="s">
        <v>329</v>
      </c>
      <c r="D446" s="11"/>
      <c r="E446" s="22" t="s">
        <v>572</v>
      </c>
      <c r="F446" s="28" t="s">
        <v>2006</v>
      </c>
      <c r="G446" s="28" t="s">
        <v>2138</v>
      </c>
      <c r="H446" s="28" t="s">
        <v>1653</v>
      </c>
      <c r="I446" s="28" t="s">
        <v>574</v>
      </c>
      <c r="J446" s="28" t="s">
        <v>2139</v>
      </c>
      <c r="K446" s="28" t="s">
        <v>2140</v>
      </c>
      <c r="L446" s="28">
        <v>805</v>
      </c>
      <c r="M446" s="28">
        <v>1</v>
      </c>
      <c r="N446" s="28">
        <v>1</v>
      </c>
      <c r="O446" s="28">
        <v>5</v>
      </c>
      <c r="P446" s="28">
        <v>0</v>
      </c>
      <c r="Q446" s="28">
        <v>4</v>
      </c>
      <c r="R446" s="1205">
        <v>15</v>
      </c>
      <c r="S446" s="1205">
        <v>75</v>
      </c>
      <c r="T446" s="28" t="s">
        <v>929</v>
      </c>
      <c r="U446" s="1856" t="s">
        <v>2012</v>
      </c>
      <c r="V446" s="28" t="s">
        <v>104</v>
      </c>
      <c r="W446" s="2017" t="s">
        <v>2141</v>
      </c>
      <c r="X446" s="18"/>
      <c r="Y446" s="4"/>
      <c r="Z446" s="4"/>
    </row>
    <row r="447" spans="1:26" ht="42" hidden="1">
      <c r="A447" s="20">
        <v>454</v>
      </c>
      <c r="B447" s="1063">
        <v>40224</v>
      </c>
      <c r="C447" s="22" t="s">
        <v>2142</v>
      </c>
      <c r="D447" s="11"/>
      <c r="E447" s="22" t="s">
        <v>572</v>
      </c>
      <c r="F447" s="22" t="s">
        <v>2143</v>
      </c>
      <c r="G447" s="22" t="s">
        <v>2144</v>
      </c>
      <c r="H447" s="22" t="s">
        <v>1715</v>
      </c>
      <c r="I447" s="22" t="s">
        <v>574</v>
      </c>
      <c r="J447" s="22" t="s">
        <v>2145</v>
      </c>
      <c r="K447" s="22" t="s">
        <v>2146</v>
      </c>
      <c r="L447" s="22" t="s">
        <v>2147</v>
      </c>
      <c r="M447" s="22">
        <v>1</v>
      </c>
      <c r="N447" s="22">
        <v>1</v>
      </c>
      <c r="O447" s="22">
        <v>3</v>
      </c>
      <c r="P447" s="22">
        <v>0</v>
      </c>
      <c r="Q447" s="22">
        <v>3</v>
      </c>
      <c r="R447" s="1201">
        <v>475</v>
      </c>
      <c r="S447" s="1201">
        <f t="shared" ref="S447:S458" si="16">R447*Q447</f>
        <v>1425</v>
      </c>
      <c r="T447" s="22" t="s">
        <v>929</v>
      </c>
      <c r="U447" s="1854" t="s">
        <v>2148</v>
      </c>
      <c r="V447" s="22" t="s">
        <v>104</v>
      </c>
      <c r="W447" s="2006" t="s">
        <v>2149</v>
      </c>
      <c r="X447" s="18"/>
      <c r="Y447" s="4"/>
      <c r="Z447" s="4"/>
    </row>
    <row r="448" spans="1:26" ht="27.95" hidden="1">
      <c r="A448" s="20">
        <v>455</v>
      </c>
      <c r="B448" s="1063">
        <v>40225</v>
      </c>
      <c r="C448" s="22" t="s">
        <v>541</v>
      </c>
      <c r="D448" s="11"/>
      <c r="E448" s="22" t="s">
        <v>572</v>
      </c>
      <c r="F448" s="22" t="s">
        <v>2143</v>
      </c>
      <c r="G448" s="22" t="s">
        <v>2150</v>
      </c>
      <c r="H448" s="22" t="s">
        <v>2151</v>
      </c>
      <c r="I448" s="22" t="s">
        <v>574</v>
      </c>
      <c r="J448" s="22" t="s">
        <v>2152</v>
      </c>
      <c r="K448" s="22">
        <v>109990165</v>
      </c>
      <c r="L448" s="22"/>
      <c r="M448" s="22">
        <v>1</v>
      </c>
      <c r="N448" s="22">
        <v>1</v>
      </c>
      <c r="O448" s="22">
        <v>3</v>
      </c>
      <c r="P448" s="22">
        <v>0</v>
      </c>
      <c r="Q448" s="22">
        <v>3</v>
      </c>
      <c r="R448" s="1201">
        <v>821</v>
      </c>
      <c r="S448" s="1201">
        <f t="shared" si="16"/>
        <v>2463</v>
      </c>
      <c r="T448" s="22" t="s">
        <v>929</v>
      </c>
      <c r="U448" s="1854" t="s">
        <v>2148</v>
      </c>
      <c r="V448" s="22" t="s">
        <v>104</v>
      </c>
      <c r="W448" s="2006" t="s">
        <v>2153</v>
      </c>
      <c r="X448" s="18"/>
      <c r="Y448" s="4"/>
      <c r="Z448" s="4"/>
    </row>
    <row r="449" spans="1:26" ht="42" hidden="1">
      <c r="A449" s="20">
        <v>456</v>
      </c>
      <c r="B449" s="1063">
        <v>40226</v>
      </c>
      <c r="C449" s="22" t="s">
        <v>669</v>
      </c>
      <c r="D449" s="11"/>
      <c r="E449" s="22" t="s">
        <v>572</v>
      </c>
      <c r="F449" s="22" t="s">
        <v>2143</v>
      </c>
      <c r="G449" s="22" t="s">
        <v>2154</v>
      </c>
      <c r="H449" s="22" t="s">
        <v>1143</v>
      </c>
      <c r="I449" s="22" t="s">
        <v>574</v>
      </c>
      <c r="J449" s="22" t="s">
        <v>2155</v>
      </c>
      <c r="K449" s="22">
        <v>734150963</v>
      </c>
      <c r="L449" s="22" t="s">
        <v>2156</v>
      </c>
      <c r="M449" s="22">
        <v>1</v>
      </c>
      <c r="N449" s="22">
        <v>1</v>
      </c>
      <c r="O449" s="22">
        <v>10</v>
      </c>
      <c r="P449" s="22">
        <v>0</v>
      </c>
      <c r="Q449" s="22">
        <v>10</v>
      </c>
      <c r="R449" s="1201">
        <v>231</v>
      </c>
      <c r="S449" s="1201">
        <f t="shared" si="16"/>
        <v>2310</v>
      </c>
      <c r="T449" s="22" t="s">
        <v>929</v>
      </c>
      <c r="U449" s="1854" t="s">
        <v>2148</v>
      </c>
      <c r="V449" s="22" t="s">
        <v>104</v>
      </c>
      <c r="W449" s="2006" t="s">
        <v>2157</v>
      </c>
      <c r="X449" s="18"/>
      <c r="Y449" s="4"/>
      <c r="Z449" s="4"/>
    </row>
    <row r="450" spans="1:26" ht="42" hidden="1">
      <c r="A450" s="20">
        <v>457</v>
      </c>
      <c r="B450" s="1063">
        <v>40227</v>
      </c>
      <c r="C450" s="22" t="s">
        <v>2158</v>
      </c>
      <c r="D450" s="11"/>
      <c r="E450" s="22" t="s">
        <v>572</v>
      </c>
      <c r="F450" s="22" t="s">
        <v>2143</v>
      </c>
      <c r="G450" s="22" t="s">
        <v>2159</v>
      </c>
      <c r="H450" s="22" t="s">
        <v>2160</v>
      </c>
      <c r="I450" s="22" t="s">
        <v>574</v>
      </c>
      <c r="J450" s="22" t="s">
        <v>2161</v>
      </c>
      <c r="K450" s="22" t="s">
        <v>2162</v>
      </c>
      <c r="L450" s="22" t="s">
        <v>2163</v>
      </c>
      <c r="M450" s="22">
        <v>2</v>
      </c>
      <c r="N450" s="22">
        <v>1</v>
      </c>
      <c r="O450" s="22">
        <v>3</v>
      </c>
      <c r="P450" s="22">
        <v>0</v>
      </c>
      <c r="Q450" s="22">
        <v>3</v>
      </c>
      <c r="R450" s="1201">
        <v>803</v>
      </c>
      <c r="S450" s="1201">
        <f t="shared" si="16"/>
        <v>2409</v>
      </c>
      <c r="T450" s="22" t="s">
        <v>929</v>
      </c>
      <c r="U450" s="1854" t="s">
        <v>2148</v>
      </c>
      <c r="V450" s="22" t="s">
        <v>104</v>
      </c>
      <c r="W450" s="2006" t="s">
        <v>2164</v>
      </c>
      <c r="X450" s="18"/>
      <c r="Y450" s="4"/>
      <c r="Z450" s="4"/>
    </row>
    <row r="451" spans="1:26" ht="27.95" hidden="1">
      <c r="A451" s="20">
        <v>458</v>
      </c>
      <c r="B451" s="1063">
        <v>40228</v>
      </c>
      <c r="C451" s="22" t="s">
        <v>188</v>
      </c>
      <c r="D451" s="11"/>
      <c r="E451" s="22" t="s">
        <v>572</v>
      </c>
      <c r="F451" s="22" t="s">
        <v>2143</v>
      </c>
      <c r="G451" s="22" t="s">
        <v>2165</v>
      </c>
      <c r="H451" s="22" t="s">
        <v>144</v>
      </c>
      <c r="I451" s="22" t="s">
        <v>574</v>
      </c>
      <c r="J451" s="22" t="s">
        <v>2166</v>
      </c>
      <c r="K451" s="22" t="s">
        <v>2167</v>
      </c>
      <c r="L451" s="22">
        <v>1608</v>
      </c>
      <c r="M451" s="22">
        <v>2</v>
      </c>
      <c r="N451" s="22">
        <v>1</v>
      </c>
      <c r="O451" s="22">
        <v>10</v>
      </c>
      <c r="P451" s="22">
        <v>0</v>
      </c>
      <c r="Q451" s="22">
        <v>10</v>
      </c>
      <c r="R451" s="1201">
        <v>18</v>
      </c>
      <c r="S451" s="1201">
        <f t="shared" si="16"/>
        <v>180</v>
      </c>
      <c r="T451" s="22" t="s">
        <v>929</v>
      </c>
      <c r="U451" s="1854" t="s">
        <v>2148</v>
      </c>
      <c r="V451" s="22" t="s">
        <v>104</v>
      </c>
      <c r="W451" s="2006" t="s">
        <v>2168</v>
      </c>
      <c r="X451" s="18"/>
      <c r="Y451" s="4"/>
      <c r="Z451" s="4"/>
    </row>
    <row r="452" spans="1:26" ht="27.95" hidden="1">
      <c r="A452" s="20">
        <v>459</v>
      </c>
      <c r="B452" s="1063">
        <v>40229</v>
      </c>
      <c r="C452" s="22" t="s">
        <v>188</v>
      </c>
      <c r="D452" s="11"/>
      <c r="E452" s="22" t="s">
        <v>572</v>
      </c>
      <c r="F452" s="22" t="s">
        <v>2143</v>
      </c>
      <c r="G452" s="22" t="s">
        <v>2169</v>
      </c>
      <c r="H452" s="22" t="s">
        <v>144</v>
      </c>
      <c r="I452" s="22" t="s">
        <v>574</v>
      </c>
      <c r="J452" s="22" t="s">
        <v>2170</v>
      </c>
      <c r="K452" s="22" t="s">
        <v>2171</v>
      </c>
      <c r="L452" s="22">
        <v>1608</v>
      </c>
      <c r="M452" s="22">
        <v>2</v>
      </c>
      <c r="N452" s="22">
        <v>1</v>
      </c>
      <c r="O452" s="22">
        <v>10</v>
      </c>
      <c r="P452" s="22">
        <v>0</v>
      </c>
      <c r="Q452" s="22">
        <v>10</v>
      </c>
      <c r="R452" s="1201">
        <v>18.2</v>
      </c>
      <c r="S452" s="1201">
        <f t="shared" si="16"/>
        <v>182</v>
      </c>
      <c r="T452" s="22" t="s">
        <v>929</v>
      </c>
      <c r="U452" s="1854" t="s">
        <v>2148</v>
      </c>
      <c r="V452" s="22" t="s">
        <v>104</v>
      </c>
      <c r="W452" s="2006" t="s">
        <v>2172</v>
      </c>
      <c r="X452" s="18"/>
      <c r="Y452" s="4"/>
      <c r="Z452" s="4"/>
    </row>
    <row r="453" spans="1:26" ht="27.95" hidden="1">
      <c r="A453" s="20">
        <v>460</v>
      </c>
      <c r="B453" s="1063">
        <v>40230</v>
      </c>
      <c r="C453" s="22" t="s">
        <v>188</v>
      </c>
      <c r="D453" s="11"/>
      <c r="E453" s="22" t="s">
        <v>572</v>
      </c>
      <c r="F453" s="22" t="s">
        <v>2143</v>
      </c>
      <c r="G453" s="22" t="s">
        <v>2173</v>
      </c>
      <c r="H453" s="22" t="s">
        <v>144</v>
      </c>
      <c r="I453" s="22" t="s">
        <v>574</v>
      </c>
      <c r="J453" s="22" t="s">
        <v>2174</v>
      </c>
      <c r="K453" s="22" t="s">
        <v>2175</v>
      </c>
      <c r="L453" s="22">
        <v>1608</v>
      </c>
      <c r="M453" s="22">
        <v>2</v>
      </c>
      <c r="N453" s="22">
        <v>1</v>
      </c>
      <c r="O453" s="22">
        <v>10</v>
      </c>
      <c r="P453" s="22">
        <v>0</v>
      </c>
      <c r="Q453" s="22">
        <v>10</v>
      </c>
      <c r="R453" s="1201">
        <v>18.2</v>
      </c>
      <c r="S453" s="1201">
        <f t="shared" si="16"/>
        <v>182</v>
      </c>
      <c r="T453" s="22" t="s">
        <v>929</v>
      </c>
      <c r="U453" s="1854" t="s">
        <v>2148</v>
      </c>
      <c r="V453" s="22" t="s">
        <v>104</v>
      </c>
      <c r="W453" s="2006" t="s">
        <v>2176</v>
      </c>
      <c r="X453" s="18"/>
      <c r="Y453" s="4"/>
      <c r="Z453" s="4"/>
    </row>
    <row r="454" spans="1:26" ht="27.95" hidden="1">
      <c r="A454" s="20">
        <v>461</v>
      </c>
      <c r="B454" s="1063">
        <v>40231</v>
      </c>
      <c r="C454" s="22" t="s">
        <v>188</v>
      </c>
      <c r="D454" s="11"/>
      <c r="E454" s="22" t="s">
        <v>572</v>
      </c>
      <c r="F454" s="22" t="s">
        <v>2143</v>
      </c>
      <c r="G454" s="22" t="s">
        <v>2177</v>
      </c>
      <c r="H454" s="22" t="s">
        <v>144</v>
      </c>
      <c r="I454" s="22" t="s">
        <v>574</v>
      </c>
      <c r="J454" s="22" t="s">
        <v>2178</v>
      </c>
      <c r="K454" s="22" t="s">
        <v>2179</v>
      </c>
      <c r="L454" s="22">
        <v>1608</v>
      </c>
      <c r="M454" s="22">
        <v>2</v>
      </c>
      <c r="N454" s="22">
        <v>1</v>
      </c>
      <c r="O454" s="22">
        <v>10</v>
      </c>
      <c r="P454" s="22">
        <v>0</v>
      </c>
      <c r="Q454" s="22">
        <v>10</v>
      </c>
      <c r="R454" s="1201">
        <v>18.2</v>
      </c>
      <c r="S454" s="1201">
        <f t="shared" si="16"/>
        <v>182</v>
      </c>
      <c r="T454" s="22" t="s">
        <v>929</v>
      </c>
      <c r="U454" s="1854" t="s">
        <v>2148</v>
      </c>
      <c r="V454" s="22" t="s">
        <v>104</v>
      </c>
      <c r="W454" s="2006" t="s">
        <v>2180</v>
      </c>
      <c r="X454" s="18"/>
      <c r="Y454" s="4"/>
      <c r="Z454" s="4"/>
    </row>
    <row r="455" spans="1:26" ht="27.95" hidden="1">
      <c r="A455" s="20">
        <v>462</v>
      </c>
      <c r="B455" s="1063">
        <v>40232</v>
      </c>
      <c r="C455" s="22" t="s">
        <v>188</v>
      </c>
      <c r="D455" s="11"/>
      <c r="E455" s="22" t="s">
        <v>572</v>
      </c>
      <c r="F455" s="22" t="s">
        <v>2143</v>
      </c>
      <c r="G455" s="22" t="s">
        <v>2181</v>
      </c>
      <c r="H455" s="22" t="s">
        <v>144</v>
      </c>
      <c r="I455" s="22" t="s">
        <v>574</v>
      </c>
      <c r="J455" s="22" t="s">
        <v>2182</v>
      </c>
      <c r="K455" s="22" t="s">
        <v>2183</v>
      </c>
      <c r="L455" s="22">
        <v>1608</v>
      </c>
      <c r="M455" s="22">
        <v>2</v>
      </c>
      <c r="N455" s="22">
        <v>1</v>
      </c>
      <c r="O455" s="22">
        <v>10</v>
      </c>
      <c r="P455" s="22">
        <v>0</v>
      </c>
      <c r="Q455" s="22">
        <v>10</v>
      </c>
      <c r="R455" s="1201">
        <v>18.2</v>
      </c>
      <c r="S455" s="1201">
        <f t="shared" si="16"/>
        <v>182</v>
      </c>
      <c r="T455" s="22" t="s">
        <v>929</v>
      </c>
      <c r="U455" s="1854" t="s">
        <v>2148</v>
      </c>
      <c r="V455" s="22" t="s">
        <v>104</v>
      </c>
      <c r="W455" s="2006" t="s">
        <v>2184</v>
      </c>
      <c r="X455" s="18"/>
      <c r="Y455" s="4"/>
      <c r="Z455" s="4"/>
    </row>
    <row r="456" spans="1:26" ht="27.95" hidden="1">
      <c r="A456" s="20">
        <v>463</v>
      </c>
      <c r="B456" s="1063">
        <v>40233</v>
      </c>
      <c r="C456" s="22" t="s">
        <v>188</v>
      </c>
      <c r="D456" s="11"/>
      <c r="E456" s="22" t="s">
        <v>572</v>
      </c>
      <c r="F456" s="22" t="s">
        <v>2143</v>
      </c>
      <c r="G456" s="22" t="s">
        <v>2185</v>
      </c>
      <c r="H456" s="22" t="s">
        <v>144</v>
      </c>
      <c r="I456" s="22" t="s">
        <v>574</v>
      </c>
      <c r="J456" s="22" t="s">
        <v>2186</v>
      </c>
      <c r="K456" s="22" t="s">
        <v>2187</v>
      </c>
      <c r="L456" s="22">
        <v>1608</v>
      </c>
      <c r="M456" s="22">
        <v>2</v>
      </c>
      <c r="N456" s="22">
        <v>1</v>
      </c>
      <c r="O456" s="22">
        <v>10</v>
      </c>
      <c r="P456" s="22">
        <v>0</v>
      </c>
      <c r="Q456" s="22">
        <v>10</v>
      </c>
      <c r="R456" s="1201">
        <v>18.2</v>
      </c>
      <c r="S456" s="1201">
        <f t="shared" si="16"/>
        <v>182</v>
      </c>
      <c r="T456" s="22" t="s">
        <v>929</v>
      </c>
      <c r="U456" s="1854" t="s">
        <v>2148</v>
      </c>
      <c r="V456" s="22" t="s">
        <v>104</v>
      </c>
      <c r="W456" s="2006" t="s">
        <v>2188</v>
      </c>
      <c r="X456" s="18"/>
      <c r="Y456" s="4"/>
      <c r="Z456" s="4"/>
    </row>
    <row r="457" spans="1:26" ht="27.95" hidden="1">
      <c r="A457" s="20">
        <v>464</v>
      </c>
      <c r="B457" s="1063">
        <v>40234</v>
      </c>
      <c r="C457" s="22" t="s">
        <v>188</v>
      </c>
      <c r="D457" s="11"/>
      <c r="E457" s="22" t="s">
        <v>572</v>
      </c>
      <c r="F457" s="22" t="s">
        <v>2143</v>
      </c>
      <c r="G457" s="22" t="s">
        <v>2189</v>
      </c>
      <c r="H457" s="22" t="s">
        <v>144</v>
      </c>
      <c r="I457" s="22" t="s">
        <v>574</v>
      </c>
      <c r="J457" s="22" t="s">
        <v>2190</v>
      </c>
      <c r="K457" s="22" t="s">
        <v>2191</v>
      </c>
      <c r="L457" s="22">
        <v>1608</v>
      </c>
      <c r="M457" s="22">
        <v>2</v>
      </c>
      <c r="N457" s="22">
        <v>1</v>
      </c>
      <c r="O457" s="22">
        <v>10</v>
      </c>
      <c r="P457" s="22">
        <v>0</v>
      </c>
      <c r="Q457" s="22">
        <v>10</v>
      </c>
      <c r="R457" s="1201">
        <v>18.2</v>
      </c>
      <c r="S457" s="1201">
        <f t="shared" si="16"/>
        <v>182</v>
      </c>
      <c r="T457" s="22" t="s">
        <v>929</v>
      </c>
      <c r="U457" s="1854" t="s">
        <v>2148</v>
      </c>
      <c r="V457" s="22" t="s">
        <v>104</v>
      </c>
      <c r="W457" s="2006" t="s">
        <v>2192</v>
      </c>
      <c r="X457" s="18"/>
      <c r="Y457" s="4"/>
      <c r="Z457" s="4"/>
    </row>
    <row r="458" spans="1:26" ht="27.95" hidden="1">
      <c r="A458" s="20">
        <v>465</v>
      </c>
      <c r="B458" s="1063">
        <v>40235</v>
      </c>
      <c r="C458" s="22" t="s">
        <v>188</v>
      </c>
      <c r="D458" s="11"/>
      <c r="E458" s="22" t="s">
        <v>572</v>
      </c>
      <c r="F458" s="22" t="s">
        <v>2143</v>
      </c>
      <c r="G458" s="22" t="s">
        <v>2193</v>
      </c>
      <c r="H458" s="22" t="s">
        <v>144</v>
      </c>
      <c r="I458" s="22" t="s">
        <v>574</v>
      </c>
      <c r="J458" s="22" t="s">
        <v>2194</v>
      </c>
      <c r="K458" s="22" t="s">
        <v>2195</v>
      </c>
      <c r="L458" s="22">
        <v>1608</v>
      </c>
      <c r="M458" s="22">
        <v>2</v>
      </c>
      <c r="N458" s="22">
        <v>1</v>
      </c>
      <c r="O458" s="22">
        <v>10</v>
      </c>
      <c r="P458" s="22">
        <v>0</v>
      </c>
      <c r="Q458" s="22">
        <v>10</v>
      </c>
      <c r="R458" s="1201">
        <v>18.2</v>
      </c>
      <c r="S458" s="1201">
        <f t="shared" si="16"/>
        <v>182</v>
      </c>
      <c r="T458" s="22" t="s">
        <v>929</v>
      </c>
      <c r="U458" s="1854" t="s">
        <v>2148</v>
      </c>
      <c r="V458" s="22" t="s">
        <v>104</v>
      </c>
      <c r="W458" s="2006" t="s">
        <v>2196</v>
      </c>
      <c r="X458" s="18"/>
      <c r="Y458" s="4"/>
      <c r="Z458" s="4"/>
    </row>
    <row r="459" spans="1:26" ht="42" hidden="1">
      <c r="A459" s="20">
        <v>466</v>
      </c>
      <c r="B459" s="1063">
        <v>40236</v>
      </c>
      <c r="C459" s="22" t="s">
        <v>2197</v>
      </c>
      <c r="D459" s="11"/>
      <c r="E459" s="22" t="s">
        <v>572</v>
      </c>
      <c r="F459" s="22" t="s">
        <v>1569</v>
      </c>
      <c r="G459" s="22" t="s">
        <v>2198</v>
      </c>
      <c r="H459" s="22" t="s">
        <v>2199</v>
      </c>
      <c r="I459" s="22" t="s">
        <v>574</v>
      </c>
      <c r="J459" s="49" t="s">
        <v>2200</v>
      </c>
      <c r="K459" s="49" t="s">
        <v>2201</v>
      </c>
      <c r="L459" s="22"/>
      <c r="M459" s="22">
        <v>5</v>
      </c>
      <c r="N459" s="22">
        <v>1</v>
      </c>
      <c r="O459" s="22">
        <v>10</v>
      </c>
      <c r="P459" s="22">
        <v>0</v>
      </c>
      <c r="Q459" s="22">
        <v>5</v>
      </c>
      <c r="R459" s="1201">
        <v>403</v>
      </c>
      <c r="S459" s="1201">
        <v>4030</v>
      </c>
      <c r="T459" s="22" t="s">
        <v>929</v>
      </c>
      <c r="U459" s="1854" t="s">
        <v>2202</v>
      </c>
      <c r="V459" s="22" t="s">
        <v>104</v>
      </c>
      <c r="W459" s="2006" t="s">
        <v>2203</v>
      </c>
      <c r="X459" s="18"/>
      <c r="Y459" s="4"/>
      <c r="Z459" s="4"/>
    </row>
    <row r="460" spans="1:26" ht="27.95" hidden="1">
      <c r="A460" s="20">
        <v>467</v>
      </c>
      <c r="B460" s="1063">
        <v>40237</v>
      </c>
      <c r="C460" s="62" t="s">
        <v>2204</v>
      </c>
      <c r="D460" s="11"/>
      <c r="E460" s="22" t="s">
        <v>572</v>
      </c>
      <c r="F460" s="22" t="s">
        <v>1569</v>
      </c>
      <c r="G460" s="22" t="s">
        <v>2198</v>
      </c>
      <c r="H460" s="22" t="s">
        <v>1143</v>
      </c>
      <c r="I460" s="22" t="s">
        <v>574</v>
      </c>
      <c r="J460" s="49" t="s">
        <v>2205</v>
      </c>
      <c r="K460" s="49">
        <v>877605016</v>
      </c>
      <c r="L460" s="22"/>
      <c r="M460" s="22">
        <v>5</v>
      </c>
      <c r="N460" s="22">
        <v>1</v>
      </c>
      <c r="O460" s="22">
        <v>10</v>
      </c>
      <c r="P460" s="22">
        <v>0</v>
      </c>
      <c r="Q460" s="22">
        <v>5</v>
      </c>
      <c r="R460" s="1201">
        <v>3000</v>
      </c>
      <c r="S460" s="1201">
        <v>3000</v>
      </c>
      <c r="T460" s="22" t="s">
        <v>929</v>
      </c>
      <c r="U460" s="1854" t="s">
        <v>2202</v>
      </c>
      <c r="V460" s="22" t="s">
        <v>104</v>
      </c>
      <c r="W460" s="2006" t="s">
        <v>2206</v>
      </c>
      <c r="X460" s="18"/>
      <c r="Y460" s="4"/>
      <c r="Z460" s="4"/>
    </row>
    <row r="461" spans="1:26" ht="27.95" hidden="1">
      <c r="A461" s="20">
        <v>468</v>
      </c>
      <c r="B461" s="1063">
        <v>40238</v>
      </c>
      <c r="C461" s="22" t="s">
        <v>2207</v>
      </c>
      <c r="D461" s="11"/>
      <c r="E461" s="22" t="s">
        <v>572</v>
      </c>
      <c r="F461" s="22" t="s">
        <v>1569</v>
      </c>
      <c r="G461" s="22" t="s">
        <v>2208</v>
      </c>
      <c r="H461" s="22" t="s">
        <v>1715</v>
      </c>
      <c r="I461" s="22" t="s">
        <v>574</v>
      </c>
      <c r="J461" s="49" t="s">
        <v>2209</v>
      </c>
      <c r="K461" s="49" t="s">
        <v>2210</v>
      </c>
      <c r="L461" s="22"/>
      <c r="M461" s="22">
        <v>1</v>
      </c>
      <c r="N461" s="22">
        <v>1</v>
      </c>
      <c r="O461" s="22">
        <v>1</v>
      </c>
      <c r="P461" s="22">
        <v>0</v>
      </c>
      <c r="Q461" s="22">
        <v>0</v>
      </c>
      <c r="R461" s="1201">
        <v>5555</v>
      </c>
      <c r="S461" s="1201">
        <v>5555</v>
      </c>
      <c r="T461" s="22" t="s">
        <v>929</v>
      </c>
      <c r="U461" s="1854" t="s">
        <v>2202</v>
      </c>
      <c r="V461" s="22" t="s">
        <v>104</v>
      </c>
      <c r="W461" s="2006" t="s">
        <v>2211</v>
      </c>
      <c r="X461" s="18"/>
      <c r="Y461" s="4"/>
      <c r="Z461" s="4"/>
    </row>
    <row r="462" spans="1:26" ht="27.95" hidden="1">
      <c r="A462" s="20">
        <v>469</v>
      </c>
      <c r="B462" s="1063">
        <v>40239</v>
      </c>
      <c r="C462" s="22" t="s">
        <v>2212</v>
      </c>
      <c r="D462" s="11"/>
      <c r="E462" s="22" t="s">
        <v>572</v>
      </c>
      <c r="F462" s="22" t="s">
        <v>412</v>
      </c>
      <c r="G462" s="22" t="s">
        <v>2213</v>
      </c>
      <c r="H462" s="22" t="s">
        <v>1002</v>
      </c>
      <c r="I462" s="22" t="s">
        <v>1002</v>
      </c>
      <c r="J462" s="22"/>
      <c r="K462" s="22"/>
      <c r="L462" s="22"/>
      <c r="M462" s="22">
        <v>5</v>
      </c>
      <c r="N462" s="22">
        <v>1</v>
      </c>
      <c r="O462" s="22">
        <v>5</v>
      </c>
      <c r="P462" s="22">
        <v>0</v>
      </c>
      <c r="Q462" s="22">
        <v>0</v>
      </c>
      <c r="R462" s="1201">
        <v>59350</v>
      </c>
      <c r="S462" s="1201">
        <v>59350</v>
      </c>
      <c r="T462" s="22" t="s">
        <v>87</v>
      </c>
      <c r="U462" s="1854" t="s">
        <v>2214</v>
      </c>
      <c r="V462" s="22" t="s">
        <v>975</v>
      </c>
      <c r="W462" s="2006" t="s">
        <v>401</v>
      </c>
      <c r="X462" s="18" t="s">
        <v>2215</v>
      </c>
      <c r="Y462" s="4"/>
      <c r="Z462" s="4"/>
    </row>
    <row r="463" spans="1:26" ht="14.1" hidden="1">
      <c r="A463" s="20">
        <v>470</v>
      </c>
      <c r="B463" s="1063">
        <v>40240</v>
      </c>
      <c r="C463" s="22" t="s">
        <v>2216</v>
      </c>
      <c r="D463" s="11"/>
      <c r="E463" s="22" t="s">
        <v>572</v>
      </c>
      <c r="F463" s="22" t="s">
        <v>1569</v>
      </c>
      <c r="G463" s="22" t="s">
        <v>2213</v>
      </c>
      <c r="H463" s="22" t="s">
        <v>1002</v>
      </c>
      <c r="I463" s="22" t="s">
        <v>1002</v>
      </c>
      <c r="J463" s="22"/>
      <c r="K463" s="22"/>
      <c r="L463" s="22"/>
      <c r="M463" s="22">
        <v>1</v>
      </c>
      <c r="N463" s="22">
        <v>1</v>
      </c>
      <c r="O463" s="22">
        <v>5</v>
      </c>
      <c r="P463" s="22">
        <v>0</v>
      </c>
      <c r="Q463" s="22">
        <v>4</v>
      </c>
      <c r="R463" s="1201">
        <v>55791</v>
      </c>
      <c r="S463" s="1201">
        <v>55791</v>
      </c>
      <c r="T463" s="22" t="s">
        <v>929</v>
      </c>
      <c r="U463" s="1854" t="s">
        <v>2217</v>
      </c>
      <c r="V463" s="22" t="s">
        <v>104</v>
      </c>
      <c r="W463" s="2006" t="s">
        <v>401</v>
      </c>
      <c r="X463" s="18"/>
      <c r="Y463" s="4"/>
      <c r="Z463" s="4"/>
    </row>
    <row r="464" spans="1:26" ht="14.1" hidden="1">
      <c r="A464" s="20">
        <v>471</v>
      </c>
      <c r="B464" s="1063">
        <v>40241</v>
      </c>
      <c r="C464" s="22" t="s">
        <v>2218</v>
      </c>
      <c r="D464" s="11"/>
      <c r="E464" s="22" t="s">
        <v>1890</v>
      </c>
      <c r="F464" s="22" t="s">
        <v>1290</v>
      </c>
      <c r="G464" s="22" t="s">
        <v>2219</v>
      </c>
      <c r="H464" s="22" t="s">
        <v>1579</v>
      </c>
      <c r="I464" s="22" t="s">
        <v>1579</v>
      </c>
      <c r="J464" s="22" t="s">
        <v>1577</v>
      </c>
      <c r="K464" s="22" t="s">
        <v>1577</v>
      </c>
      <c r="L464" s="22"/>
      <c r="M464" s="22">
        <v>4</v>
      </c>
      <c r="N464" s="22">
        <v>6</v>
      </c>
      <c r="O464" s="22">
        <v>6</v>
      </c>
      <c r="P464" s="22">
        <v>0</v>
      </c>
      <c r="Q464" s="22">
        <v>2</v>
      </c>
      <c r="R464" s="1201">
        <v>10300</v>
      </c>
      <c r="S464" s="1201">
        <f>R464*N464</f>
        <v>61800</v>
      </c>
      <c r="T464" s="22" t="s">
        <v>1957</v>
      </c>
      <c r="U464" s="1854" t="s">
        <v>2220</v>
      </c>
      <c r="V464" s="22" t="s">
        <v>104</v>
      </c>
      <c r="W464" s="2006" t="s">
        <v>2221</v>
      </c>
      <c r="X464" s="18"/>
      <c r="Y464" s="4"/>
      <c r="Z464" s="4"/>
    </row>
    <row r="465" spans="1:26" ht="37.5" hidden="1">
      <c r="A465" s="20">
        <v>472</v>
      </c>
      <c r="B465" s="1063">
        <v>40242</v>
      </c>
      <c r="C465" s="61" t="s">
        <v>152</v>
      </c>
      <c r="D465" s="11" t="s">
        <v>1288</v>
      </c>
      <c r="E465" s="61"/>
      <c r="F465" s="61" t="s">
        <v>2006</v>
      </c>
      <c r="G465" s="61" t="s">
        <v>2222</v>
      </c>
      <c r="H465" s="61" t="s">
        <v>1098</v>
      </c>
      <c r="I465" s="61" t="s">
        <v>574</v>
      </c>
      <c r="J465" s="61" t="s">
        <v>2223</v>
      </c>
      <c r="K465" s="61" t="s">
        <v>2224</v>
      </c>
      <c r="L465" s="61">
        <v>805</v>
      </c>
      <c r="M465" s="61">
        <v>3</v>
      </c>
      <c r="N465" s="61">
        <v>1</v>
      </c>
      <c r="O465" s="61">
        <v>5</v>
      </c>
      <c r="P465" s="61">
        <v>0</v>
      </c>
      <c r="Q465" s="61">
        <v>2</v>
      </c>
      <c r="R465" s="1211">
        <v>13</v>
      </c>
      <c r="S465" s="1211">
        <v>65</v>
      </c>
      <c r="T465" s="61" t="s">
        <v>929</v>
      </c>
      <c r="U465" s="1858" t="s">
        <v>2012</v>
      </c>
      <c r="V465" s="61" t="s">
        <v>104</v>
      </c>
      <c r="W465" s="2019" t="s">
        <v>2225</v>
      </c>
      <c r="X465" s="18"/>
      <c r="Y465" s="4"/>
      <c r="Z465" s="4"/>
    </row>
    <row r="466" spans="1:26" ht="27.95" hidden="1">
      <c r="A466" s="20">
        <v>473</v>
      </c>
      <c r="B466" s="1063">
        <v>40243</v>
      </c>
      <c r="C466" s="22" t="s">
        <v>346</v>
      </c>
      <c r="D466" s="11"/>
      <c r="E466" s="22" t="s">
        <v>572</v>
      </c>
      <c r="F466" s="22" t="s">
        <v>2143</v>
      </c>
      <c r="G466" s="22" t="s">
        <v>2226</v>
      </c>
      <c r="H466" s="22" t="s">
        <v>2227</v>
      </c>
      <c r="I466" s="22" t="s">
        <v>2228</v>
      </c>
      <c r="J466" s="22" t="s">
        <v>2229</v>
      </c>
      <c r="K466" s="22" t="s">
        <v>2229</v>
      </c>
      <c r="L466" s="22" t="s">
        <v>2230</v>
      </c>
      <c r="M466" s="22">
        <v>1</v>
      </c>
      <c r="N466" s="22">
        <v>1</v>
      </c>
      <c r="O466" s="22">
        <v>10</v>
      </c>
      <c r="P466" s="22">
        <v>0</v>
      </c>
      <c r="Q466" s="22">
        <v>10</v>
      </c>
      <c r="R466" s="1201">
        <f>750*1.08</f>
        <v>810</v>
      </c>
      <c r="S466" s="1201">
        <v>8100</v>
      </c>
      <c r="T466" s="22" t="s">
        <v>929</v>
      </c>
      <c r="U466" s="1854" t="s">
        <v>2148</v>
      </c>
      <c r="V466" s="22" t="s">
        <v>2231</v>
      </c>
      <c r="W466" s="2006" t="s">
        <v>2232</v>
      </c>
      <c r="X466" s="18"/>
      <c r="Y466" s="4"/>
      <c r="Z466" s="4"/>
    </row>
    <row r="467" spans="1:26" ht="14.1" hidden="1">
      <c r="A467" s="20">
        <v>474</v>
      </c>
      <c r="B467" s="1063">
        <v>40244</v>
      </c>
      <c r="C467" s="22" t="s">
        <v>2233</v>
      </c>
      <c r="D467" s="11"/>
      <c r="E467" s="22" t="s">
        <v>2234</v>
      </c>
      <c r="F467" s="22" t="s">
        <v>1118</v>
      </c>
      <c r="G467" s="22" t="s">
        <v>2235</v>
      </c>
      <c r="H467" s="22" t="s">
        <v>2236</v>
      </c>
      <c r="I467" s="54" t="s">
        <v>2237</v>
      </c>
      <c r="J467" s="22" t="s">
        <v>2238</v>
      </c>
      <c r="K467" s="22" t="s">
        <v>2238</v>
      </c>
      <c r="L467" s="22" t="s">
        <v>1</v>
      </c>
      <c r="M467" s="22">
        <v>1</v>
      </c>
      <c r="N467" s="22">
        <v>1</v>
      </c>
      <c r="O467" s="22">
        <v>1</v>
      </c>
      <c r="P467" s="22">
        <v>0</v>
      </c>
      <c r="Q467" s="22">
        <v>1</v>
      </c>
      <c r="R467" s="1201">
        <v>153000</v>
      </c>
      <c r="S467" s="1201">
        <v>153000</v>
      </c>
      <c r="T467" s="22" t="s">
        <v>1009</v>
      </c>
      <c r="U467" s="1854" t="s">
        <v>1986</v>
      </c>
      <c r="V467" s="22" t="s">
        <v>1987</v>
      </c>
      <c r="W467" s="2007"/>
      <c r="X467" s="18"/>
      <c r="Y467" s="4"/>
      <c r="Z467" s="4"/>
    </row>
    <row r="468" spans="1:26" ht="37.5" hidden="1">
      <c r="A468" s="20">
        <v>475</v>
      </c>
      <c r="B468" s="1063">
        <v>40245</v>
      </c>
      <c r="C468" s="35" t="s">
        <v>2239</v>
      </c>
      <c r="D468" s="11"/>
      <c r="E468" s="22" t="s">
        <v>572</v>
      </c>
      <c r="F468" s="35" t="s">
        <v>412</v>
      </c>
      <c r="G468" s="35" t="s">
        <v>2240</v>
      </c>
      <c r="H468" s="35" t="s">
        <v>2241</v>
      </c>
      <c r="I468" s="35" t="s">
        <v>1662</v>
      </c>
      <c r="J468" s="35" t="s">
        <v>2242</v>
      </c>
      <c r="K468" s="35" t="s">
        <v>2243</v>
      </c>
      <c r="L468" s="54" t="s">
        <v>2244</v>
      </c>
      <c r="M468" s="35">
        <v>10</v>
      </c>
      <c r="N468" s="35">
        <v>1</v>
      </c>
      <c r="O468" s="35">
        <v>12</v>
      </c>
      <c r="P468" s="35">
        <v>0</v>
      </c>
      <c r="Q468" s="35">
        <v>2</v>
      </c>
      <c r="R468" s="1203">
        <v>685.2</v>
      </c>
      <c r="S468" s="1203">
        <f t="shared" ref="S468:S485" si="17">R468*O468</f>
        <v>8222.4000000000015</v>
      </c>
      <c r="T468" s="35" t="s">
        <v>2245</v>
      </c>
      <c r="U468" s="1855" t="s">
        <v>2246</v>
      </c>
      <c r="V468" s="35" t="s">
        <v>2247</v>
      </c>
      <c r="W468" s="2018" t="s">
        <v>2248</v>
      </c>
      <c r="X468" s="18"/>
      <c r="Y468" s="4"/>
      <c r="Z468" s="4"/>
    </row>
    <row r="469" spans="1:26" ht="37.5" hidden="1">
      <c r="A469" s="20">
        <v>476</v>
      </c>
      <c r="B469" s="1063">
        <v>40246</v>
      </c>
      <c r="C469" s="35" t="s">
        <v>2142</v>
      </c>
      <c r="D469" s="11"/>
      <c r="E469" s="22" t="s">
        <v>572</v>
      </c>
      <c r="F469" s="35" t="s">
        <v>412</v>
      </c>
      <c r="G469" s="35" t="s">
        <v>504</v>
      </c>
      <c r="H469" s="35" t="s">
        <v>230</v>
      </c>
      <c r="I469" s="35" t="s">
        <v>1662</v>
      </c>
      <c r="J469" s="35" t="s">
        <v>2249</v>
      </c>
      <c r="K469" s="35" t="s">
        <v>2250</v>
      </c>
      <c r="L469" s="54" t="s">
        <v>2251</v>
      </c>
      <c r="M469" s="35">
        <v>10</v>
      </c>
      <c r="N469" s="35">
        <v>1</v>
      </c>
      <c r="O469" s="35">
        <v>12</v>
      </c>
      <c r="P469" s="35">
        <v>0</v>
      </c>
      <c r="Q469" s="35">
        <v>2</v>
      </c>
      <c r="R469" s="1203">
        <v>488</v>
      </c>
      <c r="S469" s="1203">
        <f t="shared" si="17"/>
        <v>5856</v>
      </c>
      <c r="T469" s="35" t="s">
        <v>2245</v>
      </c>
      <c r="U469" s="1855" t="s">
        <v>2246</v>
      </c>
      <c r="V469" s="35" t="s">
        <v>2247</v>
      </c>
      <c r="W469" s="2018" t="s">
        <v>2252</v>
      </c>
      <c r="X469" s="18"/>
      <c r="Y469" s="4"/>
      <c r="Z469" s="4"/>
    </row>
    <row r="470" spans="1:26" ht="37.5" hidden="1">
      <c r="A470" s="20">
        <v>477</v>
      </c>
      <c r="B470" s="1063">
        <v>40247</v>
      </c>
      <c r="C470" s="35" t="s">
        <v>2253</v>
      </c>
      <c r="D470" s="11"/>
      <c r="E470" s="22" t="s">
        <v>572</v>
      </c>
      <c r="F470" s="35" t="s">
        <v>412</v>
      </c>
      <c r="G470" s="35" t="s">
        <v>2254</v>
      </c>
      <c r="H470" s="35" t="s">
        <v>2255</v>
      </c>
      <c r="I470" s="35" t="s">
        <v>1662</v>
      </c>
      <c r="J470" s="35" t="s">
        <v>2256</v>
      </c>
      <c r="K470" s="35" t="s">
        <v>2257</v>
      </c>
      <c r="L470" s="54" t="s">
        <v>2258</v>
      </c>
      <c r="M470" s="35">
        <v>10</v>
      </c>
      <c r="N470" s="35">
        <v>1</v>
      </c>
      <c r="O470" s="35">
        <v>15</v>
      </c>
      <c r="P470" s="35">
        <v>0</v>
      </c>
      <c r="Q470" s="35">
        <v>5</v>
      </c>
      <c r="R470" s="1203">
        <v>117.3</v>
      </c>
      <c r="S470" s="1203">
        <f t="shared" si="17"/>
        <v>1759.5</v>
      </c>
      <c r="T470" s="35" t="s">
        <v>2245</v>
      </c>
      <c r="U470" s="1855" t="s">
        <v>2246</v>
      </c>
      <c r="V470" s="35" t="s">
        <v>2247</v>
      </c>
      <c r="W470" s="2018" t="s">
        <v>2259</v>
      </c>
      <c r="X470" s="18"/>
      <c r="Y470" s="4"/>
      <c r="Z470" s="4"/>
    </row>
    <row r="471" spans="1:26" ht="37.5" hidden="1">
      <c r="A471" s="20">
        <v>478</v>
      </c>
      <c r="B471" s="1063">
        <v>40248</v>
      </c>
      <c r="C471" s="35" t="s">
        <v>2260</v>
      </c>
      <c r="D471" s="11"/>
      <c r="E471" s="22" t="s">
        <v>572</v>
      </c>
      <c r="F471" s="35" t="s">
        <v>412</v>
      </c>
      <c r="G471" s="35" t="s">
        <v>2261</v>
      </c>
      <c r="H471" s="35" t="s">
        <v>2262</v>
      </c>
      <c r="I471" s="35" t="s">
        <v>1662</v>
      </c>
      <c r="J471" s="35" t="s">
        <v>2263</v>
      </c>
      <c r="K471" s="35" t="s">
        <v>2264</v>
      </c>
      <c r="L471" s="35" t="s">
        <v>2265</v>
      </c>
      <c r="M471" s="35">
        <v>10</v>
      </c>
      <c r="N471" s="35">
        <v>1</v>
      </c>
      <c r="O471" s="35">
        <v>15</v>
      </c>
      <c r="P471" s="35">
        <v>0</v>
      </c>
      <c r="Q471" s="35">
        <v>5</v>
      </c>
      <c r="R471" s="1203">
        <v>73.3</v>
      </c>
      <c r="S471" s="1203">
        <f t="shared" si="17"/>
        <v>1099.5</v>
      </c>
      <c r="T471" s="35" t="s">
        <v>2245</v>
      </c>
      <c r="U471" s="1855" t="s">
        <v>2246</v>
      </c>
      <c r="V471" s="35" t="s">
        <v>2247</v>
      </c>
      <c r="W471" s="2018" t="s">
        <v>2266</v>
      </c>
      <c r="X471" s="18"/>
      <c r="Y471" s="4"/>
      <c r="Z471" s="4"/>
    </row>
    <row r="472" spans="1:26" ht="24.95" hidden="1">
      <c r="A472" s="20">
        <v>479</v>
      </c>
      <c r="B472" s="1063">
        <v>40249</v>
      </c>
      <c r="C472" s="35" t="s">
        <v>2267</v>
      </c>
      <c r="D472" s="11"/>
      <c r="E472" s="22" t="s">
        <v>572</v>
      </c>
      <c r="F472" s="35" t="s">
        <v>412</v>
      </c>
      <c r="G472" s="35" t="s">
        <v>2268</v>
      </c>
      <c r="H472" s="35" t="s">
        <v>2269</v>
      </c>
      <c r="I472" s="35" t="s">
        <v>1662</v>
      </c>
      <c r="J472" s="35" t="s">
        <v>2270</v>
      </c>
      <c r="K472" s="35" t="s">
        <v>2271</v>
      </c>
      <c r="L472" s="54" t="s">
        <v>2272</v>
      </c>
      <c r="M472" s="35">
        <v>5</v>
      </c>
      <c r="N472" s="35">
        <v>1</v>
      </c>
      <c r="O472" s="35">
        <v>10</v>
      </c>
      <c r="P472" s="35">
        <v>0</v>
      </c>
      <c r="Q472" s="35">
        <v>5</v>
      </c>
      <c r="R472" s="1203">
        <v>100.7</v>
      </c>
      <c r="S472" s="1203">
        <f t="shared" si="17"/>
        <v>1007</v>
      </c>
      <c r="T472" s="35" t="s">
        <v>2245</v>
      </c>
      <c r="U472" s="1855" t="s">
        <v>2246</v>
      </c>
      <c r="V472" s="35" t="s">
        <v>2247</v>
      </c>
      <c r="W472" s="2018" t="s">
        <v>2273</v>
      </c>
      <c r="X472" s="18"/>
      <c r="Y472" s="4"/>
      <c r="Z472" s="4"/>
    </row>
    <row r="473" spans="1:26" ht="37.5" hidden="1">
      <c r="A473" s="20">
        <v>480</v>
      </c>
      <c r="B473" s="1063">
        <v>40250</v>
      </c>
      <c r="C473" s="35" t="s">
        <v>2274</v>
      </c>
      <c r="D473" s="11"/>
      <c r="E473" s="22" t="s">
        <v>572</v>
      </c>
      <c r="F473" s="35" t="s">
        <v>412</v>
      </c>
      <c r="G473" s="35" t="s">
        <v>2275</v>
      </c>
      <c r="H473" s="35" t="s">
        <v>1715</v>
      </c>
      <c r="I473" s="35" t="s">
        <v>1662</v>
      </c>
      <c r="J473" s="35" t="s">
        <v>2276</v>
      </c>
      <c r="K473" s="35" t="s">
        <v>2277</v>
      </c>
      <c r="L473" s="54" t="s">
        <v>1671</v>
      </c>
      <c r="M473" s="35">
        <v>5</v>
      </c>
      <c r="N473" s="35">
        <v>1</v>
      </c>
      <c r="O473" s="35">
        <v>10</v>
      </c>
      <c r="P473" s="35">
        <v>0</v>
      </c>
      <c r="Q473" s="35">
        <v>5</v>
      </c>
      <c r="R473" s="1203">
        <v>13</v>
      </c>
      <c r="S473" s="1203">
        <f t="shared" si="17"/>
        <v>130</v>
      </c>
      <c r="T473" s="35" t="s">
        <v>2245</v>
      </c>
      <c r="U473" s="1855" t="s">
        <v>2246</v>
      </c>
      <c r="V473" s="35" t="s">
        <v>2247</v>
      </c>
      <c r="W473" s="2018" t="s">
        <v>2278</v>
      </c>
      <c r="X473" s="18"/>
      <c r="Y473" s="4"/>
      <c r="Z473" s="4"/>
    </row>
    <row r="474" spans="1:26" ht="37.5" hidden="1">
      <c r="A474" s="20">
        <v>481</v>
      </c>
      <c r="B474" s="1063">
        <v>40251</v>
      </c>
      <c r="C474" s="35" t="s">
        <v>2279</v>
      </c>
      <c r="D474" s="11"/>
      <c r="E474" s="22" t="s">
        <v>572</v>
      </c>
      <c r="F474" s="35" t="s">
        <v>412</v>
      </c>
      <c r="G474" s="35" t="s">
        <v>2279</v>
      </c>
      <c r="H474" s="35" t="s">
        <v>2280</v>
      </c>
      <c r="I474" s="35" t="s">
        <v>1662</v>
      </c>
      <c r="J474" s="35" t="s">
        <v>512</v>
      </c>
      <c r="K474" s="35" t="s">
        <v>2281</v>
      </c>
      <c r="L474" s="54" t="s">
        <v>2282</v>
      </c>
      <c r="M474" s="35">
        <v>5</v>
      </c>
      <c r="N474" s="35">
        <v>1</v>
      </c>
      <c r="O474" s="35">
        <v>10</v>
      </c>
      <c r="P474" s="35">
        <v>0</v>
      </c>
      <c r="Q474" s="35">
        <v>5</v>
      </c>
      <c r="R474" s="1203">
        <v>57.2</v>
      </c>
      <c r="S474" s="1203">
        <f t="shared" si="17"/>
        <v>572</v>
      </c>
      <c r="T474" s="35" t="s">
        <v>2245</v>
      </c>
      <c r="U474" s="1855" t="s">
        <v>2246</v>
      </c>
      <c r="V474" s="35" t="s">
        <v>2247</v>
      </c>
      <c r="W474" s="2018" t="s">
        <v>2283</v>
      </c>
      <c r="X474" s="18"/>
      <c r="Y474" s="4"/>
      <c r="Z474" s="4"/>
    </row>
    <row r="475" spans="1:26" ht="37.5" hidden="1">
      <c r="A475" s="20">
        <v>482</v>
      </c>
      <c r="B475" s="1063">
        <v>40252</v>
      </c>
      <c r="C475" s="35" t="s">
        <v>188</v>
      </c>
      <c r="D475" s="11"/>
      <c r="E475" s="22" t="s">
        <v>572</v>
      </c>
      <c r="F475" s="35" t="s">
        <v>412</v>
      </c>
      <c r="G475" s="35" t="s">
        <v>2284</v>
      </c>
      <c r="H475" s="35" t="s">
        <v>2285</v>
      </c>
      <c r="I475" s="35" t="s">
        <v>1662</v>
      </c>
      <c r="J475" s="35" t="s">
        <v>2286</v>
      </c>
      <c r="K475" s="35" t="s">
        <v>2287</v>
      </c>
      <c r="L475" s="35" t="s">
        <v>552</v>
      </c>
      <c r="M475" s="35">
        <v>10</v>
      </c>
      <c r="N475" s="35">
        <v>1</v>
      </c>
      <c r="O475" s="35">
        <v>15</v>
      </c>
      <c r="P475" s="35">
        <v>0</v>
      </c>
      <c r="Q475" s="35">
        <v>5</v>
      </c>
      <c r="R475" s="1203">
        <v>32</v>
      </c>
      <c r="S475" s="1203">
        <f t="shared" si="17"/>
        <v>480</v>
      </c>
      <c r="T475" s="35" t="s">
        <v>2245</v>
      </c>
      <c r="U475" s="1855" t="s">
        <v>2246</v>
      </c>
      <c r="V475" s="35" t="s">
        <v>2247</v>
      </c>
      <c r="W475" s="2018" t="s">
        <v>2288</v>
      </c>
      <c r="X475" s="18"/>
      <c r="Y475" s="4"/>
      <c r="Z475" s="4"/>
    </row>
    <row r="476" spans="1:26" ht="37.5" hidden="1">
      <c r="A476" s="20">
        <v>483</v>
      </c>
      <c r="B476" s="1063">
        <v>40253</v>
      </c>
      <c r="C476" s="35" t="s">
        <v>188</v>
      </c>
      <c r="D476" s="11"/>
      <c r="E476" s="22" t="s">
        <v>572</v>
      </c>
      <c r="F476" s="35" t="s">
        <v>412</v>
      </c>
      <c r="G476" s="35" t="s">
        <v>2289</v>
      </c>
      <c r="H476" s="35" t="s">
        <v>1092</v>
      </c>
      <c r="I476" s="35" t="s">
        <v>1662</v>
      </c>
      <c r="J476" s="35" t="s">
        <v>2290</v>
      </c>
      <c r="K476" s="35" t="s">
        <v>2291</v>
      </c>
      <c r="L476" s="35" t="s">
        <v>2292</v>
      </c>
      <c r="M476" s="35">
        <v>5</v>
      </c>
      <c r="N476" s="35">
        <v>1</v>
      </c>
      <c r="O476" s="35">
        <v>10</v>
      </c>
      <c r="P476" s="35">
        <v>0</v>
      </c>
      <c r="Q476" s="35">
        <v>5</v>
      </c>
      <c r="R476" s="1203">
        <v>5.4</v>
      </c>
      <c r="S476" s="1203">
        <f t="shared" si="17"/>
        <v>54</v>
      </c>
      <c r="T476" s="35" t="s">
        <v>2245</v>
      </c>
      <c r="U476" s="1855" t="s">
        <v>2246</v>
      </c>
      <c r="V476" s="35" t="s">
        <v>2247</v>
      </c>
      <c r="W476" s="2018" t="s">
        <v>2293</v>
      </c>
      <c r="X476" s="18"/>
      <c r="Y476" s="4"/>
      <c r="Z476" s="4"/>
    </row>
    <row r="477" spans="1:26" ht="37.5" hidden="1">
      <c r="A477" s="20">
        <v>484</v>
      </c>
      <c r="B477" s="1063">
        <v>40254</v>
      </c>
      <c r="C477" s="35" t="s">
        <v>188</v>
      </c>
      <c r="D477" s="11"/>
      <c r="E477" s="22" t="s">
        <v>572</v>
      </c>
      <c r="F477" s="35" t="s">
        <v>412</v>
      </c>
      <c r="G477" s="35" t="s">
        <v>2294</v>
      </c>
      <c r="H477" s="35" t="s">
        <v>1092</v>
      </c>
      <c r="I477" s="35" t="s">
        <v>1662</v>
      </c>
      <c r="J477" s="35" t="s">
        <v>2295</v>
      </c>
      <c r="K477" s="35" t="s">
        <v>2296</v>
      </c>
      <c r="L477" s="35" t="s">
        <v>2292</v>
      </c>
      <c r="M477" s="35">
        <v>5</v>
      </c>
      <c r="N477" s="35">
        <v>1</v>
      </c>
      <c r="O477" s="35">
        <v>10</v>
      </c>
      <c r="P477" s="35">
        <v>0</v>
      </c>
      <c r="Q477" s="35">
        <v>5</v>
      </c>
      <c r="R477" s="1203">
        <v>5.4</v>
      </c>
      <c r="S477" s="1203">
        <f t="shared" si="17"/>
        <v>54</v>
      </c>
      <c r="T477" s="35" t="s">
        <v>2245</v>
      </c>
      <c r="U477" s="1855" t="s">
        <v>2246</v>
      </c>
      <c r="V477" s="35" t="s">
        <v>2247</v>
      </c>
      <c r="W477" s="2018" t="s">
        <v>2297</v>
      </c>
      <c r="X477" s="18"/>
      <c r="Y477" s="4"/>
      <c r="Z477" s="4"/>
    </row>
    <row r="478" spans="1:26" ht="37.5" hidden="1">
      <c r="A478" s="20">
        <v>485</v>
      </c>
      <c r="B478" s="1063">
        <v>40255</v>
      </c>
      <c r="C478" s="35" t="s">
        <v>188</v>
      </c>
      <c r="D478" s="11"/>
      <c r="E478" s="22" t="s">
        <v>572</v>
      </c>
      <c r="F478" s="35" t="s">
        <v>412</v>
      </c>
      <c r="G478" s="35" t="s">
        <v>2298</v>
      </c>
      <c r="H478" s="35" t="s">
        <v>1092</v>
      </c>
      <c r="I478" s="35" t="s">
        <v>1662</v>
      </c>
      <c r="J478" s="35" t="s">
        <v>2299</v>
      </c>
      <c r="K478" s="35" t="s">
        <v>2300</v>
      </c>
      <c r="L478" s="35" t="s">
        <v>2292</v>
      </c>
      <c r="M478" s="35">
        <v>5</v>
      </c>
      <c r="N478" s="35">
        <v>1</v>
      </c>
      <c r="O478" s="35">
        <v>10</v>
      </c>
      <c r="P478" s="35">
        <v>0</v>
      </c>
      <c r="Q478" s="35">
        <v>5</v>
      </c>
      <c r="R478" s="1203">
        <v>5.4</v>
      </c>
      <c r="S478" s="1203">
        <f t="shared" si="17"/>
        <v>54</v>
      </c>
      <c r="T478" s="35" t="s">
        <v>2245</v>
      </c>
      <c r="U478" s="1855" t="s">
        <v>2246</v>
      </c>
      <c r="V478" s="35" t="s">
        <v>2247</v>
      </c>
      <c r="W478" s="2018" t="s">
        <v>2301</v>
      </c>
      <c r="X478" s="18"/>
      <c r="Y478" s="4"/>
      <c r="Z478" s="4"/>
    </row>
    <row r="479" spans="1:26" ht="37.5" hidden="1">
      <c r="A479" s="20">
        <v>486</v>
      </c>
      <c r="B479" s="1063">
        <v>40256</v>
      </c>
      <c r="C479" s="35" t="s">
        <v>188</v>
      </c>
      <c r="D479" s="11"/>
      <c r="E479" s="22" t="s">
        <v>572</v>
      </c>
      <c r="F479" s="35" t="s">
        <v>412</v>
      </c>
      <c r="G479" s="35" t="s">
        <v>2302</v>
      </c>
      <c r="H479" s="35" t="s">
        <v>1092</v>
      </c>
      <c r="I479" s="35" t="s">
        <v>1662</v>
      </c>
      <c r="J479" s="35" t="s">
        <v>2303</v>
      </c>
      <c r="K479" s="35" t="s">
        <v>2304</v>
      </c>
      <c r="L479" s="35" t="s">
        <v>2292</v>
      </c>
      <c r="M479" s="35">
        <v>5</v>
      </c>
      <c r="N479" s="35">
        <v>1</v>
      </c>
      <c r="O479" s="35">
        <v>10</v>
      </c>
      <c r="P479" s="35">
        <v>0</v>
      </c>
      <c r="Q479" s="35">
        <v>5</v>
      </c>
      <c r="R479" s="1203">
        <v>5.4</v>
      </c>
      <c r="S479" s="1203">
        <f t="shared" si="17"/>
        <v>54</v>
      </c>
      <c r="T479" s="35" t="s">
        <v>2245</v>
      </c>
      <c r="U479" s="1855" t="s">
        <v>2246</v>
      </c>
      <c r="V479" s="35" t="s">
        <v>2247</v>
      </c>
      <c r="W479" s="2018" t="s">
        <v>2305</v>
      </c>
      <c r="X479" s="18"/>
      <c r="Y479" s="4"/>
      <c r="Z479" s="4"/>
    </row>
    <row r="480" spans="1:26" ht="37.5" hidden="1">
      <c r="A480" s="20">
        <v>487</v>
      </c>
      <c r="B480" s="1063">
        <v>40257</v>
      </c>
      <c r="C480" s="35" t="s">
        <v>188</v>
      </c>
      <c r="D480" s="11"/>
      <c r="E480" s="22" t="s">
        <v>572</v>
      </c>
      <c r="F480" s="35" t="s">
        <v>412</v>
      </c>
      <c r="G480" s="35" t="s">
        <v>2306</v>
      </c>
      <c r="H480" s="35" t="s">
        <v>1092</v>
      </c>
      <c r="I480" s="35" t="s">
        <v>1662</v>
      </c>
      <c r="J480" s="35" t="s">
        <v>2307</v>
      </c>
      <c r="K480" s="35" t="s">
        <v>2308</v>
      </c>
      <c r="L480" s="35" t="s">
        <v>2292</v>
      </c>
      <c r="M480" s="35">
        <v>5</v>
      </c>
      <c r="N480" s="35">
        <v>1</v>
      </c>
      <c r="O480" s="35">
        <v>10</v>
      </c>
      <c r="P480" s="35">
        <v>0</v>
      </c>
      <c r="Q480" s="35">
        <v>5</v>
      </c>
      <c r="R480" s="1203">
        <v>5.4</v>
      </c>
      <c r="S480" s="1203">
        <f t="shared" si="17"/>
        <v>54</v>
      </c>
      <c r="T480" s="35" t="s">
        <v>2245</v>
      </c>
      <c r="U480" s="1855" t="s">
        <v>2246</v>
      </c>
      <c r="V480" s="35" t="s">
        <v>2247</v>
      </c>
      <c r="W480" s="2018" t="s">
        <v>2309</v>
      </c>
      <c r="X480" s="18"/>
      <c r="Y480" s="4"/>
      <c r="Z480" s="4"/>
    </row>
    <row r="481" spans="1:26" ht="37.5" hidden="1">
      <c r="A481" s="20">
        <v>488</v>
      </c>
      <c r="B481" s="1063">
        <v>40258</v>
      </c>
      <c r="C481" s="35" t="s">
        <v>188</v>
      </c>
      <c r="D481" s="11"/>
      <c r="E481" s="22" t="s">
        <v>572</v>
      </c>
      <c r="F481" s="35" t="s">
        <v>412</v>
      </c>
      <c r="G481" s="35" t="s">
        <v>2310</v>
      </c>
      <c r="H481" s="35" t="s">
        <v>2285</v>
      </c>
      <c r="I481" s="35" t="s">
        <v>1662</v>
      </c>
      <c r="J481" s="35" t="s">
        <v>2311</v>
      </c>
      <c r="K481" s="35" t="s">
        <v>2312</v>
      </c>
      <c r="L481" s="35" t="s">
        <v>552</v>
      </c>
      <c r="M481" s="35">
        <v>5</v>
      </c>
      <c r="N481" s="35">
        <v>1</v>
      </c>
      <c r="O481" s="35">
        <v>10</v>
      </c>
      <c r="P481" s="35">
        <v>0</v>
      </c>
      <c r="Q481" s="35">
        <v>5</v>
      </c>
      <c r="R481" s="1203">
        <v>18</v>
      </c>
      <c r="S481" s="1203">
        <f t="shared" si="17"/>
        <v>180</v>
      </c>
      <c r="T481" s="35" t="s">
        <v>2245</v>
      </c>
      <c r="U481" s="1855" t="s">
        <v>2246</v>
      </c>
      <c r="V481" s="35" t="s">
        <v>2247</v>
      </c>
      <c r="W481" s="2018" t="s">
        <v>2313</v>
      </c>
      <c r="X481" s="18"/>
      <c r="Y481" s="4"/>
      <c r="Z481" s="4"/>
    </row>
    <row r="482" spans="1:26" ht="37.5" hidden="1">
      <c r="A482" s="20">
        <v>489</v>
      </c>
      <c r="B482" s="1063">
        <v>40259</v>
      </c>
      <c r="C482" s="35" t="s">
        <v>2314</v>
      </c>
      <c r="D482" s="11"/>
      <c r="E482" s="22" t="s">
        <v>572</v>
      </c>
      <c r="F482" s="35" t="s">
        <v>412</v>
      </c>
      <c r="G482" s="35" t="s">
        <v>2315</v>
      </c>
      <c r="H482" s="35" t="s">
        <v>1073</v>
      </c>
      <c r="I482" s="35" t="s">
        <v>1662</v>
      </c>
      <c r="J482" s="35" t="s">
        <v>2316</v>
      </c>
      <c r="K482" s="35" t="s">
        <v>2317</v>
      </c>
      <c r="L482" s="35" t="s">
        <v>2318</v>
      </c>
      <c r="M482" s="35">
        <v>5</v>
      </c>
      <c r="N482" s="35">
        <v>1</v>
      </c>
      <c r="O482" s="35">
        <v>10</v>
      </c>
      <c r="P482" s="35">
        <v>0</v>
      </c>
      <c r="Q482" s="35">
        <v>5</v>
      </c>
      <c r="R482" s="1203">
        <v>1549.7</v>
      </c>
      <c r="S482" s="1203">
        <f t="shared" si="17"/>
        <v>15497</v>
      </c>
      <c r="T482" s="35" t="s">
        <v>2245</v>
      </c>
      <c r="U482" s="1855" t="s">
        <v>2246</v>
      </c>
      <c r="V482" s="35" t="s">
        <v>2247</v>
      </c>
      <c r="W482" s="2018" t="s">
        <v>2319</v>
      </c>
      <c r="X482" s="18"/>
      <c r="Y482" s="4"/>
      <c r="Z482" s="4"/>
    </row>
    <row r="483" spans="1:26" ht="37.5" hidden="1">
      <c r="A483" s="20">
        <v>490</v>
      </c>
      <c r="B483" s="1063">
        <v>40260</v>
      </c>
      <c r="C483" s="35" t="s">
        <v>2320</v>
      </c>
      <c r="D483" s="11"/>
      <c r="E483" s="22" t="s">
        <v>572</v>
      </c>
      <c r="F483" s="35" t="s">
        <v>412</v>
      </c>
      <c r="G483" s="35" t="s">
        <v>2321</v>
      </c>
      <c r="H483" s="35" t="s">
        <v>1853</v>
      </c>
      <c r="I483" s="35" t="s">
        <v>1662</v>
      </c>
      <c r="J483" s="35" t="s">
        <v>2322</v>
      </c>
      <c r="K483" s="35" t="s">
        <v>2323</v>
      </c>
      <c r="L483" s="35" t="s">
        <v>2324</v>
      </c>
      <c r="M483" s="35">
        <v>5</v>
      </c>
      <c r="N483" s="35">
        <v>1</v>
      </c>
      <c r="O483" s="35">
        <v>10</v>
      </c>
      <c r="P483" s="35">
        <v>0</v>
      </c>
      <c r="Q483" s="35">
        <v>5</v>
      </c>
      <c r="R483" s="1203">
        <v>240.9</v>
      </c>
      <c r="S483" s="1203">
        <f t="shared" si="17"/>
        <v>2409</v>
      </c>
      <c r="T483" s="35" t="s">
        <v>2245</v>
      </c>
      <c r="U483" s="1855" t="s">
        <v>2246</v>
      </c>
      <c r="V483" s="35" t="s">
        <v>2247</v>
      </c>
      <c r="W483" s="2018" t="s">
        <v>2325</v>
      </c>
      <c r="X483" s="18"/>
      <c r="Y483" s="4"/>
      <c r="Z483" s="4"/>
    </row>
    <row r="484" spans="1:26" ht="14.1" hidden="1">
      <c r="A484" s="20">
        <v>491</v>
      </c>
      <c r="B484" s="1063">
        <v>40261</v>
      </c>
      <c r="C484" s="22" t="s">
        <v>2233</v>
      </c>
      <c r="D484" s="11"/>
      <c r="E484" s="22" t="s">
        <v>2234</v>
      </c>
      <c r="F484" s="22" t="s">
        <v>1118</v>
      </c>
      <c r="G484" s="22" t="s">
        <v>2326</v>
      </c>
      <c r="H484" s="22" t="s">
        <v>2236</v>
      </c>
      <c r="I484" s="54" t="s">
        <v>2237</v>
      </c>
      <c r="J484" s="22" t="s">
        <v>2238</v>
      </c>
      <c r="K484" s="22" t="s">
        <v>2238</v>
      </c>
      <c r="L484" s="22" t="s">
        <v>1</v>
      </c>
      <c r="M484" s="22">
        <v>1</v>
      </c>
      <c r="N484" s="22">
        <v>1</v>
      </c>
      <c r="O484" s="22">
        <v>1</v>
      </c>
      <c r="P484" s="22">
        <v>0</v>
      </c>
      <c r="Q484" s="22">
        <v>1</v>
      </c>
      <c r="R484" s="1201">
        <v>33048</v>
      </c>
      <c r="S484" s="1203">
        <f t="shared" si="17"/>
        <v>33048</v>
      </c>
      <c r="T484" s="22" t="s">
        <v>1123</v>
      </c>
      <c r="U484" s="1854" t="s">
        <v>1986</v>
      </c>
      <c r="V484" s="22" t="s">
        <v>1987</v>
      </c>
      <c r="W484" s="2007"/>
      <c r="X484" s="18"/>
      <c r="Y484" s="4"/>
      <c r="Z484" s="4"/>
    </row>
    <row r="485" spans="1:26" ht="56.1" hidden="1">
      <c r="A485" s="20">
        <v>492</v>
      </c>
      <c r="B485" s="1063">
        <v>40262</v>
      </c>
      <c r="C485" s="22" t="s">
        <v>329</v>
      </c>
      <c r="D485" s="11"/>
      <c r="E485" s="22" t="s">
        <v>572</v>
      </c>
      <c r="F485" s="22" t="s">
        <v>412</v>
      </c>
      <c r="G485" s="22" t="s">
        <v>2327</v>
      </c>
      <c r="H485" s="35" t="s">
        <v>2285</v>
      </c>
      <c r="I485" s="22" t="s">
        <v>574</v>
      </c>
      <c r="J485" s="22" t="s">
        <v>2328</v>
      </c>
      <c r="K485" s="22" t="s">
        <v>2329</v>
      </c>
      <c r="L485" s="22">
        <v>1005</v>
      </c>
      <c r="M485" s="22">
        <v>5</v>
      </c>
      <c r="N485" s="22">
        <v>1</v>
      </c>
      <c r="O485" s="22">
        <v>10</v>
      </c>
      <c r="P485" s="22">
        <v>0</v>
      </c>
      <c r="Q485" s="22">
        <v>5</v>
      </c>
      <c r="R485" s="1201">
        <v>10</v>
      </c>
      <c r="S485" s="1203">
        <f t="shared" si="17"/>
        <v>100</v>
      </c>
      <c r="T485" s="22" t="s">
        <v>2245</v>
      </c>
      <c r="U485" s="1855" t="s">
        <v>2246</v>
      </c>
      <c r="V485" s="35" t="s">
        <v>2247</v>
      </c>
      <c r="W485" s="2006" t="s">
        <v>2330</v>
      </c>
      <c r="X485" s="18"/>
      <c r="Y485" s="4"/>
      <c r="Z485" s="4"/>
    </row>
    <row r="486" spans="1:26" ht="224.1" hidden="1">
      <c r="A486" s="20">
        <v>493</v>
      </c>
      <c r="B486" s="1063">
        <v>40263</v>
      </c>
      <c r="C486" s="22" t="s">
        <v>2331</v>
      </c>
      <c r="D486" s="11"/>
      <c r="E486" s="22" t="s">
        <v>62</v>
      </c>
      <c r="F486" s="22" t="s">
        <v>2332</v>
      </c>
      <c r="G486" s="22" t="s">
        <v>2333</v>
      </c>
      <c r="H486" s="22" t="s">
        <v>2334</v>
      </c>
      <c r="I486" s="22" t="s">
        <v>1022</v>
      </c>
      <c r="J486" s="22"/>
      <c r="K486" s="22"/>
      <c r="L486" s="22"/>
      <c r="M486" s="22">
        <v>1</v>
      </c>
      <c r="N486" s="22">
        <v>1</v>
      </c>
      <c r="O486" s="22">
        <v>1</v>
      </c>
      <c r="P486" s="22">
        <v>0</v>
      </c>
      <c r="Q486" s="22">
        <v>1</v>
      </c>
      <c r="R486" s="1201">
        <v>10899</v>
      </c>
      <c r="S486" s="1201">
        <f>R486</f>
        <v>10899</v>
      </c>
      <c r="T486" s="22" t="s">
        <v>929</v>
      </c>
      <c r="U486" s="1854" t="s">
        <v>929</v>
      </c>
      <c r="V486" s="22" t="s">
        <v>931</v>
      </c>
      <c r="W486" s="2006" t="s">
        <v>2335</v>
      </c>
      <c r="X486" s="18"/>
      <c r="Y486" s="4"/>
      <c r="Z486" s="4"/>
    </row>
    <row r="487" spans="1:26" ht="42" hidden="1">
      <c r="A487" s="20">
        <v>494</v>
      </c>
      <c r="B487" s="1063">
        <v>40264</v>
      </c>
      <c r="C487" s="22" t="s">
        <v>346</v>
      </c>
      <c r="D487" s="11"/>
      <c r="E487" s="22" t="s">
        <v>572</v>
      </c>
      <c r="F487" s="22" t="s">
        <v>1569</v>
      </c>
      <c r="G487" s="22" t="s">
        <v>2336</v>
      </c>
      <c r="H487" s="22" t="s">
        <v>2337</v>
      </c>
      <c r="I487" s="22" t="s">
        <v>574</v>
      </c>
      <c r="J487" s="63" t="s">
        <v>2338</v>
      </c>
      <c r="K487" s="63" t="s">
        <v>2339</v>
      </c>
      <c r="L487" s="22" t="s">
        <v>2340</v>
      </c>
      <c r="M487" s="22">
        <v>5</v>
      </c>
      <c r="N487" s="22">
        <v>1</v>
      </c>
      <c r="O487" s="22">
        <v>20</v>
      </c>
      <c r="P487" s="22">
        <v>0</v>
      </c>
      <c r="Q487" s="22">
        <v>15</v>
      </c>
      <c r="R487" s="1201">
        <v>268</v>
      </c>
      <c r="S487" s="1201">
        <f>R487*O487</f>
        <v>5360</v>
      </c>
      <c r="T487" s="22" t="s">
        <v>929</v>
      </c>
      <c r="U487" s="1854" t="s">
        <v>1688</v>
      </c>
      <c r="V487" s="22" t="s">
        <v>931</v>
      </c>
      <c r="W487" s="2006" t="s">
        <v>2341</v>
      </c>
      <c r="X487" s="18"/>
      <c r="Y487" s="4"/>
      <c r="Z487" s="4"/>
    </row>
    <row r="488" spans="1:26" ht="42" hidden="1">
      <c r="A488" s="20">
        <v>495</v>
      </c>
      <c r="B488" s="1063">
        <v>40265</v>
      </c>
      <c r="C488" s="22" t="s">
        <v>2342</v>
      </c>
      <c r="D488" s="11"/>
      <c r="E488" s="22" t="s">
        <v>572</v>
      </c>
      <c r="F488" s="22" t="s">
        <v>1569</v>
      </c>
      <c r="G488" s="22" t="s">
        <v>2343</v>
      </c>
      <c r="H488" s="22" t="s">
        <v>1422</v>
      </c>
      <c r="I488" s="22" t="s">
        <v>574</v>
      </c>
      <c r="J488" s="63" t="s">
        <v>2344</v>
      </c>
      <c r="K488" s="63" t="s">
        <v>2345</v>
      </c>
      <c r="L488" s="22">
        <v>805</v>
      </c>
      <c r="M488" s="22">
        <v>2</v>
      </c>
      <c r="N488" s="22">
        <v>1</v>
      </c>
      <c r="O488" s="22">
        <v>10</v>
      </c>
      <c r="P488" s="22">
        <v>0</v>
      </c>
      <c r="Q488" s="22">
        <v>9</v>
      </c>
      <c r="R488" s="1201">
        <v>39</v>
      </c>
      <c r="S488" s="1201">
        <v>390</v>
      </c>
      <c r="T488" s="22" t="s">
        <v>929</v>
      </c>
      <c r="U488" s="1854" t="s">
        <v>1688</v>
      </c>
      <c r="V488" s="22" t="s">
        <v>931</v>
      </c>
      <c r="W488" s="2006" t="s">
        <v>2346</v>
      </c>
      <c r="X488" s="18"/>
      <c r="Y488" s="4"/>
      <c r="Z488" s="4"/>
    </row>
    <row r="489" spans="1:26" ht="27.95" hidden="1">
      <c r="A489" s="20">
        <v>496</v>
      </c>
      <c r="B489" s="1063">
        <v>40266</v>
      </c>
      <c r="C489" s="22" t="s">
        <v>1083</v>
      </c>
      <c r="D489" s="11"/>
      <c r="E489" s="22" t="s">
        <v>572</v>
      </c>
      <c r="F489" s="22" t="s">
        <v>1569</v>
      </c>
      <c r="G489" s="22" t="s">
        <v>2347</v>
      </c>
      <c r="H489" s="22" t="s">
        <v>1709</v>
      </c>
      <c r="I489" s="22" t="s">
        <v>574</v>
      </c>
      <c r="J489" s="63" t="s">
        <v>1710</v>
      </c>
      <c r="K489" s="63" t="s">
        <v>1711</v>
      </c>
      <c r="L489" s="22"/>
      <c r="M489" s="22">
        <v>5</v>
      </c>
      <c r="N489" s="22">
        <v>1</v>
      </c>
      <c r="O489" s="22">
        <v>10</v>
      </c>
      <c r="P489" s="22">
        <v>3</v>
      </c>
      <c r="Q489" s="22">
        <v>8</v>
      </c>
      <c r="R489" s="1201">
        <v>202</v>
      </c>
      <c r="S489" s="1201">
        <v>2020</v>
      </c>
      <c r="T489" s="22" t="s">
        <v>929</v>
      </c>
      <c r="U489" s="1854" t="s">
        <v>1688</v>
      </c>
      <c r="V489" s="22" t="s">
        <v>931</v>
      </c>
      <c r="W489" s="2006" t="s">
        <v>2348</v>
      </c>
      <c r="X489" s="18"/>
      <c r="Y489" s="4"/>
      <c r="Z489" s="4"/>
    </row>
    <row r="490" spans="1:26" ht="27.95" hidden="1">
      <c r="A490" s="20">
        <v>497</v>
      </c>
      <c r="B490" s="1063">
        <v>40267</v>
      </c>
      <c r="C490" s="22" t="s">
        <v>2349</v>
      </c>
      <c r="D490" s="11"/>
      <c r="E490" s="22" t="s">
        <v>572</v>
      </c>
      <c r="F490" s="22" t="s">
        <v>1569</v>
      </c>
      <c r="G490" s="22" t="s">
        <v>2173</v>
      </c>
      <c r="H490" s="22" t="s">
        <v>641</v>
      </c>
      <c r="I490" s="22" t="s">
        <v>574</v>
      </c>
      <c r="J490" s="63" t="s">
        <v>2350</v>
      </c>
      <c r="K490" s="63" t="s">
        <v>2351</v>
      </c>
      <c r="L490" s="22">
        <v>805</v>
      </c>
      <c r="M490" s="22">
        <v>1</v>
      </c>
      <c r="N490" s="22">
        <v>1</v>
      </c>
      <c r="O490" s="22">
        <v>10</v>
      </c>
      <c r="P490" s="22">
        <v>0</v>
      </c>
      <c r="Q490" s="22">
        <v>9</v>
      </c>
      <c r="R490" s="1201">
        <v>25</v>
      </c>
      <c r="S490" s="1201">
        <v>250</v>
      </c>
      <c r="T490" s="22" t="s">
        <v>929</v>
      </c>
      <c r="U490" s="1854" t="s">
        <v>1688</v>
      </c>
      <c r="V490" s="22" t="s">
        <v>931</v>
      </c>
      <c r="W490" s="2006" t="s">
        <v>2352</v>
      </c>
      <c r="X490" s="18"/>
      <c r="Y490" s="4"/>
      <c r="Z490" s="4"/>
    </row>
    <row r="491" spans="1:26" ht="69.95" hidden="1">
      <c r="A491" s="20">
        <v>498</v>
      </c>
      <c r="B491" s="1063">
        <v>40268</v>
      </c>
      <c r="C491" s="22" t="s">
        <v>2353</v>
      </c>
      <c r="D491" s="11"/>
      <c r="E491" s="22" t="s">
        <v>572</v>
      </c>
      <c r="F491" s="22" t="s">
        <v>1569</v>
      </c>
      <c r="G491" s="22" t="s">
        <v>1858</v>
      </c>
      <c r="H491" s="22" t="s">
        <v>1715</v>
      </c>
      <c r="I491" s="22" t="s">
        <v>574</v>
      </c>
      <c r="J491" s="63" t="s">
        <v>2354</v>
      </c>
      <c r="K491" s="63" t="s">
        <v>2355</v>
      </c>
      <c r="L491" s="22" t="s">
        <v>2356</v>
      </c>
      <c r="M491" s="22">
        <v>1</v>
      </c>
      <c r="N491" s="22">
        <v>1</v>
      </c>
      <c r="O491" s="22">
        <v>15</v>
      </c>
      <c r="P491" s="22">
        <v>0</v>
      </c>
      <c r="Q491" s="22">
        <v>14</v>
      </c>
      <c r="R491" s="1201">
        <v>276</v>
      </c>
      <c r="S491" s="1201">
        <f>276*15</f>
        <v>4140</v>
      </c>
      <c r="T491" s="22" t="s">
        <v>929</v>
      </c>
      <c r="U491" s="1854" t="s">
        <v>2357</v>
      </c>
      <c r="V491" s="22" t="s">
        <v>931</v>
      </c>
      <c r="W491" s="2006" t="s">
        <v>2358</v>
      </c>
      <c r="X491" s="18"/>
      <c r="Y491" s="4"/>
      <c r="Z491" s="4"/>
    </row>
    <row r="492" spans="1:26" ht="42" hidden="1">
      <c r="A492" s="20">
        <v>499</v>
      </c>
      <c r="B492" s="1063">
        <v>40269</v>
      </c>
      <c r="C492" s="22" t="s">
        <v>2359</v>
      </c>
      <c r="D492" s="11"/>
      <c r="E492" s="22" t="s">
        <v>572</v>
      </c>
      <c r="F492" s="22" t="s">
        <v>1569</v>
      </c>
      <c r="G492" s="22" t="s">
        <v>2360</v>
      </c>
      <c r="H492" s="22" t="s">
        <v>2361</v>
      </c>
      <c r="I492" s="22" t="s">
        <v>1662</v>
      </c>
      <c r="J492" s="63" t="s">
        <v>2362</v>
      </c>
      <c r="K492" s="63" t="s">
        <v>2363</v>
      </c>
      <c r="L492" s="22" t="s">
        <v>2364</v>
      </c>
      <c r="M492" s="22">
        <v>1</v>
      </c>
      <c r="N492" s="22">
        <v>1</v>
      </c>
      <c r="O492" s="22">
        <v>10</v>
      </c>
      <c r="P492" s="22">
        <v>0</v>
      </c>
      <c r="Q492" s="22">
        <v>9</v>
      </c>
      <c r="R492" s="1201">
        <v>193</v>
      </c>
      <c r="S492" s="1201">
        <v>1930</v>
      </c>
      <c r="T492" s="22" t="s">
        <v>929</v>
      </c>
      <c r="U492" s="1854" t="s">
        <v>2365</v>
      </c>
      <c r="V492" s="22" t="s">
        <v>931</v>
      </c>
      <c r="W492" s="2006" t="s">
        <v>2366</v>
      </c>
      <c r="X492" s="18"/>
      <c r="Y492" s="4"/>
      <c r="Z492" s="4"/>
    </row>
    <row r="493" spans="1:26" ht="42" hidden="1">
      <c r="A493" s="20">
        <v>500</v>
      </c>
      <c r="B493" s="1063">
        <v>40270</v>
      </c>
      <c r="C493" s="22" t="s">
        <v>2367</v>
      </c>
      <c r="D493" s="11"/>
      <c r="E493" s="22" t="s">
        <v>572</v>
      </c>
      <c r="F493" s="22" t="s">
        <v>1569</v>
      </c>
      <c r="G493" s="22" t="s">
        <v>2368</v>
      </c>
      <c r="H493" s="22" t="s">
        <v>1647</v>
      </c>
      <c r="I493" s="22" t="s">
        <v>1662</v>
      </c>
      <c r="J493" s="63" t="s">
        <v>2369</v>
      </c>
      <c r="K493" s="63" t="s">
        <v>2370</v>
      </c>
      <c r="L493" s="22" t="s">
        <v>2371</v>
      </c>
      <c r="M493" s="22">
        <v>2</v>
      </c>
      <c r="N493" s="22">
        <v>1</v>
      </c>
      <c r="O493" s="22">
        <v>10</v>
      </c>
      <c r="P493" s="22">
        <v>0</v>
      </c>
      <c r="Q493" s="22">
        <v>8</v>
      </c>
      <c r="R493" s="1201">
        <v>273</v>
      </c>
      <c r="S493" s="1201">
        <v>2730</v>
      </c>
      <c r="T493" s="22" t="s">
        <v>929</v>
      </c>
      <c r="U493" s="1854" t="s">
        <v>2365</v>
      </c>
      <c r="V493" s="22" t="s">
        <v>931</v>
      </c>
      <c r="W493" s="2006" t="s">
        <v>2372</v>
      </c>
      <c r="X493" s="18"/>
      <c r="Y493" s="4"/>
      <c r="Z493" s="4"/>
    </row>
    <row r="494" spans="1:26" ht="14.1" hidden="1">
      <c r="A494" s="20">
        <v>501</v>
      </c>
      <c r="B494" s="1063">
        <v>40271</v>
      </c>
      <c r="C494" s="22" t="s">
        <v>2373</v>
      </c>
      <c r="D494" s="11"/>
      <c r="E494" s="22" t="s">
        <v>572</v>
      </c>
      <c r="F494" s="22" t="s">
        <v>1569</v>
      </c>
      <c r="G494" s="22" t="s">
        <v>2213</v>
      </c>
      <c r="H494" s="22" t="s">
        <v>1002</v>
      </c>
      <c r="I494" s="22" t="s">
        <v>1002</v>
      </c>
      <c r="J494" s="22"/>
      <c r="K494" s="22"/>
      <c r="L494" s="22"/>
      <c r="M494" s="22">
        <v>1</v>
      </c>
      <c r="N494" s="22">
        <v>1</v>
      </c>
      <c r="O494" s="22">
        <v>1</v>
      </c>
      <c r="P494" s="22">
        <v>0</v>
      </c>
      <c r="Q494" s="22">
        <v>0</v>
      </c>
      <c r="R494" s="1201">
        <v>90846</v>
      </c>
      <c r="S494" s="1201">
        <v>90846</v>
      </c>
      <c r="T494" s="22" t="s">
        <v>929</v>
      </c>
      <c r="U494" s="1854" t="s">
        <v>2374</v>
      </c>
      <c r="V494" s="22" t="s">
        <v>931</v>
      </c>
      <c r="W494" s="2006" t="s">
        <v>401</v>
      </c>
      <c r="X494" s="18" t="s">
        <v>2375</v>
      </c>
      <c r="Y494" s="4"/>
      <c r="Z494" s="4"/>
    </row>
    <row r="495" spans="1:26" ht="56.1" hidden="1">
      <c r="A495" s="20">
        <v>502</v>
      </c>
      <c r="B495" s="1063">
        <v>40272</v>
      </c>
      <c r="C495" s="22" t="s">
        <v>2376</v>
      </c>
      <c r="D495" s="11"/>
      <c r="E495" s="22" t="s">
        <v>2377</v>
      </c>
      <c r="F495" s="22" t="s">
        <v>1603</v>
      </c>
      <c r="G495" s="22" t="s">
        <v>2378</v>
      </c>
      <c r="H495" s="22" t="s">
        <v>2379</v>
      </c>
      <c r="I495" s="22" t="s">
        <v>2379</v>
      </c>
      <c r="J495" s="22"/>
      <c r="K495" s="22"/>
      <c r="L495" s="22"/>
      <c r="M495" s="22">
        <v>500</v>
      </c>
      <c r="N495" s="22">
        <v>500</v>
      </c>
      <c r="O495" s="22">
        <v>500</v>
      </c>
      <c r="P495" s="22">
        <v>0</v>
      </c>
      <c r="Q495" s="22">
        <v>500</v>
      </c>
      <c r="R495" s="1201">
        <v>196.6</v>
      </c>
      <c r="S495" s="1201">
        <f>Q495*R495</f>
        <v>98300</v>
      </c>
      <c r="T495" s="22" t="s">
        <v>1957</v>
      </c>
      <c r="U495" s="1854" t="s">
        <v>2380</v>
      </c>
      <c r="V495" s="22"/>
      <c r="W495" s="2006" t="s">
        <v>2381</v>
      </c>
      <c r="X495" s="18"/>
      <c r="Y495" s="4"/>
      <c r="Z495" s="4"/>
    </row>
    <row r="496" spans="1:26" ht="14.1" hidden="1">
      <c r="A496" s="20">
        <v>503</v>
      </c>
      <c r="B496" s="1063">
        <v>40273</v>
      </c>
      <c r="C496" s="22" t="s">
        <v>2382</v>
      </c>
      <c r="D496" s="11"/>
      <c r="E496" s="22" t="s">
        <v>62</v>
      </c>
      <c r="F496" s="22" t="s">
        <v>823</v>
      </c>
      <c r="G496" s="22" t="s">
        <v>2383</v>
      </c>
      <c r="H496" s="22" t="s">
        <v>2384</v>
      </c>
      <c r="I496" s="22" t="s">
        <v>2384</v>
      </c>
      <c r="J496" s="22">
        <v>43632</v>
      </c>
      <c r="K496" s="22" t="s">
        <v>2385</v>
      </c>
      <c r="L496" s="22"/>
      <c r="M496" s="22">
        <v>2</v>
      </c>
      <c r="N496" s="22">
        <v>2</v>
      </c>
      <c r="O496" s="22">
        <v>2</v>
      </c>
      <c r="P496" s="22">
        <v>0</v>
      </c>
      <c r="Q496" s="22">
        <v>0</v>
      </c>
      <c r="R496" s="1201">
        <v>22684.16</v>
      </c>
      <c r="S496" s="1201">
        <v>45368.28</v>
      </c>
      <c r="T496" s="22" t="s">
        <v>311</v>
      </c>
      <c r="U496" s="1854" t="s">
        <v>1543</v>
      </c>
      <c r="V496" s="22" t="s">
        <v>1506</v>
      </c>
      <c r="W496" s="2007" t="s">
        <v>2386</v>
      </c>
      <c r="X496" s="18"/>
      <c r="Y496" s="4"/>
      <c r="Z496" s="4"/>
    </row>
    <row r="497" spans="1:26" ht="14.1" hidden="1">
      <c r="A497" s="20">
        <v>504</v>
      </c>
      <c r="B497" s="1063">
        <v>40274</v>
      </c>
      <c r="C497" s="22" t="s">
        <v>2387</v>
      </c>
      <c r="D497" s="11"/>
      <c r="E497" s="22" t="s">
        <v>62</v>
      </c>
      <c r="F497" s="22" t="s">
        <v>823</v>
      </c>
      <c r="G497" s="22" t="s">
        <v>2388</v>
      </c>
      <c r="H497" s="22" t="s">
        <v>2389</v>
      </c>
      <c r="I497" s="22" t="s">
        <v>2390</v>
      </c>
      <c r="J497" s="22"/>
      <c r="K497" s="22"/>
      <c r="L497" s="22"/>
      <c r="M497" s="22">
        <v>2</v>
      </c>
      <c r="N497" s="22">
        <v>1</v>
      </c>
      <c r="O497" s="22">
        <v>2</v>
      </c>
      <c r="P497" s="22">
        <v>0</v>
      </c>
      <c r="Q497" s="22">
        <v>1</v>
      </c>
      <c r="R497" s="1201">
        <v>12160</v>
      </c>
      <c r="S497" s="1201">
        <v>24320</v>
      </c>
      <c r="T497" s="22" t="s">
        <v>311</v>
      </c>
      <c r="U497" s="1854" t="s">
        <v>1543</v>
      </c>
      <c r="V497" s="22" t="s">
        <v>1506</v>
      </c>
      <c r="W497" s="2006" t="s">
        <v>2391</v>
      </c>
      <c r="X497" s="18"/>
      <c r="Y497" s="4"/>
      <c r="Z497" s="4"/>
    </row>
    <row r="498" spans="1:26" ht="42" hidden="1">
      <c r="A498" s="20">
        <v>505</v>
      </c>
      <c r="B498" s="1063">
        <v>40275</v>
      </c>
      <c r="C498" s="22" t="s">
        <v>2392</v>
      </c>
      <c r="D498" s="11"/>
      <c r="E498" s="22" t="s">
        <v>62</v>
      </c>
      <c r="F498" s="22" t="s">
        <v>823</v>
      </c>
      <c r="G498" s="22" t="s">
        <v>2388</v>
      </c>
      <c r="H498" s="22" t="s">
        <v>2393</v>
      </c>
      <c r="I498" s="22" t="s">
        <v>2394</v>
      </c>
      <c r="J498" s="36" t="s">
        <v>2395</v>
      </c>
      <c r="K498" s="36" t="s">
        <v>2395</v>
      </c>
      <c r="L498" s="22"/>
      <c r="M498" s="22">
        <v>2</v>
      </c>
      <c r="N498" s="22">
        <v>1</v>
      </c>
      <c r="O498" s="22">
        <v>2</v>
      </c>
      <c r="P498" s="22">
        <v>0</v>
      </c>
      <c r="Q498" s="22">
        <v>1</v>
      </c>
      <c r="R498" s="1201">
        <v>11216.53</v>
      </c>
      <c r="S498" s="1201">
        <v>22433.07</v>
      </c>
      <c r="T498" s="22" t="s">
        <v>311</v>
      </c>
      <c r="U498" s="1854" t="s">
        <v>1543</v>
      </c>
      <c r="V498" s="22" t="s">
        <v>1506</v>
      </c>
      <c r="W498" s="2006" t="s">
        <v>2396</v>
      </c>
      <c r="X498" s="18"/>
      <c r="Y498" s="4"/>
      <c r="Z498" s="4"/>
    </row>
    <row r="499" spans="1:26" ht="14.1" hidden="1">
      <c r="A499" s="20">
        <v>506</v>
      </c>
      <c r="B499" s="1063">
        <v>40276</v>
      </c>
      <c r="C499" s="22" t="s">
        <v>2397</v>
      </c>
      <c r="D499" s="11"/>
      <c r="E499" s="22" t="s">
        <v>62</v>
      </c>
      <c r="F499" s="22" t="s">
        <v>823</v>
      </c>
      <c r="G499" s="22" t="s">
        <v>2398</v>
      </c>
      <c r="H499" s="22" t="s">
        <v>2399</v>
      </c>
      <c r="I499" s="22" t="s">
        <v>2400</v>
      </c>
      <c r="J499" s="48" t="s">
        <v>2401</v>
      </c>
      <c r="K499" s="48" t="s">
        <v>2401</v>
      </c>
      <c r="L499" s="22"/>
      <c r="M499" s="22">
        <v>3</v>
      </c>
      <c r="N499" s="22">
        <v>3</v>
      </c>
      <c r="O499" s="22">
        <v>2</v>
      </c>
      <c r="P499" s="22">
        <v>0</v>
      </c>
      <c r="Q499" s="22">
        <v>1</v>
      </c>
      <c r="R499" s="1201">
        <v>1818</v>
      </c>
      <c r="S499" s="1201">
        <v>5454</v>
      </c>
      <c r="T499" s="22" t="s">
        <v>311</v>
      </c>
      <c r="U499" s="1854" t="s">
        <v>1543</v>
      </c>
      <c r="V499" s="22" t="s">
        <v>1506</v>
      </c>
      <c r="W499" s="2006" t="s">
        <v>2402</v>
      </c>
      <c r="X499" s="18"/>
      <c r="Y499" s="4"/>
      <c r="Z499" s="4"/>
    </row>
    <row r="500" spans="1:26" ht="27.95" hidden="1">
      <c r="A500" s="20">
        <v>507</v>
      </c>
      <c r="B500" s="1063">
        <v>40277</v>
      </c>
      <c r="C500" s="22" t="s">
        <v>2403</v>
      </c>
      <c r="D500" s="11"/>
      <c r="E500" s="22" t="s">
        <v>62</v>
      </c>
      <c r="F500" s="22" t="s">
        <v>823</v>
      </c>
      <c r="G500" s="22" t="s">
        <v>2404</v>
      </c>
      <c r="H500" s="22" t="s">
        <v>2405</v>
      </c>
      <c r="I500" s="26" t="s">
        <v>84</v>
      </c>
      <c r="J500" s="26">
        <v>26767572</v>
      </c>
      <c r="K500" s="30" t="s">
        <v>2406</v>
      </c>
      <c r="L500" s="22"/>
      <c r="M500" s="22">
        <v>2</v>
      </c>
      <c r="N500" s="22">
        <v>2</v>
      </c>
      <c r="O500" s="22">
        <v>2</v>
      </c>
      <c r="P500" s="22">
        <v>0</v>
      </c>
      <c r="Q500" s="22">
        <v>1</v>
      </c>
      <c r="R500" s="1201">
        <v>4990</v>
      </c>
      <c r="S500" s="1201">
        <v>9980</v>
      </c>
      <c r="T500" s="22" t="s">
        <v>311</v>
      </c>
      <c r="U500" s="1854" t="s">
        <v>311</v>
      </c>
      <c r="V500" s="22" t="s">
        <v>1506</v>
      </c>
      <c r="W500" s="2006" t="s">
        <v>2407</v>
      </c>
      <c r="X500" s="18"/>
      <c r="Y500" s="4"/>
      <c r="Z500" s="4"/>
    </row>
    <row r="501" spans="1:26" ht="15.95" hidden="1">
      <c r="A501" s="20">
        <v>508</v>
      </c>
      <c r="B501" s="1063">
        <v>40278</v>
      </c>
      <c r="C501" s="22" t="s">
        <v>2408</v>
      </c>
      <c r="D501" s="11"/>
      <c r="E501" s="22" t="s">
        <v>62</v>
      </c>
      <c r="F501" s="22" t="s">
        <v>823</v>
      </c>
      <c r="G501" s="22" t="s">
        <v>2409</v>
      </c>
      <c r="H501" s="22" t="s">
        <v>2410</v>
      </c>
      <c r="I501" s="26" t="s">
        <v>2410</v>
      </c>
      <c r="J501" s="29" t="s">
        <v>2411</v>
      </c>
      <c r="K501" s="22" t="s">
        <v>2412</v>
      </c>
      <c r="L501" s="22"/>
      <c r="M501" s="22">
        <v>5</v>
      </c>
      <c r="N501" s="22">
        <v>20</v>
      </c>
      <c r="O501" s="22">
        <v>20</v>
      </c>
      <c r="P501" s="22">
        <v>0</v>
      </c>
      <c r="Q501" s="22">
        <v>10</v>
      </c>
      <c r="R501" s="1201">
        <v>1105</v>
      </c>
      <c r="S501" s="1201">
        <v>22109</v>
      </c>
      <c r="T501" s="22" t="s">
        <v>311</v>
      </c>
      <c r="U501" s="1854" t="s">
        <v>1543</v>
      </c>
      <c r="V501" s="22" t="s">
        <v>1506</v>
      </c>
      <c r="W501" s="2007" t="s">
        <v>2413</v>
      </c>
      <c r="X501" s="18"/>
      <c r="Y501" s="4"/>
      <c r="Z501" s="4"/>
    </row>
    <row r="502" spans="1:26" ht="27.95" hidden="1">
      <c r="A502" s="20">
        <v>509</v>
      </c>
      <c r="B502" s="1063">
        <v>40279</v>
      </c>
      <c r="C502" s="22" t="s">
        <v>2414</v>
      </c>
      <c r="D502" s="11"/>
      <c r="E502" s="22" t="s">
        <v>572</v>
      </c>
      <c r="F502" s="22" t="s">
        <v>2332</v>
      </c>
      <c r="G502" s="22" t="s">
        <v>2415</v>
      </c>
      <c r="H502" s="22" t="s">
        <v>2416</v>
      </c>
      <c r="I502" s="32" t="s">
        <v>574</v>
      </c>
      <c r="J502" s="30">
        <v>26767572</v>
      </c>
      <c r="K502" s="22" t="s">
        <v>2417</v>
      </c>
      <c r="L502" s="22"/>
      <c r="M502" s="22">
        <v>10</v>
      </c>
      <c r="N502" s="22">
        <v>10</v>
      </c>
      <c r="O502" s="22">
        <v>10</v>
      </c>
      <c r="P502" s="22">
        <v>0</v>
      </c>
      <c r="Q502" s="22">
        <v>0</v>
      </c>
      <c r="R502" s="1201">
        <v>2001</v>
      </c>
      <c r="S502" s="1201">
        <v>15514</v>
      </c>
      <c r="T502" s="22" t="s">
        <v>929</v>
      </c>
      <c r="U502" s="1854" t="s">
        <v>301</v>
      </c>
      <c r="V502" s="22" t="s">
        <v>931</v>
      </c>
      <c r="W502" s="2006" t="s">
        <v>2418</v>
      </c>
      <c r="X502" s="18" t="s">
        <v>2419</v>
      </c>
      <c r="Y502" s="4"/>
      <c r="Z502" s="4"/>
    </row>
    <row r="503" spans="1:26" ht="27.95" hidden="1">
      <c r="A503" s="20">
        <v>510</v>
      </c>
      <c r="B503" s="1063">
        <v>40280</v>
      </c>
      <c r="C503" s="22" t="s">
        <v>2420</v>
      </c>
      <c r="D503" s="11"/>
      <c r="E503" s="22" t="s">
        <v>572</v>
      </c>
      <c r="F503" s="22" t="s">
        <v>1989</v>
      </c>
      <c r="G503" s="22" t="s">
        <v>2213</v>
      </c>
      <c r="H503" s="22" t="s">
        <v>1002</v>
      </c>
      <c r="I503" s="22" t="s">
        <v>1002</v>
      </c>
      <c r="J503" s="22"/>
      <c r="K503" s="22"/>
      <c r="L503" s="22"/>
      <c r="M503" s="22">
        <v>1</v>
      </c>
      <c r="N503" s="22">
        <v>1</v>
      </c>
      <c r="O503" s="22">
        <v>4</v>
      </c>
      <c r="P503" s="22">
        <v>0</v>
      </c>
      <c r="Q503" s="22">
        <v>0</v>
      </c>
      <c r="R503" s="1201">
        <v>89132</v>
      </c>
      <c r="S503" s="1201">
        <v>89132</v>
      </c>
      <c r="T503" s="22" t="s">
        <v>929</v>
      </c>
      <c r="U503" s="1854" t="s">
        <v>1993</v>
      </c>
      <c r="V503" s="22" t="s">
        <v>931</v>
      </c>
      <c r="W503" s="2006" t="s">
        <v>401</v>
      </c>
      <c r="X503" s="18"/>
      <c r="Y503" s="4"/>
      <c r="Z503" s="4"/>
    </row>
    <row r="504" spans="1:26" ht="27.95" hidden="1">
      <c r="A504" s="20">
        <v>511</v>
      </c>
      <c r="B504" s="1063">
        <v>40281</v>
      </c>
      <c r="C504" s="22" t="s">
        <v>2421</v>
      </c>
      <c r="D504" s="11"/>
      <c r="E504" s="22" t="s">
        <v>572</v>
      </c>
      <c r="F504" s="22" t="s">
        <v>1838</v>
      </c>
      <c r="G504" s="22" t="s">
        <v>2422</v>
      </c>
      <c r="H504" s="22" t="s">
        <v>1778</v>
      </c>
      <c r="I504" s="22" t="s">
        <v>1144</v>
      </c>
      <c r="J504" s="22" t="s">
        <v>2423</v>
      </c>
      <c r="K504" s="22" t="s">
        <v>2424</v>
      </c>
      <c r="L504" s="22"/>
      <c r="M504" s="22">
        <v>3</v>
      </c>
      <c r="N504" s="22">
        <v>1</v>
      </c>
      <c r="O504" s="22">
        <v>3</v>
      </c>
      <c r="P504" s="22">
        <v>0</v>
      </c>
      <c r="Q504" s="22">
        <v>0</v>
      </c>
      <c r="R504" s="1201">
        <v>783</v>
      </c>
      <c r="S504" s="1201">
        <v>2349</v>
      </c>
      <c r="T504" s="22" t="s">
        <v>2425</v>
      </c>
      <c r="U504" s="1854" t="s">
        <v>1719</v>
      </c>
      <c r="V504" s="22"/>
      <c r="W504" s="2006" t="s">
        <v>2426</v>
      </c>
      <c r="X504" s="18"/>
      <c r="Y504" s="4"/>
      <c r="Z504" s="4"/>
    </row>
    <row r="505" spans="1:26" ht="27.95" hidden="1">
      <c r="A505" s="20">
        <v>512</v>
      </c>
      <c r="B505" s="1063">
        <v>40282</v>
      </c>
      <c r="C505" s="22" t="s">
        <v>2427</v>
      </c>
      <c r="D505" s="11"/>
      <c r="E505" s="22" t="s">
        <v>572</v>
      </c>
      <c r="F505" s="22" t="s">
        <v>1838</v>
      </c>
      <c r="G505" s="22" t="s">
        <v>2428</v>
      </c>
      <c r="H505" s="22" t="s">
        <v>2429</v>
      </c>
      <c r="I505" s="22" t="s">
        <v>1144</v>
      </c>
      <c r="J505" s="22" t="s">
        <v>2430</v>
      </c>
      <c r="K505" s="22" t="s">
        <v>2431</v>
      </c>
      <c r="L505" s="22"/>
      <c r="M505" s="22">
        <v>8</v>
      </c>
      <c r="N505" s="22">
        <v>1</v>
      </c>
      <c r="O505" s="64">
        <v>8</v>
      </c>
      <c r="P505" s="22">
        <v>0</v>
      </c>
      <c r="Q505" s="22">
        <v>0</v>
      </c>
      <c r="R505" s="1201">
        <v>242</v>
      </c>
      <c r="S505" s="1201">
        <v>1936</v>
      </c>
      <c r="T505" s="22" t="s">
        <v>2425</v>
      </c>
      <c r="U505" s="1854" t="s">
        <v>1719</v>
      </c>
      <c r="V505" s="22"/>
      <c r="W505" s="2006" t="s">
        <v>2432</v>
      </c>
      <c r="X505" s="18"/>
      <c r="Y505" s="4"/>
      <c r="Z505" s="4"/>
    </row>
    <row r="506" spans="1:26" ht="27.95" hidden="1">
      <c r="A506" s="20">
        <v>513</v>
      </c>
      <c r="B506" s="1063">
        <v>40283</v>
      </c>
      <c r="C506" s="22" t="s">
        <v>2433</v>
      </c>
      <c r="D506" s="11"/>
      <c r="E506" s="22" t="s">
        <v>572</v>
      </c>
      <c r="F506" s="22" t="s">
        <v>1838</v>
      </c>
      <c r="G506" s="22" t="s">
        <v>2434</v>
      </c>
      <c r="H506" s="22" t="s">
        <v>2429</v>
      </c>
      <c r="I506" s="22" t="s">
        <v>1144</v>
      </c>
      <c r="J506" s="22" t="s">
        <v>2435</v>
      </c>
      <c r="K506" s="22" t="s">
        <v>2436</v>
      </c>
      <c r="L506" s="22"/>
      <c r="M506" s="22">
        <v>1</v>
      </c>
      <c r="N506" s="22">
        <v>1</v>
      </c>
      <c r="O506" s="22">
        <v>1</v>
      </c>
      <c r="P506" s="22">
        <v>0</v>
      </c>
      <c r="Q506" s="22">
        <v>1</v>
      </c>
      <c r="R506" s="1201">
        <v>1964</v>
      </c>
      <c r="S506" s="1201">
        <v>1964</v>
      </c>
      <c r="T506" s="22" t="s">
        <v>2425</v>
      </c>
      <c r="U506" s="1854" t="s">
        <v>1719</v>
      </c>
      <c r="V506" s="22"/>
      <c r="W506" s="2006" t="s">
        <v>2437</v>
      </c>
      <c r="X506" s="18"/>
      <c r="Y506" s="4"/>
      <c r="Z506" s="4"/>
    </row>
    <row r="507" spans="1:26" ht="42" hidden="1">
      <c r="A507" s="20">
        <v>514</v>
      </c>
      <c r="B507" s="1063">
        <v>40284</v>
      </c>
      <c r="C507" s="22" t="s">
        <v>2438</v>
      </c>
      <c r="D507" s="11"/>
      <c r="E507" s="22" t="s">
        <v>572</v>
      </c>
      <c r="F507" s="22" t="s">
        <v>1838</v>
      </c>
      <c r="G507" s="22" t="s">
        <v>2439</v>
      </c>
      <c r="H507" s="22" t="s">
        <v>2429</v>
      </c>
      <c r="I507" s="22" t="s">
        <v>1144</v>
      </c>
      <c r="J507" s="22" t="s">
        <v>2440</v>
      </c>
      <c r="K507" s="22" t="s">
        <v>2441</v>
      </c>
      <c r="L507" s="22"/>
      <c r="M507" s="22">
        <v>1</v>
      </c>
      <c r="N507" s="22">
        <v>1</v>
      </c>
      <c r="O507" s="22">
        <v>1</v>
      </c>
      <c r="P507" s="22"/>
      <c r="Q507" s="22"/>
      <c r="R507" s="1201">
        <v>568</v>
      </c>
      <c r="S507" s="1201">
        <v>568</v>
      </c>
      <c r="T507" s="22" t="s">
        <v>2425</v>
      </c>
      <c r="U507" s="1854" t="s">
        <v>1719</v>
      </c>
      <c r="V507" s="22"/>
      <c r="W507" s="2006" t="s">
        <v>2442</v>
      </c>
      <c r="X507" s="18"/>
      <c r="Y507" s="4"/>
      <c r="Z507" s="4"/>
    </row>
    <row r="508" spans="1:26" ht="42" hidden="1">
      <c r="A508" s="20">
        <v>515</v>
      </c>
      <c r="B508" s="1063">
        <v>40285</v>
      </c>
      <c r="C508" s="22" t="s">
        <v>2443</v>
      </c>
      <c r="D508" s="11"/>
      <c r="E508" s="22" t="s">
        <v>572</v>
      </c>
      <c r="F508" s="22" t="s">
        <v>1838</v>
      </c>
      <c r="G508" s="22" t="s">
        <v>2444</v>
      </c>
      <c r="H508" s="22" t="s">
        <v>2445</v>
      </c>
      <c r="I508" s="22" t="s">
        <v>1144</v>
      </c>
      <c r="J508" s="22" t="s">
        <v>2446</v>
      </c>
      <c r="K508" s="22" t="s">
        <v>2447</v>
      </c>
      <c r="L508" s="22"/>
      <c r="M508" s="22">
        <v>3</v>
      </c>
      <c r="N508" s="22">
        <v>1</v>
      </c>
      <c r="O508" s="22">
        <v>3</v>
      </c>
      <c r="P508" s="22">
        <v>0</v>
      </c>
      <c r="Q508" s="22">
        <v>0</v>
      </c>
      <c r="R508" s="1201">
        <v>803</v>
      </c>
      <c r="S508" s="1201">
        <v>2409</v>
      </c>
      <c r="T508" s="22" t="s">
        <v>2425</v>
      </c>
      <c r="U508" s="1854" t="s">
        <v>1719</v>
      </c>
      <c r="V508" s="22"/>
      <c r="W508" s="2006" t="s">
        <v>2448</v>
      </c>
      <c r="X508" s="18"/>
      <c r="Y508" s="4"/>
      <c r="Z508" s="4"/>
    </row>
    <row r="509" spans="1:26" ht="69.95" hidden="1">
      <c r="A509" s="20">
        <v>516</v>
      </c>
      <c r="B509" s="1063">
        <v>40286</v>
      </c>
      <c r="C509" s="22" t="s">
        <v>2449</v>
      </c>
      <c r="D509" s="11"/>
      <c r="E509" s="22" t="s">
        <v>572</v>
      </c>
      <c r="F509" s="22" t="s">
        <v>2450</v>
      </c>
      <c r="G509" s="22" t="s">
        <v>2451</v>
      </c>
      <c r="H509" s="18" t="s">
        <v>1092</v>
      </c>
      <c r="I509" s="22" t="s">
        <v>574</v>
      </c>
      <c r="J509" s="18" t="s">
        <v>2452</v>
      </c>
      <c r="K509" s="22"/>
      <c r="L509" s="18" t="s">
        <v>2453</v>
      </c>
      <c r="M509" s="22">
        <v>1</v>
      </c>
      <c r="N509" s="22">
        <v>1</v>
      </c>
      <c r="O509" s="22">
        <v>1</v>
      </c>
      <c r="P509" s="22">
        <v>0</v>
      </c>
      <c r="Q509" s="22">
        <v>0</v>
      </c>
      <c r="R509" s="1201">
        <v>6256</v>
      </c>
      <c r="S509" s="1201">
        <f t="shared" ref="S509:S554" si="18">R509*N509</f>
        <v>6256</v>
      </c>
      <c r="T509" s="22" t="s">
        <v>1957</v>
      </c>
      <c r="U509" s="1854" t="s">
        <v>2454</v>
      </c>
      <c r="V509" s="22"/>
      <c r="W509" s="2006" t="s">
        <v>2455</v>
      </c>
      <c r="X509" s="18"/>
      <c r="Y509" s="4"/>
      <c r="Z509" s="4"/>
    </row>
    <row r="510" spans="1:26" ht="42" hidden="1">
      <c r="A510" s="20">
        <v>517</v>
      </c>
      <c r="B510" s="1063">
        <v>40287</v>
      </c>
      <c r="C510" s="65" t="s">
        <v>329</v>
      </c>
      <c r="D510" s="11"/>
      <c r="E510" s="22" t="s">
        <v>572</v>
      </c>
      <c r="F510" s="22" t="s">
        <v>2450</v>
      </c>
      <c r="G510" s="32" t="s">
        <v>2456</v>
      </c>
      <c r="H510" s="18" t="s">
        <v>1092</v>
      </c>
      <c r="I510" s="22" t="s">
        <v>574</v>
      </c>
      <c r="J510" s="32" t="s">
        <v>2457</v>
      </c>
      <c r="K510" s="22"/>
      <c r="L510" s="18" t="s">
        <v>2453</v>
      </c>
      <c r="M510" s="22">
        <v>3</v>
      </c>
      <c r="N510" s="22">
        <v>6</v>
      </c>
      <c r="O510" s="22">
        <v>6</v>
      </c>
      <c r="P510" s="22">
        <v>0</v>
      </c>
      <c r="Q510" s="22">
        <v>3</v>
      </c>
      <c r="R510" s="1213">
        <v>65</v>
      </c>
      <c r="S510" s="1201">
        <f t="shared" si="18"/>
        <v>390</v>
      </c>
      <c r="T510" s="22" t="s">
        <v>1957</v>
      </c>
      <c r="U510" s="1854" t="s">
        <v>2454</v>
      </c>
      <c r="V510" s="22"/>
      <c r="W510" s="2006" t="s">
        <v>2458</v>
      </c>
      <c r="X510" s="18"/>
      <c r="Y510" s="4"/>
      <c r="Z510" s="4"/>
    </row>
    <row r="511" spans="1:26" ht="42" hidden="1">
      <c r="A511" s="20">
        <v>518</v>
      </c>
      <c r="B511" s="1063">
        <v>40288</v>
      </c>
      <c r="C511" s="65" t="s">
        <v>329</v>
      </c>
      <c r="D511" s="11"/>
      <c r="E511" s="22" t="s">
        <v>572</v>
      </c>
      <c r="F511" s="22" t="s">
        <v>2450</v>
      </c>
      <c r="G511" s="65" t="s">
        <v>2459</v>
      </c>
      <c r="H511" s="18" t="s">
        <v>1092</v>
      </c>
      <c r="I511" s="22" t="s">
        <v>574</v>
      </c>
      <c r="J511" s="65" t="s">
        <v>2460</v>
      </c>
      <c r="K511" s="22"/>
      <c r="L511" s="18" t="s">
        <v>2453</v>
      </c>
      <c r="M511" s="22">
        <v>3</v>
      </c>
      <c r="N511" s="22">
        <v>6</v>
      </c>
      <c r="O511" s="22">
        <v>6</v>
      </c>
      <c r="P511" s="22">
        <v>0</v>
      </c>
      <c r="Q511" s="22">
        <v>3</v>
      </c>
      <c r="R511" s="1214">
        <v>28</v>
      </c>
      <c r="S511" s="1201">
        <f t="shared" si="18"/>
        <v>168</v>
      </c>
      <c r="T511" s="22" t="s">
        <v>1957</v>
      </c>
      <c r="U511" s="1854" t="s">
        <v>2454</v>
      </c>
      <c r="V511" s="22"/>
      <c r="W511" s="2006" t="s">
        <v>2461</v>
      </c>
      <c r="X511" s="18"/>
      <c r="Y511" s="4"/>
      <c r="Z511" s="4"/>
    </row>
    <row r="512" spans="1:26" ht="42" hidden="1">
      <c r="A512" s="20">
        <v>519</v>
      </c>
      <c r="B512" s="1063">
        <v>40289</v>
      </c>
      <c r="C512" s="65" t="s">
        <v>329</v>
      </c>
      <c r="D512" s="11"/>
      <c r="E512" s="22" t="s">
        <v>572</v>
      </c>
      <c r="F512" s="22" t="s">
        <v>2450</v>
      </c>
      <c r="G512" s="65" t="s">
        <v>2462</v>
      </c>
      <c r="H512" s="18" t="s">
        <v>1092</v>
      </c>
      <c r="I512" s="22" t="s">
        <v>574</v>
      </c>
      <c r="J512" s="65" t="s">
        <v>2463</v>
      </c>
      <c r="K512" s="22"/>
      <c r="L512" s="18" t="s">
        <v>2453</v>
      </c>
      <c r="M512" s="22">
        <v>3</v>
      </c>
      <c r="N512" s="22">
        <v>6</v>
      </c>
      <c r="O512" s="22">
        <v>6</v>
      </c>
      <c r="P512" s="22">
        <v>0</v>
      </c>
      <c r="Q512" s="22">
        <v>3</v>
      </c>
      <c r="R512" s="1214">
        <v>38</v>
      </c>
      <c r="S512" s="1201">
        <f t="shared" si="18"/>
        <v>228</v>
      </c>
      <c r="T512" s="22" t="s">
        <v>1957</v>
      </c>
      <c r="U512" s="1854" t="s">
        <v>2454</v>
      </c>
      <c r="V512" s="22"/>
      <c r="W512" s="2006" t="s">
        <v>2464</v>
      </c>
      <c r="X512" s="18"/>
      <c r="Y512" s="4"/>
      <c r="Z512" s="4"/>
    </row>
    <row r="513" spans="1:26" ht="42" hidden="1">
      <c r="A513" s="20">
        <v>520</v>
      </c>
      <c r="B513" s="1063">
        <v>40290</v>
      </c>
      <c r="C513" s="65" t="s">
        <v>329</v>
      </c>
      <c r="D513" s="11"/>
      <c r="E513" s="22" t="s">
        <v>572</v>
      </c>
      <c r="F513" s="22" t="s">
        <v>2450</v>
      </c>
      <c r="G513" s="65" t="s">
        <v>2465</v>
      </c>
      <c r="H513" s="18" t="s">
        <v>1092</v>
      </c>
      <c r="I513" s="22" t="s">
        <v>574</v>
      </c>
      <c r="J513" s="65" t="s">
        <v>2466</v>
      </c>
      <c r="K513" s="22"/>
      <c r="L513" s="18" t="s">
        <v>2453</v>
      </c>
      <c r="M513" s="22">
        <v>3</v>
      </c>
      <c r="N513" s="22">
        <v>6</v>
      </c>
      <c r="O513" s="22">
        <v>6</v>
      </c>
      <c r="P513" s="22">
        <v>0</v>
      </c>
      <c r="Q513" s="22">
        <v>3</v>
      </c>
      <c r="R513" s="1214">
        <v>53</v>
      </c>
      <c r="S513" s="1201">
        <f t="shared" si="18"/>
        <v>318</v>
      </c>
      <c r="T513" s="22" t="s">
        <v>1957</v>
      </c>
      <c r="U513" s="1854" t="s">
        <v>2454</v>
      </c>
      <c r="V513" s="22"/>
      <c r="W513" s="2006" t="s">
        <v>2467</v>
      </c>
      <c r="X513" s="18"/>
      <c r="Y513" s="4"/>
      <c r="Z513" s="4"/>
    </row>
    <row r="514" spans="1:26" ht="27.95" hidden="1">
      <c r="A514" s="20">
        <v>521</v>
      </c>
      <c r="B514" s="1063">
        <v>40291</v>
      </c>
      <c r="C514" s="22" t="s">
        <v>2468</v>
      </c>
      <c r="D514" s="11"/>
      <c r="E514" s="22" t="s">
        <v>572</v>
      </c>
      <c r="F514" s="22" t="s">
        <v>2450</v>
      </c>
      <c r="G514" s="66" t="s">
        <v>2469</v>
      </c>
      <c r="H514" s="18" t="s">
        <v>1092</v>
      </c>
      <c r="I514" s="22" t="s">
        <v>574</v>
      </c>
      <c r="J514" s="18" t="s">
        <v>2470</v>
      </c>
      <c r="K514" s="22"/>
      <c r="L514" s="18" t="s">
        <v>2453</v>
      </c>
      <c r="M514" s="22">
        <v>1</v>
      </c>
      <c r="N514" s="22">
        <v>1</v>
      </c>
      <c r="O514" s="22">
        <v>1</v>
      </c>
      <c r="P514" s="22">
        <v>0</v>
      </c>
      <c r="Q514" s="22">
        <v>0</v>
      </c>
      <c r="R514" s="1201">
        <v>4866</v>
      </c>
      <c r="S514" s="1201">
        <f t="shared" si="18"/>
        <v>4866</v>
      </c>
      <c r="T514" s="22" t="s">
        <v>1957</v>
      </c>
      <c r="U514" s="1854" t="s">
        <v>2454</v>
      </c>
      <c r="V514" s="22"/>
      <c r="W514" s="2006" t="s">
        <v>2471</v>
      </c>
      <c r="X514" s="18"/>
      <c r="Y514" s="4"/>
      <c r="Z514" s="4"/>
    </row>
    <row r="515" spans="1:26" ht="42" hidden="1">
      <c r="A515" s="20">
        <v>522</v>
      </c>
      <c r="B515" s="1063">
        <v>40292</v>
      </c>
      <c r="C515" s="32" t="s">
        <v>2472</v>
      </c>
      <c r="D515" s="11"/>
      <c r="E515" s="22" t="s">
        <v>572</v>
      </c>
      <c r="F515" s="22" t="s">
        <v>2450</v>
      </c>
      <c r="G515" s="32" t="s">
        <v>2473</v>
      </c>
      <c r="H515" s="32" t="s">
        <v>2285</v>
      </c>
      <c r="I515" s="22" t="s">
        <v>574</v>
      </c>
      <c r="J515" s="32" t="s">
        <v>2474</v>
      </c>
      <c r="K515" s="22"/>
      <c r="L515" s="32" t="s">
        <v>2475</v>
      </c>
      <c r="M515" s="32">
        <v>3</v>
      </c>
      <c r="N515" s="22">
        <v>6</v>
      </c>
      <c r="O515" s="22">
        <v>6</v>
      </c>
      <c r="P515" s="22">
        <v>0</v>
      </c>
      <c r="Q515" s="22">
        <v>3</v>
      </c>
      <c r="R515" s="1213">
        <v>12</v>
      </c>
      <c r="S515" s="1201">
        <f t="shared" si="18"/>
        <v>72</v>
      </c>
      <c r="T515" s="22" t="s">
        <v>1957</v>
      </c>
      <c r="U515" s="1854" t="s">
        <v>2454</v>
      </c>
      <c r="V515" s="22"/>
      <c r="W515" s="2006" t="s">
        <v>2476</v>
      </c>
      <c r="X515" s="18"/>
      <c r="Y515" s="4"/>
      <c r="Z515" s="4"/>
    </row>
    <row r="516" spans="1:26" ht="42" hidden="1">
      <c r="A516" s="20">
        <v>523</v>
      </c>
      <c r="B516" s="1063">
        <v>40293</v>
      </c>
      <c r="C516" s="65" t="s">
        <v>2477</v>
      </c>
      <c r="D516" s="11"/>
      <c r="E516" s="22" t="s">
        <v>572</v>
      </c>
      <c r="F516" s="22" t="s">
        <v>2450</v>
      </c>
      <c r="G516" s="65" t="s">
        <v>2478</v>
      </c>
      <c r="H516" s="65" t="s">
        <v>2285</v>
      </c>
      <c r="I516" s="22" t="s">
        <v>574</v>
      </c>
      <c r="J516" s="65" t="s">
        <v>2479</v>
      </c>
      <c r="K516" s="22"/>
      <c r="L516" s="65" t="s">
        <v>2475</v>
      </c>
      <c r="M516" s="65">
        <v>3</v>
      </c>
      <c r="N516" s="22">
        <v>6</v>
      </c>
      <c r="O516" s="22">
        <v>6</v>
      </c>
      <c r="P516" s="22">
        <v>0</v>
      </c>
      <c r="Q516" s="22">
        <v>3</v>
      </c>
      <c r="R516" s="1214">
        <v>12</v>
      </c>
      <c r="S516" s="1201">
        <f t="shared" si="18"/>
        <v>72</v>
      </c>
      <c r="T516" s="22" t="s">
        <v>1957</v>
      </c>
      <c r="U516" s="1854" t="s">
        <v>2454</v>
      </c>
      <c r="V516" s="22"/>
      <c r="W516" s="2006" t="s">
        <v>2480</v>
      </c>
      <c r="X516" s="18"/>
      <c r="Y516" s="4"/>
      <c r="Z516" s="4"/>
    </row>
    <row r="517" spans="1:26" ht="42" hidden="1">
      <c r="A517" s="20">
        <v>524</v>
      </c>
      <c r="B517" s="1063">
        <v>40294</v>
      </c>
      <c r="C517" s="65" t="s">
        <v>2481</v>
      </c>
      <c r="D517" s="11"/>
      <c r="E517" s="22" t="s">
        <v>572</v>
      </c>
      <c r="F517" s="22" t="s">
        <v>2450</v>
      </c>
      <c r="G517" s="65" t="s">
        <v>2482</v>
      </c>
      <c r="H517" s="65" t="s">
        <v>2285</v>
      </c>
      <c r="I517" s="22" t="s">
        <v>574</v>
      </c>
      <c r="J517" s="65" t="s">
        <v>2483</v>
      </c>
      <c r="K517" s="22"/>
      <c r="L517" s="65" t="s">
        <v>2475</v>
      </c>
      <c r="M517" s="65">
        <v>3</v>
      </c>
      <c r="N517" s="22">
        <v>6</v>
      </c>
      <c r="O517" s="22">
        <v>6</v>
      </c>
      <c r="P517" s="22">
        <v>0</v>
      </c>
      <c r="Q517" s="22">
        <v>3</v>
      </c>
      <c r="R517" s="1214">
        <v>12</v>
      </c>
      <c r="S517" s="1201">
        <f t="shared" si="18"/>
        <v>72</v>
      </c>
      <c r="T517" s="22" t="s">
        <v>1957</v>
      </c>
      <c r="U517" s="1854" t="s">
        <v>2454</v>
      </c>
      <c r="V517" s="22"/>
      <c r="W517" s="2006" t="s">
        <v>2484</v>
      </c>
      <c r="X517" s="18"/>
      <c r="Y517" s="4"/>
      <c r="Z517" s="4"/>
    </row>
    <row r="518" spans="1:26" ht="42" hidden="1">
      <c r="A518" s="20">
        <v>525</v>
      </c>
      <c r="B518" s="1063">
        <v>40295</v>
      </c>
      <c r="C518" s="65" t="s">
        <v>2485</v>
      </c>
      <c r="D518" s="11"/>
      <c r="E518" s="22" t="s">
        <v>572</v>
      </c>
      <c r="F518" s="22" t="s">
        <v>2450</v>
      </c>
      <c r="G518" s="65" t="s">
        <v>2486</v>
      </c>
      <c r="H518" s="65" t="s">
        <v>2285</v>
      </c>
      <c r="I518" s="22" t="s">
        <v>574</v>
      </c>
      <c r="J518" s="65" t="s">
        <v>2487</v>
      </c>
      <c r="K518" s="22"/>
      <c r="L518" s="65" t="s">
        <v>2475</v>
      </c>
      <c r="M518" s="65">
        <v>3</v>
      </c>
      <c r="N518" s="22">
        <v>6</v>
      </c>
      <c r="O518" s="22">
        <v>6</v>
      </c>
      <c r="P518" s="22">
        <v>0</v>
      </c>
      <c r="Q518" s="22">
        <v>3</v>
      </c>
      <c r="R518" s="1214">
        <v>12</v>
      </c>
      <c r="S518" s="1201">
        <f t="shared" si="18"/>
        <v>72</v>
      </c>
      <c r="T518" s="22" t="s">
        <v>1957</v>
      </c>
      <c r="U518" s="1854" t="s">
        <v>2454</v>
      </c>
      <c r="V518" s="22"/>
      <c r="W518" s="2006" t="s">
        <v>2488</v>
      </c>
      <c r="X518" s="18"/>
      <c r="Y518" s="4"/>
      <c r="Z518" s="4"/>
    </row>
    <row r="519" spans="1:26" ht="42" hidden="1">
      <c r="A519" s="20">
        <v>526</v>
      </c>
      <c r="B519" s="1063">
        <v>40296</v>
      </c>
      <c r="C519" s="65" t="s">
        <v>2489</v>
      </c>
      <c r="D519" s="11"/>
      <c r="E519" s="22" t="s">
        <v>572</v>
      </c>
      <c r="F519" s="22" t="s">
        <v>2450</v>
      </c>
      <c r="G519" s="65" t="s">
        <v>2490</v>
      </c>
      <c r="H519" s="65" t="s">
        <v>2285</v>
      </c>
      <c r="I519" s="22" t="s">
        <v>574</v>
      </c>
      <c r="J519" s="65" t="s">
        <v>2491</v>
      </c>
      <c r="K519" s="22"/>
      <c r="L519" s="65" t="s">
        <v>2475</v>
      </c>
      <c r="M519" s="65">
        <v>3</v>
      </c>
      <c r="N519" s="22">
        <v>6</v>
      </c>
      <c r="O519" s="22">
        <v>6</v>
      </c>
      <c r="P519" s="22">
        <v>0</v>
      </c>
      <c r="Q519" s="22">
        <v>3</v>
      </c>
      <c r="R519" s="1214">
        <v>12</v>
      </c>
      <c r="S519" s="1201">
        <f t="shared" si="18"/>
        <v>72</v>
      </c>
      <c r="T519" s="22" t="s">
        <v>1957</v>
      </c>
      <c r="U519" s="1854" t="s">
        <v>2454</v>
      </c>
      <c r="V519" s="22"/>
      <c r="W519" s="2006" t="s">
        <v>2492</v>
      </c>
      <c r="X519" s="18"/>
      <c r="Y519" s="4"/>
      <c r="Z519" s="4"/>
    </row>
    <row r="520" spans="1:26" ht="42" hidden="1">
      <c r="A520" s="20">
        <v>527</v>
      </c>
      <c r="B520" s="1063">
        <v>40297</v>
      </c>
      <c r="C520" s="65" t="s">
        <v>2493</v>
      </c>
      <c r="D520" s="11"/>
      <c r="E520" s="22" t="s">
        <v>572</v>
      </c>
      <c r="F520" s="22" t="s">
        <v>2450</v>
      </c>
      <c r="G520" s="65" t="s">
        <v>2494</v>
      </c>
      <c r="H520" s="65" t="s">
        <v>2285</v>
      </c>
      <c r="I520" s="22" t="s">
        <v>574</v>
      </c>
      <c r="J520" s="65" t="s">
        <v>2495</v>
      </c>
      <c r="K520" s="22"/>
      <c r="L520" s="65" t="s">
        <v>2475</v>
      </c>
      <c r="M520" s="65">
        <v>3</v>
      </c>
      <c r="N520" s="22">
        <v>6</v>
      </c>
      <c r="O520" s="22">
        <v>6</v>
      </c>
      <c r="P520" s="22">
        <v>0</v>
      </c>
      <c r="Q520" s="22">
        <v>3</v>
      </c>
      <c r="R520" s="1214">
        <v>12</v>
      </c>
      <c r="S520" s="1201">
        <f t="shared" si="18"/>
        <v>72</v>
      </c>
      <c r="T520" s="22" t="s">
        <v>1957</v>
      </c>
      <c r="U520" s="1854" t="s">
        <v>2454</v>
      </c>
      <c r="V520" s="22"/>
      <c r="W520" s="2006" t="s">
        <v>2496</v>
      </c>
      <c r="X520" s="18"/>
      <c r="Y520" s="4"/>
      <c r="Z520" s="4"/>
    </row>
    <row r="521" spans="1:26" ht="42" hidden="1">
      <c r="A521" s="20">
        <v>528</v>
      </c>
      <c r="B521" s="1063">
        <v>40298</v>
      </c>
      <c r="C521" s="65" t="s">
        <v>2497</v>
      </c>
      <c r="D521" s="11"/>
      <c r="E521" s="22" t="s">
        <v>572</v>
      </c>
      <c r="F521" s="22" t="s">
        <v>2450</v>
      </c>
      <c r="G521" s="65" t="s">
        <v>2498</v>
      </c>
      <c r="H521" s="65" t="s">
        <v>2285</v>
      </c>
      <c r="I521" s="22" t="s">
        <v>574</v>
      </c>
      <c r="J521" s="65" t="s">
        <v>2499</v>
      </c>
      <c r="K521" s="22"/>
      <c r="L521" s="65" t="s">
        <v>2475</v>
      </c>
      <c r="M521" s="65">
        <v>3</v>
      </c>
      <c r="N521" s="22">
        <v>6</v>
      </c>
      <c r="O521" s="22">
        <v>6</v>
      </c>
      <c r="P521" s="22">
        <v>0</v>
      </c>
      <c r="Q521" s="22">
        <v>3</v>
      </c>
      <c r="R521" s="1214">
        <v>12</v>
      </c>
      <c r="S521" s="1201">
        <f t="shared" si="18"/>
        <v>72</v>
      </c>
      <c r="T521" s="22" t="s">
        <v>1957</v>
      </c>
      <c r="U521" s="1854" t="s">
        <v>2454</v>
      </c>
      <c r="V521" s="22"/>
      <c r="W521" s="2006" t="s">
        <v>2500</v>
      </c>
      <c r="X521" s="18"/>
      <c r="Y521" s="4"/>
      <c r="Z521" s="4"/>
    </row>
    <row r="522" spans="1:26" ht="42" hidden="1">
      <c r="A522" s="20">
        <v>529</v>
      </c>
      <c r="B522" s="1063">
        <v>40299</v>
      </c>
      <c r="C522" s="65" t="s">
        <v>2501</v>
      </c>
      <c r="D522" s="11"/>
      <c r="E522" s="22" t="s">
        <v>572</v>
      </c>
      <c r="F522" s="22" t="s">
        <v>2450</v>
      </c>
      <c r="G522" s="65" t="s">
        <v>2502</v>
      </c>
      <c r="H522" s="65" t="s">
        <v>2285</v>
      </c>
      <c r="I522" s="22" t="s">
        <v>574</v>
      </c>
      <c r="J522" s="65" t="s">
        <v>2503</v>
      </c>
      <c r="K522" s="22"/>
      <c r="L522" s="65" t="s">
        <v>2475</v>
      </c>
      <c r="M522" s="65">
        <v>3</v>
      </c>
      <c r="N522" s="22">
        <v>6</v>
      </c>
      <c r="O522" s="22">
        <v>6</v>
      </c>
      <c r="P522" s="22">
        <v>0</v>
      </c>
      <c r="Q522" s="22">
        <v>3</v>
      </c>
      <c r="R522" s="1214">
        <v>12</v>
      </c>
      <c r="S522" s="1201">
        <f t="shared" si="18"/>
        <v>72</v>
      </c>
      <c r="T522" s="22" t="s">
        <v>1957</v>
      </c>
      <c r="U522" s="1854" t="s">
        <v>2454</v>
      </c>
      <c r="V522" s="22"/>
      <c r="W522" s="2006" t="s">
        <v>2504</v>
      </c>
      <c r="X522" s="18"/>
      <c r="Y522" s="4"/>
      <c r="Z522" s="4"/>
    </row>
    <row r="523" spans="1:26" ht="27.95" hidden="1">
      <c r="A523" s="20">
        <v>530</v>
      </c>
      <c r="B523" s="1063">
        <v>40300</v>
      </c>
      <c r="C523" s="22" t="s">
        <v>1646</v>
      </c>
      <c r="D523" s="11"/>
      <c r="E523" s="22" t="s">
        <v>572</v>
      </c>
      <c r="F523" s="22" t="s">
        <v>2450</v>
      </c>
      <c r="G523" s="22" t="s">
        <v>2505</v>
      </c>
      <c r="H523" s="22" t="s">
        <v>2506</v>
      </c>
      <c r="I523" s="22" t="s">
        <v>39</v>
      </c>
      <c r="J523" s="22" t="s">
        <v>2507</v>
      </c>
      <c r="K523" s="22"/>
      <c r="L523" s="22" t="s">
        <v>2508</v>
      </c>
      <c r="M523" s="22">
        <v>1</v>
      </c>
      <c r="N523" s="22">
        <v>10</v>
      </c>
      <c r="O523" s="22">
        <v>10</v>
      </c>
      <c r="P523" s="22">
        <v>0</v>
      </c>
      <c r="Q523" s="22">
        <v>9</v>
      </c>
      <c r="R523" s="1201">
        <v>42.2</v>
      </c>
      <c r="S523" s="1201">
        <f t="shared" si="18"/>
        <v>422</v>
      </c>
      <c r="T523" s="22" t="s">
        <v>1957</v>
      </c>
      <c r="U523" s="1854" t="s">
        <v>2509</v>
      </c>
      <c r="V523" s="22"/>
      <c r="W523" s="2006" t="s">
        <v>2510</v>
      </c>
      <c r="X523" s="18"/>
      <c r="Y523" s="4"/>
      <c r="Z523" s="4"/>
    </row>
    <row r="524" spans="1:26" ht="42" hidden="1">
      <c r="A524" s="20">
        <v>531</v>
      </c>
      <c r="B524" s="1063">
        <v>40301</v>
      </c>
      <c r="C524" s="22" t="s">
        <v>2511</v>
      </c>
      <c r="D524" s="11"/>
      <c r="E524" s="22" t="s">
        <v>572</v>
      </c>
      <c r="F524" s="22" t="s">
        <v>2450</v>
      </c>
      <c r="G524" s="22" t="s">
        <v>2512</v>
      </c>
      <c r="H524" s="22" t="s">
        <v>243</v>
      </c>
      <c r="I524" s="22" t="s">
        <v>2513</v>
      </c>
      <c r="J524" s="22" t="s">
        <v>2514</v>
      </c>
      <c r="K524" s="22"/>
      <c r="L524" s="22" t="s">
        <v>2515</v>
      </c>
      <c r="M524" s="22">
        <v>9</v>
      </c>
      <c r="N524" s="22">
        <v>9</v>
      </c>
      <c r="O524" s="22"/>
      <c r="P524" s="22">
        <v>0</v>
      </c>
      <c r="Q524" s="22">
        <v>6</v>
      </c>
      <c r="R524" s="1201">
        <f>8138/9</f>
        <v>904.22222222222217</v>
      </c>
      <c r="S524" s="1201">
        <f t="shared" si="18"/>
        <v>8138</v>
      </c>
      <c r="T524" s="22" t="s">
        <v>1957</v>
      </c>
      <c r="U524" s="1854" t="s">
        <v>2509</v>
      </c>
      <c r="V524" s="22"/>
      <c r="W524" s="2006" t="s">
        <v>2516</v>
      </c>
      <c r="X524" s="18"/>
      <c r="Y524" s="4"/>
      <c r="Z524" s="4"/>
    </row>
    <row r="525" spans="1:26" ht="27.95" hidden="1">
      <c r="A525" s="20">
        <v>532</v>
      </c>
      <c r="B525" s="1063">
        <v>40302</v>
      </c>
      <c r="C525" s="22" t="s">
        <v>2517</v>
      </c>
      <c r="D525" s="11"/>
      <c r="E525" s="22" t="s">
        <v>572</v>
      </c>
      <c r="F525" s="22" t="s">
        <v>2450</v>
      </c>
      <c r="G525" s="22"/>
      <c r="H525" s="22" t="s">
        <v>2518</v>
      </c>
      <c r="I525" s="22" t="s">
        <v>574</v>
      </c>
      <c r="J525" s="22" t="s">
        <v>2519</v>
      </c>
      <c r="K525" s="22"/>
      <c r="L525" s="22" t="s">
        <v>2520</v>
      </c>
      <c r="M525" s="22">
        <v>7</v>
      </c>
      <c r="N525" s="22">
        <v>10</v>
      </c>
      <c r="O525" s="22">
        <v>10</v>
      </c>
      <c r="P525" s="22">
        <v>0</v>
      </c>
      <c r="Q525" s="22">
        <v>5</v>
      </c>
      <c r="R525" s="1201">
        <v>1220</v>
      </c>
      <c r="S525" s="1201">
        <f t="shared" si="18"/>
        <v>12200</v>
      </c>
      <c r="T525" s="22" t="s">
        <v>1957</v>
      </c>
      <c r="U525" s="1854" t="s">
        <v>2509</v>
      </c>
      <c r="V525" s="22"/>
      <c r="W525" s="2006" t="s">
        <v>2521</v>
      </c>
      <c r="X525" s="18"/>
      <c r="Y525" s="4"/>
      <c r="Z525" s="4"/>
    </row>
    <row r="526" spans="1:26" ht="42" hidden="1">
      <c r="A526" s="20">
        <v>533</v>
      </c>
      <c r="B526" s="1063">
        <v>40303</v>
      </c>
      <c r="C526" s="22" t="s">
        <v>2522</v>
      </c>
      <c r="D526" s="11"/>
      <c r="E526" s="22" t="s">
        <v>572</v>
      </c>
      <c r="F526" s="22" t="s">
        <v>2450</v>
      </c>
      <c r="G526" s="22" t="s">
        <v>2523</v>
      </c>
      <c r="H526" s="22" t="s">
        <v>230</v>
      </c>
      <c r="I526" s="22" t="s">
        <v>574</v>
      </c>
      <c r="J526" s="22" t="s">
        <v>2524</v>
      </c>
      <c r="K526" s="22"/>
      <c r="L526" s="22" t="s">
        <v>2525</v>
      </c>
      <c r="M526" s="22">
        <v>1</v>
      </c>
      <c r="N526" s="22">
        <v>5</v>
      </c>
      <c r="O526" s="22">
        <v>5</v>
      </c>
      <c r="P526" s="22">
        <v>0</v>
      </c>
      <c r="Q526" s="22">
        <v>5</v>
      </c>
      <c r="R526" s="1201">
        <v>87</v>
      </c>
      <c r="S526" s="1201">
        <f t="shared" si="18"/>
        <v>435</v>
      </c>
      <c r="T526" s="22" t="s">
        <v>1957</v>
      </c>
      <c r="U526" s="1854" t="s">
        <v>2509</v>
      </c>
      <c r="V526" s="22"/>
      <c r="W526" s="2006" t="s">
        <v>2526</v>
      </c>
      <c r="X526" s="18"/>
      <c r="Y526" s="4"/>
      <c r="Z526" s="4"/>
    </row>
    <row r="527" spans="1:26" ht="14.1" hidden="1">
      <c r="A527" s="20">
        <v>534</v>
      </c>
      <c r="B527" s="1063">
        <v>40304</v>
      </c>
      <c r="C527" s="22" t="s">
        <v>2527</v>
      </c>
      <c r="D527" s="11"/>
      <c r="E527" s="22" t="s">
        <v>572</v>
      </c>
      <c r="F527" s="22" t="s">
        <v>2450</v>
      </c>
      <c r="G527" s="22" t="s">
        <v>2527</v>
      </c>
      <c r="H527" s="22" t="s">
        <v>1584</v>
      </c>
      <c r="I527" s="22" t="s">
        <v>1584</v>
      </c>
      <c r="J527" s="22" t="s">
        <v>2528</v>
      </c>
      <c r="K527" s="22"/>
      <c r="L527" s="22"/>
      <c r="M527" s="22">
        <v>4</v>
      </c>
      <c r="N527" s="22">
        <v>4</v>
      </c>
      <c r="O527" s="22"/>
      <c r="P527" s="22">
        <v>0</v>
      </c>
      <c r="Q527" s="22">
        <v>0</v>
      </c>
      <c r="R527" s="1201">
        <v>15402.8</v>
      </c>
      <c r="S527" s="1201">
        <f t="shared" si="18"/>
        <v>61611.199999999997</v>
      </c>
      <c r="T527" s="22" t="s">
        <v>1957</v>
      </c>
      <c r="U527" s="1854" t="s">
        <v>2509</v>
      </c>
      <c r="V527" s="22"/>
      <c r="W527" s="2272" t="s">
        <v>2529</v>
      </c>
      <c r="X527" s="18"/>
      <c r="Y527" s="4"/>
      <c r="Z527" s="4"/>
    </row>
    <row r="528" spans="1:26" ht="27.95" hidden="1">
      <c r="A528" s="20">
        <v>535</v>
      </c>
      <c r="B528" s="1063">
        <v>40305</v>
      </c>
      <c r="C528" s="22" t="s">
        <v>603</v>
      </c>
      <c r="D528" s="11"/>
      <c r="E528" s="22" t="s">
        <v>572</v>
      </c>
      <c r="F528" s="22" t="s">
        <v>2450</v>
      </c>
      <c r="G528" s="22" t="s">
        <v>2530</v>
      </c>
      <c r="H528" s="22" t="s">
        <v>230</v>
      </c>
      <c r="I528" s="22" t="s">
        <v>39</v>
      </c>
      <c r="J528" s="22" t="s">
        <v>2531</v>
      </c>
      <c r="K528" s="22"/>
      <c r="L528" s="22" t="s">
        <v>2532</v>
      </c>
      <c r="M528" s="22">
        <v>4</v>
      </c>
      <c r="N528" s="22">
        <v>4</v>
      </c>
      <c r="O528" s="22">
        <v>4</v>
      </c>
      <c r="P528" s="22">
        <v>0</v>
      </c>
      <c r="Q528" s="22">
        <v>1</v>
      </c>
      <c r="R528" s="1201">
        <v>487</v>
      </c>
      <c r="S528" s="1201">
        <f t="shared" si="18"/>
        <v>1948</v>
      </c>
      <c r="T528" s="22" t="s">
        <v>1957</v>
      </c>
      <c r="U528" s="1854" t="s">
        <v>2509</v>
      </c>
      <c r="V528" s="22"/>
      <c r="W528" s="2006" t="s">
        <v>2533</v>
      </c>
      <c r="X528" s="18"/>
      <c r="Y528" s="4"/>
      <c r="Z528" s="4"/>
    </row>
    <row r="529" spans="1:26" ht="42" hidden="1">
      <c r="A529" s="20">
        <v>536</v>
      </c>
      <c r="B529" s="1063">
        <v>40306</v>
      </c>
      <c r="C529" s="22" t="s">
        <v>2534</v>
      </c>
      <c r="D529" s="11"/>
      <c r="E529" s="22" t="s">
        <v>2535</v>
      </c>
      <c r="F529" s="22" t="s">
        <v>2450</v>
      </c>
      <c r="G529" s="22"/>
      <c r="H529" s="22" t="s">
        <v>2536</v>
      </c>
      <c r="I529" s="22" t="s">
        <v>2536</v>
      </c>
      <c r="J529" s="22" t="s">
        <v>2537</v>
      </c>
      <c r="K529" s="22"/>
      <c r="L529" s="22" t="s">
        <v>2538</v>
      </c>
      <c r="M529" s="22">
        <v>4</v>
      </c>
      <c r="N529" s="22">
        <v>4</v>
      </c>
      <c r="O529" s="22">
        <v>4</v>
      </c>
      <c r="P529" s="22">
        <v>2</v>
      </c>
      <c r="Q529" s="22">
        <v>4</v>
      </c>
      <c r="R529" s="1201">
        <f>189.96*110/4</f>
        <v>5223.9000000000005</v>
      </c>
      <c r="S529" s="1201">
        <f t="shared" si="18"/>
        <v>20895.600000000002</v>
      </c>
      <c r="T529" s="22" t="s">
        <v>1957</v>
      </c>
      <c r="U529" s="1854" t="s">
        <v>2509</v>
      </c>
      <c r="V529" s="22"/>
      <c r="W529" s="2006" t="s">
        <v>2539</v>
      </c>
      <c r="X529" s="18"/>
      <c r="Y529" s="4"/>
      <c r="Z529" s="4"/>
    </row>
    <row r="530" spans="1:26" ht="27.95" hidden="1">
      <c r="A530" s="20">
        <v>537</v>
      </c>
      <c r="B530" s="1063">
        <v>40307</v>
      </c>
      <c r="C530" s="22" t="s">
        <v>2540</v>
      </c>
      <c r="D530" s="11"/>
      <c r="E530" s="22" t="s">
        <v>2535</v>
      </c>
      <c r="F530" s="22" t="s">
        <v>2450</v>
      </c>
      <c r="G530" s="22" t="s">
        <v>2541</v>
      </c>
      <c r="H530" s="22" t="s">
        <v>2542</v>
      </c>
      <c r="I530" s="22" t="s">
        <v>2542</v>
      </c>
      <c r="J530" s="22" t="s">
        <v>2543</v>
      </c>
      <c r="K530" s="22"/>
      <c r="L530" s="22" t="s">
        <v>2544</v>
      </c>
      <c r="M530" s="22">
        <v>3</v>
      </c>
      <c r="N530" s="22">
        <v>3</v>
      </c>
      <c r="O530" s="22">
        <v>3</v>
      </c>
      <c r="P530" s="22">
        <v>0</v>
      </c>
      <c r="Q530" s="22">
        <v>1</v>
      </c>
      <c r="R530" s="1201">
        <f>140.18*110/3</f>
        <v>5139.9333333333334</v>
      </c>
      <c r="S530" s="1201">
        <f t="shared" si="18"/>
        <v>15419.8</v>
      </c>
      <c r="T530" s="22" t="s">
        <v>1957</v>
      </c>
      <c r="U530" s="1854" t="s">
        <v>2509</v>
      </c>
      <c r="V530" s="22"/>
      <c r="W530" s="2006" t="s">
        <v>2545</v>
      </c>
      <c r="X530" s="18"/>
      <c r="Y530" s="4"/>
      <c r="Z530" s="4"/>
    </row>
    <row r="531" spans="1:26" ht="14.1">
      <c r="A531" s="20"/>
      <c r="B531" s="1063">
        <v>44960</v>
      </c>
      <c r="C531" s="22"/>
      <c r="D531" s="22"/>
      <c r="E531" s="22"/>
      <c r="F531" s="22"/>
      <c r="G531" s="22"/>
      <c r="H531" s="22"/>
      <c r="I531" s="22"/>
      <c r="J531" s="22"/>
      <c r="K531" s="22"/>
      <c r="L531" s="22"/>
      <c r="M531" s="22"/>
      <c r="N531" s="22"/>
      <c r="O531" s="22"/>
      <c r="P531" s="22"/>
      <c r="Q531" s="22"/>
      <c r="R531" s="1201"/>
      <c r="S531" s="1201"/>
      <c r="T531" s="22"/>
      <c r="U531" s="1854"/>
      <c r="V531" s="22"/>
      <c r="W531" s="2006"/>
      <c r="X531" s="18"/>
      <c r="Y531" s="4"/>
      <c r="Z531" s="4"/>
    </row>
    <row r="532" spans="1:26" ht="14.1" hidden="1">
      <c r="A532" s="20">
        <v>539</v>
      </c>
      <c r="B532" s="1063">
        <v>40309</v>
      </c>
      <c r="C532" s="22" t="s">
        <v>2546</v>
      </c>
      <c r="D532" s="11"/>
      <c r="E532" s="22" t="s">
        <v>572</v>
      </c>
      <c r="F532" s="22" t="s">
        <v>2450</v>
      </c>
      <c r="G532" s="22"/>
      <c r="H532" s="22" t="s">
        <v>2547</v>
      </c>
      <c r="I532" s="22" t="s">
        <v>39</v>
      </c>
      <c r="J532" s="22" t="s">
        <v>2548</v>
      </c>
      <c r="K532" s="22"/>
      <c r="L532" s="22" t="s">
        <v>2549</v>
      </c>
      <c r="M532" s="22">
        <v>4</v>
      </c>
      <c r="N532" s="22">
        <v>4</v>
      </c>
      <c r="O532" s="22">
        <v>4</v>
      </c>
      <c r="P532" s="22">
        <v>0</v>
      </c>
      <c r="Q532" s="22">
        <v>1</v>
      </c>
      <c r="R532" s="1201">
        <v>152</v>
      </c>
      <c r="S532" s="1201">
        <f t="shared" si="18"/>
        <v>608</v>
      </c>
      <c r="T532" s="22" t="s">
        <v>1957</v>
      </c>
      <c r="U532" s="1854" t="s">
        <v>2509</v>
      </c>
      <c r="V532" s="22"/>
      <c r="W532" s="2006" t="s">
        <v>2550</v>
      </c>
      <c r="X532" s="18"/>
      <c r="Y532" s="4"/>
      <c r="Z532" s="4"/>
    </row>
    <row r="533" spans="1:26" ht="42" hidden="1">
      <c r="A533" s="20">
        <v>540</v>
      </c>
      <c r="B533" s="1063">
        <v>40310</v>
      </c>
      <c r="C533" s="22" t="s">
        <v>2551</v>
      </c>
      <c r="D533" s="11"/>
      <c r="E533" s="22" t="s">
        <v>572</v>
      </c>
      <c r="F533" s="22" t="s">
        <v>2450</v>
      </c>
      <c r="G533" s="22"/>
      <c r="H533" s="22" t="s">
        <v>280</v>
      </c>
      <c r="I533" s="22" t="s">
        <v>574</v>
      </c>
      <c r="J533" s="22" t="s">
        <v>2552</v>
      </c>
      <c r="K533" s="22"/>
      <c r="L533" s="22" t="s">
        <v>2553</v>
      </c>
      <c r="M533" s="22">
        <v>2</v>
      </c>
      <c r="N533" s="22">
        <v>2</v>
      </c>
      <c r="O533" s="22">
        <v>2</v>
      </c>
      <c r="P533" s="22">
        <v>0</v>
      </c>
      <c r="Q533" s="22">
        <v>1</v>
      </c>
      <c r="R533" s="1201">
        <v>281.7</v>
      </c>
      <c r="S533" s="1201">
        <f t="shared" si="18"/>
        <v>563.4</v>
      </c>
      <c r="T533" s="22" t="s">
        <v>1957</v>
      </c>
      <c r="U533" s="1854" t="s">
        <v>2509</v>
      </c>
      <c r="V533" s="22"/>
      <c r="W533" s="2006" t="s">
        <v>2554</v>
      </c>
      <c r="X533" s="18"/>
      <c r="Y533" s="4"/>
      <c r="Z533" s="4"/>
    </row>
    <row r="534" spans="1:26" ht="27.95" hidden="1">
      <c r="A534" s="20">
        <v>541</v>
      </c>
      <c r="B534" s="1063">
        <v>40311</v>
      </c>
      <c r="C534" s="22" t="s">
        <v>2555</v>
      </c>
      <c r="D534" s="11"/>
      <c r="E534" s="22" t="s">
        <v>2535</v>
      </c>
      <c r="F534" s="22" t="s">
        <v>2450</v>
      </c>
      <c r="G534" s="22"/>
      <c r="H534" s="22" t="s">
        <v>2556</v>
      </c>
      <c r="I534" s="22" t="s">
        <v>2556</v>
      </c>
      <c r="J534" s="66" t="s">
        <v>2557</v>
      </c>
      <c r="K534" s="22"/>
      <c r="L534" s="22" t="s">
        <v>2557</v>
      </c>
      <c r="M534" s="22">
        <v>4</v>
      </c>
      <c r="N534" s="22">
        <v>4</v>
      </c>
      <c r="O534" s="22"/>
      <c r="P534" s="22">
        <v>2</v>
      </c>
      <c r="Q534" s="22">
        <v>6</v>
      </c>
      <c r="R534" s="1215">
        <f>50*110</f>
        <v>5500</v>
      </c>
      <c r="S534" s="1201">
        <f t="shared" si="18"/>
        <v>22000</v>
      </c>
      <c r="T534" s="22" t="s">
        <v>1957</v>
      </c>
      <c r="U534" s="1854" t="s">
        <v>2509</v>
      </c>
      <c r="V534" s="22"/>
      <c r="W534" s="2006" t="s">
        <v>2558</v>
      </c>
      <c r="X534" s="18"/>
      <c r="Y534" s="4"/>
      <c r="Z534" s="4"/>
    </row>
    <row r="535" spans="1:26" ht="42" hidden="1">
      <c r="A535" s="20">
        <v>542</v>
      </c>
      <c r="B535" s="1063">
        <v>40312</v>
      </c>
      <c r="C535" s="22" t="s">
        <v>2559</v>
      </c>
      <c r="D535" s="11"/>
      <c r="E535" s="22" t="s">
        <v>572</v>
      </c>
      <c r="F535" s="22" t="s">
        <v>2450</v>
      </c>
      <c r="G535" s="22"/>
      <c r="H535" s="22" t="s">
        <v>752</v>
      </c>
      <c r="I535" s="22" t="s">
        <v>574</v>
      </c>
      <c r="J535" s="22" t="s">
        <v>2560</v>
      </c>
      <c r="K535" s="22"/>
      <c r="L535" s="22" t="s">
        <v>2561</v>
      </c>
      <c r="M535" s="22">
        <v>3</v>
      </c>
      <c r="N535" s="22">
        <v>3</v>
      </c>
      <c r="O535" s="22">
        <v>3</v>
      </c>
      <c r="P535" s="22">
        <v>0</v>
      </c>
      <c r="Q535" s="22">
        <v>3</v>
      </c>
      <c r="R535" s="1201">
        <v>396</v>
      </c>
      <c r="S535" s="1201">
        <f t="shared" si="18"/>
        <v>1188</v>
      </c>
      <c r="T535" s="22" t="s">
        <v>1957</v>
      </c>
      <c r="U535" s="1854" t="s">
        <v>2509</v>
      </c>
      <c r="V535" s="22"/>
      <c r="W535" s="2006" t="s">
        <v>2562</v>
      </c>
      <c r="X535" s="18"/>
      <c r="Y535" s="4"/>
      <c r="Z535" s="4"/>
    </row>
    <row r="536" spans="1:26" ht="14.1" hidden="1">
      <c r="A536" s="20">
        <v>543</v>
      </c>
      <c r="B536" s="1063">
        <v>40313</v>
      </c>
      <c r="C536" s="22" t="s">
        <v>2563</v>
      </c>
      <c r="D536" s="11"/>
      <c r="E536" s="22" t="s">
        <v>2535</v>
      </c>
      <c r="F536" s="22" t="s">
        <v>2450</v>
      </c>
      <c r="G536" s="22" t="s">
        <v>2564</v>
      </c>
      <c r="H536" s="22" t="s">
        <v>723</v>
      </c>
      <c r="I536" s="22" t="s">
        <v>723</v>
      </c>
      <c r="J536" s="22" t="s">
        <v>2565</v>
      </c>
      <c r="K536" s="22"/>
      <c r="L536" s="22" t="s">
        <v>2566</v>
      </c>
      <c r="M536" s="22">
        <v>4</v>
      </c>
      <c r="N536" s="22">
        <v>5</v>
      </c>
      <c r="O536" s="22"/>
      <c r="P536" s="22">
        <v>0</v>
      </c>
      <c r="Q536" s="22">
        <v>1</v>
      </c>
      <c r="R536" s="1201">
        <v>8860</v>
      </c>
      <c r="S536" s="1201">
        <f t="shared" si="18"/>
        <v>44300</v>
      </c>
      <c r="T536" s="22" t="s">
        <v>1957</v>
      </c>
      <c r="U536" s="1854" t="s">
        <v>2509</v>
      </c>
      <c r="V536" s="22"/>
      <c r="W536" s="2006" t="s">
        <v>2567</v>
      </c>
      <c r="X536" s="18"/>
      <c r="Y536" s="4"/>
      <c r="Z536" s="4"/>
    </row>
    <row r="537" spans="1:26" ht="14.1" hidden="1">
      <c r="A537" s="20">
        <v>544</v>
      </c>
      <c r="B537" s="1063">
        <v>40314</v>
      </c>
      <c r="C537" s="22" t="s">
        <v>2568</v>
      </c>
      <c r="D537" s="11"/>
      <c r="E537" s="22" t="s">
        <v>2535</v>
      </c>
      <c r="F537" s="22" t="s">
        <v>2450</v>
      </c>
      <c r="G537" s="22" t="s">
        <v>2569</v>
      </c>
      <c r="H537" s="22" t="s">
        <v>723</v>
      </c>
      <c r="I537" s="22" t="s">
        <v>723</v>
      </c>
      <c r="J537" s="22" t="s">
        <v>2570</v>
      </c>
      <c r="K537" s="22"/>
      <c r="L537" s="22" t="s">
        <v>2566</v>
      </c>
      <c r="M537" s="22">
        <v>4</v>
      </c>
      <c r="N537" s="22">
        <v>5</v>
      </c>
      <c r="O537" s="22"/>
      <c r="P537" s="22">
        <v>0</v>
      </c>
      <c r="Q537" s="22">
        <v>1</v>
      </c>
      <c r="R537" s="1201">
        <v>8860</v>
      </c>
      <c r="S537" s="1201">
        <f t="shared" si="18"/>
        <v>44300</v>
      </c>
      <c r="T537" s="22" t="s">
        <v>1957</v>
      </c>
      <c r="U537" s="1854" t="s">
        <v>2509</v>
      </c>
      <c r="V537" s="22"/>
      <c r="W537" s="2006" t="s">
        <v>2571</v>
      </c>
      <c r="X537" s="18"/>
      <c r="Y537" s="4"/>
      <c r="Z537" s="4"/>
    </row>
    <row r="538" spans="1:26" ht="14.1" hidden="1">
      <c r="A538" s="20">
        <v>545</v>
      </c>
      <c r="B538" s="1063">
        <v>40315</v>
      </c>
      <c r="C538" s="22" t="s">
        <v>2572</v>
      </c>
      <c r="D538" s="11"/>
      <c r="E538" s="22" t="s">
        <v>2535</v>
      </c>
      <c r="F538" s="22" t="s">
        <v>2450</v>
      </c>
      <c r="G538" s="22"/>
      <c r="H538" s="22" t="s">
        <v>1002</v>
      </c>
      <c r="I538" s="22" t="s">
        <v>1002</v>
      </c>
      <c r="J538" s="22"/>
      <c r="K538" s="22"/>
      <c r="L538" s="22"/>
      <c r="M538" s="22">
        <v>4</v>
      </c>
      <c r="N538" s="22">
        <v>6</v>
      </c>
      <c r="O538" s="22"/>
      <c r="P538" s="22">
        <v>0</v>
      </c>
      <c r="Q538" s="22">
        <v>2</v>
      </c>
      <c r="R538" s="1201">
        <f>20652/6</f>
        <v>3442</v>
      </c>
      <c r="S538" s="1201">
        <f t="shared" si="18"/>
        <v>20652</v>
      </c>
      <c r="T538" s="22" t="s">
        <v>1957</v>
      </c>
      <c r="U538" s="1854" t="s">
        <v>2509</v>
      </c>
      <c r="V538" s="22"/>
      <c r="W538" s="2007"/>
      <c r="X538" s="18"/>
      <c r="Y538" s="4"/>
      <c r="Z538" s="4"/>
    </row>
    <row r="539" spans="1:26" ht="14.1" hidden="1">
      <c r="A539" s="20">
        <v>546</v>
      </c>
      <c r="B539" s="1063">
        <v>40316</v>
      </c>
      <c r="C539" s="18" t="s">
        <v>2573</v>
      </c>
      <c r="D539" s="11"/>
      <c r="E539" s="22" t="s">
        <v>2535</v>
      </c>
      <c r="F539" s="22" t="s">
        <v>2450</v>
      </c>
      <c r="G539" s="18"/>
      <c r="H539" s="22" t="s">
        <v>1002</v>
      </c>
      <c r="I539" s="22" t="s">
        <v>1002</v>
      </c>
      <c r="J539" s="18"/>
      <c r="K539" s="18"/>
      <c r="L539" s="18"/>
      <c r="M539" s="18">
        <v>6</v>
      </c>
      <c r="N539" s="18">
        <v>6</v>
      </c>
      <c r="O539" s="18"/>
      <c r="P539" s="18">
        <v>0</v>
      </c>
      <c r="Q539" s="18">
        <v>0</v>
      </c>
      <c r="R539" s="1215">
        <f>38966/6</f>
        <v>6494.333333333333</v>
      </c>
      <c r="S539" s="1201">
        <f t="shared" si="18"/>
        <v>38966</v>
      </c>
      <c r="T539" s="22" t="s">
        <v>1957</v>
      </c>
      <c r="U539" s="1859" t="s">
        <v>441</v>
      </c>
      <c r="V539" s="18"/>
      <c r="W539" s="2020"/>
      <c r="X539" s="18"/>
      <c r="Y539" s="4"/>
      <c r="Z539" s="4"/>
    </row>
    <row r="540" spans="1:26" ht="14.1" hidden="1">
      <c r="A540" s="20">
        <v>547</v>
      </c>
      <c r="B540" s="1063">
        <v>40317</v>
      </c>
      <c r="C540" s="18" t="s">
        <v>2574</v>
      </c>
      <c r="D540" s="11"/>
      <c r="E540" s="22" t="s">
        <v>2535</v>
      </c>
      <c r="F540" s="22" t="s">
        <v>2450</v>
      </c>
      <c r="G540" s="18"/>
      <c r="H540" s="22" t="s">
        <v>1002</v>
      </c>
      <c r="I540" s="22" t="s">
        <v>1002</v>
      </c>
      <c r="J540" s="18"/>
      <c r="K540" s="18"/>
      <c r="L540" s="18"/>
      <c r="M540" s="18">
        <v>1</v>
      </c>
      <c r="N540" s="18">
        <v>1</v>
      </c>
      <c r="O540" s="18"/>
      <c r="P540" s="18">
        <v>0</v>
      </c>
      <c r="Q540" s="18">
        <v>0</v>
      </c>
      <c r="R540" s="1215">
        <v>12500</v>
      </c>
      <c r="S540" s="1201">
        <f t="shared" si="18"/>
        <v>12500</v>
      </c>
      <c r="T540" s="22" t="s">
        <v>1957</v>
      </c>
      <c r="U540" s="1859" t="s">
        <v>441</v>
      </c>
      <c r="V540" s="18"/>
      <c r="W540" s="2020"/>
      <c r="X540" s="18"/>
      <c r="Y540" s="4"/>
      <c r="Z540" s="4"/>
    </row>
    <row r="541" spans="1:26" ht="14.1" hidden="1">
      <c r="A541" s="20">
        <v>548</v>
      </c>
      <c r="B541" s="1063">
        <v>40318</v>
      </c>
      <c r="C541" s="18" t="s">
        <v>2575</v>
      </c>
      <c r="D541" s="11"/>
      <c r="E541" s="22" t="s">
        <v>2535</v>
      </c>
      <c r="F541" s="22" t="s">
        <v>2450</v>
      </c>
      <c r="G541" s="18"/>
      <c r="H541" s="22" t="s">
        <v>1002</v>
      </c>
      <c r="I541" s="22" t="s">
        <v>1002</v>
      </c>
      <c r="J541" s="18"/>
      <c r="K541" s="18"/>
      <c r="L541" s="18"/>
      <c r="M541" s="18">
        <v>1</v>
      </c>
      <c r="N541" s="18">
        <v>4</v>
      </c>
      <c r="O541" s="18"/>
      <c r="P541" s="18">
        <v>0</v>
      </c>
      <c r="Q541" s="18">
        <v>3</v>
      </c>
      <c r="R541" s="1215">
        <f>37506/4</f>
        <v>9376.5</v>
      </c>
      <c r="S541" s="1201">
        <f t="shared" si="18"/>
        <v>37506</v>
      </c>
      <c r="T541" s="22" t="s">
        <v>1957</v>
      </c>
      <c r="U541" s="1859" t="s">
        <v>2454</v>
      </c>
      <c r="V541" s="18"/>
      <c r="W541" s="2020"/>
      <c r="X541" s="18"/>
      <c r="Y541" s="4"/>
      <c r="Z541" s="4"/>
    </row>
    <row r="542" spans="1:26" ht="14.1" hidden="1">
      <c r="A542" s="20">
        <v>549</v>
      </c>
      <c r="B542" s="1063">
        <v>40319</v>
      </c>
      <c r="C542" s="18" t="s">
        <v>2576</v>
      </c>
      <c r="D542" s="11"/>
      <c r="E542" s="22" t="s">
        <v>2535</v>
      </c>
      <c r="F542" s="22" t="s">
        <v>2450</v>
      </c>
      <c r="G542" s="18"/>
      <c r="H542" s="22" t="s">
        <v>1002</v>
      </c>
      <c r="I542" s="22" t="s">
        <v>1002</v>
      </c>
      <c r="J542" s="18"/>
      <c r="K542" s="18"/>
      <c r="L542" s="18"/>
      <c r="M542" s="18">
        <v>1</v>
      </c>
      <c r="N542" s="18">
        <v>1</v>
      </c>
      <c r="O542" s="18"/>
      <c r="P542" s="18">
        <v>0</v>
      </c>
      <c r="Q542" s="18">
        <v>0</v>
      </c>
      <c r="R542" s="1215">
        <v>12500</v>
      </c>
      <c r="S542" s="1201">
        <f t="shared" si="18"/>
        <v>12500</v>
      </c>
      <c r="T542" s="22" t="s">
        <v>1957</v>
      </c>
      <c r="U542" s="1859" t="s">
        <v>2454</v>
      </c>
      <c r="V542" s="18"/>
      <c r="W542" s="2020"/>
      <c r="X542" s="18"/>
      <c r="Y542" s="4"/>
      <c r="Z542" s="4"/>
    </row>
    <row r="543" spans="1:26" ht="14.1" hidden="1">
      <c r="A543" s="20">
        <v>550</v>
      </c>
      <c r="B543" s="1063">
        <v>40320</v>
      </c>
      <c r="C543" s="18" t="s">
        <v>2577</v>
      </c>
      <c r="D543" s="11"/>
      <c r="E543" s="22" t="s">
        <v>2535</v>
      </c>
      <c r="F543" s="22" t="s">
        <v>2450</v>
      </c>
      <c r="G543" s="18"/>
      <c r="H543" s="22" t="s">
        <v>1002</v>
      </c>
      <c r="I543" s="22" t="s">
        <v>1002</v>
      </c>
      <c r="J543" s="18"/>
      <c r="K543" s="18"/>
      <c r="L543" s="18"/>
      <c r="M543" s="18">
        <v>1</v>
      </c>
      <c r="N543" s="18">
        <v>2</v>
      </c>
      <c r="O543" s="18"/>
      <c r="P543" s="18">
        <v>0</v>
      </c>
      <c r="Q543" s="18">
        <v>1</v>
      </c>
      <c r="R543" s="1215">
        <f t="shared" ref="R543:R544" si="19">21879/2</f>
        <v>10939.5</v>
      </c>
      <c r="S543" s="1201">
        <f t="shared" si="18"/>
        <v>21879</v>
      </c>
      <c r="T543" s="22" t="s">
        <v>1957</v>
      </c>
      <c r="U543" s="1860" t="s">
        <v>2578</v>
      </c>
      <c r="V543" s="18"/>
      <c r="W543" s="2020"/>
      <c r="X543" s="18"/>
      <c r="Y543" s="4"/>
      <c r="Z543" s="4"/>
    </row>
    <row r="544" spans="1:26" ht="14.1" hidden="1">
      <c r="A544" s="20">
        <v>551</v>
      </c>
      <c r="B544" s="1063">
        <v>40321</v>
      </c>
      <c r="C544" s="18" t="s">
        <v>2579</v>
      </c>
      <c r="D544" s="11"/>
      <c r="E544" s="22" t="s">
        <v>2535</v>
      </c>
      <c r="F544" s="22" t="s">
        <v>2450</v>
      </c>
      <c r="G544" s="18"/>
      <c r="H544" s="22" t="s">
        <v>1002</v>
      </c>
      <c r="I544" s="22" t="s">
        <v>1002</v>
      </c>
      <c r="J544" s="18"/>
      <c r="K544" s="18"/>
      <c r="L544" s="18"/>
      <c r="M544" s="18">
        <v>1</v>
      </c>
      <c r="N544" s="18">
        <v>2</v>
      </c>
      <c r="O544" s="18"/>
      <c r="P544" s="18">
        <v>0</v>
      </c>
      <c r="Q544" s="18">
        <v>1</v>
      </c>
      <c r="R544" s="1215">
        <f t="shared" si="19"/>
        <v>10939.5</v>
      </c>
      <c r="S544" s="1201">
        <f t="shared" si="18"/>
        <v>21879</v>
      </c>
      <c r="T544" s="22" t="s">
        <v>1957</v>
      </c>
      <c r="U544" s="1860" t="s">
        <v>2580</v>
      </c>
      <c r="V544" s="18"/>
      <c r="W544" s="2020"/>
      <c r="X544" s="18"/>
      <c r="Y544" s="4"/>
      <c r="Z544" s="4"/>
    </row>
    <row r="545" spans="1:26" ht="14.1" hidden="1">
      <c r="A545" s="20">
        <v>552</v>
      </c>
      <c r="B545" s="1063">
        <v>40322</v>
      </c>
      <c r="C545" s="18" t="s">
        <v>2581</v>
      </c>
      <c r="D545" s="11"/>
      <c r="E545" s="22" t="s">
        <v>2535</v>
      </c>
      <c r="F545" s="22" t="s">
        <v>2450</v>
      </c>
      <c r="G545" s="18"/>
      <c r="H545" s="22" t="s">
        <v>1002</v>
      </c>
      <c r="I545" s="22" t="s">
        <v>1002</v>
      </c>
      <c r="J545" s="18"/>
      <c r="K545" s="18"/>
      <c r="L545" s="18"/>
      <c r="M545" s="18">
        <v>2</v>
      </c>
      <c r="N545" s="18">
        <v>2</v>
      </c>
      <c r="O545" s="18"/>
      <c r="P545" s="18">
        <v>0</v>
      </c>
      <c r="Q545" s="18">
        <v>0</v>
      </c>
      <c r="R545" s="1215">
        <f>21717/2</f>
        <v>10858.5</v>
      </c>
      <c r="S545" s="1201">
        <f t="shared" si="18"/>
        <v>21717</v>
      </c>
      <c r="T545" s="22" t="s">
        <v>1957</v>
      </c>
      <c r="U545" s="1860" t="s">
        <v>2582</v>
      </c>
      <c r="V545" s="18"/>
      <c r="W545" s="2020"/>
      <c r="X545" s="18"/>
      <c r="Y545" s="4"/>
      <c r="Z545" s="4"/>
    </row>
    <row r="546" spans="1:26" ht="14.1" hidden="1">
      <c r="A546" s="20">
        <v>553</v>
      </c>
      <c r="B546" s="1063">
        <v>40323</v>
      </c>
      <c r="C546" s="18" t="s">
        <v>2583</v>
      </c>
      <c r="D546" s="11"/>
      <c r="E546" s="22" t="s">
        <v>2535</v>
      </c>
      <c r="F546" s="22" t="s">
        <v>2450</v>
      </c>
      <c r="G546" s="18"/>
      <c r="H546" s="22" t="s">
        <v>1002</v>
      </c>
      <c r="I546" s="22" t="s">
        <v>1002</v>
      </c>
      <c r="J546" s="18"/>
      <c r="K546" s="18"/>
      <c r="L546" s="18"/>
      <c r="M546" s="18">
        <v>6</v>
      </c>
      <c r="N546" s="18">
        <v>6</v>
      </c>
      <c r="O546" s="18"/>
      <c r="P546" s="18">
        <v>0</v>
      </c>
      <c r="Q546" s="18">
        <v>0</v>
      </c>
      <c r="R546" s="1215">
        <f>21576/6</f>
        <v>3596</v>
      </c>
      <c r="S546" s="1201">
        <f t="shared" si="18"/>
        <v>21576</v>
      </c>
      <c r="T546" s="22" t="s">
        <v>1957</v>
      </c>
      <c r="U546" s="1859" t="s">
        <v>1136</v>
      </c>
      <c r="V546" s="18"/>
      <c r="W546" s="2020"/>
      <c r="X546" s="18"/>
      <c r="Y546" s="4"/>
      <c r="Z546" s="4"/>
    </row>
    <row r="547" spans="1:26" ht="14.1" hidden="1">
      <c r="A547" s="20">
        <v>554</v>
      </c>
      <c r="B547" s="1063">
        <v>40324</v>
      </c>
      <c r="C547" s="18" t="s">
        <v>2584</v>
      </c>
      <c r="D547" s="11"/>
      <c r="E547" s="22" t="s">
        <v>2535</v>
      </c>
      <c r="F547" s="22" t="s">
        <v>2450</v>
      </c>
      <c r="G547" s="18"/>
      <c r="H547" s="22" t="s">
        <v>1002</v>
      </c>
      <c r="I547" s="22" t="s">
        <v>1002</v>
      </c>
      <c r="J547" s="18"/>
      <c r="K547" s="18"/>
      <c r="L547" s="18"/>
      <c r="M547" s="18">
        <v>1</v>
      </c>
      <c r="N547" s="18">
        <v>1</v>
      </c>
      <c r="O547" s="18"/>
      <c r="P547" s="18">
        <v>0</v>
      </c>
      <c r="Q547" s="18">
        <v>0</v>
      </c>
      <c r="R547" s="1215">
        <v>12500</v>
      </c>
      <c r="S547" s="1201">
        <f t="shared" si="18"/>
        <v>12500</v>
      </c>
      <c r="T547" s="22" t="s">
        <v>1957</v>
      </c>
      <c r="U547" s="1859" t="s">
        <v>1136</v>
      </c>
      <c r="V547" s="18"/>
      <c r="W547" s="2020"/>
      <c r="X547" s="18"/>
      <c r="Y547" s="4"/>
      <c r="Z547" s="4"/>
    </row>
    <row r="548" spans="1:26" ht="14.1" hidden="1">
      <c r="A548" s="20">
        <v>555</v>
      </c>
      <c r="B548" s="1063">
        <v>40325</v>
      </c>
      <c r="C548" s="18" t="s">
        <v>2585</v>
      </c>
      <c r="D548" s="11"/>
      <c r="E548" s="22" t="s">
        <v>2535</v>
      </c>
      <c r="F548" s="22" t="s">
        <v>2450</v>
      </c>
      <c r="G548" s="18"/>
      <c r="H548" s="22" t="s">
        <v>1002</v>
      </c>
      <c r="I548" s="22" t="s">
        <v>1002</v>
      </c>
      <c r="J548" s="18"/>
      <c r="K548" s="18"/>
      <c r="L548" s="18"/>
      <c r="M548" s="18">
        <v>4</v>
      </c>
      <c r="N548" s="18">
        <v>4</v>
      </c>
      <c r="O548" s="18"/>
      <c r="P548" s="18">
        <v>0</v>
      </c>
      <c r="Q548" s="18">
        <v>1</v>
      </c>
      <c r="R548" s="1215">
        <f>32697/4</f>
        <v>8174.25</v>
      </c>
      <c r="S548" s="1201">
        <f t="shared" si="18"/>
        <v>32697</v>
      </c>
      <c r="T548" s="22" t="s">
        <v>1957</v>
      </c>
      <c r="U548" s="1859" t="s">
        <v>2586</v>
      </c>
      <c r="V548" s="18"/>
      <c r="W548" s="2020"/>
      <c r="X548" s="18"/>
      <c r="Y548" s="4"/>
      <c r="Z548" s="4"/>
    </row>
    <row r="549" spans="1:26" ht="14.1" hidden="1">
      <c r="A549" s="20">
        <v>556</v>
      </c>
      <c r="B549" s="1063">
        <v>40326</v>
      </c>
      <c r="C549" s="18" t="s">
        <v>2587</v>
      </c>
      <c r="D549" s="11"/>
      <c r="E549" s="22" t="s">
        <v>2535</v>
      </c>
      <c r="F549" s="22" t="s">
        <v>2450</v>
      </c>
      <c r="G549" s="18"/>
      <c r="H549" s="22" t="s">
        <v>1002</v>
      </c>
      <c r="I549" s="22" t="s">
        <v>1002</v>
      </c>
      <c r="J549" s="18"/>
      <c r="K549" s="18"/>
      <c r="L549" s="18"/>
      <c r="M549" s="18">
        <v>6</v>
      </c>
      <c r="N549" s="18">
        <v>6</v>
      </c>
      <c r="O549" s="18"/>
      <c r="P549" s="18">
        <v>0</v>
      </c>
      <c r="Q549" s="18">
        <v>0</v>
      </c>
      <c r="R549" s="1215">
        <f>22333/6</f>
        <v>3722.1666666666665</v>
      </c>
      <c r="S549" s="1201">
        <f t="shared" si="18"/>
        <v>22333</v>
      </c>
      <c r="T549" s="22" t="s">
        <v>1957</v>
      </c>
      <c r="U549" s="1859" t="s">
        <v>2220</v>
      </c>
      <c r="V549" s="18"/>
      <c r="W549" s="2020"/>
      <c r="X549" s="18"/>
      <c r="Y549" s="4"/>
      <c r="Z549" s="4"/>
    </row>
    <row r="550" spans="1:26" ht="14.1" hidden="1">
      <c r="A550" s="20">
        <v>557</v>
      </c>
      <c r="B550" s="1063">
        <v>40327</v>
      </c>
      <c r="C550" s="18" t="s">
        <v>2588</v>
      </c>
      <c r="D550" s="11"/>
      <c r="E550" s="22" t="s">
        <v>2535</v>
      </c>
      <c r="F550" s="22" t="s">
        <v>2450</v>
      </c>
      <c r="G550" s="18"/>
      <c r="H550" s="22" t="s">
        <v>1002</v>
      </c>
      <c r="I550" s="22" t="s">
        <v>1002</v>
      </c>
      <c r="J550" s="18"/>
      <c r="K550" s="18"/>
      <c r="L550" s="18"/>
      <c r="M550" s="18">
        <v>1</v>
      </c>
      <c r="N550" s="18">
        <v>1</v>
      </c>
      <c r="O550" s="18"/>
      <c r="P550" s="18">
        <v>0</v>
      </c>
      <c r="Q550" s="18">
        <v>0</v>
      </c>
      <c r="R550" s="1215">
        <v>12500</v>
      </c>
      <c r="S550" s="1201">
        <f t="shared" si="18"/>
        <v>12500</v>
      </c>
      <c r="T550" s="22" t="s">
        <v>1957</v>
      </c>
      <c r="U550" s="1859" t="s">
        <v>2220</v>
      </c>
      <c r="V550" s="18"/>
      <c r="W550" s="2020"/>
      <c r="X550" s="18"/>
      <c r="Y550" s="4"/>
      <c r="Z550" s="4"/>
    </row>
    <row r="551" spans="1:26" ht="14.1" hidden="1">
      <c r="A551" s="20">
        <v>558</v>
      </c>
      <c r="B551" s="1063">
        <v>40328</v>
      </c>
      <c r="C551" s="18" t="s">
        <v>2589</v>
      </c>
      <c r="D551" s="11"/>
      <c r="E551" s="22" t="s">
        <v>2535</v>
      </c>
      <c r="F551" s="22" t="s">
        <v>2450</v>
      </c>
      <c r="G551" s="18"/>
      <c r="H551" s="22" t="s">
        <v>1002</v>
      </c>
      <c r="I551" s="22" t="s">
        <v>1002</v>
      </c>
      <c r="J551" s="18"/>
      <c r="K551" s="18"/>
      <c r="L551" s="18"/>
      <c r="M551" s="18">
        <v>5</v>
      </c>
      <c r="N551" s="18">
        <v>6</v>
      </c>
      <c r="O551" s="18"/>
      <c r="P551" s="18">
        <v>0</v>
      </c>
      <c r="Q551" s="18">
        <v>1</v>
      </c>
      <c r="R551" s="1215">
        <f>20954/6</f>
        <v>3492.3333333333335</v>
      </c>
      <c r="S551" s="1201">
        <f t="shared" si="18"/>
        <v>20954</v>
      </c>
      <c r="T551" s="22" t="s">
        <v>1957</v>
      </c>
      <c r="U551" s="1859" t="s">
        <v>2590</v>
      </c>
      <c r="V551" s="18"/>
      <c r="W551" s="2020"/>
      <c r="X551" s="18"/>
      <c r="Y551" s="4"/>
      <c r="Z551" s="4"/>
    </row>
    <row r="552" spans="1:26" ht="14.1" hidden="1">
      <c r="A552" s="20">
        <v>559</v>
      </c>
      <c r="B552" s="1063">
        <v>40329</v>
      </c>
      <c r="C552" s="18" t="s">
        <v>2591</v>
      </c>
      <c r="D552" s="11"/>
      <c r="E552" s="22" t="s">
        <v>2535</v>
      </c>
      <c r="F552" s="18" t="s">
        <v>1713</v>
      </c>
      <c r="G552" s="18" t="s">
        <v>2592</v>
      </c>
      <c r="H552" s="18" t="s">
        <v>569</v>
      </c>
      <c r="I552" s="18" t="s">
        <v>569</v>
      </c>
      <c r="J552" s="18"/>
      <c r="K552" s="18"/>
      <c r="L552" s="18"/>
      <c r="M552" s="18">
        <v>3</v>
      </c>
      <c r="N552" s="18">
        <v>3</v>
      </c>
      <c r="O552" s="18"/>
      <c r="P552" s="18">
        <v>0</v>
      </c>
      <c r="Q552" s="18">
        <v>0</v>
      </c>
      <c r="R552" s="1215">
        <v>368016</v>
      </c>
      <c r="S552" s="1201">
        <f t="shared" si="18"/>
        <v>1104048</v>
      </c>
      <c r="T552" s="22" t="s">
        <v>1957</v>
      </c>
      <c r="U552" s="1859" t="s">
        <v>2593</v>
      </c>
      <c r="V552" s="18"/>
      <c r="W552" s="2020"/>
      <c r="X552" s="18"/>
      <c r="Y552" s="4"/>
      <c r="Z552" s="4"/>
    </row>
    <row r="553" spans="1:26" ht="26.1" hidden="1">
      <c r="A553" s="20">
        <v>560</v>
      </c>
      <c r="B553" s="1063">
        <v>40330</v>
      </c>
      <c r="C553" s="18" t="s">
        <v>2594</v>
      </c>
      <c r="D553" s="11"/>
      <c r="E553" s="22" t="s">
        <v>2535</v>
      </c>
      <c r="F553" s="18" t="s">
        <v>1713</v>
      </c>
      <c r="G553" s="18" t="s">
        <v>2595</v>
      </c>
      <c r="H553" s="18" t="s">
        <v>382</v>
      </c>
      <c r="I553" s="18" t="s">
        <v>382</v>
      </c>
      <c r="J553" s="18" t="s">
        <v>2595</v>
      </c>
      <c r="K553" s="18"/>
      <c r="L553" s="18"/>
      <c r="M553" s="18">
        <v>2</v>
      </c>
      <c r="N553" s="18">
        <v>2</v>
      </c>
      <c r="O553" s="18"/>
      <c r="P553" s="18">
        <v>0</v>
      </c>
      <c r="Q553" s="18">
        <v>0</v>
      </c>
      <c r="R553" s="1215">
        <v>800</v>
      </c>
      <c r="S553" s="1201">
        <f t="shared" si="18"/>
        <v>1600</v>
      </c>
      <c r="T553" s="22" t="s">
        <v>1957</v>
      </c>
      <c r="U553" s="1859" t="s">
        <v>2593</v>
      </c>
      <c r="V553" s="18"/>
      <c r="W553" s="2021" t="s">
        <v>2596</v>
      </c>
      <c r="X553" s="18"/>
      <c r="Y553" s="4"/>
      <c r="Z553" s="4"/>
    </row>
    <row r="554" spans="1:26" ht="26.1" hidden="1">
      <c r="A554" s="20">
        <v>561</v>
      </c>
      <c r="B554" s="1063">
        <v>40331</v>
      </c>
      <c r="C554" s="18" t="s">
        <v>2594</v>
      </c>
      <c r="D554" s="11"/>
      <c r="E554" s="22" t="s">
        <v>2535</v>
      </c>
      <c r="F554" s="18" t="s">
        <v>1713</v>
      </c>
      <c r="G554" s="18" t="s">
        <v>2597</v>
      </c>
      <c r="H554" s="18" t="s">
        <v>382</v>
      </c>
      <c r="I554" s="18" t="s">
        <v>382</v>
      </c>
      <c r="J554" s="18" t="s">
        <v>2597</v>
      </c>
      <c r="K554" s="18"/>
      <c r="L554" s="18"/>
      <c r="M554" s="18">
        <v>2</v>
      </c>
      <c r="N554" s="18">
        <v>2</v>
      </c>
      <c r="O554" s="18"/>
      <c r="P554" s="18">
        <v>0</v>
      </c>
      <c r="Q554" s="18">
        <v>0</v>
      </c>
      <c r="R554" s="1215">
        <v>800</v>
      </c>
      <c r="S554" s="1201">
        <f t="shared" si="18"/>
        <v>1600</v>
      </c>
      <c r="T554" s="22" t="s">
        <v>1957</v>
      </c>
      <c r="U554" s="1859" t="s">
        <v>2593</v>
      </c>
      <c r="V554" s="18"/>
      <c r="W554" s="2021" t="s">
        <v>2598</v>
      </c>
      <c r="X554" s="18"/>
      <c r="Y554" s="4"/>
      <c r="Z554" s="4"/>
    </row>
    <row r="555" spans="1:26" ht="39" hidden="1">
      <c r="A555" s="20">
        <v>562</v>
      </c>
      <c r="B555" s="1063">
        <v>40332</v>
      </c>
      <c r="C555" s="18" t="s">
        <v>2594</v>
      </c>
      <c r="D555" s="11"/>
      <c r="E555" s="22" t="s">
        <v>2535</v>
      </c>
      <c r="F555" s="18" t="s">
        <v>1713</v>
      </c>
      <c r="G555" s="18" t="s">
        <v>1524</v>
      </c>
      <c r="H555" s="18" t="s">
        <v>382</v>
      </c>
      <c r="I555" s="18" t="s">
        <v>382</v>
      </c>
      <c r="J555" s="18" t="s">
        <v>1524</v>
      </c>
      <c r="K555" s="18"/>
      <c r="L555" s="18"/>
      <c r="M555" s="18">
        <v>6</v>
      </c>
      <c r="N555" s="18">
        <v>10</v>
      </c>
      <c r="O555" s="18"/>
      <c r="P555" s="18">
        <v>0</v>
      </c>
      <c r="Q555" s="18">
        <v>4</v>
      </c>
      <c r="R555" s="1215">
        <v>447</v>
      </c>
      <c r="S555" s="1201">
        <v>447</v>
      </c>
      <c r="T555" s="22" t="s">
        <v>1957</v>
      </c>
      <c r="U555" s="1859" t="s">
        <v>2593</v>
      </c>
      <c r="V555" s="18"/>
      <c r="W555" s="2021" t="s">
        <v>2599</v>
      </c>
      <c r="X555" s="18"/>
      <c r="Y555" s="4"/>
      <c r="Z555" s="4"/>
    </row>
    <row r="556" spans="1:26" ht="26.1" hidden="1">
      <c r="A556" s="20">
        <v>563</v>
      </c>
      <c r="B556" s="1063">
        <v>40333</v>
      </c>
      <c r="C556" s="18" t="s">
        <v>2594</v>
      </c>
      <c r="D556" s="11"/>
      <c r="E556" s="22" t="s">
        <v>2535</v>
      </c>
      <c r="F556" s="18" t="s">
        <v>1713</v>
      </c>
      <c r="G556" s="18" t="s">
        <v>2600</v>
      </c>
      <c r="H556" s="18" t="s">
        <v>382</v>
      </c>
      <c r="I556" s="18" t="s">
        <v>382</v>
      </c>
      <c r="J556" s="18" t="s">
        <v>2600</v>
      </c>
      <c r="K556" s="18"/>
      <c r="L556" s="18"/>
      <c r="M556" s="18">
        <v>1</v>
      </c>
      <c r="N556" s="18">
        <v>1</v>
      </c>
      <c r="O556" s="18"/>
      <c r="P556" s="18">
        <v>0</v>
      </c>
      <c r="Q556" s="18">
        <v>0</v>
      </c>
      <c r="R556" s="1215">
        <v>470</v>
      </c>
      <c r="S556" s="1201">
        <f t="shared" ref="S556:S581" si="20">R556*N556</f>
        <v>470</v>
      </c>
      <c r="T556" s="22" t="s">
        <v>1957</v>
      </c>
      <c r="U556" s="1859" t="s">
        <v>2593</v>
      </c>
      <c r="V556" s="18"/>
      <c r="W556" s="2021" t="s">
        <v>2601</v>
      </c>
      <c r="X556" s="18"/>
      <c r="Y556" s="4"/>
      <c r="Z556" s="4"/>
    </row>
    <row r="557" spans="1:26" ht="26.1" hidden="1">
      <c r="A557" s="20">
        <v>564</v>
      </c>
      <c r="B557" s="1063">
        <v>40334</v>
      </c>
      <c r="C557" s="18" t="s">
        <v>2594</v>
      </c>
      <c r="D557" s="11"/>
      <c r="E557" s="22" t="s">
        <v>2535</v>
      </c>
      <c r="F557" s="18" t="s">
        <v>1713</v>
      </c>
      <c r="G557" s="18" t="s">
        <v>2602</v>
      </c>
      <c r="H557" s="18" t="s">
        <v>382</v>
      </c>
      <c r="I557" s="18" t="s">
        <v>382</v>
      </c>
      <c r="J557" s="18" t="s">
        <v>2602</v>
      </c>
      <c r="K557" s="18"/>
      <c r="L557" s="18"/>
      <c r="M557" s="18">
        <v>4</v>
      </c>
      <c r="N557" s="18">
        <v>4</v>
      </c>
      <c r="O557" s="18"/>
      <c r="P557" s="18">
        <v>0</v>
      </c>
      <c r="Q557" s="18">
        <v>0</v>
      </c>
      <c r="R557" s="1215">
        <v>380</v>
      </c>
      <c r="S557" s="1201">
        <f t="shared" si="20"/>
        <v>1520</v>
      </c>
      <c r="T557" s="22" t="s">
        <v>1957</v>
      </c>
      <c r="U557" s="1859" t="s">
        <v>2593</v>
      </c>
      <c r="V557" s="18"/>
      <c r="W557" s="2021" t="s">
        <v>2603</v>
      </c>
      <c r="X557" s="18"/>
      <c r="Y557" s="4"/>
      <c r="Z557" s="4"/>
    </row>
    <row r="558" spans="1:26" ht="39" hidden="1">
      <c r="A558" s="20">
        <v>565</v>
      </c>
      <c r="B558" s="1063">
        <v>40335</v>
      </c>
      <c r="C558" s="18" t="s">
        <v>2594</v>
      </c>
      <c r="D558" s="11"/>
      <c r="E558" s="22" t="s">
        <v>2535</v>
      </c>
      <c r="F558" s="18" t="s">
        <v>1713</v>
      </c>
      <c r="G558" s="18" t="s">
        <v>2604</v>
      </c>
      <c r="H558" s="18" t="s">
        <v>382</v>
      </c>
      <c r="I558" s="18" t="s">
        <v>382</v>
      </c>
      <c r="J558" s="18" t="s">
        <v>2604</v>
      </c>
      <c r="K558" s="18"/>
      <c r="L558" s="18"/>
      <c r="M558" s="18">
        <v>1</v>
      </c>
      <c r="N558" s="18">
        <v>1</v>
      </c>
      <c r="O558" s="18"/>
      <c r="P558" s="18">
        <v>0</v>
      </c>
      <c r="Q558" s="18">
        <v>0</v>
      </c>
      <c r="R558" s="1215">
        <v>1480</v>
      </c>
      <c r="S558" s="1201">
        <f t="shared" si="20"/>
        <v>1480</v>
      </c>
      <c r="T558" s="22" t="s">
        <v>1957</v>
      </c>
      <c r="U558" s="1859" t="s">
        <v>2593</v>
      </c>
      <c r="V558" s="18"/>
      <c r="W558" s="2021" t="s">
        <v>2605</v>
      </c>
      <c r="X558" s="18"/>
      <c r="Y558" s="4"/>
      <c r="Z558" s="4"/>
    </row>
    <row r="559" spans="1:26" ht="26.1" hidden="1">
      <c r="A559" s="20">
        <v>566</v>
      </c>
      <c r="B559" s="1063">
        <v>40336</v>
      </c>
      <c r="C559" s="18" t="s">
        <v>2594</v>
      </c>
      <c r="D559" s="11"/>
      <c r="E559" s="22" t="s">
        <v>2535</v>
      </c>
      <c r="F559" s="18" t="s">
        <v>1713</v>
      </c>
      <c r="G559" s="18" t="s">
        <v>2606</v>
      </c>
      <c r="H559" s="18" t="s">
        <v>382</v>
      </c>
      <c r="I559" s="18" t="s">
        <v>382</v>
      </c>
      <c r="J559" s="18" t="s">
        <v>2606</v>
      </c>
      <c r="K559" s="18"/>
      <c r="L559" s="18"/>
      <c r="M559" s="18">
        <v>7</v>
      </c>
      <c r="N559" s="18">
        <v>7</v>
      </c>
      <c r="O559" s="18"/>
      <c r="P559" s="18">
        <v>0</v>
      </c>
      <c r="Q559" s="18">
        <v>0</v>
      </c>
      <c r="R559" s="1215">
        <v>380</v>
      </c>
      <c r="S559" s="1201">
        <f t="shared" si="20"/>
        <v>2660</v>
      </c>
      <c r="T559" s="22" t="s">
        <v>1957</v>
      </c>
      <c r="U559" s="1859" t="s">
        <v>2593</v>
      </c>
      <c r="V559" s="18"/>
      <c r="W559" s="2021" t="s">
        <v>2607</v>
      </c>
      <c r="X559" s="18"/>
      <c r="Y559" s="4"/>
      <c r="Z559" s="4"/>
    </row>
    <row r="560" spans="1:26" ht="26.1" hidden="1">
      <c r="A560" s="20">
        <v>567</v>
      </c>
      <c r="B560" s="1063">
        <v>40337</v>
      </c>
      <c r="C560" s="18" t="s">
        <v>2594</v>
      </c>
      <c r="D560" s="11"/>
      <c r="E560" s="22" t="s">
        <v>2535</v>
      </c>
      <c r="F560" s="18" t="s">
        <v>1713</v>
      </c>
      <c r="G560" s="18" t="s">
        <v>2608</v>
      </c>
      <c r="H560" s="18" t="s">
        <v>382</v>
      </c>
      <c r="I560" s="18" t="s">
        <v>382</v>
      </c>
      <c r="J560" s="18" t="s">
        <v>2608</v>
      </c>
      <c r="K560" s="18"/>
      <c r="L560" s="18"/>
      <c r="M560" s="18">
        <v>1</v>
      </c>
      <c r="N560" s="18">
        <v>1</v>
      </c>
      <c r="O560" s="18"/>
      <c r="P560" s="18">
        <v>0</v>
      </c>
      <c r="Q560" s="18">
        <v>0</v>
      </c>
      <c r="R560" s="1215">
        <v>1650</v>
      </c>
      <c r="S560" s="1201">
        <f t="shared" si="20"/>
        <v>1650</v>
      </c>
      <c r="T560" s="22" t="s">
        <v>1957</v>
      </c>
      <c r="U560" s="1859" t="s">
        <v>2593</v>
      </c>
      <c r="V560" s="18"/>
      <c r="W560" s="2021" t="s">
        <v>2609</v>
      </c>
      <c r="X560" s="18"/>
      <c r="Y560" s="4"/>
      <c r="Z560" s="4"/>
    </row>
    <row r="561" spans="1:26" ht="26.1" hidden="1">
      <c r="A561" s="20">
        <v>568</v>
      </c>
      <c r="B561" s="1063">
        <v>40338</v>
      </c>
      <c r="C561" s="18" t="s">
        <v>2594</v>
      </c>
      <c r="D561" s="11"/>
      <c r="E561" s="22" t="s">
        <v>2535</v>
      </c>
      <c r="F561" s="18" t="s">
        <v>1713</v>
      </c>
      <c r="G561" s="18" t="s">
        <v>2610</v>
      </c>
      <c r="H561" s="18" t="s">
        <v>382</v>
      </c>
      <c r="I561" s="18" t="s">
        <v>382</v>
      </c>
      <c r="J561" s="18" t="s">
        <v>2610</v>
      </c>
      <c r="K561" s="18"/>
      <c r="L561" s="18"/>
      <c r="M561" s="18">
        <v>1</v>
      </c>
      <c r="N561" s="18">
        <v>1</v>
      </c>
      <c r="O561" s="18"/>
      <c r="P561" s="18">
        <v>0</v>
      </c>
      <c r="Q561" s="18">
        <v>0</v>
      </c>
      <c r="R561" s="1215">
        <v>1650</v>
      </c>
      <c r="S561" s="1201">
        <f t="shared" si="20"/>
        <v>1650</v>
      </c>
      <c r="T561" s="22" t="s">
        <v>1957</v>
      </c>
      <c r="U561" s="1859" t="s">
        <v>2593</v>
      </c>
      <c r="V561" s="18"/>
      <c r="W561" s="2021" t="s">
        <v>2611</v>
      </c>
      <c r="X561" s="18"/>
      <c r="Y561" s="4"/>
      <c r="Z561" s="4"/>
    </row>
    <row r="562" spans="1:26" ht="39" hidden="1">
      <c r="A562" s="20">
        <v>569</v>
      </c>
      <c r="B562" s="1063">
        <v>40339</v>
      </c>
      <c r="C562" s="18" t="s">
        <v>2594</v>
      </c>
      <c r="D562" s="11"/>
      <c r="E562" s="22" t="s">
        <v>2535</v>
      </c>
      <c r="F562" s="18" t="s">
        <v>1713</v>
      </c>
      <c r="G562" s="18" t="s">
        <v>2612</v>
      </c>
      <c r="H562" s="18" t="s">
        <v>382</v>
      </c>
      <c r="I562" s="18" t="s">
        <v>382</v>
      </c>
      <c r="J562" s="18" t="s">
        <v>2612</v>
      </c>
      <c r="K562" s="18"/>
      <c r="L562" s="18"/>
      <c r="M562" s="18">
        <v>12</v>
      </c>
      <c r="N562" s="18">
        <v>12</v>
      </c>
      <c r="O562" s="18"/>
      <c r="P562" s="18">
        <v>0</v>
      </c>
      <c r="Q562" s="18">
        <v>0</v>
      </c>
      <c r="R562" s="1215">
        <v>1480</v>
      </c>
      <c r="S562" s="1201">
        <f t="shared" si="20"/>
        <v>17760</v>
      </c>
      <c r="T562" s="22" t="s">
        <v>1957</v>
      </c>
      <c r="U562" s="1859" t="s">
        <v>2593</v>
      </c>
      <c r="V562" s="18"/>
      <c r="W562" s="2021" t="s">
        <v>2613</v>
      </c>
      <c r="X562" s="18"/>
      <c r="Y562" s="4"/>
      <c r="Z562" s="4"/>
    </row>
    <row r="563" spans="1:26" ht="51.95" hidden="1">
      <c r="A563" s="20">
        <v>570</v>
      </c>
      <c r="B563" s="1063">
        <v>40340</v>
      </c>
      <c r="C563" s="18" t="s">
        <v>2594</v>
      </c>
      <c r="D563" s="11"/>
      <c r="E563" s="22" t="s">
        <v>2535</v>
      </c>
      <c r="F563" s="18" t="s">
        <v>1713</v>
      </c>
      <c r="G563" s="18" t="s">
        <v>372</v>
      </c>
      <c r="H563" s="18" t="s">
        <v>429</v>
      </c>
      <c r="I563" s="18" t="s">
        <v>429</v>
      </c>
      <c r="J563" s="18" t="s">
        <v>372</v>
      </c>
      <c r="K563" s="18"/>
      <c r="L563" s="18"/>
      <c r="M563" s="18">
        <v>16</v>
      </c>
      <c r="N563" s="18">
        <v>16</v>
      </c>
      <c r="O563" s="18"/>
      <c r="P563" s="18">
        <v>0</v>
      </c>
      <c r="Q563" s="18">
        <v>4</v>
      </c>
      <c r="R563" s="1215">
        <v>270</v>
      </c>
      <c r="S563" s="1201">
        <f t="shared" si="20"/>
        <v>4320</v>
      </c>
      <c r="T563" s="22" t="s">
        <v>1957</v>
      </c>
      <c r="U563" s="1859" t="s">
        <v>2593</v>
      </c>
      <c r="V563" s="18"/>
      <c r="W563" s="2021" t="s">
        <v>2614</v>
      </c>
      <c r="X563" s="18"/>
      <c r="Y563" s="4"/>
      <c r="Z563" s="4"/>
    </row>
    <row r="564" spans="1:26" ht="51.95" hidden="1">
      <c r="A564" s="20">
        <v>571</v>
      </c>
      <c r="B564" s="1063">
        <v>40341</v>
      </c>
      <c r="C564" s="18" t="s">
        <v>2594</v>
      </c>
      <c r="D564" s="11"/>
      <c r="E564" s="22" t="s">
        <v>2535</v>
      </c>
      <c r="F564" s="18" t="s">
        <v>1713</v>
      </c>
      <c r="G564" s="18" t="s">
        <v>370</v>
      </c>
      <c r="H564" s="18" t="s">
        <v>429</v>
      </c>
      <c r="I564" s="18" t="s">
        <v>429</v>
      </c>
      <c r="J564" s="18" t="s">
        <v>370</v>
      </c>
      <c r="K564" s="18"/>
      <c r="L564" s="18"/>
      <c r="M564" s="18">
        <v>56</v>
      </c>
      <c r="N564" s="18">
        <v>56</v>
      </c>
      <c r="O564" s="18"/>
      <c r="P564" s="18">
        <v>0</v>
      </c>
      <c r="Q564" s="18">
        <v>12</v>
      </c>
      <c r="R564" s="1215">
        <v>130</v>
      </c>
      <c r="S564" s="1201">
        <f t="shared" si="20"/>
        <v>7280</v>
      </c>
      <c r="T564" s="22" t="s">
        <v>1957</v>
      </c>
      <c r="U564" s="1859" t="s">
        <v>2593</v>
      </c>
      <c r="V564" s="18"/>
      <c r="W564" s="2021" t="s">
        <v>2615</v>
      </c>
      <c r="X564" s="18"/>
      <c r="Y564" s="4"/>
      <c r="Z564" s="4"/>
    </row>
    <row r="565" spans="1:26" ht="51.95" hidden="1">
      <c r="A565" s="20">
        <v>572</v>
      </c>
      <c r="B565" s="1063">
        <v>40342</v>
      </c>
      <c r="C565" s="18" t="s">
        <v>2594</v>
      </c>
      <c r="D565" s="11"/>
      <c r="E565" s="22" t="s">
        <v>2535</v>
      </c>
      <c r="F565" s="18" t="s">
        <v>1713</v>
      </c>
      <c r="G565" s="18" t="s">
        <v>367</v>
      </c>
      <c r="H565" s="18" t="s">
        <v>429</v>
      </c>
      <c r="I565" s="18" t="s">
        <v>429</v>
      </c>
      <c r="J565" s="18" t="s">
        <v>367</v>
      </c>
      <c r="K565" s="18"/>
      <c r="L565" s="18"/>
      <c r="M565" s="18">
        <v>32</v>
      </c>
      <c r="N565" s="18">
        <v>32</v>
      </c>
      <c r="O565" s="18"/>
      <c r="P565" s="18">
        <v>0</v>
      </c>
      <c r="Q565" s="18">
        <v>8</v>
      </c>
      <c r="R565" s="1215">
        <v>180</v>
      </c>
      <c r="S565" s="1201">
        <f t="shared" si="20"/>
        <v>5760</v>
      </c>
      <c r="T565" s="22" t="s">
        <v>1957</v>
      </c>
      <c r="U565" s="1859" t="s">
        <v>2593</v>
      </c>
      <c r="V565" s="18"/>
      <c r="W565" s="2021" t="s">
        <v>2616</v>
      </c>
      <c r="X565" s="18"/>
      <c r="Y565" s="4"/>
      <c r="Z565" s="4"/>
    </row>
    <row r="566" spans="1:26" ht="51.95" hidden="1">
      <c r="A566" s="20">
        <v>573</v>
      </c>
      <c r="B566" s="1063">
        <v>40343</v>
      </c>
      <c r="C566" s="18" t="s">
        <v>2594</v>
      </c>
      <c r="D566" s="11"/>
      <c r="E566" s="22" t="s">
        <v>2535</v>
      </c>
      <c r="F566" s="18" t="s">
        <v>1713</v>
      </c>
      <c r="G566" s="18" t="s">
        <v>2617</v>
      </c>
      <c r="H566" s="18" t="s">
        <v>429</v>
      </c>
      <c r="I566" s="18" t="s">
        <v>429</v>
      </c>
      <c r="J566" s="18" t="s">
        <v>2617</v>
      </c>
      <c r="K566" s="18"/>
      <c r="L566" s="18"/>
      <c r="M566" s="18">
        <v>16</v>
      </c>
      <c r="N566" s="18">
        <v>16</v>
      </c>
      <c r="O566" s="18"/>
      <c r="P566" s="18">
        <v>0</v>
      </c>
      <c r="Q566" s="18">
        <v>4</v>
      </c>
      <c r="R566" s="1215">
        <v>470</v>
      </c>
      <c r="S566" s="1201">
        <f t="shared" si="20"/>
        <v>7520</v>
      </c>
      <c r="T566" s="22" t="s">
        <v>1957</v>
      </c>
      <c r="U566" s="1859" t="s">
        <v>2593</v>
      </c>
      <c r="V566" s="18"/>
      <c r="W566" s="2021" t="s">
        <v>2618</v>
      </c>
      <c r="X566" s="18"/>
      <c r="Y566" s="4"/>
      <c r="Z566" s="4"/>
    </row>
    <row r="567" spans="1:26" ht="26.1" hidden="1">
      <c r="A567" s="20">
        <v>574</v>
      </c>
      <c r="B567" s="1063">
        <v>40344</v>
      </c>
      <c r="C567" s="18" t="s">
        <v>2619</v>
      </c>
      <c r="D567" s="11"/>
      <c r="E567" s="22" t="s">
        <v>2535</v>
      </c>
      <c r="F567" s="18" t="s">
        <v>1713</v>
      </c>
      <c r="G567" s="18" t="s">
        <v>1148</v>
      </c>
      <c r="H567" s="18" t="s">
        <v>382</v>
      </c>
      <c r="I567" s="18" t="s">
        <v>382</v>
      </c>
      <c r="J567" s="18" t="s">
        <v>1148</v>
      </c>
      <c r="K567" s="18"/>
      <c r="L567" s="18"/>
      <c r="M567" s="18">
        <v>2</v>
      </c>
      <c r="N567" s="18">
        <v>2</v>
      </c>
      <c r="O567" s="18"/>
      <c r="P567" s="18">
        <v>0</v>
      </c>
      <c r="Q567" s="18">
        <v>0</v>
      </c>
      <c r="R567" s="1215">
        <v>400</v>
      </c>
      <c r="S567" s="1201">
        <f t="shared" si="20"/>
        <v>800</v>
      </c>
      <c r="T567" s="22" t="s">
        <v>1957</v>
      </c>
      <c r="U567" s="1859" t="s">
        <v>2593</v>
      </c>
      <c r="V567" s="18"/>
      <c r="W567" s="2021" t="s">
        <v>2620</v>
      </c>
      <c r="X567" s="18"/>
      <c r="Y567" s="4"/>
      <c r="Z567" s="4"/>
    </row>
    <row r="568" spans="1:26" ht="51.95" hidden="1">
      <c r="A568" s="20">
        <v>575</v>
      </c>
      <c r="B568" s="1063">
        <v>40345</v>
      </c>
      <c r="C568" s="18" t="s">
        <v>2619</v>
      </c>
      <c r="D568" s="11"/>
      <c r="E568" s="22" t="s">
        <v>2535</v>
      </c>
      <c r="F568" s="18" t="s">
        <v>1713</v>
      </c>
      <c r="G568" s="18" t="s">
        <v>379</v>
      </c>
      <c r="H568" s="18" t="s">
        <v>429</v>
      </c>
      <c r="I568" s="18" t="s">
        <v>429</v>
      </c>
      <c r="J568" s="18" t="s">
        <v>379</v>
      </c>
      <c r="K568" s="18"/>
      <c r="L568" s="18"/>
      <c r="M568" s="18">
        <v>50</v>
      </c>
      <c r="N568" s="18">
        <v>50</v>
      </c>
      <c r="O568" s="18"/>
      <c r="P568" s="18">
        <v>0</v>
      </c>
      <c r="Q568" s="18">
        <v>12</v>
      </c>
      <c r="R568" s="1215">
        <v>19</v>
      </c>
      <c r="S568" s="1201">
        <f t="shared" si="20"/>
        <v>950</v>
      </c>
      <c r="T568" s="22" t="s">
        <v>1957</v>
      </c>
      <c r="U568" s="1859" t="s">
        <v>2593</v>
      </c>
      <c r="V568" s="18"/>
      <c r="W568" s="2021" t="s">
        <v>380</v>
      </c>
      <c r="X568" s="18"/>
      <c r="Y568" s="4"/>
      <c r="Z568" s="4"/>
    </row>
    <row r="569" spans="1:26" ht="51.95" hidden="1">
      <c r="A569" s="20">
        <v>576</v>
      </c>
      <c r="B569" s="1063">
        <v>40346</v>
      </c>
      <c r="C569" s="18" t="s">
        <v>2621</v>
      </c>
      <c r="D569" s="11"/>
      <c r="E569" s="22" t="s">
        <v>2535</v>
      </c>
      <c r="F569" s="18" t="s">
        <v>1713</v>
      </c>
      <c r="G569" s="18" t="s">
        <v>2622</v>
      </c>
      <c r="H569" s="18" t="s">
        <v>429</v>
      </c>
      <c r="I569" s="18" t="s">
        <v>429</v>
      </c>
      <c r="J569" s="18" t="s">
        <v>2622</v>
      </c>
      <c r="K569" s="18"/>
      <c r="L569" s="18"/>
      <c r="M569" s="18">
        <v>1</v>
      </c>
      <c r="N569" s="18">
        <v>1</v>
      </c>
      <c r="O569" s="18"/>
      <c r="P569" s="18">
        <v>0</v>
      </c>
      <c r="Q569" s="18">
        <v>0</v>
      </c>
      <c r="R569" s="1215">
        <v>568</v>
      </c>
      <c r="S569" s="1201">
        <f t="shared" si="20"/>
        <v>568</v>
      </c>
      <c r="T569" s="22" t="s">
        <v>1957</v>
      </c>
      <c r="U569" s="1859" t="s">
        <v>2593</v>
      </c>
      <c r="V569" s="18"/>
      <c r="W569" s="2021" t="s">
        <v>2623</v>
      </c>
      <c r="X569" s="18"/>
      <c r="Y569" s="4"/>
      <c r="Z569" s="4"/>
    </row>
    <row r="570" spans="1:26" ht="51.95" hidden="1">
      <c r="A570" s="20">
        <v>577</v>
      </c>
      <c r="B570" s="1063">
        <v>40347</v>
      </c>
      <c r="C570" s="18" t="s">
        <v>2621</v>
      </c>
      <c r="D570" s="11"/>
      <c r="E570" s="22" t="s">
        <v>2535</v>
      </c>
      <c r="F570" s="18" t="s">
        <v>1713</v>
      </c>
      <c r="G570" s="18" t="s">
        <v>2624</v>
      </c>
      <c r="H570" s="18" t="s">
        <v>429</v>
      </c>
      <c r="I570" s="18" t="s">
        <v>429</v>
      </c>
      <c r="J570" s="18" t="s">
        <v>2624</v>
      </c>
      <c r="K570" s="18"/>
      <c r="L570" s="18"/>
      <c r="M570" s="18">
        <v>50</v>
      </c>
      <c r="N570" s="18">
        <v>50</v>
      </c>
      <c r="O570" s="18"/>
      <c r="P570" s="18">
        <v>0</v>
      </c>
      <c r="Q570" s="18">
        <v>4</v>
      </c>
      <c r="R570" s="1215">
        <v>12</v>
      </c>
      <c r="S570" s="1201">
        <f t="shared" si="20"/>
        <v>600</v>
      </c>
      <c r="T570" s="22" t="s">
        <v>1957</v>
      </c>
      <c r="U570" s="1859" t="s">
        <v>2593</v>
      </c>
      <c r="V570" s="18"/>
      <c r="W570" s="2021" t="s">
        <v>2625</v>
      </c>
      <c r="X570" s="18"/>
      <c r="Y570" s="4"/>
      <c r="Z570" s="4"/>
    </row>
    <row r="571" spans="1:26" ht="51.95" hidden="1">
      <c r="A571" s="20">
        <v>578</v>
      </c>
      <c r="B571" s="1063">
        <v>40348</v>
      </c>
      <c r="C571" s="18" t="s">
        <v>2621</v>
      </c>
      <c r="D571" s="11"/>
      <c r="E571" s="22" t="s">
        <v>2535</v>
      </c>
      <c r="F571" s="18" t="s">
        <v>1713</v>
      </c>
      <c r="G571" s="18" t="s">
        <v>2626</v>
      </c>
      <c r="H571" s="18" t="s">
        <v>429</v>
      </c>
      <c r="I571" s="18" t="s">
        <v>429</v>
      </c>
      <c r="J571" s="18" t="s">
        <v>2626</v>
      </c>
      <c r="K571" s="18"/>
      <c r="L571" s="18"/>
      <c r="M571" s="18">
        <v>1</v>
      </c>
      <c r="N571" s="18">
        <v>1</v>
      </c>
      <c r="O571" s="18"/>
      <c r="P571" s="18">
        <v>0</v>
      </c>
      <c r="Q571" s="18">
        <v>0</v>
      </c>
      <c r="R571" s="1215">
        <v>648</v>
      </c>
      <c r="S571" s="1201">
        <f t="shared" si="20"/>
        <v>648</v>
      </c>
      <c r="T571" s="22" t="s">
        <v>1957</v>
      </c>
      <c r="U571" s="1859" t="s">
        <v>2593</v>
      </c>
      <c r="V571" s="18"/>
      <c r="W571" s="2021" t="s">
        <v>2627</v>
      </c>
      <c r="X571" s="18"/>
      <c r="Y571" s="4"/>
      <c r="Z571" s="4"/>
    </row>
    <row r="572" spans="1:26" ht="51.95" hidden="1">
      <c r="A572" s="20">
        <v>579</v>
      </c>
      <c r="B572" s="1063">
        <v>40349</v>
      </c>
      <c r="C572" s="18" t="s">
        <v>2621</v>
      </c>
      <c r="D572" s="11"/>
      <c r="E572" s="22" t="s">
        <v>2535</v>
      </c>
      <c r="F572" s="18" t="s">
        <v>1713</v>
      </c>
      <c r="G572" s="18" t="s">
        <v>2628</v>
      </c>
      <c r="H572" s="18" t="s">
        <v>429</v>
      </c>
      <c r="I572" s="18" t="s">
        <v>429</v>
      </c>
      <c r="J572" s="18" t="s">
        <v>2628</v>
      </c>
      <c r="K572" s="18"/>
      <c r="L572" s="18"/>
      <c r="M572" s="18">
        <v>1</v>
      </c>
      <c r="N572" s="18">
        <v>1</v>
      </c>
      <c r="O572" s="18"/>
      <c r="P572" s="18">
        <v>0</v>
      </c>
      <c r="Q572" s="18">
        <v>0</v>
      </c>
      <c r="R572" s="1215">
        <v>648</v>
      </c>
      <c r="S572" s="1201">
        <f t="shared" si="20"/>
        <v>648</v>
      </c>
      <c r="T572" s="22" t="s">
        <v>1957</v>
      </c>
      <c r="U572" s="1859" t="s">
        <v>2593</v>
      </c>
      <c r="V572" s="18"/>
      <c r="W572" s="2021" t="s">
        <v>2629</v>
      </c>
      <c r="X572" s="18"/>
      <c r="Y572" s="4"/>
      <c r="Z572" s="4"/>
    </row>
    <row r="573" spans="1:26" ht="51.95" hidden="1">
      <c r="A573" s="20">
        <v>580</v>
      </c>
      <c r="B573" s="1063">
        <v>40350</v>
      </c>
      <c r="C573" s="18" t="s">
        <v>2621</v>
      </c>
      <c r="D573" s="11"/>
      <c r="E573" s="22" t="s">
        <v>2535</v>
      </c>
      <c r="F573" s="18" t="s">
        <v>1713</v>
      </c>
      <c r="G573" s="18" t="s">
        <v>2630</v>
      </c>
      <c r="H573" s="18" t="s">
        <v>429</v>
      </c>
      <c r="I573" s="18" t="s">
        <v>429</v>
      </c>
      <c r="J573" s="18" t="s">
        <v>2630</v>
      </c>
      <c r="K573" s="18"/>
      <c r="L573" s="18"/>
      <c r="M573" s="18">
        <v>1</v>
      </c>
      <c r="N573" s="18">
        <v>1</v>
      </c>
      <c r="O573" s="18"/>
      <c r="P573" s="18">
        <v>0</v>
      </c>
      <c r="Q573" s="18">
        <v>0</v>
      </c>
      <c r="R573" s="1215">
        <v>648</v>
      </c>
      <c r="S573" s="1201">
        <f t="shared" si="20"/>
        <v>648</v>
      </c>
      <c r="T573" s="22" t="s">
        <v>1957</v>
      </c>
      <c r="U573" s="1859" t="s">
        <v>2593</v>
      </c>
      <c r="V573" s="18"/>
      <c r="W573" s="2021" t="s">
        <v>2631</v>
      </c>
      <c r="X573" s="18"/>
      <c r="Y573" s="4"/>
      <c r="Z573" s="4"/>
    </row>
    <row r="574" spans="1:26" ht="51.95" hidden="1">
      <c r="A574" s="20">
        <v>581</v>
      </c>
      <c r="B574" s="1063">
        <v>40351</v>
      </c>
      <c r="C574" s="18" t="s">
        <v>2621</v>
      </c>
      <c r="D574" s="11"/>
      <c r="E574" s="22" t="s">
        <v>2535</v>
      </c>
      <c r="F574" s="18" t="s">
        <v>1713</v>
      </c>
      <c r="G574" s="18" t="s">
        <v>2632</v>
      </c>
      <c r="H574" s="18" t="s">
        <v>429</v>
      </c>
      <c r="I574" s="18" t="s">
        <v>429</v>
      </c>
      <c r="J574" s="18" t="s">
        <v>2632</v>
      </c>
      <c r="K574" s="18"/>
      <c r="L574" s="18"/>
      <c r="M574" s="18">
        <v>1</v>
      </c>
      <c r="N574" s="18">
        <v>1</v>
      </c>
      <c r="O574" s="18"/>
      <c r="P574" s="18">
        <v>0</v>
      </c>
      <c r="Q574" s="18">
        <v>0</v>
      </c>
      <c r="R574" s="1215">
        <v>888</v>
      </c>
      <c r="S574" s="1201">
        <f t="shared" si="20"/>
        <v>888</v>
      </c>
      <c r="T574" s="22" t="s">
        <v>1957</v>
      </c>
      <c r="U574" s="1859" t="s">
        <v>2593</v>
      </c>
      <c r="V574" s="18"/>
      <c r="W574" s="2021" t="s">
        <v>2633</v>
      </c>
      <c r="X574" s="18"/>
      <c r="Y574" s="4"/>
      <c r="Z574" s="4"/>
    </row>
    <row r="575" spans="1:26" ht="51.95" hidden="1">
      <c r="A575" s="20">
        <v>582</v>
      </c>
      <c r="B575" s="1063">
        <v>40352</v>
      </c>
      <c r="C575" s="18" t="s">
        <v>2621</v>
      </c>
      <c r="D575" s="11"/>
      <c r="E575" s="22" t="s">
        <v>2535</v>
      </c>
      <c r="F575" s="18" t="s">
        <v>1713</v>
      </c>
      <c r="G575" s="18" t="s">
        <v>2634</v>
      </c>
      <c r="H575" s="18" t="s">
        <v>429</v>
      </c>
      <c r="I575" s="18" t="s">
        <v>429</v>
      </c>
      <c r="J575" s="18" t="s">
        <v>2634</v>
      </c>
      <c r="K575" s="18"/>
      <c r="L575" s="18"/>
      <c r="M575" s="18">
        <v>1</v>
      </c>
      <c r="N575" s="18">
        <v>1</v>
      </c>
      <c r="O575" s="18"/>
      <c r="P575" s="18">
        <v>0</v>
      </c>
      <c r="Q575" s="18">
        <v>0</v>
      </c>
      <c r="R575" s="1215">
        <v>1039</v>
      </c>
      <c r="S575" s="1201">
        <f t="shared" si="20"/>
        <v>1039</v>
      </c>
      <c r="T575" s="22" t="s">
        <v>1957</v>
      </c>
      <c r="U575" s="1859" t="s">
        <v>2593</v>
      </c>
      <c r="V575" s="18"/>
      <c r="W575" s="2021" t="s">
        <v>2635</v>
      </c>
      <c r="X575" s="18"/>
      <c r="Y575" s="4"/>
      <c r="Z575" s="4"/>
    </row>
    <row r="576" spans="1:26" ht="51.95" hidden="1">
      <c r="A576" s="20">
        <v>583</v>
      </c>
      <c r="B576" s="1063">
        <v>40353</v>
      </c>
      <c r="C576" s="18" t="s">
        <v>2621</v>
      </c>
      <c r="D576" s="11"/>
      <c r="E576" s="22" t="s">
        <v>2535</v>
      </c>
      <c r="F576" s="18" t="s">
        <v>1713</v>
      </c>
      <c r="G576" s="18" t="s">
        <v>990</v>
      </c>
      <c r="H576" s="18" t="s">
        <v>429</v>
      </c>
      <c r="I576" s="18" t="s">
        <v>429</v>
      </c>
      <c r="J576" s="18" t="s">
        <v>990</v>
      </c>
      <c r="K576" s="18"/>
      <c r="L576" s="18"/>
      <c r="M576" s="18">
        <v>1</v>
      </c>
      <c r="N576" s="18">
        <v>1</v>
      </c>
      <c r="O576" s="18"/>
      <c r="P576" s="18">
        <v>0</v>
      </c>
      <c r="Q576" s="18">
        <v>0</v>
      </c>
      <c r="R576" s="1215">
        <v>1989</v>
      </c>
      <c r="S576" s="1201">
        <f t="shared" si="20"/>
        <v>1989</v>
      </c>
      <c r="T576" s="22" t="s">
        <v>1957</v>
      </c>
      <c r="U576" s="1859" t="s">
        <v>2593</v>
      </c>
      <c r="V576" s="18"/>
      <c r="W576" s="2021" t="s">
        <v>2636</v>
      </c>
      <c r="X576" s="18"/>
      <c r="Y576" s="4"/>
      <c r="Z576" s="4"/>
    </row>
    <row r="577" spans="1:26" ht="39" hidden="1">
      <c r="A577" s="20">
        <v>584</v>
      </c>
      <c r="B577" s="1063">
        <v>40354</v>
      </c>
      <c r="C577" s="56" t="s">
        <v>2637</v>
      </c>
      <c r="D577" s="11"/>
      <c r="E577" s="56"/>
      <c r="F577" s="56" t="s">
        <v>1713</v>
      </c>
      <c r="G577" s="56" t="s">
        <v>2638</v>
      </c>
      <c r="H577" s="67"/>
      <c r="I577" s="56" t="s">
        <v>574</v>
      </c>
      <c r="J577" s="56" t="s">
        <v>2638</v>
      </c>
      <c r="K577" s="56"/>
      <c r="L577" s="56"/>
      <c r="M577" s="56">
        <v>64</v>
      </c>
      <c r="N577" s="56">
        <v>64</v>
      </c>
      <c r="O577" s="56"/>
      <c r="P577" s="56">
        <v>0</v>
      </c>
      <c r="Q577" s="56">
        <v>16</v>
      </c>
      <c r="R577" s="1216">
        <v>98.06</v>
      </c>
      <c r="S577" s="1207">
        <f t="shared" si="20"/>
        <v>6275.84</v>
      </c>
      <c r="T577" s="39" t="s">
        <v>1957</v>
      </c>
      <c r="U577" s="1861" t="s">
        <v>1886</v>
      </c>
      <c r="V577" s="56"/>
      <c r="W577" s="2022" t="s">
        <v>2639</v>
      </c>
      <c r="X577" s="56"/>
      <c r="Y577" s="57"/>
      <c r="Z577" s="57"/>
    </row>
    <row r="578" spans="1:26" ht="14.1" hidden="1">
      <c r="A578" s="20">
        <v>585</v>
      </c>
      <c r="B578" s="1063">
        <v>40355</v>
      </c>
      <c r="C578" s="56" t="s">
        <v>2640</v>
      </c>
      <c r="D578" s="11"/>
      <c r="E578" s="56"/>
      <c r="F578" s="56" t="s">
        <v>1713</v>
      </c>
      <c r="G578" s="56"/>
      <c r="H578" s="56" t="s">
        <v>2641</v>
      </c>
      <c r="I578" s="56" t="s">
        <v>2641</v>
      </c>
      <c r="J578" s="56"/>
      <c r="K578" s="56"/>
      <c r="L578" s="56"/>
      <c r="M578" s="56">
        <v>1</v>
      </c>
      <c r="N578" s="56">
        <v>1</v>
      </c>
      <c r="O578" s="56"/>
      <c r="P578" s="56">
        <v>0</v>
      </c>
      <c r="Q578" s="56">
        <v>0</v>
      </c>
      <c r="R578" s="1216">
        <v>3800</v>
      </c>
      <c r="S578" s="1207">
        <f t="shared" si="20"/>
        <v>3800</v>
      </c>
      <c r="T578" s="39" t="s">
        <v>1957</v>
      </c>
      <c r="U578" s="1861" t="s">
        <v>1136</v>
      </c>
      <c r="V578" s="56"/>
      <c r="W578" s="2023" t="s">
        <v>2642</v>
      </c>
      <c r="X578" s="56"/>
      <c r="Y578" s="57"/>
      <c r="Z578" s="57"/>
    </row>
    <row r="579" spans="1:26" ht="14.1" hidden="1">
      <c r="A579" s="20">
        <v>586</v>
      </c>
      <c r="B579" s="1063">
        <v>40356</v>
      </c>
      <c r="C579" s="56" t="s">
        <v>2643</v>
      </c>
      <c r="D579" s="11"/>
      <c r="E579" s="56"/>
      <c r="F579" s="56" t="s">
        <v>1713</v>
      </c>
      <c r="G579" s="56"/>
      <c r="H579" s="56" t="s">
        <v>2644</v>
      </c>
      <c r="I579" s="56" t="s">
        <v>2644</v>
      </c>
      <c r="J579" s="56"/>
      <c r="K579" s="56"/>
      <c r="L579" s="56"/>
      <c r="M579" s="56">
        <v>4</v>
      </c>
      <c r="N579" s="56">
        <v>4</v>
      </c>
      <c r="O579" s="56"/>
      <c r="P579" s="56">
        <v>0</v>
      </c>
      <c r="Q579" s="56">
        <v>1</v>
      </c>
      <c r="R579" s="1216">
        <v>7200</v>
      </c>
      <c r="S579" s="1207">
        <f t="shared" si="20"/>
        <v>28800</v>
      </c>
      <c r="T579" s="39" t="s">
        <v>1957</v>
      </c>
      <c r="U579" s="1861" t="s">
        <v>2586</v>
      </c>
      <c r="V579" s="56"/>
      <c r="W579" s="2023"/>
      <c r="X579" s="56"/>
      <c r="Y579" s="57"/>
      <c r="Z579" s="57"/>
    </row>
    <row r="580" spans="1:26" ht="14.1" hidden="1">
      <c r="A580" s="20">
        <v>587</v>
      </c>
      <c r="B580" s="1063">
        <v>40357</v>
      </c>
      <c r="C580" s="18" t="s">
        <v>2645</v>
      </c>
      <c r="D580" s="11"/>
      <c r="E580" s="22" t="s">
        <v>2535</v>
      </c>
      <c r="F580" s="18" t="s">
        <v>1713</v>
      </c>
      <c r="G580" s="18"/>
      <c r="H580" s="18" t="s">
        <v>2646</v>
      </c>
      <c r="I580" s="18" t="s">
        <v>2646</v>
      </c>
      <c r="J580" s="18" t="s">
        <v>2647</v>
      </c>
      <c r="K580" s="4" t="s">
        <v>2647</v>
      </c>
      <c r="L580" s="18"/>
      <c r="M580" s="18">
        <v>1</v>
      </c>
      <c r="N580" s="18">
        <v>1</v>
      </c>
      <c r="O580" s="18"/>
      <c r="P580" s="18">
        <v>0</v>
      </c>
      <c r="Q580" s="18">
        <v>0</v>
      </c>
      <c r="R580" s="1215">
        <v>600000</v>
      </c>
      <c r="S580" s="1201">
        <f t="shared" si="20"/>
        <v>600000</v>
      </c>
      <c r="T580" s="22" t="s">
        <v>1957</v>
      </c>
      <c r="U580" s="1859" t="s">
        <v>301</v>
      </c>
      <c r="V580" s="18"/>
      <c r="W580" s="2020"/>
      <c r="X580" s="18"/>
      <c r="Y580" s="4"/>
      <c r="Z580" s="4"/>
    </row>
    <row r="581" spans="1:26" ht="14.1" hidden="1">
      <c r="A581" s="20">
        <v>588</v>
      </c>
      <c r="B581" s="1063">
        <v>40358</v>
      </c>
      <c r="C581" s="56" t="s">
        <v>2648</v>
      </c>
      <c r="D581" s="11"/>
      <c r="E581" s="56"/>
      <c r="F581" s="56" t="s">
        <v>1713</v>
      </c>
      <c r="G581" s="56"/>
      <c r="H581" s="56" t="s">
        <v>2649</v>
      </c>
      <c r="I581" s="56" t="s">
        <v>84</v>
      </c>
      <c r="J581" s="56"/>
      <c r="K581" s="56"/>
      <c r="L581" s="56"/>
      <c r="M581" s="56">
        <v>1</v>
      </c>
      <c r="N581" s="56">
        <v>1</v>
      </c>
      <c r="O581" s="56"/>
      <c r="P581" s="56">
        <v>0</v>
      </c>
      <c r="Q581" s="56">
        <v>0</v>
      </c>
      <c r="R581" s="1216">
        <v>10900</v>
      </c>
      <c r="S581" s="1207">
        <f t="shared" si="20"/>
        <v>10900</v>
      </c>
      <c r="T581" s="39" t="s">
        <v>1957</v>
      </c>
      <c r="U581" s="1861" t="s">
        <v>301</v>
      </c>
      <c r="V581" s="56"/>
      <c r="W581" s="2022" t="s">
        <v>2650</v>
      </c>
      <c r="X581" s="56"/>
      <c r="Y581" s="57"/>
      <c r="Z581" s="57"/>
    </row>
    <row r="582" spans="1:26" ht="51.95" hidden="1">
      <c r="A582" s="20">
        <v>589</v>
      </c>
      <c r="B582" s="1063">
        <v>40359</v>
      </c>
      <c r="C582" s="18" t="s">
        <v>2651</v>
      </c>
      <c r="D582" s="11"/>
      <c r="E582" s="18" t="s">
        <v>572</v>
      </c>
      <c r="F582" s="18" t="s">
        <v>2652</v>
      </c>
      <c r="G582" s="68" t="s">
        <v>2653</v>
      </c>
      <c r="H582" s="18" t="s">
        <v>2654</v>
      </c>
      <c r="I582" s="18" t="s">
        <v>1022</v>
      </c>
      <c r="J582" s="18" t="s">
        <v>2655</v>
      </c>
      <c r="K582" s="18"/>
      <c r="L582" s="18"/>
      <c r="M582" s="18">
        <v>4</v>
      </c>
      <c r="N582" s="18">
        <v>4</v>
      </c>
      <c r="O582" s="18"/>
      <c r="P582" s="18">
        <v>0</v>
      </c>
      <c r="Q582" s="18">
        <v>4</v>
      </c>
      <c r="R582" s="1215">
        <v>3800</v>
      </c>
      <c r="S582" s="1201">
        <f>3800*N582</f>
        <v>15200</v>
      </c>
      <c r="T582" s="18" t="s">
        <v>311</v>
      </c>
      <c r="U582" s="1859" t="s">
        <v>311</v>
      </c>
      <c r="V582" s="18"/>
      <c r="W582" s="2021" t="s">
        <v>2656</v>
      </c>
      <c r="X582" s="18"/>
      <c r="Y582" s="4"/>
      <c r="Z582" s="4"/>
    </row>
    <row r="583" spans="1:26" ht="26.1" hidden="1">
      <c r="A583" s="20">
        <v>590</v>
      </c>
      <c r="B583" s="1063">
        <v>40360</v>
      </c>
      <c r="C583" s="18" t="s">
        <v>2657</v>
      </c>
      <c r="D583" s="11"/>
      <c r="E583" s="18" t="s">
        <v>572</v>
      </c>
      <c r="F583" s="18" t="s">
        <v>2652</v>
      </c>
      <c r="G583" s="68" t="s">
        <v>2658</v>
      </c>
      <c r="H583" s="18" t="s">
        <v>2654</v>
      </c>
      <c r="I583" s="18" t="s">
        <v>1022</v>
      </c>
      <c r="J583" s="18" t="s">
        <v>2659</v>
      </c>
      <c r="K583" s="18"/>
      <c r="L583" s="18"/>
      <c r="M583" s="18">
        <v>1</v>
      </c>
      <c r="N583" s="18">
        <v>1</v>
      </c>
      <c r="O583" s="18"/>
      <c r="P583" s="18">
        <v>0</v>
      </c>
      <c r="Q583" s="18">
        <v>1</v>
      </c>
      <c r="R583" s="1215">
        <v>4000</v>
      </c>
      <c r="S583" s="1201">
        <f t="shared" ref="S583:S588" si="21">R583*N583</f>
        <v>4000</v>
      </c>
      <c r="T583" s="18" t="s">
        <v>311</v>
      </c>
      <c r="U583" s="1859" t="s">
        <v>311</v>
      </c>
      <c r="V583" s="18"/>
      <c r="W583" s="2024" t="s">
        <v>2660</v>
      </c>
      <c r="X583" s="18"/>
      <c r="Y583" s="4"/>
      <c r="Z583" s="4"/>
    </row>
    <row r="584" spans="1:26" ht="26.1" hidden="1">
      <c r="A584" s="20">
        <v>591</v>
      </c>
      <c r="B584" s="1063">
        <v>40361</v>
      </c>
      <c r="C584" s="18" t="s">
        <v>2661</v>
      </c>
      <c r="D584" s="11"/>
      <c r="E584" s="18" t="s">
        <v>572</v>
      </c>
      <c r="F584" s="18" t="s">
        <v>2652</v>
      </c>
      <c r="G584" s="68" t="s">
        <v>2662</v>
      </c>
      <c r="H584" s="18" t="s">
        <v>2663</v>
      </c>
      <c r="I584" s="18" t="s">
        <v>1022</v>
      </c>
      <c r="J584" s="18" t="s">
        <v>2664</v>
      </c>
      <c r="K584" s="18"/>
      <c r="L584" s="18"/>
      <c r="M584" s="18">
        <v>2</v>
      </c>
      <c r="N584" s="18">
        <v>2</v>
      </c>
      <c r="O584" s="18"/>
      <c r="P584" s="18">
        <v>0</v>
      </c>
      <c r="Q584" s="18">
        <v>2</v>
      </c>
      <c r="R584" s="1215">
        <v>500</v>
      </c>
      <c r="S584" s="1215">
        <f t="shared" si="21"/>
        <v>1000</v>
      </c>
      <c r="T584" s="18" t="s">
        <v>311</v>
      </c>
      <c r="U584" s="1859" t="s">
        <v>311</v>
      </c>
      <c r="V584" s="18"/>
      <c r="W584" s="2021" t="s">
        <v>2665</v>
      </c>
      <c r="X584" s="18"/>
      <c r="Y584" s="4"/>
      <c r="Z584" s="4"/>
    </row>
    <row r="585" spans="1:26" ht="26.1" hidden="1">
      <c r="A585" s="20">
        <v>592</v>
      </c>
      <c r="B585" s="1063">
        <v>40362</v>
      </c>
      <c r="C585" s="18" t="s">
        <v>2666</v>
      </c>
      <c r="D585" s="11"/>
      <c r="E585" s="18" t="s">
        <v>572</v>
      </c>
      <c r="F585" s="18" t="s">
        <v>2652</v>
      </c>
      <c r="G585" s="18" t="s">
        <v>2667</v>
      </c>
      <c r="H585" s="18" t="s">
        <v>2668</v>
      </c>
      <c r="I585" s="18" t="s">
        <v>1022</v>
      </c>
      <c r="J585" s="18" t="s">
        <v>2669</v>
      </c>
      <c r="K585" s="18">
        <v>4560413173556</v>
      </c>
      <c r="L585" s="18"/>
      <c r="M585" s="18">
        <v>1</v>
      </c>
      <c r="N585" s="18">
        <v>1</v>
      </c>
      <c r="O585" s="18"/>
      <c r="P585" s="18">
        <v>0</v>
      </c>
      <c r="Q585" s="18">
        <v>1</v>
      </c>
      <c r="R585" s="1215">
        <v>5319</v>
      </c>
      <c r="S585" s="1215">
        <f t="shared" si="21"/>
        <v>5319</v>
      </c>
      <c r="T585" s="18" t="s">
        <v>311</v>
      </c>
      <c r="U585" s="1859" t="s">
        <v>311</v>
      </c>
      <c r="V585" s="18"/>
      <c r="W585" s="2021" t="s">
        <v>2670</v>
      </c>
      <c r="X585" s="18"/>
      <c r="Y585" s="4"/>
      <c r="Z585" s="4"/>
    </row>
    <row r="586" spans="1:26" ht="26.1" hidden="1">
      <c r="A586" s="20">
        <v>593</v>
      </c>
      <c r="B586" s="1063">
        <v>40363</v>
      </c>
      <c r="C586" s="18" t="s">
        <v>2671</v>
      </c>
      <c r="D586" s="11"/>
      <c r="E586" s="18" t="s">
        <v>572</v>
      </c>
      <c r="F586" s="18" t="s">
        <v>2652</v>
      </c>
      <c r="G586" s="18" t="s">
        <v>2672</v>
      </c>
      <c r="H586" s="18" t="s">
        <v>2663</v>
      </c>
      <c r="I586" s="18" t="s">
        <v>1022</v>
      </c>
      <c r="J586" s="18" t="s">
        <v>2673</v>
      </c>
      <c r="K586" s="18"/>
      <c r="L586" s="18"/>
      <c r="M586" s="18">
        <v>2</v>
      </c>
      <c r="N586" s="18">
        <v>2</v>
      </c>
      <c r="O586" s="18"/>
      <c r="P586" s="18">
        <v>0</v>
      </c>
      <c r="Q586" s="18">
        <v>2</v>
      </c>
      <c r="R586" s="1215">
        <v>1293</v>
      </c>
      <c r="S586" s="1215">
        <f t="shared" si="21"/>
        <v>2586</v>
      </c>
      <c r="T586" s="18" t="s">
        <v>311</v>
      </c>
      <c r="U586" s="1859" t="s">
        <v>311</v>
      </c>
      <c r="V586" s="18"/>
      <c r="W586" s="2021" t="s">
        <v>2674</v>
      </c>
      <c r="X586" s="18"/>
      <c r="Y586" s="4"/>
      <c r="Z586" s="4"/>
    </row>
    <row r="587" spans="1:26" ht="20.25" hidden="1" customHeight="1">
      <c r="A587" s="20">
        <v>594</v>
      </c>
      <c r="B587" s="1063">
        <v>40364</v>
      </c>
      <c r="C587" s="18" t="s">
        <v>2675</v>
      </c>
      <c r="D587" s="11"/>
      <c r="E587" s="18" t="s">
        <v>572</v>
      </c>
      <c r="F587" s="18" t="s">
        <v>2652</v>
      </c>
      <c r="G587" s="18" t="s">
        <v>2676</v>
      </c>
      <c r="H587" s="18" t="s">
        <v>2677</v>
      </c>
      <c r="I587" s="18" t="s">
        <v>1022</v>
      </c>
      <c r="J587" s="18" t="s">
        <v>2678</v>
      </c>
      <c r="K587" s="18"/>
      <c r="L587" s="18"/>
      <c r="M587" s="18">
        <v>1</v>
      </c>
      <c r="N587" s="18">
        <v>1</v>
      </c>
      <c r="O587" s="18"/>
      <c r="P587" s="18">
        <v>0</v>
      </c>
      <c r="Q587" s="18">
        <v>1</v>
      </c>
      <c r="R587" s="1215">
        <v>820</v>
      </c>
      <c r="S587" s="1215">
        <f t="shared" si="21"/>
        <v>820</v>
      </c>
      <c r="T587" s="18" t="s">
        <v>311</v>
      </c>
      <c r="U587" s="1859" t="s">
        <v>311</v>
      </c>
      <c r="V587" s="18"/>
      <c r="W587" s="2021" t="s">
        <v>2679</v>
      </c>
      <c r="X587" s="18"/>
      <c r="Y587" s="4"/>
      <c r="Z587" s="4"/>
    </row>
    <row r="588" spans="1:26" ht="26.1" hidden="1">
      <c r="A588" s="20">
        <v>595</v>
      </c>
      <c r="B588" s="1063">
        <v>40365</v>
      </c>
      <c r="C588" s="18" t="s">
        <v>2675</v>
      </c>
      <c r="D588" s="11"/>
      <c r="E588" s="18" t="s">
        <v>572</v>
      </c>
      <c r="F588" s="18" t="s">
        <v>2652</v>
      </c>
      <c r="G588" s="18" t="s">
        <v>2680</v>
      </c>
      <c r="H588" s="18" t="s">
        <v>2681</v>
      </c>
      <c r="I588" s="18" t="s">
        <v>1022</v>
      </c>
      <c r="J588" s="18">
        <v>32131006</v>
      </c>
      <c r="K588" s="18" t="s">
        <v>2682</v>
      </c>
      <c r="L588" s="18"/>
      <c r="M588" s="18">
        <v>4</v>
      </c>
      <c r="N588" s="18">
        <v>4</v>
      </c>
      <c r="O588" s="18"/>
      <c r="P588" s="18">
        <v>0</v>
      </c>
      <c r="Q588" s="18">
        <v>4</v>
      </c>
      <c r="R588" s="1215">
        <f>827/4</f>
        <v>206.75</v>
      </c>
      <c r="S588" s="1215">
        <f t="shared" si="21"/>
        <v>827</v>
      </c>
      <c r="T588" s="18" t="s">
        <v>311</v>
      </c>
      <c r="U588" s="1859" t="s">
        <v>311</v>
      </c>
      <c r="V588" s="18"/>
      <c r="W588" s="2021" t="s">
        <v>2683</v>
      </c>
      <c r="X588" s="18"/>
      <c r="Y588" s="4"/>
      <c r="Z588" s="4"/>
    </row>
    <row r="589" spans="1:26" ht="26.1" hidden="1">
      <c r="A589" s="20">
        <v>596</v>
      </c>
      <c r="B589" s="1063">
        <v>40366</v>
      </c>
      <c r="C589" s="18" t="s">
        <v>2684</v>
      </c>
      <c r="D589" s="11"/>
      <c r="E589" s="18" t="s">
        <v>572</v>
      </c>
      <c r="F589" s="18" t="s">
        <v>970</v>
      </c>
      <c r="G589" s="18" t="s">
        <v>2685</v>
      </c>
      <c r="H589" s="18" t="s">
        <v>2686</v>
      </c>
      <c r="I589" s="18" t="s">
        <v>84</v>
      </c>
      <c r="J589" s="18">
        <v>5232675</v>
      </c>
      <c r="K589" s="18"/>
      <c r="L589" s="18"/>
      <c r="M589" s="18">
        <v>1</v>
      </c>
      <c r="N589" s="18">
        <v>1</v>
      </c>
      <c r="O589" s="18">
        <v>1</v>
      </c>
      <c r="P589" s="18">
        <v>0</v>
      </c>
      <c r="Q589" s="18">
        <v>1</v>
      </c>
      <c r="R589" s="1215">
        <v>3590</v>
      </c>
      <c r="S589" s="1215">
        <v>3590</v>
      </c>
      <c r="T589" s="18" t="s">
        <v>929</v>
      </c>
      <c r="U589" s="1859" t="s">
        <v>1886</v>
      </c>
      <c r="V589" s="22" t="s">
        <v>104</v>
      </c>
      <c r="W589" s="2021" t="s">
        <v>2687</v>
      </c>
      <c r="X589" s="18"/>
      <c r="Y589" s="4"/>
      <c r="Z589" s="4"/>
    </row>
    <row r="590" spans="1:26" ht="14.1" hidden="1">
      <c r="A590" s="20">
        <v>597</v>
      </c>
      <c r="B590" s="1063">
        <v>40367</v>
      </c>
      <c r="C590" s="56" t="s">
        <v>2688</v>
      </c>
      <c r="D590" s="11"/>
      <c r="E590" s="56" t="s">
        <v>62</v>
      </c>
      <c r="F590" s="56" t="s">
        <v>131</v>
      </c>
      <c r="G590" s="56" t="s">
        <v>2689</v>
      </c>
      <c r="H590" s="56" t="s">
        <v>2690</v>
      </c>
      <c r="I590" s="56" t="s">
        <v>2691</v>
      </c>
      <c r="J590" s="56" t="s">
        <v>2692</v>
      </c>
      <c r="K590" s="69" t="s">
        <v>2692</v>
      </c>
      <c r="L590" s="56"/>
      <c r="M590" s="56">
        <v>80</v>
      </c>
      <c r="N590" s="56" t="s">
        <v>1</v>
      </c>
      <c r="O590" s="56">
        <v>80</v>
      </c>
      <c r="P590" s="56">
        <v>0</v>
      </c>
      <c r="Q590" s="56">
        <v>0</v>
      </c>
      <c r="R590" s="1216">
        <v>775</v>
      </c>
      <c r="S590" s="1216">
        <v>62000</v>
      </c>
      <c r="T590" s="56" t="s">
        <v>118</v>
      </c>
      <c r="U590" s="1861" t="s">
        <v>118</v>
      </c>
      <c r="V590" s="56" t="s">
        <v>118</v>
      </c>
      <c r="W590" s="2023"/>
      <c r="X590" s="56"/>
      <c r="Y590" s="57"/>
      <c r="Z590" s="57"/>
    </row>
    <row r="591" spans="1:26" ht="39" hidden="1">
      <c r="A591" s="20">
        <v>598</v>
      </c>
      <c r="B591" s="1063">
        <v>40368</v>
      </c>
      <c r="C591" s="18" t="s">
        <v>2594</v>
      </c>
      <c r="D591" s="11"/>
      <c r="E591" s="18" t="s">
        <v>572</v>
      </c>
      <c r="F591" s="18" t="s">
        <v>2693</v>
      </c>
      <c r="G591" s="18" t="s">
        <v>2694</v>
      </c>
      <c r="H591" s="18" t="s">
        <v>429</v>
      </c>
      <c r="I591" s="18" t="s">
        <v>429</v>
      </c>
      <c r="J591" s="18" t="s">
        <v>2694</v>
      </c>
      <c r="K591" s="18"/>
      <c r="L591" s="18"/>
      <c r="M591" s="18">
        <v>20</v>
      </c>
      <c r="N591" s="18">
        <v>20</v>
      </c>
      <c r="O591" s="18"/>
      <c r="P591" s="18">
        <v>0</v>
      </c>
      <c r="Q591" s="18">
        <v>0</v>
      </c>
      <c r="R591" s="1215">
        <v>250</v>
      </c>
      <c r="S591" s="1215">
        <v>5000</v>
      </c>
      <c r="T591" s="18" t="s">
        <v>929</v>
      </c>
      <c r="U591" s="1859" t="s">
        <v>301</v>
      </c>
      <c r="V591" s="18" t="s">
        <v>104</v>
      </c>
      <c r="W591" s="2021" t="s">
        <v>2695</v>
      </c>
      <c r="X591" s="18"/>
      <c r="Y591" s="4"/>
      <c r="Z591" s="4"/>
    </row>
    <row r="592" spans="1:26" ht="26.1" hidden="1">
      <c r="A592" s="20">
        <v>599</v>
      </c>
      <c r="B592" s="1063">
        <v>40369</v>
      </c>
      <c r="C592" s="18" t="s">
        <v>2594</v>
      </c>
      <c r="D592" s="11"/>
      <c r="E592" s="18" t="s">
        <v>572</v>
      </c>
      <c r="F592" s="18" t="s">
        <v>2693</v>
      </c>
      <c r="G592" s="18" t="s">
        <v>2597</v>
      </c>
      <c r="H592" s="18" t="s">
        <v>382</v>
      </c>
      <c r="I592" s="18" t="s">
        <v>382</v>
      </c>
      <c r="J592" s="18" t="s">
        <v>2597</v>
      </c>
      <c r="K592" s="18"/>
      <c r="L592" s="18"/>
      <c r="M592" s="18">
        <v>2</v>
      </c>
      <c r="N592" s="18">
        <v>2</v>
      </c>
      <c r="O592" s="18"/>
      <c r="P592" s="18">
        <v>0</v>
      </c>
      <c r="Q592" s="18">
        <v>0</v>
      </c>
      <c r="R592" s="1215">
        <v>800</v>
      </c>
      <c r="S592" s="1215">
        <v>1600</v>
      </c>
      <c r="T592" s="18" t="s">
        <v>929</v>
      </c>
      <c r="U592" s="1859" t="s">
        <v>301</v>
      </c>
      <c r="V592" s="18" t="s">
        <v>104</v>
      </c>
      <c r="W592" s="2021" t="s">
        <v>2696</v>
      </c>
      <c r="X592" s="18"/>
      <c r="Y592" s="4"/>
      <c r="Z592" s="4"/>
    </row>
    <row r="593" spans="1:26" ht="26.1" hidden="1">
      <c r="A593" s="20">
        <v>600</v>
      </c>
      <c r="B593" s="1063">
        <v>40370</v>
      </c>
      <c r="C593" s="18" t="s">
        <v>2594</v>
      </c>
      <c r="D593" s="11"/>
      <c r="E593" s="18" t="s">
        <v>572</v>
      </c>
      <c r="F593" s="18" t="s">
        <v>2693</v>
      </c>
      <c r="G593" s="18" t="s">
        <v>2595</v>
      </c>
      <c r="H593" s="18" t="s">
        <v>382</v>
      </c>
      <c r="I593" s="18" t="s">
        <v>382</v>
      </c>
      <c r="J593" s="18" t="s">
        <v>2595</v>
      </c>
      <c r="K593" s="18"/>
      <c r="L593" s="18"/>
      <c r="M593" s="18">
        <v>3</v>
      </c>
      <c r="N593" s="18">
        <v>3</v>
      </c>
      <c r="O593" s="18"/>
      <c r="P593" s="18">
        <v>0</v>
      </c>
      <c r="Q593" s="18">
        <v>0</v>
      </c>
      <c r="R593" s="1215">
        <v>800</v>
      </c>
      <c r="S593" s="1215">
        <v>2400</v>
      </c>
      <c r="T593" s="18" t="s">
        <v>929</v>
      </c>
      <c r="U593" s="1859" t="s">
        <v>301</v>
      </c>
      <c r="V593" s="18" t="s">
        <v>104</v>
      </c>
      <c r="W593" s="2021" t="s">
        <v>2696</v>
      </c>
      <c r="X593" s="18"/>
      <c r="Y593" s="4"/>
      <c r="Z593" s="4"/>
    </row>
    <row r="594" spans="1:26" ht="39" hidden="1">
      <c r="A594" s="20">
        <v>601</v>
      </c>
      <c r="B594" s="1063">
        <v>40371</v>
      </c>
      <c r="C594" s="18" t="s">
        <v>2621</v>
      </c>
      <c r="D594" s="11"/>
      <c r="E594" s="18" t="s">
        <v>572</v>
      </c>
      <c r="F594" s="18" t="s">
        <v>2693</v>
      </c>
      <c r="G594" s="18" t="s">
        <v>990</v>
      </c>
      <c r="H594" s="18" t="s">
        <v>429</v>
      </c>
      <c r="I594" s="18" t="s">
        <v>429</v>
      </c>
      <c r="J594" s="18" t="s">
        <v>990</v>
      </c>
      <c r="K594" s="18"/>
      <c r="L594" s="18"/>
      <c r="M594" s="18">
        <v>1</v>
      </c>
      <c r="N594" s="18">
        <v>1</v>
      </c>
      <c r="O594" s="18"/>
      <c r="P594" s="18">
        <v>0</v>
      </c>
      <c r="Q594" s="18">
        <v>0</v>
      </c>
      <c r="R594" s="1215">
        <v>1989</v>
      </c>
      <c r="S594" s="1215">
        <v>1989</v>
      </c>
      <c r="T594" s="18" t="s">
        <v>929</v>
      </c>
      <c r="U594" s="1859" t="s">
        <v>301</v>
      </c>
      <c r="V594" s="18" t="s">
        <v>104</v>
      </c>
      <c r="W594" s="2021" t="s">
        <v>2697</v>
      </c>
      <c r="X594" s="18"/>
      <c r="Y594" s="4"/>
      <c r="Z594" s="4"/>
    </row>
    <row r="595" spans="1:26" ht="14.1" hidden="1">
      <c r="A595" s="20">
        <v>602</v>
      </c>
      <c r="B595" s="1063">
        <v>40372</v>
      </c>
      <c r="C595" s="18" t="s">
        <v>2698</v>
      </c>
      <c r="D595" s="11"/>
      <c r="E595" s="18" t="s">
        <v>572</v>
      </c>
      <c r="F595" s="18" t="s">
        <v>2699</v>
      </c>
      <c r="G595" s="18" t="s">
        <v>2700</v>
      </c>
      <c r="H595" s="18" t="s">
        <v>2701</v>
      </c>
      <c r="I595" s="18" t="s">
        <v>39</v>
      </c>
      <c r="J595" s="18" t="s">
        <v>2702</v>
      </c>
      <c r="K595" s="18" t="s">
        <v>2700</v>
      </c>
      <c r="L595" s="18" t="s">
        <v>1088</v>
      </c>
      <c r="M595" s="18">
        <v>1</v>
      </c>
      <c r="N595" s="18">
        <v>5</v>
      </c>
      <c r="O595" s="18">
        <v>5</v>
      </c>
      <c r="P595" s="18">
        <v>0</v>
      </c>
      <c r="Q595" s="18">
        <v>5</v>
      </c>
      <c r="R595" s="1215">
        <v>33.6</v>
      </c>
      <c r="S595" s="1215">
        <v>168</v>
      </c>
      <c r="T595" s="18" t="s">
        <v>929</v>
      </c>
      <c r="U595" s="1859" t="s">
        <v>2703</v>
      </c>
      <c r="V595" s="18" t="s">
        <v>104</v>
      </c>
      <c r="W595" s="2021" t="s">
        <v>2704</v>
      </c>
      <c r="X595" s="18"/>
      <c r="Y595" s="4"/>
      <c r="Z595" s="4"/>
    </row>
    <row r="596" spans="1:26" ht="39" hidden="1">
      <c r="A596" s="20">
        <v>603</v>
      </c>
      <c r="B596" s="1063">
        <v>40373</v>
      </c>
      <c r="C596" s="18" t="s">
        <v>2705</v>
      </c>
      <c r="D596" s="11"/>
      <c r="E596" s="18" t="s">
        <v>572</v>
      </c>
      <c r="F596" s="18" t="s">
        <v>2699</v>
      </c>
      <c r="G596" s="18"/>
      <c r="H596" s="18" t="s">
        <v>243</v>
      </c>
      <c r="I596" s="18" t="s">
        <v>2706</v>
      </c>
      <c r="J596" s="18" t="s">
        <v>2707</v>
      </c>
      <c r="K596" s="18" t="s">
        <v>1500</v>
      </c>
      <c r="L596" s="18" t="s">
        <v>1088</v>
      </c>
      <c r="M596" s="18">
        <v>4</v>
      </c>
      <c r="N596" s="18">
        <v>1</v>
      </c>
      <c r="O596" s="18">
        <v>30</v>
      </c>
      <c r="P596" s="18">
        <v>0</v>
      </c>
      <c r="Q596" s="18">
        <v>30</v>
      </c>
      <c r="R596" s="1215">
        <v>268</v>
      </c>
      <c r="S596" s="1215">
        <v>7443</v>
      </c>
      <c r="T596" s="18" t="s">
        <v>929</v>
      </c>
      <c r="U596" s="1859" t="s">
        <v>2703</v>
      </c>
      <c r="V596" s="18" t="s">
        <v>104</v>
      </c>
      <c r="W596" s="2021" t="s">
        <v>2708</v>
      </c>
      <c r="X596" s="18"/>
      <c r="Y596" s="4"/>
      <c r="Z596" s="4"/>
    </row>
    <row r="597" spans="1:26" ht="26.1" hidden="1">
      <c r="A597" s="20">
        <v>604</v>
      </c>
      <c r="B597" s="1063">
        <v>40374</v>
      </c>
      <c r="C597" s="18" t="s">
        <v>2709</v>
      </c>
      <c r="D597" s="11"/>
      <c r="E597" s="18" t="s">
        <v>572</v>
      </c>
      <c r="F597" s="18" t="s">
        <v>2699</v>
      </c>
      <c r="G597" s="18"/>
      <c r="H597" s="18" t="s">
        <v>1865</v>
      </c>
      <c r="I597" s="18" t="s">
        <v>53</v>
      </c>
      <c r="J597" s="18" t="s">
        <v>2710</v>
      </c>
      <c r="K597" s="18" t="s">
        <v>2711</v>
      </c>
      <c r="L597" s="18" t="s">
        <v>2712</v>
      </c>
      <c r="M597" s="18">
        <v>10</v>
      </c>
      <c r="N597" s="18">
        <v>1</v>
      </c>
      <c r="O597" s="18">
        <v>30</v>
      </c>
      <c r="P597" s="18">
        <v>0</v>
      </c>
      <c r="Q597" s="18">
        <v>30</v>
      </c>
      <c r="R597" s="1215">
        <v>91.07</v>
      </c>
      <c r="S597" s="1215">
        <v>4553.43</v>
      </c>
      <c r="T597" s="18" t="s">
        <v>929</v>
      </c>
      <c r="U597" s="1859" t="s">
        <v>2703</v>
      </c>
      <c r="V597" s="18" t="s">
        <v>104</v>
      </c>
      <c r="W597" s="2021" t="s">
        <v>2713</v>
      </c>
      <c r="X597" s="18"/>
      <c r="Y597" s="4"/>
      <c r="Z597" s="4"/>
    </row>
    <row r="598" spans="1:26" ht="14.1" hidden="1">
      <c r="A598" s="20">
        <v>605</v>
      </c>
      <c r="B598" s="1063">
        <v>40375</v>
      </c>
      <c r="C598" s="18" t="s">
        <v>2714</v>
      </c>
      <c r="D598" s="11"/>
      <c r="E598" s="18" t="s">
        <v>572</v>
      </c>
      <c r="F598" s="18" t="s">
        <v>2699</v>
      </c>
      <c r="G598" s="18"/>
      <c r="H598" s="18" t="s">
        <v>1062</v>
      </c>
      <c r="I598" s="18" t="s">
        <v>1063</v>
      </c>
      <c r="J598" s="18" t="s">
        <v>1064</v>
      </c>
      <c r="K598" s="18" t="s">
        <v>1065</v>
      </c>
      <c r="L598" s="18" t="s">
        <v>1088</v>
      </c>
      <c r="M598" s="18">
        <v>10</v>
      </c>
      <c r="N598" s="18">
        <v>10</v>
      </c>
      <c r="O598" s="18">
        <v>30</v>
      </c>
      <c r="P598" s="18">
        <v>0</v>
      </c>
      <c r="Q598" s="18">
        <v>30</v>
      </c>
      <c r="R598" s="1215">
        <v>20</v>
      </c>
      <c r="S598" s="1215">
        <v>600</v>
      </c>
      <c r="T598" s="18" t="s">
        <v>929</v>
      </c>
      <c r="U598" s="1859" t="s">
        <v>2703</v>
      </c>
      <c r="V598" s="18" t="s">
        <v>104</v>
      </c>
      <c r="W598" s="2021" t="s">
        <v>1067</v>
      </c>
      <c r="X598" s="18"/>
      <c r="Y598" s="4"/>
      <c r="Z598" s="4"/>
    </row>
    <row r="599" spans="1:26" ht="26.1" hidden="1">
      <c r="A599" s="20">
        <v>606</v>
      </c>
      <c r="B599" s="1063">
        <v>40376</v>
      </c>
      <c r="C599" s="18" t="s">
        <v>2715</v>
      </c>
      <c r="D599" s="11"/>
      <c r="E599" s="18" t="s">
        <v>62</v>
      </c>
      <c r="F599" s="18" t="s">
        <v>1569</v>
      </c>
      <c r="G599" s="70" t="s">
        <v>2716</v>
      </c>
      <c r="H599" s="18" t="s">
        <v>2717</v>
      </c>
      <c r="I599" s="18" t="s">
        <v>1022</v>
      </c>
      <c r="J599" s="70" t="s">
        <v>2718</v>
      </c>
      <c r="K599" s="70" t="s">
        <v>2719</v>
      </c>
      <c r="L599" s="18"/>
      <c r="M599" s="18">
        <v>1</v>
      </c>
      <c r="N599" s="18">
        <v>1</v>
      </c>
      <c r="O599" s="18">
        <v>1</v>
      </c>
      <c r="P599" s="18">
        <v>0</v>
      </c>
      <c r="Q599" s="18">
        <v>1</v>
      </c>
      <c r="R599" s="1215">
        <v>35780</v>
      </c>
      <c r="S599" s="1215">
        <v>35780</v>
      </c>
      <c r="T599" s="18" t="s">
        <v>929</v>
      </c>
      <c r="U599" s="1859" t="s">
        <v>352</v>
      </c>
      <c r="V599" s="18" t="s">
        <v>104</v>
      </c>
      <c r="W599" s="2021" t="s">
        <v>2720</v>
      </c>
      <c r="X599" s="18"/>
      <c r="Y599" s="4"/>
      <c r="Z599" s="4"/>
    </row>
    <row r="600" spans="1:26" ht="104.1" hidden="1">
      <c r="A600" s="20">
        <v>607</v>
      </c>
      <c r="B600" s="1063">
        <v>40377</v>
      </c>
      <c r="C600" s="18" t="s">
        <v>2721</v>
      </c>
      <c r="D600" s="11" t="s">
        <v>6</v>
      </c>
      <c r="E600" s="18" t="s">
        <v>2722</v>
      </c>
      <c r="F600" s="18" t="s">
        <v>404</v>
      </c>
      <c r="G600" s="18" t="s">
        <v>2723</v>
      </c>
      <c r="H600" s="18" t="s">
        <v>2724</v>
      </c>
      <c r="I600" s="18" t="s">
        <v>1022</v>
      </c>
      <c r="J600" s="18" t="s">
        <v>2725</v>
      </c>
      <c r="K600" s="18" t="s">
        <v>2726</v>
      </c>
      <c r="L600" s="18" t="s">
        <v>1</v>
      </c>
      <c r="M600" s="18">
        <v>1</v>
      </c>
      <c r="N600" s="18">
        <v>1</v>
      </c>
      <c r="O600" s="18">
        <v>1</v>
      </c>
      <c r="P600" s="18">
        <v>0</v>
      </c>
      <c r="Q600" s="18">
        <v>0</v>
      </c>
      <c r="R600" s="1215">
        <v>6480</v>
      </c>
      <c r="S600" s="1215">
        <v>6480</v>
      </c>
      <c r="T600" s="18" t="s">
        <v>1</v>
      </c>
      <c r="U600" s="1862" t="s">
        <v>1</v>
      </c>
      <c r="V600" s="18" t="s">
        <v>2727</v>
      </c>
      <c r="W600" s="2021" t="s">
        <v>2728</v>
      </c>
      <c r="X600" s="18"/>
      <c r="Y600" s="4"/>
      <c r="Z600" s="4"/>
    </row>
    <row r="601" spans="1:26" ht="14.1" hidden="1">
      <c r="A601" s="20">
        <v>608</v>
      </c>
      <c r="B601" s="1063">
        <v>40378</v>
      </c>
      <c r="C601" s="18" t="s">
        <v>2729</v>
      </c>
      <c r="D601" s="11"/>
      <c r="E601" s="18" t="s">
        <v>2722</v>
      </c>
      <c r="F601" s="22" t="s">
        <v>2450</v>
      </c>
      <c r="G601" s="18"/>
      <c r="H601" s="22" t="s">
        <v>1002</v>
      </c>
      <c r="I601" s="22" t="s">
        <v>1002</v>
      </c>
      <c r="J601" s="18"/>
      <c r="K601" s="18"/>
      <c r="L601" s="18"/>
      <c r="M601" s="18">
        <v>6</v>
      </c>
      <c r="N601" s="18">
        <v>6</v>
      </c>
      <c r="O601" s="18"/>
      <c r="P601" s="18">
        <v>0</v>
      </c>
      <c r="Q601" s="18">
        <v>0</v>
      </c>
      <c r="R601" s="1215">
        <f>38996/6</f>
        <v>6499.333333333333</v>
      </c>
      <c r="S601" s="1215">
        <f t="shared" ref="S601:S602" si="22">R601*N601</f>
        <v>38996</v>
      </c>
      <c r="T601" s="22" t="s">
        <v>1957</v>
      </c>
      <c r="U601" s="1859" t="s">
        <v>2509</v>
      </c>
      <c r="V601" s="18"/>
      <c r="W601" s="2020"/>
      <c r="X601" s="18"/>
      <c r="Y601" s="4"/>
      <c r="Z601" s="4"/>
    </row>
    <row r="602" spans="1:26" ht="14.1" hidden="1">
      <c r="A602" s="20">
        <v>609</v>
      </c>
      <c r="B602" s="1063">
        <v>40379</v>
      </c>
      <c r="C602" s="18" t="s">
        <v>2730</v>
      </c>
      <c r="D602" s="11"/>
      <c r="E602" s="18" t="s">
        <v>2722</v>
      </c>
      <c r="F602" s="22" t="s">
        <v>2450</v>
      </c>
      <c r="G602" s="18"/>
      <c r="H602" s="22" t="s">
        <v>1002</v>
      </c>
      <c r="I602" s="22" t="s">
        <v>1002</v>
      </c>
      <c r="J602" s="18"/>
      <c r="K602" s="18"/>
      <c r="L602" s="18"/>
      <c r="M602" s="18">
        <v>1</v>
      </c>
      <c r="N602" s="18">
        <v>1</v>
      </c>
      <c r="O602" s="18"/>
      <c r="P602" s="18">
        <v>0</v>
      </c>
      <c r="Q602" s="18">
        <v>0</v>
      </c>
      <c r="R602" s="1215">
        <v>55202</v>
      </c>
      <c r="S602" s="1215">
        <f t="shared" si="22"/>
        <v>55202</v>
      </c>
      <c r="T602" s="22" t="s">
        <v>1957</v>
      </c>
      <c r="U602" s="1859" t="s">
        <v>2509</v>
      </c>
      <c r="V602" s="18"/>
      <c r="W602" s="2020"/>
      <c r="X602" s="18"/>
      <c r="Y602" s="4"/>
      <c r="Z602" s="4"/>
    </row>
    <row r="603" spans="1:26" ht="65.099999999999994" hidden="1">
      <c r="A603" s="20">
        <v>610</v>
      </c>
      <c r="B603" s="1063">
        <v>40380</v>
      </c>
      <c r="C603" s="32" t="s">
        <v>2731</v>
      </c>
      <c r="D603" s="11"/>
      <c r="E603" s="32" t="s">
        <v>572</v>
      </c>
      <c r="F603" s="32" t="s">
        <v>2332</v>
      </c>
      <c r="G603" s="32" t="s">
        <v>2732</v>
      </c>
      <c r="H603" s="32" t="s">
        <v>429</v>
      </c>
      <c r="I603" s="32" t="s">
        <v>429</v>
      </c>
      <c r="J603" s="32" t="s">
        <v>2733</v>
      </c>
      <c r="K603" s="32"/>
      <c r="L603" s="32"/>
      <c r="M603" s="32">
        <v>16</v>
      </c>
      <c r="N603" s="32">
        <v>16</v>
      </c>
      <c r="O603" s="32">
        <v>16</v>
      </c>
      <c r="P603" s="32">
        <v>0</v>
      </c>
      <c r="Q603" s="32">
        <v>0</v>
      </c>
      <c r="R603" s="1213">
        <v>1890</v>
      </c>
      <c r="S603" s="1213">
        <v>30240</v>
      </c>
      <c r="T603" s="32" t="s">
        <v>929</v>
      </c>
      <c r="U603" s="1863" t="s">
        <v>301</v>
      </c>
      <c r="V603" s="32" t="s">
        <v>931</v>
      </c>
      <c r="W603" s="2021" t="s">
        <v>2734</v>
      </c>
      <c r="X603" s="18"/>
      <c r="Y603" s="4"/>
      <c r="Z603" s="4"/>
    </row>
    <row r="604" spans="1:26" ht="14.1" hidden="1">
      <c r="A604" s="20">
        <v>611</v>
      </c>
      <c r="B604" s="1063">
        <v>40381</v>
      </c>
      <c r="C604" s="32" t="s">
        <v>2735</v>
      </c>
      <c r="D604" s="11"/>
      <c r="E604" s="32" t="s">
        <v>572</v>
      </c>
      <c r="F604" s="32" t="s">
        <v>2332</v>
      </c>
      <c r="G604" s="32" t="s">
        <v>2736</v>
      </c>
      <c r="H604" s="32" t="s">
        <v>429</v>
      </c>
      <c r="I604" s="32" t="s">
        <v>429</v>
      </c>
      <c r="J604" s="32" t="s">
        <v>2737</v>
      </c>
      <c r="K604" s="32"/>
      <c r="L604" s="32"/>
      <c r="M604" s="32">
        <v>36</v>
      </c>
      <c r="N604" s="32">
        <v>36</v>
      </c>
      <c r="O604" s="32">
        <v>36</v>
      </c>
      <c r="P604" s="32">
        <v>0</v>
      </c>
      <c r="Q604" s="32">
        <v>0</v>
      </c>
      <c r="R604" s="1213">
        <v>203</v>
      </c>
      <c r="S604" s="1213">
        <v>7308</v>
      </c>
      <c r="T604" s="32" t="s">
        <v>929</v>
      </c>
      <c r="U604" s="1863" t="s">
        <v>301</v>
      </c>
      <c r="V604" s="32" t="s">
        <v>931</v>
      </c>
      <c r="W604" s="2024" t="s">
        <v>2738</v>
      </c>
      <c r="X604" s="18"/>
      <c r="Y604" s="4"/>
      <c r="Z604" s="4"/>
    </row>
    <row r="605" spans="1:26" ht="14.1" hidden="1">
      <c r="A605" s="20">
        <v>612</v>
      </c>
      <c r="B605" s="1063">
        <v>40382</v>
      </c>
      <c r="C605" s="32" t="s">
        <v>2739</v>
      </c>
      <c r="D605" s="11"/>
      <c r="E605" s="32" t="s">
        <v>2722</v>
      </c>
      <c r="F605" s="32" t="s">
        <v>784</v>
      </c>
      <c r="G605" s="32" t="s">
        <v>2740</v>
      </c>
      <c r="H605" s="32" t="s">
        <v>786</v>
      </c>
      <c r="I605" s="32" t="s">
        <v>786</v>
      </c>
      <c r="J605" s="32" t="s">
        <v>149</v>
      </c>
      <c r="K605" s="32" t="s">
        <v>149</v>
      </c>
      <c r="L605" s="32" t="s">
        <v>149</v>
      </c>
      <c r="M605" s="32">
        <v>1</v>
      </c>
      <c r="N605" s="32">
        <v>1</v>
      </c>
      <c r="O605" s="32">
        <v>1</v>
      </c>
      <c r="P605" s="32">
        <v>0</v>
      </c>
      <c r="Q605" s="32">
        <v>0</v>
      </c>
      <c r="R605" s="1213">
        <v>322000</v>
      </c>
      <c r="S605" s="1213">
        <v>322000</v>
      </c>
      <c r="T605" s="32" t="s">
        <v>1957</v>
      </c>
      <c r="U605" s="1863" t="s">
        <v>1957</v>
      </c>
      <c r="V605" s="32"/>
      <c r="W605" s="2025"/>
      <c r="X605" s="18"/>
      <c r="Y605" s="4"/>
      <c r="Z605" s="4"/>
    </row>
    <row r="606" spans="1:26" ht="51.95" hidden="1">
      <c r="A606" s="20">
        <v>613</v>
      </c>
      <c r="B606" s="1063">
        <v>40383</v>
      </c>
      <c r="C606" s="32" t="s">
        <v>2741</v>
      </c>
      <c r="D606" s="11"/>
      <c r="E606" s="32" t="s">
        <v>572</v>
      </c>
      <c r="F606" s="32" t="s">
        <v>2332</v>
      </c>
      <c r="G606" s="32" t="s">
        <v>2742</v>
      </c>
      <c r="H606" s="32" t="s">
        <v>429</v>
      </c>
      <c r="I606" s="32" t="s">
        <v>429</v>
      </c>
      <c r="J606" s="32" t="s">
        <v>2743</v>
      </c>
      <c r="K606" s="32"/>
      <c r="L606" s="32"/>
      <c r="M606" s="32">
        <v>1</v>
      </c>
      <c r="N606" s="32">
        <v>1</v>
      </c>
      <c r="O606" s="32">
        <v>1</v>
      </c>
      <c r="P606" s="32">
        <v>0</v>
      </c>
      <c r="Q606" s="32">
        <v>0</v>
      </c>
      <c r="R606" s="1213">
        <v>36030</v>
      </c>
      <c r="S606" s="1213">
        <v>36030</v>
      </c>
      <c r="T606" s="32" t="s">
        <v>929</v>
      </c>
      <c r="U606" s="1863" t="s">
        <v>301</v>
      </c>
      <c r="V606" s="32" t="s">
        <v>931</v>
      </c>
      <c r="W606" s="2021" t="s">
        <v>2744</v>
      </c>
      <c r="X606" s="18"/>
      <c r="Y606" s="4"/>
      <c r="Z606" s="4"/>
    </row>
    <row r="607" spans="1:26" ht="14.1" hidden="1">
      <c r="A607" s="20">
        <v>614</v>
      </c>
      <c r="B607" s="1063">
        <v>40384</v>
      </c>
      <c r="C607" s="18" t="s">
        <v>2745</v>
      </c>
      <c r="D607" s="11" t="s">
        <v>6</v>
      </c>
      <c r="E607" s="32" t="s">
        <v>2722</v>
      </c>
      <c r="F607" s="18" t="s">
        <v>2699</v>
      </c>
      <c r="G607" s="18"/>
      <c r="H607" s="18" t="s">
        <v>1002</v>
      </c>
      <c r="I607" s="18" t="s">
        <v>1002</v>
      </c>
      <c r="J607" s="18"/>
      <c r="K607" s="18"/>
      <c r="L607" s="18"/>
      <c r="M607" s="18">
        <v>1</v>
      </c>
      <c r="N607" s="18">
        <v>1</v>
      </c>
      <c r="O607" s="18">
        <v>4</v>
      </c>
      <c r="P607" s="18">
        <v>0</v>
      </c>
      <c r="Q607" s="18">
        <v>0</v>
      </c>
      <c r="R607" s="1215">
        <v>85587</v>
      </c>
      <c r="S607" s="1215">
        <v>85587</v>
      </c>
      <c r="T607" s="18" t="s">
        <v>929</v>
      </c>
      <c r="U607" s="1859" t="s">
        <v>2703</v>
      </c>
      <c r="V607" s="32" t="s">
        <v>931</v>
      </c>
      <c r="W607" s="2021" t="s">
        <v>401</v>
      </c>
      <c r="X607" s="18"/>
      <c r="Y607" s="4"/>
      <c r="Z607" s="4"/>
    </row>
    <row r="608" spans="1:26" ht="39" hidden="1">
      <c r="A608" s="20">
        <v>615</v>
      </c>
      <c r="B608" s="1063">
        <v>40385</v>
      </c>
      <c r="C608" s="18" t="s">
        <v>2746</v>
      </c>
      <c r="D608" s="11"/>
      <c r="E608" s="18" t="s">
        <v>572</v>
      </c>
      <c r="F608" s="18" t="s">
        <v>2450</v>
      </c>
      <c r="G608" s="18" t="s">
        <v>2747</v>
      </c>
      <c r="H608" s="18" t="s">
        <v>144</v>
      </c>
      <c r="I608" s="18" t="s">
        <v>574</v>
      </c>
      <c r="J608" s="71" t="s">
        <v>2748</v>
      </c>
      <c r="K608" s="18" t="s">
        <v>2749</v>
      </c>
      <c r="L608" s="18" t="s">
        <v>1425</v>
      </c>
      <c r="M608" s="18">
        <f>14*(3+1)</f>
        <v>56</v>
      </c>
      <c r="N608" s="18">
        <v>70</v>
      </c>
      <c r="O608" s="18"/>
      <c r="P608" s="18">
        <v>0</v>
      </c>
      <c r="Q608" s="18" t="s">
        <v>2750</v>
      </c>
      <c r="R608" s="1215">
        <v>50</v>
      </c>
      <c r="S608" s="1215">
        <f t="shared" ref="S608:S626" si="23">R608*N608</f>
        <v>3500</v>
      </c>
      <c r="T608" s="18" t="s">
        <v>1957</v>
      </c>
      <c r="U608" s="1859" t="s">
        <v>2509</v>
      </c>
      <c r="V608" s="18"/>
      <c r="W608" s="2021" t="s">
        <v>2751</v>
      </c>
      <c r="X608" s="18"/>
      <c r="Y608" s="4"/>
      <c r="Z608" s="4"/>
    </row>
    <row r="609" spans="1:26" ht="39" hidden="1">
      <c r="A609" s="20">
        <v>616</v>
      </c>
      <c r="B609" s="1063">
        <v>40386</v>
      </c>
      <c r="C609" s="18" t="s">
        <v>2752</v>
      </c>
      <c r="D609" s="11"/>
      <c r="E609" s="18" t="s">
        <v>572</v>
      </c>
      <c r="F609" s="18" t="s">
        <v>2450</v>
      </c>
      <c r="G609" s="18" t="s">
        <v>2753</v>
      </c>
      <c r="H609" s="18" t="s">
        <v>144</v>
      </c>
      <c r="I609" s="18" t="s">
        <v>574</v>
      </c>
      <c r="J609" s="18" t="s">
        <v>2754</v>
      </c>
      <c r="K609" s="18" t="s">
        <v>2755</v>
      </c>
      <c r="L609" s="18" t="s">
        <v>1425</v>
      </c>
      <c r="M609" s="18">
        <f t="shared" ref="M609:M610" si="24">2*(3+1)</f>
        <v>8</v>
      </c>
      <c r="N609" s="18">
        <v>10</v>
      </c>
      <c r="O609" s="18"/>
      <c r="P609" s="18">
        <v>0</v>
      </c>
      <c r="Q609" s="18" t="s">
        <v>2756</v>
      </c>
      <c r="R609" s="1215">
        <v>51</v>
      </c>
      <c r="S609" s="1215">
        <f t="shared" si="23"/>
        <v>510</v>
      </c>
      <c r="T609" s="18" t="s">
        <v>1957</v>
      </c>
      <c r="U609" s="1859" t="s">
        <v>2509</v>
      </c>
      <c r="V609" s="18"/>
      <c r="W609" s="2021" t="s">
        <v>2757</v>
      </c>
      <c r="X609" s="18"/>
      <c r="Y609" s="4"/>
      <c r="Z609" s="4"/>
    </row>
    <row r="610" spans="1:26" ht="39" hidden="1">
      <c r="A610" s="20">
        <v>617</v>
      </c>
      <c r="B610" s="1063">
        <v>40387</v>
      </c>
      <c r="C610" s="18" t="s">
        <v>2746</v>
      </c>
      <c r="D610" s="11"/>
      <c r="E610" s="18" t="s">
        <v>572</v>
      </c>
      <c r="F610" s="18" t="s">
        <v>2450</v>
      </c>
      <c r="G610" s="18" t="s">
        <v>2747</v>
      </c>
      <c r="H610" s="18" t="s">
        <v>144</v>
      </c>
      <c r="I610" s="18" t="s">
        <v>574</v>
      </c>
      <c r="J610" s="72" t="s">
        <v>2758</v>
      </c>
      <c r="K610" s="72" t="s">
        <v>2759</v>
      </c>
      <c r="L610" s="18" t="s">
        <v>2760</v>
      </c>
      <c r="M610" s="18">
        <f t="shared" si="24"/>
        <v>8</v>
      </c>
      <c r="N610" s="18">
        <v>10</v>
      </c>
      <c r="O610" s="18"/>
      <c r="P610" s="18">
        <v>0</v>
      </c>
      <c r="Q610" s="18" t="s">
        <v>2756</v>
      </c>
      <c r="R610" s="1215">
        <v>33</v>
      </c>
      <c r="S610" s="1215">
        <f t="shared" si="23"/>
        <v>330</v>
      </c>
      <c r="T610" s="18" t="s">
        <v>1957</v>
      </c>
      <c r="U610" s="1859" t="s">
        <v>2509</v>
      </c>
      <c r="V610" s="18"/>
      <c r="W610" s="2021" t="s">
        <v>2761</v>
      </c>
      <c r="X610" s="18"/>
      <c r="Y610" s="4"/>
      <c r="Z610" s="4"/>
    </row>
    <row r="611" spans="1:26" ht="39" hidden="1">
      <c r="A611" s="20">
        <v>618</v>
      </c>
      <c r="B611" s="1063">
        <v>40388</v>
      </c>
      <c r="C611" s="18" t="s">
        <v>2762</v>
      </c>
      <c r="D611" s="11"/>
      <c r="E611" s="18" t="s">
        <v>572</v>
      </c>
      <c r="F611" s="18" t="s">
        <v>2450</v>
      </c>
      <c r="G611" s="18" t="s">
        <v>2763</v>
      </c>
      <c r="H611" s="18" t="s">
        <v>144</v>
      </c>
      <c r="I611" s="18" t="s">
        <v>574</v>
      </c>
      <c r="J611" s="72" t="s">
        <v>2764</v>
      </c>
      <c r="K611" s="72" t="s">
        <v>2765</v>
      </c>
      <c r="L611" s="73"/>
      <c r="M611" s="18">
        <f>8*(3+1)</f>
        <v>32</v>
      </c>
      <c r="N611" s="18">
        <v>40</v>
      </c>
      <c r="O611" s="18"/>
      <c r="P611" s="18">
        <v>0</v>
      </c>
      <c r="Q611" s="18" t="s">
        <v>2766</v>
      </c>
      <c r="R611" s="1215">
        <v>20</v>
      </c>
      <c r="S611" s="1215">
        <f t="shared" si="23"/>
        <v>800</v>
      </c>
      <c r="T611" s="18" t="s">
        <v>1957</v>
      </c>
      <c r="U611" s="1859" t="s">
        <v>2509</v>
      </c>
      <c r="V611" s="18"/>
      <c r="W611" s="2021" t="s">
        <v>2767</v>
      </c>
      <c r="X611" s="18"/>
      <c r="Y611" s="4"/>
      <c r="Z611" s="4"/>
    </row>
    <row r="612" spans="1:26" ht="39" hidden="1">
      <c r="A612" s="20">
        <v>619</v>
      </c>
      <c r="B612" s="1063">
        <v>40389</v>
      </c>
      <c r="C612" s="18" t="s">
        <v>2768</v>
      </c>
      <c r="D612" s="11"/>
      <c r="E612" s="18" t="s">
        <v>572</v>
      </c>
      <c r="F612" s="18" t="s">
        <v>2450</v>
      </c>
      <c r="G612" s="18" t="s">
        <v>2769</v>
      </c>
      <c r="H612" s="18" t="s">
        <v>144</v>
      </c>
      <c r="I612" s="18" t="s">
        <v>574</v>
      </c>
      <c r="J612" s="74" t="s">
        <v>2770</v>
      </c>
      <c r="K612" s="72" t="s">
        <v>2771</v>
      </c>
      <c r="L612" s="18" t="s">
        <v>2760</v>
      </c>
      <c r="M612" s="18">
        <f>2*(3+1)</f>
        <v>8</v>
      </c>
      <c r="N612" s="18">
        <v>10</v>
      </c>
      <c r="O612" s="18"/>
      <c r="P612" s="18">
        <v>0</v>
      </c>
      <c r="Q612" s="18" t="s">
        <v>2756</v>
      </c>
      <c r="R612" s="1215">
        <v>12</v>
      </c>
      <c r="S612" s="1215">
        <f t="shared" si="23"/>
        <v>120</v>
      </c>
      <c r="T612" s="18" t="s">
        <v>1957</v>
      </c>
      <c r="U612" s="1859" t="s">
        <v>2509</v>
      </c>
      <c r="V612" s="18"/>
      <c r="W612" s="2021" t="s">
        <v>2772</v>
      </c>
      <c r="X612" s="18"/>
      <c r="Y612" s="4"/>
      <c r="Z612" s="4"/>
    </row>
    <row r="613" spans="1:26" ht="39" hidden="1">
      <c r="A613" s="20">
        <v>620</v>
      </c>
      <c r="B613" s="1063">
        <v>40390</v>
      </c>
      <c r="C613" s="18" t="s">
        <v>2746</v>
      </c>
      <c r="D613" s="11"/>
      <c r="E613" s="18" t="s">
        <v>572</v>
      </c>
      <c r="F613" s="18" t="s">
        <v>2450</v>
      </c>
      <c r="G613" s="18" t="s">
        <v>2747</v>
      </c>
      <c r="H613" s="18" t="s">
        <v>144</v>
      </c>
      <c r="I613" s="18" t="s">
        <v>574</v>
      </c>
      <c r="J613" s="18" t="s">
        <v>2773</v>
      </c>
      <c r="K613" s="73" t="s">
        <v>2774</v>
      </c>
      <c r="L613" s="18" t="s">
        <v>2775</v>
      </c>
      <c r="M613" s="18">
        <f t="shared" ref="M613:M615" si="25">1*(3+1)</f>
        <v>4</v>
      </c>
      <c r="N613" s="18">
        <v>5</v>
      </c>
      <c r="O613" s="18"/>
      <c r="P613" s="18">
        <v>0</v>
      </c>
      <c r="Q613" s="18">
        <v>1</v>
      </c>
      <c r="R613" s="1215">
        <v>12</v>
      </c>
      <c r="S613" s="1215">
        <f t="shared" si="23"/>
        <v>60</v>
      </c>
      <c r="T613" s="18" t="s">
        <v>1957</v>
      </c>
      <c r="U613" s="1859" t="s">
        <v>2509</v>
      </c>
      <c r="V613" s="18"/>
      <c r="W613" s="2021" t="s">
        <v>2776</v>
      </c>
      <c r="X613" s="18"/>
      <c r="Y613" s="4"/>
      <c r="Z613" s="4"/>
    </row>
    <row r="614" spans="1:26" ht="39" hidden="1">
      <c r="A614" s="20">
        <v>621</v>
      </c>
      <c r="B614" s="1063">
        <v>40391</v>
      </c>
      <c r="C614" s="18" t="s">
        <v>2777</v>
      </c>
      <c r="D614" s="11"/>
      <c r="E614" s="18" t="s">
        <v>572</v>
      </c>
      <c r="F614" s="18" t="s">
        <v>2450</v>
      </c>
      <c r="G614" s="18" t="s">
        <v>2778</v>
      </c>
      <c r="H614" s="18" t="s">
        <v>144</v>
      </c>
      <c r="I614" s="18" t="s">
        <v>574</v>
      </c>
      <c r="J614" s="18" t="s">
        <v>2779</v>
      </c>
      <c r="K614" s="18" t="s">
        <v>146</v>
      </c>
      <c r="L614" s="18" t="s">
        <v>2760</v>
      </c>
      <c r="M614" s="18">
        <f t="shared" si="25"/>
        <v>4</v>
      </c>
      <c r="N614" s="18">
        <v>5</v>
      </c>
      <c r="O614" s="18"/>
      <c r="P614" s="18">
        <v>0</v>
      </c>
      <c r="Q614" s="18">
        <v>1</v>
      </c>
      <c r="R614" s="1215">
        <v>24</v>
      </c>
      <c r="S614" s="1215">
        <f t="shared" si="23"/>
        <v>120</v>
      </c>
      <c r="T614" s="18" t="s">
        <v>1957</v>
      </c>
      <c r="U614" s="1859" t="s">
        <v>2509</v>
      </c>
      <c r="V614" s="18"/>
      <c r="W614" s="2021" t="s">
        <v>2780</v>
      </c>
      <c r="X614" s="18"/>
      <c r="Y614" s="4"/>
      <c r="Z614" s="4"/>
    </row>
    <row r="615" spans="1:26" ht="39" hidden="1">
      <c r="A615" s="20">
        <v>622</v>
      </c>
      <c r="B615" s="1063">
        <v>40392</v>
      </c>
      <c r="C615" s="18" t="s">
        <v>2752</v>
      </c>
      <c r="D615" s="11"/>
      <c r="E615" s="18" t="s">
        <v>572</v>
      </c>
      <c r="F615" s="18" t="s">
        <v>2450</v>
      </c>
      <c r="G615" s="18" t="s">
        <v>2753</v>
      </c>
      <c r="H615" s="18" t="s">
        <v>144</v>
      </c>
      <c r="I615" s="18" t="s">
        <v>574</v>
      </c>
      <c r="J615" s="73" t="s">
        <v>2781</v>
      </c>
      <c r="K615" s="73" t="s">
        <v>2782</v>
      </c>
      <c r="L615" s="18" t="s">
        <v>2775</v>
      </c>
      <c r="M615" s="18">
        <f t="shared" si="25"/>
        <v>4</v>
      </c>
      <c r="N615" s="18">
        <v>5</v>
      </c>
      <c r="O615" s="18"/>
      <c r="P615" s="18">
        <v>0</v>
      </c>
      <c r="Q615" s="18">
        <v>1</v>
      </c>
      <c r="R615" s="1215">
        <v>27</v>
      </c>
      <c r="S615" s="1215">
        <f t="shared" si="23"/>
        <v>135</v>
      </c>
      <c r="T615" s="18" t="s">
        <v>1957</v>
      </c>
      <c r="U615" s="1859" t="s">
        <v>2509</v>
      </c>
      <c r="V615" s="18"/>
      <c r="W615" s="2021" t="s">
        <v>2783</v>
      </c>
      <c r="X615" s="18"/>
      <c r="Y615" s="4"/>
      <c r="Z615" s="4"/>
    </row>
    <row r="616" spans="1:26" ht="26.1" hidden="1">
      <c r="A616" s="20">
        <v>623</v>
      </c>
      <c r="B616" s="1063">
        <v>40393</v>
      </c>
      <c r="C616" s="18" t="s">
        <v>2784</v>
      </c>
      <c r="D616" s="11"/>
      <c r="E616" s="18" t="s">
        <v>572</v>
      </c>
      <c r="F616" s="18" t="s">
        <v>2450</v>
      </c>
      <c r="G616" s="18" t="s">
        <v>2785</v>
      </c>
      <c r="H616" s="18" t="s">
        <v>2786</v>
      </c>
      <c r="I616" s="18" t="s">
        <v>39</v>
      </c>
      <c r="J616" s="18" t="s">
        <v>2787</v>
      </c>
      <c r="K616" s="18" t="s">
        <v>2788</v>
      </c>
      <c r="L616" s="18" t="s">
        <v>2789</v>
      </c>
      <c r="M616" s="18">
        <f>16*(3+1)</f>
        <v>64</v>
      </c>
      <c r="N616" s="18">
        <v>50</v>
      </c>
      <c r="O616" s="18">
        <v>100</v>
      </c>
      <c r="P616" s="18">
        <v>0</v>
      </c>
      <c r="Q616" s="18" t="s">
        <v>2790</v>
      </c>
      <c r="R616" s="1215">
        <v>14.98</v>
      </c>
      <c r="S616" s="1215">
        <f t="shared" si="23"/>
        <v>749</v>
      </c>
      <c r="T616" s="18" t="s">
        <v>1957</v>
      </c>
      <c r="U616" s="1859" t="s">
        <v>2509</v>
      </c>
      <c r="V616" s="18"/>
      <c r="W616" s="2021" t="s">
        <v>2791</v>
      </c>
      <c r="X616" s="18"/>
      <c r="Y616" s="4"/>
      <c r="Z616" s="4"/>
    </row>
    <row r="617" spans="1:26" ht="143.1" hidden="1">
      <c r="A617" s="20">
        <v>624</v>
      </c>
      <c r="B617" s="1063">
        <v>40394</v>
      </c>
      <c r="C617" s="18" t="s">
        <v>2792</v>
      </c>
      <c r="D617" s="11"/>
      <c r="E617" s="18" t="s">
        <v>572</v>
      </c>
      <c r="F617" s="18" t="s">
        <v>2450</v>
      </c>
      <c r="G617" s="18" t="s">
        <v>2793</v>
      </c>
      <c r="H617" s="18" t="s">
        <v>2786</v>
      </c>
      <c r="I617" s="18" t="s">
        <v>39</v>
      </c>
      <c r="J617" s="18" t="s">
        <v>2794</v>
      </c>
      <c r="K617" s="18" t="s">
        <v>2795</v>
      </c>
      <c r="L617" s="18" t="s">
        <v>2789</v>
      </c>
      <c r="M617" s="18">
        <f>9*(3+1)</f>
        <v>36</v>
      </c>
      <c r="N617" s="18">
        <v>100</v>
      </c>
      <c r="O617" s="18">
        <v>100</v>
      </c>
      <c r="P617" s="18">
        <v>0</v>
      </c>
      <c r="Q617" s="18">
        <v>64</v>
      </c>
      <c r="R617" s="1215">
        <v>3.4</v>
      </c>
      <c r="S617" s="1215">
        <f t="shared" si="23"/>
        <v>340</v>
      </c>
      <c r="T617" s="18" t="s">
        <v>1957</v>
      </c>
      <c r="U617" s="1859" t="s">
        <v>2509</v>
      </c>
      <c r="V617" s="18"/>
      <c r="W617" s="2021" t="s">
        <v>2796</v>
      </c>
      <c r="X617" s="18"/>
      <c r="Y617" s="4"/>
      <c r="Z617" s="4"/>
    </row>
    <row r="618" spans="1:26" ht="143.1" hidden="1">
      <c r="A618" s="20">
        <v>625</v>
      </c>
      <c r="B618" s="1063">
        <v>40395</v>
      </c>
      <c r="C618" s="18" t="s">
        <v>2797</v>
      </c>
      <c r="D618" s="11"/>
      <c r="E618" s="18" t="s">
        <v>572</v>
      </c>
      <c r="F618" s="18" t="s">
        <v>2450</v>
      </c>
      <c r="G618" s="18" t="s">
        <v>2798</v>
      </c>
      <c r="H618" s="18" t="s">
        <v>2786</v>
      </c>
      <c r="I618" s="18" t="s">
        <v>39</v>
      </c>
      <c r="J618" s="18" t="s">
        <v>2799</v>
      </c>
      <c r="K618" s="18" t="s">
        <v>2800</v>
      </c>
      <c r="L618" s="18" t="s">
        <v>2789</v>
      </c>
      <c r="M618" s="18">
        <v>4</v>
      </c>
      <c r="N618" s="18">
        <v>100</v>
      </c>
      <c r="O618" s="18">
        <v>100</v>
      </c>
      <c r="P618" s="18">
        <v>0</v>
      </c>
      <c r="Q618" s="18">
        <v>96</v>
      </c>
      <c r="R618" s="1215">
        <v>8.91</v>
      </c>
      <c r="S618" s="1215">
        <f t="shared" si="23"/>
        <v>891</v>
      </c>
      <c r="T618" s="18" t="s">
        <v>1957</v>
      </c>
      <c r="U618" s="1859" t="s">
        <v>2509</v>
      </c>
      <c r="V618" s="18"/>
      <c r="W618" s="2021" t="s">
        <v>2801</v>
      </c>
      <c r="X618" s="18"/>
      <c r="Y618" s="4"/>
      <c r="Z618" s="4"/>
    </row>
    <row r="619" spans="1:26" ht="143.1" hidden="1">
      <c r="A619" s="20">
        <v>626</v>
      </c>
      <c r="B619" s="1063">
        <v>40396</v>
      </c>
      <c r="C619" s="18" t="s">
        <v>2802</v>
      </c>
      <c r="D619" s="11"/>
      <c r="E619" s="18" t="s">
        <v>572</v>
      </c>
      <c r="F619" s="18" t="s">
        <v>2450</v>
      </c>
      <c r="G619" s="18" t="s">
        <v>2803</v>
      </c>
      <c r="H619" s="18" t="s">
        <v>2786</v>
      </c>
      <c r="I619" s="18" t="s">
        <v>39</v>
      </c>
      <c r="J619" s="18" t="s">
        <v>2804</v>
      </c>
      <c r="K619" s="18" t="s">
        <v>2805</v>
      </c>
      <c r="L619" s="18" t="s">
        <v>2789</v>
      </c>
      <c r="M619" s="18">
        <v>4</v>
      </c>
      <c r="N619" s="18">
        <v>100</v>
      </c>
      <c r="O619" s="18">
        <v>100</v>
      </c>
      <c r="P619" s="18">
        <v>0</v>
      </c>
      <c r="Q619" s="18">
        <v>96</v>
      </c>
      <c r="R619" s="1215">
        <v>2.34</v>
      </c>
      <c r="S619" s="1215">
        <f t="shared" si="23"/>
        <v>234</v>
      </c>
      <c r="T619" s="18" t="s">
        <v>1957</v>
      </c>
      <c r="U619" s="1859" t="s">
        <v>2509</v>
      </c>
      <c r="V619" s="18"/>
      <c r="W619" s="2021" t="s">
        <v>2806</v>
      </c>
      <c r="X619" s="18"/>
      <c r="Y619" s="4"/>
      <c r="Z619" s="4"/>
    </row>
    <row r="620" spans="1:26" ht="143.1" hidden="1">
      <c r="A620" s="20">
        <v>627</v>
      </c>
      <c r="B620" s="1063">
        <v>40397</v>
      </c>
      <c r="C620" s="18" t="s">
        <v>2807</v>
      </c>
      <c r="D620" s="11"/>
      <c r="E620" s="18" t="s">
        <v>572</v>
      </c>
      <c r="F620" s="18" t="s">
        <v>2450</v>
      </c>
      <c r="G620" s="18" t="s">
        <v>2808</v>
      </c>
      <c r="H620" s="18" t="s">
        <v>2786</v>
      </c>
      <c r="I620" s="18" t="s">
        <v>39</v>
      </c>
      <c r="J620" s="18" t="s">
        <v>2809</v>
      </c>
      <c r="K620" s="18" t="s">
        <v>2810</v>
      </c>
      <c r="L620" s="18" t="s">
        <v>2789</v>
      </c>
      <c r="M620" s="18">
        <f>3*(3+1)</f>
        <v>12</v>
      </c>
      <c r="N620" s="18">
        <v>100</v>
      </c>
      <c r="O620" s="18">
        <v>100</v>
      </c>
      <c r="P620" s="18">
        <v>0</v>
      </c>
      <c r="Q620" s="18">
        <v>88</v>
      </c>
      <c r="R620" s="1215">
        <v>8.3800000000000008</v>
      </c>
      <c r="S620" s="1215">
        <f t="shared" si="23"/>
        <v>838.00000000000011</v>
      </c>
      <c r="T620" s="18" t="s">
        <v>1957</v>
      </c>
      <c r="U620" s="1859" t="s">
        <v>2509</v>
      </c>
      <c r="V620" s="18"/>
      <c r="W620" s="2021" t="s">
        <v>2811</v>
      </c>
      <c r="X620" s="18"/>
      <c r="Y620" s="4"/>
      <c r="Z620" s="4"/>
    </row>
    <row r="621" spans="1:26" ht="143.1" hidden="1">
      <c r="A621" s="20">
        <v>628</v>
      </c>
      <c r="B621" s="1063">
        <v>40398</v>
      </c>
      <c r="C621" s="18" t="s">
        <v>2812</v>
      </c>
      <c r="D621" s="11"/>
      <c r="E621" s="18" t="s">
        <v>572</v>
      </c>
      <c r="F621" s="18" t="s">
        <v>2450</v>
      </c>
      <c r="G621" s="18" t="s">
        <v>2813</v>
      </c>
      <c r="H621" s="18" t="s">
        <v>2786</v>
      </c>
      <c r="I621" s="18" t="s">
        <v>39</v>
      </c>
      <c r="J621" s="18" t="s">
        <v>2814</v>
      </c>
      <c r="K621" s="18" t="s">
        <v>2815</v>
      </c>
      <c r="L621" s="18" t="s">
        <v>2789</v>
      </c>
      <c r="M621" s="18">
        <f>14*(3+1)</f>
        <v>56</v>
      </c>
      <c r="N621" s="18">
        <v>100</v>
      </c>
      <c r="O621" s="18">
        <v>100</v>
      </c>
      <c r="P621" s="18">
        <v>0</v>
      </c>
      <c r="Q621" s="18">
        <v>44</v>
      </c>
      <c r="R621" s="1215">
        <v>7.34</v>
      </c>
      <c r="S621" s="1215">
        <f t="shared" si="23"/>
        <v>734</v>
      </c>
      <c r="T621" s="18" t="s">
        <v>1957</v>
      </c>
      <c r="U621" s="1859" t="s">
        <v>2509</v>
      </c>
      <c r="V621" s="18"/>
      <c r="W621" s="2021" t="s">
        <v>2816</v>
      </c>
      <c r="X621" s="18"/>
      <c r="Y621" s="4"/>
      <c r="Z621" s="4"/>
    </row>
    <row r="622" spans="1:26" ht="143.1" hidden="1">
      <c r="A622" s="20">
        <v>629</v>
      </c>
      <c r="B622" s="1063">
        <v>40399</v>
      </c>
      <c r="C622" s="18" t="s">
        <v>2817</v>
      </c>
      <c r="D622" s="11"/>
      <c r="E622" s="18" t="s">
        <v>572</v>
      </c>
      <c r="F622" s="18" t="s">
        <v>2450</v>
      </c>
      <c r="G622" s="18" t="s">
        <v>2818</v>
      </c>
      <c r="H622" s="18" t="s">
        <v>2786</v>
      </c>
      <c r="I622" s="18" t="s">
        <v>39</v>
      </c>
      <c r="J622" s="18" t="s">
        <v>2819</v>
      </c>
      <c r="K622" s="18" t="s">
        <v>2820</v>
      </c>
      <c r="L622" s="18" t="s">
        <v>2789</v>
      </c>
      <c r="M622" s="18">
        <v>4</v>
      </c>
      <c r="N622" s="18">
        <v>100</v>
      </c>
      <c r="O622" s="18">
        <v>100</v>
      </c>
      <c r="P622" s="18">
        <v>0</v>
      </c>
      <c r="Q622" s="18">
        <v>96</v>
      </c>
      <c r="R622" s="1215">
        <v>6.9</v>
      </c>
      <c r="S622" s="1215">
        <f t="shared" si="23"/>
        <v>690</v>
      </c>
      <c r="T622" s="18" t="s">
        <v>1957</v>
      </c>
      <c r="U622" s="1859" t="s">
        <v>2509</v>
      </c>
      <c r="V622" s="18"/>
      <c r="W622" s="2021" t="s">
        <v>2821</v>
      </c>
      <c r="X622" s="18"/>
      <c r="Y622" s="4"/>
      <c r="Z622" s="4"/>
    </row>
    <row r="623" spans="1:26" ht="26.1" hidden="1">
      <c r="A623" s="20">
        <v>630</v>
      </c>
      <c r="B623" s="1063">
        <v>40400</v>
      </c>
      <c r="C623" s="18" t="s">
        <v>2822</v>
      </c>
      <c r="D623" s="11"/>
      <c r="E623" s="18" t="s">
        <v>572</v>
      </c>
      <c r="F623" s="18" t="s">
        <v>2450</v>
      </c>
      <c r="G623" s="18" t="s">
        <v>2823</v>
      </c>
      <c r="H623" s="18" t="s">
        <v>2786</v>
      </c>
      <c r="I623" s="18" t="s">
        <v>39</v>
      </c>
      <c r="J623" s="18" t="s">
        <v>2824</v>
      </c>
      <c r="K623" s="18" t="s">
        <v>2825</v>
      </c>
      <c r="L623" s="18" t="s">
        <v>2789</v>
      </c>
      <c r="M623" s="18">
        <f>7*(3+1)</f>
        <v>28</v>
      </c>
      <c r="N623" s="18">
        <v>50</v>
      </c>
      <c r="O623" s="18">
        <v>50</v>
      </c>
      <c r="P623" s="18">
        <v>0</v>
      </c>
      <c r="Q623" s="18">
        <v>22</v>
      </c>
      <c r="R623" s="1215">
        <v>7.88</v>
      </c>
      <c r="S623" s="1215">
        <f t="shared" si="23"/>
        <v>394</v>
      </c>
      <c r="T623" s="18" t="s">
        <v>1957</v>
      </c>
      <c r="U623" s="1859" t="s">
        <v>2509</v>
      </c>
      <c r="V623" s="18"/>
      <c r="W623" s="2021" t="s">
        <v>2826</v>
      </c>
      <c r="X623" s="18"/>
      <c r="Y623" s="4"/>
      <c r="Z623" s="4"/>
    </row>
    <row r="624" spans="1:26" ht="26.1" hidden="1">
      <c r="A624" s="20">
        <v>631</v>
      </c>
      <c r="B624" s="1063">
        <v>40401</v>
      </c>
      <c r="C624" s="18" t="s">
        <v>2827</v>
      </c>
      <c r="D624" s="11"/>
      <c r="E624" s="18" t="s">
        <v>572</v>
      </c>
      <c r="F624" s="18" t="s">
        <v>2450</v>
      </c>
      <c r="G624" s="18" t="s">
        <v>2828</v>
      </c>
      <c r="H624" s="18" t="s">
        <v>2786</v>
      </c>
      <c r="I624" s="18" t="s">
        <v>39</v>
      </c>
      <c r="J624" s="18" t="s">
        <v>2829</v>
      </c>
      <c r="K624" s="18" t="s">
        <v>2830</v>
      </c>
      <c r="L624" s="18" t="s">
        <v>2789</v>
      </c>
      <c r="M624" s="18">
        <v>4</v>
      </c>
      <c r="N624" s="18">
        <v>100</v>
      </c>
      <c r="O624" s="18">
        <v>100</v>
      </c>
      <c r="P624" s="18">
        <v>0</v>
      </c>
      <c r="Q624" s="18">
        <v>96</v>
      </c>
      <c r="R624" s="1215">
        <v>6.81</v>
      </c>
      <c r="S624" s="1215">
        <f t="shared" si="23"/>
        <v>681</v>
      </c>
      <c r="T624" s="18" t="s">
        <v>1957</v>
      </c>
      <c r="U624" s="1859" t="s">
        <v>2509</v>
      </c>
      <c r="V624" s="18"/>
      <c r="W624" s="2021" t="s">
        <v>2831</v>
      </c>
      <c r="X624" s="18"/>
      <c r="Y624" s="4"/>
      <c r="Z624" s="4"/>
    </row>
    <row r="625" spans="1:26" ht="27.95" hidden="1">
      <c r="A625" s="20">
        <v>632</v>
      </c>
      <c r="B625" s="1063">
        <v>40402</v>
      </c>
      <c r="C625" s="22" t="s">
        <v>1646</v>
      </c>
      <c r="D625" s="11"/>
      <c r="E625" s="22" t="s">
        <v>572</v>
      </c>
      <c r="F625" s="22" t="s">
        <v>2450</v>
      </c>
      <c r="G625" s="22" t="s">
        <v>2505</v>
      </c>
      <c r="H625" s="22" t="s">
        <v>2506</v>
      </c>
      <c r="I625" s="22" t="s">
        <v>39</v>
      </c>
      <c r="J625" s="75" t="s">
        <v>2832</v>
      </c>
      <c r="K625" s="22"/>
      <c r="L625" s="22" t="s">
        <v>2508</v>
      </c>
      <c r="M625" s="22">
        <v>1</v>
      </c>
      <c r="N625" s="22">
        <v>10</v>
      </c>
      <c r="O625" s="22">
        <v>10</v>
      </c>
      <c r="P625" s="22">
        <v>0</v>
      </c>
      <c r="Q625" s="22">
        <v>9</v>
      </c>
      <c r="R625" s="1201">
        <v>42.2</v>
      </c>
      <c r="S625" s="1201">
        <f t="shared" si="23"/>
        <v>422</v>
      </c>
      <c r="T625" s="22" t="s">
        <v>1957</v>
      </c>
      <c r="U625" s="1854" t="s">
        <v>2509</v>
      </c>
      <c r="V625" s="22"/>
      <c r="W625" s="2006" t="s">
        <v>2510</v>
      </c>
      <c r="X625" s="18"/>
      <c r="Y625" s="4"/>
      <c r="Z625" s="4"/>
    </row>
    <row r="626" spans="1:26" ht="42" hidden="1">
      <c r="A626" s="20">
        <v>633</v>
      </c>
      <c r="B626" s="1063">
        <v>40403</v>
      </c>
      <c r="C626" s="18" t="s">
        <v>2833</v>
      </c>
      <c r="D626" s="11"/>
      <c r="E626" s="18" t="s">
        <v>572</v>
      </c>
      <c r="F626" s="22" t="s">
        <v>2450</v>
      </c>
      <c r="G626" s="22"/>
      <c r="H626" s="22" t="s">
        <v>752</v>
      </c>
      <c r="I626" s="22" t="s">
        <v>574</v>
      </c>
      <c r="J626" s="22" t="s">
        <v>2560</v>
      </c>
      <c r="K626" s="22"/>
      <c r="L626" s="22" t="s">
        <v>2561</v>
      </c>
      <c r="M626" s="22">
        <v>2</v>
      </c>
      <c r="N626" s="22">
        <v>2</v>
      </c>
      <c r="O626" s="22"/>
      <c r="P626" s="22">
        <v>0</v>
      </c>
      <c r="Q626" s="22">
        <v>2</v>
      </c>
      <c r="R626" s="1201">
        <v>396</v>
      </c>
      <c r="S626" s="1215">
        <f t="shared" si="23"/>
        <v>792</v>
      </c>
      <c r="T626" s="22" t="s">
        <v>1957</v>
      </c>
      <c r="U626" s="1854" t="s">
        <v>2509</v>
      </c>
      <c r="V626" s="22"/>
      <c r="W626" s="2006" t="s">
        <v>2562</v>
      </c>
      <c r="X626" s="18"/>
      <c r="Y626" s="4"/>
      <c r="Z626" s="4"/>
    </row>
    <row r="627" spans="1:26" ht="51.95" hidden="1">
      <c r="A627" s="20">
        <v>634</v>
      </c>
      <c r="B627" s="1063">
        <v>40404</v>
      </c>
      <c r="C627" s="32" t="s">
        <v>2594</v>
      </c>
      <c r="D627" s="11"/>
      <c r="E627" s="18" t="s">
        <v>2722</v>
      </c>
      <c r="F627" s="32" t="s">
        <v>2332</v>
      </c>
      <c r="G627" s="32" t="s">
        <v>2834</v>
      </c>
      <c r="H627" s="32" t="s">
        <v>429</v>
      </c>
      <c r="I627" s="32" t="s">
        <v>429</v>
      </c>
      <c r="J627" s="32" t="s">
        <v>370</v>
      </c>
      <c r="K627" s="32"/>
      <c r="L627" s="32"/>
      <c r="M627" s="32">
        <v>6</v>
      </c>
      <c r="N627" s="32">
        <v>6</v>
      </c>
      <c r="O627" s="32">
        <v>6</v>
      </c>
      <c r="P627" s="32">
        <v>6</v>
      </c>
      <c r="Q627" s="32">
        <v>12</v>
      </c>
      <c r="R627" s="1213">
        <v>260</v>
      </c>
      <c r="S627" s="1213">
        <v>1560</v>
      </c>
      <c r="T627" s="32" t="s">
        <v>929</v>
      </c>
      <c r="U627" s="1863" t="s">
        <v>301</v>
      </c>
      <c r="V627" s="32" t="s">
        <v>931</v>
      </c>
      <c r="W627" s="2021" t="s">
        <v>2835</v>
      </c>
      <c r="X627" s="18"/>
      <c r="Y627" s="4"/>
      <c r="Z627" s="4"/>
    </row>
    <row r="628" spans="1:26" ht="27.95" hidden="1">
      <c r="A628" s="20">
        <v>635</v>
      </c>
      <c r="B628" s="1063">
        <v>40405</v>
      </c>
      <c r="C628" s="56" t="s">
        <v>2836</v>
      </c>
      <c r="D628" s="11" t="s">
        <v>1288</v>
      </c>
      <c r="E628" s="56" t="s">
        <v>2722</v>
      </c>
      <c r="F628" s="56" t="s">
        <v>2450</v>
      </c>
      <c r="G628" s="56"/>
      <c r="H628" s="39" t="s">
        <v>2080</v>
      </c>
      <c r="I628" s="39" t="s">
        <v>2081</v>
      </c>
      <c r="J628" s="39" t="s">
        <v>2080</v>
      </c>
      <c r="K628" s="39" t="s">
        <v>2080</v>
      </c>
      <c r="L628" s="39" t="s">
        <v>2083</v>
      </c>
      <c r="M628" s="39">
        <v>4</v>
      </c>
      <c r="N628" s="39">
        <v>4</v>
      </c>
      <c r="O628" s="39"/>
      <c r="P628" s="39">
        <v>0</v>
      </c>
      <c r="Q628" s="39">
        <v>1</v>
      </c>
      <c r="R628" s="1207">
        <v>11438</v>
      </c>
      <c r="S628" s="1207">
        <f>R628*N628</f>
        <v>45752</v>
      </c>
      <c r="T628" s="39" t="s">
        <v>1957</v>
      </c>
      <c r="U628" s="1857" t="s">
        <v>2509</v>
      </c>
      <c r="V628" s="56"/>
      <c r="W628" s="2014" t="s">
        <v>2084</v>
      </c>
      <c r="X628" s="18"/>
      <c r="Y628" s="4"/>
      <c r="Z628" s="4"/>
    </row>
    <row r="629" spans="1:26" ht="14.1" hidden="1">
      <c r="A629" s="20">
        <v>636</v>
      </c>
      <c r="B629" s="1063">
        <v>40406</v>
      </c>
      <c r="C629" s="18" t="s">
        <v>2837</v>
      </c>
      <c r="D629" s="11"/>
      <c r="E629" s="18" t="s">
        <v>2722</v>
      </c>
      <c r="F629" s="18" t="s">
        <v>970</v>
      </c>
      <c r="G629" s="18"/>
      <c r="H629" s="18" t="s">
        <v>1002</v>
      </c>
      <c r="I629" s="18" t="s">
        <v>1002</v>
      </c>
      <c r="J629" s="18"/>
      <c r="K629" s="18"/>
      <c r="L629" s="18"/>
      <c r="M629" s="18">
        <v>1</v>
      </c>
      <c r="N629" s="18">
        <v>6</v>
      </c>
      <c r="O629" s="18">
        <v>6</v>
      </c>
      <c r="P629" s="18">
        <v>0</v>
      </c>
      <c r="Q629" s="18">
        <v>5</v>
      </c>
      <c r="R629" s="1215">
        <v>25935</v>
      </c>
      <c r="S629" s="1215">
        <v>144718</v>
      </c>
      <c r="T629" s="18" t="s">
        <v>929</v>
      </c>
      <c r="U629" s="1859" t="s">
        <v>1886</v>
      </c>
      <c r="V629" s="18" t="s">
        <v>302</v>
      </c>
      <c r="W629" s="2021" t="s">
        <v>401</v>
      </c>
      <c r="X629" s="18"/>
      <c r="Y629" s="4"/>
      <c r="Z629" s="4"/>
    </row>
    <row r="630" spans="1:26" ht="39" hidden="1">
      <c r="A630" s="20">
        <v>637</v>
      </c>
      <c r="B630" s="1063">
        <v>40407</v>
      </c>
      <c r="C630" s="18" t="s">
        <v>2838</v>
      </c>
      <c r="D630" s="11" t="s">
        <v>6</v>
      </c>
      <c r="E630" s="18" t="s">
        <v>572</v>
      </c>
      <c r="F630" s="18" t="s">
        <v>2839</v>
      </c>
      <c r="G630" s="18" t="s">
        <v>2840</v>
      </c>
      <c r="H630" s="18" t="s">
        <v>752</v>
      </c>
      <c r="I630" s="18" t="s">
        <v>574</v>
      </c>
      <c r="J630" s="18" t="s">
        <v>2841</v>
      </c>
      <c r="K630" s="18" t="s">
        <v>2842</v>
      </c>
      <c r="L630" s="18" t="s">
        <v>1</v>
      </c>
      <c r="M630" s="18">
        <v>1</v>
      </c>
      <c r="N630" s="18">
        <v>1</v>
      </c>
      <c r="O630" s="18">
        <v>1</v>
      </c>
      <c r="P630" s="18">
        <v>0</v>
      </c>
      <c r="Q630" s="18">
        <v>1</v>
      </c>
      <c r="R630" s="1215">
        <v>2350</v>
      </c>
      <c r="S630" s="1215">
        <v>2350</v>
      </c>
      <c r="T630" s="18" t="s">
        <v>929</v>
      </c>
      <c r="U630" s="1859" t="s">
        <v>2843</v>
      </c>
      <c r="V630" s="18" t="s">
        <v>931</v>
      </c>
      <c r="W630" s="2021" t="s">
        <v>2844</v>
      </c>
      <c r="X630" s="18"/>
      <c r="Y630" s="4"/>
      <c r="Z630" s="4"/>
    </row>
    <row r="631" spans="1:26" ht="39" hidden="1">
      <c r="A631" s="20">
        <v>638</v>
      </c>
      <c r="B631" s="1063">
        <v>40408</v>
      </c>
      <c r="C631" s="18" t="s">
        <v>2845</v>
      </c>
      <c r="D631" s="11" t="s">
        <v>6</v>
      </c>
      <c r="E631" s="18" t="s">
        <v>572</v>
      </c>
      <c r="F631" s="18" t="s">
        <v>2839</v>
      </c>
      <c r="G631" s="18" t="s">
        <v>2846</v>
      </c>
      <c r="H631" s="18" t="s">
        <v>752</v>
      </c>
      <c r="I631" s="18" t="s">
        <v>574</v>
      </c>
      <c r="J631" s="18" t="s">
        <v>2847</v>
      </c>
      <c r="K631" s="18" t="s">
        <v>2848</v>
      </c>
      <c r="L631" s="18" t="s">
        <v>1</v>
      </c>
      <c r="M631" s="18">
        <v>1</v>
      </c>
      <c r="N631" s="18">
        <v>1</v>
      </c>
      <c r="O631" s="18">
        <v>1</v>
      </c>
      <c r="P631" s="18">
        <v>0</v>
      </c>
      <c r="Q631" s="18">
        <v>1</v>
      </c>
      <c r="R631" s="1215">
        <v>3530</v>
      </c>
      <c r="S631" s="1215">
        <v>3530</v>
      </c>
      <c r="T631" s="18" t="s">
        <v>929</v>
      </c>
      <c r="U631" s="1859" t="s">
        <v>2843</v>
      </c>
      <c r="V631" s="18" t="s">
        <v>931</v>
      </c>
      <c r="W631" s="2021" t="s">
        <v>2849</v>
      </c>
      <c r="X631" s="18"/>
      <c r="Y631" s="4"/>
      <c r="Z631" s="4"/>
    </row>
    <row r="632" spans="1:26" ht="26.1" hidden="1">
      <c r="A632" s="20">
        <v>639</v>
      </c>
      <c r="B632" s="1063">
        <v>40409</v>
      </c>
      <c r="C632" s="18" t="s">
        <v>2850</v>
      </c>
      <c r="D632" s="11" t="s">
        <v>6</v>
      </c>
      <c r="E632" s="18" t="s">
        <v>572</v>
      </c>
      <c r="F632" s="18" t="s">
        <v>2839</v>
      </c>
      <c r="G632" s="18" t="s">
        <v>2851</v>
      </c>
      <c r="H632" s="18" t="s">
        <v>2852</v>
      </c>
      <c r="I632" s="18" t="s">
        <v>574</v>
      </c>
      <c r="J632" s="18" t="s">
        <v>2853</v>
      </c>
      <c r="K632" s="18" t="s">
        <v>2854</v>
      </c>
      <c r="L632" s="18" t="s">
        <v>1</v>
      </c>
      <c r="M632" s="18">
        <v>2</v>
      </c>
      <c r="N632" s="18">
        <v>1</v>
      </c>
      <c r="O632" s="18">
        <v>3</v>
      </c>
      <c r="P632" s="18">
        <v>0</v>
      </c>
      <c r="Q632" s="18">
        <v>3</v>
      </c>
      <c r="R632" s="1215">
        <v>248</v>
      </c>
      <c r="S632" s="1215">
        <v>744</v>
      </c>
      <c r="T632" s="18" t="s">
        <v>929</v>
      </c>
      <c r="U632" s="1859" t="s">
        <v>2843</v>
      </c>
      <c r="V632" s="18" t="s">
        <v>931</v>
      </c>
      <c r="W632" s="2021" t="s">
        <v>2855</v>
      </c>
      <c r="X632" s="18"/>
      <c r="Y632" s="4"/>
      <c r="Z632" s="4"/>
    </row>
    <row r="633" spans="1:26" ht="26.1" hidden="1">
      <c r="A633" s="20">
        <v>640</v>
      </c>
      <c r="B633" s="1063">
        <v>40410</v>
      </c>
      <c r="C633" s="18" t="s">
        <v>2850</v>
      </c>
      <c r="D633" s="11" t="s">
        <v>6</v>
      </c>
      <c r="E633" s="18" t="s">
        <v>572</v>
      </c>
      <c r="F633" s="18" t="s">
        <v>2839</v>
      </c>
      <c r="G633" s="18" t="s">
        <v>2856</v>
      </c>
      <c r="H633" s="18" t="s">
        <v>2852</v>
      </c>
      <c r="I633" s="18" t="s">
        <v>574</v>
      </c>
      <c r="J633" s="18" t="s">
        <v>2857</v>
      </c>
      <c r="K633" s="18" t="s">
        <v>2858</v>
      </c>
      <c r="L633" s="18" t="s">
        <v>1</v>
      </c>
      <c r="M633" s="18">
        <v>1</v>
      </c>
      <c r="N633" s="18">
        <v>1</v>
      </c>
      <c r="O633" s="18">
        <v>3</v>
      </c>
      <c r="P633" s="18">
        <v>0</v>
      </c>
      <c r="Q633" s="18">
        <v>3</v>
      </c>
      <c r="R633" s="1215">
        <v>309</v>
      </c>
      <c r="S633" s="1215">
        <v>927</v>
      </c>
      <c r="T633" s="18" t="s">
        <v>929</v>
      </c>
      <c r="U633" s="1859" t="s">
        <v>2843</v>
      </c>
      <c r="V633" s="18" t="s">
        <v>931</v>
      </c>
      <c r="W633" s="2021" t="s">
        <v>2859</v>
      </c>
      <c r="X633" s="18"/>
      <c r="Y633" s="4"/>
      <c r="Z633" s="4"/>
    </row>
    <row r="634" spans="1:26" ht="26.1" hidden="1">
      <c r="A634" s="20">
        <v>641</v>
      </c>
      <c r="B634" s="1063">
        <v>40411</v>
      </c>
      <c r="C634" s="18" t="s">
        <v>2860</v>
      </c>
      <c r="D634" s="11" t="s">
        <v>6</v>
      </c>
      <c r="E634" s="18" t="s">
        <v>572</v>
      </c>
      <c r="F634" s="18" t="s">
        <v>2839</v>
      </c>
      <c r="G634" s="18" t="s">
        <v>2861</v>
      </c>
      <c r="H634" s="18" t="s">
        <v>2862</v>
      </c>
      <c r="I634" s="18" t="s">
        <v>574</v>
      </c>
      <c r="J634" s="18" t="s">
        <v>2863</v>
      </c>
      <c r="K634" s="18" t="s">
        <v>2864</v>
      </c>
      <c r="L634" s="18" t="s">
        <v>1</v>
      </c>
      <c r="M634" s="18">
        <v>1</v>
      </c>
      <c r="N634" s="18">
        <v>5</v>
      </c>
      <c r="O634" s="18">
        <v>5</v>
      </c>
      <c r="P634" s="18">
        <v>0</v>
      </c>
      <c r="Q634" s="18">
        <v>5</v>
      </c>
      <c r="R634" s="1215">
        <v>808.8</v>
      </c>
      <c r="S634" s="1215">
        <v>4044</v>
      </c>
      <c r="T634" s="18" t="s">
        <v>929</v>
      </c>
      <c r="U634" s="1859" t="s">
        <v>2843</v>
      </c>
      <c r="V634" s="18" t="s">
        <v>931</v>
      </c>
      <c r="W634" s="2021" t="s">
        <v>2865</v>
      </c>
      <c r="X634" s="18"/>
      <c r="Y634" s="4"/>
      <c r="Z634" s="4"/>
    </row>
    <row r="635" spans="1:26" ht="26.1" hidden="1">
      <c r="A635" s="20">
        <v>642</v>
      </c>
      <c r="B635" s="1063">
        <v>40412</v>
      </c>
      <c r="C635" s="18" t="s">
        <v>2866</v>
      </c>
      <c r="D635" s="11" t="s">
        <v>6</v>
      </c>
      <c r="E635" s="18" t="s">
        <v>2722</v>
      </c>
      <c r="F635" s="18" t="s">
        <v>1989</v>
      </c>
      <c r="G635" s="18" t="s">
        <v>2867</v>
      </c>
      <c r="H635" s="18" t="s">
        <v>2868</v>
      </c>
      <c r="I635" s="18" t="s">
        <v>2868</v>
      </c>
      <c r="J635" s="18" t="s">
        <v>2869</v>
      </c>
      <c r="K635" s="18"/>
      <c r="L635" s="18" t="s">
        <v>1</v>
      </c>
      <c r="M635" s="18">
        <v>1</v>
      </c>
      <c r="N635" s="18">
        <v>1</v>
      </c>
      <c r="O635" s="18">
        <v>4</v>
      </c>
      <c r="P635" s="18">
        <v>0</v>
      </c>
      <c r="Q635" s="18">
        <v>3</v>
      </c>
      <c r="R635" s="1215">
        <v>72236</v>
      </c>
      <c r="S635" s="1215">
        <v>72236</v>
      </c>
      <c r="T635" s="18" t="s">
        <v>929</v>
      </c>
      <c r="U635" s="1859" t="s">
        <v>2870</v>
      </c>
      <c r="V635" s="18" t="s">
        <v>931</v>
      </c>
      <c r="W635" s="2021" t="s">
        <v>2871</v>
      </c>
      <c r="X635" s="18"/>
      <c r="Y635" s="4"/>
      <c r="Z635" s="4"/>
    </row>
    <row r="636" spans="1:26" ht="14.1" hidden="1">
      <c r="A636" s="20">
        <v>643</v>
      </c>
      <c r="B636" s="1063">
        <v>40413</v>
      </c>
      <c r="C636" s="18" t="s">
        <v>2872</v>
      </c>
      <c r="D636" s="11" t="s">
        <v>6</v>
      </c>
      <c r="E636" s="18" t="s">
        <v>2722</v>
      </c>
      <c r="F636" s="18" t="s">
        <v>404</v>
      </c>
      <c r="G636" s="18" t="s">
        <v>2873</v>
      </c>
      <c r="H636" s="18" t="s">
        <v>2868</v>
      </c>
      <c r="I636" s="18" t="s">
        <v>2868</v>
      </c>
      <c r="J636" s="18" t="s">
        <v>2874</v>
      </c>
      <c r="K636" s="18"/>
      <c r="L636" s="18" t="s">
        <v>1</v>
      </c>
      <c r="M636" s="18">
        <v>2</v>
      </c>
      <c r="N636" s="18">
        <v>1</v>
      </c>
      <c r="O636" s="18">
        <v>4</v>
      </c>
      <c r="P636" s="18">
        <v>0</v>
      </c>
      <c r="Q636" s="18">
        <v>2</v>
      </c>
      <c r="R636" s="1215">
        <v>37815</v>
      </c>
      <c r="S636" s="1215">
        <v>37815</v>
      </c>
      <c r="T636" s="18" t="s">
        <v>311</v>
      </c>
      <c r="U636" s="1859" t="s">
        <v>311</v>
      </c>
      <c r="V636" s="18" t="s">
        <v>2875</v>
      </c>
      <c r="W636" s="2021" t="s">
        <v>2871</v>
      </c>
      <c r="X636" s="18"/>
      <c r="Y636" s="4"/>
      <c r="Z636" s="4"/>
    </row>
    <row r="637" spans="1:26" ht="19.5" hidden="1" customHeight="1">
      <c r="A637" s="20">
        <v>644</v>
      </c>
      <c r="B637" s="1063">
        <v>40414</v>
      </c>
      <c r="C637" s="18" t="s">
        <v>249</v>
      </c>
      <c r="D637" s="11" t="s">
        <v>6</v>
      </c>
      <c r="E637" s="18" t="s">
        <v>2722</v>
      </c>
      <c r="F637" s="18" t="s">
        <v>2876</v>
      </c>
      <c r="G637" s="18" t="s">
        <v>2877</v>
      </c>
      <c r="H637" s="18" t="s">
        <v>2878</v>
      </c>
      <c r="I637" s="18" t="s">
        <v>39</v>
      </c>
      <c r="J637" s="18" t="s">
        <v>250</v>
      </c>
      <c r="K637" s="18" t="s">
        <v>251</v>
      </c>
      <c r="L637" s="18" t="s">
        <v>1</v>
      </c>
      <c r="M637" s="18">
        <v>1</v>
      </c>
      <c r="N637" s="18">
        <v>1</v>
      </c>
      <c r="O637" s="18">
        <v>2</v>
      </c>
      <c r="P637" s="18">
        <v>0</v>
      </c>
      <c r="Q637" s="18">
        <v>2</v>
      </c>
      <c r="R637" s="1215">
        <v>386</v>
      </c>
      <c r="S637" s="1215">
        <f>O637*R637</f>
        <v>772</v>
      </c>
      <c r="T637" s="18" t="s">
        <v>929</v>
      </c>
      <c r="U637" s="1859" t="s">
        <v>448</v>
      </c>
      <c r="V637" s="18" t="s">
        <v>931</v>
      </c>
      <c r="W637" s="2021" t="s">
        <v>2879</v>
      </c>
      <c r="X637" s="18" t="s">
        <v>2880</v>
      </c>
      <c r="Y637" s="4"/>
      <c r="Z637" s="4"/>
    </row>
    <row r="638" spans="1:26" ht="26.1" hidden="1">
      <c r="A638" s="20">
        <v>645</v>
      </c>
      <c r="B638" s="1063">
        <v>40415</v>
      </c>
      <c r="C638" s="18" t="s">
        <v>2881</v>
      </c>
      <c r="D638" s="11" t="s">
        <v>6</v>
      </c>
      <c r="E638" s="18" t="s">
        <v>572</v>
      </c>
      <c r="F638" s="18" t="s">
        <v>404</v>
      </c>
      <c r="G638" s="18" t="s">
        <v>493</v>
      </c>
      <c r="H638" s="18" t="s">
        <v>154</v>
      </c>
      <c r="I638" s="18" t="s">
        <v>281</v>
      </c>
      <c r="J638" s="18" t="s">
        <v>2882</v>
      </c>
      <c r="K638" s="18" t="s">
        <v>2883</v>
      </c>
      <c r="L638" s="18" t="s">
        <v>2789</v>
      </c>
      <c r="M638" s="18">
        <v>4</v>
      </c>
      <c r="N638" s="18">
        <v>1</v>
      </c>
      <c r="O638" s="18">
        <v>10</v>
      </c>
      <c r="P638" s="18">
        <v>0</v>
      </c>
      <c r="Q638" s="18">
        <v>6</v>
      </c>
      <c r="R638" s="1215">
        <v>90</v>
      </c>
      <c r="S638" s="1215">
        <v>900</v>
      </c>
      <c r="T638" s="18" t="s">
        <v>311</v>
      </c>
      <c r="U638" s="1859" t="s">
        <v>311</v>
      </c>
      <c r="V638" s="18" t="s">
        <v>2875</v>
      </c>
      <c r="W638" s="2021" t="s">
        <v>2884</v>
      </c>
      <c r="X638" s="18"/>
      <c r="Y638" s="4"/>
      <c r="Z638" s="4"/>
    </row>
    <row r="639" spans="1:26" ht="39" hidden="1">
      <c r="A639" s="20">
        <v>646</v>
      </c>
      <c r="B639" s="1063">
        <v>40416</v>
      </c>
      <c r="C639" s="18" t="s">
        <v>2885</v>
      </c>
      <c r="D639" s="11" t="s">
        <v>6</v>
      </c>
      <c r="E639" s="18" t="s">
        <v>572</v>
      </c>
      <c r="F639" s="18" t="s">
        <v>404</v>
      </c>
      <c r="G639" s="18" t="s">
        <v>2886</v>
      </c>
      <c r="H639" s="18" t="s">
        <v>166</v>
      </c>
      <c r="I639" s="18" t="s">
        <v>281</v>
      </c>
      <c r="J639" s="18" t="s">
        <v>2887</v>
      </c>
      <c r="K639" s="18" t="s">
        <v>2888</v>
      </c>
      <c r="L639" s="18" t="s">
        <v>2789</v>
      </c>
      <c r="M639" s="18">
        <v>4</v>
      </c>
      <c r="N639" s="18">
        <v>1</v>
      </c>
      <c r="O639" s="18">
        <v>10</v>
      </c>
      <c r="P639" s="18">
        <v>0</v>
      </c>
      <c r="Q639" s="18">
        <v>6</v>
      </c>
      <c r="R639" s="1215">
        <v>39.6</v>
      </c>
      <c r="S639" s="1215">
        <v>396</v>
      </c>
      <c r="T639" s="18" t="s">
        <v>311</v>
      </c>
      <c r="U639" s="1859" t="s">
        <v>311</v>
      </c>
      <c r="V639" s="18" t="s">
        <v>2875</v>
      </c>
      <c r="W639" s="2021" t="s">
        <v>2889</v>
      </c>
      <c r="X639" s="18"/>
      <c r="Y639" s="4"/>
      <c r="Z639" s="4"/>
    </row>
    <row r="640" spans="1:26" ht="39" hidden="1">
      <c r="A640" s="20">
        <v>647</v>
      </c>
      <c r="B640" s="1063">
        <v>40417</v>
      </c>
      <c r="C640" s="18" t="s">
        <v>2890</v>
      </c>
      <c r="D640" s="11" t="s">
        <v>6</v>
      </c>
      <c r="E640" s="18" t="s">
        <v>572</v>
      </c>
      <c r="F640" s="18" t="s">
        <v>404</v>
      </c>
      <c r="G640" s="18" t="s">
        <v>2891</v>
      </c>
      <c r="H640" s="18" t="s">
        <v>166</v>
      </c>
      <c r="I640" s="18" t="s">
        <v>281</v>
      </c>
      <c r="J640" s="18" t="s">
        <v>2892</v>
      </c>
      <c r="K640" s="18" t="s">
        <v>2893</v>
      </c>
      <c r="L640" s="18" t="s">
        <v>2789</v>
      </c>
      <c r="M640" s="18">
        <v>4</v>
      </c>
      <c r="N640" s="18">
        <v>1</v>
      </c>
      <c r="O640" s="18">
        <v>10</v>
      </c>
      <c r="P640" s="18">
        <v>0</v>
      </c>
      <c r="Q640" s="18">
        <v>6</v>
      </c>
      <c r="R640" s="1215">
        <v>35.700000000000003</v>
      </c>
      <c r="S640" s="1215">
        <v>357</v>
      </c>
      <c r="T640" s="18" t="s">
        <v>311</v>
      </c>
      <c r="U640" s="1859" t="s">
        <v>311</v>
      </c>
      <c r="V640" s="18" t="s">
        <v>2875</v>
      </c>
      <c r="W640" s="2021" t="s">
        <v>2894</v>
      </c>
      <c r="X640" s="18"/>
      <c r="Y640" s="4"/>
      <c r="Z640" s="4"/>
    </row>
    <row r="641" spans="1:26" ht="39" hidden="1">
      <c r="A641" s="20">
        <v>648</v>
      </c>
      <c r="B641" s="1063">
        <v>40418</v>
      </c>
      <c r="C641" s="18" t="s">
        <v>2895</v>
      </c>
      <c r="D641" s="11" t="s">
        <v>6</v>
      </c>
      <c r="E641" s="18" t="s">
        <v>572</v>
      </c>
      <c r="F641" s="18" t="s">
        <v>404</v>
      </c>
      <c r="G641" s="18" t="s">
        <v>2896</v>
      </c>
      <c r="H641" s="18" t="s">
        <v>144</v>
      </c>
      <c r="I641" s="18" t="s">
        <v>281</v>
      </c>
      <c r="J641" s="18" t="s">
        <v>2897</v>
      </c>
      <c r="K641" s="18" t="s">
        <v>2898</v>
      </c>
      <c r="L641" s="18" t="s">
        <v>2789</v>
      </c>
      <c r="M641" s="18">
        <v>14</v>
      </c>
      <c r="N641" s="18">
        <v>1</v>
      </c>
      <c r="O641" s="18">
        <v>20</v>
      </c>
      <c r="P641" s="18">
        <v>0</v>
      </c>
      <c r="Q641" s="18">
        <v>6</v>
      </c>
      <c r="R641" s="1215">
        <v>25.3</v>
      </c>
      <c r="S641" s="1215">
        <v>506</v>
      </c>
      <c r="T641" s="18" t="s">
        <v>311</v>
      </c>
      <c r="U641" s="1859" t="s">
        <v>311</v>
      </c>
      <c r="V641" s="18" t="s">
        <v>2875</v>
      </c>
      <c r="W641" s="2021" t="s">
        <v>2899</v>
      </c>
      <c r="X641" s="18"/>
      <c r="Y641" s="4"/>
      <c r="Z641" s="4"/>
    </row>
    <row r="642" spans="1:26" ht="39" hidden="1">
      <c r="A642" s="20">
        <v>649</v>
      </c>
      <c r="B642" s="1063">
        <v>40419</v>
      </c>
      <c r="C642" s="18" t="s">
        <v>2900</v>
      </c>
      <c r="D642" s="11" t="s">
        <v>6</v>
      </c>
      <c r="E642" s="18" t="s">
        <v>572</v>
      </c>
      <c r="F642" s="18" t="s">
        <v>404</v>
      </c>
      <c r="G642" s="18" t="s">
        <v>646</v>
      </c>
      <c r="H642" s="18" t="s">
        <v>144</v>
      </c>
      <c r="I642" s="18" t="s">
        <v>281</v>
      </c>
      <c r="J642" s="18" t="s">
        <v>647</v>
      </c>
      <c r="K642" s="18" t="s">
        <v>648</v>
      </c>
      <c r="L642" s="18" t="s">
        <v>2789</v>
      </c>
      <c r="M642" s="18">
        <v>5</v>
      </c>
      <c r="N642" s="18">
        <v>1</v>
      </c>
      <c r="O642" s="18">
        <v>10</v>
      </c>
      <c r="P642" s="18">
        <v>0</v>
      </c>
      <c r="Q642" s="18">
        <v>5</v>
      </c>
      <c r="R642" s="1215">
        <v>90.3</v>
      </c>
      <c r="S642" s="1215">
        <v>903</v>
      </c>
      <c r="T642" s="18" t="s">
        <v>311</v>
      </c>
      <c r="U642" s="1859" t="s">
        <v>311</v>
      </c>
      <c r="V642" s="18" t="s">
        <v>2875</v>
      </c>
      <c r="W642" s="2021" t="s">
        <v>2901</v>
      </c>
      <c r="X642" s="18"/>
      <c r="Y642" s="4"/>
      <c r="Z642" s="4"/>
    </row>
    <row r="643" spans="1:26" ht="39" hidden="1">
      <c r="A643" s="20">
        <v>650</v>
      </c>
      <c r="B643" s="1063">
        <v>40420</v>
      </c>
      <c r="C643" s="18" t="s">
        <v>2902</v>
      </c>
      <c r="D643" s="11" t="s">
        <v>6</v>
      </c>
      <c r="E643" s="18" t="s">
        <v>572</v>
      </c>
      <c r="F643" s="18" t="s">
        <v>404</v>
      </c>
      <c r="G643" s="18" t="s">
        <v>2903</v>
      </c>
      <c r="H643" s="18" t="s">
        <v>144</v>
      </c>
      <c r="I643" s="18" t="s">
        <v>281</v>
      </c>
      <c r="J643" s="18" t="s">
        <v>2904</v>
      </c>
      <c r="K643" s="18" t="s">
        <v>2905</v>
      </c>
      <c r="L643" s="18" t="s">
        <v>2789</v>
      </c>
      <c r="M643" s="18">
        <v>4</v>
      </c>
      <c r="N643" s="18">
        <v>1</v>
      </c>
      <c r="O643" s="18">
        <v>10</v>
      </c>
      <c r="P643" s="18">
        <v>0</v>
      </c>
      <c r="Q643" s="18">
        <v>6</v>
      </c>
      <c r="R643" s="1215">
        <v>22.8</v>
      </c>
      <c r="S643" s="1215">
        <v>228</v>
      </c>
      <c r="T643" s="18" t="s">
        <v>311</v>
      </c>
      <c r="U643" s="1859" t="s">
        <v>311</v>
      </c>
      <c r="V643" s="18" t="s">
        <v>2875</v>
      </c>
      <c r="W643" s="2021" t="s">
        <v>2906</v>
      </c>
      <c r="X643" s="18"/>
      <c r="Y643" s="4"/>
      <c r="Z643" s="4"/>
    </row>
    <row r="644" spans="1:26" ht="39" hidden="1">
      <c r="A644" s="20">
        <v>651</v>
      </c>
      <c r="B644" s="1063">
        <v>40421</v>
      </c>
      <c r="C644" s="18" t="s">
        <v>2907</v>
      </c>
      <c r="D644" s="11" t="s">
        <v>6</v>
      </c>
      <c r="E644" s="18" t="s">
        <v>572</v>
      </c>
      <c r="F644" s="18" t="s">
        <v>404</v>
      </c>
      <c r="G644" s="18" t="s">
        <v>2908</v>
      </c>
      <c r="H644" s="18" t="s">
        <v>144</v>
      </c>
      <c r="I644" s="18" t="s">
        <v>281</v>
      </c>
      <c r="J644" s="18" t="s">
        <v>2909</v>
      </c>
      <c r="K644" s="18" t="s">
        <v>2910</v>
      </c>
      <c r="L644" s="18" t="s">
        <v>2789</v>
      </c>
      <c r="M644" s="18">
        <v>4</v>
      </c>
      <c r="N644" s="18">
        <v>1</v>
      </c>
      <c r="O644" s="18">
        <v>10</v>
      </c>
      <c r="P644" s="18">
        <v>0</v>
      </c>
      <c r="Q644" s="18">
        <v>6</v>
      </c>
      <c r="R644" s="1215">
        <v>17</v>
      </c>
      <c r="S644" s="1215">
        <v>170</v>
      </c>
      <c r="T644" s="18" t="s">
        <v>311</v>
      </c>
      <c r="U644" s="1859" t="s">
        <v>311</v>
      </c>
      <c r="V644" s="18" t="s">
        <v>2875</v>
      </c>
      <c r="W644" s="2021" t="s">
        <v>2911</v>
      </c>
      <c r="X644" s="18"/>
      <c r="Y644" s="4"/>
      <c r="Z644" s="4"/>
    </row>
    <row r="645" spans="1:26" ht="39" hidden="1">
      <c r="A645" s="20">
        <v>652</v>
      </c>
      <c r="B645" s="1063">
        <v>40422</v>
      </c>
      <c r="C645" s="18" t="s">
        <v>503</v>
      </c>
      <c r="D645" s="11" t="s">
        <v>6</v>
      </c>
      <c r="E645" s="18" t="s">
        <v>572</v>
      </c>
      <c r="F645" s="18" t="s">
        <v>404</v>
      </c>
      <c r="G645" s="18" t="s">
        <v>504</v>
      </c>
      <c r="H645" s="18" t="s">
        <v>230</v>
      </c>
      <c r="I645" s="18" t="s">
        <v>281</v>
      </c>
      <c r="J645" s="18" t="s">
        <v>505</v>
      </c>
      <c r="K645" s="18" t="s">
        <v>506</v>
      </c>
      <c r="L645" s="18"/>
      <c r="M645" s="18">
        <v>2</v>
      </c>
      <c r="N645" s="18">
        <v>1</v>
      </c>
      <c r="O645" s="18">
        <v>4</v>
      </c>
      <c r="P645" s="18">
        <v>0</v>
      </c>
      <c r="Q645" s="18">
        <v>2</v>
      </c>
      <c r="R645" s="1215">
        <v>496</v>
      </c>
      <c r="S645" s="1215">
        <v>1984</v>
      </c>
      <c r="T645" s="18" t="s">
        <v>311</v>
      </c>
      <c r="U645" s="1859" t="s">
        <v>311</v>
      </c>
      <c r="V645" s="18" t="s">
        <v>2875</v>
      </c>
      <c r="W645" s="2021" t="s">
        <v>508</v>
      </c>
      <c r="X645" s="18"/>
      <c r="Y645" s="4"/>
      <c r="Z645" s="4"/>
    </row>
    <row r="646" spans="1:26" ht="51.95" hidden="1">
      <c r="A646" s="20">
        <v>653</v>
      </c>
      <c r="B646" s="1063">
        <v>40423</v>
      </c>
      <c r="C646" s="18" t="s">
        <v>509</v>
      </c>
      <c r="D646" s="11" t="s">
        <v>6</v>
      </c>
      <c r="E646" s="18" t="s">
        <v>572</v>
      </c>
      <c r="F646" s="18" t="s">
        <v>404</v>
      </c>
      <c r="G646" s="18" t="s">
        <v>510</v>
      </c>
      <c r="H646" s="18" t="s">
        <v>511</v>
      </c>
      <c r="I646" s="18" t="s">
        <v>281</v>
      </c>
      <c r="J646" s="18" t="s">
        <v>512</v>
      </c>
      <c r="K646" s="18" t="s">
        <v>509</v>
      </c>
      <c r="L646" s="18"/>
      <c r="M646" s="18">
        <v>4</v>
      </c>
      <c r="N646" s="18">
        <v>1</v>
      </c>
      <c r="O646" s="18">
        <v>10</v>
      </c>
      <c r="P646" s="18">
        <v>0</v>
      </c>
      <c r="Q646" s="18">
        <v>4</v>
      </c>
      <c r="R646" s="1215">
        <v>58.3</v>
      </c>
      <c r="S646" s="1215">
        <v>583</v>
      </c>
      <c r="T646" s="18" t="s">
        <v>311</v>
      </c>
      <c r="U646" s="1859" t="s">
        <v>311</v>
      </c>
      <c r="V646" s="18" t="s">
        <v>2875</v>
      </c>
      <c r="W646" s="2021" t="s">
        <v>514</v>
      </c>
      <c r="X646" s="18"/>
      <c r="Y646" s="4"/>
      <c r="Z646" s="4"/>
    </row>
    <row r="647" spans="1:26" ht="39" hidden="1">
      <c r="A647" s="20">
        <v>654</v>
      </c>
      <c r="B647" s="1063">
        <v>40424</v>
      </c>
      <c r="C647" s="18" t="s">
        <v>528</v>
      </c>
      <c r="D647" s="11" t="s">
        <v>6</v>
      </c>
      <c r="E647" s="18" t="s">
        <v>572</v>
      </c>
      <c r="F647" s="18" t="s">
        <v>404</v>
      </c>
      <c r="G647" s="18" t="s">
        <v>529</v>
      </c>
      <c r="H647" s="18" t="s">
        <v>517</v>
      </c>
      <c r="I647" s="18" t="s">
        <v>281</v>
      </c>
      <c r="J647" s="18" t="s">
        <v>530</v>
      </c>
      <c r="K647" s="18" t="s">
        <v>531</v>
      </c>
      <c r="L647" s="18"/>
      <c r="M647" s="18">
        <v>2</v>
      </c>
      <c r="N647" s="18">
        <v>1</v>
      </c>
      <c r="O647" s="18">
        <v>4</v>
      </c>
      <c r="P647" s="18">
        <v>0</v>
      </c>
      <c r="Q647" s="18">
        <v>2</v>
      </c>
      <c r="R647" s="1215">
        <v>417</v>
      </c>
      <c r="S647" s="1215">
        <v>1668</v>
      </c>
      <c r="T647" s="18" t="s">
        <v>311</v>
      </c>
      <c r="U647" s="1859" t="s">
        <v>311</v>
      </c>
      <c r="V647" s="18" t="s">
        <v>2875</v>
      </c>
      <c r="W647" s="2021" t="s">
        <v>533</v>
      </c>
      <c r="X647" s="18"/>
      <c r="Y647" s="4"/>
      <c r="Z647" s="4"/>
    </row>
    <row r="648" spans="1:26" ht="39" hidden="1">
      <c r="A648" s="20">
        <v>655</v>
      </c>
      <c r="B648" s="1063">
        <v>40425</v>
      </c>
      <c r="C648" s="18" t="s">
        <v>534</v>
      </c>
      <c r="D648" s="11" t="s">
        <v>6</v>
      </c>
      <c r="E648" s="18" t="s">
        <v>572</v>
      </c>
      <c r="F648" s="18" t="s">
        <v>404</v>
      </c>
      <c r="G648" s="18" t="s">
        <v>535</v>
      </c>
      <c r="H648" s="18" t="s">
        <v>536</v>
      </c>
      <c r="I648" s="18" t="s">
        <v>281</v>
      </c>
      <c r="J648" s="18" t="s">
        <v>537</v>
      </c>
      <c r="K648" s="18" t="s">
        <v>538</v>
      </c>
      <c r="L648" s="18"/>
      <c r="M648" s="18">
        <v>2</v>
      </c>
      <c r="N648" s="18">
        <v>1</v>
      </c>
      <c r="O648" s="18">
        <v>4</v>
      </c>
      <c r="P648" s="18">
        <v>0</v>
      </c>
      <c r="Q648" s="18">
        <v>2</v>
      </c>
      <c r="R648" s="1215">
        <v>30</v>
      </c>
      <c r="S648" s="1215">
        <v>120</v>
      </c>
      <c r="T648" s="18" t="s">
        <v>311</v>
      </c>
      <c r="U648" s="1859" t="s">
        <v>311</v>
      </c>
      <c r="V648" s="18" t="s">
        <v>2875</v>
      </c>
      <c r="W648" s="2021" t="s">
        <v>540</v>
      </c>
      <c r="X648" s="18"/>
      <c r="Y648" s="4"/>
      <c r="Z648" s="4"/>
    </row>
    <row r="649" spans="1:26" ht="26.1" hidden="1">
      <c r="A649" s="20">
        <v>656</v>
      </c>
      <c r="B649" s="1063">
        <v>40426</v>
      </c>
      <c r="C649" s="18" t="s">
        <v>541</v>
      </c>
      <c r="D649" s="11" t="s">
        <v>6</v>
      </c>
      <c r="E649" s="18" t="s">
        <v>572</v>
      </c>
      <c r="F649" s="18" t="s">
        <v>404</v>
      </c>
      <c r="G649" s="18" t="s">
        <v>542</v>
      </c>
      <c r="H649" s="18" t="s">
        <v>543</v>
      </c>
      <c r="I649" s="18" t="s">
        <v>281</v>
      </c>
      <c r="J649" s="18" t="s">
        <v>544</v>
      </c>
      <c r="K649" s="18" t="s">
        <v>545</v>
      </c>
      <c r="L649" s="18"/>
      <c r="M649" s="18">
        <v>2</v>
      </c>
      <c r="N649" s="18">
        <v>1</v>
      </c>
      <c r="O649" s="18">
        <v>4</v>
      </c>
      <c r="P649" s="18">
        <v>0</v>
      </c>
      <c r="Q649" s="18">
        <v>2</v>
      </c>
      <c r="R649" s="1215">
        <v>1716</v>
      </c>
      <c r="S649" s="1215">
        <v>6864</v>
      </c>
      <c r="T649" s="18" t="s">
        <v>311</v>
      </c>
      <c r="U649" s="1859" t="s">
        <v>311</v>
      </c>
      <c r="V649" s="18" t="s">
        <v>2875</v>
      </c>
      <c r="W649" s="2021" t="s">
        <v>547</v>
      </c>
      <c r="X649" s="18"/>
      <c r="Y649" s="4"/>
      <c r="Z649" s="4"/>
    </row>
    <row r="650" spans="1:26" ht="14.1" hidden="1">
      <c r="A650" s="20">
        <v>657</v>
      </c>
      <c r="B650" s="1063">
        <v>40427</v>
      </c>
      <c r="C650" s="18" t="s">
        <v>2912</v>
      </c>
      <c r="D650" s="11" t="s">
        <v>6</v>
      </c>
      <c r="E650" s="18" t="s">
        <v>572</v>
      </c>
      <c r="F650" s="18" t="s">
        <v>404</v>
      </c>
      <c r="G650" s="18" t="s">
        <v>2913</v>
      </c>
      <c r="H650" s="18" t="s">
        <v>2914</v>
      </c>
      <c r="I650" s="18" t="s">
        <v>574</v>
      </c>
      <c r="J650" s="18" t="s">
        <v>2915</v>
      </c>
      <c r="K650" s="18" t="s">
        <v>2916</v>
      </c>
      <c r="L650" s="18"/>
      <c r="M650" s="18">
        <v>6</v>
      </c>
      <c r="N650" s="18">
        <v>1</v>
      </c>
      <c r="O650" s="18">
        <v>6</v>
      </c>
      <c r="P650" s="18">
        <v>0</v>
      </c>
      <c r="Q650" s="18">
        <v>0</v>
      </c>
      <c r="R650" s="1215">
        <v>456</v>
      </c>
      <c r="S650" s="1215">
        <v>2736</v>
      </c>
      <c r="T650" s="18" t="s">
        <v>311</v>
      </c>
      <c r="U650" s="1859" t="s">
        <v>311</v>
      </c>
      <c r="V650" s="18" t="s">
        <v>2875</v>
      </c>
      <c r="W650" s="2021" t="s">
        <v>2917</v>
      </c>
      <c r="X650" s="18"/>
      <c r="Y650" s="4"/>
      <c r="Z650" s="4"/>
    </row>
    <row r="651" spans="1:26" ht="90.95" hidden="1">
      <c r="A651" s="20">
        <v>658</v>
      </c>
      <c r="B651" s="1063">
        <v>40428</v>
      </c>
      <c r="C651" s="18" t="s">
        <v>2918</v>
      </c>
      <c r="D651" s="11" t="s">
        <v>6</v>
      </c>
      <c r="E651" s="18" t="s">
        <v>572</v>
      </c>
      <c r="F651" s="18" t="s">
        <v>404</v>
      </c>
      <c r="G651" s="18" t="s">
        <v>2919</v>
      </c>
      <c r="H651" s="18" t="s">
        <v>2920</v>
      </c>
      <c r="I651" s="18" t="s">
        <v>574</v>
      </c>
      <c r="J651" s="18" t="s">
        <v>2921</v>
      </c>
      <c r="K651" s="18">
        <v>3295</v>
      </c>
      <c r="L651" s="18"/>
      <c r="M651" s="18">
        <v>2</v>
      </c>
      <c r="N651" s="18">
        <v>1</v>
      </c>
      <c r="O651" s="18">
        <v>3</v>
      </c>
      <c r="P651" s="18">
        <v>0</v>
      </c>
      <c r="Q651" s="18">
        <v>1</v>
      </c>
      <c r="R651" s="1215">
        <v>584</v>
      </c>
      <c r="S651" s="1215">
        <v>1752</v>
      </c>
      <c r="T651" s="18" t="s">
        <v>311</v>
      </c>
      <c r="U651" s="1859" t="s">
        <v>311</v>
      </c>
      <c r="V651" s="18" t="s">
        <v>2875</v>
      </c>
      <c r="W651" s="2021" t="s">
        <v>2922</v>
      </c>
      <c r="X651" s="18"/>
      <c r="Y651" s="4"/>
      <c r="Z651" s="4"/>
    </row>
    <row r="652" spans="1:26" ht="26.1" hidden="1">
      <c r="A652" s="20">
        <v>659</v>
      </c>
      <c r="B652" s="1063">
        <v>40429</v>
      </c>
      <c r="C652" s="18" t="s">
        <v>2517</v>
      </c>
      <c r="D652" s="11" t="s">
        <v>6</v>
      </c>
      <c r="E652" s="18" t="s">
        <v>572</v>
      </c>
      <c r="F652" s="18" t="s">
        <v>404</v>
      </c>
      <c r="G652" s="18" t="s">
        <v>2923</v>
      </c>
      <c r="H652" s="18" t="s">
        <v>2924</v>
      </c>
      <c r="I652" s="18" t="s">
        <v>574</v>
      </c>
      <c r="J652" s="18" t="s">
        <v>2925</v>
      </c>
      <c r="K652" s="18" t="s">
        <v>2926</v>
      </c>
      <c r="L652" s="18" t="s">
        <v>2927</v>
      </c>
      <c r="M652" s="18">
        <v>2</v>
      </c>
      <c r="N652" s="18">
        <v>1</v>
      </c>
      <c r="O652" s="18">
        <v>4</v>
      </c>
      <c r="P652" s="18">
        <v>0</v>
      </c>
      <c r="Q652" s="18">
        <v>2</v>
      </c>
      <c r="R652" s="1215">
        <v>105</v>
      </c>
      <c r="S652" s="1215">
        <v>420</v>
      </c>
      <c r="T652" s="18" t="s">
        <v>311</v>
      </c>
      <c r="U652" s="1859" t="s">
        <v>311</v>
      </c>
      <c r="V652" s="18" t="s">
        <v>2875</v>
      </c>
      <c r="W652" s="2021" t="s">
        <v>2928</v>
      </c>
      <c r="X652" s="18"/>
      <c r="Y652" s="4"/>
      <c r="Z652" s="4"/>
    </row>
    <row r="653" spans="1:26" ht="39" hidden="1">
      <c r="A653" s="20">
        <v>660</v>
      </c>
      <c r="B653" s="1063">
        <v>40430</v>
      </c>
      <c r="C653" s="18" t="s">
        <v>188</v>
      </c>
      <c r="D653" s="11" t="s">
        <v>6</v>
      </c>
      <c r="E653" s="18" t="s">
        <v>572</v>
      </c>
      <c r="F653" s="18" t="s">
        <v>404</v>
      </c>
      <c r="G653" s="18" t="s">
        <v>2929</v>
      </c>
      <c r="H653" s="18" t="s">
        <v>2930</v>
      </c>
      <c r="I653" s="18" t="s">
        <v>281</v>
      </c>
      <c r="J653" s="18" t="s">
        <v>2931</v>
      </c>
      <c r="K653" s="18" t="s">
        <v>2932</v>
      </c>
      <c r="L653" s="18"/>
      <c r="M653" s="18">
        <v>2</v>
      </c>
      <c r="N653" s="18">
        <v>1</v>
      </c>
      <c r="O653" s="18">
        <v>4</v>
      </c>
      <c r="P653" s="18">
        <v>0</v>
      </c>
      <c r="Q653" s="18">
        <v>2</v>
      </c>
      <c r="R653" s="1215">
        <v>115</v>
      </c>
      <c r="S653" s="1215">
        <v>460</v>
      </c>
      <c r="T653" s="18" t="s">
        <v>311</v>
      </c>
      <c r="U653" s="1859" t="s">
        <v>311</v>
      </c>
      <c r="V653" s="18" t="s">
        <v>2875</v>
      </c>
      <c r="W653" s="2021" t="s">
        <v>2933</v>
      </c>
      <c r="X653" s="18"/>
      <c r="Y653" s="4"/>
      <c r="Z653" s="4"/>
    </row>
    <row r="654" spans="1:26" ht="26.1" hidden="1">
      <c r="A654" s="20">
        <v>661</v>
      </c>
      <c r="B654" s="1063">
        <v>40431</v>
      </c>
      <c r="C654" s="18" t="s">
        <v>188</v>
      </c>
      <c r="D654" s="11" t="s">
        <v>6</v>
      </c>
      <c r="E654" s="18" t="s">
        <v>572</v>
      </c>
      <c r="F654" s="18" t="s">
        <v>404</v>
      </c>
      <c r="G654" s="18" t="s">
        <v>2934</v>
      </c>
      <c r="H654" s="18" t="s">
        <v>2008</v>
      </c>
      <c r="I654" s="18" t="s">
        <v>281</v>
      </c>
      <c r="J654" s="18" t="s">
        <v>2935</v>
      </c>
      <c r="K654" s="18" t="s">
        <v>2936</v>
      </c>
      <c r="L654" s="18"/>
      <c r="M654" s="18">
        <v>2</v>
      </c>
      <c r="N654" s="18">
        <v>1</v>
      </c>
      <c r="O654" s="18">
        <v>4</v>
      </c>
      <c r="P654" s="18">
        <v>0</v>
      </c>
      <c r="Q654" s="18">
        <v>2</v>
      </c>
      <c r="R654" s="1215">
        <v>105</v>
      </c>
      <c r="S654" s="1215">
        <v>420</v>
      </c>
      <c r="T654" s="18" t="s">
        <v>311</v>
      </c>
      <c r="U654" s="1859" t="s">
        <v>311</v>
      </c>
      <c r="V654" s="18" t="s">
        <v>2875</v>
      </c>
      <c r="W654" s="2021" t="s">
        <v>2937</v>
      </c>
      <c r="X654" s="18"/>
      <c r="Y654" s="4"/>
      <c r="Z654" s="4"/>
    </row>
    <row r="655" spans="1:26" ht="26.1" hidden="1">
      <c r="A655" s="20">
        <v>662</v>
      </c>
      <c r="B655" s="1063">
        <v>40432</v>
      </c>
      <c r="C655" s="18" t="s">
        <v>1988</v>
      </c>
      <c r="D655" s="11" t="s">
        <v>6</v>
      </c>
      <c r="E655" s="18" t="s">
        <v>572</v>
      </c>
      <c r="F655" s="18" t="s">
        <v>404</v>
      </c>
      <c r="G655" s="18" t="s">
        <v>2938</v>
      </c>
      <c r="H655" s="18" t="s">
        <v>2939</v>
      </c>
      <c r="I655" s="18" t="s">
        <v>281</v>
      </c>
      <c r="J655" s="18" t="s">
        <v>2940</v>
      </c>
      <c r="K655" s="18" t="s">
        <v>2941</v>
      </c>
      <c r="L655" s="18"/>
      <c r="M655" s="18">
        <v>10</v>
      </c>
      <c r="N655" s="18">
        <v>1</v>
      </c>
      <c r="O655" s="18">
        <v>10</v>
      </c>
      <c r="P655" s="18">
        <v>0</v>
      </c>
      <c r="Q655" s="18">
        <v>0</v>
      </c>
      <c r="R655" s="1215">
        <v>19.8</v>
      </c>
      <c r="S655" s="1215">
        <v>198</v>
      </c>
      <c r="T655" s="18" t="s">
        <v>311</v>
      </c>
      <c r="U655" s="1859" t="s">
        <v>311</v>
      </c>
      <c r="V655" s="18" t="s">
        <v>2875</v>
      </c>
      <c r="W655" s="2021" t="s">
        <v>2942</v>
      </c>
      <c r="X655" s="18"/>
      <c r="Y655" s="4"/>
      <c r="Z655" s="4"/>
    </row>
    <row r="656" spans="1:26" ht="39" hidden="1">
      <c r="A656" s="20">
        <v>663</v>
      </c>
      <c r="B656" s="1063">
        <v>40433</v>
      </c>
      <c r="C656" s="18" t="s">
        <v>1083</v>
      </c>
      <c r="D656" s="11" t="s">
        <v>6</v>
      </c>
      <c r="E656" s="18" t="s">
        <v>572</v>
      </c>
      <c r="F656" s="18" t="s">
        <v>404</v>
      </c>
      <c r="G656" s="18" t="s">
        <v>2943</v>
      </c>
      <c r="H656" s="18" t="s">
        <v>2944</v>
      </c>
      <c r="I656" s="18" t="s">
        <v>281</v>
      </c>
      <c r="J656" s="18" t="s">
        <v>2945</v>
      </c>
      <c r="K656" s="18" t="s">
        <v>2946</v>
      </c>
      <c r="L656" s="18"/>
      <c r="M656" s="18">
        <v>2</v>
      </c>
      <c r="N656" s="18">
        <v>1</v>
      </c>
      <c r="O656" s="18">
        <v>4</v>
      </c>
      <c r="P656" s="18">
        <v>0</v>
      </c>
      <c r="Q656" s="18">
        <v>2</v>
      </c>
      <c r="R656" s="1215">
        <v>368</v>
      </c>
      <c r="S656" s="1215">
        <v>1472</v>
      </c>
      <c r="T656" s="18" t="s">
        <v>311</v>
      </c>
      <c r="U656" s="1859" t="s">
        <v>311</v>
      </c>
      <c r="V656" s="18" t="s">
        <v>2875</v>
      </c>
      <c r="W656" s="2021" t="s">
        <v>2947</v>
      </c>
      <c r="X656" s="18"/>
      <c r="Y656" s="4"/>
      <c r="Z656" s="4"/>
    </row>
    <row r="657" spans="1:26" ht="39" hidden="1">
      <c r="A657" s="20">
        <v>664</v>
      </c>
      <c r="B657" s="1063">
        <v>40434</v>
      </c>
      <c r="C657" s="18" t="s">
        <v>2948</v>
      </c>
      <c r="D657" s="11" t="s">
        <v>6</v>
      </c>
      <c r="E657" s="18" t="s">
        <v>572</v>
      </c>
      <c r="F657" s="18" t="s">
        <v>404</v>
      </c>
      <c r="G657" s="18" t="s">
        <v>2949</v>
      </c>
      <c r="H657" s="18" t="s">
        <v>2950</v>
      </c>
      <c r="I657" s="18" t="s">
        <v>281</v>
      </c>
      <c r="J657" s="18" t="s">
        <v>2951</v>
      </c>
      <c r="K657" s="18" t="s">
        <v>2952</v>
      </c>
      <c r="L657" s="18" t="s">
        <v>2953</v>
      </c>
      <c r="M657" s="18">
        <v>2</v>
      </c>
      <c r="N657" s="18">
        <v>1</v>
      </c>
      <c r="O657" s="18">
        <v>3</v>
      </c>
      <c r="P657" s="18">
        <v>2</v>
      </c>
      <c r="Q657" s="18">
        <v>1</v>
      </c>
      <c r="R657" s="1215">
        <v>1982</v>
      </c>
      <c r="S657" s="1215">
        <v>5946</v>
      </c>
      <c r="T657" s="18" t="s">
        <v>311</v>
      </c>
      <c r="U657" s="1859" t="s">
        <v>311</v>
      </c>
      <c r="V657" s="18" t="s">
        <v>2875</v>
      </c>
      <c r="W657" s="2021" t="s">
        <v>2954</v>
      </c>
      <c r="X657" s="18"/>
      <c r="Y657" s="4"/>
      <c r="Z657" s="4"/>
    </row>
    <row r="658" spans="1:26" ht="26.1" hidden="1">
      <c r="A658" s="20">
        <v>665</v>
      </c>
      <c r="B658" s="1063">
        <v>40435</v>
      </c>
      <c r="C658" s="18" t="s">
        <v>2955</v>
      </c>
      <c r="D658" s="11" t="s">
        <v>6</v>
      </c>
      <c r="E658" s="617" t="s">
        <v>572</v>
      </c>
      <c r="F658" s="18" t="s">
        <v>404</v>
      </c>
      <c r="G658" s="18" t="s">
        <v>2956</v>
      </c>
      <c r="H658" s="18" t="s">
        <v>2957</v>
      </c>
      <c r="I658" s="18" t="s">
        <v>281</v>
      </c>
      <c r="J658" s="18" t="s">
        <v>2958</v>
      </c>
      <c r="K658" s="18" t="s">
        <v>2959</v>
      </c>
      <c r="L658" s="18" t="s">
        <v>2960</v>
      </c>
      <c r="M658" s="18">
        <v>2</v>
      </c>
      <c r="N658" s="18">
        <v>1</v>
      </c>
      <c r="O658" s="18">
        <v>4</v>
      </c>
      <c r="P658" s="18">
        <v>0</v>
      </c>
      <c r="Q658" s="18">
        <v>2</v>
      </c>
      <c r="R658" s="1215">
        <v>347</v>
      </c>
      <c r="S658" s="1215">
        <v>1388</v>
      </c>
      <c r="T658" s="18" t="s">
        <v>311</v>
      </c>
      <c r="U658" s="1859" t="s">
        <v>311</v>
      </c>
      <c r="V658" s="18" t="s">
        <v>2875</v>
      </c>
      <c r="W658" s="2021" t="s">
        <v>2961</v>
      </c>
      <c r="X658" s="18"/>
      <c r="Y658" s="4"/>
      <c r="Z658" s="4"/>
    </row>
    <row r="659" spans="1:26" ht="26.1" hidden="1">
      <c r="A659" s="20">
        <v>666</v>
      </c>
      <c r="B659" s="1063">
        <v>40436</v>
      </c>
      <c r="C659" s="18" t="s">
        <v>1265</v>
      </c>
      <c r="D659" s="11" t="s">
        <v>6</v>
      </c>
      <c r="E659" s="18" t="s">
        <v>62</v>
      </c>
      <c r="F659" s="18" t="s">
        <v>1214</v>
      </c>
      <c r="G659" s="22" t="s">
        <v>1266</v>
      </c>
      <c r="H659" s="18" t="s">
        <v>166</v>
      </c>
      <c r="I659" s="18" t="s">
        <v>281</v>
      </c>
      <c r="J659" s="18" t="s">
        <v>1267</v>
      </c>
      <c r="K659" s="18" t="s">
        <v>1268</v>
      </c>
      <c r="L659" s="18" t="s">
        <v>1269</v>
      </c>
      <c r="M659" s="18">
        <v>10</v>
      </c>
      <c r="N659" s="18">
        <v>1</v>
      </c>
      <c r="O659" s="18">
        <v>6</v>
      </c>
      <c r="P659" s="18">
        <v>4</v>
      </c>
      <c r="Q659" s="18">
        <v>10</v>
      </c>
      <c r="R659" s="1215">
        <v>1138</v>
      </c>
      <c r="S659" s="1215">
        <f t="shared" ref="S659:S660" si="26">R659*O659</f>
        <v>6828</v>
      </c>
      <c r="T659" s="18" t="s">
        <v>311</v>
      </c>
      <c r="U659" s="1859" t="s">
        <v>311</v>
      </c>
      <c r="V659" s="22" t="s">
        <v>2962</v>
      </c>
      <c r="W659" s="2021" t="s">
        <v>1270</v>
      </c>
      <c r="X659" s="18"/>
      <c r="Y659" s="4"/>
      <c r="Z659" s="4"/>
    </row>
    <row r="660" spans="1:26" ht="26.1" hidden="1">
      <c r="A660" s="20">
        <v>667</v>
      </c>
      <c r="B660" s="1063">
        <v>40437</v>
      </c>
      <c r="C660" s="18" t="s">
        <v>2963</v>
      </c>
      <c r="D660" s="11" t="s">
        <v>6</v>
      </c>
      <c r="E660" s="18" t="s">
        <v>62</v>
      </c>
      <c r="F660" s="18" t="s">
        <v>1214</v>
      </c>
      <c r="G660" s="18" t="s">
        <v>2964</v>
      </c>
      <c r="H660" s="18" t="s">
        <v>460</v>
      </c>
      <c r="I660" s="18" t="s">
        <v>281</v>
      </c>
      <c r="J660" s="18" t="s">
        <v>2965</v>
      </c>
      <c r="K660" s="18" t="s">
        <v>2966</v>
      </c>
      <c r="L660" s="18" t="s">
        <v>1868</v>
      </c>
      <c r="M660" s="18">
        <v>2</v>
      </c>
      <c r="N660" s="18">
        <v>1</v>
      </c>
      <c r="O660" s="18">
        <v>2</v>
      </c>
      <c r="P660" s="18">
        <v>0</v>
      </c>
      <c r="Q660" s="18">
        <v>2</v>
      </c>
      <c r="R660" s="1215">
        <v>708</v>
      </c>
      <c r="S660" s="1215">
        <f t="shared" si="26"/>
        <v>1416</v>
      </c>
      <c r="T660" s="18" t="s">
        <v>311</v>
      </c>
      <c r="U660" s="1859" t="s">
        <v>311</v>
      </c>
      <c r="V660" s="18" t="s">
        <v>2962</v>
      </c>
      <c r="W660" s="2021" t="s">
        <v>2967</v>
      </c>
      <c r="X660" s="18"/>
      <c r="Y660" s="4"/>
      <c r="Z660" s="4"/>
    </row>
    <row r="661" spans="1:26" ht="26.1" hidden="1">
      <c r="A661" s="20">
        <v>668</v>
      </c>
      <c r="B661" s="1063">
        <v>40438</v>
      </c>
      <c r="C661" s="18" t="s">
        <v>2968</v>
      </c>
      <c r="D661" s="11" t="s">
        <v>6</v>
      </c>
      <c r="E661" s="18" t="s">
        <v>62</v>
      </c>
      <c r="F661" s="18" t="s">
        <v>1214</v>
      </c>
      <c r="G661" s="18" t="s">
        <v>2969</v>
      </c>
      <c r="H661" s="18" t="s">
        <v>243</v>
      </c>
      <c r="I661" s="18" t="s">
        <v>281</v>
      </c>
      <c r="J661" s="76" t="s">
        <v>2970</v>
      </c>
      <c r="K661" s="77" t="s">
        <v>2971</v>
      </c>
      <c r="L661" s="77" t="s">
        <v>1671</v>
      </c>
      <c r="M661" s="18">
        <v>2</v>
      </c>
      <c r="N661" s="18">
        <v>1</v>
      </c>
      <c r="O661" s="18">
        <v>2</v>
      </c>
      <c r="P661" s="18">
        <v>0</v>
      </c>
      <c r="Q661" s="18">
        <v>2</v>
      </c>
      <c r="R661" s="1215">
        <v>358</v>
      </c>
      <c r="S661" s="1215">
        <f t="shared" ref="S661:S662" si="27">R661*M661</f>
        <v>716</v>
      </c>
      <c r="T661" s="18" t="s">
        <v>311</v>
      </c>
      <c r="U661" s="1859" t="s">
        <v>311</v>
      </c>
      <c r="V661" s="18" t="s">
        <v>2962</v>
      </c>
      <c r="W661" s="2021" t="s">
        <v>2972</v>
      </c>
      <c r="X661" s="18"/>
      <c r="Y661" s="4"/>
      <c r="Z661" s="4"/>
    </row>
    <row r="662" spans="1:26" ht="26.1" hidden="1">
      <c r="A662" s="20">
        <v>669</v>
      </c>
      <c r="B662" s="1063">
        <v>40439</v>
      </c>
      <c r="C662" s="18" t="s">
        <v>2973</v>
      </c>
      <c r="D662" s="11" t="s">
        <v>6</v>
      </c>
      <c r="E662" s="18" t="s">
        <v>62</v>
      </c>
      <c r="F662" s="18" t="s">
        <v>1214</v>
      </c>
      <c r="G662" s="78" t="s">
        <v>2974</v>
      </c>
      <c r="H662" s="18" t="s">
        <v>460</v>
      </c>
      <c r="I662" s="18" t="s">
        <v>281</v>
      </c>
      <c r="J662" s="78" t="s">
        <v>2975</v>
      </c>
      <c r="K662" s="77" t="s">
        <v>2976</v>
      </c>
      <c r="L662" s="18" t="s">
        <v>1256</v>
      </c>
      <c r="M662" s="18">
        <v>2</v>
      </c>
      <c r="N662" s="18">
        <v>1</v>
      </c>
      <c r="O662" s="18">
        <v>2</v>
      </c>
      <c r="P662" s="18">
        <v>0</v>
      </c>
      <c r="Q662" s="18">
        <v>2</v>
      </c>
      <c r="R662" s="1215">
        <v>418</v>
      </c>
      <c r="S662" s="1215">
        <f t="shared" si="27"/>
        <v>836</v>
      </c>
      <c r="T662" s="18" t="s">
        <v>311</v>
      </c>
      <c r="U662" s="1859" t="s">
        <v>311</v>
      </c>
      <c r="V662" s="18" t="s">
        <v>2962</v>
      </c>
      <c r="W662" s="2021" t="s">
        <v>2977</v>
      </c>
      <c r="X662" s="18"/>
      <c r="Y662" s="4"/>
      <c r="Z662" s="4"/>
    </row>
    <row r="663" spans="1:26" ht="24.95" hidden="1">
      <c r="A663" s="20">
        <v>670</v>
      </c>
      <c r="B663" s="1063">
        <v>40440</v>
      </c>
      <c r="C663" s="60" t="s">
        <v>2978</v>
      </c>
      <c r="D663" s="11" t="s">
        <v>6</v>
      </c>
      <c r="E663" s="18" t="s">
        <v>62</v>
      </c>
      <c r="F663" s="60" t="s">
        <v>1214</v>
      </c>
      <c r="G663" s="77" t="s">
        <v>2979</v>
      </c>
      <c r="H663" s="77" t="s">
        <v>2980</v>
      </c>
      <c r="I663" s="77" t="s">
        <v>574</v>
      </c>
      <c r="J663" s="77" t="s">
        <v>2981</v>
      </c>
      <c r="K663" s="77" t="s">
        <v>2982</v>
      </c>
      <c r="L663" s="77" t="s">
        <v>1495</v>
      </c>
      <c r="M663" s="60">
        <v>3</v>
      </c>
      <c r="N663" s="77">
        <v>1</v>
      </c>
      <c r="O663" s="60">
        <v>3</v>
      </c>
      <c r="P663" s="60">
        <v>0</v>
      </c>
      <c r="Q663" s="60">
        <v>3</v>
      </c>
      <c r="R663" s="1217">
        <v>391</v>
      </c>
      <c r="S663" s="1217">
        <f t="shared" ref="S663:S682" si="28">R663*O663</f>
        <v>1173</v>
      </c>
      <c r="T663" s="60" t="s">
        <v>311</v>
      </c>
      <c r="U663" s="1864" t="s">
        <v>311</v>
      </c>
      <c r="V663" s="60" t="s">
        <v>2962</v>
      </c>
      <c r="W663" s="2026" t="s">
        <v>2983</v>
      </c>
      <c r="X663" s="18"/>
      <c r="Y663" s="4"/>
      <c r="Z663" s="4"/>
    </row>
    <row r="664" spans="1:26" ht="24.95" hidden="1">
      <c r="A664" s="20">
        <v>671</v>
      </c>
      <c r="B664" s="1063">
        <v>40441</v>
      </c>
      <c r="C664" s="60" t="s">
        <v>2978</v>
      </c>
      <c r="D664" s="11" t="s">
        <v>6</v>
      </c>
      <c r="E664" s="18" t="s">
        <v>62</v>
      </c>
      <c r="F664" s="60" t="s">
        <v>1214</v>
      </c>
      <c r="G664" s="77" t="s">
        <v>2984</v>
      </c>
      <c r="H664" s="77" t="s">
        <v>2980</v>
      </c>
      <c r="I664" s="77" t="s">
        <v>574</v>
      </c>
      <c r="J664" s="77" t="s">
        <v>2985</v>
      </c>
      <c r="K664" s="77" t="s">
        <v>2986</v>
      </c>
      <c r="L664" s="77" t="s">
        <v>1256</v>
      </c>
      <c r="M664" s="60">
        <v>4</v>
      </c>
      <c r="N664" s="77">
        <v>1</v>
      </c>
      <c r="O664" s="60">
        <v>4</v>
      </c>
      <c r="P664" s="60">
        <v>0</v>
      </c>
      <c r="Q664" s="60">
        <v>4</v>
      </c>
      <c r="R664" s="1217">
        <v>224</v>
      </c>
      <c r="S664" s="1217">
        <f t="shared" si="28"/>
        <v>896</v>
      </c>
      <c r="T664" s="60" t="s">
        <v>311</v>
      </c>
      <c r="U664" s="1864" t="s">
        <v>311</v>
      </c>
      <c r="V664" s="60" t="s">
        <v>2962</v>
      </c>
      <c r="W664" s="2026" t="s">
        <v>2987</v>
      </c>
      <c r="X664" s="18"/>
      <c r="Y664" s="4"/>
      <c r="Z664" s="4"/>
    </row>
    <row r="665" spans="1:26" ht="24.95" hidden="1">
      <c r="A665" s="20">
        <v>672</v>
      </c>
      <c r="B665" s="1063">
        <v>40442</v>
      </c>
      <c r="C665" s="60" t="s">
        <v>2978</v>
      </c>
      <c r="D665" s="11" t="s">
        <v>6</v>
      </c>
      <c r="E665" s="18" t="s">
        <v>62</v>
      </c>
      <c r="F665" s="60" t="s">
        <v>1214</v>
      </c>
      <c r="G665" s="77" t="s">
        <v>2988</v>
      </c>
      <c r="H665" s="77" t="s">
        <v>230</v>
      </c>
      <c r="I665" s="77" t="s">
        <v>574</v>
      </c>
      <c r="J665" s="77" t="s">
        <v>2989</v>
      </c>
      <c r="K665" s="77" t="s">
        <v>2990</v>
      </c>
      <c r="L665" s="77" t="s">
        <v>1256</v>
      </c>
      <c r="M665" s="60">
        <v>3</v>
      </c>
      <c r="N665" s="77">
        <v>1</v>
      </c>
      <c r="O665" s="60">
        <v>3</v>
      </c>
      <c r="P665" s="60">
        <v>0</v>
      </c>
      <c r="Q665" s="60">
        <v>3</v>
      </c>
      <c r="R665" s="1217">
        <v>117</v>
      </c>
      <c r="S665" s="1217">
        <f t="shared" si="28"/>
        <v>351</v>
      </c>
      <c r="T665" s="60" t="s">
        <v>311</v>
      </c>
      <c r="U665" s="1864" t="s">
        <v>311</v>
      </c>
      <c r="V665" s="60" t="s">
        <v>2962</v>
      </c>
      <c r="W665" s="2026" t="s">
        <v>2991</v>
      </c>
      <c r="X665" s="18"/>
      <c r="Y665" s="4"/>
      <c r="Z665" s="4"/>
    </row>
    <row r="666" spans="1:26" ht="24.95" hidden="1">
      <c r="A666" s="20">
        <v>673</v>
      </c>
      <c r="B666" s="1063">
        <v>40443</v>
      </c>
      <c r="C666" s="60" t="s">
        <v>2978</v>
      </c>
      <c r="D666" s="11" t="s">
        <v>6</v>
      </c>
      <c r="E666" s="18" t="s">
        <v>62</v>
      </c>
      <c r="F666" s="60" t="s">
        <v>1214</v>
      </c>
      <c r="G666" s="77" t="s">
        <v>2992</v>
      </c>
      <c r="H666" s="77" t="s">
        <v>2980</v>
      </c>
      <c r="I666" s="77" t="s">
        <v>574</v>
      </c>
      <c r="J666" s="77" t="s">
        <v>2993</v>
      </c>
      <c r="K666" s="77" t="s">
        <v>2994</v>
      </c>
      <c r="L666" s="77" t="s">
        <v>1256</v>
      </c>
      <c r="M666" s="60">
        <v>3</v>
      </c>
      <c r="N666" s="77">
        <v>1</v>
      </c>
      <c r="O666" s="60">
        <v>3</v>
      </c>
      <c r="P666" s="60">
        <v>0</v>
      </c>
      <c r="Q666" s="60">
        <v>3</v>
      </c>
      <c r="R666" s="1217">
        <v>510</v>
      </c>
      <c r="S666" s="1217">
        <f t="shared" si="28"/>
        <v>1530</v>
      </c>
      <c r="T666" s="60" t="s">
        <v>311</v>
      </c>
      <c r="U666" s="1864" t="s">
        <v>311</v>
      </c>
      <c r="V666" s="60" t="s">
        <v>2962</v>
      </c>
      <c r="W666" s="2026" t="s">
        <v>2995</v>
      </c>
      <c r="X666" s="18"/>
      <c r="Y666" s="4"/>
      <c r="Z666" s="4"/>
    </row>
    <row r="667" spans="1:26" ht="24.95" hidden="1">
      <c r="A667" s="20">
        <v>674</v>
      </c>
      <c r="B667" s="1063">
        <v>40444</v>
      </c>
      <c r="C667" s="60" t="s">
        <v>2978</v>
      </c>
      <c r="D667" s="11" t="s">
        <v>6</v>
      </c>
      <c r="E667" s="18" t="s">
        <v>62</v>
      </c>
      <c r="F667" s="60" t="s">
        <v>1214</v>
      </c>
      <c r="G667" s="77" t="s">
        <v>2996</v>
      </c>
      <c r="H667" s="77" t="s">
        <v>2980</v>
      </c>
      <c r="I667" s="77" t="s">
        <v>574</v>
      </c>
      <c r="J667" s="77" t="s">
        <v>2997</v>
      </c>
      <c r="K667" s="77" t="s">
        <v>2998</v>
      </c>
      <c r="L667" s="77" t="s">
        <v>1256</v>
      </c>
      <c r="M667" s="60">
        <v>3</v>
      </c>
      <c r="N667" s="77">
        <v>1</v>
      </c>
      <c r="O667" s="60">
        <v>3</v>
      </c>
      <c r="P667" s="60">
        <v>0</v>
      </c>
      <c r="Q667" s="60">
        <v>3</v>
      </c>
      <c r="R667" s="1217">
        <v>620</v>
      </c>
      <c r="S667" s="1217">
        <f t="shared" si="28"/>
        <v>1860</v>
      </c>
      <c r="T667" s="60" t="s">
        <v>311</v>
      </c>
      <c r="U667" s="1864" t="s">
        <v>311</v>
      </c>
      <c r="V667" s="60" t="s">
        <v>2962</v>
      </c>
      <c r="W667" s="2026" t="s">
        <v>2999</v>
      </c>
      <c r="X667" s="18"/>
      <c r="Y667" s="4"/>
      <c r="Z667" s="4"/>
    </row>
    <row r="668" spans="1:26" ht="24.95" hidden="1">
      <c r="A668" s="20">
        <v>675</v>
      </c>
      <c r="B668" s="1063">
        <v>40445</v>
      </c>
      <c r="C668" s="60" t="s">
        <v>2978</v>
      </c>
      <c r="D668" s="11" t="s">
        <v>6</v>
      </c>
      <c r="E668" s="18" t="s">
        <v>62</v>
      </c>
      <c r="F668" s="60" t="s">
        <v>1214</v>
      </c>
      <c r="G668" s="77" t="s">
        <v>3000</v>
      </c>
      <c r="H668" s="77" t="s">
        <v>2980</v>
      </c>
      <c r="I668" s="77" t="s">
        <v>574</v>
      </c>
      <c r="J668" s="77" t="s">
        <v>3001</v>
      </c>
      <c r="K668" s="77" t="s">
        <v>3002</v>
      </c>
      <c r="L668" s="77" t="s">
        <v>1495</v>
      </c>
      <c r="M668" s="60">
        <v>2</v>
      </c>
      <c r="N668" s="77">
        <v>1</v>
      </c>
      <c r="O668" s="60">
        <v>2</v>
      </c>
      <c r="P668" s="60">
        <v>0</v>
      </c>
      <c r="Q668" s="60">
        <v>2</v>
      </c>
      <c r="R668" s="1217">
        <v>803</v>
      </c>
      <c r="S668" s="1217">
        <f t="shared" si="28"/>
        <v>1606</v>
      </c>
      <c r="T668" s="60" t="s">
        <v>311</v>
      </c>
      <c r="U668" s="1864" t="s">
        <v>311</v>
      </c>
      <c r="V668" s="60" t="s">
        <v>2962</v>
      </c>
      <c r="W668" s="2026" t="s">
        <v>3003</v>
      </c>
      <c r="X668" s="18"/>
      <c r="Y668" s="4"/>
      <c r="Z668" s="4"/>
    </row>
    <row r="669" spans="1:26" ht="24.95" hidden="1">
      <c r="A669" s="20">
        <v>676</v>
      </c>
      <c r="B669" s="1063">
        <v>40446</v>
      </c>
      <c r="C669" s="60" t="s">
        <v>2978</v>
      </c>
      <c r="D669" s="11" t="s">
        <v>6</v>
      </c>
      <c r="E669" s="18" t="s">
        <v>62</v>
      </c>
      <c r="F669" s="60" t="s">
        <v>1214</v>
      </c>
      <c r="G669" s="77" t="s">
        <v>3004</v>
      </c>
      <c r="H669" s="77" t="s">
        <v>3005</v>
      </c>
      <c r="I669" s="77" t="s">
        <v>574</v>
      </c>
      <c r="J669" s="77" t="s">
        <v>3006</v>
      </c>
      <c r="K669" s="77" t="s">
        <v>3007</v>
      </c>
      <c r="L669" s="77" t="s">
        <v>3008</v>
      </c>
      <c r="M669" s="60">
        <v>2</v>
      </c>
      <c r="N669" s="77">
        <v>1</v>
      </c>
      <c r="O669" s="60">
        <v>2</v>
      </c>
      <c r="P669" s="60">
        <v>0</v>
      </c>
      <c r="Q669" s="60">
        <v>2</v>
      </c>
      <c r="R669" s="1217">
        <v>1436</v>
      </c>
      <c r="S669" s="1217">
        <f t="shared" si="28"/>
        <v>2872</v>
      </c>
      <c r="T669" s="60" t="s">
        <v>311</v>
      </c>
      <c r="U669" s="1864" t="s">
        <v>311</v>
      </c>
      <c r="V669" s="60" t="s">
        <v>2962</v>
      </c>
      <c r="W669" s="2026" t="s">
        <v>3009</v>
      </c>
      <c r="X669" s="18"/>
      <c r="Y669" s="4"/>
      <c r="Z669" s="4"/>
    </row>
    <row r="670" spans="1:26" ht="24.95" hidden="1">
      <c r="A670" s="20">
        <v>677</v>
      </c>
      <c r="B670" s="1063">
        <v>40447</v>
      </c>
      <c r="C670" s="60" t="s">
        <v>2978</v>
      </c>
      <c r="D670" s="11" t="s">
        <v>6</v>
      </c>
      <c r="E670" s="18" t="s">
        <v>62</v>
      </c>
      <c r="F670" s="60" t="s">
        <v>1214</v>
      </c>
      <c r="G670" s="77" t="s">
        <v>3010</v>
      </c>
      <c r="H670" s="77" t="s">
        <v>2980</v>
      </c>
      <c r="I670" s="77" t="s">
        <v>574</v>
      </c>
      <c r="J670" s="77" t="s">
        <v>3011</v>
      </c>
      <c r="K670" s="77" t="s">
        <v>3012</v>
      </c>
      <c r="L670" s="77" t="s">
        <v>1671</v>
      </c>
      <c r="M670" s="60">
        <v>4</v>
      </c>
      <c r="N670" s="77">
        <v>1</v>
      </c>
      <c r="O670" s="60">
        <v>4</v>
      </c>
      <c r="P670" s="60">
        <v>0</v>
      </c>
      <c r="Q670" s="60">
        <v>4</v>
      </c>
      <c r="R670" s="1217">
        <v>53</v>
      </c>
      <c r="S670" s="1217">
        <f t="shared" si="28"/>
        <v>212</v>
      </c>
      <c r="T670" s="60" t="s">
        <v>311</v>
      </c>
      <c r="U670" s="1864" t="s">
        <v>311</v>
      </c>
      <c r="V670" s="60" t="s">
        <v>2962</v>
      </c>
      <c r="W670" s="2026" t="s">
        <v>3013</v>
      </c>
      <c r="X670" s="18"/>
      <c r="Y670" s="4"/>
      <c r="Z670" s="4"/>
    </row>
    <row r="671" spans="1:26" ht="24.95" hidden="1">
      <c r="A671" s="20">
        <v>678</v>
      </c>
      <c r="B671" s="1063">
        <v>40448</v>
      </c>
      <c r="C671" s="60" t="s">
        <v>2978</v>
      </c>
      <c r="D671" s="11" t="s">
        <v>6</v>
      </c>
      <c r="E671" s="18" t="s">
        <v>62</v>
      </c>
      <c r="F671" s="60" t="s">
        <v>1214</v>
      </c>
      <c r="G671" s="77" t="s">
        <v>3014</v>
      </c>
      <c r="H671" s="77" t="s">
        <v>2980</v>
      </c>
      <c r="I671" s="77" t="s">
        <v>574</v>
      </c>
      <c r="J671" s="77" t="s">
        <v>3015</v>
      </c>
      <c r="K671" s="77" t="s">
        <v>3016</v>
      </c>
      <c r="L671" s="77" t="s">
        <v>1256</v>
      </c>
      <c r="M671" s="60">
        <v>2</v>
      </c>
      <c r="N671" s="77">
        <v>1</v>
      </c>
      <c r="O671" s="60">
        <v>2</v>
      </c>
      <c r="P671" s="60">
        <v>0</v>
      </c>
      <c r="Q671" s="60">
        <v>2</v>
      </c>
      <c r="R671" s="1217">
        <v>1796</v>
      </c>
      <c r="S671" s="1217">
        <f t="shared" si="28"/>
        <v>3592</v>
      </c>
      <c r="T671" s="60" t="s">
        <v>311</v>
      </c>
      <c r="U671" s="1864" t="s">
        <v>311</v>
      </c>
      <c r="V671" s="60" t="s">
        <v>2962</v>
      </c>
      <c r="W671" s="2026" t="s">
        <v>3017</v>
      </c>
      <c r="X671" s="18"/>
      <c r="Y671" s="4"/>
      <c r="Z671" s="4"/>
    </row>
    <row r="672" spans="1:26" ht="24.95" hidden="1">
      <c r="A672" s="20">
        <v>679</v>
      </c>
      <c r="B672" s="1063">
        <v>40449</v>
      </c>
      <c r="C672" s="60" t="s">
        <v>3018</v>
      </c>
      <c r="D672" s="11" t="s">
        <v>6</v>
      </c>
      <c r="E672" s="18" t="s">
        <v>62</v>
      </c>
      <c r="F672" s="60" t="s">
        <v>1214</v>
      </c>
      <c r="G672" s="77" t="s">
        <v>3019</v>
      </c>
      <c r="H672" s="77" t="s">
        <v>3020</v>
      </c>
      <c r="I672" s="77" t="s">
        <v>574</v>
      </c>
      <c r="J672" s="77" t="s">
        <v>3021</v>
      </c>
      <c r="K672" s="77" t="s">
        <v>3022</v>
      </c>
      <c r="L672" s="77" t="s">
        <v>3023</v>
      </c>
      <c r="M672" s="60">
        <v>6</v>
      </c>
      <c r="N672" s="77">
        <v>1</v>
      </c>
      <c r="O672" s="60">
        <v>6</v>
      </c>
      <c r="P672" s="60">
        <v>0</v>
      </c>
      <c r="Q672" s="60">
        <v>6</v>
      </c>
      <c r="R672" s="1217">
        <v>15</v>
      </c>
      <c r="S672" s="1217">
        <f t="shared" si="28"/>
        <v>90</v>
      </c>
      <c r="T672" s="60" t="s">
        <v>311</v>
      </c>
      <c r="U672" s="1864" t="s">
        <v>311</v>
      </c>
      <c r="V672" s="60" t="s">
        <v>2962</v>
      </c>
      <c r="W672" s="2026" t="s">
        <v>3024</v>
      </c>
      <c r="X672" s="18"/>
      <c r="Y672" s="4"/>
      <c r="Z672" s="4"/>
    </row>
    <row r="673" spans="1:26" ht="24.95" hidden="1">
      <c r="A673" s="20">
        <v>680</v>
      </c>
      <c r="B673" s="1063">
        <v>40450</v>
      </c>
      <c r="C673" s="60" t="s">
        <v>3025</v>
      </c>
      <c r="D673" s="11" t="s">
        <v>6</v>
      </c>
      <c r="E673" s="18" t="s">
        <v>62</v>
      </c>
      <c r="F673" s="60" t="s">
        <v>1214</v>
      </c>
      <c r="G673" s="77" t="s">
        <v>3025</v>
      </c>
      <c r="H673" s="77"/>
      <c r="I673" s="77" t="s">
        <v>574</v>
      </c>
      <c r="J673" s="77" t="s">
        <v>3026</v>
      </c>
      <c r="K673" s="79" t="s">
        <v>3027</v>
      </c>
      <c r="L673" s="77"/>
      <c r="M673" s="60">
        <v>6</v>
      </c>
      <c r="N673" s="79">
        <v>1</v>
      </c>
      <c r="O673" s="60">
        <v>6</v>
      </c>
      <c r="P673" s="60">
        <v>0</v>
      </c>
      <c r="Q673" s="60">
        <v>6</v>
      </c>
      <c r="R673" s="1217">
        <v>19</v>
      </c>
      <c r="S673" s="1217">
        <f t="shared" si="28"/>
        <v>114</v>
      </c>
      <c r="T673" s="60" t="s">
        <v>311</v>
      </c>
      <c r="U673" s="1864" t="s">
        <v>311</v>
      </c>
      <c r="V673" s="60" t="s">
        <v>2962</v>
      </c>
      <c r="W673" s="2026" t="s">
        <v>3028</v>
      </c>
      <c r="X673" s="18"/>
      <c r="Y673" s="4"/>
      <c r="Z673" s="4"/>
    </row>
    <row r="674" spans="1:26" ht="24.95" hidden="1">
      <c r="A674" s="20">
        <v>681</v>
      </c>
      <c r="B674" s="1063">
        <v>40451</v>
      </c>
      <c r="C674" s="60" t="s">
        <v>3018</v>
      </c>
      <c r="D674" s="11" t="s">
        <v>6</v>
      </c>
      <c r="E674" s="18" t="s">
        <v>62</v>
      </c>
      <c r="F674" s="60" t="s">
        <v>1214</v>
      </c>
      <c r="G674" s="77" t="s">
        <v>3029</v>
      </c>
      <c r="H674" s="77" t="s">
        <v>1273</v>
      </c>
      <c r="I674" s="77" t="s">
        <v>574</v>
      </c>
      <c r="J674" s="77" t="s">
        <v>1274</v>
      </c>
      <c r="K674" s="77" t="s">
        <v>1275</v>
      </c>
      <c r="L674" s="77" t="s">
        <v>3030</v>
      </c>
      <c r="M674" s="60">
        <v>3</v>
      </c>
      <c r="N674" s="77">
        <v>1</v>
      </c>
      <c r="O674" s="60">
        <v>2</v>
      </c>
      <c r="P674" s="60">
        <v>1</v>
      </c>
      <c r="Q674" s="60">
        <v>3</v>
      </c>
      <c r="R674" s="1217">
        <v>270</v>
      </c>
      <c r="S674" s="1217">
        <f t="shared" si="28"/>
        <v>540</v>
      </c>
      <c r="T674" s="60" t="s">
        <v>311</v>
      </c>
      <c r="U674" s="1864" t="s">
        <v>311</v>
      </c>
      <c r="V674" s="60" t="s">
        <v>2962</v>
      </c>
      <c r="W674" s="2026" t="s">
        <v>1277</v>
      </c>
      <c r="X674" s="18"/>
      <c r="Y674" s="4"/>
      <c r="Z674" s="4"/>
    </row>
    <row r="675" spans="1:26" ht="37.5" hidden="1">
      <c r="A675" s="20">
        <v>682</v>
      </c>
      <c r="B675" s="1063">
        <v>40452</v>
      </c>
      <c r="C675" s="60" t="s">
        <v>3031</v>
      </c>
      <c r="D675" s="11" t="s">
        <v>6</v>
      </c>
      <c r="E675" s="18" t="s">
        <v>62</v>
      </c>
      <c r="F675" s="60" t="s">
        <v>1214</v>
      </c>
      <c r="G675" s="77" t="s">
        <v>3032</v>
      </c>
      <c r="H675" s="77" t="s">
        <v>1273</v>
      </c>
      <c r="I675" s="77" t="s">
        <v>574</v>
      </c>
      <c r="J675" s="77" t="s">
        <v>3033</v>
      </c>
      <c r="K675" s="77" t="s">
        <v>3034</v>
      </c>
      <c r="L675" s="77"/>
      <c r="M675" s="60">
        <v>20</v>
      </c>
      <c r="N675" s="77">
        <v>1</v>
      </c>
      <c r="O675" s="60">
        <v>20</v>
      </c>
      <c r="P675" s="60">
        <v>0</v>
      </c>
      <c r="Q675" s="60">
        <v>20</v>
      </c>
      <c r="R675" s="1217">
        <v>12</v>
      </c>
      <c r="S675" s="1217">
        <f t="shared" si="28"/>
        <v>240</v>
      </c>
      <c r="T675" s="60" t="s">
        <v>311</v>
      </c>
      <c r="U675" s="1864" t="s">
        <v>311</v>
      </c>
      <c r="V675" s="60" t="s">
        <v>2962</v>
      </c>
      <c r="W675" s="2026" t="s">
        <v>3035</v>
      </c>
      <c r="X675" s="18"/>
      <c r="Y675" s="4"/>
      <c r="Z675" s="4"/>
    </row>
    <row r="676" spans="1:26" ht="24.95" hidden="1">
      <c r="A676" s="20">
        <v>683</v>
      </c>
      <c r="B676" s="1063">
        <v>40453</v>
      </c>
      <c r="C676" s="60" t="s">
        <v>152</v>
      </c>
      <c r="D676" s="11" t="s">
        <v>6</v>
      </c>
      <c r="E676" s="18" t="s">
        <v>62</v>
      </c>
      <c r="F676" s="60" t="s">
        <v>1214</v>
      </c>
      <c r="G676" s="77" t="s">
        <v>3036</v>
      </c>
      <c r="H676" s="77" t="s">
        <v>1653</v>
      </c>
      <c r="I676" s="77" t="s">
        <v>574</v>
      </c>
      <c r="J676" s="77" t="s">
        <v>3037</v>
      </c>
      <c r="K676" s="77" t="s">
        <v>3038</v>
      </c>
      <c r="L676" s="77" t="s">
        <v>3039</v>
      </c>
      <c r="M676" s="60">
        <v>4</v>
      </c>
      <c r="N676" s="77">
        <v>1</v>
      </c>
      <c r="O676" s="60">
        <v>4</v>
      </c>
      <c r="P676" s="60">
        <v>0</v>
      </c>
      <c r="Q676" s="60">
        <v>4</v>
      </c>
      <c r="R676" s="1217">
        <v>12</v>
      </c>
      <c r="S676" s="1217">
        <f t="shared" si="28"/>
        <v>48</v>
      </c>
      <c r="T676" s="60" t="s">
        <v>311</v>
      </c>
      <c r="U676" s="1864" t="s">
        <v>311</v>
      </c>
      <c r="V676" s="60" t="s">
        <v>2962</v>
      </c>
      <c r="W676" s="2026" t="s">
        <v>3040</v>
      </c>
      <c r="X676" s="18"/>
      <c r="Y676" s="4"/>
      <c r="Z676" s="4"/>
    </row>
    <row r="677" spans="1:26" ht="24.95" hidden="1">
      <c r="A677" s="20">
        <v>684</v>
      </c>
      <c r="B677" s="1063">
        <v>40454</v>
      </c>
      <c r="C677" s="60" t="s">
        <v>152</v>
      </c>
      <c r="D677" s="11" t="s">
        <v>6</v>
      </c>
      <c r="E677" s="18" t="s">
        <v>62</v>
      </c>
      <c r="F677" s="60" t="s">
        <v>1214</v>
      </c>
      <c r="G677" s="77" t="s">
        <v>3041</v>
      </c>
      <c r="H677" s="77" t="s">
        <v>154</v>
      </c>
      <c r="I677" s="77" t="s">
        <v>574</v>
      </c>
      <c r="J677" s="77" t="s">
        <v>3042</v>
      </c>
      <c r="K677" s="77" t="s">
        <v>3043</v>
      </c>
      <c r="L677" s="77" t="s">
        <v>3039</v>
      </c>
      <c r="M677" s="60">
        <v>10</v>
      </c>
      <c r="N677" s="77">
        <v>1</v>
      </c>
      <c r="O677" s="60">
        <v>10</v>
      </c>
      <c r="P677" s="60">
        <v>0</v>
      </c>
      <c r="Q677" s="60">
        <v>10</v>
      </c>
      <c r="R677" s="1217">
        <v>12</v>
      </c>
      <c r="S677" s="1217">
        <f t="shared" si="28"/>
        <v>120</v>
      </c>
      <c r="T677" s="60" t="s">
        <v>311</v>
      </c>
      <c r="U677" s="1864" t="s">
        <v>311</v>
      </c>
      <c r="V677" s="60" t="s">
        <v>2962</v>
      </c>
      <c r="W677" s="2026" t="s">
        <v>3044</v>
      </c>
      <c r="X677" s="18"/>
      <c r="Y677" s="4"/>
      <c r="Z677" s="4"/>
    </row>
    <row r="678" spans="1:26" ht="24.95" hidden="1">
      <c r="A678" s="20">
        <v>685</v>
      </c>
      <c r="B678" s="1063">
        <v>40455</v>
      </c>
      <c r="C678" s="60" t="s">
        <v>152</v>
      </c>
      <c r="D678" s="11" t="s">
        <v>6</v>
      </c>
      <c r="E678" s="18" t="s">
        <v>62</v>
      </c>
      <c r="F678" s="60" t="s">
        <v>1214</v>
      </c>
      <c r="G678" s="77" t="s">
        <v>3045</v>
      </c>
      <c r="H678" s="77" t="s">
        <v>154</v>
      </c>
      <c r="I678" s="77" t="s">
        <v>574</v>
      </c>
      <c r="J678" s="77" t="s">
        <v>3046</v>
      </c>
      <c r="K678" s="77" t="s">
        <v>3047</v>
      </c>
      <c r="L678" s="77" t="s">
        <v>3039</v>
      </c>
      <c r="M678" s="60">
        <v>15</v>
      </c>
      <c r="N678" s="77">
        <v>1</v>
      </c>
      <c r="O678" s="60">
        <v>15</v>
      </c>
      <c r="P678" s="60">
        <v>0</v>
      </c>
      <c r="Q678" s="60">
        <v>15</v>
      </c>
      <c r="R678" s="1217">
        <v>12</v>
      </c>
      <c r="S678" s="1217">
        <f t="shared" si="28"/>
        <v>180</v>
      </c>
      <c r="T678" s="60" t="s">
        <v>311</v>
      </c>
      <c r="U678" s="1864" t="s">
        <v>311</v>
      </c>
      <c r="V678" s="60" t="s">
        <v>2962</v>
      </c>
      <c r="W678" s="2026" t="s">
        <v>3048</v>
      </c>
      <c r="X678" s="18"/>
      <c r="Y678" s="4"/>
      <c r="Z678" s="4"/>
    </row>
    <row r="679" spans="1:26" ht="24.95" hidden="1">
      <c r="A679" s="20">
        <v>686</v>
      </c>
      <c r="B679" s="1063">
        <v>40456</v>
      </c>
      <c r="C679" s="60" t="s">
        <v>152</v>
      </c>
      <c r="D679" s="11" t="s">
        <v>6</v>
      </c>
      <c r="E679" s="18" t="s">
        <v>62</v>
      </c>
      <c r="F679" s="60" t="s">
        <v>1214</v>
      </c>
      <c r="G679" s="77" t="s">
        <v>3049</v>
      </c>
      <c r="H679" s="77" t="s">
        <v>1216</v>
      </c>
      <c r="I679" s="77" t="s">
        <v>574</v>
      </c>
      <c r="J679" s="77" t="s">
        <v>1217</v>
      </c>
      <c r="K679" s="77" t="s">
        <v>1218</v>
      </c>
      <c r="L679" s="77" t="s">
        <v>3050</v>
      </c>
      <c r="M679" s="60">
        <v>4</v>
      </c>
      <c r="N679" s="77">
        <v>1</v>
      </c>
      <c r="O679" s="60">
        <v>3</v>
      </c>
      <c r="P679" s="60">
        <v>1</v>
      </c>
      <c r="Q679" s="60">
        <v>4</v>
      </c>
      <c r="R679" s="1217">
        <v>169</v>
      </c>
      <c r="S679" s="1217">
        <f t="shared" si="28"/>
        <v>507</v>
      </c>
      <c r="T679" s="60" t="s">
        <v>311</v>
      </c>
      <c r="U679" s="1864" t="s">
        <v>311</v>
      </c>
      <c r="V679" s="60" t="s">
        <v>2962</v>
      </c>
      <c r="W679" s="2026" t="s">
        <v>3051</v>
      </c>
      <c r="X679" s="18"/>
      <c r="Y679" s="4"/>
      <c r="Z679" s="4"/>
    </row>
    <row r="680" spans="1:26" ht="24.95" hidden="1">
      <c r="A680" s="20">
        <v>687</v>
      </c>
      <c r="B680" s="1063">
        <v>40457</v>
      </c>
      <c r="C680" s="60" t="s">
        <v>329</v>
      </c>
      <c r="D680" s="11" t="s">
        <v>6</v>
      </c>
      <c r="E680" s="18" t="s">
        <v>62</v>
      </c>
      <c r="F680" s="60" t="s">
        <v>1214</v>
      </c>
      <c r="G680" s="77" t="s">
        <v>3052</v>
      </c>
      <c r="H680" s="77" t="s">
        <v>201</v>
      </c>
      <c r="I680" s="77" t="s">
        <v>574</v>
      </c>
      <c r="J680" s="77" t="s">
        <v>1237</v>
      </c>
      <c r="K680" s="77" t="s">
        <v>1238</v>
      </c>
      <c r="L680" s="77" t="s">
        <v>3053</v>
      </c>
      <c r="M680" s="60">
        <v>4</v>
      </c>
      <c r="N680" s="77">
        <v>1</v>
      </c>
      <c r="O680" s="60">
        <v>3</v>
      </c>
      <c r="P680" s="60">
        <v>1</v>
      </c>
      <c r="Q680" s="60">
        <v>4</v>
      </c>
      <c r="R680" s="1217">
        <v>191</v>
      </c>
      <c r="S680" s="1217">
        <f t="shared" si="28"/>
        <v>573</v>
      </c>
      <c r="T680" s="60" t="s">
        <v>311</v>
      </c>
      <c r="U680" s="1864" t="s">
        <v>311</v>
      </c>
      <c r="V680" s="60" t="s">
        <v>2962</v>
      </c>
      <c r="W680" s="2026" t="s">
        <v>1239</v>
      </c>
      <c r="X680" s="18"/>
      <c r="Y680" s="4"/>
      <c r="Z680" s="4"/>
    </row>
    <row r="681" spans="1:26" ht="39" hidden="1">
      <c r="A681" s="20">
        <v>688</v>
      </c>
      <c r="B681" s="1063">
        <v>40458</v>
      </c>
      <c r="C681" s="18" t="s">
        <v>152</v>
      </c>
      <c r="D681" s="11" t="s">
        <v>6</v>
      </c>
      <c r="E681" s="18" t="s">
        <v>62</v>
      </c>
      <c r="F681" s="18" t="s">
        <v>1214</v>
      </c>
      <c r="G681" s="80" t="s">
        <v>3054</v>
      </c>
      <c r="H681" s="18" t="s">
        <v>166</v>
      </c>
      <c r="I681" s="18" t="s">
        <v>574</v>
      </c>
      <c r="J681" s="81" t="s">
        <v>3055</v>
      </c>
      <c r="K681" s="82" t="s">
        <v>3056</v>
      </c>
      <c r="L681" s="18" t="s">
        <v>3039</v>
      </c>
      <c r="M681" s="18">
        <v>4</v>
      </c>
      <c r="N681" s="18">
        <v>1</v>
      </c>
      <c r="O681" s="18">
        <v>4</v>
      </c>
      <c r="P681" s="18">
        <v>0</v>
      </c>
      <c r="Q681" s="18">
        <v>4</v>
      </c>
      <c r="R681" s="1215">
        <v>43</v>
      </c>
      <c r="S681" s="1215">
        <f t="shared" si="28"/>
        <v>172</v>
      </c>
      <c r="T681" s="18" t="s">
        <v>311</v>
      </c>
      <c r="U681" s="1859" t="s">
        <v>311</v>
      </c>
      <c r="V681" s="18" t="s">
        <v>2962</v>
      </c>
      <c r="W681" s="2021" t="s">
        <v>3057</v>
      </c>
      <c r="X681" s="18"/>
      <c r="Y681" s="4"/>
      <c r="Z681" s="4"/>
    </row>
    <row r="682" spans="1:26" ht="39" hidden="1">
      <c r="A682" s="20">
        <v>689</v>
      </c>
      <c r="B682" s="1063">
        <v>40459</v>
      </c>
      <c r="C682" s="18" t="s">
        <v>329</v>
      </c>
      <c r="D682" s="11" t="s">
        <v>6</v>
      </c>
      <c r="E682" s="18" t="s">
        <v>62</v>
      </c>
      <c r="F682" s="18" t="s">
        <v>1214</v>
      </c>
      <c r="G682" s="81" t="s">
        <v>3058</v>
      </c>
      <c r="H682" s="18" t="s">
        <v>184</v>
      </c>
      <c r="I682" s="18" t="s">
        <v>574</v>
      </c>
      <c r="J682" s="80" t="s">
        <v>3059</v>
      </c>
      <c r="K682" s="83" t="s">
        <v>3060</v>
      </c>
      <c r="L682" s="18" t="s">
        <v>3061</v>
      </c>
      <c r="M682" s="18">
        <v>4</v>
      </c>
      <c r="N682" s="18">
        <v>1</v>
      </c>
      <c r="O682" s="18">
        <v>4</v>
      </c>
      <c r="P682" s="18">
        <v>0</v>
      </c>
      <c r="Q682" s="18">
        <v>4</v>
      </c>
      <c r="R682" s="1215">
        <v>12</v>
      </c>
      <c r="S682" s="1215">
        <f t="shared" si="28"/>
        <v>48</v>
      </c>
      <c r="T682" s="18" t="s">
        <v>311</v>
      </c>
      <c r="U682" s="1859" t="s">
        <v>311</v>
      </c>
      <c r="V682" s="18" t="s">
        <v>2962</v>
      </c>
      <c r="W682" s="2021" t="s">
        <v>3062</v>
      </c>
      <c r="X682" s="18"/>
      <c r="Y682" s="4"/>
      <c r="Z682" s="4"/>
    </row>
    <row r="683" spans="1:26" ht="19.5" hidden="1" customHeight="1">
      <c r="A683" s="20">
        <v>690</v>
      </c>
      <c r="B683" s="1063">
        <v>40460</v>
      </c>
      <c r="C683" s="18" t="s">
        <v>3063</v>
      </c>
      <c r="D683" s="11"/>
      <c r="E683" s="18" t="s">
        <v>2722</v>
      </c>
      <c r="F683" s="18" t="s">
        <v>970</v>
      </c>
      <c r="G683" s="18"/>
      <c r="H683" s="18" t="s">
        <v>1002</v>
      </c>
      <c r="I683" s="18" t="s">
        <v>1002</v>
      </c>
      <c r="J683" s="18"/>
      <c r="K683" s="18"/>
      <c r="L683" s="18"/>
      <c r="M683" s="18">
        <v>2</v>
      </c>
      <c r="N683" s="18">
        <v>2</v>
      </c>
      <c r="O683" s="18"/>
      <c r="P683" s="18">
        <v>0</v>
      </c>
      <c r="Q683" s="18">
        <v>0</v>
      </c>
      <c r="R683" s="1215">
        <v>19950</v>
      </c>
      <c r="S683" s="1215">
        <v>40075</v>
      </c>
      <c r="T683" s="18" t="s">
        <v>3064</v>
      </c>
      <c r="U683" s="1859" t="s">
        <v>1886</v>
      </c>
      <c r="V683" s="18" t="s">
        <v>104</v>
      </c>
      <c r="W683" s="2021" t="s">
        <v>401</v>
      </c>
      <c r="X683" s="18"/>
      <c r="Y683" s="4"/>
      <c r="Z683" s="4"/>
    </row>
    <row r="684" spans="1:26" ht="26.1" hidden="1">
      <c r="A684" s="20">
        <v>691</v>
      </c>
      <c r="B684" s="1063">
        <v>40461</v>
      </c>
      <c r="C684" s="18" t="s">
        <v>3065</v>
      </c>
      <c r="D684" s="11" t="s">
        <v>6</v>
      </c>
      <c r="E684" s="71"/>
      <c r="F684" s="18" t="s">
        <v>1989</v>
      </c>
      <c r="G684" s="81" t="s">
        <v>3066</v>
      </c>
      <c r="H684" s="18" t="s">
        <v>3067</v>
      </c>
      <c r="I684" s="18" t="s">
        <v>1022</v>
      </c>
      <c r="J684" s="80" t="s">
        <v>3068</v>
      </c>
      <c r="K684" s="18">
        <v>856615</v>
      </c>
      <c r="L684" s="18" t="s">
        <v>3069</v>
      </c>
      <c r="M684" s="18" t="s">
        <v>3070</v>
      </c>
      <c r="N684" s="18" t="s">
        <v>3070</v>
      </c>
      <c r="O684" s="18">
        <v>1</v>
      </c>
      <c r="P684" s="18">
        <v>0</v>
      </c>
      <c r="Q684" s="18">
        <v>0</v>
      </c>
      <c r="R684" s="1215">
        <v>10388</v>
      </c>
      <c r="S684" s="1215">
        <v>10388</v>
      </c>
      <c r="T684" s="18" t="s">
        <v>3064</v>
      </c>
      <c r="U684" s="1859" t="s">
        <v>1993</v>
      </c>
      <c r="V684" s="18" t="s">
        <v>104</v>
      </c>
      <c r="W684" s="2021" t="s">
        <v>3071</v>
      </c>
      <c r="X684" s="18"/>
      <c r="Y684" s="4"/>
      <c r="Z684" s="4"/>
    </row>
    <row r="685" spans="1:26" ht="14.1" hidden="1">
      <c r="A685" s="20">
        <v>692</v>
      </c>
      <c r="B685" s="1063">
        <v>40462</v>
      </c>
      <c r="C685" s="18" t="s">
        <v>3072</v>
      </c>
      <c r="D685" s="11" t="s">
        <v>6</v>
      </c>
      <c r="E685" s="18" t="s">
        <v>2722</v>
      </c>
      <c r="F685" s="18" t="s">
        <v>131</v>
      </c>
      <c r="G685" s="18" t="s">
        <v>3073</v>
      </c>
      <c r="H685" s="18" t="s">
        <v>3074</v>
      </c>
      <c r="I685" s="18" t="s">
        <v>2691</v>
      </c>
      <c r="J685" s="18" t="s">
        <v>3075</v>
      </c>
      <c r="K685" s="18" t="s">
        <v>3075</v>
      </c>
      <c r="L685" s="18"/>
      <c r="M685" s="18" t="s">
        <v>3076</v>
      </c>
      <c r="N685" s="18" t="s">
        <v>3076</v>
      </c>
      <c r="O685" s="18" t="s">
        <v>3076</v>
      </c>
      <c r="P685" s="18" t="s">
        <v>3077</v>
      </c>
      <c r="Q685" s="18" t="s">
        <v>3076</v>
      </c>
      <c r="R685" s="1215" t="s">
        <v>3078</v>
      </c>
      <c r="S685" s="1215">
        <v>5400</v>
      </c>
      <c r="T685" s="18" t="s">
        <v>1123</v>
      </c>
      <c r="U685" s="1859" t="s">
        <v>118</v>
      </c>
      <c r="V685" s="18" t="s">
        <v>118</v>
      </c>
      <c r="W685" s="2020"/>
      <c r="X685" s="18"/>
      <c r="Y685" s="4"/>
      <c r="Z685" s="4"/>
    </row>
    <row r="686" spans="1:26" ht="26.1" hidden="1">
      <c r="A686" s="20">
        <v>693</v>
      </c>
      <c r="B686" s="1063">
        <v>40463</v>
      </c>
      <c r="C686" s="18" t="s">
        <v>3079</v>
      </c>
      <c r="D686" s="11"/>
      <c r="E686" s="18" t="s">
        <v>62</v>
      </c>
      <c r="F686" s="18" t="s">
        <v>116</v>
      </c>
      <c r="G686" s="18" t="s">
        <v>3080</v>
      </c>
      <c r="H686" s="18" t="s">
        <v>2717</v>
      </c>
      <c r="I686" s="18" t="s">
        <v>3081</v>
      </c>
      <c r="J686" s="57" t="s">
        <v>3082</v>
      </c>
      <c r="K686" s="56" t="s">
        <v>3083</v>
      </c>
      <c r="L686" s="18"/>
      <c r="M686" s="18">
        <v>2</v>
      </c>
      <c r="N686" s="18">
        <v>1</v>
      </c>
      <c r="O686" s="18">
        <v>2</v>
      </c>
      <c r="P686" s="18">
        <v>0</v>
      </c>
      <c r="Q686" s="18">
        <v>2</v>
      </c>
      <c r="R686" s="1215" t="s">
        <v>3084</v>
      </c>
      <c r="S686" s="1215" t="s">
        <v>3085</v>
      </c>
      <c r="T686" s="18" t="s">
        <v>3086</v>
      </c>
      <c r="U686" s="1859" t="s">
        <v>3087</v>
      </c>
      <c r="V686" s="18" t="s">
        <v>3088</v>
      </c>
      <c r="W686" s="2027" t="s">
        <v>3089</v>
      </c>
      <c r="X686" s="18" t="s">
        <v>3090</v>
      </c>
      <c r="Y686" s="4"/>
      <c r="Z686" s="4"/>
    </row>
    <row r="687" spans="1:26" ht="14.1" hidden="1">
      <c r="A687" s="20">
        <v>694</v>
      </c>
      <c r="B687" s="1063">
        <v>40464</v>
      </c>
      <c r="C687" s="18" t="s">
        <v>3091</v>
      </c>
      <c r="D687" s="11" t="s">
        <v>6</v>
      </c>
      <c r="E687" s="18" t="s">
        <v>62</v>
      </c>
      <c r="F687" s="18" t="s">
        <v>1214</v>
      </c>
      <c r="G687" s="18"/>
      <c r="H687" s="18" t="s">
        <v>1002</v>
      </c>
      <c r="I687" s="18" t="s">
        <v>1002</v>
      </c>
      <c r="J687" s="84"/>
      <c r="K687" s="18"/>
      <c r="L687" s="18"/>
      <c r="M687" s="18">
        <v>3</v>
      </c>
      <c r="N687" s="18">
        <v>1</v>
      </c>
      <c r="O687" s="18">
        <v>3</v>
      </c>
      <c r="P687" s="18">
        <v>0</v>
      </c>
      <c r="Q687" s="18">
        <v>3</v>
      </c>
      <c r="R687" s="1215">
        <v>36840</v>
      </c>
      <c r="S687" s="1215">
        <v>36840</v>
      </c>
      <c r="T687" s="18" t="s">
        <v>311</v>
      </c>
      <c r="U687" s="1859" t="s">
        <v>311</v>
      </c>
      <c r="V687" s="18" t="s">
        <v>2962</v>
      </c>
      <c r="W687" s="2020"/>
      <c r="X687" s="18"/>
      <c r="Y687" s="4"/>
      <c r="Z687" s="4"/>
    </row>
    <row r="688" spans="1:26" ht="14.1" hidden="1">
      <c r="A688" s="20">
        <v>695</v>
      </c>
      <c r="B688" s="1063">
        <v>40465</v>
      </c>
      <c r="C688" s="18" t="s">
        <v>3092</v>
      </c>
      <c r="D688" s="11" t="s">
        <v>6</v>
      </c>
      <c r="E688" s="18" t="s">
        <v>2722</v>
      </c>
      <c r="F688" s="18" t="s">
        <v>2143</v>
      </c>
      <c r="G688" s="18" t="s">
        <v>3093</v>
      </c>
      <c r="H688" s="18" t="s">
        <v>1002</v>
      </c>
      <c r="I688" s="18" t="s">
        <v>1002</v>
      </c>
      <c r="J688" s="18"/>
      <c r="K688" s="18"/>
      <c r="L688" s="18"/>
      <c r="M688" s="18">
        <v>1</v>
      </c>
      <c r="N688" s="18">
        <v>1</v>
      </c>
      <c r="O688" s="18">
        <v>4</v>
      </c>
      <c r="P688" s="18">
        <v>0</v>
      </c>
      <c r="Q688" s="18">
        <v>0</v>
      </c>
      <c r="R688" s="1215">
        <v>5770</v>
      </c>
      <c r="S688" s="1215">
        <v>21465</v>
      </c>
      <c r="T688" s="18" t="s">
        <v>3064</v>
      </c>
      <c r="U688" s="1859" t="s">
        <v>3094</v>
      </c>
      <c r="V688" s="18" t="s">
        <v>104</v>
      </c>
      <c r="W688" s="2021" t="s">
        <v>401</v>
      </c>
      <c r="X688" s="18"/>
      <c r="Y688" s="4"/>
      <c r="Z688" s="4"/>
    </row>
    <row r="689" spans="1:26" ht="26.1" hidden="1">
      <c r="A689" s="20">
        <v>696</v>
      </c>
      <c r="B689" s="1063">
        <v>40466</v>
      </c>
      <c r="C689" s="18" t="s">
        <v>3095</v>
      </c>
      <c r="D689" s="11" t="s">
        <v>6</v>
      </c>
      <c r="E689" s="18" t="s">
        <v>2722</v>
      </c>
      <c r="F689" s="18" t="s">
        <v>1569</v>
      </c>
      <c r="G689" s="85" t="s">
        <v>3096</v>
      </c>
      <c r="H689" s="86" t="s">
        <v>3097</v>
      </c>
      <c r="I689" s="18" t="s">
        <v>3098</v>
      </c>
      <c r="J689" s="85" t="s">
        <v>3099</v>
      </c>
      <c r="K689" s="85" t="s">
        <v>3100</v>
      </c>
      <c r="L689" s="18" t="s">
        <v>344</v>
      </c>
      <c r="M689" s="18">
        <v>1</v>
      </c>
      <c r="N689" s="18">
        <v>1</v>
      </c>
      <c r="O689" s="18">
        <v>10</v>
      </c>
      <c r="P689" s="18">
        <v>0</v>
      </c>
      <c r="Q689" s="18">
        <v>9</v>
      </c>
      <c r="R689" s="1215">
        <v>64</v>
      </c>
      <c r="S689" s="1215">
        <v>449</v>
      </c>
      <c r="T689" s="18" t="s">
        <v>3064</v>
      </c>
      <c r="U689" s="1859" t="s">
        <v>1638</v>
      </c>
      <c r="V689" s="18" t="s">
        <v>931</v>
      </c>
      <c r="W689" s="2021" t="s">
        <v>3101</v>
      </c>
      <c r="X689" s="18"/>
      <c r="Y689" s="4"/>
      <c r="Z689" s="4"/>
    </row>
    <row r="690" spans="1:26" ht="39" hidden="1">
      <c r="A690" s="20">
        <v>697</v>
      </c>
      <c r="B690" s="1063">
        <v>40467</v>
      </c>
      <c r="C690" s="18" t="s">
        <v>3095</v>
      </c>
      <c r="D690" s="11" t="s">
        <v>6</v>
      </c>
      <c r="E690" s="18" t="s">
        <v>2722</v>
      </c>
      <c r="F690" s="18" t="s">
        <v>1569</v>
      </c>
      <c r="G690" s="85" t="s">
        <v>3102</v>
      </c>
      <c r="H690" s="86" t="s">
        <v>3103</v>
      </c>
      <c r="I690" s="18" t="s">
        <v>3098</v>
      </c>
      <c r="J690" s="87" t="s">
        <v>3104</v>
      </c>
      <c r="K690" s="85" t="s">
        <v>3105</v>
      </c>
      <c r="L690" s="18" t="s">
        <v>344</v>
      </c>
      <c r="M690" s="18">
        <v>1</v>
      </c>
      <c r="N690" s="18">
        <v>1</v>
      </c>
      <c r="O690" s="18">
        <v>10</v>
      </c>
      <c r="P690" s="18">
        <v>0</v>
      </c>
      <c r="Q690" s="18">
        <v>9</v>
      </c>
      <c r="R690" s="1215">
        <v>64</v>
      </c>
      <c r="S690" s="1215">
        <v>498</v>
      </c>
      <c r="T690" s="18" t="s">
        <v>3064</v>
      </c>
      <c r="U690" s="1859" t="s">
        <v>1638</v>
      </c>
      <c r="V690" s="18" t="s">
        <v>931</v>
      </c>
      <c r="W690" s="2021" t="s">
        <v>3106</v>
      </c>
      <c r="X690" s="18"/>
      <c r="Y690" s="4"/>
      <c r="Z690" s="4"/>
    </row>
    <row r="691" spans="1:26" ht="26.1" hidden="1">
      <c r="A691" s="20">
        <v>698</v>
      </c>
      <c r="B691" s="1063">
        <v>40468</v>
      </c>
      <c r="C691" s="18" t="s">
        <v>3095</v>
      </c>
      <c r="D691" s="11" t="s">
        <v>6</v>
      </c>
      <c r="E691" s="18" t="s">
        <v>2722</v>
      </c>
      <c r="F691" s="18" t="s">
        <v>1569</v>
      </c>
      <c r="G691" s="85" t="s">
        <v>3107</v>
      </c>
      <c r="H691" s="88" t="s">
        <v>1715</v>
      </c>
      <c r="I691" s="18" t="s">
        <v>3098</v>
      </c>
      <c r="J691" s="87" t="s">
        <v>3108</v>
      </c>
      <c r="K691" s="85" t="s">
        <v>3109</v>
      </c>
      <c r="L691" s="18" t="s">
        <v>344</v>
      </c>
      <c r="M691" s="18">
        <v>1</v>
      </c>
      <c r="N691" s="18">
        <v>1</v>
      </c>
      <c r="O691" s="18">
        <v>10</v>
      </c>
      <c r="P691" s="18">
        <v>0</v>
      </c>
      <c r="Q691" s="18">
        <v>9</v>
      </c>
      <c r="R691" s="1215">
        <v>63</v>
      </c>
      <c r="S691" s="1215">
        <v>630</v>
      </c>
      <c r="T691" s="18" t="s">
        <v>3064</v>
      </c>
      <c r="U691" s="1859" t="s">
        <v>1638</v>
      </c>
      <c r="V691" s="18" t="s">
        <v>931</v>
      </c>
      <c r="W691" s="2021" t="s">
        <v>3110</v>
      </c>
      <c r="X691" s="18"/>
      <c r="Y691" s="4"/>
      <c r="Z691" s="4"/>
    </row>
    <row r="692" spans="1:26" ht="26.1" hidden="1">
      <c r="A692" s="20">
        <v>699</v>
      </c>
      <c r="B692" s="1063">
        <v>40469</v>
      </c>
      <c r="C692" s="18" t="s">
        <v>3095</v>
      </c>
      <c r="D692" s="11" t="s">
        <v>6</v>
      </c>
      <c r="E692" s="18" t="s">
        <v>2722</v>
      </c>
      <c r="F692" s="18" t="s">
        <v>1569</v>
      </c>
      <c r="G692" s="85" t="s">
        <v>3111</v>
      </c>
      <c r="H692" s="88" t="s">
        <v>1715</v>
      </c>
      <c r="I692" s="18" t="s">
        <v>574</v>
      </c>
      <c r="J692" s="85" t="s">
        <v>3112</v>
      </c>
      <c r="K692" s="85" t="s">
        <v>3113</v>
      </c>
      <c r="L692" s="18" t="s">
        <v>344</v>
      </c>
      <c r="M692" s="18">
        <v>1</v>
      </c>
      <c r="N692" s="18">
        <v>1</v>
      </c>
      <c r="O692" s="18">
        <v>10</v>
      </c>
      <c r="P692" s="18">
        <v>0</v>
      </c>
      <c r="Q692" s="18">
        <v>9</v>
      </c>
      <c r="R692" s="1215">
        <v>77</v>
      </c>
      <c r="S692" s="1215">
        <v>770</v>
      </c>
      <c r="T692" s="18" t="s">
        <v>3064</v>
      </c>
      <c r="U692" s="1859" t="s">
        <v>1638</v>
      </c>
      <c r="V692" s="18" t="s">
        <v>931</v>
      </c>
      <c r="W692" s="2021" t="s">
        <v>3114</v>
      </c>
      <c r="X692" s="18"/>
      <c r="Y692" s="4"/>
      <c r="Z692" s="4"/>
    </row>
    <row r="693" spans="1:26" ht="26.1" hidden="1">
      <c r="A693" s="20">
        <v>700</v>
      </c>
      <c r="B693" s="1063">
        <v>40470</v>
      </c>
      <c r="C693" s="18" t="s">
        <v>3115</v>
      </c>
      <c r="D693" s="11" t="s">
        <v>6</v>
      </c>
      <c r="E693" s="18" t="s">
        <v>2722</v>
      </c>
      <c r="F693" s="18" t="s">
        <v>1569</v>
      </c>
      <c r="G693" s="85" t="s">
        <v>3116</v>
      </c>
      <c r="H693" s="86" t="s">
        <v>460</v>
      </c>
      <c r="I693" s="18" t="s">
        <v>574</v>
      </c>
      <c r="J693" s="87" t="s">
        <v>3117</v>
      </c>
      <c r="K693" s="85" t="s">
        <v>3118</v>
      </c>
      <c r="L693" s="18" t="s">
        <v>1981</v>
      </c>
      <c r="M693" s="18">
        <v>1</v>
      </c>
      <c r="N693" s="18">
        <v>1</v>
      </c>
      <c r="O693" s="18">
        <v>10</v>
      </c>
      <c r="P693" s="18">
        <v>0</v>
      </c>
      <c r="Q693" s="18">
        <v>9</v>
      </c>
      <c r="R693" s="1215">
        <v>68</v>
      </c>
      <c r="S693" s="1215">
        <v>602</v>
      </c>
      <c r="T693" s="18" t="s">
        <v>3064</v>
      </c>
      <c r="U693" s="1859" t="s">
        <v>1638</v>
      </c>
      <c r="V693" s="18" t="s">
        <v>931</v>
      </c>
      <c r="W693" s="2021" t="s">
        <v>3119</v>
      </c>
      <c r="X693" s="18"/>
      <c r="Y693" s="4"/>
      <c r="Z693" s="4"/>
    </row>
    <row r="694" spans="1:26" ht="42" hidden="1">
      <c r="A694" s="20">
        <v>701</v>
      </c>
      <c r="B694" s="1063">
        <v>40471</v>
      </c>
      <c r="C694" s="18" t="s">
        <v>1667</v>
      </c>
      <c r="D694" s="11" t="s">
        <v>6</v>
      </c>
      <c r="E694" s="18" t="s">
        <v>2722</v>
      </c>
      <c r="F694" s="22" t="s">
        <v>1569</v>
      </c>
      <c r="G694" s="22" t="s">
        <v>1668</v>
      </c>
      <c r="H694" s="22" t="s">
        <v>230</v>
      </c>
      <c r="I694" s="22" t="s">
        <v>574</v>
      </c>
      <c r="J694" s="49" t="s">
        <v>1669</v>
      </c>
      <c r="K694" s="49" t="s">
        <v>1670</v>
      </c>
      <c r="L694" s="22" t="s">
        <v>1671</v>
      </c>
      <c r="M694" s="22">
        <v>3</v>
      </c>
      <c r="N694" s="22">
        <v>10</v>
      </c>
      <c r="O694" s="22">
        <v>10</v>
      </c>
      <c r="P694" s="22">
        <v>0</v>
      </c>
      <c r="Q694" s="22">
        <v>7</v>
      </c>
      <c r="R694" s="1201">
        <v>53</v>
      </c>
      <c r="S694" s="1201">
        <v>530</v>
      </c>
      <c r="T694" s="22" t="s">
        <v>929</v>
      </c>
      <c r="U694" s="1854" t="s">
        <v>1638</v>
      </c>
      <c r="V694" s="22" t="s">
        <v>931</v>
      </c>
      <c r="W694" s="2006" t="s">
        <v>1672</v>
      </c>
      <c r="X694" s="18"/>
      <c r="Y694" s="4"/>
      <c r="Z694" s="4"/>
    </row>
    <row r="695" spans="1:26" ht="37.5" hidden="1">
      <c r="A695" s="20">
        <v>702</v>
      </c>
      <c r="B695" s="1063">
        <v>40472</v>
      </c>
      <c r="C695" s="26" t="s">
        <v>3120</v>
      </c>
      <c r="D695" s="11" t="s">
        <v>6</v>
      </c>
      <c r="E695" s="89" t="s">
        <v>2722</v>
      </c>
      <c r="F695" s="26" t="s">
        <v>1569</v>
      </c>
      <c r="G695" s="85" t="s">
        <v>3121</v>
      </c>
      <c r="H695" s="618" t="s">
        <v>3122</v>
      </c>
      <c r="I695" s="71" t="s">
        <v>574</v>
      </c>
      <c r="J695" s="63" t="s">
        <v>3123</v>
      </c>
      <c r="K695" s="63" t="s">
        <v>3124</v>
      </c>
      <c r="L695" s="71" t="s">
        <v>3125</v>
      </c>
      <c r="M695" s="71">
        <v>1</v>
      </c>
      <c r="N695" s="71">
        <v>1</v>
      </c>
      <c r="O695" s="71">
        <v>10</v>
      </c>
      <c r="P695" s="71">
        <v>0</v>
      </c>
      <c r="Q695" s="71">
        <v>9</v>
      </c>
      <c r="R695" s="1215">
        <v>214</v>
      </c>
      <c r="S695" s="1218">
        <v>1889</v>
      </c>
      <c r="T695" s="71" t="s">
        <v>3064</v>
      </c>
      <c r="U695" s="1862" t="s">
        <v>1638</v>
      </c>
      <c r="V695" s="26" t="s">
        <v>352</v>
      </c>
      <c r="W695" s="2028" t="s">
        <v>3126</v>
      </c>
      <c r="X695" s="71"/>
      <c r="Y695" s="71"/>
      <c r="Z695" s="71"/>
    </row>
    <row r="696" spans="1:26" ht="27.95" hidden="1">
      <c r="A696" s="20">
        <v>703</v>
      </c>
      <c r="B696" s="1063">
        <v>40473</v>
      </c>
      <c r="C696" s="37" t="s">
        <v>2555</v>
      </c>
      <c r="D696" s="11" t="s">
        <v>6</v>
      </c>
      <c r="E696" s="89" t="s">
        <v>2722</v>
      </c>
      <c r="F696" s="22" t="s">
        <v>1989</v>
      </c>
      <c r="G696" s="22"/>
      <c r="H696" s="22" t="s">
        <v>2556</v>
      </c>
      <c r="I696" s="22" t="s">
        <v>2556</v>
      </c>
      <c r="J696" s="66" t="s">
        <v>2557</v>
      </c>
      <c r="K696" s="22"/>
      <c r="L696" s="22" t="s">
        <v>2557</v>
      </c>
      <c r="M696" s="22">
        <v>3</v>
      </c>
      <c r="N696" s="22">
        <v>1</v>
      </c>
      <c r="O696" s="22">
        <v>3</v>
      </c>
      <c r="P696" s="22">
        <v>0</v>
      </c>
      <c r="Q696" s="22">
        <v>0</v>
      </c>
      <c r="R696" s="1215">
        <v>5540.35</v>
      </c>
      <c r="S696" s="1201">
        <f>R696*O696</f>
        <v>16621.050000000003</v>
      </c>
      <c r="T696" s="22" t="s">
        <v>929</v>
      </c>
      <c r="U696" s="1854" t="s">
        <v>3127</v>
      </c>
      <c r="V696" s="22" t="s">
        <v>352</v>
      </c>
      <c r="W696" s="2006" t="s">
        <v>2558</v>
      </c>
      <c r="X696" s="18"/>
      <c r="Y696" s="4"/>
      <c r="Z696" s="4"/>
    </row>
    <row r="697" spans="1:26" ht="14.1" hidden="1">
      <c r="A697" s="20">
        <v>704</v>
      </c>
      <c r="B697" s="1063">
        <v>40474</v>
      </c>
      <c r="C697" s="18" t="s">
        <v>3128</v>
      </c>
      <c r="D697" s="11"/>
      <c r="E697" s="89" t="s">
        <v>2722</v>
      </c>
      <c r="F697" s="18" t="s">
        <v>1118</v>
      </c>
      <c r="G697" s="18" t="s">
        <v>3129</v>
      </c>
      <c r="H697" s="90" t="s">
        <v>3130</v>
      </c>
      <c r="I697" s="90" t="s">
        <v>3130</v>
      </c>
      <c r="J697" s="18" t="s">
        <v>3131</v>
      </c>
      <c r="K697" s="18" t="s">
        <v>3131</v>
      </c>
      <c r="L697" s="18" t="s">
        <v>3132</v>
      </c>
      <c r="M697" s="18">
        <v>1</v>
      </c>
      <c r="N697" s="18">
        <v>1</v>
      </c>
      <c r="O697" s="18">
        <v>1</v>
      </c>
      <c r="P697" s="18">
        <v>0</v>
      </c>
      <c r="Q697" s="18">
        <v>0</v>
      </c>
      <c r="R697" s="1215">
        <v>32614</v>
      </c>
      <c r="S697" s="1215">
        <v>32614</v>
      </c>
      <c r="T697" s="18" t="s">
        <v>3133</v>
      </c>
      <c r="U697" s="1859" t="s">
        <v>336</v>
      </c>
      <c r="V697" s="18" t="s">
        <v>3134</v>
      </c>
      <c r="W697" s="2028" t="s">
        <v>3135</v>
      </c>
      <c r="X697" s="18"/>
      <c r="Y697" s="4"/>
      <c r="Z697" s="4"/>
    </row>
    <row r="698" spans="1:26" ht="14.1" hidden="1">
      <c r="A698" s="20">
        <v>705</v>
      </c>
      <c r="B698" s="1063">
        <v>40475</v>
      </c>
      <c r="C698" s="18" t="s">
        <v>3136</v>
      </c>
      <c r="D698" s="11" t="s">
        <v>6</v>
      </c>
      <c r="E698" s="18" t="s">
        <v>62</v>
      </c>
      <c r="F698" s="18" t="s">
        <v>823</v>
      </c>
      <c r="G698" s="18" t="s">
        <v>3137</v>
      </c>
      <c r="H698" s="18" t="s">
        <v>3138</v>
      </c>
      <c r="I698" s="18" t="s">
        <v>84</v>
      </c>
      <c r="J698" s="71">
        <v>68289813</v>
      </c>
      <c r="K698" s="18" t="s">
        <v>3139</v>
      </c>
      <c r="L698" s="18"/>
      <c r="M698" s="18">
        <v>1</v>
      </c>
      <c r="N698" s="18">
        <v>1</v>
      </c>
      <c r="O698" s="18">
        <v>1</v>
      </c>
      <c r="P698" s="18">
        <v>0</v>
      </c>
      <c r="Q698" s="18">
        <v>0</v>
      </c>
      <c r="R698" s="1215">
        <v>3490</v>
      </c>
      <c r="S698" s="1215">
        <v>3490</v>
      </c>
      <c r="T698" s="18" t="s">
        <v>311</v>
      </c>
      <c r="U698" s="1859" t="s">
        <v>311</v>
      </c>
      <c r="V698" s="18" t="s">
        <v>3140</v>
      </c>
      <c r="W698" s="2021" t="s">
        <v>3141</v>
      </c>
      <c r="X698" s="18"/>
      <c r="Y698" s="4"/>
      <c r="Z698" s="4"/>
    </row>
    <row r="699" spans="1:26" ht="168.95" hidden="1">
      <c r="A699" s="20">
        <v>706</v>
      </c>
      <c r="B699" s="1063">
        <v>40476</v>
      </c>
      <c r="C699" s="18" t="s">
        <v>3142</v>
      </c>
      <c r="D699" s="11"/>
      <c r="E699" s="18" t="s">
        <v>62</v>
      </c>
      <c r="F699" s="18" t="s">
        <v>1118</v>
      </c>
      <c r="G699" s="18" t="s">
        <v>3143</v>
      </c>
      <c r="H699" s="18" t="s">
        <v>3144</v>
      </c>
      <c r="I699" s="18" t="s">
        <v>1022</v>
      </c>
      <c r="J699" s="91" t="s">
        <v>3145</v>
      </c>
      <c r="K699" s="18" t="s">
        <v>3146</v>
      </c>
      <c r="L699" s="18" t="s">
        <v>149</v>
      </c>
      <c r="M699" s="18">
        <v>1</v>
      </c>
      <c r="N699" s="18">
        <v>1</v>
      </c>
      <c r="O699" s="18">
        <v>1</v>
      </c>
      <c r="P699" s="18">
        <v>0</v>
      </c>
      <c r="Q699" s="18">
        <v>0</v>
      </c>
      <c r="R699" s="1215">
        <v>4480</v>
      </c>
      <c r="S699" s="1215">
        <v>4480</v>
      </c>
      <c r="T699" s="18" t="s">
        <v>1123</v>
      </c>
      <c r="U699" s="1859" t="s">
        <v>336</v>
      </c>
      <c r="V699" s="18" t="s">
        <v>3147</v>
      </c>
      <c r="W699" s="2021" t="s">
        <v>3148</v>
      </c>
      <c r="X699" s="18"/>
      <c r="Y699" s="4"/>
      <c r="Z699" s="4"/>
    </row>
    <row r="700" spans="1:26" ht="14.1" hidden="1">
      <c r="A700" s="20">
        <v>707</v>
      </c>
      <c r="B700" s="1063">
        <v>40477</v>
      </c>
      <c r="C700" s="18" t="s">
        <v>3149</v>
      </c>
      <c r="D700" s="11"/>
      <c r="E700" s="18" t="s">
        <v>62</v>
      </c>
      <c r="F700" s="18" t="s">
        <v>1118</v>
      </c>
      <c r="G700" s="18" t="s">
        <v>3150</v>
      </c>
      <c r="H700" s="18" t="s">
        <v>3151</v>
      </c>
      <c r="I700" s="619" t="s">
        <v>3152</v>
      </c>
      <c r="J700" s="18" t="s">
        <v>3153</v>
      </c>
      <c r="K700" s="18" t="s">
        <v>3154</v>
      </c>
      <c r="L700" s="18" t="s">
        <v>149</v>
      </c>
      <c r="M700" s="18">
        <v>1</v>
      </c>
      <c r="N700" s="18">
        <v>1</v>
      </c>
      <c r="O700" s="18">
        <v>1</v>
      </c>
      <c r="P700" s="18">
        <v>0</v>
      </c>
      <c r="Q700" s="18">
        <v>0</v>
      </c>
      <c r="R700" s="1215">
        <v>778</v>
      </c>
      <c r="S700" s="1215">
        <v>778</v>
      </c>
      <c r="T700" s="18" t="s">
        <v>1123</v>
      </c>
      <c r="U700" s="1859" t="s">
        <v>318</v>
      </c>
      <c r="V700" s="18" t="s">
        <v>3147</v>
      </c>
      <c r="W700" s="2028" t="s">
        <v>3155</v>
      </c>
      <c r="X700" s="18"/>
      <c r="Y700" s="4"/>
      <c r="Z700" s="4"/>
    </row>
    <row r="701" spans="1:26" ht="14.1" hidden="1">
      <c r="A701" s="20">
        <v>708</v>
      </c>
      <c r="B701" s="1063">
        <v>40478</v>
      </c>
      <c r="C701" s="18" t="s">
        <v>3156</v>
      </c>
      <c r="D701" s="11"/>
      <c r="E701" s="18" t="s">
        <v>62</v>
      </c>
      <c r="F701" s="18" t="s">
        <v>1118</v>
      </c>
      <c r="G701" s="18" t="s">
        <v>3157</v>
      </c>
      <c r="H701" s="18" t="s">
        <v>3151</v>
      </c>
      <c r="I701" s="619" t="s">
        <v>3152</v>
      </c>
      <c r="J701" s="18" t="s">
        <v>3158</v>
      </c>
      <c r="K701" s="18" t="s">
        <v>3159</v>
      </c>
      <c r="L701" s="18" t="s">
        <v>149</v>
      </c>
      <c r="M701" s="18">
        <v>1</v>
      </c>
      <c r="N701" s="18">
        <v>1</v>
      </c>
      <c r="O701" s="18">
        <v>1</v>
      </c>
      <c r="P701" s="18">
        <v>0</v>
      </c>
      <c r="Q701" s="18">
        <v>0</v>
      </c>
      <c r="R701" s="1215">
        <v>2700</v>
      </c>
      <c r="S701" s="1215">
        <v>2700</v>
      </c>
      <c r="T701" s="18" t="s">
        <v>1123</v>
      </c>
      <c r="U701" s="1859" t="s">
        <v>318</v>
      </c>
      <c r="V701" s="18" t="s">
        <v>3147</v>
      </c>
      <c r="W701" s="2021" t="s">
        <v>3160</v>
      </c>
      <c r="X701" s="18"/>
      <c r="Y701" s="4"/>
      <c r="Z701" s="4"/>
    </row>
    <row r="702" spans="1:26" ht="14.1" hidden="1">
      <c r="A702" s="20">
        <v>709</v>
      </c>
      <c r="B702" s="1063">
        <v>40479</v>
      </c>
      <c r="C702" s="18" t="s">
        <v>3161</v>
      </c>
      <c r="D702" s="11"/>
      <c r="E702" s="18" t="s">
        <v>62</v>
      </c>
      <c r="F702" s="18" t="s">
        <v>1118</v>
      </c>
      <c r="G702" s="18" t="s">
        <v>3132</v>
      </c>
      <c r="H702" s="18" t="s">
        <v>3162</v>
      </c>
      <c r="I702" s="619" t="s">
        <v>3152</v>
      </c>
      <c r="J702" s="18" t="s">
        <v>3163</v>
      </c>
      <c r="K702" s="18" t="s">
        <v>3164</v>
      </c>
      <c r="L702" s="18" t="s">
        <v>3165</v>
      </c>
      <c r="M702" s="18">
        <v>4</v>
      </c>
      <c r="N702" s="18">
        <v>4</v>
      </c>
      <c r="O702" s="18">
        <v>4</v>
      </c>
      <c r="P702" s="18">
        <v>0</v>
      </c>
      <c r="Q702" s="18">
        <v>0</v>
      </c>
      <c r="R702" s="1215">
        <v>1380</v>
      </c>
      <c r="S702" s="1215">
        <v>5962</v>
      </c>
      <c r="T702" s="18" t="s">
        <v>1123</v>
      </c>
      <c r="U702" s="1859" t="s">
        <v>318</v>
      </c>
      <c r="V702" s="18" t="s">
        <v>3147</v>
      </c>
      <c r="W702" s="2021" t="s">
        <v>3166</v>
      </c>
      <c r="X702" s="18"/>
      <c r="Y702" s="4"/>
      <c r="Z702" s="4"/>
    </row>
    <row r="703" spans="1:26" ht="37.5" hidden="1">
      <c r="A703" s="20">
        <v>710</v>
      </c>
      <c r="B703" s="1063">
        <v>40480</v>
      </c>
      <c r="C703" s="18" t="s">
        <v>1674</v>
      </c>
      <c r="D703" s="11" t="s">
        <v>6</v>
      </c>
      <c r="E703" s="18" t="s">
        <v>2722</v>
      </c>
      <c r="F703" s="18" t="s">
        <v>1569</v>
      </c>
      <c r="G703" s="85" t="s">
        <v>3167</v>
      </c>
      <c r="H703" s="88" t="s">
        <v>1865</v>
      </c>
      <c r="I703" s="18" t="s">
        <v>574</v>
      </c>
      <c r="J703" s="85" t="s">
        <v>3168</v>
      </c>
      <c r="K703" s="85" t="s">
        <v>3169</v>
      </c>
      <c r="L703" s="18" t="s">
        <v>344</v>
      </c>
      <c r="M703" s="18">
        <v>1</v>
      </c>
      <c r="N703" s="18">
        <v>1</v>
      </c>
      <c r="O703" s="18">
        <v>10</v>
      </c>
      <c r="P703" s="18">
        <v>0</v>
      </c>
      <c r="Q703" s="18">
        <v>9</v>
      </c>
      <c r="R703" s="1215">
        <v>70</v>
      </c>
      <c r="S703" s="1215">
        <v>589</v>
      </c>
      <c r="T703" s="18" t="s">
        <v>929</v>
      </c>
      <c r="U703" s="1859" t="s">
        <v>1638</v>
      </c>
      <c r="V703" s="18" t="s">
        <v>352</v>
      </c>
      <c r="W703" s="2028" t="s">
        <v>3170</v>
      </c>
      <c r="X703" s="18"/>
      <c r="Y703" s="4"/>
      <c r="Z703" s="4"/>
    </row>
    <row r="704" spans="1:26" ht="37.5" hidden="1">
      <c r="A704" s="20">
        <v>711</v>
      </c>
      <c r="B704" s="1063">
        <v>40481</v>
      </c>
      <c r="C704" s="18" t="s">
        <v>3171</v>
      </c>
      <c r="D704" s="11" t="s">
        <v>6</v>
      </c>
      <c r="E704" s="18" t="s">
        <v>2722</v>
      </c>
      <c r="F704" s="18" t="s">
        <v>1569</v>
      </c>
      <c r="G704" s="85" t="s">
        <v>3172</v>
      </c>
      <c r="H704" s="86" t="s">
        <v>3097</v>
      </c>
      <c r="I704" s="18" t="s">
        <v>574</v>
      </c>
      <c r="J704" s="85" t="s">
        <v>3173</v>
      </c>
      <c r="K704" s="85" t="s">
        <v>3174</v>
      </c>
      <c r="L704" s="18" t="s">
        <v>344</v>
      </c>
      <c r="M704" s="18">
        <v>1</v>
      </c>
      <c r="N704" s="18">
        <v>1</v>
      </c>
      <c r="O704" s="18">
        <v>10</v>
      </c>
      <c r="P704" s="18">
        <v>0</v>
      </c>
      <c r="Q704" s="18">
        <v>9</v>
      </c>
      <c r="R704" s="1215">
        <v>51</v>
      </c>
      <c r="S704" s="1215">
        <v>362</v>
      </c>
      <c r="T704" s="18" t="s">
        <v>929</v>
      </c>
      <c r="U704" s="1859" t="s">
        <v>1638</v>
      </c>
      <c r="V704" s="18" t="s">
        <v>352</v>
      </c>
      <c r="W704" s="2028" t="s">
        <v>3175</v>
      </c>
      <c r="X704" s="18"/>
      <c r="Y704" s="4"/>
      <c r="Z704" s="4"/>
    </row>
    <row r="705" spans="1:26" ht="24.95" hidden="1">
      <c r="A705" s="20">
        <v>712</v>
      </c>
      <c r="B705" s="1063">
        <v>40482</v>
      </c>
      <c r="C705" s="18" t="s">
        <v>3171</v>
      </c>
      <c r="D705" s="11" t="s">
        <v>6</v>
      </c>
      <c r="E705" s="18" t="s">
        <v>2722</v>
      </c>
      <c r="F705" s="18" t="s">
        <v>1569</v>
      </c>
      <c r="G705" s="85" t="s">
        <v>3176</v>
      </c>
      <c r="H705" s="86" t="s">
        <v>452</v>
      </c>
      <c r="I705" s="18" t="s">
        <v>574</v>
      </c>
      <c r="J705" s="85" t="s">
        <v>3177</v>
      </c>
      <c r="K705" s="85" t="s">
        <v>3178</v>
      </c>
      <c r="L705" s="18" t="s">
        <v>344</v>
      </c>
      <c r="M705" s="18">
        <v>1</v>
      </c>
      <c r="N705" s="18">
        <v>1</v>
      </c>
      <c r="O705" s="18">
        <v>10</v>
      </c>
      <c r="P705" s="18">
        <v>0</v>
      </c>
      <c r="Q705" s="18">
        <v>9</v>
      </c>
      <c r="R705" s="1215">
        <v>42</v>
      </c>
      <c r="S705" s="1215">
        <v>385</v>
      </c>
      <c r="T705" s="18" t="s">
        <v>929</v>
      </c>
      <c r="U705" s="1859" t="s">
        <v>1638</v>
      </c>
      <c r="V705" s="18" t="s">
        <v>352</v>
      </c>
      <c r="W705" s="2028" t="s">
        <v>3179</v>
      </c>
      <c r="X705" s="18"/>
      <c r="Y705" s="4"/>
      <c r="Z705" s="4"/>
    </row>
    <row r="706" spans="1:26" ht="14.1" hidden="1">
      <c r="A706" s="20">
        <v>713</v>
      </c>
      <c r="B706" s="1063">
        <v>40483</v>
      </c>
      <c r="C706" s="18" t="s">
        <v>3180</v>
      </c>
      <c r="D706" s="11"/>
      <c r="E706" s="18" t="s">
        <v>2722</v>
      </c>
      <c r="F706" s="18" t="s">
        <v>784</v>
      </c>
      <c r="G706" s="18" t="s">
        <v>3181</v>
      </c>
      <c r="H706" s="18" t="s">
        <v>786</v>
      </c>
      <c r="I706" s="18" t="s">
        <v>786</v>
      </c>
      <c r="J706" s="18" t="s">
        <v>149</v>
      </c>
      <c r="K706" s="18" t="s">
        <v>149</v>
      </c>
      <c r="L706" s="18" t="s">
        <v>3182</v>
      </c>
      <c r="M706" s="18">
        <v>4</v>
      </c>
      <c r="N706" s="18">
        <v>4</v>
      </c>
      <c r="O706" s="18">
        <v>4</v>
      </c>
      <c r="P706" s="18">
        <v>0</v>
      </c>
      <c r="Q706" s="18">
        <v>0</v>
      </c>
      <c r="R706" s="1215">
        <f>S706/4</f>
        <v>11325</v>
      </c>
      <c r="S706" s="1215">
        <v>45300</v>
      </c>
      <c r="T706" s="18" t="s">
        <v>1957</v>
      </c>
      <c r="U706" s="1859" t="s">
        <v>1886</v>
      </c>
      <c r="V706" s="18" t="s">
        <v>352</v>
      </c>
      <c r="W706" s="2020"/>
      <c r="X706" s="18"/>
      <c r="Y706" s="4"/>
      <c r="Z706" s="4"/>
    </row>
    <row r="707" spans="1:26" ht="26.1" hidden="1">
      <c r="A707" s="20">
        <v>714</v>
      </c>
      <c r="B707" s="1063">
        <v>40484</v>
      </c>
      <c r="C707" s="18" t="s">
        <v>3183</v>
      </c>
      <c r="D707" s="11" t="s">
        <v>6</v>
      </c>
      <c r="E707" s="18" t="s">
        <v>2722</v>
      </c>
      <c r="F707" s="18" t="s">
        <v>404</v>
      </c>
      <c r="G707" s="18" t="s">
        <v>3184</v>
      </c>
      <c r="H707" s="18" t="s">
        <v>3185</v>
      </c>
      <c r="I707" s="18" t="s">
        <v>2644</v>
      </c>
      <c r="J707" s="18" t="s">
        <v>3186</v>
      </c>
      <c r="K707" s="18" t="s">
        <v>3186</v>
      </c>
      <c r="L707" s="18" t="s">
        <v>1</v>
      </c>
      <c r="M707" s="18">
        <v>3</v>
      </c>
      <c r="N707" s="18">
        <v>1</v>
      </c>
      <c r="O707" s="18">
        <v>5</v>
      </c>
      <c r="P707" s="18">
        <v>0</v>
      </c>
      <c r="Q707" s="18">
        <v>2</v>
      </c>
      <c r="R707" s="1215">
        <v>9360</v>
      </c>
      <c r="S707" s="1215">
        <f>R707*O707</f>
        <v>46800</v>
      </c>
      <c r="T707" s="18" t="s">
        <v>1957</v>
      </c>
      <c r="U707" s="1859" t="s">
        <v>448</v>
      </c>
      <c r="V707" s="18" t="s">
        <v>3187</v>
      </c>
      <c r="W707" s="2021" t="s">
        <v>3188</v>
      </c>
      <c r="X707" s="18"/>
      <c r="Y707" s="4"/>
      <c r="Z707" s="4"/>
    </row>
    <row r="708" spans="1:26" ht="51.95" hidden="1">
      <c r="A708" s="20">
        <v>715</v>
      </c>
      <c r="B708" s="1063">
        <v>40485</v>
      </c>
      <c r="C708" s="18" t="s">
        <v>3189</v>
      </c>
      <c r="D708" s="11"/>
      <c r="E708" s="18" t="s">
        <v>683</v>
      </c>
      <c r="F708" s="18" t="s">
        <v>73</v>
      </c>
      <c r="G708" s="18" t="s">
        <v>3190</v>
      </c>
      <c r="H708" s="18" t="s">
        <v>366</v>
      </c>
      <c r="I708" s="18" t="s">
        <v>366</v>
      </c>
      <c r="J708" s="18" t="s">
        <v>3191</v>
      </c>
      <c r="K708" s="18" t="s">
        <v>3191</v>
      </c>
      <c r="L708" s="18" t="s">
        <v>1</v>
      </c>
      <c r="M708" s="18">
        <v>8</v>
      </c>
      <c r="N708" s="18">
        <v>1</v>
      </c>
      <c r="O708" s="18">
        <v>8</v>
      </c>
      <c r="P708" s="18">
        <v>0</v>
      </c>
      <c r="Q708" s="18">
        <v>0</v>
      </c>
      <c r="R708" s="1215">
        <v>82</v>
      </c>
      <c r="S708" s="1215">
        <v>656</v>
      </c>
      <c r="T708" s="18"/>
      <c r="U708" s="1859"/>
      <c r="V708" s="18" t="s">
        <v>689</v>
      </c>
      <c r="W708" s="2021" t="s">
        <v>3192</v>
      </c>
      <c r="X708" s="18"/>
      <c r="Y708" s="4"/>
      <c r="Z708" s="4"/>
    </row>
    <row r="709" spans="1:26" ht="51.95" hidden="1">
      <c r="A709" s="20">
        <v>716</v>
      </c>
      <c r="B709" s="1063">
        <v>40486</v>
      </c>
      <c r="C709" s="18" t="s">
        <v>3193</v>
      </c>
      <c r="D709" s="11"/>
      <c r="E709" s="18" t="s">
        <v>683</v>
      </c>
      <c r="F709" s="18" t="s">
        <v>73</v>
      </c>
      <c r="G709" s="18" t="s">
        <v>3194</v>
      </c>
      <c r="H709" s="18" t="s">
        <v>366</v>
      </c>
      <c r="I709" s="18" t="s">
        <v>366</v>
      </c>
      <c r="J709" s="18" t="s">
        <v>3195</v>
      </c>
      <c r="K709" s="18" t="s">
        <v>3195</v>
      </c>
      <c r="L709" s="18" t="s">
        <v>1</v>
      </c>
      <c r="M709" s="18">
        <v>36</v>
      </c>
      <c r="N709" s="18">
        <v>1</v>
      </c>
      <c r="O709" s="18">
        <v>36</v>
      </c>
      <c r="P709" s="18">
        <v>0</v>
      </c>
      <c r="Q709" s="18">
        <v>0</v>
      </c>
      <c r="R709" s="1215">
        <v>62</v>
      </c>
      <c r="S709" s="1215">
        <v>2232</v>
      </c>
      <c r="T709" s="18"/>
      <c r="U709" s="1859"/>
      <c r="V709" s="18" t="s">
        <v>689</v>
      </c>
      <c r="W709" s="2021" t="s">
        <v>3192</v>
      </c>
      <c r="X709" s="18"/>
      <c r="Y709" s="4"/>
      <c r="Z709" s="4"/>
    </row>
    <row r="710" spans="1:26" ht="51.95" hidden="1">
      <c r="A710" s="20">
        <v>717</v>
      </c>
      <c r="B710" s="1063">
        <v>40487</v>
      </c>
      <c r="C710" s="18" t="s">
        <v>3196</v>
      </c>
      <c r="D710" s="11"/>
      <c r="E710" s="18" t="s">
        <v>683</v>
      </c>
      <c r="F710" s="18" t="s">
        <v>73</v>
      </c>
      <c r="G710" s="92" t="s">
        <v>3197</v>
      </c>
      <c r="H710" s="18" t="s">
        <v>366</v>
      </c>
      <c r="I710" s="18" t="s">
        <v>366</v>
      </c>
      <c r="J710" s="18" t="s">
        <v>3198</v>
      </c>
      <c r="K710" s="18" t="s">
        <v>3198</v>
      </c>
      <c r="L710" s="18" t="s">
        <v>1</v>
      </c>
      <c r="M710" s="18">
        <v>2</v>
      </c>
      <c r="N710" s="18">
        <v>1</v>
      </c>
      <c r="O710" s="18">
        <v>2</v>
      </c>
      <c r="P710" s="18">
        <v>0</v>
      </c>
      <c r="Q710" s="18">
        <v>0</v>
      </c>
      <c r="R710" s="1215">
        <v>1300</v>
      </c>
      <c r="S710" s="1215">
        <v>2600</v>
      </c>
      <c r="T710" s="18"/>
      <c r="U710" s="1859"/>
      <c r="V710" s="18" t="s">
        <v>689</v>
      </c>
      <c r="W710" s="2021" t="s">
        <v>3199</v>
      </c>
      <c r="X710" s="18"/>
      <c r="Y710" s="4"/>
      <c r="Z710" s="4"/>
    </row>
    <row r="711" spans="1:26" ht="51.95" hidden="1">
      <c r="A711" s="20">
        <v>718</v>
      </c>
      <c r="B711" s="1063">
        <v>40488</v>
      </c>
      <c r="C711" s="18" t="s">
        <v>3196</v>
      </c>
      <c r="D711" s="11"/>
      <c r="E711" s="18" t="s">
        <v>683</v>
      </c>
      <c r="F711" s="18" t="s">
        <v>73</v>
      </c>
      <c r="G711" s="92" t="s">
        <v>3197</v>
      </c>
      <c r="H711" s="18" t="s">
        <v>366</v>
      </c>
      <c r="I711" s="18" t="s">
        <v>366</v>
      </c>
      <c r="J711" s="18" t="s">
        <v>3200</v>
      </c>
      <c r="K711" s="18" t="s">
        <v>3200</v>
      </c>
      <c r="L711" s="18" t="s">
        <v>1</v>
      </c>
      <c r="M711" s="18">
        <v>2</v>
      </c>
      <c r="N711" s="18">
        <v>1</v>
      </c>
      <c r="O711" s="18">
        <v>2</v>
      </c>
      <c r="P711" s="18">
        <v>0</v>
      </c>
      <c r="Q711" s="18">
        <v>0</v>
      </c>
      <c r="R711" s="1215">
        <v>3550</v>
      </c>
      <c r="S711" s="1215">
        <v>7100</v>
      </c>
      <c r="T711" s="18"/>
      <c r="U711" s="1859"/>
      <c r="V711" s="18" t="s">
        <v>689</v>
      </c>
      <c r="W711" s="2021" t="s">
        <v>3201</v>
      </c>
      <c r="X711" s="18"/>
      <c r="Y711" s="4"/>
      <c r="Z711" s="4"/>
    </row>
    <row r="712" spans="1:26" ht="26.1" hidden="1">
      <c r="A712" s="20">
        <v>719</v>
      </c>
      <c r="B712" s="1063">
        <v>40489</v>
      </c>
      <c r="C712" s="18" t="s">
        <v>3202</v>
      </c>
      <c r="D712" s="11"/>
      <c r="E712" s="18" t="s">
        <v>2722</v>
      </c>
      <c r="F712" s="18" t="s">
        <v>3203</v>
      </c>
      <c r="G712" s="18" t="s">
        <v>3204</v>
      </c>
      <c r="H712" s="18" t="s">
        <v>569</v>
      </c>
      <c r="I712" s="18" t="s">
        <v>569</v>
      </c>
      <c r="J712" s="18"/>
      <c r="K712" s="18"/>
      <c r="L712" s="18"/>
      <c r="M712" s="18">
        <v>1</v>
      </c>
      <c r="N712" s="18">
        <v>1</v>
      </c>
      <c r="O712" s="18">
        <v>0</v>
      </c>
      <c r="P712" s="18">
        <v>0</v>
      </c>
      <c r="Q712" s="18">
        <v>0</v>
      </c>
      <c r="R712" s="1215">
        <v>243400</v>
      </c>
      <c r="S712" s="1215">
        <v>243400</v>
      </c>
      <c r="T712" s="18" t="s">
        <v>929</v>
      </c>
      <c r="U712" s="1859" t="s">
        <v>301</v>
      </c>
      <c r="V712" s="18" t="s">
        <v>352</v>
      </c>
      <c r="W712" s="2020"/>
      <c r="X712" s="18" t="s">
        <v>3205</v>
      </c>
      <c r="Y712" s="4"/>
      <c r="Z712" s="4"/>
    </row>
    <row r="713" spans="1:26" ht="51.95" hidden="1">
      <c r="A713" s="20">
        <v>720</v>
      </c>
      <c r="B713" s="1063">
        <v>40490</v>
      </c>
      <c r="C713" s="18" t="s">
        <v>1183</v>
      </c>
      <c r="D713" s="11"/>
      <c r="E713" s="18" t="s">
        <v>683</v>
      </c>
      <c r="F713" s="18" t="s">
        <v>73</v>
      </c>
      <c r="G713" s="18" t="s">
        <v>3206</v>
      </c>
      <c r="H713" s="18" t="s">
        <v>3207</v>
      </c>
      <c r="I713" s="18" t="s">
        <v>366</v>
      </c>
      <c r="J713" s="18" t="s">
        <v>3208</v>
      </c>
      <c r="K713" s="18" t="s">
        <v>3208</v>
      </c>
      <c r="L713" s="18" t="s">
        <v>1</v>
      </c>
      <c r="M713" s="18">
        <v>5</v>
      </c>
      <c r="N713" s="18">
        <v>1</v>
      </c>
      <c r="O713" s="18">
        <v>5</v>
      </c>
      <c r="P713" s="18">
        <v>0</v>
      </c>
      <c r="Q713" s="18">
        <v>0</v>
      </c>
      <c r="R713" s="1215">
        <v>998</v>
      </c>
      <c r="S713" s="1215">
        <v>4990</v>
      </c>
      <c r="T713" s="18"/>
      <c r="U713" s="1859"/>
      <c r="V713" s="18" t="s">
        <v>689</v>
      </c>
      <c r="W713" s="2021" t="s">
        <v>3209</v>
      </c>
      <c r="X713" s="18"/>
      <c r="Y713" s="4"/>
      <c r="Z713" s="4"/>
    </row>
    <row r="714" spans="1:26" ht="26.1" hidden="1">
      <c r="A714" s="20">
        <v>721</v>
      </c>
      <c r="B714" s="1063">
        <v>40491</v>
      </c>
      <c r="C714" s="58" t="s">
        <v>329</v>
      </c>
      <c r="D714" s="11"/>
      <c r="E714" s="18" t="s">
        <v>2722</v>
      </c>
      <c r="F714" s="58" t="s">
        <v>2006</v>
      </c>
      <c r="G714" s="58" t="s">
        <v>3210</v>
      </c>
      <c r="H714" s="58" t="s">
        <v>651</v>
      </c>
      <c r="I714" s="58" t="s">
        <v>574</v>
      </c>
      <c r="J714" s="58" t="s">
        <v>1657</v>
      </c>
      <c r="K714" s="58" t="s">
        <v>1658</v>
      </c>
      <c r="L714" s="58" t="s">
        <v>3211</v>
      </c>
      <c r="M714" s="58">
        <v>58</v>
      </c>
      <c r="N714" s="58">
        <v>1</v>
      </c>
      <c r="O714" s="58">
        <v>20</v>
      </c>
      <c r="P714" s="58">
        <v>45</v>
      </c>
      <c r="Q714" s="58">
        <v>7</v>
      </c>
      <c r="R714" s="1219">
        <v>47</v>
      </c>
      <c r="S714" s="1219">
        <v>940</v>
      </c>
      <c r="T714" s="58" t="s">
        <v>929</v>
      </c>
      <c r="U714" s="1865" t="s">
        <v>3212</v>
      </c>
      <c r="V714" s="58" t="s">
        <v>104</v>
      </c>
      <c r="W714" s="2029" t="s">
        <v>3213</v>
      </c>
      <c r="X714" s="18"/>
      <c r="Y714" s="4"/>
      <c r="Z714" s="4"/>
    </row>
    <row r="715" spans="1:26" ht="26.1" hidden="1">
      <c r="A715" s="20">
        <v>722</v>
      </c>
      <c r="B715" s="1063">
        <v>40492</v>
      </c>
      <c r="C715" s="58" t="s">
        <v>329</v>
      </c>
      <c r="D715" s="11"/>
      <c r="E715" s="18" t="s">
        <v>2722</v>
      </c>
      <c r="F715" s="58" t="s">
        <v>2006</v>
      </c>
      <c r="G715" s="58" t="s">
        <v>3214</v>
      </c>
      <c r="H715" s="58" t="s">
        <v>1653</v>
      </c>
      <c r="I715" s="58" t="s">
        <v>574</v>
      </c>
      <c r="J715" s="58" t="s">
        <v>1654</v>
      </c>
      <c r="K715" s="58" t="s">
        <v>3215</v>
      </c>
      <c r="L715" s="58" t="s">
        <v>3211</v>
      </c>
      <c r="M715" s="58">
        <v>16</v>
      </c>
      <c r="N715" s="58">
        <v>1</v>
      </c>
      <c r="O715" s="58">
        <v>10</v>
      </c>
      <c r="P715" s="58">
        <v>13</v>
      </c>
      <c r="Q715" s="58">
        <v>7</v>
      </c>
      <c r="R715" s="1219">
        <v>17</v>
      </c>
      <c r="S715" s="1219">
        <v>170</v>
      </c>
      <c r="T715" s="58" t="s">
        <v>929</v>
      </c>
      <c r="U715" s="1865" t="s">
        <v>3212</v>
      </c>
      <c r="V715" s="58" t="s">
        <v>104</v>
      </c>
      <c r="W715" s="2029" t="s">
        <v>3216</v>
      </c>
      <c r="X715" s="18"/>
      <c r="Y715" s="4"/>
      <c r="Z715" s="4"/>
    </row>
    <row r="716" spans="1:26" ht="26.1" hidden="1">
      <c r="A716" s="20">
        <v>723</v>
      </c>
      <c r="B716" s="1063">
        <v>40493</v>
      </c>
      <c r="C716" s="58" t="s">
        <v>3217</v>
      </c>
      <c r="D716" s="11"/>
      <c r="E716" s="18" t="s">
        <v>2722</v>
      </c>
      <c r="F716" s="58" t="s">
        <v>2006</v>
      </c>
      <c r="G716" s="58" t="s">
        <v>3218</v>
      </c>
      <c r="H716" s="58" t="s">
        <v>1584</v>
      </c>
      <c r="I716" s="58" t="s">
        <v>1584</v>
      </c>
      <c r="J716" s="58" t="s">
        <v>3219</v>
      </c>
      <c r="K716" s="58" t="s">
        <v>3219</v>
      </c>
      <c r="L716" s="58" t="s">
        <v>3220</v>
      </c>
      <c r="M716" s="58">
        <v>2</v>
      </c>
      <c r="N716" s="58">
        <v>1</v>
      </c>
      <c r="O716" s="58">
        <v>8</v>
      </c>
      <c r="P716" s="58">
        <v>0</v>
      </c>
      <c r="Q716" s="58">
        <v>6</v>
      </c>
      <c r="R716" s="1219">
        <v>3975</v>
      </c>
      <c r="S716" s="1219">
        <v>31800</v>
      </c>
      <c r="T716" s="58" t="s">
        <v>929</v>
      </c>
      <c r="U716" s="1865" t="s">
        <v>3212</v>
      </c>
      <c r="V716" s="58" t="s">
        <v>104</v>
      </c>
      <c r="W716" s="2029" t="s">
        <v>3221</v>
      </c>
      <c r="X716" s="18"/>
      <c r="Y716" s="4"/>
      <c r="Z716" s="4"/>
    </row>
    <row r="717" spans="1:26" ht="26.1" hidden="1">
      <c r="A717" s="20">
        <v>724</v>
      </c>
      <c r="B717" s="1063">
        <v>40494</v>
      </c>
      <c r="C717" s="81" t="s">
        <v>3217</v>
      </c>
      <c r="D717" s="11"/>
      <c r="E717" s="18" t="s">
        <v>2722</v>
      </c>
      <c r="F717" s="58" t="s">
        <v>2006</v>
      </c>
      <c r="G717" s="81" t="s">
        <v>3222</v>
      </c>
      <c r="H717" s="81" t="s">
        <v>1715</v>
      </c>
      <c r="I717" s="81" t="s">
        <v>574</v>
      </c>
      <c r="J717" s="81" t="s">
        <v>3223</v>
      </c>
      <c r="K717" s="81" t="s">
        <v>3224</v>
      </c>
      <c r="L717" s="81" t="s">
        <v>3225</v>
      </c>
      <c r="M717" s="81">
        <v>2</v>
      </c>
      <c r="N717" s="81">
        <v>1</v>
      </c>
      <c r="O717" s="81">
        <v>7</v>
      </c>
      <c r="P717" s="81">
        <v>1</v>
      </c>
      <c r="Q717" s="58">
        <v>6</v>
      </c>
      <c r="R717" s="1219">
        <v>1457</v>
      </c>
      <c r="S717" s="1219">
        <v>10199</v>
      </c>
      <c r="T717" s="58" t="s">
        <v>929</v>
      </c>
      <c r="U717" s="1865" t="s">
        <v>3212</v>
      </c>
      <c r="V717" s="58" t="s">
        <v>104</v>
      </c>
      <c r="W717" s="2029" t="s">
        <v>3226</v>
      </c>
      <c r="X717" s="18"/>
      <c r="Y717" s="4"/>
      <c r="Z717" s="4"/>
    </row>
    <row r="718" spans="1:26" ht="39" hidden="1">
      <c r="A718" s="20">
        <v>725</v>
      </c>
      <c r="B718" s="1063">
        <v>40495</v>
      </c>
      <c r="C718" s="58" t="s">
        <v>3217</v>
      </c>
      <c r="D718" s="11"/>
      <c r="E718" s="18" t="s">
        <v>2722</v>
      </c>
      <c r="F718" s="58" t="s">
        <v>2006</v>
      </c>
      <c r="G718" s="58" t="s">
        <v>3227</v>
      </c>
      <c r="H718" s="58" t="s">
        <v>1715</v>
      </c>
      <c r="I718" s="58" t="s">
        <v>574</v>
      </c>
      <c r="J718" s="58" t="s">
        <v>3228</v>
      </c>
      <c r="K718" s="58" t="s">
        <v>1455</v>
      </c>
      <c r="L718" s="58" t="s">
        <v>3229</v>
      </c>
      <c r="M718" s="58">
        <v>2</v>
      </c>
      <c r="N718" s="58">
        <v>1</v>
      </c>
      <c r="O718" s="58">
        <v>10</v>
      </c>
      <c r="P718" s="58">
        <v>0</v>
      </c>
      <c r="Q718" s="58">
        <v>8</v>
      </c>
      <c r="R718" s="1219">
        <v>489</v>
      </c>
      <c r="S718" s="1219">
        <v>4890</v>
      </c>
      <c r="T718" s="58" t="s">
        <v>929</v>
      </c>
      <c r="U718" s="1865" t="s">
        <v>3212</v>
      </c>
      <c r="V718" s="58" t="s">
        <v>104</v>
      </c>
      <c r="W718" s="2029" t="s">
        <v>3230</v>
      </c>
      <c r="X718" s="18"/>
      <c r="Y718" s="4"/>
      <c r="Z718" s="4"/>
    </row>
    <row r="719" spans="1:26" ht="26.1" hidden="1">
      <c r="A719" s="20">
        <v>726</v>
      </c>
      <c r="B719" s="1063">
        <v>40496</v>
      </c>
      <c r="C719" s="58" t="s">
        <v>3231</v>
      </c>
      <c r="D719" s="11"/>
      <c r="E719" s="18" t="s">
        <v>2722</v>
      </c>
      <c r="F719" s="58" t="s">
        <v>2006</v>
      </c>
      <c r="G719" s="58" t="s">
        <v>3232</v>
      </c>
      <c r="H719" s="58" t="s">
        <v>1715</v>
      </c>
      <c r="I719" s="58" t="s">
        <v>574</v>
      </c>
      <c r="J719" s="58" t="s">
        <v>2135</v>
      </c>
      <c r="K719" s="58" t="s">
        <v>2136</v>
      </c>
      <c r="L719" s="58" t="s">
        <v>3233</v>
      </c>
      <c r="M719" s="58">
        <v>2</v>
      </c>
      <c r="N719" s="58">
        <v>1</v>
      </c>
      <c r="O719" s="58">
        <v>7</v>
      </c>
      <c r="P719" s="58">
        <v>1</v>
      </c>
      <c r="Q719" s="58">
        <v>6</v>
      </c>
      <c r="R719" s="1219">
        <v>70</v>
      </c>
      <c r="S719" s="1219">
        <v>490</v>
      </c>
      <c r="T719" s="58" t="s">
        <v>929</v>
      </c>
      <c r="U719" s="1865" t="s">
        <v>3212</v>
      </c>
      <c r="V719" s="58" t="s">
        <v>104</v>
      </c>
      <c r="W719" s="2029" t="s">
        <v>3234</v>
      </c>
      <c r="X719" s="18"/>
      <c r="Y719" s="4"/>
      <c r="Z719" s="4"/>
    </row>
    <row r="720" spans="1:26" ht="39" hidden="1">
      <c r="A720" s="20">
        <v>727</v>
      </c>
      <c r="B720" s="1063">
        <v>40497</v>
      </c>
      <c r="C720" s="81" t="s">
        <v>3235</v>
      </c>
      <c r="D720" s="11"/>
      <c r="E720" s="18" t="s">
        <v>2722</v>
      </c>
      <c r="F720" s="58" t="s">
        <v>2006</v>
      </c>
      <c r="G720" s="81" t="s">
        <v>3236</v>
      </c>
      <c r="H720" s="81" t="s">
        <v>3237</v>
      </c>
      <c r="I720" s="81" t="s">
        <v>574</v>
      </c>
      <c r="J720" s="81" t="s">
        <v>3238</v>
      </c>
      <c r="K720" s="81" t="s">
        <v>3239</v>
      </c>
      <c r="L720" s="58" t="s">
        <v>3240</v>
      </c>
      <c r="M720" s="81">
        <v>4</v>
      </c>
      <c r="N720" s="81">
        <v>1</v>
      </c>
      <c r="O720" s="81">
        <v>12</v>
      </c>
      <c r="P720" s="81">
        <v>0</v>
      </c>
      <c r="Q720" s="58">
        <v>8</v>
      </c>
      <c r="R720" s="1219">
        <v>468</v>
      </c>
      <c r="S720" s="1219">
        <v>5616</v>
      </c>
      <c r="T720" s="58" t="s">
        <v>929</v>
      </c>
      <c r="U720" s="1865" t="s">
        <v>3212</v>
      </c>
      <c r="V720" s="58" t="s">
        <v>104</v>
      </c>
      <c r="W720" s="2029" t="s">
        <v>3241</v>
      </c>
      <c r="X720" s="18"/>
      <c r="Y720" s="4"/>
      <c r="Z720" s="4"/>
    </row>
    <row r="721" spans="1:26" ht="39" hidden="1">
      <c r="A721" s="20">
        <v>728</v>
      </c>
      <c r="B721" s="1063">
        <v>40498</v>
      </c>
      <c r="C721" s="58" t="s">
        <v>188</v>
      </c>
      <c r="D721" s="11"/>
      <c r="E721" s="18" t="s">
        <v>2722</v>
      </c>
      <c r="F721" s="58" t="s">
        <v>2006</v>
      </c>
      <c r="G721" s="58" t="s">
        <v>3242</v>
      </c>
      <c r="H721" s="58" t="s">
        <v>3243</v>
      </c>
      <c r="I721" s="58" t="s">
        <v>574</v>
      </c>
      <c r="J721" s="58" t="s">
        <v>3244</v>
      </c>
      <c r="K721" s="58" t="s">
        <v>3245</v>
      </c>
      <c r="L721" s="58" t="s">
        <v>3211</v>
      </c>
      <c r="M721" s="58">
        <v>2</v>
      </c>
      <c r="N721" s="58">
        <v>1</v>
      </c>
      <c r="O721" s="58">
        <v>10</v>
      </c>
      <c r="P721" s="58">
        <v>0</v>
      </c>
      <c r="Q721" s="58">
        <v>8</v>
      </c>
      <c r="R721" s="1219">
        <v>17</v>
      </c>
      <c r="S721" s="1219">
        <v>170</v>
      </c>
      <c r="T721" s="58" t="s">
        <v>929</v>
      </c>
      <c r="U721" s="1865" t="s">
        <v>3212</v>
      </c>
      <c r="V721" s="58" t="s">
        <v>104</v>
      </c>
      <c r="W721" s="2029" t="s">
        <v>3246</v>
      </c>
      <c r="X721" s="18"/>
      <c r="Y721" s="4"/>
      <c r="Z721" s="4"/>
    </row>
    <row r="722" spans="1:26" ht="39" hidden="1">
      <c r="A722" s="20">
        <v>729</v>
      </c>
      <c r="B722" s="1063">
        <v>40499</v>
      </c>
      <c r="C722" s="58" t="s">
        <v>188</v>
      </c>
      <c r="D722" s="11"/>
      <c r="E722" s="18" t="s">
        <v>2722</v>
      </c>
      <c r="F722" s="58" t="s">
        <v>2006</v>
      </c>
      <c r="G722" s="58" t="s">
        <v>3247</v>
      </c>
      <c r="H722" s="58" t="s">
        <v>3243</v>
      </c>
      <c r="I722" s="58" t="s">
        <v>574</v>
      </c>
      <c r="J722" s="58" t="s">
        <v>3248</v>
      </c>
      <c r="K722" s="58" t="s">
        <v>3249</v>
      </c>
      <c r="L722" s="58" t="s">
        <v>3211</v>
      </c>
      <c r="M722" s="58">
        <v>2</v>
      </c>
      <c r="N722" s="58">
        <v>1</v>
      </c>
      <c r="O722" s="58">
        <v>10</v>
      </c>
      <c r="P722" s="58">
        <v>0</v>
      </c>
      <c r="Q722" s="58">
        <v>8</v>
      </c>
      <c r="R722" s="1219">
        <v>29</v>
      </c>
      <c r="S722" s="1219">
        <v>290</v>
      </c>
      <c r="T722" s="58" t="s">
        <v>929</v>
      </c>
      <c r="U722" s="1865" t="s">
        <v>3212</v>
      </c>
      <c r="V722" s="58" t="s">
        <v>104</v>
      </c>
      <c r="W722" s="2029" t="s">
        <v>3250</v>
      </c>
      <c r="X722" s="18"/>
      <c r="Y722" s="4"/>
      <c r="Z722" s="4"/>
    </row>
    <row r="723" spans="1:26" ht="39" hidden="1">
      <c r="A723" s="20">
        <v>730</v>
      </c>
      <c r="B723" s="1063">
        <v>40500</v>
      </c>
      <c r="C723" s="58" t="s">
        <v>188</v>
      </c>
      <c r="D723" s="11"/>
      <c r="E723" s="18" t="s">
        <v>2722</v>
      </c>
      <c r="F723" s="58" t="s">
        <v>2006</v>
      </c>
      <c r="G723" s="58" t="s">
        <v>3251</v>
      </c>
      <c r="H723" s="58" t="s">
        <v>3243</v>
      </c>
      <c r="I723" s="58" t="s">
        <v>574</v>
      </c>
      <c r="J723" s="58" t="s">
        <v>3252</v>
      </c>
      <c r="K723" s="58" t="s">
        <v>3253</v>
      </c>
      <c r="L723" s="58" t="s">
        <v>3211</v>
      </c>
      <c r="M723" s="58">
        <v>4</v>
      </c>
      <c r="N723" s="58">
        <v>1</v>
      </c>
      <c r="O723" s="58">
        <v>15</v>
      </c>
      <c r="P723" s="58">
        <v>0</v>
      </c>
      <c r="Q723" s="58">
        <v>11</v>
      </c>
      <c r="R723" s="1219">
        <v>29</v>
      </c>
      <c r="S723" s="1219">
        <v>435</v>
      </c>
      <c r="T723" s="58" t="s">
        <v>929</v>
      </c>
      <c r="U723" s="1865" t="s">
        <v>3212</v>
      </c>
      <c r="V723" s="58" t="s">
        <v>104</v>
      </c>
      <c r="W723" s="2029" t="s">
        <v>3254</v>
      </c>
      <c r="X723" s="18"/>
      <c r="Y723" s="4"/>
      <c r="Z723" s="4"/>
    </row>
    <row r="724" spans="1:26" ht="26.1" hidden="1">
      <c r="A724" s="20">
        <v>731</v>
      </c>
      <c r="B724" s="1063">
        <v>40501</v>
      </c>
      <c r="C724" s="58" t="s">
        <v>589</v>
      </c>
      <c r="D724" s="11"/>
      <c r="E724" s="18" t="s">
        <v>2722</v>
      </c>
      <c r="F724" s="58" t="s">
        <v>2006</v>
      </c>
      <c r="G724" s="58" t="s">
        <v>3255</v>
      </c>
      <c r="H724" s="58" t="s">
        <v>2120</v>
      </c>
      <c r="I724" s="58" t="s">
        <v>574</v>
      </c>
      <c r="J724" s="58" t="s">
        <v>2121</v>
      </c>
      <c r="K724" s="58" t="s">
        <v>3256</v>
      </c>
      <c r="L724" s="58" t="s">
        <v>3211</v>
      </c>
      <c r="M724" s="58">
        <v>2</v>
      </c>
      <c r="N724" s="58">
        <v>1</v>
      </c>
      <c r="O724" s="58">
        <v>10</v>
      </c>
      <c r="P724" s="58">
        <v>0</v>
      </c>
      <c r="Q724" s="58">
        <v>8</v>
      </c>
      <c r="R724" s="1219">
        <v>39</v>
      </c>
      <c r="S724" s="1219">
        <v>390</v>
      </c>
      <c r="T724" s="58" t="s">
        <v>929</v>
      </c>
      <c r="U724" s="1865" t="s">
        <v>3212</v>
      </c>
      <c r="V724" s="58" t="s">
        <v>104</v>
      </c>
      <c r="W724" s="2029" t="s">
        <v>3257</v>
      </c>
      <c r="X724" s="18"/>
      <c r="Y724" s="4"/>
      <c r="Z724" s="4"/>
    </row>
    <row r="725" spans="1:26" ht="26.1" hidden="1">
      <c r="A725" s="20">
        <v>732</v>
      </c>
      <c r="B725" s="1063">
        <v>40502</v>
      </c>
      <c r="C725" s="58" t="s">
        <v>589</v>
      </c>
      <c r="D725" s="11"/>
      <c r="E725" s="18" t="s">
        <v>2722</v>
      </c>
      <c r="F725" s="58" t="s">
        <v>2006</v>
      </c>
      <c r="G725" s="58" t="s">
        <v>3258</v>
      </c>
      <c r="H725" s="58" t="s">
        <v>2120</v>
      </c>
      <c r="I725" s="58" t="s">
        <v>574</v>
      </c>
      <c r="J725" s="58" t="s">
        <v>2125</v>
      </c>
      <c r="K725" s="58" t="s">
        <v>3259</v>
      </c>
      <c r="L725" s="58" t="s">
        <v>3211</v>
      </c>
      <c r="M725" s="58">
        <v>2</v>
      </c>
      <c r="N725" s="58">
        <v>1</v>
      </c>
      <c r="O725" s="58">
        <v>10</v>
      </c>
      <c r="P725" s="58">
        <v>0</v>
      </c>
      <c r="Q725" s="58">
        <v>8</v>
      </c>
      <c r="R725" s="1219">
        <v>59</v>
      </c>
      <c r="S725" s="1219">
        <v>590</v>
      </c>
      <c r="T725" s="58" t="s">
        <v>929</v>
      </c>
      <c r="U725" s="1865" t="s">
        <v>3212</v>
      </c>
      <c r="V725" s="58" t="s">
        <v>104</v>
      </c>
      <c r="W725" s="2029" t="s">
        <v>3260</v>
      </c>
      <c r="X725" s="18"/>
      <c r="Y725" s="4"/>
      <c r="Z725" s="4"/>
    </row>
    <row r="726" spans="1:26" ht="26.1" hidden="1">
      <c r="A726" s="20">
        <v>733</v>
      </c>
      <c r="B726" s="1063">
        <v>40503</v>
      </c>
      <c r="C726" s="58" t="s">
        <v>3261</v>
      </c>
      <c r="D726" s="11"/>
      <c r="E726" s="18" t="s">
        <v>2722</v>
      </c>
      <c r="F726" s="58" t="s">
        <v>2006</v>
      </c>
      <c r="G726" s="58" t="s">
        <v>3262</v>
      </c>
      <c r="H726" s="58" t="s">
        <v>1143</v>
      </c>
      <c r="I726" s="58" t="s">
        <v>574</v>
      </c>
      <c r="J726" s="58" t="s">
        <v>3263</v>
      </c>
      <c r="K726" s="58">
        <v>734151692</v>
      </c>
      <c r="L726" s="58" t="s">
        <v>2011</v>
      </c>
      <c r="M726" s="58">
        <v>4</v>
      </c>
      <c r="N726" s="58">
        <v>1</v>
      </c>
      <c r="O726" s="58">
        <v>10</v>
      </c>
      <c r="P726" s="58">
        <v>0</v>
      </c>
      <c r="Q726" s="58">
        <v>6</v>
      </c>
      <c r="R726" s="1219">
        <v>2.61</v>
      </c>
      <c r="S726" s="1219">
        <v>26.1</v>
      </c>
      <c r="T726" s="58" t="s">
        <v>929</v>
      </c>
      <c r="U726" s="1865" t="s">
        <v>3212</v>
      </c>
      <c r="V726" s="58" t="s">
        <v>104</v>
      </c>
      <c r="W726" s="2029" t="s">
        <v>3264</v>
      </c>
      <c r="X726" s="18"/>
      <c r="Y726" s="4"/>
      <c r="Z726" s="4"/>
    </row>
    <row r="727" spans="1:26" ht="26.1" hidden="1">
      <c r="A727" s="20">
        <v>734</v>
      </c>
      <c r="B727" s="1063">
        <v>40504</v>
      </c>
      <c r="C727" s="58" t="s">
        <v>3265</v>
      </c>
      <c r="D727" s="11"/>
      <c r="E727" s="18" t="s">
        <v>2722</v>
      </c>
      <c r="F727" s="58" t="s">
        <v>2006</v>
      </c>
      <c r="G727" s="58" t="s">
        <v>3266</v>
      </c>
      <c r="H727" s="58" t="s">
        <v>3267</v>
      </c>
      <c r="I727" s="58" t="s">
        <v>3268</v>
      </c>
      <c r="J727" s="58" t="s">
        <v>1</v>
      </c>
      <c r="K727" s="58" t="s">
        <v>1</v>
      </c>
      <c r="L727" s="58" t="s">
        <v>3269</v>
      </c>
      <c r="M727" s="58">
        <v>12</v>
      </c>
      <c r="N727" s="58">
        <v>1</v>
      </c>
      <c r="O727" s="58">
        <v>50</v>
      </c>
      <c r="P727" s="58">
        <v>4</v>
      </c>
      <c r="Q727" s="58">
        <v>32</v>
      </c>
      <c r="R727" s="1219">
        <v>475</v>
      </c>
      <c r="S727" s="1219">
        <v>16400</v>
      </c>
      <c r="T727" s="58" t="s">
        <v>929</v>
      </c>
      <c r="U727" s="1865" t="s">
        <v>3212</v>
      </c>
      <c r="V727" s="58" t="s">
        <v>104</v>
      </c>
      <c r="W727" s="2030" t="s">
        <v>3270</v>
      </c>
      <c r="X727" s="18"/>
      <c r="Y727" s="4"/>
      <c r="Z727" s="4"/>
    </row>
    <row r="728" spans="1:26" ht="51.95" hidden="1">
      <c r="A728" s="20">
        <v>735</v>
      </c>
      <c r="B728" s="1063">
        <v>40505</v>
      </c>
      <c r="C728" s="58" t="s">
        <v>3271</v>
      </c>
      <c r="D728" s="11"/>
      <c r="E728" s="18" t="s">
        <v>2722</v>
      </c>
      <c r="F728" s="58" t="s">
        <v>2006</v>
      </c>
      <c r="G728" s="58" t="s">
        <v>3272</v>
      </c>
      <c r="H728" s="58" t="s">
        <v>1579</v>
      </c>
      <c r="I728" s="58" t="s">
        <v>1579</v>
      </c>
      <c r="J728" s="58" t="s">
        <v>1577</v>
      </c>
      <c r="K728" s="58" t="s">
        <v>1577</v>
      </c>
      <c r="L728" s="58" t="s">
        <v>1276</v>
      </c>
      <c r="M728" s="58">
        <v>2</v>
      </c>
      <c r="N728" s="58">
        <v>1</v>
      </c>
      <c r="O728" s="58">
        <v>8</v>
      </c>
      <c r="P728" s="58">
        <v>0</v>
      </c>
      <c r="Q728" s="58">
        <v>6</v>
      </c>
      <c r="R728" s="1219">
        <v>10300</v>
      </c>
      <c r="S728" s="1219">
        <v>82400</v>
      </c>
      <c r="T728" s="58" t="s">
        <v>929</v>
      </c>
      <c r="U728" s="1865" t="s">
        <v>3212</v>
      </c>
      <c r="V728" s="58" t="s">
        <v>104</v>
      </c>
      <c r="W728" s="2031" t="s">
        <v>1581</v>
      </c>
      <c r="X728" s="18"/>
      <c r="Y728" s="4"/>
      <c r="Z728" s="4"/>
    </row>
    <row r="729" spans="1:26" ht="26.1" hidden="1">
      <c r="A729" s="20">
        <v>736</v>
      </c>
      <c r="B729" s="1063">
        <v>40506</v>
      </c>
      <c r="C729" s="81" t="s">
        <v>3273</v>
      </c>
      <c r="D729" s="11"/>
      <c r="E729" s="18" t="s">
        <v>2722</v>
      </c>
      <c r="F729" s="58" t="s">
        <v>2006</v>
      </c>
      <c r="G729" s="81" t="s">
        <v>3274</v>
      </c>
      <c r="H729" s="58" t="s">
        <v>1143</v>
      </c>
      <c r="I729" s="58" t="s">
        <v>574</v>
      </c>
      <c r="J729" s="81" t="s">
        <v>3275</v>
      </c>
      <c r="K729" s="81">
        <v>897616133</v>
      </c>
      <c r="L729" s="81" t="s">
        <v>1</v>
      </c>
      <c r="M729" s="81">
        <v>2</v>
      </c>
      <c r="N729" s="81">
        <v>1</v>
      </c>
      <c r="O729" s="81">
        <v>5</v>
      </c>
      <c r="P729" s="81">
        <v>0</v>
      </c>
      <c r="Q729" s="58">
        <v>3</v>
      </c>
      <c r="R729" s="1220">
        <v>10.58</v>
      </c>
      <c r="S729" s="1219">
        <v>52.9</v>
      </c>
      <c r="T729" s="58" t="s">
        <v>929</v>
      </c>
      <c r="U729" s="1865" t="s">
        <v>3212</v>
      </c>
      <c r="V729" s="58" t="s">
        <v>104</v>
      </c>
      <c r="W729" s="2029" t="s">
        <v>3276</v>
      </c>
      <c r="X729" s="18"/>
      <c r="Y729" s="4"/>
      <c r="Z729" s="4"/>
    </row>
    <row r="730" spans="1:26" ht="26.1" hidden="1">
      <c r="A730" s="20">
        <v>737</v>
      </c>
      <c r="B730" s="1063">
        <v>40507</v>
      </c>
      <c r="C730" s="81" t="s">
        <v>3277</v>
      </c>
      <c r="D730" s="11"/>
      <c r="E730" s="18" t="s">
        <v>2722</v>
      </c>
      <c r="F730" s="58" t="s">
        <v>2006</v>
      </c>
      <c r="G730" s="81" t="s">
        <v>3278</v>
      </c>
      <c r="H730" s="81" t="s">
        <v>2001</v>
      </c>
      <c r="I730" s="81" t="s">
        <v>574</v>
      </c>
      <c r="J730" s="81" t="s">
        <v>2002</v>
      </c>
      <c r="K730" s="81" t="s">
        <v>2003</v>
      </c>
      <c r="L730" s="81" t="s">
        <v>2011</v>
      </c>
      <c r="M730" s="81">
        <v>2</v>
      </c>
      <c r="N730" s="81">
        <v>1</v>
      </c>
      <c r="O730" s="81">
        <v>10</v>
      </c>
      <c r="P730" s="81">
        <v>0</v>
      </c>
      <c r="Q730" s="58">
        <v>8</v>
      </c>
      <c r="R730" s="1219">
        <v>107</v>
      </c>
      <c r="S730" s="1219">
        <v>1070</v>
      </c>
      <c r="T730" s="58" t="s">
        <v>929</v>
      </c>
      <c r="U730" s="1865" t="s">
        <v>3212</v>
      </c>
      <c r="V730" s="58" t="s">
        <v>104</v>
      </c>
      <c r="W730" s="2029" t="s">
        <v>3279</v>
      </c>
      <c r="X730" s="18"/>
      <c r="Y730" s="4"/>
      <c r="Z730" s="4"/>
    </row>
    <row r="731" spans="1:26" ht="26.1" hidden="1">
      <c r="A731" s="20">
        <v>738</v>
      </c>
      <c r="B731" s="1063">
        <v>40508</v>
      </c>
      <c r="C731" s="18" t="s">
        <v>3280</v>
      </c>
      <c r="D731" s="11"/>
      <c r="E731" s="18" t="s">
        <v>2722</v>
      </c>
      <c r="F731" s="18" t="s">
        <v>2693</v>
      </c>
      <c r="G731" s="18" t="s">
        <v>3281</v>
      </c>
      <c r="H731" s="18" t="s">
        <v>1078</v>
      </c>
      <c r="I731" s="18" t="s">
        <v>574</v>
      </c>
      <c r="J731" s="18" t="s">
        <v>1079</v>
      </c>
      <c r="K731" s="18" t="s">
        <v>1080</v>
      </c>
      <c r="L731" s="18"/>
      <c r="M731" s="18">
        <v>2</v>
      </c>
      <c r="N731" s="18"/>
      <c r="O731" s="18">
        <v>10</v>
      </c>
      <c r="P731" s="18">
        <v>4</v>
      </c>
      <c r="Q731" s="18">
        <v>12</v>
      </c>
      <c r="R731" s="1215">
        <v>945.7</v>
      </c>
      <c r="S731" s="1215">
        <v>9457</v>
      </c>
      <c r="T731" s="58" t="s">
        <v>929</v>
      </c>
      <c r="U731" s="1859" t="s">
        <v>3282</v>
      </c>
      <c r="V731" s="58" t="s">
        <v>104</v>
      </c>
      <c r="W731" s="2021" t="s">
        <v>3283</v>
      </c>
      <c r="X731" s="18"/>
      <c r="Y731" s="4"/>
      <c r="Z731" s="4"/>
    </row>
    <row r="732" spans="1:26" ht="26.1" hidden="1">
      <c r="A732" s="20">
        <v>739</v>
      </c>
      <c r="B732" s="1063">
        <v>40509</v>
      </c>
      <c r="C732" s="18" t="s">
        <v>3284</v>
      </c>
      <c r="D732" s="11"/>
      <c r="E732" s="18" t="s">
        <v>2722</v>
      </c>
      <c r="F732" s="18" t="s">
        <v>2693</v>
      </c>
      <c r="G732" s="18" t="s">
        <v>3285</v>
      </c>
      <c r="H732" s="18" t="s">
        <v>1073</v>
      </c>
      <c r="I732" s="18" t="s">
        <v>574</v>
      </c>
      <c r="J732" s="18" t="s">
        <v>1074</v>
      </c>
      <c r="K732" s="18" t="s">
        <v>1075</v>
      </c>
      <c r="L732" s="18"/>
      <c r="M732" s="18">
        <v>1</v>
      </c>
      <c r="N732" s="18"/>
      <c r="O732" s="18">
        <v>5</v>
      </c>
      <c r="P732" s="18">
        <v>1</v>
      </c>
      <c r="Q732" s="18">
        <v>5</v>
      </c>
      <c r="R732" s="1215">
        <v>276</v>
      </c>
      <c r="S732" s="1215">
        <v>1380</v>
      </c>
      <c r="T732" s="58" t="s">
        <v>929</v>
      </c>
      <c r="U732" s="1859" t="s">
        <v>3282</v>
      </c>
      <c r="V732" s="58" t="s">
        <v>104</v>
      </c>
      <c r="W732" s="2021" t="s">
        <v>1076</v>
      </c>
      <c r="X732" s="18"/>
      <c r="Y732" s="4"/>
      <c r="Z732" s="4"/>
    </row>
    <row r="733" spans="1:26" ht="39" hidden="1">
      <c r="A733" s="20">
        <v>740</v>
      </c>
      <c r="B733" s="1063">
        <v>40510</v>
      </c>
      <c r="C733" s="18" t="s">
        <v>346</v>
      </c>
      <c r="D733" s="11"/>
      <c r="E733" s="18" t="s">
        <v>2722</v>
      </c>
      <c r="F733" s="18" t="s">
        <v>2693</v>
      </c>
      <c r="G733" s="18" t="s">
        <v>3286</v>
      </c>
      <c r="H733" s="18" t="s">
        <v>348</v>
      </c>
      <c r="I733" s="18" t="s">
        <v>574</v>
      </c>
      <c r="J733" s="18" t="s">
        <v>2338</v>
      </c>
      <c r="K733" s="18" t="s">
        <v>2339</v>
      </c>
      <c r="L733" s="18"/>
      <c r="M733" s="18">
        <v>1</v>
      </c>
      <c r="N733" s="18"/>
      <c r="O733" s="18">
        <v>10</v>
      </c>
      <c r="P733" s="18">
        <v>0</v>
      </c>
      <c r="Q733" s="18">
        <v>9</v>
      </c>
      <c r="R733" s="1215">
        <v>218</v>
      </c>
      <c r="S733" s="1215">
        <v>2180</v>
      </c>
      <c r="T733" s="58" t="s">
        <v>929</v>
      </c>
      <c r="U733" s="1859" t="s">
        <v>3282</v>
      </c>
      <c r="V733" s="58" t="s">
        <v>104</v>
      </c>
      <c r="W733" s="2021" t="s">
        <v>2341</v>
      </c>
      <c r="X733" s="18"/>
      <c r="Y733" s="4"/>
      <c r="Z733" s="4"/>
    </row>
    <row r="734" spans="1:26" ht="26.1" hidden="1">
      <c r="A734" s="20">
        <v>741</v>
      </c>
      <c r="B734" s="1063">
        <v>40511</v>
      </c>
      <c r="C734" s="18" t="s">
        <v>3287</v>
      </c>
      <c r="D734" s="11"/>
      <c r="E734" s="18" t="s">
        <v>2722</v>
      </c>
      <c r="F734" s="18" t="s">
        <v>2693</v>
      </c>
      <c r="G734" s="18" t="s">
        <v>1084</v>
      </c>
      <c r="H734" s="18" t="s">
        <v>671</v>
      </c>
      <c r="I734" s="18" t="s">
        <v>574</v>
      </c>
      <c r="J734" s="18" t="s">
        <v>3288</v>
      </c>
      <c r="K734" s="18" t="s">
        <v>3288</v>
      </c>
      <c r="L734" s="18"/>
      <c r="M734" s="18">
        <v>1</v>
      </c>
      <c r="N734" s="18"/>
      <c r="O734" s="18">
        <v>5</v>
      </c>
      <c r="P734" s="18">
        <v>0</v>
      </c>
      <c r="Q734" s="18">
        <v>4</v>
      </c>
      <c r="R734" s="1215">
        <v>707</v>
      </c>
      <c r="S734" s="1215">
        <v>3535</v>
      </c>
      <c r="T734" s="58" t="s">
        <v>929</v>
      </c>
      <c r="U734" s="1859" t="s">
        <v>3282</v>
      </c>
      <c r="V734" s="58" t="s">
        <v>104</v>
      </c>
      <c r="W734" s="2021" t="s">
        <v>3289</v>
      </c>
      <c r="X734" s="18"/>
      <c r="Y734" s="4"/>
      <c r="Z734" s="4"/>
    </row>
    <row r="735" spans="1:26" ht="26.1" hidden="1">
      <c r="A735" s="20">
        <v>742</v>
      </c>
      <c r="B735" s="1063">
        <v>40512</v>
      </c>
      <c r="C735" s="18" t="s">
        <v>3290</v>
      </c>
      <c r="D735" s="11"/>
      <c r="E735" s="18" t="s">
        <v>2722</v>
      </c>
      <c r="F735" s="18" t="s">
        <v>2693</v>
      </c>
      <c r="G735" s="18" t="s">
        <v>1084</v>
      </c>
      <c r="H735" s="18" t="s">
        <v>1085</v>
      </c>
      <c r="I735" s="18" t="s">
        <v>574</v>
      </c>
      <c r="J735" s="18" t="s">
        <v>1087</v>
      </c>
      <c r="K735" s="18" t="s">
        <v>1087</v>
      </c>
      <c r="L735" s="18"/>
      <c r="M735" s="18">
        <v>1</v>
      </c>
      <c r="N735" s="18"/>
      <c r="O735" s="18">
        <v>5</v>
      </c>
      <c r="P735" s="18">
        <v>0</v>
      </c>
      <c r="Q735" s="18">
        <v>4</v>
      </c>
      <c r="R735" s="1215">
        <v>1005</v>
      </c>
      <c r="S735" s="1215">
        <v>5025</v>
      </c>
      <c r="T735" s="58" t="s">
        <v>929</v>
      </c>
      <c r="U735" s="1859" t="s">
        <v>3282</v>
      </c>
      <c r="V735" s="58" t="s">
        <v>104</v>
      </c>
      <c r="W735" s="2021" t="s">
        <v>1090</v>
      </c>
      <c r="X735" s="18"/>
      <c r="Y735" s="4"/>
      <c r="Z735" s="4"/>
    </row>
    <row r="736" spans="1:26" ht="26.1" hidden="1">
      <c r="A736" s="20">
        <v>743</v>
      </c>
      <c r="B736" s="1063">
        <v>40513</v>
      </c>
      <c r="C736" s="18" t="s">
        <v>3291</v>
      </c>
      <c r="D736" s="11"/>
      <c r="E736" s="18" t="s">
        <v>2722</v>
      </c>
      <c r="F736" s="18" t="s">
        <v>2693</v>
      </c>
      <c r="G736" s="18" t="s">
        <v>1084</v>
      </c>
      <c r="H736" s="18" t="s">
        <v>1143</v>
      </c>
      <c r="I736" s="18" t="s">
        <v>574</v>
      </c>
      <c r="J736" s="18" t="s">
        <v>1086</v>
      </c>
      <c r="K736" s="18" t="s">
        <v>3263</v>
      </c>
      <c r="L736" s="18"/>
      <c r="M736" s="18">
        <v>1</v>
      </c>
      <c r="N736" s="18"/>
      <c r="O736" s="18">
        <v>5</v>
      </c>
      <c r="P736" s="18">
        <v>0</v>
      </c>
      <c r="Q736" s="18">
        <v>4</v>
      </c>
      <c r="R736" s="1215">
        <v>308</v>
      </c>
      <c r="S736" s="1215">
        <v>1540</v>
      </c>
      <c r="T736" s="58" t="s">
        <v>929</v>
      </c>
      <c r="U736" s="1859" t="s">
        <v>3282</v>
      </c>
      <c r="V736" s="58" t="s">
        <v>104</v>
      </c>
      <c r="W736" s="2021" t="s">
        <v>3264</v>
      </c>
      <c r="X736" s="18"/>
      <c r="Y736" s="4"/>
      <c r="Z736" s="4"/>
    </row>
    <row r="737" spans="1:26" ht="26.1" hidden="1">
      <c r="A737" s="20">
        <v>744</v>
      </c>
      <c r="B737" s="1063">
        <v>40514</v>
      </c>
      <c r="C737" s="18" t="s">
        <v>3292</v>
      </c>
      <c r="D737" s="11"/>
      <c r="E737" s="18" t="s">
        <v>2722</v>
      </c>
      <c r="F737" s="18" t="s">
        <v>2693</v>
      </c>
      <c r="G737" s="18"/>
      <c r="H737" s="18" t="s">
        <v>3293</v>
      </c>
      <c r="I737" s="18" t="s">
        <v>574</v>
      </c>
      <c r="J737" s="18" t="s">
        <v>3292</v>
      </c>
      <c r="K737" s="18" t="s">
        <v>3294</v>
      </c>
      <c r="L737" s="18"/>
      <c r="M737" s="18">
        <v>1</v>
      </c>
      <c r="N737" s="18"/>
      <c r="O737" s="18">
        <v>10</v>
      </c>
      <c r="P737" s="18">
        <v>0</v>
      </c>
      <c r="Q737" s="18">
        <v>9</v>
      </c>
      <c r="R737" s="1215">
        <v>34.299999999999997</v>
      </c>
      <c r="S737" s="1215">
        <v>343</v>
      </c>
      <c r="T737" s="58" t="s">
        <v>929</v>
      </c>
      <c r="U737" s="1859" t="s">
        <v>3282</v>
      </c>
      <c r="V737" s="58" t="s">
        <v>104</v>
      </c>
      <c r="W737" s="2021" t="s">
        <v>3295</v>
      </c>
      <c r="X737" s="18"/>
      <c r="Y737" s="4"/>
      <c r="Z737" s="4"/>
    </row>
    <row r="738" spans="1:26" ht="26.1" hidden="1">
      <c r="A738" s="20">
        <v>745</v>
      </c>
      <c r="B738" s="1063">
        <v>40515</v>
      </c>
      <c r="C738" s="18" t="s">
        <v>3296</v>
      </c>
      <c r="D738" s="11"/>
      <c r="E738" s="18" t="s">
        <v>2722</v>
      </c>
      <c r="F738" s="18" t="s">
        <v>2693</v>
      </c>
      <c r="G738" s="18"/>
      <c r="H738" s="18" t="s">
        <v>3293</v>
      </c>
      <c r="I738" s="18" t="s">
        <v>574</v>
      </c>
      <c r="J738" s="18" t="s">
        <v>3296</v>
      </c>
      <c r="K738" s="18" t="s">
        <v>3297</v>
      </c>
      <c r="L738" s="18"/>
      <c r="M738" s="18">
        <v>1</v>
      </c>
      <c r="N738" s="18"/>
      <c r="O738" s="18">
        <v>10</v>
      </c>
      <c r="P738" s="18">
        <v>0</v>
      </c>
      <c r="Q738" s="18">
        <v>9</v>
      </c>
      <c r="R738" s="1215">
        <v>34.299999999999997</v>
      </c>
      <c r="S738" s="1215">
        <v>343</v>
      </c>
      <c r="T738" s="58" t="s">
        <v>929</v>
      </c>
      <c r="U738" s="1859" t="s">
        <v>3282</v>
      </c>
      <c r="V738" s="58" t="s">
        <v>104</v>
      </c>
      <c r="W738" s="2021" t="s">
        <v>3298</v>
      </c>
      <c r="X738" s="18"/>
      <c r="Y738" s="4"/>
      <c r="Z738" s="4"/>
    </row>
    <row r="739" spans="1:26" ht="26.1" hidden="1">
      <c r="A739" s="20">
        <v>746</v>
      </c>
      <c r="B739" s="1063">
        <v>40516</v>
      </c>
      <c r="C739" s="18" t="s">
        <v>3299</v>
      </c>
      <c r="D739" s="11"/>
      <c r="E739" s="18" t="s">
        <v>2722</v>
      </c>
      <c r="F739" s="18" t="s">
        <v>2693</v>
      </c>
      <c r="G739" s="18" t="s">
        <v>3300</v>
      </c>
      <c r="H739" s="18" t="s">
        <v>1092</v>
      </c>
      <c r="I739" s="18" t="s">
        <v>574</v>
      </c>
      <c r="J739" s="18" t="s">
        <v>2452</v>
      </c>
      <c r="K739" s="18" t="s">
        <v>3301</v>
      </c>
      <c r="L739" s="18"/>
      <c r="M739" s="18">
        <v>1</v>
      </c>
      <c r="N739" s="18"/>
      <c r="O739" s="18">
        <v>1</v>
      </c>
      <c r="P739" s="18">
        <v>0</v>
      </c>
      <c r="Q739" s="18">
        <v>1</v>
      </c>
      <c r="R739" s="1215">
        <v>5358</v>
      </c>
      <c r="S739" s="1215">
        <v>5358</v>
      </c>
      <c r="T739" s="58" t="s">
        <v>929</v>
      </c>
      <c r="U739" s="1859" t="s">
        <v>3282</v>
      </c>
      <c r="V739" s="58" t="s">
        <v>104</v>
      </c>
      <c r="W739" s="2021" t="s">
        <v>3302</v>
      </c>
      <c r="X739" s="18"/>
      <c r="Y739" s="4"/>
      <c r="Z739" s="4"/>
    </row>
    <row r="740" spans="1:26" ht="26.1" hidden="1">
      <c r="A740" s="20">
        <v>747</v>
      </c>
      <c r="B740" s="1063">
        <v>40517</v>
      </c>
      <c r="C740" s="18" t="s">
        <v>3303</v>
      </c>
      <c r="D740" s="11"/>
      <c r="E740" s="18" t="s">
        <v>2722</v>
      </c>
      <c r="F740" s="18" t="s">
        <v>2693</v>
      </c>
      <c r="G740" s="18" t="s">
        <v>3304</v>
      </c>
      <c r="H740" s="18" t="s">
        <v>1092</v>
      </c>
      <c r="I740" s="18" t="s">
        <v>574</v>
      </c>
      <c r="J740" s="18" t="s">
        <v>2470</v>
      </c>
      <c r="K740" s="18" t="s">
        <v>3305</v>
      </c>
      <c r="L740" s="18"/>
      <c r="M740" s="18">
        <v>1</v>
      </c>
      <c r="N740" s="18"/>
      <c r="O740" s="18">
        <v>1</v>
      </c>
      <c r="P740" s="18">
        <v>0</v>
      </c>
      <c r="Q740" s="18">
        <v>1</v>
      </c>
      <c r="R740" s="1215">
        <v>5358</v>
      </c>
      <c r="S740" s="1215">
        <v>5358</v>
      </c>
      <c r="T740" s="58" t="s">
        <v>929</v>
      </c>
      <c r="U740" s="1859" t="s">
        <v>3282</v>
      </c>
      <c r="V740" s="58" t="s">
        <v>104</v>
      </c>
      <c r="W740" s="2024" t="s">
        <v>3306</v>
      </c>
      <c r="X740" s="18"/>
      <c r="Y740" s="4"/>
      <c r="Z740" s="4"/>
    </row>
    <row r="741" spans="1:26" ht="14.1" hidden="1">
      <c r="A741" s="20">
        <v>748</v>
      </c>
      <c r="B741" s="1063">
        <v>40518</v>
      </c>
      <c r="C741" s="18" t="s">
        <v>3307</v>
      </c>
      <c r="D741" s="11"/>
      <c r="E741" s="18" t="s">
        <v>2722</v>
      </c>
      <c r="F741" s="18" t="s">
        <v>2693</v>
      </c>
      <c r="G741" s="18" t="s">
        <v>1057</v>
      </c>
      <c r="H741" s="18" t="s">
        <v>1002</v>
      </c>
      <c r="I741" s="18" t="s">
        <v>1002</v>
      </c>
      <c r="J741" s="18"/>
      <c r="K741" s="18"/>
      <c r="L741" s="18"/>
      <c r="M741" s="18">
        <v>1</v>
      </c>
      <c r="N741" s="18"/>
      <c r="O741" s="18">
        <v>2</v>
      </c>
      <c r="P741" s="18">
        <v>0</v>
      </c>
      <c r="Q741" s="18">
        <v>2</v>
      </c>
      <c r="R741" s="1215">
        <v>19935</v>
      </c>
      <c r="S741" s="1215">
        <v>36282</v>
      </c>
      <c r="T741" s="58" t="s">
        <v>929</v>
      </c>
      <c r="U741" s="1859" t="s">
        <v>3282</v>
      </c>
      <c r="V741" s="58" t="s">
        <v>104</v>
      </c>
      <c r="W741" s="2020"/>
      <c r="X741" s="18"/>
      <c r="Y741" s="4"/>
      <c r="Z741" s="4"/>
    </row>
    <row r="742" spans="1:26" ht="15.95" hidden="1">
      <c r="A742" s="20">
        <v>749</v>
      </c>
      <c r="B742" s="1063">
        <v>40519</v>
      </c>
      <c r="C742" s="18" t="s">
        <v>3308</v>
      </c>
      <c r="D742" s="11"/>
      <c r="E742" s="18" t="s">
        <v>2722</v>
      </c>
      <c r="F742" s="18" t="s">
        <v>3309</v>
      </c>
      <c r="G742" s="18" t="s">
        <v>3310</v>
      </c>
      <c r="H742" s="18" t="s">
        <v>3311</v>
      </c>
      <c r="I742" s="18" t="s">
        <v>3312</v>
      </c>
      <c r="J742" s="18"/>
      <c r="K742" s="93" t="s">
        <v>3313</v>
      </c>
      <c r="L742" s="18" t="s">
        <v>3314</v>
      </c>
      <c r="M742" s="18">
        <v>80</v>
      </c>
      <c r="N742" s="18">
        <v>4</v>
      </c>
      <c r="O742" s="18">
        <v>80</v>
      </c>
      <c r="P742" s="18">
        <v>0</v>
      </c>
      <c r="Q742" s="18">
        <v>80</v>
      </c>
      <c r="R742" s="1215">
        <v>1690</v>
      </c>
      <c r="S742" s="1215">
        <f>R742*20</f>
        <v>33800</v>
      </c>
      <c r="T742" s="58" t="s">
        <v>929</v>
      </c>
      <c r="U742" s="1859" t="s">
        <v>448</v>
      </c>
      <c r="V742" s="58" t="s">
        <v>104</v>
      </c>
      <c r="W742" s="2032" t="s">
        <v>3315</v>
      </c>
      <c r="X742" s="18"/>
      <c r="Y742" s="4"/>
      <c r="Z742" s="4"/>
    </row>
    <row r="743" spans="1:26" ht="24.95" hidden="1">
      <c r="A743" s="20">
        <v>750</v>
      </c>
      <c r="B743" s="1063">
        <v>40520</v>
      </c>
      <c r="C743" s="18" t="s">
        <v>3316</v>
      </c>
      <c r="D743" s="11"/>
      <c r="E743" s="18" t="s">
        <v>2722</v>
      </c>
      <c r="F743" s="18" t="s">
        <v>131</v>
      </c>
      <c r="G743" s="18" t="s">
        <v>3317</v>
      </c>
      <c r="H743" s="18" t="s">
        <v>3318</v>
      </c>
      <c r="I743" s="18" t="s">
        <v>39</v>
      </c>
      <c r="J743" s="18" t="s">
        <v>3319</v>
      </c>
      <c r="K743" s="18">
        <v>934126100</v>
      </c>
      <c r="L743" s="18" t="s">
        <v>3320</v>
      </c>
      <c r="M743" s="18">
        <v>2</v>
      </c>
      <c r="N743" s="18">
        <v>1</v>
      </c>
      <c r="O743" s="18">
        <v>4</v>
      </c>
      <c r="P743" s="18">
        <v>0</v>
      </c>
      <c r="Q743" s="18">
        <v>2</v>
      </c>
      <c r="R743" s="1215">
        <v>794</v>
      </c>
      <c r="S743" s="1215">
        <f t="shared" ref="S743:S744" si="29">R743*4</f>
        <v>3176</v>
      </c>
      <c r="T743" s="18" t="s">
        <v>3321</v>
      </c>
      <c r="U743" s="1859" t="s">
        <v>118</v>
      </c>
      <c r="V743" s="18" t="s">
        <v>118</v>
      </c>
      <c r="W743" s="2028" t="s">
        <v>3322</v>
      </c>
      <c r="X743" s="18"/>
      <c r="Y743" s="4"/>
      <c r="Z743" s="4"/>
    </row>
    <row r="744" spans="1:26" ht="24.95" hidden="1">
      <c r="A744" s="20">
        <v>751</v>
      </c>
      <c r="B744" s="1063">
        <v>40521</v>
      </c>
      <c r="C744" s="90" t="s">
        <v>3323</v>
      </c>
      <c r="D744" s="11"/>
      <c r="E744" s="18" t="s">
        <v>2722</v>
      </c>
      <c r="F744" s="18" t="s">
        <v>131</v>
      </c>
      <c r="G744" s="18" t="s">
        <v>3324</v>
      </c>
      <c r="H744" s="18" t="s">
        <v>3318</v>
      </c>
      <c r="I744" s="18" t="s">
        <v>39</v>
      </c>
      <c r="J744" s="18" t="s">
        <v>3325</v>
      </c>
      <c r="K744" s="18">
        <v>934127100</v>
      </c>
      <c r="L744" s="18" t="s">
        <v>3320</v>
      </c>
      <c r="M744" s="18">
        <v>2</v>
      </c>
      <c r="N744" s="18">
        <v>1</v>
      </c>
      <c r="O744" s="18">
        <v>4</v>
      </c>
      <c r="P744" s="18">
        <v>0</v>
      </c>
      <c r="Q744" s="18">
        <v>2</v>
      </c>
      <c r="R744" s="1215">
        <v>766</v>
      </c>
      <c r="S744" s="1215">
        <f t="shared" si="29"/>
        <v>3064</v>
      </c>
      <c r="T744" s="18" t="s">
        <v>3321</v>
      </c>
      <c r="U744" s="1859" t="s">
        <v>118</v>
      </c>
      <c r="V744" s="18" t="s">
        <v>118</v>
      </c>
      <c r="W744" s="2028" t="s">
        <v>3326</v>
      </c>
      <c r="X744" s="18"/>
      <c r="Y744" s="4"/>
      <c r="Z744" s="4"/>
    </row>
    <row r="745" spans="1:26" ht="51.95" hidden="1">
      <c r="A745" s="20">
        <v>752</v>
      </c>
      <c r="B745" s="1063">
        <v>40522</v>
      </c>
      <c r="C745" s="18" t="s">
        <v>3327</v>
      </c>
      <c r="D745" s="11"/>
      <c r="E745" s="18"/>
      <c r="F745" s="18" t="s">
        <v>73</v>
      </c>
      <c r="G745" s="18" t="s">
        <v>3328</v>
      </c>
      <c r="H745" s="18" t="s">
        <v>3207</v>
      </c>
      <c r="I745" s="18" t="s">
        <v>366</v>
      </c>
      <c r="J745" s="18" t="s">
        <v>3329</v>
      </c>
      <c r="K745" s="18" t="s">
        <v>3329</v>
      </c>
      <c r="L745" s="18" t="s">
        <v>1</v>
      </c>
      <c r="M745" s="18">
        <v>3</v>
      </c>
      <c r="N745" s="18">
        <v>1</v>
      </c>
      <c r="O745" s="18">
        <v>3</v>
      </c>
      <c r="P745" s="18">
        <v>0</v>
      </c>
      <c r="Q745" s="18">
        <v>3</v>
      </c>
      <c r="R745" s="1215">
        <v>418</v>
      </c>
      <c r="S745" s="1215">
        <v>1254</v>
      </c>
      <c r="T745" s="18"/>
      <c r="U745" s="1859"/>
      <c r="V745" s="18" t="s">
        <v>689</v>
      </c>
      <c r="W745" s="2021" t="s">
        <v>3330</v>
      </c>
      <c r="X745" s="18"/>
      <c r="Y745" s="4"/>
      <c r="Z745" s="4"/>
    </row>
    <row r="746" spans="1:26" ht="51.95" hidden="1">
      <c r="A746" s="20">
        <v>753</v>
      </c>
      <c r="B746" s="1063">
        <v>40523</v>
      </c>
      <c r="C746" s="18" t="s">
        <v>3327</v>
      </c>
      <c r="D746" s="11"/>
      <c r="E746" s="18"/>
      <c r="F746" s="18" t="s">
        <v>73</v>
      </c>
      <c r="G746" s="18" t="s">
        <v>3331</v>
      </c>
      <c r="H746" s="18" t="s">
        <v>3207</v>
      </c>
      <c r="I746" s="18" t="s">
        <v>366</v>
      </c>
      <c r="J746" s="18" t="s">
        <v>3332</v>
      </c>
      <c r="K746" s="18" t="s">
        <v>3332</v>
      </c>
      <c r="L746" s="18" t="s">
        <v>1</v>
      </c>
      <c r="M746" s="18">
        <v>3</v>
      </c>
      <c r="N746" s="18">
        <v>1</v>
      </c>
      <c r="O746" s="18">
        <v>3</v>
      </c>
      <c r="P746" s="18">
        <v>0</v>
      </c>
      <c r="Q746" s="18">
        <v>3</v>
      </c>
      <c r="R746" s="1215">
        <v>498</v>
      </c>
      <c r="S746" s="1215">
        <v>1494</v>
      </c>
      <c r="T746" s="18"/>
      <c r="U746" s="1859"/>
      <c r="V746" s="18" t="s">
        <v>689</v>
      </c>
      <c r="W746" s="2021" t="s">
        <v>3330</v>
      </c>
      <c r="X746" s="18"/>
      <c r="Y746" s="4"/>
      <c r="Z746" s="4"/>
    </row>
    <row r="747" spans="1:26" ht="14.1" hidden="1">
      <c r="A747" s="20">
        <v>754</v>
      </c>
      <c r="B747" s="1063">
        <v>40524</v>
      </c>
      <c r="C747" s="18" t="s">
        <v>3327</v>
      </c>
      <c r="D747" s="11"/>
      <c r="E747" s="18"/>
      <c r="F747" s="18" t="s">
        <v>73</v>
      </c>
      <c r="G747" s="18" t="s">
        <v>3333</v>
      </c>
      <c r="H747" s="18" t="s">
        <v>3334</v>
      </c>
      <c r="I747" s="18" t="s">
        <v>366</v>
      </c>
      <c r="J747" s="18">
        <v>4979874849335</v>
      </c>
      <c r="K747" s="18">
        <v>4979874849335</v>
      </c>
      <c r="L747" s="18" t="s">
        <v>1</v>
      </c>
      <c r="M747" s="18">
        <v>4</v>
      </c>
      <c r="N747" s="18">
        <v>4</v>
      </c>
      <c r="O747" s="18">
        <v>4</v>
      </c>
      <c r="P747" s="18">
        <v>0</v>
      </c>
      <c r="Q747" s="18">
        <v>4</v>
      </c>
      <c r="R747" s="1215">
        <v>2556</v>
      </c>
      <c r="S747" s="1215">
        <v>2556</v>
      </c>
      <c r="T747" s="18"/>
      <c r="U747" s="1859"/>
      <c r="V747" s="18" t="s">
        <v>689</v>
      </c>
      <c r="W747" s="2021" t="s">
        <v>3335</v>
      </c>
      <c r="X747" s="18"/>
      <c r="Y747" s="4"/>
      <c r="Z747" s="4"/>
    </row>
    <row r="748" spans="1:26" ht="65.099999999999994" hidden="1">
      <c r="A748" s="20">
        <v>755</v>
      </c>
      <c r="B748" s="1063">
        <v>40525</v>
      </c>
      <c r="C748" s="18" t="s">
        <v>3327</v>
      </c>
      <c r="D748" s="11"/>
      <c r="E748" s="18"/>
      <c r="F748" s="18" t="s">
        <v>73</v>
      </c>
      <c r="G748" s="18" t="s">
        <v>3336</v>
      </c>
      <c r="H748" s="18" t="s">
        <v>366</v>
      </c>
      <c r="I748" s="18" t="s">
        <v>366</v>
      </c>
      <c r="J748" s="18" t="s">
        <v>3337</v>
      </c>
      <c r="K748" s="18" t="s">
        <v>3337</v>
      </c>
      <c r="L748" s="18"/>
      <c r="M748" s="18">
        <v>1</v>
      </c>
      <c r="N748" s="18">
        <v>1</v>
      </c>
      <c r="O748" s="18">
        <v>1</v>
      </c>
      <c r="P748" s="18">
        <v>0</v>
      </c>
      <c r="Q748" s="18">
        <v>1</v>
      </c>
      <c r="R748" s="1215">
        <v>860</v>
      </c>
      <c r="S748" s="1215">
        <v>860</v>
      </c>
      <c r="T748" s="18"/>
      <c r="U748" s="1859"/>
      <c r="V748" s="18" t="s">
        <v>689</v>
      </c>
      <c r="W748" s="2021" t="s">
        <v>3338</v>
      </c>
      <c r="X748" s="18"/>
      <c r="Y748" s="4"/>
      <c r="Z748" s="4"/>
    </row>
    <row r="749" spans="1:26" ht="14.1" hidden="1">
      <c r="A749" s="20">
        <v>756</v>
      </c>
      <c r="B749" s="1063">
        <v>40526</v>
      </c>
      <c r="C749" s="18" t="s">
        <v>3339</v>
      </c>
      <c r="D749" s="11"/>
      <c r="E749" s="18" t="s">
        <v>2722</v>
      </c>
      <c r="F749" s="18" t="s">
        <v>2143</v>
      </c>
      <c r="G749" s="94" t="s">
        <v>3340</v>
      </c>
      <c r="H749" s="18" t="s">
        <v>1177</v>
      </c>
      <c r="I749" s="18" t="s">
        <v>366</v>
      </c>
      <c r="J749" s="95">
        <v>8889043</v>
      </c>
      <c r="K749" s="95">
        <v>4906554136348</v>
      </c>
      <c r="L749" s="18"/>
      <c r="M749" s="18">
        <v>1</v>
      </c>
      <c r="N749" s="18">
        <v>1</v>
      </c>
      <c r="O749" s="18">
        <v>1</v>
      </c>
      <c r="P749" s="18">
        <v>0</v>
      </c>
      <c r="Q749" s="18">
        <v>1</v>
      </c>
      <c r="R749" s="1215">
        <v>10800</v>
      </c>
      <c r="S749" s="1215">
        <v>10800</v>
      </c>
      <c r="T749" s="18" t="s">
        <v>929</v>
      </c>
      <c r="U749" s="1859" t="s">
        <v>3341</v>
      </c>
      <c r="V749" s="18" t="s">
        <v>3342</v>
      </c>
      <c r="W749" s="2028" t="s">
        <v>3343</v>
      </c>
      <c r="X749" s="18"/>
      <c r="Y749" s="4"/>
      <c r="Z749" s="4"/>
    </row>
    <row r="750" spans="1:26" ht="14.1" hidden="1">
      <c r="A750" s="20">
        <v>757</v>
      </c>
      <c r="B750" s="1063">
        <v>40527</v>
      </c>
      <c r="C750" s="18" t="s">
        <v>3344</v>
      </c>
      <c r="D750" s="11"/>
      <c r="E750" s="18" t="s">
        <v>2722</v>
      </c>
      <c r="F750" s="18" t="s">
        <v>2143</v>
      </c>
      <c r="G750" s="18" t="s">
        <v>3345</v>
      </c>
      <c r="H750" s="18" t="s">
        <v>1537</v>
      </c>
      <c r="I750" s="18" t="s">
        <v>366</v>
      </c>
      <c r="J750" s="18">
        <v>8475270</v>
      </c>
      <c r="K750" s="18" t="s">
        <v>1538</v>
      </c>
      <c r="L750" s="18"/>
      <c r="M750" s="18">
        <v>1</v>
      </c>
      <c r="N750" s="18">
        <v>1</v>
      </c>
      <c r="O750" s="18">
        <v>40</v>
      </c>
      <c r="P750" s="18">
        <v>0</v>
      </c>
      <c r="Q750" s="18">
        <v>40</v>
      </c>
      <c r="R750" s="1215">
        <v>218</v>
      </c>
      <c r="S750" s="1215">
        <v>7920</v>
      </c>
      <c r="T750" s="18" t="s">
        <v>929</v>
      </c>
      <c r="U750" s="1859" t="s">
        <v>3341</v>
      </c>
      <c r="V750" s="18" t="s">
        <v>3342</v>
      </c>
      <c r="W750" s="2028" t="s">
        <v>1539</v>
      </c>
      <c r="X750" s="18" t="s">
        <v>3346</v>
      </c>
      <c r="Y750" s="4"/>
      <c r="Z750" s="4"/>
    </row>
    <row r="751" spans="1:26" ht="62.45" hidden="1">
      <c r="A751" s="20">
        <v>758</v>
      </c>
      <c r="B751" s="1063">
        <v>40528</v>
      </c>
      <c r="C751" s="18" t="s">
        <v>3347</v>
      </c>
      <c r="D751" s="11"/>
      <c r="E751" s="18" t="s">
        <v>2722</v>
      </c>
      <c r="F751" s="18" t="s">
        <v>2143</v>
      </c>
      <c r="G751" s="18" t="s">
        <v>3348</v>
      </c>
      <c r="H751" s="18" t="s">
        <v>366</v>
      </c>
      <c r="I751" s="18" t="s">
        <v>366</v>
      </c>
      <c r="J751" s="18" t="s">
        <v>3349</v>
      </c>
      <c r="K751" s="18" t="s">
        <v>3349</v>
      </c>
      <c r="L751" s="18"/>
      <c r="M751" s="18">
        <v>1</v>
      </c>
      <c r="N751" s="18">
        <v>1</v>
      </c>
      <c r="O751" s="18">
        <v>10</v>
      </c>
      <c r="P751" s="18">
        <v>0</v>
      </c>
      <c r="Q751" s="18">
        <v>10</v>
      </c>
      <c r="R751" s="1215">
        <v>26</v>
      </c>
      <c r="S751" s="1215">
        <v>260</v>
      </c>
      <c r="T751" s="18" t="s">
        <v>1009</v>
      </c>
      <c r="U751" s="1859" t="s">
        <v>118</v>
      </c>
      <c r="V751" s="18" t="s">
        <v>3350</v>
      </c>
      <c r="W751" s="2028" t="s">
        <v>3351</v>
      </c>
      <c r="X751" s="18" t="s">
        <v>3352</v>
      </c>
      <c r="Y751" s="4"/>
      <c r="Z751" s="4"/>
    </row>
    <row r="752" spans="1:26" ht="39" hidden="1">
      <c r="A752" s="20">
        <v>759</v>
      </c>
      <c r="B752" s="1063">
        <v>40529</v>
      </c>
      <c r="C752" s="81" t="s">
        <v>3217</v>
      </c>
      <c r="D752" s="11" t="s">
        <v>6</v>
      </c>
      <c r="E752" s="18" t="s">
        <v>2722</v>
      </c>
      <c r="F752" s="81" t="s">
        <v>2839</v>
      </c>
      <c r="G752" s="81" t="s">
        <v>3353</v>
      </c>
      <c r="H752" s="81" t="s">
        <v>752</v>
      </c>
      <c r="I752" s="81" t="s">
        <v>574</v>
      </c>
      <c r="J752" s="81" t="s">
        <v>3354</v>
      </c>
      <c r="K752" s="81" t="s">
        <v>3355</v>
      </c>
      <c r="L752" s="81" t="s">
        <v>3356</v>
      </c>
      <c r="M752" s="81">
        <v>2</v>
      </c>
      <c r="N752" s="81">
        <v>1</v>
      </c>
      <c r="O752" s="81">
        <v>4</v>
      </c>
      <c r="P752" s="81">
        <v>0</v>
      </c>
      <c r="Q752" s="81">
        <f t="shared" ref="Q752:Q762" si="30">O752-M752+P752</f>
        <v>2</v>
      </c>
      <c r="R752" s="1220">
        <v>1503</v>
      </c>
      <c r="S752" s="1220">
        <f t="shared" ref="S752:S762" si="31">O752*R752</f>
        <v>6012</v>
      </c>
      <c r="T752" s="81" t="s">
        <v>929</v>
      </c>
      <c r="U752" s="1866" t="s">
        <v>3357</v>
      </c>
      <c r="V752" s="81" t="s">
        <v>104</v>
      </c>
      <c r="W752" s="2029" t="s">
        <v>3358</v>
      </c>
      <c r="X752" s="18"/>
      <c r="Y752" s="4"/>
      <c r="Z752" s="4"/>
    </row>
    <row r="753" spans="1:26" ht="26.1" hidden="1">
      <c r="A753" s="20">
        <v>760</v>
      </c>
      <c r="B753" s="1063">
        <v>40530</v>
      </c>
      <c r="C753" s="81" t="s">
        <v>3359</v>
      </c>
      <c r="D753" s="11" t="s">
        <v>6</v>
      </c>
      <c r="E753" s="18" t="s">
        <v>2722</v>
      </c>
      <c r="F753" s="81" t="s">
        <v>2839</v>
      </c>
      <c r="G753" s="81" t="s">
        <v>3360</v>
      </c>
      <c r="H753" s="81" t="s">
        <v>2920</v>
      </c>
      <c r="I753" s="81" t="s">
        <v>574</v>
      </c>
      <c r="J753" s="81" t="s">
        <v>3361</v>
      </c>
      <c r="K753" s="81">
        <v>2548</v>
      </c>
      <c r="L753" s="81" t="s">
        <v>3362</v>
      </c>
      <c r="M753" s="81">
        <v>1</v>
      </c>
      <c r="N753" s="81">
        <v>1</v>
      </c>
      <c r="O753" s="81">
        <v>1</v>
      </c>
      <c r="P753" s="81">
        <v>0</v>
      </c>
      <c r="Q753" s="81">
        <f t="shared" si="30"/>
        <v>0</v>
      </c>
      <c r="R753" s="1220">
        <v>1474</v>
      </c>
      <c r="S753" s="1220">
        <f t="shared" si="31"/>
        <v>1474</v>
      </c>
      <c r="T753" s="81" t="s">
        <v>929</v>
      </c>
      <c r="U753" s="1866" t="s">
        <v>3357</v>
      </c>
      <c r="V753" s="81" t="s">
        <v>104</v>
      </c>
      <c r="W753" s="2029" t="s">
        <v>3363</v>
      </c>
      <c r="X753" s="18"/>
      <c r="Y753" s="4"/>
      <c r="Z753" s="4"/>
    </row>
    <row r="754" spans="1:26" ht="26.1" hidden="1">
      <c r="A754" s="20">
        <v>761</v>
      </c>
      <c r="B754" s="1063">
        <v>40531</v>
      </c>
      <c r="C754" s="81" t="s">
        <v>3364</v>
      </c>
      <c r="D754" s="11" t="s">
        <v>6</v>
      </c>
      <c r="E754" s="18" t="s">
        <v>2722</v>
      </c>
      <c r="F754" s="81" t="s">
        <v>2839</v>
      </c>
      <c r="G754" s="81" t="s">
        <v>3365</v>
      </c>
      <c r="H754" s="81" t="s">
        <v>360</v>
      </c>
      <c r="I754" s="81" t="s">
        <v>574</v>
      </c>
      <c r="J754" s="81" t="s">
        <v>3366</v>
      </c>
      <c r="K754" s="81">
        <v>61300511121</v>
      </c>
      <c r="L754" s="81" t="s">
        <v>2063</v>
      </c>
      <c r="M754" s="81">
        <v>10</v>
      </c>
      <c r="N754" s="81">
        <v>1</v>
      </c>
      <c r="O754" s="81">
        <v>10</v>
      </c>
      <c r="P754" s="81">
        <v>0</v>
      </c>
      <c r="Q754" s="81">
        <f t="shared" si="30"/>
        <v>0</v>
      </c>
      <c r="R754" s="1220">
        <v>29</v>
      </c>
      <c r="S754" s="1220">
        <f t="shared" si="31"/>
        <v>290</v>
      </c>
      <c r="T754" s="81" t="s">
        <v>929</v>
      </c>
      <c r="U754" s="1866" t="s">
        <v>3357</v>
      </c>
      <c r="V754" s="81" t="s">
        <v>104</v>
      </c>
      <c r="W754" s="2029" t="s">
        <v>3367</v>
      </c>
      <c r="X754" s="18"/>
      <c r="Y754" s="4"/>
      <c r="Z754" s="4"/>
    </row>
    <row r="755" spans="1:26" ht="26.1" hidden="1">
      <c r="A755" s="20">
        <v>762</v>
      </c>
      <c r="B755" s="1063">
        <v>40532</v>
      </c>
      <c r="C755" s="81" t="s">
        <v>3368</v>
      </c>
      <c r="D755" s="11" t="s">
        <v>6</v>
      </c>
      <c r="E755" s="18" t="s">
        <v>2722</v>
      </c>
      <c r="F755" s="81" t="s">
        <v>2839</v>
      </c>
      <c r="G755" s="81" t="s">
        <v>3369</v>
      </c>
      <c r="H755" s="81" t="s">
        <v>2060</v>
      </c>
      <c r="I755" s="81" t="s">
        <v>574</v>
      </c>
      <c r="J755" s="81" t="s">
        <v>2061</v>
      </c>
      <c r="K755" s="81" t="s">
        <v>2062</v>
      </c>
      <c r="L755" s="81" t="s">
        <v>1276</v>
      </c>
      <c r="M755" s="81">
        <v>4</v>
      </c>
      <c r="N755" s="81">
        <v>1</v>
      </c>
      <c r="O755" s="81">
        <v>8</v>
      </c>
      <c r="P755" s="81">
        <v>0</v>
      </c>
      <c r="Q755" s="81">
        <f t="shared" si="30"/>
        <v>4</v>
      </c>
      <c r="R755" s="1220">
        <v>13</v>
      </c>
      <c r="S755" s="1220">
        <f t="shared" si="31"/>
        <v>104</v>
      </c>
      <c r="T755" s="81" t="s">
        <v>929</v>
      </c>
      <c r="U755" s="1866" t="s">
        <v>3357</v>
      </c>
      <c r="V755" s="81" t="s">
        <v>104</v>
      </c>
      <c r="W755" s="2029" t="s">
        <v>2064</v>
      </c>
      <c r="X755" s="18"/>
      <c r="Y755" s="4"/>
      <c r="Z755" s="4"/>
    </row>
    <row r="756" spans="1:26" ht="26.1" hidden="1">
      <c r="A756" s="20">
        <v>763</v>
      </c>
      <c r="B756" s="1063">
        <v>40533</v>
      </c>
      <c r="C756" s="81" t="s">
        <v>1083</v>
      </c>
      <c r="D756" s="11" t="s">
        <v>6</v>
      </c>
      <c r="E756" s="18" t="s">
        <v>2722</v>
      </c>
      <c r="F756" s="81" t="s">
        <v>2839</v>
      </c>
      <c r="G756" s="81" t="s">
        <v>3370</v>
      </c>
      <c r="H756" s="81" t="s">
        <v>1085</v>
      </c>
      <c r="I756" s="81" t="s">
        <v>574</v>
      </c>
      <c r="J756" s="81" t="s">
        <v>1086</v>
      </c>
      <c r="K756" s="81" t="s">
        <v>1087</v>
      </c>
      <c r="L756" s="81" t="s">
        <v>2011</v>
      </c>
      <c r="M756" s="81">
        <v>2</v>
      </c>
      <c r="N756" s="81">
        <v>1</v>
      </c>
      <c r="O756" s="81">
        <v>3</v>
      </c>
      <c r="P756" s="81">
        <v>0</v>
      </c>
      <c r="Q756" s="81">
        <f t="shared" si="30"/>
        <v>1</v>
      </c>
      <c r="R756" s="1220">
        <v>1085</v>
      </c>
      <c r="S756" s="1220">
        <f t="shared" si="31"/>
        <v>3255</v>
      </c>
      <c r="T756" s="81" t="s">
        <v>929</v>
      </c>
      <c r="U756" s="1866" t="s">
        <v>3357</v>
      </c>
      <c r="V756" s="81" t="s">
        <v>104</v>
      </c>
      <c r="W756" s="2029" t="s">
        <v>3371</v>
      </c>
      <c r="X756" s="18"/>
      <c r="Y756" s="4"/>
      <c r="Z756" s="4"/>
    </row>
    <row r="757" spans="1:26" ht="26.1" hidden="1">
      <c r="A757" s="20">
        <v>764</v>
      </c>
      <c r="B757" s="1063">
        <v>40534</v>
      </c>
      <c r="C757" s="81" t="s">
        <v>3273</v>
      </c>
      <c r="D757" s="11" t="s">
        <v>6</v>
      </c>
      <c r="E757" s="18" t="s">
        <v>2722</v>
      </c>
      <c r="F757" s="81" t="s">
        <v>2839</v>
      </c>
      <c r="G757" s="81" t="s">
        <v>3372</v>
      </c>
      <c r="H757" s="81" t="s">
        <v>1085</v>
      </c>
      <c r="I757" s="81" t="s">
        <v>574</v>
      </c>
      <c r="J757" s="81" t="s">
        <v>3373</v>
      </c>
      <c r="K757" s="81" t="s">
        <v>3374</v>
      </c>
      <c r="L757" s="81" t="s">
        <v>3362</v>
      </c>
      <c r="M757" s="81">
        <v>2</v>
      </c>
      <c r="N757" s="81">
        <v>1</v>
      </c>
      <c r="O757" s="81">
        <v>3</v>
      </c>
      <c r="P757" s="81">
        <v>0</v>
      </c>
      <c r="Q757" s="81">
        <f t="shared" si="30"/>
        <v>1</v>
      </c>
      <c r="R757" s="1220">
        <v>1437</v>
      </c>
      <c r="S757" s="1220">
        <f t="shared" si="31"/>
        <v>4311</v>
      </c>
      <c r="T757" s="81" t="s">
        <v>929</v>
      </c>
      <c r="U757" s="1866" t="s">
        <v>3357</v>
      </c>
      <c r="V757" s="81" t="s">
        <v>104</v>
      </c>
      <c r="W757" s="2029" t="s">
        <v>3375</v>
      </c>
      <c r="X757" s="18"/>
      <c r="Y757" s="4"/>
      <c r="Z757" s="4"/>
    </row>
    <row r="758" spans="1:26" ht="39" hidden="1">
      <c r="A758" s="20">
        <v>765</v>
      </c>
      <c r="B758" s="1063">
        <v>40535</v>
      </c>
      <c r="C758" s="81" t="s">
        <v>329</v>
      </c>
      <c r="D758" s="11" t="s">
        <v>6</v>
      </c>
      <c r="E758" s="18" t="s">
        <v>2722</v>
      </c>
      <c r="F758" s="81" t="s">
        <v>2839</v>
      </c>
      <c r="G758" s="81" t="s">
        <v>3376</v>
      </c>
      <c r="H758" s="81" t="s">
        <v>1653</v>
      </c>
      <c r="I758" s="81" t="s">
        <v>574</v>
      </c>
      <c r="J758" s="81" t="s">
        <v>3377</v>
      </c>
      <c r="K758" s="81" t="s">
        <v>3378</v>
      </c>
      <c r="L758" s="58" t="s">
        <v>3211</v>
      </c>
      <c r="M758" s="81">
        <v>10</v>
      </c>
      <c r="N758" s="81">
        <v>1</v>
      </c>
      <c r="O758" s="81">
        <v>20</v>
      </c>
      <c r="P758" s="81">
        <v>0</v>
      </c>
      <c r="Q758" s="81">
        <f t="shared" si="30"/>
        <v>10</v>
      </c>
      <c r="R758" s="1220">
        <v>17</v>
      </c>
      <c r="S758" s="1220">
        <f t="shared" si="31"/>
        <v>340</v>
      </c>
      <c r="T758" s="81" t="s">
        <v>929</v>
      </c>
      <c r="U758" s="1866" t="s">
        <v>3357</v>
      </c>
      <c r="V758" s="81" t="s">
        <v>104</v>
      </c>
      <c r="W758" s="2029" t="s">
        <v>3379</v>
      </c>
      <c r="X758" s="18"/>
      <c r="Y758" s="4"/>
      <c r="Z758" s="4"/>
    </row>
    <row r="759" spans="1:26" ht="39" hidden="1">
      <c r="A759" s="20">
        <v>766</v>
      </c>
      <c r="B759" s="1063">
        <v>40536</v>
      </c>
      <c r="C759" s="81" t="s">
        <v>329</v>
      </c>
      <c r="D759" s="11" t="s">
        <v>6</v>
      </c>
      <c r="E759" s="18" t="s">
        <v>2722</v>
      </c>
      <c r="F759" s="81" t="s">
        <v>2839</v>
      </c>
      <c r="G759" s="81" t="s">
        <v>3380</v>
      </c>
      <c r="H759" s="81" t="s">
        <v>1653</v>
      </c>
      <c r="I759" s="81" t="s">
        <v>574</v>
      </c>
      <c r="J759" s="81" t="s">
        <v>3381</v>
      </c>
      <c r="K759" s="81" t="s">
        <v>3382</v>
      </c>
      <c r="L759" s="58" t="s">
        <v>3211</v>
      </c>
      <c r="M759" s="81">
        <v>10</v>
      </c>
      <c r="N759" s="81">
        <v>1</v>
      </c>
      <c r="O759" s="81">
        <v>20</v>
      </c>
      <c r="P759" s="81">
        <v>0</v>
      </c>
      <c r="Q759" s="81">
        <f t="shared" si="30"/>
        <v>10</v>
      </c>
      <c r="R759" s="1220">
        <v>13</v>
      </c>
      <c r="S759" s="1220">
        <f t="shared" si="31"/>
        <v>260</v>
      </c>
      <c r="T759" s="81" t="s">
        <v>929</v>
      </c>
      <c r="U759" s="1866" t="s">
        <v>3357</v>
      </c>
      <c r="V759" s="81" t="s">
        <v>104</v>
      </c>
      <c r="W759" s="2029" t="s">
        <v>3383</v>
      </c>
      <c r="X759" s="18"/>
      <c r="Y759" s="4"/>
      <c r="Z759" s="4"/>
    </row>
    <row r="760" spans="1:26" ht="39" hidden="1">
      <c r="A760" s="20">
        <v>767</v>
      </c>
      <c r="B760" s="1063">
        <v>40537</v>
      </c>
      <c r="C760" s="81" t="s">
        <v>329</v>
      </c>
      <c r="D760" s="11" t="s">
        <v>6</v>
      </c>
      <c r="E760" s="18" t="s">
        <v>2722</v>
      </c>
      <c r="F760" s="81" t="s">
        <v>2839</v>
      </c>
      <c r="G760" s="81" t="s">
        <v>3384</v>
      </c>
      <c r="H760" s="81" t="s">
        <v>1653</v>
      </c>
      <c r="I760" s="81" t="s">
        <v>574</v>
      </c>
      <c r="J760" s="81" t="s">
        <v>3385</v>
      </c>
      <c r="K760" s="81" t="s">
        <v>3386</v>
      </c>
      <c r="L760" s="58" t="s">
        <v>3211</v>
      </c>
      <c r="M760" s="81">
        <v>10</v>
      </c>
      <c r="N760" s="81">
        <v>1</v>
      </c>
      <c r="O760" s="81">
        <v>20</v>
      </c>
      <c r="P760" s="81">
        <v>0</v>
      </c>
      <c r="Q760" s="81">
        <f t="shared" si="30"/>
        <v>10</v>
      </c>
      <c r="R760" s="1220">
        <v>19</v>
      </c>
      <c r="S760" s="1220">
        <f t="shared" si="31"/>
        <v>380</v>
      </c>
      <c r="T760" s="81" t="s">
        <v>929</v>
      </c>
      <c r="U760" s="1866" t="s">
        <v>3357</v>
      </c>
      <c r="V760" s="81" t="s">
        <v>104</v>
      </c>
      <c r="W760" s="2029" t="s">
        <v>3387</v>
      </c>
      <c r="X760" s="18"/>
      <c r="Y760" s="4"/>
      <c r="Z760" s="4"/>
    </row>
    <row r="761" spans="1:26" ht="39" hidden="1">
      <c r="A761" s="20">
        <v>768</v>
      </c>
      <c r="B761" s="1063">
        <v>40538</v>
      </c>
      <c r="C761" s="81" t="s">
        <v>329</v>
      </c>
      <c r="D761" s="11" t="s">
        <v>6</v>
      </c>
      <c r="E761" s="18" t="s">
        <v>2722</v>
      </c>
      <c r="F761" s="81" t="s">
        <v>2839</v>
      </c>
      <c r="G761" s="81" t="s">
        <v>3388</v>
      </c>
      <c r="H761" s="81" t="s">
        <v>2285</v>
      </c>
      <c r="I761" s="81" t="s">
        <v>574</v>
      </c>
      <c r="J761" s="81" t="s">
        <v>3389</v>
      </c>
      <c r="K761" s="81" t="s">
        <v>3390</v>
      </c>
      <c r="L761" s="58" t="s">
        <v>3211</v>
      </c>
      <c r="M761" s="81">
        <v>10</v>
      </c>
      <c r="N761" s="81">
        <v>1</v>
      </c>
      <c r="O761" s="81">
        <v>20</v>
      </c>
      <c r="P761" s="81">
        <v>0</v>
      </c>
      <c r="Q761" s="81">
        <f t="shared" si="30"/>
        <v>10</v>
      </c>
      <c r="R761" s="1220">
        <v>44</v>
      </c>
      <c r="S761" s="1220">
        <f t="shared" si="31"/>
        <v>880</v>
      </c>
      <c r="T761" s="81" t="s">
        <v>929</v>
      </c>
      <c r="U761" s="1866" t="s">
        <v>3357</v>
      </c>
      <c r="V761" s="81" t="s">
        <v>104</v>
      </c>
      <c r="W761" s="2029" t="s">
        <v>3391</v>
      </c>
      <c r="X761" s="18"/>
      <c r="Y761" s="4"/>
      <c r="Z761" s="4"/>
    </row>
    <row r="762" spans="1:26" ht="26.1" hidden="1">
      <c r="A762" s="20">
        <v>769</v>
      </c>
      <c r="B762" s="1063">
        <v>40539</v>
      </c>
      <c r="C762" s="18" t="s">
        <v>3392</v>
      </c>
      <c r="D762" s="11" t="s">
        <v>6</v>
      </c>
      <c r="E762" s="18" t="s">
        <v>2722</v>
      </c>
      <c r="F762" s="81" t="s">
        <v>2839</v>
      </c>
      <c r="G762" s="18" t="s">
        <v>3393</v>
      </c>
      <c r="H762" s="18" t="s">
        <v>3394</v>
      </c>
      <c r="I762" s="81" t="s">
        <v>574</v>
      </c>
      <c r="J762" s="18" t="s">
        <v>3395</v>
      </c>
      <c r="K762" s="18" t="s">
        <v>3396</v>
      </c>
      <c r="L762" s="18" t="s">
        <v>3362</v>
      </c>
      <c r="M762" s="18">
        <v>2</v>
      </c>
      <c r="N762" s="18">
        <v>1</v>
      </c>
      <c r="O762" s="18">
        <v>2</v>
      </c>
      <c r="P762" s="18">
        <v>0</v>
      </c>
      <c r="Q762" s="81">
        <f t="shared" si="30"/>
        <v>0</v>
      </c>
      <c r="R762" s="1215">
        <v>1768</v>
      </c>
      <c r="S762" s="1220">
        <f t="shared" si="31"/>
        <v>3536</v>
      </c>
      <c r="T762" s="81" t="s">
        <v>929</v>
      </c>
      <c r="U762" s="1866" t="s">
        <v>3357</v>
      </c>
      <c r="V762" s="81" t="s">
        <v>104</v>
      </c>
      <c r="W762" s="2021" t="s">
        <v>3397</v>
      </c>
      <c r="X762" s="18"/>
      <c r="Y762" s="4"/>
      <c r="Z762" s="4"/>
    </row>
    <row r="763" spans="1:26" ht="162.6" hidden="1">
      <c r="A763" s="20">
        <v>770</v>
      </c>
      <c r="B763" s="1063">
        <v>40540</v>
      </c>
      <c r="C763" s="18" t="s">
        <v>3398</v>
      </c>
      <c r="D763" s="11"/>
      <c r="E763" s="18" t="s">
        <v>2722</v>
      </c>
      <c r="F763" s="18" t="s">
        <v>131</v>
      </c>
      <c r="G763" s="18" t="s">
        <v>3399</v>
      </c>
      <c r="H763" s="18" t="s">
        <v>1928</v>
      </c>
      <c r="I763" s="18" t="s">
        <v>39</v>
      </c>
      <c r="J763" s="18" t="s">
        <v>3400</v>
      </c>
      <c r="K763" s="18" t="s">
        <v>1928</v>
      </c>
      <c r="L763" s="18"/>
      <c r="M763" s="18">
        <v>2</v>
      </c>
      <c r="N763" s="18">
        <v>1</v>
      </c>
      <c r="O763" s="18">
        <v>2</v>
      </c>
      <c r="P763" s="18">
        <v>0</v>
      </c>
      <c r="Q763" s="18">
        <v>0</v>
      </c>
      <c r="R763" s="1215">
        <v>20216</v>
      </c>
      <c r="S763" s="1215">
        <f>R763*2</f>
        <v>40432</v>
      </c>
      <c r="T763" s="18" t="s">
        <v>1009</v>
      </c>
      <c r="U763" s="1859" t="s">
        <v>3321</v>
      </c>
      <c r="V763" s="18" t="s">
        <v>118</v>
      </c>
      <c r="W763" s="2028" t="s">
        <v>3401</v>
      </c>
      <c r="X763" s="18"/>
      <c r="Y763" s="4"/>
      <c r="Z763" s="4"/>
    </row>
    <row r="764" spans="1:26" ht="37.5" hidden="1">
      <c r="A764" s="20">
        <v>771</v>
      </c>
      <c r="B764" s="1063">
        <v>40541</v>
      </c>
      <c r="C764" s="96" t="s">
        <v>3402</v>
      </c>
      <c r="D764" s="11" t="s">
        <v>1288</v>
      </c>
      <c r="E764" s="56"/>
      <c r="F764" s="56" t="s">
        <v>2839</v>
      </c>
      <c r="G764" s="56" t="s">
        <v>3403</v>
      </c>
      <c r="H764" s="56" t="s">
        <v>460</v>
      </c>
      <c r="I764" s="56" t="s">
        <v>574</v>
      </c>
      <c r="J764" s="56" t="s">
        <v>3404</v>
      </c>
      <c r="K764" s="56" t="s">
        <v>3405</v>
      </c>
      <c r="L764" s="56" t="s">
        <v>2011</v>
      </c>
      <c r="M764" s="56">
        <v>3</v>
      </c>
      <c r="N764" s="56">
        <v>1</v>
      </c>
      <c r="O764" s="56">
        <v>5</v>
      </c>
      <c r="P764" s="56">
        <v>0</v>
      </c>
      <c r="Q764" s="56">
        <v>2</v>
      </c>
      <c r="R764" s="1221">
        <v>117</v>
      </c>
      <c r="S764" s="1216">
        <f>R764*O764</f>
        <v>585</v>
      </c>
      <c r="T764" s="97" t="s">
        <v>929</v>
      </c>
      <c r="U764" s="1867" t="s">
        <v>3357</v>
      </c>
      <c r="V764" s="97" t="s">
        <v>104</v>
      </c>
      <c r="W764" s="2033" t="s">
        <v>3406</v>
      </c>
      <c r="X764" s="56"/>
      <c r="Y764" s="57"/>
      <c r="Z764" s="57"/>
    </row>
    <row r="765" spans="1:26" ht="195" hidden="1">
      <c r="A765" s="20">
        <v>772</v>
      </c>
      <c r="B765" s="1063">
        <v>40542</v>
      </c>
      <c r="C765" s="18" t="s">
        <v>3407</v>
      </c>
      <c r="D765" s="11"/>
      <c r="E765" s="18" t="s">
        <v>2722</v>
      </c>
      <c r="F765" s="18" t="s">
        <v>131</v>
      </c>
      <c r="G765" s="18" t="s">
        <v>3408</v>
      </c>
      <c r="H765" s="18" t="s">
        <v>3409</v>
      </c>
      <c r="I765" s="18" t="s">
        <v>1022</v>
      </c>
      <c r="J765" s="18"/>
      <c r="K765" s="18"/>
      <c r="L765" s="18"/>
      <c r="M765" s="18">
        <v>1</v>
      </c>
      <c r="N765" s="18">
        <v>1</v>
      </c>
      <c r="O765" s="18">
        <v>1</v>
      </c>
      <c r="P765" s="18">
        <v>0</v>
      </c>
      <c r="Q765" s="18">
        <v>0</v>
      </c>
      <c r="R765" s="1215">
        <v>33999</v>
      </c>
      <c r="S765" s="1215">
        <v>33999</v>
      </c>
      <c r="T765" s="18" t="s">
        <v>118</v>
      </c>
      <c r="U765" s="1859" t="s">
        <v>118</v>
      </c>
      <c r="V765" s="18" t="s">
        <v>3134</v>
      </c>
      <c r="W765" s="2021" t="s">
        <v>3410</v>
      </c>
      <c r="X765" s="18"/>
      <c r="Y765" s="4"/>
      <c r="Z765" s="4"/>
    </row>
    <row r="766" spans="1:26" ht="39" hidden="1">
      <c r="A766" s="20">
        <v>773</v>
      </c>
      <c r="B766" s="1063">
        <v>40543</v>
      </c>
      <c r="C766" s="18" t="s">
        <v>3411</v>
      </c>
      <c r="D766" s="11" t="s">
        <v>6</v>
      </c>
      <c r="E766" s="18" t="s">
        <v>3412</v>
      </c>
      <c r="F766" s="18" t="s">
        <v>3413</v>
      </c>
      <c r="G766" s="18" t="s">
        <v>3414</v>
      </c>
      <c r="H766" s="18" t="s">
        <v>84</v>
      </c>
      <c r="I766" s="18" t="s">
        <v>84</v>
      </c>
      <c r="J766" s="18">
        <v>38805173</v>
      </c>
      <c r="K766" s="18"/>
      <c r="L766" s="18"/>
      <c r="M766" s="18">
        <v>1</v>
      </c>
      <c r="N766" s="18">
        <v>1</v>
      </c>
      <c r="O766" s="18">
        <v>1</v>
      </c>
      <c r="P766" s="18">
        <v>0</v>
      </c>
      <c r="Q766" s="18">
        <v>1</v>
      </c>
      <c r="R766" s="1215">
        <v>3790</v>
      </c>
      <c r="S766" s="1215">
        <v>3790</v>
      </c>
      <c r="T766" s="18" t="s">
        <v>929</v>
      </c>
      <c r="U766" s="1859" t="s">
        <v>301</v>
      </c>
      <c r="V766" s="18" t="s">
        <v>352</v>
      </c>
      <c r="W766" s="2024" t="s">
        <v>3415</v>
      </c>
      <c r="X766" s="18"/>
      <c r="Y766" s="4"/>
      <c r="Z766" s="4"/>
    </row>
    <row r="767" spans="1:26" ht="39" hidden="1">
      <c r="A767" s="20">
        <v>774</v>
      </c>
      <c r="B767" s="1063">
        <v>40544</v>
      </c>
      <c r="C767" s="18" t="s">
        <v>3416</v>
      </c>
      <c r="D767" s="11" t="s">
        <v>6</v>
      </c>
      <c r="E767" s="18" t="s">
        <v>3412</v>
      </c>
      <c r="F767" s="18" t="s">
        <v>3413</v>
      </c>
      <c r="G767" s="18" t="s">
        <v>3417</v>
      </c>
      <c r="H767" s="18" t="s">
        <v>429</v>
      </c>
      <c r="I767" s="18" t="s">
        <v>429</v>
      </c>
      <c r="J767" s="18" t="s">
        <v>1189</v>
      </c>
      <c r="K767" s="18"/>
      <c r="L767" s="18"/>
      <c r="M767" s="18">
        <v>1</v>
      </c>
      <c r="N767" s="18">
        <v>1</v>
      </c>
      <c r="O767" s="18">
        <v>1</v>
      </c>
      <c r="P767" s="18">
        <v>0</v>
      </c>
      <c r="Q767" s="18">
        <v>1</v>
      </c>
      <c r="R767" s="1215">
        <v>3600</v>
      </c>
      <c r="S767" s="1215">
        <v>3600</v>
      </c>
      <c r="T767" s="18" t="s">
        <v>929</v>
      </c>
      <c r="U767" s="1859" t="s">
        <v>301</v>
      </c>
      <c r="V767" s="18" t="s">
        <v>352</v>
      </c>
      <c r="W767" s="2021" t="s">
        <v>3418</v>
      </c>
      <c r="X767" s="18"/>
      <c r="Y767" s="4"/>
      <c r="Z767" s="4"/>
    </row>
    <row r="768" spans="1:26" ht="24.95" hidden="1">
      <c r="A768" s="20">
        <v>775</v>
      </c>
      <c r="B768" s="1063">
        <v>40545</v>
      </c>
      <c r="C768" s="18" t="s">
        <v>3419</v>
      </c>
      <c r="D768" s="11" t="s">
        <v>6</v>
      </c>
      <c r="E768" s="18" t="s">
        <v>3412</v>
      </c>
      <c r="F768" s="18" t="s">
        <v>3420</v>
      </c>
      <c r="G768" s="18" t="s">
        <v>3421</v>
      </c>
      <c r="H768" s="18" t="s">
        <v>3422</v>
      </c>
      <c r="I768" s="18" t="s">
        <v>3422</v>
      </c>
      <c r="J768" s="18" t="s">
        <v>3423</v>
      </c>
      <c r="K768" s="18" t="s">
        <v>3423</v>
      </c>
      <c r="L768" s="18"/>
      <c r="M768" s="18">
        <v>1</v>
      </c>
      <c r="N768" s="18">
        <v>1</v>
      </c>
      <c r="O768" s="18">
        <v>1</v>
      </c>
      <c r="P768" s="18">
        <v>1</v>
      </c>
      <c r="Q768" s="18">
        <v>2</v>
      </c>
      <c r="R768" s="1215">
        <v>64500</v>
      </c>
      <c r="S768" s="1215">
        <v>64500</v>
      </c>
      <c r="T768" s="18" t="s">
        <v>929</v>
      </c>
      <c r="U768" s="1859" t="s">
        <v>3094</v>
      </c>
      <c r="V768" s="18" t="s">
        <v>352</v>
      </c>
      <c r="W768" s="2028" t="s">
        <v>3424</v>
      </c>
      <c r="X768" s="18"/>
      <c r="Y768" s="4"/>
      <c r="Z768" s="4"/>
    </row>
    <row r="769" spans="1:26" ht="117" hidden="1">
      <c r="A769" s="20">
        <v>776</v>
      </c>
      <c r="B769" s="1063">
        <v>40546</v>
      </c>
      <c r="C769" s="18" t="s">
        <v>3425</v>
      </c>
      <c r="D769" s="11" t="s">
        <v>6</v>
      </c>
      <c r="E769" s="18" t="s">
        <v>3412</v>
      </c>
      <c r="F769" s="18" t="s">
        <v>3426</v>
      </c>
      <c r="G769" s="18" t="s">
        <v>3427</v>
      </c>
      <c r="H769" s="18" t="s">
        <v>3428</v>
      </c>
      <c r="I769" s="18" t="s">
        <v>1022</v>
      </c>
      <c r="J769" s="18"/>
      <c r="K769" s="18" t="s">
        <v>3429</v>
      </c>
      <c r="L769" s="18"/>
      <c r="M769" s="18" t="s">
        <v>3430</v>
      </c>
      <c r="N769" s="18" t="s">
        <v>3431</v>
      </c>
      <c r="O769" s="18" t="s">
        <v>3430</v>
      </c>
      <c r="P769" s="18">
        <v>0</v>
      </c>
      <c r="Q769" s="18" t="s">
        <v>3430</v>
      </c>
      <c r="R769" s="1215">
        <v>18352</v>
      </c>
      <c r="S769" s="1215">
        <v>18352</v>
      </c>
      <c r="T769" s="18" t="s">
        <v>118</v>
      </c>
      <c r="U769" s="1859" t="s">
        <v>118</v>
      </c>
      <c r="V769" s="18" t="s">
        <v>118</v>
      </c>
      <c r="W769" s="2021" t="s">
        <v>3432</v>
      </c>
      <c r="X769" s="18"/>
      <c r="Y769" s="4"/>
      <c r="Z769" s="4"/>
    </row>
    <row r="770" spans="1:26" ht="14.1" hidden="1">
      <c r="A770" s="20">
        <v>777</v>
      </c>
      <c r="B770" s="1063">
        <v>40547</v>
      </c>
      <c r="C770" s="18" t="s">
        <v>3433</v>
      </c>
      <c r="D770" s="11"/>
      <c r="E770" s="18" t="s">
        <v>3412</v>
      </c>
      <c r="F770" s="18" t="s">
        <v>3426</v>
      </c>
      <c r="G770" s="18" t="s">
        <v>3434</v>
      </c>
      <c r="H770" s="18"/>
      <c r="I770" s="18" t="s">
        <v>117</v>
      </c>
      <c r="J770" s="18"/>
      <c r="K770" s="18"/>
      <c r="L770" s="18"/>
      <c r="M770" s="18">
        <v>1</v>
      </c>
      <c r="N770" s="18">
        <v>4</v>
      </c>
      <c r="O770" s="18">
        <v>4</v>
      </c>
      <c r="P770" s="18">
        <v>0</v>
      </c>
      <c r="Q770" s="18">
        <v>3</v>
      </c>
      <c r="R770" s="1215">
        <v>206</v>
      </c>
      <c r="S770" s="1215">
        <v>206</v>
      </c>
      <c r="T770" s="18" t="s">
        <v>3435</v>
      </c>
      <c r="U770" s="1859" t="s">
        <v>118</v>
      </c>
      <c r="V770" s="18" t="s">
        <v>118</v>
      </c>
      <c r="W770" s="2020"/>
      <c r="X770" s="18"/>
      <c r="Y770" s="4"/>
      <c r="Z770" s="4"/>
    </row>
    <row r="771" spans="1:26" ht="104.1" hidden="1">
      <c r="A771" s="20">
        <v>778</v>
      </c>
      <c r="B771" s="1063">
        <v>40548</v>
      </c>
      <c r="C771" s="18" t="s">
        <v>3436</v>
      </c>
      <c r="D771" s="11" t="s">
        <v>6</v>
      </c>
      <c r="E771" s="18" t="s">
        <v>3412</v>
      </c>
      <c r="F771" s="18" t="s">
        <v>3426</v>
      </c>
      <c r="G771" s="18" t="s">
        <v>3437</v>
      </c>
      <c r="H771" s="18" t="s">
        <v>3438</v>
      </c>
      <c r="I771" s="18" t="s">
        <v>1022</v>
      </c>
      <c r="J771" s="18"/>
      <c r="K771" s="18" t="s">
        <v>3439</v>
      </c>
      <c r="L771" s="18"/>
      <c r="M771" s="18">
        <v>12</v>
      </c>
      <c r="N771" s="18">
        <v>100</v>
      </c>
      <c r="O771" s="18">
        <v>100</v>
      </c>
      <c r="P771" s="18">
        <v>0</v>
      </c>
      <c r="Q771" s="18">
        <v>100</v>
      </c>
      <c r="R771" s="1215">
        <v>1880</v>
      </c>
      <c r="S771" s="1215">
        <v>1880</v>
      </c>
      <c r="T771" s="18" t="s">
        <v>118</v>
      </c>
      <c r="U771" s="1859" t="s">
        <v>118</v>
      </c>
      <c r="V771" s="18" t="s">
        <v>118</v>
      </c>
      <c r="W771" s="2021" t="s">
        <v>3440</v>
      </c>
      <c r="X771" s="18"/>
      <c r="Y771" s="4"/>
      <c r="Z771" s="4"/>
    </row>
    <row r="772" spans="1:26" ht="39" hidden="1">
      <c r="A772" s="20">
        <v>779</v>
      </c>
      <c r="B772" s="1063">
        <v>40549</v>
      </c>
      <c r="C772" s="18" t="s">
        <v>3441</v>
      </c>
      <c r="D772" s="11" t="s">
        <v>6</v>
      </c>
      <c r="E772" s="18" t="s">
        <v>3412</v>
      </c>
      <c r="F772" s="18" t="s">
        <v>2699</v>
      </c>
      <c r="G772" s="18" t="s">
        <v>3442</v>
      </c>
      <c r="H772" s="18" t="s">
        <v>243</v>
      </c>
      <c r="I772" s="18" t="s">
        <v>53</v>
      </c>
      <c r="J772" s="18" t="s">
        <v>3443</v>
      </c>
      <c r="K772" s="18" t="s">
        <v>3444</v>
      </c>
      <c r="L772" s="18" t="s">
        <v>3445</v>
      </c>
      <c r="M772" s="18">
        <v>1</v>
      </c>
      <c r="N772" s="18">
        <v>1</v>
      </c>
      <c r="O772" s="18">
        <v>10</v>
      </c>
      <c r="P772" s="18">
        <v>0</v>
      </c>
      <c r="Q772" s="18">
        <v>10</v>
      </c>
      <c r="R772" s="1215">
        <v>356</v>
      </c>
      <c r="S772" s="1215">
        <v>3560</v>
      </c>
      <c r="T772" s="18" t="s">
        <v>3446</v>
      </c>
      <c r="U772" s="1859" t="s">
        <v>3447</v>
      </c>
      <c r="V772" s="18" t="s">
        <v>104</v>
      </c>
      <c r="W772" s="2021" t="s">
        <v>3448</v>
      </c>
      <c r="X772" s="18"/>
      <c r="Y772" s="4"/>
      <c r="Z772" s="4"/>
    </row>
    <row r="773" spans="1:26" ht="26.1" hidden="1">
      <c r="A773" s="20">
        <v>780</v>
      </c>
      <c r="B773" s="1063">
        <v>40550</v>
      </c>
      <c r="C773" s="18" t="s">
        <v>3449</v>
      </c>
      <c r="D773" s="11" t="s">
        <v>6</v>
      </c>
      <c r="E773" s="18" t="s">
        <v>3412</v>
      </c>
      <c r="F773" s="18" t="s">
        <v>2699</v>
      </c>
      <c r="G773" s="18" t="s">
        <v>3450</v>
      </c>
      <c r="H773" s="18" t="s">
        <v>460</v>
      </c>
      <c r="I773" s="18" t="s">
        <v>53</v>
      </c>
      <c r="J773" s="18" t="s">
        <v>3451</v>
      </c>
      <c r="K773" s="18" t="s">
        <v>3452</v>
      </c>
      <c r="L773" s="18" t="s">
        <v>3453</v>
      </c>
      <c r="M773" s="18">
        <v>1</v>
      </c>
      <c r="N773" s="18">
        <v>1</v>
      </c>
      <c r="O773" s="18">
        <v>10</v>
      </c>
      <c r="P773" s="18">
        <v>0</v>
      </c>
      <c r="Q773" s="18">
        <v>10</v>
      </c>
      <c r="R773" s="1215">
        <v>117</v>
      </c>
      <c r="S773" s="1215">
        <v>1170</v>
      </c>
      <c r="T773" s="18" t="s">
        <v>3446</v>
      </c>
      <c r="U773" s="1859" t="s">
        <v>3447</v>
      </c>
      <c r="V773" s="18" t="s">
        <v>104</v>
      </c>
      <c r="W773" s="2021" t="s">
        <v>3454</v>
      </c>
      <c r="X773" s="18"/>
      <c r="Y773" s="4"/>
      <c r="Z773" s="4"/>
    </row>
    <row r="774" spans="1:26" ht="39" hidden="1">
      <c r="A774" s="20">
        <v>781</v>
      </c>
      <c r="B774" s="1063">
        <v>40551</v>
      </c>
      <c r="C774" s="18" t="s">
        <v>3455</v>
      </c>
      <c r="D774" s="11" t="s">
        <v>6</v>
      </c>
      <c r="E774" s="18" t="s">
        <v>3412</v>
      </c>
      <c r="F774" s="18" t="s">
        <v>2699</v>
      </c>
      <c r="G774" s="18" t="s">
        <v>3456</v>
      </c>
      <c r="H774" s="18" t="s">
        <v>243</v>
      </c>
      <c r="I774" s="18" t="s">
        <v>53</v>
      </c>
      <c r="J774" s="18" t="s">
        <v>3457</v>
      </c>
      <c r="K774" s="18" t="s">
        <v>3458</v>
      </c>
      <c r="L774" s="18" t="s">
        <v>3459</v>
      </c>
      <c r="M774" s="18">
        <v>2</v>
      </c>
      <c r="N774" s="18">
        <v>1</v>
      </c>
      <c r="O774" s="18">
        <v>20</v>
      </c>
      <c r="P774" s="18">
        <v>0</v>
      </c>
      <c r="Q774" s="18">
        <v>20</v>
      </c>
      <c r="R774" s="1215">
        <v>1367</v>
      </c>
      <c r="S774" s="1215">
        <v>27340</v>
      </c>
      <c r="T774" s="18" t="s">
        <v>3446</v>
      </c>
      <c r="U774" s="1859" t="s">
        <v>3447</v>
      </c>
      <c r="V774" s="18" t="s">
        <v>104</v>
      </c>
      <c r="W774" s="2021" t="s">
        <v>3460</v>
      </c>
      <c r="X774" s="18"/>
      <c r="Y774" s="4"/>
      <c r="Z774" s="4"/>
    </row>
    <row r="775" spans="1:26" ht="14.1" hidden="1">
      <c r="A775" s="20">
        <v>782</v>
      </c>
      <c r="B775" s="1063">
        <v>40552</v>
      </c>
      <c r="C775" s="18" t="s">
        <v>3461</v>
      </c>
      <c r="D775" s="11" t="s">
        <v>6</v>
      </c>
      <c r="E775" s="18" t="s">
        <v>3412</v>
      </c>
      <c r="F775" s="18" t="s">
        <v>2699</v>
      </c>
      <c r="G775" s="18" t="s">
        <v>3462</v>
      </c>
      <c r="H775" s="18" t="s">
        <v>3463</v>
      </c>
      <c r="I775" s="18" t="s">
        <v>113</v>
      </c>
      <c r="J775" s="18">
        <v>69326136</v>
      </c>
      <c r="K775" s="18" t="s">
        <v>3464</v>
      </c>
      <c r="L775" s="18"/>
      <c r="M775" s="18">
        <v>1</v>
      </c>
      <c r="N775" s="18">
        <v>1</v>
      </c>
      <c r="O775" s="18">
        <v>1</v>
      </c>
      <c r="P775" s="18">
        <v>0</v>
      </c>
      <c r="Q775" s="18">
        <v>1</v>
      </c>
      <c r="R775" s="1215">
        <v>1790</v>
      </c>
      <c r="S775" s="1215">
        <v>1790</v>
      </c>
      <c r="T775" s="18" t="s">
        <v>2703</v>
      </c>
      <c r="U775" s="1859" t="s">
        <v>2703</v>
      </c>
      <c r="V775" s="18" t="s">
        <v>104</v>
      </c>
      <c r="W775" s="2272" t="s">
        <v>3465</v>
      </c>
      <c r="X775" s="18"/>
      <c r="Y775" s="4"/>
      <c r="Z775" s="4"/>
    </row>
    <row r="776" spans="1:26" ht="14.1" hidden="1">
      <c r="A776" s="20">
        <v>783</v>
      </c>
      <c r="B776" s="1063">
        <v>40553</v>
      </c>
      <c r="C776" s="18" t="s">
        <v>3466</v>
      </c>
      <c r="D776" s="11" t="s">
        <v>6</v>
      </c>
      <c r="E776" s="18" t="s">
        <v>3412</v>
      </c>
      <c r="F776" s="18" t="s">
        <v>2699</v>
      </c>
      <c r="G776" s="18" t="s">
        <v>3467</v>
      </c>
      <c r="H776" s="18" t="s">
        <v>3468</v>
      </c>
      <c r="I776" s="18" t="s">
        <v>113</v>
      </c>
      <c r="J776" s="18">
        <v>33239376</v>
      </c>
      <c r="K776" s="18" t="s">
        <v>3469</v>
      </c>
      <c r="L776" s="18" t="s">
        <v>3470</v>
      </c>
      <c r="M776" s="18">
        <v>1</v>
      </c>
      <c r="N776" s="18">
        <v>1</v>
      </c>
      <c r="O776" s="18">
        <v>1</v>
      </c>
      <c r="P776" s="18">
        <v>0</v>
      </c>
      <c r="Q776" s="18">
        <v>1</v>
      </c>
      <c r="R776" s="1215">
        <v>4890</v>
      </c>
      <c r="S776" s="1215">
        <v>4890</v>
      </c>
      <c r="T776" s="18" t="s">
        <v>3471</v>
      </c>
      <c r="U776" s="1859" t="s">
        <v>3471</v>
      </c>
      <c r="V776" s="18" t="s">
        <v>104</v>
      </c>
      <c r="W776" s="2021" t="s">
        <v>3472</v>
      </c>
      <c r="X776" s="18"/>
      <c r="Y776" s="4"/>
      <c r="Z776" s="4"/>
    </row>
    <row r="777" spans="1:26" ht="14.1" hidden="1">
      <c r="A777" s="20">
        <v>784</v>
      </c>
      <c r="B777" s="1063">
        <v>40554</v>
      </c>
      <c r="C777" s="18" t="s">
        <v>3466</v>
      </c>
      <c r="D777" s="11" t="s">
        <v>6</v>
      </c>
      <c r="E777" s="18" t="s">
        <v>3412</v>
      </c>
      <c r="F777" s="18" t="s">
        <v>2699</v>
      </c>
      <c r="G777" s="18" t="s">
        <v>3473</v>
      </c>
      <c r="H777" s="18" t="s">
        <v>3468</v>
      </c>
      <c r="I777" s="18" t="s">
        <v>113</v>
      </c>
      <c r="J777" s="18">
        <v>33239385</v>
      </c>
      <c r="K777" s="18" t="s">
        <v>3474</v>
      </c>
      <c r="L777" s="18" t="s">
        <v>3470</v>
      </c>
      <c r="M777" s="18">
        <v>1</v>
      </c>
      <c r="N777" s="18">
        <v>1</v>
      </c>
      <c r="O777" s="18">
        <v>1</v>
      </c>
      <c r="P777" s="18">
        <v>0</v>
      </c>
      <c r="Q777" s="18">
        <v>1</v>
      </c>
      <c r="R777" s="1215">
        <v>7490</v>
      </c>
      <c r="S777" s="1215">
        <v>7490</v>
      </c>
      <c r="T777" s="18" t="s">
        <v>3471</v>
      </c>
      <c r="U777" s="1859" t="s">
        <v>3471</v>
      </c>
      <c r="V777" s="18" t="s">
        <v>104</v>
      </c>
      <c r="W777" s="2021" t="s">
        <v>3472</v>
      </c>
      <c r="X777" s="18"/>
      <c r="Y777" s="4"/>
      <c r="Z777" s="4"/>
    </row>
    <row r="778" spans="1:26" ht="26.1" hidden="1">
      <c r="A778" s="20">
        <v>785</v>
      </c>
      <c r="B778" s="1063">
        <v>40555</v>
      </c>
      <c r="C778" s="18" t="s">
        <v>3466</v>
      </c>
      <c r="D778" s="11" t="s">
        <v>6</v>
      </c>
      <c r="E778" s="18" t="s">
        <v>3412</v>
      </c>
      <c r="F778" s="18" t="s">
        <v>2699</v>
      </c>
      <c r="G778" s="18" t="s">
        <v>3475</v>
      </c>
      <c r="H778" s="18" t="s">
        <v>3476</v>
      </c>
      <c r="I778" s="18" t="s">
        <v>113</v>
      </c>
      <c r="J778" s="18">
        <v>89819713</v>
      </c>
      <c r="K778" s="18" t="s">
        <v>3477</v>
      </c>
      <c r="L778" s="18" t="s">
        <v>3478</v>
      </c>
      <c r="M778" s="18">
        <v>2</v>
      </c>
      <c r="N778" s="18">
        <v>1</v>
      </c>
      <c r="O778" s="18">
        <v>2</v>
      </c>
      <c r="P778" s="18">
        <v>0</v>
      </c>
      <c r="Q778" s="18">
        <v>2</v>
      </c>
      <c r="R778" s="1215">
        <v>5990</v>
      </c>
      <c r="S778" s="1215">
        <v>11980</v>
      </c>
      <c r="T778" s="18" t="s">
        <v>688</v>
      </c>
      <c r="U778" s="1856" t="s">
        <v>688</v>
      </c>
      <c r="V778" s="18" t="s">
        <v>3479</v>
      </c>
      <c r="W778" s="2021" t="s">
        <v>3480</v>
      </c>
      <c r="X778" s="18"/>
      <c r="Y778" s="4"/>
      <c r="Z778" s="4"/>
    </row>
    <row r="779" spans="1:26" ht="26.1" hidden="1">
      <c r="A779" s="20">
        <v>786</v>
      </c>
      <c r="B779" s="1063">
        <v>40556</v>
      </c>
      <c r="C779" s="18" t="s">
        <v>3466</v>
      </c>
      <c r="D779" s="11" t="s">
        <v>6</v>
      </c>
      <c r="E779" s="18" t="s">
        <v>3412</v>
      </c>
      <c r="F779" s="18" t="s">
        <v>2699</v>
      </c>
      <c r="G779" s="18" t="s">
        <v>3481</v>
      </c>
      <c r="H779" s="18" t="s">
        <v>3476</v>
      </c>
      <c r="I779" s="18" t="s">
        <v>113</v>
      </c>
      <c r="J779" s="18">
        <v>89819722</v>
      </c>
      <c r="K779" s="18" t="s">
        <v>3482</v>
      </c>
      <c r="L779" s="98" t="s">
        <v>3478</v>
      </c>
      <c r="M779" s="18">
        <v>2</v>
      </c>
      <c r="N779" s="18">
        <v>1</v>
      </c>
      <c r="O779" s="18">
        <v>2</v>
      </c>
      <c r="P779" s="18">
        <v>0</v>
      </c>
      <c r="Q779" s="18">
        <v>2</v>
      </c>
      <c r="R779" s="1215">
        <v>8990</v>
      </c>
      <c r="S779" s="1215">
        <v>17980</v>
      </c>
      <c r="T779" s="28" t="s">
        <v>688</v>
      </c>
      <c r="U779" s="1856" t="s">
        <v>688</v>
      </c>
      <c r="V779" s="18" t="s">
        <v>3479</v>
      </c>
      <c r="W779" s="2021" t="s">
        <v>3480</v>
      </c>
      <c r="X779" s="18"/>
      <c r="Y779" s="4"/>
      <c r="Z779" s="4"/>
    </row>
    <row r="780" spans="1:26" ht="26.1" hidden="1">
      <c r="A780" s="20">
        <v>787</v>
      </c>
      <c r="B780" s="1063">
        <v>40557</v>
      </c>
      <c r="C780" s="18" t="s">
        <v>3466</v>
      </c>
      <c r="D780" s="11" t="s">
        <v>6</v>
      </c>
      <c r="E780" s="18" t="s">
        <v>3412</v>
      </c>
      <c r="F780" s="18" t="s">
        <v>2699</v>
      </c>
      <c r="G780" s="18" t="s">
        <v>3475</v>
      </c>
      <c r="H780" s="18" t="s">
        <v>3476</v>
      </c>
      <c r="I780" s="18" t="s">
        <v>113</v>
      </c>
      <c r="J780" s="18">
        <v>89819738</v>
      </c>
      <c r="K780" s="18" t="s">
        <v>3483</v>
      </c>
      <c r="L780" s="98" t="s">
        <v>3484</v>
      </c>
      <c r="M780" s="18">
        <v>2</v>
      </c>
      <c r="N780" s="18">
        <v>1</v>
      </c>
      <c r="O780" s="18">
        <v>2</v>
      </c>
      <c r="P780" s="18">
        <v>0</v>
      </c>
      <c r="Q780" s="18">
        <v>2</v>
      </c>
      <c r="R780" s="1215">
        <v>9590</v>
      </c>
      <c r="S780" s="1215">
        <v>19180</v>
      </c>
      <c r="T780" s="28" t="s">
        <v>688</v>
      </c>
      <c r="U780" s="1856" t="s">
        <v>688</v>
      </c>
      <c r="V780" s="18" t="s">
        <v>3479</v>
      </c>
      <c r="W780" s="2021" t="s">
        <v>3480</v>
      </c>
      <c r="X780" s="18"/>
      <c r="Y780" s="4"/>
      <c r="Z780" s="4"/>
    </row>
    <row r="781" spans="1:26" ht="26.1" hidden="1">
      <c r="A781" s="20">
        <v>788</v>
      </c>
      <c r="B781" s="1063">
        <v>40558</v>
      </c>
      <c r="C781" s="18" t="s">
        <v>3466</v>
      </c>
      <c r="D781" s="11" t="s">
        <v>6</v>
      </c>
      <c r="E781" s="18" t="s">
        <v>3412</v>
      </c>
      <c r="F781" s="18" t="s">
        <v>2699</v>
      </c>
      <c r="G781" s="18" t="s">
        <v>3481</v>
      </c>
      <c r="H781" s="18" t="s">
        <v>3476</v>
      </c>
      <c r="I781" s="18" t="s">
        <v>113</v>
      </c>
      <c r="J781" s="18">
        <v>89819747</v>
      </c>
      <c r="K781" s="18" t="s">
        <v>3485</v>
      </c>
      <c r="L781" s="98" t="s">
        <v>3484</v>
      </c>
      <c r="M781" s="18">
        <v>2</v>
      </c>
      <c r="N781" s="18">
        <v>1</v>
      </c>
      <c r="O781" s="18">
        <v>2</v>
      </c>
      <c r="P781" s="18">
        <v>0</v>
      </c>
      <c r="Q781" s="18">
        <v>2</v>
      </c>
      <c r="R781" s="1215">
        <v>13900</v>
      </c>
      <c r="S781" s="1215">
        <v>27800</v>
      </c>
      <c r="T781" s="28" t="s">
        <v>688</v>
      </c>
      <c r="U781" s="1856" t="s">
        <v>688</v>
      </c>
      <c r="V781" s="18" t="s">
        <v>3479</v>
      </c>
      <c r="W781" s="2021" t="s">
        <v>3480</v>
      </c>
      <c r="X781" s="18"/>
      <c r="Y781" s="4"/>
      <c r="Z781" s="4"/>
    </row>
    <row r="782" spans="1:26" ht="14.1" hidden="1">
      <c r="A782" s="20">
        <v>789</v>
      </c>
      <c r="B782" s="1063">
        <v>40559</v>
      </c>
      <c r="C782" s="18" t="s">
        <v>3486</v>
      </c>
      <c r="D782" s="11" t="s">
        <v>6</v>
      </c>
      <c r="E782" s="18" t="s">
        <v>3412</v>
      </c>
      <c r="F782" s="18" t="s">
        <v>1118</v>
      </c>
      <c r="G782" s="18"/>
      <c r="H782" s="18" t="s">
        <v>310</v>
      </c>
      <c r="I782" s="18" t="s">
        <v>310</v>
      </c>
      <c r="J782" s="18" t="s">
        <v>149</v>
      </c>
      <c r="K782" s="18" t="s">
        <v>149</v>
      </c>
      <c r="L782" s="18" t="s">
        <v>149</v>
      </c>
      <c r="M782" s="18">
        <v>1</v>
      </c>
      <c r="N782" s="18">
        <v>1</v>
      </c>
      <c r="O782" s="18">
        <v>1</v>
      </c>
      <c r="P782" s="18">
        <v>0</v>
      </c>
      <c r="Q782" s="18">
        <v>1</v>
      </c>
      <c r="R782" s="1215"/>
      <c r="S782" s="1215"/>
      <c r="T782" s="18" t="s">
        <v>3133</v>
      </c>
      <c r="U782" s="1859" t="s">
        <v>3321</v>
      </c>
      <c r="V782" s="18" t="s">
        <v>3134</v>
      </c>
      <c r="W782" s="2020"/>
      <c r="X782" s="18"/>
      <c r="Y782" s="4"/>
      <c r="Z782" s="4"/>
    </row>
    <row r="783" spans="1:26" ht="14.1" hidden="1">
      <c r="A783" s="20">
        <v>790</v>
      </c>
      <c r="B783" s="1063">
        <v>40560</v>
      </c>
      <c r="C783" s="18" t="s">
        <v>3487</v>
      </c>
      <c r="D783" s="11" t="s">
        <v>6</v>
      </c>
      <c r="E783" s="18" t="s">
        <v>3412</v>
      </c>
      <c r="F783" s="18" t="s">
        <v>1118</v>
      </c>
      <c r="G783" s="18" t="s">
        <v>3488</v>
      </c>
      <c r="H783" s="18" t="s">
        <v>310</v>
      </c>
      <c r="I783" s="18" t="s">
        <v>310</v>
      </c>
      <c r="J783" s="18">
        <v>20504496</v>
      </c>
      <c r="K783" s="90">
        <v>20504496</v>
      </c>
      <c r="L783" s="18" t="s">
        <v>149</v>
      </c>
      <c r="M783" s="18">
        <v>3</v>
      </c>
      <c r="N783" s="18">
        <v>1</v>
      </c>
      <c r="O783" s="18">
        <v>3</v>
      </c>
      <c r="P783" s="18">
        <v>0</v>
      </c>
      <c r="Q783" s="18">
        <v>3</v>
      </c>
      <c r="R783" s="1215">
        <v>825</v>
      </c>
      <c r="S783" s="1215">
        <v>2475</v>
      </c>
      <c r="T783" s="18" t="s">
        <v>3133</v>
      </c>
      <c r="U783" s="1859" t="s">
        <v>3321</v>
      </c>
      <c r="V783" s="18" t="s">
        <v>3134</v>
      </c>
      <c r="W783" s="2020"/>
      <c r="X783" s="18"/>
      <c r="Y783" s="4"/>
      <c r="Z783" s="4"/>
    </row>
    <row r="784" spans="1:26" ht="37.5" hidden="1">
      <c r="A784" s="20">
        <v>791</v>
      </c>
      <c r="B784" s="1063">
        <v>40561</v>
      </c>
      <c r="C784" s="18" t="s">
        <v>3347</v>
      </c>
      <c r="D784" s="11" t="s">
        <v>6</v>
      </c>
      <c r="E784" s="18" t="s">
        <v>3412</v>
      </c>
      <c r="F784" s="18" t="s">
        <v>2143</v>
      </c>
      <c r="G784" s="18" t="s">
        <v>3489</v>
      </c>
      <c r="H784" s="18" t="s">
        <v>366</v>
      </c>
      <c r="I784" s="18" t="s">
        <v>366</v>
      </c>
      <c r="J784" s="18" t="s">
        <v>3490</v>
      </c>
      <c r="K784" s="18" t="s">
        <v>3490</v>
      </c>
      <c r="L784" s="18"/>
      <c r="M784" s="18">
        <v>1</v>
      </c>
      <c r="N784" s="18">
        <v>1</v>
      </c>
      <c r="O784" s="18">
        <v>10</v>
      </c>
      <c r="P784" s="18">
        <v>0</v>
      </c>
      <c r="Q784" s="18">
        <v>10</v>
      </c>
      <c r="R784" s="1215">
        <v>25</v>
      </c>
      <c r="S784" s="1215">
        <v>25</v>
      </c>
      <c r="T784" s="18" t="s">
        <v>1009</v>
      </c>
      <c r="U784" s="1859" t="s">
        <v>118</v>
      </c>
      <c r="V784" s="18" t="s">
        <v>3350</v>
      </c>
      <c r="W784" s="2028" t="s">
        <v>3491</v>
      </c>
      <c r="X784" s="18" t="s">
        <v>3492</v>
      </c>
      <c r="Y784" s="4"/>
      <c r="Z784" s="4"/>
    </row>
    <row r="785" spans="1:26" ht="14.1" hidden="1">
      <c r="A785" s="20">
        <v>792</v>
      </c>
      <c r="B785" s="1063">
        <v>40562</v>
      </c>
      <c r="C785" s="18" t="s">
        <v>3493</v>
      </c>
      <c r="D785" s="11" t="s">
        <v>6</v>
      </c>
      <c r="E785" s="18" t="s">
        <v>2722</v>
      </c>
      <c r="F785" s="18" t="s">
        <v>2143</v>
      </c>
      <c r="G785" s="18" t="s">
        <v>3494</v>
      </c>
      <c r="H785" s="18" t="s">
        <v>3495</v>
      </c>
      <c r="I785" s="18" t="s">
        <v>290</v>
      </c>
      <c r="J785" s="18" t="s">
        <v>3496</v>
      </c>
      <c r="K785" s="18" t="s">
        <v>3496</v>
      </c>
      <c r="L785" s="18" t="s">
        <v>1</v>
      </c>
      <c r="M785" s="18">
        <v>1</v>
      </c>
      <c r="N785" s="18">
        <v>1</v>
      </c>
      <c r="O785" s="18">
        <v>1</v>
      </c>
      <c r="P785" s="18">
        <v>0</v>
      </c>
      <c r="Q785" s="18">
        <v>1</v>
      </c>
      <c r="R785" s="1215">
        <v>258865</v>
      </c>
      <c r="S785" s="1215">
        <v>258865</v>
      </c>
      <c r="T785" s="18" t="s">
        <v>3497</v>
      </c>
      <c r="U785" s="1859" t="s">
        <v>118</v>
      </c>
      <c r="V785" s="18" t="s">
        <v>3498</v>
      </c>
      <c r="W785" s="2020"/>
      <c r="X785" s="18" t="s">
        <v>3499</v>
      </c>
      <c r="Y785" s="4"/>
      <c r="Z785" s="4"/>
    </row>
    <row r="786" spans="1:26" ht="26.1" hidden="1">
      <c r="A786" s="20">
        <v>793</v>
      </c>
      <c r="B786" s="1063">
        <v>40563</v>
      </c>
      <c r="C786" s="18" t="s">
        <v>3500</v>
      </c>
      <c r="D786" s="11"/>
      <c r="E786" s="18" t="s">
        <v>2722</v>
      </c>
      <c r="F786" s="18" t="s">
        <v>2699</v>
      </c>
      <c r="G786" s="18" t="s">
        <v>3501</v>
      </c>
      <c r="H786" s="18" t="s">
        <v>3502</v>
      </c>
      <c r="I786" s="18" t="s">
        <v>113</v>
      </c>
      <c r="J786" s="18">
        <v>24722627</v>
      </c>
      <c r="K786" s="18" t="s">
        <v>3503</v>
      </c>
      <c r="L786" s="18"/>
      <c r="M786" s="18">
        <v>1</v>
      </c>
      <c r="N786" s="18">
        <v>1</v>
      </c>
      <c r="O786" s="18">
        <v>1</v>
      </c>
      <c r="P786" s="18">
        <v>0</v>
      </c>
      <c r="Q786" s="18">
        <v>1</v>
      </c>
      <c r="R786" s="1215">
        <v>13900</v>
      </c>
      <c r="S786" s="1215">
        <v>13900</v>
      </c>
      <c r="T786" s="18" t="s">
        <v>3504</v>
      </c>
      <c r="U786" s="1859" t="s">
        <v>3504</v>
      </c>
      <c r="V786" s="18" t="s">
        <v>3504</v>
      </c>
      <c r="W786" s="2021" t="s">
        <v>3505</v>
      </c>
      <c r="X786" s="18"/>
      <c r="Y786" s="4"/>
      <c r="Z786" s="4"/>
    </row>
    <row r="787" spans="1:26" ht="24.95" hidden="1">
      <c r="A787" s="20">
        <v>794</v>
      </c>
      <c r="B787" s="1063">
        <v>40564</v>
      </c>
      <c r="C787" s="18" t="s">
        <v>3506</v>
      </c>
      <c r="D787" s="11" t="s">
        <v>6</v>
      </c>
      <c r="E787" s="18" t="s">
        <v>62</v>
      </c>
      <c r="F787" s="18" t="s">
        <v>2143</v>
      </c>
      <c r="G787" s="18" t="s">
        <v>3507</v>
      </c>
      <c r="H787" s="18" t="s">
        <v>3508</v>
      </c>
      <c r="I787" s="18" t="s">
        <v>1893</v>
      </c>
      <c r="J787" s="18" t="s">
        <v>3509</v>
      </c>
      <c r="K787" s="18" t="s">
        <v>3509</v>
      </c>
      <c r="L787" s="18" t="s">
        <v>1</v>
      </c>
      <c r="M787" s="18">
        <v>1</v>
      </c>
      <c r="N787" s="18">
        <v>1</v>
      </c>
      <c r="O787" s="18">
        <v>1</v>
      </c>
      <c r="P787" s="18">
        <v>0</v>
      </c>
      <c r="Q787" s="18">
        <v>1</v>
      </c>
      <c r="R787" s="1215">
        <v>85000</v>
      </c>
      <c r="S787" s="1215">
        <v>85000</v>
      </c>
      <c r="T787" s="18" t="s">
        <v>3510</v>
      </c>
      <c r="U787" s="1859" t="s">
        <v>3511</v>
      </c>
      <c r="V787" s="18" t="s">
        <v>352</v>
      </c>
      <c r="W787" s="2028" t="s">
        <v>3512</v>
      </c>
      <c r="X787" s="18"/>
      <c r="Y787" s="4"/>
      <c r="Z787" s="4"/>
    </row>
    <row r="788" spans="1:26" ht="24.95" hidden="1">
      <c r="A788" s="20">
        <v>795</v>
      </c>
      <c r="B788" s="1063">
        <v>40565</v>
      </c>
      <c r="C788" s="18" t="s">
        <v>3513</v>
      </c>
      <c r="D788" s="11" t="s">
        <v>6</v>
      </c>
      <c r="E788" s="18" t="s">
        <v>2722</v>
      </c>
      <c r="F788" s="18" t="s">
        <v>2143</v>
      </c>
      <c r="G788" s="18" t="s">
        <v>3514</v>
      </c>
      <c r="H788" s="18" t="s">
        <v>1606</v>
      </c>
      <c r="I788" s="18" t="s">
        <v>113</v>
      </c>
      <c r="J788" s="18">
        <v>35847655</v>
      </c>
      <c r="K788" s="18" t="s">
        <v>1606</v>
      </c>
      <c r="L788" s="18" t="s">
        <v>1606</v>
      </c>
      <c r="M788" s="18">
        <v>3</v>
      </c>
      <c r="N788" s="18">
        <v>1</v>
      </c>
      <c r="O788" s="18">
        <v>3</v>
      </c>
      <c r="P788" s="18">
        <v>0</v>
      </c>
      <c r="Q788" s="18">
        <v>3</v>
      </c>
      <c r="R788" s="1215">
        <v>399</v>
      </c>
      <c r="S788" s="1215">
        <f>R788*M788</f>
        <v>1197</v>
      </c>
      <c r="T788" s="18" t="s">
        <v>118</v>
      </c>
      <c r="U788" s="1859" t="s">
        <v>3515</v>
      </c>
      <c r="V788" s="18" t="s">
        <v>3350</v>
      </c>
      <c r="W788" s="2028" t="s">
        <v>3516</v>
      </c>
      <c r="X788" s="18"/>
      <c r="Y788" s="4"/>
      <c r="Z788" s="4"/>
    </row>
    <row r="789" spans="1:26" ht="50.1" hidden="1">
      <c r="A789" s="20">
        <v>796</v>
      </c>
      <c r="B789" s="1063">
        <v>40566</v>
      </c>
      <c r="C789" s="18" t="s">
        <v>3517</v>
      </c>
      <c r="D789" s="11" t="s">
        <v>6</v>
      </c>
      <c r="E789" s="18" t="s">
        <v>2722</v>
      </c>
      <c r="F789" s="18" t="s">
        <v>2143</v>
      </c>
      <c r="G789" s="91" t="s">
        <v>1171</v>
      </c>
      <c r="H789" s="18" t="s">
        <v>3518</v>
      </c>
      <c r="I789" s="18" t="s">
        <v>113</v>
      </c>
      <c r="J789" s="18">
        <v>9628238</v>
      </c>
      <c r="K789" s="18" t="s">
        <v>3519</v>
      </c>
      <c r="L789" s="18" t="s">
        <v>1606</v>
      </c>
      <c r="M789" s="18">
        <v>1</v>
      </c>
      <c r="N789" s="18">
        <v>1</v>
      </c>
      <c r="O789" s="18">
        <v>1</v>
      </c>
      <c r="P789" s="18">
        <v>0</v>
      </c>
      <c r="Q789" s="18">
        <v>1</v>
      </c>
      <c r="R789" s="1215">
        <v>699</v>
      </c>
      <c r="S789" s="1215">
        <v>699</v>
      </c>
      <c r="T789" s="18" t="s">
        <v>118</v>
      </c>
      <c r="U789" s="1859" t="s">
        <v>3515</v>
      </c>
      <c r="V789" s="18" t="s">
        <v>3350</v>
      </c>
      <c r="W789" s="2028" t="s">
        <v>3520</v>
      </c>
      <c r="X789" s="18"/>
      <c r="Y789" s="4"/>
      <c r="Z789" s="4"/>
    </row>
    <row r="790" spans="1:26" ht="14.1" hidden="1">
      <c r="A790" s="20">
        <v>797</v>
      </c>
      <c r="B790" s="1063">
        <v>40567</v>
      </c>
      <c r="C790" s="18" t="s">
        <v>3521</v>
      </c>
      <c r="D790" s="11" t="s">
        <v>6</v>
      </c>
      <c r="E790" s="18" t="s">
        <v>62</v>
      </c>
      <c r="F790" s="18" t="s">
        <v>823</v>
      </c>
      <c r="G790" s="22" t="s">
        <v>2383</v>
      </c>
      <c r="H790" s="22" t="s">
        <v>2384</v>
      </c>
      <c r="I790" s="22" t="s">
        <v>2384</v>
      </c>
      <c r="J790" s="22">
        <v>43632</v>
      </c>
      <c r="K790" s="22" t="s">
        <v>2385</v>
      </c>
      <c r="L790" s="22" t="s">
        <v>1606</v>
      </c>
      <c r="M790" s="22">
        <v>2</v>
      </c>
      <c r="N790" s="22">
        <v>4</v>
      </c>
      <c r="O790" s="22">
        <v>4</v>
      </c>
      <c r="P790" s="22">
        <v>0</v>
      </c>
      <c r="Q790" s="22">
        <v>0</v>
      </c>
      <c r="R790" s="1201">
        <v>32000</v>
      </c>
      <c r="S790" s="1201">
        <v>128000</v>
      </c>
      <c r="T790" s="22" t="s">
        <v>311</v>
      </c>
      <c r="U790" s="1854" t="s">
        <v>1543</v>
      </c>
      <c r="V790" s="22" t="s">
        <v>1506</v>
      </c>
      <c r="W790" s="2007" t="s">
        <v>3522</v>
      </c>
      <c r="X790" s="18"/>
      <c r="Y790" s="4"/>
      <c r="Z790" s="4"/>
    </row>
    <row r="791" spans="1:26" ht="14.1" hidden="1">
      <c r="A791" s="20">
        <v>798</v>
      </c>
      <c r="B791" s="1063">
        <v>40568</v>
      </c>
      <c r="C791" s="18" t="s">
        <v>3523</v>
      </c>
      <c r="D791" s="11" t="s">
        <v>6</v>
      </c>
      <c r="E791" s="18" t="s">
        <v>2722</v>
      </c>
      <c r="F791" s="18" t="s">
        <v>2699</v>
      </c>
      <c r="G791" s="18" t="s">
        <v>3524</v>
      </c>
      <c r="H791" s="18" t="s">
        <v>3525</v>
      </c>
      <c r="I791" s="18" t="s">
        <v>3525</v>
      </c>
      <c r="J791" s="18"/>
      <c r="K791" s="18"/>
      <c r="L791" s="18"/>
      <c r="M791" s="18">
        <v>3</v>
      </c>
      <c r="N791" s="18">
        <v>1</v>
      </c>
      <c r="O791" s="18">
        <v>5</v>
      </c>
      <c r="P791" s="18">
        <v>0</v>
      </c>
      <c r="Q791" s="18">
        <v>0</v>
      </c>
      <c r="R791" s="1215">
        <v>73880</v>
      </c>
      <c r="S791" s="1215">
        <v>73880</v>
      </c>
      <c r="T791" s="18" t="s">
        <v>929</v>
      </c>
      <c r="U791" s="1859" t="s">
        <v>3526</v>
      </c>
      <c r="V791" s="18" t="s">
        <v>352</v>
      </c>
      <c r="W791" s="2021" t="s">
        <v>401</v>
      </c>
      <c r="X791" s="18"/>
      <c r="Y791" s="4"/>
      <c r="Z791" s="4"/>
    </row>
    <row r="792" spans="1:26" ht="14.1" hidden="1">
      <c r="A792" s="20">
        <v>799</v>
      </c>
      <c r="B792" s="1063">
        <v>40569</v>
      </c>
      <c r="C792" s="18" t="s">
        <v>3527</v>
      </c>
      <c r="D792" s="11" t="s">
        <v>6</v>
      </c>
      <c r="E792" s="18" t="s">
        <v>2722</v>
      </c>
      <c r="F792" s="18" t="s">
        <v>3528</v>
      </c>
      <c r="G792" s="18" t="s">
        <v>3529</v>
      </c>
      <c r="H792" s="18" t="s">
        <v>3525</v>
      </c>
      <c r="I792" s="18" t="s">
        <v>3525</v>
      </c>
      <c r="J792" s="18"/>
      <c r="K792" s="18"/>
      <c r="L792" s="18"/>
      <c r="M792" s="18">
        <v>3</v>
      </c>
      <c r="N792" s="18">
        <v>1</v>
      </c>
      <c r="O792" s="18">
        <v>4</v>
      </c>
      <c r="P792" s="18">
        <v>0</v>
      </c>
      <c r="Q792" s="18">
        <v>0</v>
      </c>
      <c r="R792" s="1215">
        <v>83810</v>
      </c>
      <c r="S792" s="1215">
        <v>83810</v>
      </c>
      <c r="T792" s="18" t="s">
        <v>929</v>
      </c>
      <c r="U792" s="1859" t="s">
        <v>3530</v>
      </c>
      <c r="V792" s="18" t="s">
        <v>931</v>
      </c>
      <c r="W792" s="2021" t="s">
        <v>401</v>
      </c>
      <c r="X792" s="18"/>
      <c r="Y792" s="4"/>
      <c r="Z792" s="4"/>
    </row>
    <row r="793" spans="1:26" ht="26.1" hidden="1">
      <c r="A793" s="20">
        <v>800</v>
      </c>
      <c r="B793" s="1063">
        <v>40570</v>
      </c>
      <c r="C793" s="18" t="s">
        <v>3531</v>
      </c>
      <c r="D793" s="11" t="s">
        <v>6</v>
      </c>
      <c r="E793" s="18" t="s">
        <v>2722</v>
      </c>
      <c r="F793" s="18" t="s">
        <v>3528</v>
      </c>
      <c r="G793" s="18" t="s">
        <v>3532</v>
      </c>
      <c r="H793" s="18" t="s">
        <v>3525</v>
      </c>
      <c r="I793" s="18" t="s">
        <v>3525</v>
      </c>
      <c r="J793" s="18"/>
      <c r="K793" s="18"/>
      <c r="L793" s="18"/>
      <c r="M793" s="18">
        <v>3</v>
      </c>
      <c r="N793" s="18">
        <v>1</v>
      </c>
      <c r="O793" s="18">
        <v>4</v>
      </c>
      <c r="P793" s="18">
        <v>0</v>
      </c>
      <c r="Q793" s="18">
        <v>0</v>
      </c>
      <c r="R793" s="1215">
        <v>183795</v>
      </c>
      <c r="S793" s="1215">
        <v>183795</v>
      </c>
      <c r="T793" s="18" t="s">
        <v>929</v>
      </c>
      <c r="U793" s="1859" t="s">
        <v>3533</v>
      </c>
      <c r="V793" s="18" t="s">
        <v>931</v>
      </c>
      <c r="W793" s="2021" t="s">
        <v>401</v>
      </c>
      <c r="X793" s="18"/>
      <c r="Y793" s="4"/>
      <c r="Z793" s="4"/>
    </row>
    <row r="794" spans="1:26" ht="26.1" hidden="1">
      <c r="A794" s="20">
        <v>801</v>
      </c>
      <c r="B794" s="1063">
        <v>40571</v>
      </c>
      <c r="C794" s="18" t="s">
        <v>3534</v>
      </c>
      <c r="D794" s="11" t="s">
        <v>6</v>
      </c>
      <c r="E794" s="18" t="s">
        <v>2722</v>
      </c>
      <c r="F794" s="18" t="s">
        <v>970</v>
      </c>
      <c r="G794" s="18" t="s">
        <v>3532</v>
      </c>
      <c r="H794" s="18" t="s">
        <v>3525</v>
      </c>
      <c r="I794" s="18" t="s">
        <v>3525</v>
      </c>
      <c r="J794" s="18"/>
      <c r="K794" s="18"/>
      <c r="L794" s="18"/>
      <c r="M794" s="18">
        <v>3</v>
      </c>
      <c r="N794" s="18">
        <v>1</v>
      </c>
      <c r="O794" s="18">
        <v>4</v>
      </c>
      <c r="P794" s="18">
        <v>0</v>
      </c>
      <c r="Q794" s="18">
        <v>0</v>
      </c>
      <c r="R794" s="1215">
        <v>127862</v>
      </c>
      <c r="S794" s="1215">
        <v>127862</v>
      </c>
      <c r="T794" s="18" t="s">
        <v>929</v>
      </c>
      <c r="U794" s="1859" t="s">
        <v>3535</v>
      </c>
      <c r="V794" s="18" t="s">
        <v>931</v>
      </c>
      <c r="W794" s="2021" t="s">
        <v>401</v>
      </c>
      <c r="X794" s="18"/>
      <c r="Y794" s="4"/>
      <c r="Z794" s="4"/>
    </row>
    <row r="795" spans="1:26" ht="14.1" hidden="1">
      <c r="A795" s="20">
        <v>802</v>
      </c>
      <c r="B795" s="1063">
        <v>40572</v>
      </c>
      <c r="C795" s="18" t="s">
        <v>3536</v>
      </c>
      <c r="D795" s="11" t="s">
        <v>6</v>
      </c>
      <c r="E795" s="18" t="s">
        <v>2722</v>
      </c>
      <c r="F795" s="18" t="s">
        <v>2876</v>
      </c>
      <c r="G795" s="18" t="s">
        <v>3537</v>
      </c>
      <c r="H795" s="18" t="s">
        <v>3525</v>
      </c>
      <c r="I795" s="18" t="s">
        <v>3525</v>
      </c>
      <c r="J795" s="18"/>
      <c r="K795" s="18"/>
      <c r="L795" s="18"/>
      <c r="M795" s="18">
        <v>1</v>
      </c>
      <c r="N795" s="18">
        <v>1</v>
      </c>
      <c r="O795" s="18">
        <v>2</v>
      </c>
      <c r="P795" s="18">
        <v>0</v>
      </c>
      <c r="Q795" s="18">
        <v>0</v>
      </c>
      <c r="R795" s="1215">
        <f>63212/2</f>
        <v>31606</v>
      </c>
      <c r="S795" s="1215">
        <v>63212</v>
      </c>
      <c r="T795" s="18" t="s">
        <v>929</v>
      </c>
      <c r="U795" s="1868" t="s">
        <v>3538</v>
      </c>
      <c r="V795" s="18" t="s">
        <v>931</v>
      </c>
      <c r="W795" s="2021" t="s">
        <v>401</v>
      </c>
      <c r="X795" s="18"/>
      <c r="Y795" s="4"/>
      <c r="Z795" s="4"/>
    </row>
    <row r="796" spans="1:26" ht="14.1" hidden="1">
      <c r="A796" s="20">
        <v>803</v>
      </c>
      <c r="B796" s="1063">
        <v>40573</v>
      </c>
      <c r="C796" s="18" t="s">
        <v>3539</v>
      </c>
      <c r="D796" s="11" t="s">
        <v>6</v>
      </c>
      <c r="E796" s="18" t="s">
        <v>2722</v>
      </c>
      <c r="F796" s="18" t="s">
        <v>2876</v>
      </c>
      <c r="G796" s="18" t="s">
        <v>3540</v>
      </c>
      <c r="H796" s="18" t="s">
        <v>3525</v>
      </c>
      <c r="I796" s="18" t="s">
        <v>3525</v>
      </c>
      <c r="J796" s="18"/>
      <c r="K796" s="18"/>
      <c r="L796" s="18"/>
      <c r="M796" s="18">
        <v>1</v>
      </c>
      <c r="N796" s="18">
        <v>1</v>
      </c>
      <c r="O796" s="18">
        <v>2</v>
      </c>
      <c r="P796" s="18">
        <v>0</v>
      </c>
      <c r="Q796" s="18">
        <v>0</v>
      </c>
      <c r="R796" s="1215">
        <f>36242/2</f>
        <v>18121</v>
      </c>
      <c r="S796" s="1215">
        <v>36242</v>
      </c>
      <c r="T796" s="18" t="s">
        <v>929</v>
      </c>
      <c r="U796" s="1868" t="s">
        <v>3541</v>
      </c>
      <c r="V796" s="18" t="s">
        <v>931</v>
      </c>
      <c r="W796" s="2021" t="s">
        <v>401</v>
      </c>
      <c r="X796" s="18"/>
      <c r="Y796" s="4"/>
      <c r="Z796" s="4"/>
    </row>
    <row r="797" spans="1:26" ht="14.1" hidden="1">
      <c r="A797" s="20">
        <v>804</v>
      </c>
      <c r="B797" s="1063">
        <v>40574</v>
      </c>
      <c r="C797" s="18" t="s">
        <v>3542</v>
      </c>
      <c r="D797" s="11" t="s">
        <v>6</v>
      </c>
      <c r="E797" s="18" t="s">
        <v>2722</v>
      </c>
      <c r="F797" s="18" t="s">
        <v>2876</v>
      </c>
      <c r="G797" s="18" t="s">
        <v>3543</v>
      </c>
      <c r="H797" s="18" t="s">
        <v>3525</v>
      </c>
      <c r="I797" s="18" t="s">
        <v>3525</v>
      </c>
      <c r="J797" s="18"/>
      <c r="K797" s="18"/>
      <c r="L797" s="18"/>
      <c r="M797" s="18">
        <v>1</v>
      </c>
      <c r="N797" s="18">
        <v>1</v>
      </c>
      <c r="O797" s="18">
        <v>2</v>
      </c>
      <c r="P797" s="18">
        <v>0</v>
      </c>
      <c r="Q797" s="18">
        <v>0</v>
      </c>
      <c r="R797" s="1215">
        <f>33558/2</f>
        <v>16779</v>
      </c>
      <c r="S797" s="1215">
        <v>33558</v>
      </c>
      <c r="T797" s="18" t="s">
        <v>929</v>
      </c>
      <c r="U797" s="1868" t="s">
        <v>3544</v>
      </c>
      <c r="V797" s="18" t="s">
        <v>931</v>
      </c>
      <c r="W797" s="2021" t="s">
        <v>401</v>
      </c>
      <c r="X797" s="18"/>
      <c r="Y797" s="4"/>
      <c r="Z797" s="4"/>
    </row>
    <row r="798" spans="1:26" ht="14.1" hidden="1">
      <c r="A798" s="20">
        <v>805</v>
      </c>
      <c r="B798" s="1063">
        <v>40575</v>
      </c>
      <c r="C798" s="18" t="s">
        <v>3545</v>
      </c>
      <c r="D798" s="11" t="s">
        <v>6</v>
      </c>
      <c r="E798" s="18" t="s">
        <v>2722</v>
      </c>
      <c r="F798" s="18" t="s">
        <v>2876</v>
      </c>
      <c r="G798" s="18" t="s">
        <v>3537</v>
      </c>
      <c r="H798" s="18" t="s">
        <v>3525</v>
      </c>
      <c r="I798" s="18" t="s">
        <v>3525</v>
      </c>
      <c r="J798" s="18"/>
      <c r="K798" s="18"/>
      <c r="L798" s="18"/>
      <c r="M798" s="18">
        <v>1</v>
      </c>
      <c r="N798" s="18">
        <v>1</v>
      </c>
      <c r="O798" s="18">
        <v>2</v>
      </c>
      <c r="P798" s="18">
        <v>0</v>
      </c>
      <c r="Q798" s="18">
        <v>0</v>
      </c>
      <c r="R798" s="1215">
        <f>33412/2</f>
        <v>16706</v>
      </c>
      <c r="S798" s="1215">
        <v>33412</v>
      </c>
      <c r="T798" s="18" t="s">
        <v>929</v>
      </c>
      <c r="U798" s="1868" t="s">
        <v>3546</v>
      </c>
      <c r="V798" s="18" t="s">
        <v>931</v>
      </c>
      <c r="W798" s="2021" t="s">
        <v>401</v>
      </c>
      <c r="X798" s="18"/>
      <c r="Y798" s="4"/>
      <c r="Z798" s="4"/>
    </row>
    <row r="799" spans="1:26" ht="14.1" hidden="1">
      <c r="A799" s="20">
        <v>806</v>
      </c>
      <c r="B799" s="1063">
        <v>40576</v>
      </c>
      <c r="C799" s="18" t="s">
        <v>2573</v>
      </c>
      <c r="D799" s="11"/>
      <c r="E799" s="18" t="s">
        <v>2722</v>
      </c>
      <c r="F799" s="620" t="s">
        <v>2450</v>
      </c>
      <c r="G799" s="18" t="s">
        <v>3547</v>
      </c>
      <c r="H799" s="620" t="s">
        <v>1002</v>
      </c>
      <c r="I799" s="620" t="s">
        <v>1002</v>
      </c>
      <c r="J799" s="617"/>
      <c r="K799" s="617">
        <v>19051400088</v>
      </c>
      <c r="L799" s="617" t="s">
        <v>1606</v>
      </c>
      <c r="M799" s="617">
        <v>6</v>
      </c>
      <c r="N799" s="617">
        <v>6</v>
      </c>
      <c r="O799" s="617">
        <v>6</v>
      </c>
      <c r="P799" s="617">
        <v>0</v>
      </c>
      <c r="Q799" s="18">
        <v>0</v>
      </c>
      <c r="R799" s="1215">
        <f>S799/6</f>
        <v>7301</v>
      </c>
      <c r="S799" s="1215">
        <v>43806</v>
      </c>
      <c r="T799" s="18" t="s">
        <v>1957</v>
      </c>
      <c r="U799" s="1859" t="s">
        <v>441</v>
      </c>
      <c r="V799" s="18"/>
      <c r="W799" s="2021" t="s">
        <v>2871</v>
      </c>
      <c r="X799" s="18"/>
      <c r="Y799" s="4"/>
      <c r="Z799" s="4"/>
    </row>
    <row r="800" spans="1:26" ht="39" hidden="1">
      <c r="A800" s="20">
        <v>807</v>
      </c>
      <c r="B800" s="1063">
        <v>40577</v>
      </c>
      <c r="C800" s="58" t="s">
        <v>329</v>
      </c>
      <c r="D800" s="11"/>
      <c r="E800" s="18" t="s">
        <v>2722</v>
      </c>
      <c r="F800" s="58" t="s">
        <v>2006</v>
      </c>
      <c r="G800" s="58" t="s">
        <v>3548</v>
      </c>
      <c r="H800" s="81" t="s">
        <v>3243</v>
      </c>
      <c r="I800" s="58" t="s">
        <v>574</v>
      </c>
      <c r="J800" s="58" t="s">
        <v>3549</v>
      </c>
      <c r="K800" s="58" t="s">
        <v>3550</v>
      </c>
      <c r="L800" s="58" t="s">
        <v>3551</v>
      </c>
      <c r="M800" s="58">
        <v>88</v>
      </c>
      <c r="N800" s="58">
        <v>1</v>
      </c>
      <c r="O800" s="58">
        <v>100</v>
      </c>
      <c r="P800" s="58">
        <v>0</v>
      </c>
      <c r="Q800" s="58">
        <f t="shared" ref="Q800:Q823" si="32">(O800+P800)-M800</f>
        <v>12</v>
      </c>
      <c r="R800" s="1219">
        <v>36</v>
      </c>
      <c r="S800" s="1219">
        <v>3600</v>
      </c>
      <c r="T800" s="58" t="s">
        <v>929</v>
      </c>
      <c r="U800" s="1865" t="s">
        <v>3552</v>
      </c>
      <c r="V800" s="58" t="s">
        <v>104</v>
      </c>
      <c r="W800" s="2029" t="s">
        <v>3553</v>
      </c>
      <c r="X800" s="18"/>
      <c r="Y800" s="4"/>
      <c r="Z800" s="4"/>
    </row>
    <row r="801" spans="1:26" ht="39" hidden="1">
      <c r="A801" s="20">
        <v>808</v>
      </c>
      <c r="B801" s="1063">
        <v>40578</v>
      </c>
      <c r="C801" s="58" t="s">
        <v>329</v>
      </c>
      <c r="D801" s="11"/>
      <c r="E801" s="18" t="s">
        <v>2722</v>
      </c>
      <c r="F801" s="58" t="s">
        <v>2006</v>
      </c>
      <c r="G801" s="58" t="s">
        <v>3554</v>
      </c>
      <c r="H801" s="81" t="s">
        <v>3243</v>
      </c>
      <c r="I801" s="58" t="s">
        <v>574</v>
      </c>
      <c r="J801" s="58" t="s">
        <v>3555</v>
      </c>
      <c r="K801" s="58" t="s">
        <v>3556</v>
      </c>
      <c r="L801" s="58" t="s">
        <v>3551</v>
      </c>
      <c r="M801" s="58">
        <v>8</v>
      </c>
      <c r="N801" s="58">
        <v>1</v>
      </c>
      <c r="O801" s="58">
        <v>10</v>
      </c>
      <c r="P801" s="58">
        <v>0</v>
      </c>
      <c r="Q801" s="58">
        <f t="shared" si="32"/>
        <v>2</v>
      </c>
      <c r="R801" s="1219">
        <v>25</v>
      </c>
      <c r="S801" s="1219">
        <v>250</v>
      </c>
      <c r="T801" s="58" t="s">
        <v>929</v>
      </c>
      <c r="U801" s="1865" t="s">
        <v>3552</v>
      </c>
      <c r="V801" s="58" t="s">
        <v>104</v>
      </c>
      <c r="W801" s="2029" t="s">
        <v>3557</v>
      </c>
      <c r="X801" s="18"/>
      <c r="Y801" s="4"/>
      <c r="Z801" s="4"/>
    </row>
    <row r="802" spans="1:26" ht="26.1" hidden="1">
      <c r="A802" s="20">
        <v>809</v>
      </c>
      <c r="B802" s="1063">
        <v>40579</v>
      </c>
      <c r="C802" s="58" t="s">
        <v>329</v>
      </c>
      <c r="D802" s="11"/>
      <c r="E802" s="18" t="s">
        <v>2722</v>
      </c>
      <c r="F802" s="58" t="s">
        <v>2006</v>
      </c>
      <c r="G802" s="58" t="s">
        <v>3558</v>
      </c>
      <c r="H802" s="58" t="s">
        <v>641</v>
      </c>
      <c r="I802" s="58" t="s">
        <v>574</v>
      </c>
      <c r="J802" s="58" t="s">
        <v>3559</v>
      </c>
      <c r="K802" s="58" t="s">
        <v>3560</v>
      </c>
      <c r="L802" s="58" t="s">
        <v>3551</v>
      </c>
      <c r="M802" s="58">
        <v>38</v>
      </c>
      <c r="N802" s="58">
        <v>1</v>
      </c>
      <c r="O802" s="58">
        <v>50</v>
      </c>
      <c r="P802" s="58">
        <v>0</v>
      </c>
      <c r="Q802" s="58">
        <f t="shared" si="32"/>
        <v>12</v>
      </c>
      <c r="R802" s="1219">
        <v>33</v>
      </c>
      <c r="S802" s="1219">
        <v>1650</v>
      </c>
      <c r="T802" s="58" t="s">
        <v>929</v>
      </c>
      <c r="U802" s="1865" t="s">
        <v>3552</v>
      </c>
      <c r="V802" s="58" t="s">
        <v>104</v>
      </c>
      <c r="W802" s="2029" t="s">
        <v>3561</v>
      </c>
      <c r="X802" s="18"/>
      <c r="Y802" s="4"/>
      <c r="Z802" s="4"/>
    </row>
    <row r="803" spans="1:26" ht="39" hidden="1">
      <c r="A803" s="20">
        <v>810</v>
      </c>
      <c r="B803" s="1063">
        <v>40580</v>
      </c>
      <c r="C803" s="58" t="s">
        <v>329</v>
      </c>
      <c r="D803" s="11"/>
      <c r="E803" s="18" t="s">
        <v>2722</v>
      </c>
      <c r="F803" s="58" t="s">
        <v>2006</v>
      </c>
      <c r="G803" s="58" t="s">
        <v>3562</v>
      </c>
      <c r="H803" s="81" t="s">
        <v>3243</v>
      </c>
      <c r="I803" s="58" t="s">
        <v>574</v>
      </c>
      <c r="J803" s="58" t="s">
        <v>3563</v>
      </c>
      <c r="K803" s="58" t="s">
        <v>3564</v>
      </c>
      <c r="L803" s="58" t="s">
        <v>3551</v>
      </c>
      <c r="M803" s="58">
        <v>2</v>
      </c>
      <c r="N803" s="58">
        <v>1</v>
      </c>
      <c r="O803" s="58">
        <v>5</v>
      </c>
      <c r="P803" s="58">
        <v>0</v>
      </c>
      <c r="Q803" s="58">
        <f t="shared" si="32"/>
        <v>3</v>
      </c>
      <c r="R803" s="1219">
        <v>31</v>
      </c>
      <c r="S803" s="1219">
        <v>155</v>
      </c>
      <c r="T803" s="58" t="s">
        <v>929</v>
      </c>
      <c r="U803" s="1865" t="s">
        <v>3552</v>
      </c>
      <c r="V803" s="58" t="s">
        <v>104</v>
      </c>
      <c r="W803" s="2029" t="s">
        <v>3565</v>
      </c>
      <c r="X803" s="18"/>
      <c r="Y803" s="4"/>
      <c r="Z803" s="4"/>
    </row>
    <row r="804" spans="1:26" ht="39" hidden="1">
      <c r="A804" s="20">
        <v>811</v>
      </c>
      <c r="B804" s="1063">
        <v>40581</v>
      </c>
      <c r="C804" s="58" t="s">
        <v>329</v>
      </c>
      <c r="D804" s="11"/>
      <c r="E804" s="18" t="s">
        <v>2722</v>
      </c>
      <c r="F804" s="58" t="s">
        <v>2006</v>
      </c>
      <c r="G804" s="58" t="s">
        <v>3566</v>
      </c>
      <c r="H804" s="81" t="s">
        <v>3243</v>
      </c>
      <c r="I804" s="58" t="s">
        <v>574</v>
      </c>
      <c r="J804" s="58" t="s">
        <v>3567</v>
      </c>
      <c r="K804" s="58" t="s">
        <v>3568</v>
      </c>
      <c r="L804" s="58" t="s">
        <v>3551</v>
      </c>
      <c r="M804" s="58">
        <v>2</v>
      </c>
      <c r="N804" s="58">
        <v>1</v>
      </c>
      <c r="O804" s="58">
        <v>5</v>
      </c>
      <c r="P804" s="58">
        <v>0</v>
      </c>
      <c r="Q804" s="58">
        <f t="shared" si="32"/>
        <v>3</v>
      </c>
      <c r="R804" s="1219">
        <v>27</v>
      </c>
      <c r="S804" s="1219">
        <v>135</v>
      </c>
      <c r="T804" s="58" t="s">
        <v>929</v>
      </c>
      <c r="U804" s="1865" t="s">
        <v>3552</v>
      </c>
      <c r="V804" s="58" t="s">
        <v>104</v>
      </c>
      <c r="W804" s="2029" t="s">
        <v>3569</v>
      </c>
      <c r="X804" s="18"/>
      <c r="Y804" s="4"/>
      <c r="Z804" s="4"/>
    </row>
    <row r="805" spans="1:26" ht="26.1" hidden="1">
      <c r="A805" s="20">
        <v>812</v>
      </c>
      <c r="B805" s="1063">
        <v>40582</v>
      </c>
      <c r="C805" s="58" t="s">
        <v>329</v>
      </c>
      <c r="D805" s="11"/>
      <c r="E805" s="18" t="s">
        <v>2722</v>
      </c>
      <c r="F805" s="58" t="s">
        <v>2006</v>
      </c>
      <c r="G805" s="58" t="s">
        <v>3570</v>
      </c>
      <c r="H805" s="58" t="s">
        <v>651</v>
      </c>
      <c r="I805" s="58" t="s">
        <v>574</v>
      </c>
      <c r="J805" s="58" t="s">
        <v>2344</v>
      </c>
      <c r="K805" s="58" t="s">
        <v>3571</v>
      </c>
      <c r="L805" s="58" t="s">
        <v>3551</v>
      </c>
      <c r="M805" s="58">
        <v>2</v>
      </c>
      <c r="N805" s="58">
        <v>1</v>
      </c>
      <c r="O805" s="58">
        <v>10</v>
      </c>
      <c r="P805" s="58">
        <v>0</v>
      </c>
      <c r="Q805" s="58">
        <f t="shared" si="32"/>
        <v>8</v>
      </c>
      <c r="R805" s="1219">
        <v>57</v>
      </c>
      <c r="S805" s="1219">
        <v>570</v>
      </c>
      <c r="T805" s="58" t="s">
        <v>929</v>
      </c>
      <c r="U805" s="1865" t="s">
        <v>3552</v>
      </c>
      <c r="V805" s="58" t="s">
        <v>104</v>
      </c>
      <c r="W805" s="2029" t="s">
        <v>3572</v>
      </c>
      <c r="X805" s="18"/>
      <c r="Y805" s="4"/>
      <c r="Z805" s="4"/>
    </row>
    <row r="806" spans="1:26" ht="39" hidden="1">
      <c r="A806" s="20">
        <v>813</v>
      </c>
      <c r="B806" s="1063">
        <v>40583</v>
      </c>
      <c r="C806" s="58" t="s">
        <v>329</v>
      </c>
      <c r="D806" s="11"/>
      <c r="E806" s="18" t="s">
        <v>2722</v>
      </c>
      <c r="F806" s="58" t="s">
        <v>2006</v>
      </c>
      <c r="G806" s="58" t="s">
        <v>3573</v>
      </c>
      <c r="H806" s="58" t="s">
        <v>3243</v>
      </c>
      <c r="I806" s="58" t="s">
        <v>574</v>
      </c>
      <c r="J806" s="58" t="s">
        <v>3574</v>
      </c>
      <c r="K806" s="58" t="s">
        <v>3575</v>
      </c>
      <c r="L806" s="58" t="s">
        <v>3551</v>
      </c>
      <c r="M806" s="58">
        <v>4</v>
      </c>
      <c r="N806" s="58">
        <v>1</v>
      </c>
      <c r="O806" s="58">
        <v>10</v>
      </c>
      <c r="P806" s="58">
        <v>0</v>
      </c>
      <c r="Q806" s="58">
        <f t="shared" si="32"/>
        <v>6</v>
      </c>
      <c r="R806" s="1219">
        <v>50</v>
      </c>
      <c r="S806" s="1219">
        <v>500</v>
      </c>
      <c r="T806" s="58" t="s">
        <v>929</v>
      </c>
      <c r="U806" s="1865" t="s">
        <v>3552</v>
      </c>
      <c r="V806" s="58" t="s">
        <v>104</v>
      </c>
      <c r="W806" s="2029" t="s">
        <v>3576</v>
      </c>
      <c r="X806" s="18"/>
      <c r="Y806" s="4"/>
      <c r="Z806" s="4"/>
    </row>
    <row r="807" spans="1:26" ht="26.1" hidden="1">
      <c r="A807" s="20">
        <v>814</v>
      </c>
      <c r="B807" s="1063">
        <v>40584</v>
      </c>
      <c r="C807" s="58" t="s">
        <v>329</v>
      </c>
      <c r="D807" s="11"/>
      <c r="E807" s="18" t="s">
        <v>2722</v>
      </c>
      <c r="F807" s="58" t="s">
        <v>2006</v>
      </c>
      <c r="G807" s="58" t="s">
        <v>3577</v>
      </c>
      <c r="H807" s="58" t="s">
        <v>651</v>
      </c>
      <c r="I807" s="58" t="s">
        <v>574</v>
      </c>
      <c r="J807" s="58" t="s">
        <v>3578</v>
      </c>
      <c r="K807" s="58" t="s">
        <v>3579</v>
      </c>
      <c r="L807" s="58" t="s">
        <v>3551</v>
      </c>
      <c r="M807" s="58">
        <v>8</v>
      </c>
      <c r="N807" s="58">
        <v>1</v>
      </c>
      <c r="O807" s="58">
        <v>10</v>
      </c>
      <c r="P807" s="58">
        <v>0</v>
      </c>
      <c r="Q807" s="58">
        <f t="shared" si="32"/>
        <v>2</v>
      </c>
      <c r="R807" s="1219">
        <v>35</v>
      </c>
      <c r="S807" s="1219">
        <v>350</v>
      </c>
      <c r="T807" s="58" t="s">
        <v>929</v>
      </c>
      <c r="U807" s="1865" t="s">
        <v>3552</v>
      </c>
      <c r="V807" s="58" t="s">
        <v>104</v>
      </c>
      <c r="W807" s="2029" t="s">
        <v>3580</v>
      </c>
      <c r="X807" s="18"/>
      <c r="Y807" s="4"/>
      <c r="Z807" s="4"/>
    </row>
    <row r="808" spans="1:26" ht="39" hidden="1">
      <c r="A808" s="20">
        <v>815</v>
      </c>
      <c r="B808" s="1063">
        <v>40585</v>
      </c>
      <c r="C808" s="58" t="s">
        <v>329</v>
      </c>
      <c r="D808" s="11"/>
      <c r="E808" s="18" t="s">
        <v>2722</v>
      </c>
      <c r="F808" s="58" t="s">
        <v>2006</v>
      </c>
      <c r="G808" s="58" t="s">
        <v>3581</v>
      </c>
      <c r="H808" s="81" t="s">
        <v>3243</v>
      </c>
      <c r="I808" s="58" t="s">
        <v>574</v>
      </c>
      <c r="J808" s="58" t="s">
        <v>3582</v>
      </c>
      <c r="K808" s="58" t="s">
        <v>3583</v>
      </c>
      <c r="L808" s="58" t="s">
        <v>3551</v>
      </c>
      <c r="M808" s="58">
        <v>2</v>
      </c>
      <c r="N808" s="58">
        <v>1</v>
      </c>
      <c r="O808" s="58">
        <v>5</v>
      </c>
      <c r="P808" s="58">
        <v>0</v>
      </c>
      <c r="Q808" s="58">
        <f t="shared" si="32"/>
        <v>3</v>
      </c>
      <c r="R808" s="1219">
        <v>71</v>
      </c>
      <c r="S808" s="1219">
        <v>355</v>
      </c>
      <c r="T808" s="58" t="s">
        <v>929</v>
      </c>
      <c r="U808" s="1865" t="s">
        <v>3552</v>
      </c>
      <c r="V808" s="58" t="s">
        <v>104</v>
      </c>
      <c r="W808" s="2029" t="s">
        <v>3584</v>
      </c>
      <c r="X808" s="18"/>
      <c r="Y808" s="4"/>
      <c r="Z808" s="4"/>
    </row>
    <row r="809" spans="1:26" ht="39" hidden="1">
      <c r="A809" s="20">
        <v>816</v>
      </c>
      <c r="B809" s="1063">
        <v>40586</v>
      </c>
      <c r="C809" s="58" t="s">
        <v>589</v>
      </c>
      <c r="D809" s="11"/>
      <c r="E809" s="18" t="s">
        <v>2722</v>
      </c>
      <c r="F809" s="58" t="s">
        <v>2006</v>
      </c>
      <c r="G809" s="58" t="s">
        <v>3585</v>
      </c>
      <c r="H809" s="58" t="s">
        <v>1853</v>
      </c>
      <c r="I809" s="58" t="s">
        <v>574</v>
      </c>
      <c r="J809" s="58" t="s">
        <v>3586</v>
      </c>
      <c r="K809" s="58" t="s">
        <v>3587</v>
      </c>
      <c r="L809" s="58" t="s">
        <v>3588</v>
      </c>
      <c r="M809" s="58">
        <v>6</v>
      </c>
      <c r="N809" s="58">
        <v>1</v>
      </c>
      <c r="O809" s="58">
        <v>10</v>
      </c>
      <c r="P809" s="58">
        <v>0</v>
      </c>
      <c r="Q809" s="58">
        <f t="shared" si="32"/>
        <v>4</v>
      </c>
      <c r="R809" s="1219">
        <v>55</v>
      </c>
      <c r="S809" s="1219">
        <v>550</v>
      </c>
      <c r="T809" s="58" t="s">
        <v>929</v>
      </c>
      <c r="U809" s="1865" t="s">
        <v>3552</v>
      </c>
      <c r="V809" s="58" t="s">
        <v>104</v>
      </c>
      <c r="W809" s="2029" t="s">
        <v>3589</v>
      </c>
      <c r="X809" s="18"/>
      <c r="Y809" s="4"/>
      <c r="Z809" s="4"/>
    </row>
    <row r="810" spans="1:26" ht="39" hidden="1">
      <c r="A810" s="20">
        <v>817</v>
      </c>
      <c r="B810" s="1063">
        <v>40587</v>
      </c>
      <c r="C810" s="58" t="s">
        <v>589</v>
      </c>
      <c r="D810" s="11"/>
      <c r="E810" s="18" t="s">
        <v>2722</v>
      </c>
      <c r="F810" s="58" t="s">
        <v>2006</v>
      </c>
      <c r="G810" s="58" t="s">
        <v>3590</v>
      </c>
      <c r="H810" s="58" t="s">
        <v>1853</v>
      </c>
      <c r="I810" s="58" t="s">
        <v>574</v>
      </c>
      <c r="J810" s="58" t="s">
        <v>3591</v>
      </c>
      <c r="K810" s="58" t="s">
        <v>3592</v>
      </c>
      <c r="L810" s="58" t="s">
        <v>3588</v>
      </c>
      <c r="M810" s="58">
        <v>4</v>
      </c>
      <c r="N810" s="58">
        <v>1</v>
      </c>
      <c r="O810" s="58">
        <v>10</v>
      </c>
      <c r="P810" s="58">
        <v>0</v>
      </c>
      <c r="Q810" s="58">
        <f t="shared" si="32"/>
        <v>6</v>
      </c>
      <c r="R810" s="1219">
        <v>55</v>
      </c>
      <c r="S810" s="1219">
        <v>550</v>
      </c>
      <c r="T810" s="58" t="s">
        <v>929</v>
      </c>
      <c r="U810" s="1865" t="s">
        <v>3552</v>
      </c>
      <c r="V810" s="58" t="s">
        <v>104</v>
      </c>
      <c r="W810" s="2029" t="s">
        <v>3593</v>
      </c>
      <c r="X810" s="18"/>
      <c r="Y810" s="4"/>
      <c r="Z810" s="4"/>
    </row>
    <row r="811" spans="1:26" ht="26.1" hidden="1">
      <c r="A811" s="20">
        <v>818</v>
      </c>
      <c r="B811" s="1063">
        <v>40588</v>
      </c>
      <c r="C811" s="58" t="s">
        <v>589</v>
      </c>
      <c r="D811" s="11"/>
      <c r="E811" s="18" t="s">
        <v>2722</v>
      </c>
      <c r="F811" s="58" t="s">
        <v>2006</v>
      </c>
      <c r="G811" s="58" t="s">
        <v>3594</v>
      </c>
      <c r="H811" s="58" t="s">
        <v>1853</v>
      </c>
      <c r="I811" s="58" t="s">
        <v>574</v>
      </c>
      <c r="J811" s="58" t="s">
        <v>3595</v>
      </c>
      <c r="K811" s="58" t="s">
        <v>3596</v>
      </c>
      <c r="L811" s="58" t="s">
        <v>3588</v>
      </c>
      <c r="M811" s="58">
        <v>8</v>
      </c>
      <c r="N811" s="58">
        <v>1</v>
      </c>
      <c r="O811" s="58">
        <v>10</v>
      </c>
      <c r="P811" s="58">
        <v>0</v>
      </c>
      <c r="Q811" s="58">
        <f t="shared" si="32"/>
        <v>2</v>
      </c>
      <c r="R811" s="1219">
        <v>55</v>
      </c>
      <c r="S811" s="1219">
        <v>550</v>
      </c>
      <c r="T811" s="58" t="s">
        <v>929</v>
      </c>
      <c r="U811" s="1865" t="s">
        <v>3552</v>
      </c>
      <c r="V811" s="58" t="s">
        <v>104</v>
      </c>
      <c r="W811" s="2029" t="s">
        <v>3597</v>
      </c>
      <c r="X811" s="18"/>
      <c r="Y811" s="4"/>
      <c r="Z811" s="4"/>
    </row>
    <row r="812" spans="1:26" ht="39" hidden="1">
      <c r="A812" s="20">
        <v>819</v>
      </c>
      <c r="B812" s="1063">
        <v>40589</v>
      </c>
      <c r="C812" s="58" t="s">
        <v>589</v>
      </c>
      <c r="D812" s="11"/>
      <c r="E812" s="18" t="s">
        <v>2722</v>
      </c>
      <c r="F812" s="58" t="s">
        <v>2006</v>
      </c>
      <c r="G812" s="58" t="s">
        <v>3598</v>
      </c>
      <c r="H812" s="58" t="s">
        <v>1853</v>
      </c>
      <c r="I812" s="58" t="s">
        <v>574</v>
      </c>
      <c r="J812" s="58" t="s">
        <v>3599</v>
      </c>
      <c r="K812" s="58" t="s">
        <v>3600</v>
      </c>
      <c r="L812" s="58" t="s">
        <v>3588</v>
      </c>
      <c r="M812" s="58">
        <v>8</v>
      </c>
      <c r="N812" s="58">
        <v>1</v>
      </c>
      <c r="O812" s="58">
        <v>10</v>
      </c>
      <c r="P812" s="58">
        <v>0</v>
      </c>
      <c r="Q812" s="58">
        <f t="shared" si="32"/>
        <v>2</v>
      </c>
      <c r="R812" s="1219">
        <v>55</v>
      </c>
      <c r="S812" s="1219">
        <v>550</v>
      </c>
      <c r="T812" s="58" t="s">
        <v>929</v>
      </c>
      <c r="U812" s="1865" t="s">
        <v>3552</v>
      </c>
      <c r="V812" s="58" t="s">
        <v>104</v>
      </c>
      <c r="W812" s="2029" t="s">
        <v>3601</v>
      </c>
      <c r="X812" s="18"/>
      <c r="Y812" s="4"/>
      <c r="Z812" s="4"/>
    </row>
    <row r="813" spans="1:26" ht="26.1" hidden="1">
      <c r="A813" s="20">
        <v>820</v>
      </c>
      <c r="B813" s="1063">
        <v>40590</v>
      </c>
      <c r="C813" s="81" t="s">
        <v>3602</v>
      </c>
      <c r="D813" s="11"/>
      <c r="E813" s="18" t="s">
        <v>2722</v>
      </c>
      <c r="F813" s="58" t="s">
        <v>2006</v>
      </c>
      <c r="G813" s="81" t="s">
        <v>3603</v>
      </c>
      <c r="H813" s="81" t="s">
        <v>1853</v>
      </c>
      <c r="I813" s="81" t="s">
        <v>574</v>
      </c>
      <c r="J813" s="81" t="s">
        <v>599</v>
      </c>
      <c r="K813" s="81" t="s">
        <v>1991</v>
      </c>
      <c r="L813" s="81" t="s">
        <v>3604</v>
      </c>
      <c r="M813" s="81">
        <v>12</v>
      </c>
      <c r="N813" s="81">
        <v>1</v>
      </c>
      <c r="O813" s="81">
        <v>7</v>
      </c>
      <c r="P813" s="81">
        <v>8</v>
      </c>
      <c r="Q813" s="58">
        <f t="shared" si="32"/>
        <v>3</v>
      </c>
      <c r="R813" s="1219">
        <v>23</v>
      </c>
      <c r="S813" s="1219">
        <v>161</v>
      </c>
      <c r="T813" s="58" t="s">
        <v>929</v>
      </c>
      <c r="U813" s="1865" t="s">
        <v>3552</v>
      </c>
      <c r="V813" s="58" t="s">
        <v>104</v>
      </c>
      <c r="W813" s="2029" t="s">
        <v>3605</v>
      </c>
      <c r="X813" s="18"/>
      <c r="Y813" s="4"/>
      <c r="Z813" s="4"/>
    </row>
    <row r="814" spans="1:26" ht="39" hidden="1">
      <c r="A814" s="20">
        <v>821</v>
      </c>
      <c r="B814" s="1063">
        <v>40591</v>
      </c>
      <c r="C814" s="81" t="s">
        <v>3602</v>
      </c>
      <c r="D814" s="11"/>
      <c r="E814" s="18" t="s">
        <v>2722</v>
      </c>
      <c r="F814" s="58" t="s">
        <v>2006</v>
      </c>
      <c r="G814" s="81" t="s">
        <v>3606</v>
      </c>
      <c r="H814" s="81" t="s">
        <v>1865</v>
      </c>
      <c r="I814" s="81" t="s">
        <v>574</v>
      </c>
      <c r="J814" s="81" t="s">
        <v>3607</v>
      </c>
      <c r="K814" s="81" t="s">
        <v>3608</v>
      </c>
      <c r="L814" s="81" t="s">
        <v>3609</v>
      </c>
      <c r="M814" s="81">
        <v>20</v>
      </c>
      <c r="N814" s="81">
        <v>1</v>
      </c>
      <c r="O814" s="81">
        <v>50</v>
      </c>
      <c r="P814" s="81">
        <v>0</v>
      </c>
      <c r="Q814" s="58">
        <f t="shared" si="32"/>
        <v>30</v>
      </c>
      <c r="R814" s="1219">
        <v>63</v>
      </c>
      <c r="S814" s="1219">
        <v>3150</v>
      </c>
      <c r="T814" s="58" t="s">
        <v>929</v>
      </c>
      <c r="U814" s="1865" t="s">
        <v>3552</v>
      </c>
      <c r="V814" s="58" t="s">
        <v>104</v>
      </c>
      <c r="W814" s="2029" t="s">
        <v>3610</v>
      </c>
      <c r="X814" s="18"/>
      <c r="Y814" s="4"/>
      <c r="Z814" s="4"/>
    </row>
    <row r="815" spans="1:26" ht="26.1" hidden="1">
      <c r="A815" s="20">
        <v>822</v>
      </c>
      <c r="B815" s="1063">
        <v>40592</v>
      </c>
      <c r="C815" s="58" t="s">
        <v>2058</v>
      </c>
      <c r="D815" s="11"/>
      <c r="E815" s="18" t="s">
        <v>2722</v>
      </c>
      <c r="F815" s="58" t="s">
        <v>2006</v>
      </c>
      <c r="G815" s="58" t="s">
        <v>3611</v>
      </c>
      <c r="H815" s="58" t="s">
        <v>3612</v>
      </c>
      <c r="I815" s="81" t="s">
        <v>574</v>
      </c>
      <c r="J815" s="58" t="s">
        <v>3613</v>
      </c>
      <c r="K815" s="58" t="s">
        <v>3614</v>
      </c>
      <c r="L815" s="58" t="s">
        <v>2011</v>
      </c>
      <c r="M815" s="58">
        <v>2</v>
      </c>
      <c r="N815" s="58">
        <v>1</v>
      </c>
      <c r="O815" s="58">
        <v>5</v>
      </c>
      <c r="P815" s="58">
        <v>0</v>
      </c>
      <c r="Q815" s="58">
        <f t="shared" si="32"/>
        <v>3</v>
      </c>
      <c r="R815" s="1219">
        <v>279</v>
      </c>
      <c r="S815" s="1219">
        <v>1395</v>
      </c>
      <c r="T815" s="58" t="s">
        <v>929</v>
      </c>
      <c r="U815" s="1865" t="s">
        <v>3552</v>
      </c>
      <c r="V815" s="58" t="s">
        <v>104</v>
      </c>
      <c r="W815" s="2029" t="s">
        <v>3615</v>
      </c>
      <c r="X815" s="18"/>
      <c r="Y815" s="4"/>
      <c r="Z815" s="4"/>
    </row>
    <row r="816" spans="1:26" ht="39" hidden="1">
      <c r="A816" s="20">
        <v>823</v>
      </c>
      <c r="B816" s="1063">
        <v>40593</v>
      </c>
      <c r="C816" s="58" t="s">
        <v>2058</v>
      </c>
      <c r="D816" s="11"/>
      <c r="E816" s="18" t="s">
        <v>2722</v>
      </c>
      <c r="F816" s="58" t="s">
        <v>2006</v>
      </c>
      <c r="G816" s="81" t="s">
        <v>3616</v>
      </c>
      <c r="H816" s="58" t="s">
        <v>3612</v>
      </c>
      <c r="I816" s="81" t="s">
        <v>574</v>
      </c>
      <c r="J816" s="81" t="s">
        <v>3617</v>
      </c>
      <c r="K816" s="81" t="s">
        <v>3618</v>
      </c>
      <c r="L816" s="58" t="s">
        <v>2011</v>
      </c>
      <c r="M816" s="81">
        <v>2</v>
      </c>
      <c r="N816" s="81">
        <v>1</v>
      </c>
      <c r="O816" s="81">
        <v>10</v>
      </c>
      <c r="P816" s="81">
        <v>0</v>
      </c>
      <c r="Q816" s="58">
        <f t="shared" si="32"/>
        <v>8</v>
      </c>
      <c r="R816" s="1219">
        <v>125</v>
      </c>
      <c r="S816" s="1219">
        <v>2800</v>
      </c>
      <c r="T816" s="58" t="s">
        <v>929</v>
      </c>
      <c r="U816" s="1865" t="s">
        <v>3619</v>
      </c>
      <c r="V816" s="58" t="s">
        <v>104</v>
      </c>
      <c r="W816" s="2029" t="s">
        <v>3620</v>
      </c>
      <c r="X816" s="18" t="s">
        <v>3621</v>
      </c>
      <c r="Y816" s="4"/>
      <c r="Z816" s="4"/>
    </row>
    <row r="817" spans="1:26" ht="26.1" hidden="1">
      <c r="A817" s="20">
        <v>824</v>
      </c>
      <c r="B817" s="1063">
        <v>40594</v>
      </c>
      <c r="C817" s="81" t="s">
        <v>3622</v>
      </c>
      <c r="D817" s="11"/>
      <c r="E817" s="18" t="s">
        <v>2722</v>
      </c>
      <c r="F817" s="58" t="s">
        <v>2006</v>
      </c>
      <c r="G817" s="81" t="s">
        <v>3623</v>
      </c>
      <c r="H817" s="58" t="s">
        <v>3612</v>
      </c>
      <c r="I817" s="81" t="s">
        <v>574</v>
      </c>
      <c r="J817" s="81" t="s">
        <v>3624</v>
      </c>
      <c r="K817" s="81" t="s">
        <v>3625</v>
      </c>
      <c r="L817" s="58" t="s">
        <v>2011</v>
      </c>
      <c r="M817" s="81">
        <v>2</v>
      </c>
      <c r="N817" s="81">
        <v>1</v>
      </c>
      <c r="O817" s="81">
        <v>10</v>
      </c>
      <c r="P817" s="81">
        <v>0</v>
      </c>
      <c r="Q817" s="58">
        <f t="shared" si="32"/>
        <v>8</v>
      </c>
      <c r="R817" s="1219">
        <v>137</v>
      </c>
      <c r="S817" s="1219">
        <v>1370</v>
      </c>
      <c r="T817" s="58" t="s">
        <v>929</v>
      </c>
      <c r="U817" s="1865" t="s">
        <v>3619</v>
      </c>
      <c r="V817" s="58" t="s">
        <v>104</v>
      </c>
      <c r="W817" s="2029" t="s">
        <v>3626</v>
      </c>
      <c r="X817" s="18"/>
      <c r="Y817" s="4"/>
      <c r="Z817" s="4"/>
    </row>
    <row r="818" spans="1:26" ht="39" hidden="1">
      <c r="A818" s="20">
        <v>825</v>
      </c>
      <c r="B818" s="1063">
        <v>40595</v>
      </c>
      <c r="C818" s="81" t="s">
        <v>3271</v>
      </c>
      <c r="D818" s="11"/>
      <c r="E818" s="18" t="s">
        <v>2722</v>
      </c>
      <c r="F818" s="58" t="s">
        <v>2006</v>
      </c>
      <c r="G818" s="81" t="s">
        <v>3627</v>
      </c>
      <c r="H818" s="81" t="s">
        <v>452</v>
      </c>
      <c r="I818" s="81" t="s">
        <v>574</v>
      </c>
      <c r="J818" s="81" t="s">
        <v>3628</v>
      </c>
      <c r="K818" s="81" t="s">
        <v>3629</v>
      </c>
      <c r="L818" s="81" t="s">
        <v>3630</v>
      </c>
      <c r="M818" s="81">
        <v>2</v>
      </c>
      <c r="N818" s="81">
        <v>1</v>
      </c>
      <c r="O818" s="81">
        <v>5</v>
      </c>
      <c r="P818" s="81">
        <v>0</v>
      </c>
      <c r="Q818" s="58">
        <f t="shared" si="32"/>
        <v>3</v>
      </c>
      <c r="R818" s="1219">
        <v>359</v>
      </c>
      <c r="S818" s="1219">
        <v>1795</v>
      </c>
      <c r="T818" s="58" t="s">
        <v>929</v>
      </c>
      <c r="U818" s="1866" t="s">
        <v>3631</v>
      </c>
      <c r="V818" s="58" t="s">
        <v>104</v>
      </c>
      <c r="W818" s="2029" t="s">
        <v>3632</v>
      </c>
      <c r="X818" s="18"/>
      <c r="Y818" s="4"/>
      <c r="Z818" s="4"/>
    </row>
    <row r="819" spans="1:26" ht="26.1" hidden="1">
      <c r="A819" s="20">
        <v>826</v>
      </c>
      <c r="B819" s="1063">
        <v>40596</v>
      </c>
      <c r="C819" s="81" t="s">
        <v>3633</v>
      </c>
      <c r="D819" s="11"/>
      <c r="E819" s="18" t="s">
        <v>2722</v>
      </c>
      <c r="F819" s="58" t="s">
        <v>2006</v>
      </c>
      <c r="G819" s="81" t="s">
        <v>3634</v>
      </c>
      <c r="H819" s="81" t="s">
        <v>468</v>
      </c>
      <c r="I819" s="81" t="s">
        <v>84</v>
      </c>
      <c r="J819" s="81">
        <v>26344578</v>
      </c>
      <c r="K819" s="81" t="s">
        <v>3635</v>
      </c>
      <c r="L819" s="81" t="s">
        <v>3636</v>
      </c>
      <c r="M819" s="81">
        <v>20</v>
      </c>
      <c r="N819" s="81">
        <v>50</v>
      </c>
      <c r="O819" s="81">
        <v>50</v>
      </c>
      <c r="P819" s="81">
        <v>0</v>
      </c>
      <c r="Q819" s="58">
        <f t="shared" si="32"/>
        <v>30</v>
      </c>
      <c r="R819" s="1219">
        <v>31.8</v>
      </c>
      <c r="S819" s="1219">
        <v>1590</v>
      </c>
      <c r="T819" s="81" t="s">
        <v>929</v>
      </c>
      <c r="U819" s="1866" t="s">
        <v>3637</v>
      </c>
      <c r="V819" s="58" t="s">
        <v>104</v>
      </c>
      <c r="W819" s="2029" t="s">
        <v>3638</v>
      </c>
      <c r="X819" s="18"/>
      <c r="Y819" s="4"/>
      <c r="Z819" s="4"/>
    </row>
    <row r="820" spans="1:26" ht="26.1" hidden="1">
      <c r="A820" s="20">
        <v>827</v>
      </c>
      <c r="B820" s="1063">
        <v>40597</v>
      </c>
      <c r="C820" s="81" t="s">
        <v>2058</v>
      </c>
      <c r="D820" s="11"/>
      <c r="E820" s="18" t="s">
        <v>2722</v>
      </c>
      <c r="F820" s="58" t="s">
        <v>2006</v>
      </c>
      <c r="G820" s="81" t="s">
        <v>3639</v>
      </c>
      <c r="H820" s="81" t="s">
        <v>1143</v>
      </c>
      <c r="I820" s="81" t="s">
        <v>574</v>
      </c>
      <c r="J820" s="81" t="s">
        <v>3640</v>
      </c>
      <c r="K820" s="81">
        <v>554600272</v>
      </c>
      <c r="L820" s="81" t="s">
        <v>2011</v>
      </c>
      <c r="M820" s="81">
        <v>20</v>
      </c>
      <c r="N820" s="81">
        <v>1</v>
      </c>
      <c r="O820" s="81">
        <v>20</v>
      </c>
      <c r="P820" s="81">
        <v>0</v>
      </c>
      <c r="Q820" s="58">
        <f t="shared" si="32"/>
        <v>0</v>
      </c>
      <c r="R820" s="1219">
        <v>167</v>
      </c>
      <c r="S820" s="1219">
        <v>3340</v>
      </c>
      <c r="T820" s="81" t="s">
        <v>929</v>
      </c>
      <c r="U820" s="1866" t="s">
        <v>3637</v>
      </c>
      <c r="V820" s="58" t="s">
        <v>104</v>
      </c>
      <c r="W820" s="2029" t="s">
        <v>3641</v>
      </c>
      <c r="X820" s="18"/>
      <c r="Y820" s="4"/>
      <c r="Z820" s="4"/>
    </row>
    <row r="821" spans="1:26" ht="26.1" hidden="1">
      <c r="A821" s="20">
        <v>828</v>
      </c>
      <c r="B821" s="1063">
        <v>40598</v>
      </c>
      <c r="C821" s="81" t="s">
        <v>3642</v>
      </c>
      <c r="D821" s="11"/>
      <c r="E821" s="18" t="s">
        <v>2722</v>
      </c>
      <c r="F821" s="58" t="s">
        <v>2006</v>
      </c>
      <c r="G821" s="81" t="s">
        <v>3643</v>
      </c>
      <c r="H821" s="81" t="s">
        <v>1073</v>
      </c>
      <c r="I821" s="81" t="s">
        <v>574</v>
      </c>
      <c r="J821" s="81" t="s">
        <v>1074</v>
      </c>
      <c r="K821" s="81" t="s">
        <v>1075</v>
      </c>
      <c r="L821" s="81" t="s">
        <v>2011</v>
      </c>
      <c r="M821" s="81">
        <v>30</v>
      </c>
      <c r="N821" s="81">
        <v>1</v>
      </c>
      <c r="O821" s="81">
        <v>30</v>
      </c>
      <c r="P821" s="81">
        <v>0</v>
      </c>
      <c r="Q821" s="58">
        <f t="shared" si="32"/>
        <v>0</v>
      </c>
      <c r="R821" s="1219">
        <v>285</v>
      </c>
      <c r="S821" s="1219">
        <v>8550</v>
      </c>
      <c r="T821" s="81" t="s">
        <v>929</v>
      </c>
      <c r="U821" s="1866" t="s">
        <v>3637</v>
      </c>
      <c r="V821" s="58" t="s">
        <v>104</v>
      </c>
      <c r="W821" s="2029" t="s">
        <v>1076</v>
      </c>
      <c r="X821" s="18"/>
      <c r="Y821" s="4"/>
      <c r="Z821" s="4"/>
    </row>
    <row r="822" spans="1:26" ht="14.1" hidden="1">
      <c r="A822" s="20">
        <v>829</v>
      </c>
      <c r="B822" s="1063">
        <v>40599</v>
      </c>
      <c r="C822" s="81" t="s">
        <v>3644</v>
      </c>
      <c r="D822" s="11"/>
      <c r="E822" s="18" t="s">
        <v>2722</v>
      </c>
      <c r="F822" s="58" t="s">
        <v>2006</v>
      </c>
      <c r="G822" s="81" t="s">
        <v>3645</v>
      </c>
      <c r="H822" s="81" t="s">
        <v>468</v>
      </c>
      <c r="I822" s="81" t="s">
        <v>468</v>
      </c>
      <c r="J822" s="81" t="s">
        <v>469</v>
      </c>
      <c r="K822" s="81" t="s">
        <v>469</v>
      </c>
      <c r="L822" s="81" t="s">
        <v>2011</v>
      </c>
      <c r="M822" s="81">
        <v>16</v>
      </c>
      <c r="N822" s="81">
        <v>1</v>
      </c>
      <c r="O822" s="81">
        <v>20</v>
      </c>
      <c r="P822" s="81">
        <v>0</v>
      </c>
      <c r="Q822" s="58">
        <f t="shared" si="32"/>
        <v>4</v>
      </c>
      <c r="R822" s="1219">
        <v>43</v>
      </c>
      <c r="S822" s="1219">
        <f t="shared" ref="S822:S823" si="33">O822*R822</f>
        <v>860</v>
      </c>
      <c r="T822" s="81" t="s">
        <v>929</v>
      </c>
      <c r="U822" s="1866" t="s">
        <v>448</v>
      </c>
      <c r="V822" s="58" t="s">
        <v>104</v>
      </c>
      <c r="W822" s="2029" t="s">
        <v>471</v>
      </c>
      <c r="X822" s="18"/>
      <c r="Y822" s="4"/>
      <c r="Z822" s="4"/>
    </row>
    <row r="823" spans="1:26" ht="14.1" hidden="1">
      <c r="A823" s="20">
        <v>830</v>
      </c>
      <c r="B823" s="1063">
        <v>40600</v>
      </c>
      <c r="C823" s="18" t="s">
        <v>3646</v>
      </c>
      <c r="D823" s="11"/>
      <c r="E823" s="18" t="s">
        <v>2722</v>
      </c>
      <c r="F823" s="58" t="s">
        <v>2006</v>
      </c>
      <c r="G823" s="18" t="s">
        <v>3647</v>
      </c>
      <c r="H823" s="18" t="s">
        <v>713</v>
      </c>
      <c r="I823" s="18" t="s">
        <v>714</v>
      </c>
      <c r="J823" s="18" t="s">
        <v>715</v>
      </c>
      <c r="K823" s="18" t="s">
        <v>716</v>
      </c>
      <c r="L823" s="18" t="s">
        <v>1606</v>
      </c>
      <c r="M823" s="18">
        <v>2</v>
      </c>
      <c r="N823" s="18">
        <v>1</v>
      </c>
      <c r="O823" s="18">
        <v>3</v>
      </c>
      <c r="P823" s="18">
        <v>0</v>
      </c>
      <c r="Q823" s="58">
        <f t="shared" si="32"/>
        <v>1</v>
      </c>
      <c r="R823" s="1215">
        <v>4580</v>
      </c>
      <c r="S823" s="1219">
        <f t="shared" si="33"/>
        <v>13740</v>
      </c>
      <c r="T823" s="18" t="s">
        <v>929</v>
      </c>
      <c r="U823" s="1859" t="s">
        <v>3552</v>
      </c>
      <c r="V823" s="18" t="s">
        <v>104</v>
      </c>
      <c r="W823" s="2021" t="s">
        <v>719</v>
      </c>
      <c r="X823" s="18"/>
      <c r="Y823" s="4"/>
      <c r="Z823" s="4"/>
    </row>
    <row r="824" spans="1:26" ht="26.1" hidden="1">
      <c r="A824" s="20">
        <v>831</v>
      </c>
      <c r="B824" s="1063">
        <v>40601</v>
      </c>
      <c r="C824" s="81" t="s">
        <v>1806</v>
      </c>
      <c r="D824" s="11"/>
      <c r="E824" s="18" t="s">
        <v>2722</v>
      </c>
      <c r="F824" s="58" t="s">
        <v>2006</v>
      </c>
      <c r="G824" s="81" t="s">
        <v>3648</v>
      </c>
      <c r="H824" s="81" t="s">
        <v>1143</v>
      </c>
      <c r="I824" s="81" t="s">
        <v>574</v>
      </c>
      <c r="J824" s="81" t="s">
        <v>3649</v>
      </c>
      <c r="K824" s="81">
        <v>545502471</v>
      </c>
      <c r="L824" s="81" t="s">
        <v>1606</v>
      </c>
      <c r="M824" s="81">
        <v>2</v>
      </c>
      <c r="N824" s="81">
        <v>1</v>
      </c>
      <c r="O824" s="81">
        <v>10</v>
      </c>
      <c r="P824" s="81">
        <v>0</v>
      </c>
      <c r="Q824" s="58">
        <v>0</v>
      </c>
      <c r="R824" s="1219">
        <v>314</v>
      </c>
      <c r="S824" s="1219">
        <v>3140</v>
      </c>
      <c r="T824" s="81" t="s">
        <v>929</v>
      </c>
      <c r="U824" s="1865" t="s">
        <v>3619</v>
      </c>
      <c r="V824" s="58" t="s">
        <v>104</v>
      </c>
      <c r="W824" s="2029" t="s">
        <v>3650</v>
      </c>
      <c r="X824" s="18"/>
      <c r="Y824" s="4"/>
      <c r="Z824" s="4"/>
    </row>
    <row r="825" spans="1:26" ht="39" hidden="1">
      <c r="A825" s="20">
        <v>832</v>
      </c>
      <c r="B825" s="1063">
        <v>40602</v>
      </c>
      <c r="C825" s="99" t="s">
        <v>329</v>
      </c>
      <c r="D825" s="11"/>
      <c r="E825" s="18" t="s">
        <v>2722</v>
      </c>
      <c r="F825" s="58" t="s">
        <v>2006</v>
      </c>
      <c r="G825" s="100" t="s">
        <v>3651</v>
      </c>
      <c r="H825" s="100" t="s">
        <v>3243</v>
      </c>
      <c r="I825" s="100" t="s">
        <v>574</v>
      </c>
      <c r="J825" s="100" t="s">
        <v>3652</v>
      </c>
      <c r="K825" s="100" t="s">
        <v>3653</v>
      </c>
      <c r="L825" s="100" t="s">
        <v>3551</v>
      </c>
      <c r="M825" s="100">
        <v>20</v>
      </c>
      <c r="N825" s="100">
        <v>1</v>
      </c>
      <c r="O825" s="100">
        <v>20</v>
      </c>
      <c r="P825" s="100">
        <v>0</v>
      </c>
      <c r="Q825" s="621">
        <v>0</v>
      </c>
      <c r="R825" s="1222">
        <v>62</v>
      </c>
      <c r="S825" s="1222">
        <v>1240</v>
      </c>
      <c r="T825" s="100" t="s">
        <v>929</v>
      </c>
      <c r="U825" s="1869" t="s">
        <v>3619</v>
      </c>
      <c r="V825" s="58" t="s">
        <v>104</v>
      </c>
      <c r="W825" s="622" t="s">
        <v>3654</v>
      </c>
      <c r="X825" s="18"/>
      <c r="Y825" s="4"/>
      <c r="Z825" s="4"/>
    </row>
    <row r="826" spans="1:26" ht="39" hidden="1">
      <c r="A826" s="20">
        <v>833</v>
      </c>
      <c r="B826" s="1063">
        <v>40603</v>
      </c>
      <c r="C826" s="99" t="s">
        <v>329</v>
      </c>
      <c r="D826" s="11"/>
      <c r="E826" s="18" t="s">
        <v>2722</v>
      </c>
      <c r="F826" s="58" t="s">
        <v>2006</v>
      </c>
      <c r="G826" s="100" t="s">
        <v>3655</v>
      </c>
      <c r="H826" s="100" t="s">
        <v>3243</v>
      </c>
      <c r="I826" s="100" t="s">
        <v>574</v>
      </c>
      <c r="J826" s="100" t="s">
        <v>3656</v>
      </c>
      <c r="K826" s="100" t="s">
        <v>3657</v>
      </c>
      <c r="L826" s="100" t="s">
        <v>3658</v>
      </c>
      <c r="M826" s="100">
        <v>20</v>
      </c>
      <c r="N826" s="100">
        <v>1</v>
      </c>
      <c r="O826" s="100">
        <v>20</v>
      </c>
      <c r="P826" s="100">
        <v>0</v>
      </c>
      <c r="Q826" s="621">
        <v>0</v>
      </c>
      <c r="R826" s="1222">
        <v>79</v>
      </c>
      <c r="S826" s="1222">
        <v>1580</v>
      </c>
      <c r="T826" s="100" t="s">
        <v>929</v>
      </c>
      <c r="U826" s="1869" t="s">
        <v>3619</v>
      </c>
      <c r="V826" s="58" t="s">
        <v>104</v>
      </c>
      <c r="W826" s="622" t="s">
        <v>3659</v>
      </c>
      <c r="X826" s="18"/>
      <c r="Y826" s="4"/>
      <c r="Z826" s="4"/>
    </row>
    <row r="827" spans="1:26" ht="39" hidden="1">
      <c r="A827" s="20">
        <v>834</v>
      </c>
      <c r="B827" s="1063">
        <v>40604</v>
      </c>
      <c r="C827" s="81" t="s">
        <v>329</v>
      </c>
      <c r="D827" s="11"/>
      <c r="E827" s="18" t="s">
        <v>2722</v>
      </c>
      <c r="F827" s="58" t="s">
        <v>2006</v>
      </c>
      <c r="G827" s="81" t="s">
        <v>3660</v>
      </c>
      <c r="H827" s="81" t="s">
        <v>2285</v>
      </c>
      <c r="I827" s="81" t="s">
        <v>574</v>
      </c>
      <c r="J827" s="81" t="s">
        <v>3661</v>
      </c>
      <c r="K827" s="81" t="s">
        <v>3662</v>
      </c>
      <c r="L827" s="81" t="s">
        <v>3658</v>
      </c>
      <c r="M827" s="81">
        <v>20</v>
      </c>
      <c r="N827" s="81">
        <v>1</v>
      </c>
      <c r="O827" s="81">
        <v>20</v>
      </c>
      <c r="P827" s="81">
        <v>0</v>
      </c>
      <c r="Q827" s="58">
        <v>0</v>
      </c>
      <c r="R827" s="1219">
        <v>226</v>
      </c>
      <c r="S827" s="1219">
        <v>4520</v>
      </c>
      <c r="T827" s="81" t="s">
        <v>929</v>
      </c>
      <c r="U827" s="1865" t="s">
        <v>3619</v>
      </c>
      <c r="V827" s="58" t="s">
        <v>104</v>
      </c>
      <c r="W827" s="2029" t="s">
        <v>3663</v>
      </c>
      <c r="X827" s="18"/>
      <c r="Y827" s="4"/>
      <c r="Z827" s="4"/>
    </row>
    <row r="828" spans="1:26" ht="39" hidden="1">
      <c r="A828" s="20">
        <v>835</v>
      </c>
      <c r="B828" s="1063">
        <v>40605</v>
      </c>
      <c r="C828" s="81" t="s">
        <v>329</v>
      </c>
      <c r="D828" s="11"/>
      <c r="E828" s="18" t="s">
        <v>2722</v>
      </c>
      <c r="F828" s="58" t="s">
        <v>2006</v>
      </c>
      <c r="G828" s="81" t="s">
        <v>3664</v>
      </c>
      <c r="H828" s="81" t="s">
        <v>3243</v>
      </c>
      <c r="I828" s="81" t="s">
        <v>574</v>
      </c>
      <c r="J828" s="81" t="s">
        <v>3665</v>
      </c>
      <c r="K828" s="81" t="s">
        <v>3666</v>
      </c>
      <c r="L828" s="81" t="s">
        <v>3658</v>
      </c>
      <c r="M828" s="81">
        <v>20</v>
      </c>
      <c r="N828" s="81">
        <v>1</v>
      </c>
      <c r="O828" s="81">
        <v>20</v>
      </c>
      <c r="P828" s="81">
        <v>0</v>
      </c>
      <c r="Q828" s="58">
        <v>0</v>
      </c>
      <c r="R828" s="1219">
        <v>112</v>
      </c>
      <c r="S828" s="1219">
        <v>2240</v>
      </c>
      <c r="T828" s="81" t="s">
        <v>929</v>
      </c>
      <c r="U828" s="1865" t="s">
        <v>3619</v>
      </c>
      <c r="V828" s="58" t="s">
        <v>104</v>
      </c>
      <c r="W828" s="2029" t="s">
        <v>3667</v>
      </c>
      <c r="X828" s="18"/>
      <c r="Y828" s="4"/>
      <c r="Z828" s="4"/>
    </row>
    <row r="829" spans="1:26" ht="39" hidden="1">
      <c r="A829" s="20">
        <v>836</v>
      </c>
      <c r="B829" s="1063">
        <v>40606</v>
      </c>
      <c r="C829" s="81" t="s">
        <v>329</v>
      </c>
      <c r="D829" s="11"/>
      <c r="E829" s="18" t="s">
        <v>2722</v>
      </c>
      <c r="F829" s="58" t="s">
        <v>2006</v>
      </c>
      <c r="G829" s="81" t="s">
        <v>3668</v>
      </c>
      <c r="H829" s="81" t="s">
        <v>2285</v>
      </c>
      <c r="I829" s="81" t="s">
        <v>574</v>
      </c>
      <c r="J829" s="81" t="s">
        <v>3669</v>
      </c>
      <c r="K829" s="81" t="s">
        <v>3670</v>
      </c>
      <c r="L829" s="101" t="s">
        <v>3551</v>
      </c>
      <c r="M829" s="81">
        <v>20</v>
      </c>
      <c r="N829" s="81">
        <v>1</v>
      </c>
      <c r="O829" s="81">
        <v>20</v>
      </c>
      <c r="P829" s="81">
        <v>0</v>
      </c>
      <c r="Q829" s="58">
        <v>0</v>
      </c>
      <c r="R829" s="1219">
        <v>60</v>
      </c>
      <c r="S829" s="1219">
        <v>1200</v>
      </c>
      <c r="T829" s="81" t="s">
        <v>929</v>
      </c>
      <c r="U829" s="1865" t="s">
        <v>3619</v>
      </c>
      <c r="V829" s="58" t="s">
        <v>104</v>
      </c>
      <c r="W829" s="2029" t="s">
        <v>3671</v>
      </c>
      <c r="X829" s="18"/>
      <c r="Y829" s="4"/>
      <c r="Z829" s="4"/>
    </row>
    <row r="830" spans="1:26" ht="26.1" hidden="1">
      <c r="A830" s="20">
        <v>837</v>
      </c>
      <c r="B830" s="1063">
        <v>40607</v>
      </c>
      <c r="C830" s="81" t="s">
        <v>188</v>
      </c>
      <c r="D830" s="11"/>
      <c r="E830" s="18" t="s">
        <v>2722</v>
      </c>
      <c r="F830" s="58" t="s">
        <v>2006</v>
      </c>
      <c r="G830" s="81" t="s">
        <v>3672</v>
      </c>
      <c r="H830" s="81" t="s">
        <v>2128</v>
      </c>
      <c r="I830" s="81" t="s">
        <v>574</v>
      </c>
      <c r="J830" s="81" t="s">
        <v>627</v>
      </c>
      <c r="K830" s="81" t="s">
        <v>3673</v>
      </c>
      <c r="L830" s="81" t="s">
        <v>3211</v>
      </c>
      <c r="M830" s="81">
        <v>10</v>
      </c>
      <c r="N830" s="81">
        <v>1</v>
      </c>
      <c r="O830" s="81">
        <v>10</v>
      </c>
      <c r="P830" s="81">
        <v>0</v>
      </c>
      <c r="Q830" s="58">
        <v>0</v>
      </c>
      <c r="R830" s="1219">
        <v>21</v>
      </c>
      <c r="S830" s="1219">
        <v>210</v>
      </c>
      <c r="T830" s="81" t="s">
        <v>929</v>
      </c>
      <c r="U830" s="1865" t="s">
        <v>3619</v>
      </c>
      <c r="V830" s="58" t="s">
        <v>104</v>
      </c>
      <c r="W830" s="2029" t="s">
        <v>3674</v>
      </c>
      <c r="X830" s="18"/>
      <c r="Y830" s="4"/>
      <c r="Z830" s="4"/>
    </row>
    <row r="831" spans="1:26" ht="26.1" hidden="1">
      <c r="A831" s="20">
        <v>838</v>
      </c>
      <c r="B831" s="1063">
        <v>40608</v>
      </c>
      <c r="C831" s="81" t="s">
        <v>152</v>
      </c>
      <c r="D831" s="11"/>
      <c r="E831" s="18" t="s">
        <v>2722</v>
      </c>
      <c r="F831" s="58" t="s">
        <v>2006</v>
      </c>
      <c r="G831" s="81" t="s">
        <v>3675</v>
      </c>
      <c r="H831" s="81" t="s">
        <v>3676</v>
      </c>
      <c r="I831" s="81" t="s">
        <v>574</v>
      </c>
      <c r="J831" s="81" t="s">
        <v>3677</v>
      </c>
      <c r="K831" s="81" t="s">
        <v>2883</v>
      </c>
      <c r="L831" s="81" t="s">
        <v>3211</v>
      </c>
      <c r="M831" s="81">
        <v>20</v>
      </c>
      <c r="N831" s="81">
        <v>1</v>
      </c>
      <c r="O831" s="81">
        <v>20</v>
      </c>
      <c r="P831" s="81">
        <v>0</v>
      </c>
      <c r="Q831" s="58">
        <v>0</v>
      </c>
      <c r="R831" s="1219">
        <v>105</v>
      </c>
      <c r="S831" s="1219">
        <v>2100</v>
      </c>
      <c r="T831" s="100" t="s">
        <v>929</v>
      </c>
      <c r="U831" s="1869" t="s">
        <v>3619</v>
      </c>
      <c r="V831" s="58" t="s">
        <v>104</v>
      </c>
      <c r="W831" s="2029" t="s">
        <v>2884</v>
      </c>
      <c r="X831" s="18"/>
      <c r="Y831" s="4"/>
      <c r="Z831" s="4"/>
    </row>
    <row r="832" spans="1:26" ht="39" hidden="1">
      <c r="A832" s="20">
        <v>839</v>
      </c>
      <c r="B832" s="1063">
        <v>40609</v>
      </c>
      <c r="C832" s="81" t="s">
        <v>152</v>
      </c>
      <c r="D832" s="11"/>
      <c r="E832" s="18" t="s">
        <v>2722</v>
      </c>
      <c r="F832" s="58" t="s">
        <v>2006</v>
      </c>
      <c r="G832" s="81" t="s">
        <v>3678</v>
      </c>
      <c r="H832" s="81" t="s">
        <v>1853</v>
      </c>
      <c r="I832" s="81" t="s">
        <v>574</v>
      </c>
      <c r="J832" s="81" t="s">
        <v>3679</v>
      </c>
      <c r="K832" s="81" t="s">
        <v>3680</v>
      </c>
      <c r="L832" s="101" t="s">
        <v>3588</v>
      </c>
      <c r="M832" s="81">
        <v>20</v>
      </c>
      <c r="N832" s="81">
        <v>1</v>
      </c>
      <c r="O832" s="81">
        <v>20</v>
      </c>
      <c r="P832" s="81">
        <v>0</v>
      </c>
      <c r="Q832" s="58">
        <v>0</v>
      </c>
      <c r="R832" s="1219">
        <v>82</v>
      </c>
      <c r="S832" s="1219">
        <v>1640</v>
      </c>
      <c r="T832" s="100" t="s">
        <v>929</v>
      </c>
      <c r="U832" s="1869" t="s">
        <v>3619</v>
      </c>
      <c r="V832" s="58" t="s">
        <v>104</v>
      </c>
      <c r="W832" s="2029" t="s">
        <v>3681</v>
      </c>
      <c r="X832" s="18"/>
      <c r="Y832" s="4"/>
      <c r="Z832" s="4"/>
    </row>
    <row r="833" spans="1:26" ht="39" hidden="1">
      <c r="A833" s="20">
        <v>840</v>
      </c>
      <c r="B833" s="1063">
        <v>40610</v>
      </c>
      <c r="C833" s="18" t="s">
        <v>3682</v>
      </c>
      <c r="D833" s="11"/>
      <c r="E833" s="18" t="s">
        <v>2722</v>
      </c>
      <c r="F833" s="58" t="s">
        <v>2006</v>
      </c>
      <c r="G833" s="81" t="s">
        <v>3236</v>
      </c>
      <c r="H833" s="81" t="s">
        <v>3237</v>
      </c>
      <c r="I833" s="81" t="s">
        <v>574</v>
      </c>
      <c r="J833" s="81" t="s">
        <v>3238</v>
      </c>
      <c r="K833" s="81" t="s">
        <v>3239</v>
      </c>
      <c r="L833" s="58" t="s">
        <v>3240</v>
      </c>
      <c r="M833" s="81">
        <v>10</v>
      </c>
      <c r="N833" s="81">
        <v>1</v>
      </c>
      <c r="O833" s="81">
        <v>20</v>
      </c>
      <c r="P833" s="81">
        <v>0</v>
      </c>
      <c r="Q833" s="58">
        <v>10</v>
      </c>
      <c r="R833" s="1219">
        <v>473</v>
      </c>
      <c r="S833" s="1219">
        <v>9360</v>
      </c>
      <c r="T833" s="58" t="s">
        <v>929</v>
      </c>
      <c r="U833" s="1865" t="s">
        <v>3683</v>
      </c>
      <c r="V833" s="58" t="s">
        <v>104</v>
      </c>
      <c r="W833" s="2029" t="s">
        <v>3241</v>
      </c>
      <c r="X833" s="18" t="s">
        <v>3684</v>
      </c>
      <c r="Y833" s="4"/>
      <c r="Z833" s="4"/>
    </row>
    <row r="834" spans="1:26" ht="39" hidden="1">
      <c r="A834" s="20">
        <v>841</v>
      </c>
      <c r="B834" s="1063">
        <v>40611</v>
      </c>
      <c r="C834" s="18" t="s">
        <v>3685</v>
      </c>
      <c r="D834" s="11"/>
      <c r="E834" s="18" t="s">
        <v>2722</v>
      </c>
      <c r="F834" s="18" t="s">
        <v>2699</v>
      </c>
      <c r="G834" s="18" t="s">
        <v>3686</v>
      </c>
      <c r="H834" s="18" t="s">
        <v>1853</v>
      </c>
      <c r="I834" s="18" t="s">
        <v>574</v>
      </c>
      <c r="J834" s="18" t="s">
        <v>3687</v>
      </c>
      <c r="K834" s="18" t="s">
        <v>3688</v>
      </c>
      <c r="L834" s="18" t="s">
        <v>3689</v>
      </c>
      <c r="M834" s="18">
        <v>15</v>
      </c>
      <c r="N834" s="18">
        <v>1</v>
      </c>
      <c r="O834" s="18">
        <v>20</v>
      </c>
      <c r="P834" s="18">
        <v>3</v>
      </c>
      <c r="Q834" s="18">
        <v>8</v>
      </c>
      <c r="R834" s="1215">
        <v>21</v>
      </c>
      <c r="S834" s="1215">
        <v>420</v>
      </c>
      <c r="T834" s="58" t="s">
        <v>929</v>
      </c>
      <c r="U834" s="1859" t="s">
        <v>3690</v>
      </c>
      <c r="V834" s="58" t="s">
        <v>104</v>
      </c>
      <c r="W834" s="2021" t="s">
        <v>602</v>
      </c>
      <c r="X834" s="18"/>
      <c r="Y834" s="4"/>
      <c r="Z834" s="4"/>
    </row>
    <row r="835" spans="1:26" ht="39" hidden="1">
      <c r="A835" s="20">
        <v>842</v>
      </c>
      <c r="B835" s="1063">
        <v>40612</v>
      </c>
      <c r="C835" s="18" t="s">
        <v>3691</v>
      </c>
      <c r="D835" s="11"/>
      <c r="E835" s="18" t="s">
        <v>2722</v>
      </c>
      <c r="F835" s="18" t="s">
        <v>2699</v>
      </c>
      <c r="G835" s="18" t="s">
        <v>3692</v>
      </c>
      <c r="H835" s="18" t="s">
        <v>1916</v>
      </c>
      <c r="I835" s="18" t="s">
        <v>574</v>
      </c>
      <c r="J835" s="18" t="s">
        <v>3693</v>
      </c>
      <c r="K835" s="18" t="s">
        <v>3694</v>
      </c>
      <c r="L835" s="18" t="s">
        <v>3695</v>
      </c>
      <c r="M835" s="18">
        <v>15</v>
      </c>
      <c r="N835" s="18">
        <v>1</v>
      </c>
      <c r="O835" s="18">
        <v>20</v>
      </c>
      <c r="P835" s="18">
        <v>0</v>
      </c>
      <c r="Q835" s="18">
        <v>5</v>
      </c>
      <c r="R835" s="1215">
        <v>435</v>
      </c>
      <c r="S835" s="1215">
        <v>8700</v>
      </c>
      <c r="T835" s="58" t="s">
        <v>929</v>
      </c>
      <c r="U835" s="1859" t="s">
        <v>3690</v>
      </c>
      <c r="V835" s="58" t="s">
        <v>104</v>
      </c>
      <c r="W835" s="2021" t="s">
        <v>3696</v>
      </c>
      <c r="X835" s="18"/>
      <c r="Y835" s="4"/>
      <c r="Z835" s="4"/>
    </row>
    <row r="836" spans="1:26" ht="39" hidden="1">
      <c r="A836" s="20">
        <v>843</v>
      </c>
      <c r="B836" s="1063">
        <v>40613</v>
      </c>
      <c r="C836" s="18" t="s">
        <v>3697</v>
      </c>
      <c r="D836" s="11"/>
      <c r="E836" s="18" t="s">
        <v>2722</v>
      </c>
      <c r="F836" s="18" t="s">
        <v>2699</v>
      </c>
      <c r="G836" s="18" t="s">
        <v>3698</v>
      </c>
      <c r="H836" s="18" t="s">
        <v>2701</v>
      </c>
      <c r="I836" s="18" t="s">
        <v>574</v>
      </c>
      <c r="J836" s="18" t="s">
        <v>3699</v>
      </c>
      <c r="K836" s="18" t="s">
        <v>3700</v>
      </c>
      <c r="L836" s="18" t="s">
        <v>3701</v>
      </c>
      <c r="M836" s="18">
        <v>3</v>
      </c>
      <c r="N836" s="18">
        <v>1</v>
      </c>
      <c r="O836" s="18">
        <v>15</v>
      </c>
      <c r="P836" s="18">
        <v>0</v>
      </c>
      <c r="Q836" s="18">
        <v>12</v>
      </c>
      <c r="R836" s="1215">
        <v>45</v>
      </c>
      <c r="S836" s="1215">
        <v>675</v>
      </c>
      <c r="T836" s="58" t="s">
        <v>929</v>
      </c>
      <c r="U836" s="1859" t="s">
        <v>441</v>
      </c>
      <c r="V836" s="58" t="s">
        <v>104</v>
      </c>
      <c r="W836" s="2021" t="s">
        <v>3702</v>
      </c>
      <c r="X836" s="18"/>
      <c r="Y836" s="4"/>
      <c r="Z836" s="4"/>
    </row>
    <row r="837" spans="1:26" ht="39" hidden="1">
      <c r="A837" s="20">
        <v>844</v>
      </c>
      <c r="B837" s="1063">
        <v>40614</v>
      </c>
      <c r="C837" s="18" t="s">
        <v>3703</v>
      </c>
      <c r="D837" s="11"/>
      <c r="E837" s="18" t="s">
        <v>2722</v>
      </c>
      <c r="F837" s="18" t="s">
        <v>2699</v>
      </c>
      <c r="G837" s="18" t="s">
        <v>3704</v>
      </c>
      <c r="H837" s="18" t="s">
        <v>578</v>
      </c>
      <c r="I837" s="18" t="s">
        <v>574</v>
      </c>
      <c r="J837" s="18" t="s">
        <v>3705</v>
      </c>
      <c r="K837" s="18" t="s">
        <v>3706</v>
      </c>
      <c r="L837" s="18" t="s">
        <v>3707</v>
      </c>
      <c r="M837" s="18">
        <v>27</v>
      </c>
      <c r="N837" s="18">
        <v>1</v>
      </c>
      <c r="O837" s="18">
        <v>35</v>
      </c>
      <c r="P837" s="18">
        <v>20</v>
      </c>
      <c r="Q837" s="18">
        <v>20</v>
      </c>
      <c r="R837" s="1215">
        <v>15</v>
      </c>
      <c r="S837" s="1215">
        <v>537</v>
      </c>
      <c r="T837" s="58" t="s">
        <v>929</v>
      </c>
      <c r="U837" s="1859" t="s">
        <v>441</v>
      </c>
      <c r="V837" s="58" t="s">
        <v>104</v>
      </c>
      <c r="W837" s="2021" t="s">
        <v>3708</v>
      </c>
      <c r="X837" s="18"/>
      <c r="Y837" s="4"/>
      <c r="Z837" s="4"/>
    </row>
    <row r="838" spans="1:26" ht="39" hidden="1">
      <c r="A838" s="20">
        <v>845</v>
      </c>
      <c r="B838" s="1063">
        <v>40615</v>
      </c>
      <c r="C838" s="18" t="s">
        <v>3709</v>
      </c>
      <c r="D838" s="11"/>
      <c r="E838" s="18" t="s">
        <v>2722</v>
      </c>
      <c r="F838" s="18" t="s">
        <v>2699</v>
      </c>
      <c r="G838" s="18" t="s">
        <v>3710</v>
      </c>
      <c r="H838" s="18" t="s">
        <v>578</v>
      </c>
      <c r="I838" s="18" t="s">
        <v>574</v>
      </c>
      <c r="J838" s="18" t="s">
        <v>3711</v>
      </c>
      <c r="K838" s="18" t="s">
        <v>3712</v>
      </c>
      <c r="L838" s="18" t="s">
        <v>3707</v>
      </c>
      <c r="M838" s="18">
        <v>15</v>
      </c>
      <c r="N838" s="18">
        <v>1</v>
      </c>
      <c r="O838" s="18">
        <v>30</v>
      </c>
      <c r="P838" s="18">
        <v>0</v>
      </c>
      <c r="Q838" s="18">
        <v>15</v>
      </c>
      <c r="R838" s="1215">
        <v>11</v>
      </c>
      <c r="S838" s="1215">
        <v>330</v>
      </c>
      <c r="T838" s="58" t="s">
        <v>929</v>
      </c>
      <c r="U838" s="1859" t="s">
        <v>441</v>
      </c>
      <c r="V838" s="58" t="s">
        <v>104</v>
      </c>
      <c r="W838" s="2021" t="s">
        <v>3713</v>
      </c>
      <c r="X838" s="18"/>
      <c r="Y838" s="4"/>
      <c r="Z838" s="4"/>
    </row>
    <row r="839" spans="1:26" ht="39" hidden="1">
      <c r="A839" s="20">
        <v>846</v>
      </c>
      <c r="B839" s="1063">
        <v>40616</v>
      </c>
      <c r="C839" s="18" t="s">
        <v>3714</v>
      </c>
      <c r="D839" s="11"/>
      <c r="E839" s="18" t="s">
        <v>2722</v>
      </c>
      <c r="F839" s="18" t="s">
        <v>2699</v>
      </c>
      <c r="G839" s="18" t="s">
        <v>3715</v>
      </c>
      <c r="H839" s="18" t="s">
        <v>184</v>
      </c>
      <c r="I839" s="18" t="s">
        <v>574</v>
      </c>
      <c r="J839" s="18" t="s">
        <v>3716</v>
      </c>
      <c r="K839" s="18" t="s">
        <v>3717</v>
      </c>
      <c r="L839" s="18" t="s">
        <v>3707</v>
      </c>
      <c r="M839" s="18">
        <v>3</v>
      </c>
      <c r="N839" s="18">
        <v>1</v>
      </c>
      <c r="O839" s="18">
        <v>10</v>
      </c>
      <c r="P839" s="18">
        <v>0</v>
      </c>
      <c r="Q839" s="18">
        <v>7</v>
      </c>
      <c r="R839" s="1215">
        <v>22</v>
      </c>
      <c r="S839" s="1215">
        <v>220</v>
      </c>
      <c r="T839" s="58" t="s">
        <v>929</v>
      </c>
      <c r="U839" s="1859" t="s">
        <v>441</v>
      </c>
      <c r="V839" s="58" t="s">
        <v>104</v>
      </c>
      <c r="W839" s="2021" t="s">
        <v>3718</v>
      </c>
      <c r="X839" s="18"/>
      <c r="Y839" s="4"/>
      <c r="Z839" s="4"/>
    </row>
    <row r="840" spans="1:26" ht="26.1" hidden="1">
      <c r="A840" s="20">
        <v>847</v>
      </c>
      <c r="B840" s="1063">
        <v>40617</v>
      </c>
      <c r="C840" s="18" t="s">
        <v>3719</v>
      </c>
      <c r="D840" s="11"/>
      <c r="E840" s="18" t="s">
        <v>2722</v>
      </c>
      <c r="F840" s="18" t="s">
        <v>2699</v>
      </c>
      <c r="G840" s="18" t="s">
        <v>3720</v>
      </c>
      <c r="H840" s="18" t="s">
        <v>1098</v>
      </c>
      <c r="I840" s="18" t="s">
        <v>574</v>
      </c>
      <c r="J840" s="18" t="s">
        <v>3721</v>
      </c>
      <c r="K840" s="18" t="s">
        <v>3722</v>
      </c>
      <c r="L840" s="18" t="s">
        <v>3723</v>
      </c>
      <c r="M840" s="18">
        <v>20</v>
      </c>
      <c r="N840" s="18">
        <v>1</v>
      </c>
      <c r="O840" s="18">
        <v>20</v>
      </c>
      <c r="P840" s="18">
        <v>0</v>
      </c>
      <c r="Q840" s="18">
        <v>10</v>
      </c>
      <c r="R840" s="1215">
        <v>42</v>
      </c>
      <c r="S840" s="1215">
        <v>840</v>
      </c>
      <c r="T840" s="58" t="s">
        <v>929</v>
      </c>
      <c r="U840" s="1859" t="s">
        <v>441</v>
      </c>
      <c r="V840" s="58" t="s">
        <v>104</v>
      </c>
      <c r="W840" s="2021" t="s">
        <v>3724</v>
      </c>
      <c r="X840" s="18"/>
      <c r="Y840" s="4"/>
      <c r="Z840" s="4"/>
    </row>
    <row r="841" spans="1:26" ht="26.1" hidden="1">
      <c r="A841" s="20">
        <v>848</v>
      </c>
      <c r="B841" s="1063">
        <v>40618</v>
      </c>
      <c r="C841" s="18" t="s">
        <v>3725</v>
      </c>
      <c r="D841" s="11"/>
      <c r="E841" s="18" t="s">
        <v>2722</v>
      </c>
      <c r="F841" s="18" t="s">
        <v>2699</v>
      </c>
      <c r="G841" s="18" t="s">
        <v>3726</v>
      </c>
      <c r="H841" s="18" t="s">
        <v>1098</v>
      </c>
      <c r="I841" s="18" t="s">
        <v>574</v>
      </c>
      <c r="J841" s="18" t="s">
        <v>3727</v>
      </c>
      <c r="K841" s="18" t="s">
        <v>3728</v>
      </c>
      <c r="L841" s="18" t="s">
        <v>3723</v>
      </c>
      <c r="M841" s="18">
        <v>12</v>
      </c>
      <c r="N841" s="18">
        <v>1</v>
      </c>
      <c r="O841" s="18">
        <v>20</v>
      </c>
      <c r="P841" s="18">
        <v>0</v>
      </c>
      <c r="Q841" s="18">
        <v>8</v>
      </c>
      <c r="R841" s="1215">
        <v>45</v>
      </c>
      <c r="S841" s="1215">
        <v>900</v>
      </c>
      <c r="T841" s="58" t="s">
        <v>929</v>
      </c>
      <c r="U841" s="1859" t="s">
        <v>441</v>
      </c>
      <c r="V841" s="58" t="s">
        <v>104</v>
      </c>
      <c r="W841" s="2021" t="s">
        <v>3729</v>
      </c>
      <c r="X841" s="18"/>
      <c r="Y841" s="4"/>
      <c r="Z841" s="4"/>
    </row>
    <row r="842" spans="1:26" ht="39" hidden="1">
      <c r="A842" s="20">
        <v>849</v>
      </c>
      <c r="B842" s="1063">
        <v>40619</v>
      </c>
      <c r="C842" s="18" t="s">
        <v>3730</v>
      </c>
      <c r="D842" s="11"/>
      <c r="E842" s="18" t="s">
        <v>2722</v>
      </c>
      <c r="F842" s="18" t="s">
        <v>2699</v>
      </c>
      <c r="G842" s="18" t="s">
        <v>3731</v>
      </c>
      <c r="H842" s="71" t="s">
        <v>1216</v>
      </c>
      <c r="I842" s="18" t="s">
        <v>574</v>
      </c>
      <c r="J842" s="18" t="s">
        <v>3732</v>
      </c>
      <c r="K842" s="18" t="s">
        <v>3733</v>
      </c>
      <c r="L842" s="18" t="s">
        <v>3723</v>
      </c>
      <c r="M842" s="18">
        <v>6</v>
      </c>
      <c r="N842" s="18">
        <v>1</v>
      </c>
      <c r="O842" s="18">
        <v>15</v>
      </c>
      <c r="P842" s="18">
        <v>0</v>
      </c>
      <c r="Q842" s="18">
        <v>9</v>
      </c>
      <c r="R842" s="1215">
        <v>216</v>
      </c>
      <c r="S842" s="1215">
        <v>3240</v>
      </c>
      <c r="T842" s="58" t="s">
        <v>929</v>
      </c>
      <c r="U842" s="1859" t="s">
        <v>441</v>
      </c>
      <c r="V842" s="58" t="s">
        <v>104</v>
      </c>
      <c r="W842" s="2021" t="s">
        <v>3734</v>
      </c>
      <c r="X842" s="18"/>
      <c r="Y842" s="4"/>
      <c r="Z842" s="4"/>
    </row>
    <row r="843" spans="1:26" ht="26.1" hidden="1">
      <c r="A843" s="20">
        <v>850</v>
      </c>
      <c r="B843" s="1063">
        <v>40620</v>
      </c>
      <c r="C843" s="18" t="s">
        <v>3735</v>
      </c>
      <c r="D843" s="11"/>
      <c r="E843" s="18" t="s">
        <v>2722</v>
      </c>
      <c r="F843" s="18" t="s">
        <v>2699</v>
      </c>
      <c r="G843" s="18" t="s">
        <v>3736</v>
      </c>
      <c r="H843" s="18" t="s">
        <v>1098</v>
      </c>
      <c r="I843" s="18" t="s">
        <v>574</v>
      </c>
      <c r="J843" s="18" t="s">
        <v>3737</v>
      </c>
      <c r="K843" s="18" t="s">
        <v>3738</v>
      </c>
      <c r="L843" s="18" t="s">
        <v>3723</v>
      </c>
      <c r="M843" s="18">
        <v>6</v>
      </c>
      <c r="N843" s="18">
        <v>1</v>
      </c>
      <c r="O843" s="18">
        <v>15</v>
      </c>
      <c r="P843" s="18">
        <v>0</v>
      </c>
      <c r="Q843" s="18">
        <v>9</v>
      </c>
      <c r="R843" s="1215">
        <v>42</v>
      </c>
      <c r="S843" s="1215">
        <v>630</v>
      </c>
      <c r="T843" s="58" t="s">
        <v>929</v>
      </c>
      <c r="U843" s="1859" t="s">
        <v>441</v>
      </c>
      <c r="V843" s="58" t="s">
        <v>104</v>
      </c>
      <c r="W843" s="2021" t="s">
        <v>3739</v>
      </c>
      <c r="X843" s="18"/>
      <c r="Y843" s="4"/>
      <c r="Z843" s="4"/>
    </row>
    <row r="844" spans="1:26" ht="39" hidden="1">
      <c r="A844" s="20">
        <v>851</v>
      </c>
      <c r="B844" s="1063">
        <v>40621</v>
      </c>
      <c r="C844" s="18" t="s">
        <v>2637</v>
      </c>
      <c r="D844" s="11"/>
      <c r="E844" s="18" t="s">
        <v>2722</v>
      </c>
      <c r="F844" s="18" t="s">
        <v>1713</v>
      </c>
      <c r="G844" s="18" t="s">
        <v>3740</v>
      </c>
      <c r="H844" s="18" t="s">
        <v>3741</v>
      </c>
      <c r="I844" s="18" t="s">
        <v>574</v>
      </c>
      <c r="J844" s="18" t="s">
        <v>3742</v>
      </c>
      <c r="K844" s="18" t="s">
        <v>3743</v>
      </c>
      <c r="L844" s="18" t="s">
        <v>149</v>
      </c>
      <c r="M844" s="18">
        <v>64</v>
      </c>
      <c r="N844" s="18">
        <v>1</v>
      </c>
      <c r="O844" s="18">
        <v>100</v>
      </c>
      <c r="P844" s="18">
        <v>0</v>
      </c>
      <c r="Q844" s="18">
        <v>36</v>
      </c>
      <c r="R844" s="1215">
        <v>91.46</v>
      </c>
      <c r="S844" s="1215">
        <v>9146</v>
      </c>
      <c r="T844" s="58" t="s">
        <v>1957</v>
      </c>
      <c r="U844" s="1859" t="s">
        <v>301</v>
      </c>
      <c r="V844" s="18" t="s">
        <v>104</v>
      </c>
      <c r="W844" s="2021" t="s">
        <v>2639</v>
      </c>
      <c r="X844" s="18"/>
      <c r="Y844" s="4"/>
      <c r="Z844" s="4"/>
    </row>
    <row r="845" spans="1:26" ht="14.1" hidden="1">
      <c r="A845" s="20">
        <v>852</v>
      </c>
      <c r="B845" s="1063">
        <v>40622</v>
      </c>
      <c r="C845" s="18" t="s">
        <v>2640</v>
      </c>
      <c r="D845" s="11" t="s">
        <v>6</v>
      </c>
      <c r="E845" s="18" t="s">
        <v>2722</v>
      </c>
      <c r="F845" s="18" t="s">
        <v>1713</v>
      </c>
      <c r="G845" s="18" t="s">
        <v>3744</v>
      </c>
      <c r="H845" s="22" t="s">
        <v>2641</v>
      </c>
      <c r="I845" s="18" t="s">
        <v>2642</v>
      </c>
      <c r="J845" s="18" t="s">
        <v>149</v>
      </c>
      <c r="K845" s="18" t="s">
        <v>149</v>
      </c>
      <c r="L845" s="18" t="s">
        <v>149</v>
      </c>
      <c r="M845" s="18">
        <v>1</v>
      </c>
      <c r="N845" s="18">
        <v>1</v>
      </c>
      <c r="O845" s="18">
        <v>1</v>
      </c>
      <c r="P845" s="18">
        <v>0</v>
      </c>
      <c r="Q845" s="18">
        <v>0</v>
      </c>
      <c r="R845" s="1215">
        <v>3800</v>
      </c>
      <c r="S845" s="1215">
        <v>3800</v>
      </c>
      <c r="T845" s="58" t="s">
        <v>1957</v>
      </c>
      <c r="U845" s="1859" t="s">
        <v>301</v>
      </c>
      <c r="V845" s="18" t="s">
        <v>104</v>
      </c>
      <c r="W845" s="2021" t="s">
        <v>3745</v>
      </c>
      <c r="X845" s="18"/>
      <c r="Y845" s="4"/>
      <c r="Z845" s="4"/>
    </row>
    <row r="846" spans="1:26" ht="26.1" hidden="1">
      <c r="A846" s="20">
        <v>853</v>
      </c>
      <c r="B846" s="1063">
        <v>40623</v>
      </c>
      <c r="C846" s="18" t="s">
        <v>2648</v>
      </c>
      <c r="D846" s="11"/>
      <c r="E846" s="18" t="s">
        <v>2722</v>
      </c>
      <c r="F846" s="18" t="s">
        <v>1713</v>
      </c>
      <c r="G846" s="18" t="s">
        <v>3746</v>
      </c>
      <c r="H846" s="18" t="s">
        <v>3747</v>
      </c>
      <c r="I846" s="18" t="s">
        <v>84</v>
      </c>
      <c r="J846" s="18">
        <v>33240313</v>
      </c>
      <c r="K846" s="18" t="s">
        <v>3748</v>
      </c>
      <c r="L846" s="18" t="s">
        <v>149</v>
      </c>
      <c r="M846" s="18">
        <v>2</v>
      </c>
      <c r="N846" s="18">
        <v>1</v>
      </c>
      <c r="O846" s="18">
        <v>2</v>
      </c>
      <c r="P846" s="18">
        <v>0</v>
      </c>
      <c r="Q846" s="18">
        <v>0</v>
      </c>
      <c r="R846" s="1215">
        <v>10900</v>
      </c>
      <c r="S846" s="1215">
        <v>21800</v>
      </c>
      <c r="T846" s="58" t="s">
        <v>1957</v>
      </c>
      <c r="U846" s="1859" t="s">
        <v>301</v>
      </c>
      <c r="V846" s="18" t="s">
        <v>104</v>
      </c>
      <c r="W846" s="2021" t="s">
        <v>3749</v>
      </c>
      <c r="X846" s="18"/>
      <c r="Y846" s="4"/>
      <c r="Z846" s="4"/>
    </row>
    <row r="847" spans="1:26" ht="26.1" hidden="1">
      <c r="A847" s="20">
        <v>854</v>
      </c>
      <c r="B847" s="1063">
        <v>40624</v>
      </c>
      <c r="C847" s="18" t="s">
        <v>3750</v>
      </c>
      <c r="D847" s="11"/>
      <c r="E847" s="18" t="s">
        <v>2722</v>
      </c>
      <c r="F847" s="18" t="s">
        <v>1713</v>
      </c>
      <c r="G847" s="18" t="s">
        <v>3751</v>
      </c>
      <c r="H847" s="18" t="s">
        <v>3750</v>
      </c>
      <c r="I847" s="18" t="s">
        <v>84</v>
      </c>
      <c r="J847" s="18">
        <v>34665565</v>
      </c>
      <c r="K847" s="18" t="s">
        <v>800</v>
      </c>
      <c r="L847" s="18" t="s">
        <v>149</v>
      </c>
      <c r="M847" s="18">
        <v>6</v>
      </c>
      <c r="N847" s="18">
        <v>1</v>
      </c>
      <c r="O847" s="18">
        <v>6</v>
      </c>
      <c r="P847" s="18">
        <v>0</v>
      </c>
      <c r="Q847" s="18">
        <v>0</v>
      </c>
      <c r="R847" s="1215">
        <v>719</v>
      </c>
      <c r="S847" s="1215">
        <v>4314</v>
      </c>
      <c r="T847" s="58" t="s">
        <v>1957</v>
      </c>
      <c r="U847" s="1859" t="s">
        <v>301</v>
      </c>
      <c r="V847" s="18" t="s">
        <v>104</v>
      </c>
      <c r="W847" s="2021" t="s">
        <v>3752</v>
      </c>
      <c r="X847" s="18"/>
      <c r="Y847" s="4"/>
      <c r="Z847" s="4"/>
    </row>
    <row r="848" spans="1:26" ht="26.1" hidden="1">
      <c r="A848" s="20">
        <v>855</v>
      </c>
      <c r="B848" s="1063">
        <v>40625</v>
      </c>
      <c r="C848" s="18" t="s">
        <v>3753</v>
      </c>
      <c r="D848" s="11"/>
      <c r="E848" s="18" t="s">
        <v>2722</v>
      </c>
      <c r="F848" s="18" t="s">
        <v>1713</v>
      </c>
      <c r="G848" s="18" t="s">
        <v>3754</v>
      </c>
      <c r="H848" s="18" t="s">
        <v>3755</v>
      </c>
      <c r="I848" s="18" t="s">
        <v>84</v>
      </c>
      <c r="J848" s="18">
        <v>34933543</v>
      </c>
      <c r="K848" s="18" t="s">
        <v>3756</v>
      </c>
      <c r="L848" s="18" t="s">
        <v>149</v>
      </c>
      <c r="M848" s="18">
        <v>3</v>
      </c>
      <c r="N848" s="18">
        <v>1</v>
      </c>
      <c r="O848" s="18">
        <v>3</v>
      </c>
      <c r="P848" s="18">
        <v>0</v>
      </c>
      <c r="Q848" s="18">
        <v>0</v>
      </c>
      <c r="R848" s="1215">
        <v>659</v>
      </c>
      <c r="S848" s="1215">
        <v>1977</v>
      </c>
      <c r="T848" s="58" t="s">
        <v>1957</v>
      </c>
      <c r="U848" s="1859" t="s">
        <v>301</v>
      </c>
      <c r="V848" s="18" t="s">
        <v>104</v>
      </c>
      <c r="W848" s="2021" t="s">
        <v>1344</v>
      </c>
      <c r="X848" s="18"/>
      <c r="Y848" s="4"/>
      <c r="Z848" s="4"/>
    </row>
    <row r="849" spans="1:26" ht="26.1" hidden="1">
      <c r="A849" s="20">
        <v>856</v>
      </c>
      <c r="B849" s="1063">
        <v>40626</v>
      </c>
      <c r="C849" s="18" t="s">
        <v>3757</v>
      </c>
      <c r="D849" s="11"/>
      <c r="E849" s="18" t="s">
        <v>2722</v>
      </c>
      <c r="F849" s="18" t="s">
        <v>1713</v>
      </c>
      <c r="G849" s="18" t="s">
        <v>3758</v>
      </c>
      <c r="H849" s="18" t="s">
        <v>2405</v>
      </c>
      <c r="I849" s="18" t="s">
        <v>84</v>
      </c>
      <c r="J849" s="18">
        <v>26767572</v>
      </c>
      <c r="K849" s="18" t="s">
        <v>3759</v>
      </c>
      <c r="L849" s="18" t="s">
        <v>149</v>
      </c>
      <c r="M849" s="18">
        <v>1</v>
      </c>
      <c r="N849" s="18">
        <v>1</v>
      </c>
      <c r="O849" s="18">
        <v>1</v>
      </c>
      <c r="P849" s="18">
        <v>0</v>
      </c>
      <c r="Q849" s="18">
        <v>0</v>
      </c>
      <c r="R849" s="1215">
        <v>4990</v>
      </c>
      <c r="S849" s="1215">
        <v>4990</v>
      </c>
      <c r="T849" s="58" t="s">
        <v>1957</v>
      </c>
      <c r="U849" s="1859" t="s">
        <v>301</v>
      </c>
      <c r="V849" s="18" t="s">
        <v>104</v>
      </c>
      <c r="W849" s="2021" t="s">
        <v>2407</v>
      </c>
      <c r="X849" s="18"/>
      <c r="Y849" s="4"/>
      <c r="Z849" s="4"/>
    </row>
    <row r="850" spans="1:26" ht="26.1" hidden="1">
      <c r="A850" s="20">
        <v>857</v>
      </c>
      <c r="B850" s="1063">
        <v>40627</v>
      </c>
      <c r="C850" s="18" t="s">
        <v>3760</v>
      </c>
      <c r="D850" s="11"/>
      <c r="E850" s="18" t="s">
        <v>2722</v>
      </c>
      <c r="F850" s="18" t="s">
        <v>1713</v>
      </c>
      <c r="G850" s="18" t="s">
        <v>3761</v>
      </c>
      <c r="H850" s="18" t="s">
        <v>3762</v>
      </c>
      <c r="I850" s="18" t="s">
        <v>84</v>
      </c>
      <c r="J850" s="18">
        <v>58393815</v>
      </c>
      <c r="K850" s="18" t="s">
        <v>3763</v>
      </c>
      <c r="L850" s="18" t="s">
        <v>149</v>
      </c>
      <c r="M850" s="18">
        <v>1</v>
      </c>
      <c r="N850" s="18">
        <v>1</v>
      </c>
      <c r="O850" s="18">
        <v>1</v>
      </c>
      <c r="P850" s="18">
        <v>0</v>
      </c>
      <c r="Q850" s="18">
        <v>0</v>
      </c>
      <c r="R850" s="1215">
        <v>1390</v>
      </c>
      <c r="S850" s="1215">
        <v>1390</v>
      </c>
      <c r="T850" s="58" t="s">
        <v>1957</v>
      </c>
      <c r="U850" s="1859" t="s">
        <v>301</v>
      </c>
      <c r="V850" s="18" t="s">
        <v>104</v>
      </c>
      <c r="W850" s="2021" t="s">
        <v>3764</v>
      </c>
      <c r="X850" s="18"/>
      <c r="Y850" s="4"/>
      <c r="Z850" s="4"/>
    </row>
    <row r="851" spans="1:26" ht="65.099999999999994" hidden="1">
      <c r="A851" s="20">
        <v>858</v>
      </c>
      <c r="B851" s="1063">
        <v>40628</v>
      </c>
      <c r="C851" s="18" t="s">
        <v>3765</v>
      </c>
      <c r="D851" s="11"/>
      <c r="E851" s="18" t="s">
        <v>2722</v>
      </c>
      <c r="F851" s="18" t="s">
        <v>1713</v>
      </c>
      <c r="G851" s="18" t="s">
        <v>3766</v>
      </c>
      <c r="H851" s="18" t="s">
        <v>3767</v>
      </c>
      <c r="I851" s="18" t="s">
        <v>366</v>
      </c>
      <c r="J851" s="18" t="s">
        <v>2417</v>
      </c>
      <c r="K851" s="18" t="s">
        <v>2417</v>
      </c>
      <c r="L851" s="18" t="s">
        <v>149</v>
      </c>
      <c r="M851" s="18">
        <v>4</v>
      </c>
      <c r="N851" s="18">
        <v>1</v>
      </c>
      <c r="O851" s="18">
        <v>10</v>
      </c>
      <c r="P851" s="18">
        <v>0</v>
      </c>
      <c r="Q851" s="18">
        <v>0</v>
      </c>
      <c r="R851" s="1215">
        <v>1527</v>
      </c>
      <c r="S851" s="1215">
        <v>15270</v>
      </c>
      <c r="T851" s="58" t="s">
        <v>1957</v>
      </c>
      <c r="U851" s="1859" t="s">
        <v>301</v>
      </c>
      <c r="V851" s="18" t="s">
        <v>104</v>
      </c>
      <c r="W851" s="2021" t="s">
        <v>3768</v>
      </c>
      <c r="X851" s="18"/>
      <c r="Y851" s="4"/>
      <c r="Z851" s="4"/>
    </row>
    <row r="852" spans="1:26" ht="26.1" hidden="1">
      <c r="A852" s="20">
        <v>859</v>
      </c>
      <c r="B852" s="1063">
        <v>40629</v>
      </c>
      <c r="C852" s="18" t="s">
        <v>3769</v>
      </c>
      <c r="D852" s="11"/>
      <c r="E852" s="18" t="s">
        <v>2722</v>
      </c>
      <c r="F852" s="18" t="s">
        <v>1713</v>
      </c>
      <c r="G852" s="18" t="s">
        <v>3770</v>
      </c>
      <c r="H852" s="18" t="s">
        <v>1143</v>
      </c>
      <c r="I852" s="18" t="s">
        <v>574</v>
      </c>
      <c r="J852" s="18" t="s">
        <v>3771</v>
      </c>
      <c r="K852" s="18" t="s">
        <v>3772</v>
      </c>
      <c r="L852" s="18" t="s">
        <v>149</v>
      </c>
      <c r="M852" s="18">
        <v>12</v>
      </c>
      <c r="N852" s="18">
        <v>1</v>
      </c>
      <c r="O852" s="18">
        <v>25</v>
      </c>
      <c r="P852" s="18">
        <v>0</v>
      </c>
      <c r="Q852" s="18">
        <v>13</v>
      </c>
      <c r="R852" s="1215">
        <v>65.28</v>
      </c>
      <c r="S852" s="1215">
        <v>1632</v>
      </c>
      <c r="T852" s="58" t="s">
        <v>1957</v>
      </c>
      <c r="U852" s="1859" t="s">
        <v>301</v>
      </c>
      <c r="V852" s="18" t="s">
        <v>104</v>
      </c>
      <c r="W852" s="2021" t="s">
        <v>3773</v>
      </c>
      <c r="X852" s="18"/>
      <c r="Y852" s="4"/>
      <c r="Z852" s="4"/>
    </row>
    <row r="853" spans="1:26" ht="14.1" hidden="1">
      <c r="A853" s="20">
        <v>860</v>
      </c>
      <c r="B853" s="1063">
        <v>40630</v>
      </c>
      <c r="C853" s="18" t="s">
        <v>3774</v>
      </c>
      <c r="D853" s="11"/>
      <c r="E853" s="18" t="s">
        <v>2722</v>
      </c>
      <c r="F853" s="18" t="s">
        <v>2332</v>
      </c>
      <c r="G853" s="18" t="s">
        <v>3775</v>
      </c>
      <c r="H853" s="18" t="s">
        <v>3776</v>
      </c>
      <c r="I853" s="18" t="s">
        <v>84</v>
      </c>
      <c r="J853" s="18">
        <v>48898351</v>
      </c>
      <c r="K853" s="18" t="s">
        <v>3777</v>
      </c>
      <c r="L853" s="18" t="s">
        <v>149</v>
      </c>
      <c r="M853" s="18">
        <v>1</v>
      </c>
      <c r="N853" s="18">
        <v>1</v>
      </c>
      <c r="O853" s="18">
        <v>1</v>
      </c>
      <c r="P853" s="18">
        <v>0</v>
      </c>
      <c r="Q853" s="18">
        <v>0</v>
      </c>
      <c r="R853" s="1215">
        <v>2990</v>
      </c>
      <c r="S853" s="1215">
        <v>2990</v>
      </c>
      <c r="T853" s="18" t="s">
        <v>929</v>
      </c>
      <c r="U853" s="1859" t="s">
        <v>301</v>
      </c>
      <c r="V853" s="18" t="s">
        <v>931</v>
      </c>
      <c r="W853" s="2021" t="s">
        <v>3778</v>
      </c>
      <c r="X853" s="18" t="s">
        <v>3779</v>
      </c>
      <c r="Y853" s="4"/>
      <c r="Z853" s="4"/>
    </row>
    <row r="854" spans="1:26" ht="26.1" hidden="1">
      <c r="A854" s="20">
        <v>861</v>
      </c>
      <c r="B854" s="1063">
        <v>40631</v>
      </c>
      <c r="C854" s="18" t="s">
        <v>3780</v>
      </c>
      <c r="D854" s="11"/>
      <c r="E854" s="18" t="s">
        <v>2722</v>
      </c>
      <c r="F854" s="18" t="s">
        <v>2332</v>
      </c>
      <c r="G854" s="18" t="s">
        <v>3781</v>
      </c>
      <c r="H854" s="18" t="s">
        <v>3782</v>
      </c>
      <c r="I854" s="18" t="s">
        <v>84</v>
      </c>
      <c r="J854" s="18">
        <v>45317824</v>
      </c>
      <c r="K854" s="18">
        <v>35028</v>
      </c>
      <c r="L854" s="18" t="s">
        <v>149</v>
      </c>
      <c r="M854" s="18">
        <v>1</v>
      </c>
      <c r="N854" s="18">
        <v>1</v>
      </c>
      <c r="O854" s="18">
        <v>1</v>
      </c>
      <c r="P854" s="18">
        <v>0</v>
      </c>
      <c r="Q854" s="18">
        <v>0</v>
      </c>
      <c r="R854" s="1215">
        <v>9490</v>
      </c>
      <c r="S854" s="1215">
        <v>9490</v>
      </c>
      <c r="T854" s="18" t="s">
        <v>929</v>
      </c>
      <c r="U854" s="1859" t="s">
        <v>301</v>
      </c>
      <c r="V854" s="18" t="s">
        <v>931</v>
      </c>
      <c r="W854" s="2021" t="s">
        <v>3783</v>
      </c>
      <c r="X854" s="18" t="s">
        <v>3784</v>
      </c>
      <c r="Y854" s="4"/>
      <c r="Z854" s="4"/>
    </row>
    <row r="855" spans="1:26" ht="39" hidden="1">
      <c r="A855" s="20">
        <v>862</v>
      </c>
      <c r="B855" s="1063">
        <v>40632</v>
      </c>
      <c r="C855" s="18" t="s">
        <v>3441</v>
      </c>
      <c r="D855" s="11"/>
      <c r="E855" s="18" t="s">
        <v>2722</v>
      </c>
      <c r="F855" s="18" t="s">
        <v>2699</v>
      </c>
      <c r="G855" s="18" t="s">
        <v>3785</v>
      </c>
      <c r="H855" s="18" t="s">
        <v>243</v>
      </c>
      <c r="I855" s="18" t="s">
        <v>574</v>
      </c>
      <c r="J855" s="18" t="s">
        <v>3786</v>
      </c>
      <c r="K855" s="18" t="s">
        <v>3787</v>
      </c>
      <c r="L855" s="18" t="s">
        <v>3788</v>
      </c>
      <c r="M855" s="18">
        <v>1</v>
      </c>
      <c r="N855" s="18">
        <v>1</v>
      </c>
      <c r="O855" s="18">
        <v>10</v>
      </c>
      <c r="P855" s="18">
        <v>0</v>
      </c>
      <c r="Q855" s="18">
        <v>0</v>
      </c>
      <c r="R855" s="1215">
        <v>513</v>
      </c>
      <c r="S855" s="1215">
        <v>5130</v>
      </c>
      <c r="T855" s="18" t="s">
        <v>929</v>
      </c>
      <c r="U855" s="1859" t="s">
        <v>3447</v>
      </c>
      <c r="V855" s="18" t="s">
        <v>931</v>
      </c>
      <c r="W855" s="2021" t="s">
        <v>3789</v>
      </c>
      <c r="X855" s="18"/>
      <c r="Y855" s="4"/>
      <c r="Z855" s="4"/>
    </row>
    <row r="856" spans="1:26" ht="14.1" hidden="1">
      <c r="A856" s="20">
        <v>863</v>
      </c>
      <c r="B856" s="1063">
        <v>40633</v>
      </c>
      <c r="C856" s="18" t="s">
        <v>3790</v>
      </c>
      <c r="D856" s="11" t="s">
        <v>6</v>
      </c>
      <c r="E856" s="18" t="s">
        <v>2722</v>
      </c>
      <c r="F856" s="18" t="s">
        <v>2876</v>
      </c>
      <c r="G856" s="18" t="s">
        <v>3791</v>
      </c>
      <c r="H856" s="18" t="s">
        <v>3525</v>
      </c>
      <c r="I856" s="18" t="s">
        <v>3525</v>
      </c>
      <c r="J856" s="18"/>
      <c r="K856" s="18"/>
      <c r="L856" s="18"/>
      <c r="M856" s="18">
        <v>1</v>
      </c>
      <c r="N856" s="18">
        <v>1</v>
      </c>
      <c r="O856" s="18">
        <v>2</v>
      </c>
      <c r="P856" s="18">
        <v>0</v>
      </c>
      <c r="Q856" s="18">
        <v>0</v>
      </c>
      <c r="R856" s="1215">
        <f>33412</f>
        <v>33412</v>
      </c>
      <c r="S856" s="1215">
        <v>33412</v>
      </c>
      <c r="T856" s="18" t="s">
        <v>929</v>
      </c>
      <c r="U856" s="1868" t="s">
        <v>3792</v>
      </c>
      <c r="V856" s="18" t="s">
        <v>104</v>
      </c>
      <c r="W856" s="2021" t="s">
        <v>401</v>
      </c>
      <c r="X856" s="18"/>
      <c r="Y856" s="4"/>
      <c r="Z856" s="4"/>
    </row>
    <row r="857" spans="1:26" ht="39" hidden="1">
      <c r="A857" s="20">
        <v>864</v>
      </c>
      <c r="B857" s="1063">
        <v>40634</v>
      </c>
      <c r="C857" s="18" t="s">
        <v>3455</v>
      </c>
      <c r="D857" s="11"/>
      <c r="E857" s="18" t="s">
        <v>2722</v>
      </c>
      <c r="F857" s="18" t="s">
        <v>2699</v>
      </c>
      <c r="G857" s="18" t="s">
        <v>3456</v>
      </c>
      <c r="H857" s="18" t="s">
        <v>243</v>
      </c>
      <c r="I857" s="18" t="s">
        <v>53</v>
      </c>
      <c r="J857" s="58" t="s">
        <v>3457</v>
      </c>
      <c r="K857" s="58" t="s">
        <v>3458</v>
      </c>
      <c r="L857" s="18" t="s">
        <v>3459</v>
      </c>
      <c r="M857" s="18">
        <v>15</v>
      </c>
      <c r="N857" s="18">
        <v>1</v>
      </c>
      <c r="O857" s="18">
        <v>5</v>
      </c>
      <c r="P857" s="18">
        <v>10</v>
      </c>
      <c r="Q857" s="18">
        <v>0</v>
      </c>
      <c r="R857" s="1215">
        <v>1367</v>
      </c>
      <c r="S857" s="1215">
        <v>6835</v>
      </c>
      <c r="T857" s="18" t="s">
        <v>3793</v>
      </c>
      <c r="U857" s="1859" t="s">
        <v>3794</v>
      </c>
      <c r="V857" s="18" t="s">
        <v>104</v>
      </c>
      <c r="W857" s="2031" t="s">
        <v>3460</v>
      </c>
      <c r="X857" s="18"/>
      <c r="Y857" s="4"/>
      <c r="Z857" s="4"/>
    </row>
    <row r="858" spans="1:26" ht="39" hidden="1">
      <c r="A858" s="20">
        <v>865</v>
      </c>
      <c r="B858" s="1063">
        <v>40635</v>
      </c>
      <c r="C858" s="18" t="s">
        <v>3795</v>
      </c>
      <c r="D858" s="11"/>
      <c r="E858" s="18" t="s">
        <v>2722</v>
      </c>
      <c r="F858" s="18" t="s">
        <v>2699</v>
      </c>
      <c r="G858" s="18" t="s">
        <v>3796</v>
      </c>
      <c r="H858" s="18" t="s">
        <v>3797</v>
      </c>
      <c r="I858" s="18" t="s">
        <v>53</v>
      </c>
      <c r="J858" s="18" t="s">
        <v>3798</v>
      </c>
      <c r="K858" s="18" t="s">
        <v>2355</v>
      </c>
      <c r="L858" s="18" t="s">
        <v>3799</v>
      </c>
      <c r="M858" s="18">
        <v>20</v>
      </c>
      <c r="N858" s="18">
        <v>1</v>
      </c>
      <c r="O858" s="18">
        <v>12</v>
      </c>
      <c r="P858" s="18">
        <v>8</v>
      </c>
      <c r="Q858" s="18">
        <v>0</v>
      </c>
      <c r="R858" s="1215">
        <v>261</v>
      </c>
      <c r="S858" s="1215">
        <v>3132</v>
      </c>
      <c r="T858" s="18" t="s">
        <v>3800</v>
      </c>
      <c r="U858" s="1859" t="s">
        <v>3801</v>
      </c>
      <c r="V858" s="18" t="s">
        <v>104</v>
      </c>
      <c r="W858" s="2021" t="s">
        <v>3802</v>
      </c>
      <c r="X858" s="18"/>
      <c r="Y858" s="4"/>
      <c r="Z858" s="4"/>
    </row>
    <row r="859" spans="1:26" ht="39" hidden="1">
      <c r="A859" s="20">
        <v>866</v>
      </c>
      <c r="B859" s="1063">
        <v>40636</v>
      </c>
      <c r="C859" s="18" t="s">
        <v>3803</v>
      </c>
      <c r="D859" s="11"/>
      <c r="E859" s="18" t="s">
        <v>2722</v>
      </c>
      <c r="F859" s="18" t="s">
        <v>2699</v>
      </c>
      <c r="G859" s="18" t="s">
        <v>3804</v>
      </c>
      <c r="H859" s="18" t="s">
        <v>3797</v>
      </c>
      <c r="I859" s="18" t="s">
        <v>53</v>
      </c>
      <c r="J859" s="18" t="s">
        <v>3805</v>
      </c>
      <c r="K859" s="18" t="s">
        <v>3806</v>
      </c>
      <c r="L859" s="18" t="s">
        <v>3807</v>
      </c>
      <c r="M859" s="18">
        <v>10</v>
      </c>
      <c r="N859" s="18">
        <v>1</v>
      </c>
      <c r="O859" s="18">
        <v>10</v>
      </c>
      <c r="P859" s="18">
        <v>0</v>
      </c>
      <c r="Q859" s="18">
        <v>0</v>
      </c>
      <c r="R859" s="1215">
        <v>467</v>
      </c>
      <c r="S859" s="1215">
        <v>4670</v>
      </c>
      <c r="T859" s="18" t="s">
        <v>3800</v>
      </c>
      <c r="U859" s="1859" t="s">
        <v>3801</v>
      </c>
      <c r="V859" s="18" t="s">
        <v>104</v>
      </c>
      <c r="W859" s="2021" t="s">
        <v>3808</v>
      </c>
      <c r="X859" s="18"/>
      <c r="Y859" s="4"/>
      <c r="Z859" s="4"/>
    </row>
    <row r="860" spans="1:26" ht="26.1" hidden="1">
      <c r="A860" s="20">
        <v>867</v>
      </c>
      <c r="B860" s="1063">
        <v>40637</v>
      </c>
      <c r="C860" s="81" t="s">
        <v>3809</v>
      </c>
      <c r="D860" s="11"/>
      <c r="E860" s="18" t="s">
        <v>2722</v>
      </c>
      <c r="F860" s="81" t="s">
        <v>1989</v>
      </c>
      <c r="G860" s="81" t="s">
        <v>3810</v>
      </c>
      <c r="H860" s="81" t="s">
        <v>3811</v>
      </c>
      <c r="I860" s="81" t="s">
        <v>574</v>
      </c>
      <c r="J860" s="81" t="s">
        <v>3812</v>
      </c>
      <c r="K860" s="81" t="s">
        <v>3813</v>
      </c>
      <c r="L860" s="100" t="s">
        <v>3814</v>
      </c>
      <c r="M860" s="81">
        <v>2</v>
      </c>
      <c r="N860" s="81">
        <v>1</v>
      </c>
      <c r="O860" s="81">
        <v>10</v>
      </c>
      <c r="P860" s="81">
        <v>0</v>
      </c>
      <c r="Q860" s="58">
        <v>8</v>
      </c>
      <c r="R860" s="1219">
        <v>79</v>
      </c>
      <c r="S860" s="1219">
        <v>790</v>
      </c>
      <c r="T860" s="58" t="s">
        <v>929</v>
      </c>
      <c r="U860" s="1865" t="s">
        <v>3552</v>
      </c>
      <c r="V860" s="58" t="s">
        <v>104</v>
      </c>
      <c r="W860" s="2029" t="s">
        <v>3815</v>
      </c>
      <c r="X860" s="18"/>
      <c r="Y860" s="4"/>
      <c r="Z860" s="4"/>
    </row>
    <row r="861" spans="1:26" ht="26.1" hidden="1">
      <c r="A861" s="20">
        <v>868</v>
      </c>
      <c r="B861" s="1063">
        <v>40638</v>
      </c>
      <c r="C861" s="81" t="s">
        <v>3809</v>
      </c>
      <c r="D861" s="11"/>
      <c r="E861" s="18" t="s">
        <v>2722</v>
      </c>
      <c r="F861" s="81" t="s">
        <v>1989</v>
      </c>
      <c r="G861" s="81" t="s">
        <v>3816</v>
      </c>
      <c r="H861" s="81" t="s">
        <v>1740</v>
      </c>
      <c r="I861" s="81" t="s">
        <v>574</v>
      </c>
      <c r="J861" s="81" t="s">
        <v>3817</v>
      </c>
      <c r="K861" s="81" t="s">
        <v>3818</v>
      </c>
      <c r="L861" s="100" t="s">
        <v>3814</v>
      </c>
      <c r="M861" s="81">
        <v>6</v>
      </c>
      <c r="N861" s="81">
        <v>1</v>
      </c>
      <c r="O861" s="81">
        <v>10</v>
      </c>
      <c r="P861" s="81">
        <v>0</v>
      </c>
      <c r="Q861" s="58">
        <v>4</v>
      </c>
      <c r="R861" s="1219">
        <v>150</v>
      </c>
      <c r="S861" s="1219">
        <v>1500</v>
      </c>
      <c r="T861" s="58" t="s">
        <v>929</v>
      </c>
      <c r="U861" s="1865" t="s">
        <v>3552</v>
      </c>
      <c r="V861" s="58" t="s">
        <v>104</v>
      </c>
      <c r="W861" s="2029" t="s">
        <v>3819</v>
      </c>
      <c r="X861" s="18"/>
      <c r="Y861" s="4"/>
      <c r="Z861" s="4"/>
    </row>
    <row r="862" spans="1:26" ht="26.1" hidden="1">
      <c r="A862" s="20">
        <v>869</v>
      </c>
      <c r="B862" s="1063">
        <v>40639</v>
      </c>
      <c r="C862" s="81" t="s">
        <v>3809</v>
      </c>
      <c r="D862" s="11"/>
      <c r="E862" s="18" t="s">
        <v>2722</v>
      </c>
      <c r="F862" s="81" t="s">
        <v>1989</v>
      </c>
      <c r="G862" s="81" t="s">
        <v>3820</v>
      </c>
      <c r="H862" s="81" t="s">
        <v>1740</v>
      </c>
      <c r="I862" s="81" t="s">
        <v>574</v>
      </c>
      <c r="J862" s="81" t="s">
        <v>3821</v>
      </c>
      <c r="K862" s="81" t="s">
        <v>3822</v>
      </c>
      <c r="L862" s="100" t="s">
        <v>3814</v>
      </c>
      <c r="M862" s="81">
        <v>2</v>
      </c>
      <c r="N862" s="81">
        <v>1</v>
      </c>
      <c r="O862" s="81">
        <v>10</v>
      </c>
      <c r="P862" s="81">
        <v>0</v>
      </c>
      <c r="Q862" s="58">
        <v>8</v>
      </c>
      <c r="R862" s="1219">
        <v>143</v>
      </c>
      <c r="S862" s="1219">
        <v>1430</v>
      </c>
      <c r="T862" s="58" t="s">
        <v>929</v>
      </c>
      <c r="U862" s="1865" t="s">
        <v>3552</v>
      </c>
      <c r="V862" s="58" t="s">
        <v>104</v>
      </c>
      <c r="W862" s="2029" t="s">
        <v>3823</v>
      </c>
      <c r="X862" s="18"/>
      <c r="Y862" s="4"/>
      <c r="Z862" s="4"/>
    </row>
    <row r="863" spans="1:26" ht="39" hidden="1">
      <c r="A863" s="20">
        <v>870</v>
      </c>
      <c r="B863" s="1063">
        <v>40640</v>
      </c>
      <c r="C863" s="58" t="s">
        <v>329</v>
      </c>
      <c r="D863" s="11"/>
      <c r="E863" s="18" t="s">
        <v>2722</v>
      </c>
      <c r="F863" s="81" t="s">
        <v>1989</v>
      </c>
      <c r="G863" s="58" t="s">
        <v>3554</v>
      </c>
      <c r="H863" s="81" t="s">
        <v>3243</v>
      </c>
      <c r="I863" s="58" t="s">
        <v>574</v>
      </c>
      <c r="J863" s="58" t="s">
        <v>3555</v>
      </c>
      <c r="K863" s="58" t="s">
        <v>3556</v>
      </c>
      <c r="L863" s="58" t="s">
        <v>3551</v>
      </c>
      <c r="M863" s="58">
        <v>8</v>
      </c>
      <c r="N863" s="58">
        <v>1</v>
      </c>
      <c r="O863" s="58">
        <v>20</v>
      </c>
      <c r="P863" s="58">
        <v>0</v>
      </c>
      <c r="Q863" s="58">
        <v>12</v>
      </c>
      <c r="R863" s="1219">
        <v>25</v>
      </c>
      <c r="S863" s="1219">
        <v>500</v>
      </c>
      <c r="T863" s="58" t="s">
        <v>929</v>
      </c>
      <c r="U863" s="1865" t="s">
        <v>3552</v>
      </c>
      <c r="V863" s="58" t="s">
        <v>104</v>
      </c>
      <c r="W863" s="2029" t="s">
        <v>3557</v>
      </c>
      <c r="X863" s="18"/>
      <c r="Y863" s="4"/>
      <c r="Z863" s="4"/>
    </row>
    <row r="864" spans="1:26" ht="26.1" hidden="1">
      <c r="A864" s="20">
        <v>871</v>
      </c>
      <c r="B864" s="1063">
        <v>40641</v>
      </c>
      <c r="C864" s="81" t="s">
        <v>3824</v>
      </c>
      <c r="D864" s="11"/>
      <c r="E864" s="18" t="s">
        <v>2722</v>
      </c>
      <c r="F864" s="81" t="s">
        <v>1989</v>
      </c>
      <c r="G864" s="81" t="s">
        <v>3825</v>
      </c>
      <c r="H864" s="81" t="s">
        <v>752</v>
      </c>
      <c r="I864" s="81" t="s">
        <v>3826</v>
      </c>
      <c r="J864" s="81" t="s">
        <v>3827</v>
      </c>
      <c r="K864" s="81" t="s">
        <v>3828</v>
      </c>
      <c r="L864" s="101" t="s">
        <v>3829</v>
      </c>
      <c r="M864" s="81">
        <v>5</v>
      </c>
      <c r="N864" s="81">
        <v>5</v>
      </c>
      <c r="O864" s="81">
        <v>10</v>
      </c>
      <c r="P864" s="81">
        <v>0</v>
      </c>
      <c r="Q864" s="58">
        <v>5</v>
      </c>
      <c r="R864" s="1219">
        <v>574</v>
      </c>
      <c r="S864" s="1219">
        <v>5740</v>
      </c>
      <c r="T864" s="58" t="s">
        <v>929</v>
      </c>
      <c r="U864" s="1865" t="s">
        <v>3619</v>
      </c>
      <c r="V864" s="58" t="s">
        <v>104</v>
      </c>
      <c r="W864" s="2029" t="s">
        <v>3830</v>
      </c>
      <c r="X864" s="18"/>
      <c r="Y864" s="4"/>
      <c r="Z864" s="4"/>
    </row>
    <row r="865" spans="1:26" ht="26.1" hidden="1">
      <c r="A865" s="20">
        <v>872</v>
      </c>
      <c r="B865" s="1063">
        <v>40642</v>
      </c>
      <c r="C865" s="81" t="s">
        <v>3831</v>
      </c>
      <c r="D865" s="11"/>
      <c r="E865" s="18" t="s">
        <v>2722</v>
      </c>
      <c r="F865" s="81" t="s">
        <v>1989</v>
      </c>
      <c r="G865" s="81" t="s">
        <v>3832</v>
      </c>
      <c r="H865" s="81" t="s">
        <v>671</v>
      </c>
      <c r="I865" s="81" t="s">
        <v>574</v>
      </c>
      <c r="J865" s="81" t="s">
        <v>673</v>
      </c>
      <c r="K865" s="81" t="s">
        <v>3288</v>
      </c>
      <c r="L865" s="100" t="s">
        <v>2011</v>
      </c>
      <c r="M865" s="81">
        <v>10</v>
      </c>
      <c r="N865" s="81">
        <v>1</v>
      </c>
      <c r="O865" s="81">
        <v>5</v>
      </c>
      <c r="P865" s="81">
        <v>0</v>
      </c>
      <c r="Q865" s="58">
        <v>0</v>
      </c>
      <c r="R865" s="1219">
        <v>730</v>
      </c>
      <c r="S865" s="1219">
        <v>3650</v>
      </c>
      <c r="T865" s="58" t="s">
        <v>929</v>
      </c>
      <c r="U865" s="1865" t="s">
        <v>3552</v>
      </c>
      <c r="V865" s="58" t="s">
        <v>104</v>
      </c>
      <c r="W865" s="2029" t="s">
        <v>3833</v>
      </c>
      <c r="X865" s="18"/>
      <c r="Y865" s="4"/>
      <c r="Z865" s="4"/>
    </row>
    <row r="866" spans="1:26" ht="24.95" hidden="1">
      <c r="A866" s="20">
        <v>873</v>
      </c>
      <c r="B866" s="1063">
        <v>40643</v>
      </c>
      <c r="C866" s="18" t="s">
        <v>3834</v>
      </c>
      <c r="D866" s="11"/>
      <c r="E866" s="18" t="s">
        <v>2722</v>
      </c>
      <c r="F866" s="18" t="s">
        <v>2143</v>
      </c>
      <c r="G866" s="18" t="s">
        <v>3835</v>
      </c>
      <c r="H866" s="18" t="s">
        <v>1073</v>
      </c>
      <c r="I866" s="18" t="s">
        <v>574</v>
      </c>
      <c r="J866" s="18" t="s">
        <v>2316</v>
      </c>
      <c r="K866" s="18" t="s">
        <v>2317</v>
      </c>
      <c r="L866" s="18" t="s">
        <v>2318</v>
      </c>
      <c r="M866" s="18">
        <v>10</v>
      </c>
      <c r="N866" s="18">
        <v>1</v>
      </c>
      <c r="O866" s="18">
        <v>10</v>
      </c>
      <c r="P866" s="18">
        <v>0</v>
      </c>
      <c r="Q866" s="18">
        <f t="shared" ref="Q866:Q891" si="34">O866+P866</f>
        <v>10</v>
      </c>
      <c r="R866" s="1215">
        <v>1609.4</v>
      </c>
      <c r="S866" s="1215">
        <f t="shared" ref="S866:S891" si="35">R866*O866</f>
        <v>16094</v>
      </c>
      <c r="T866" s="18" t="s">
        <v>3836</v>
      </c>
      <c r="U866" s="1859" t="s">
        <v>3094</v>
      </c>
      <c r="V866" s="18" t="s">
        <v>104</v>
      </c>
      <c r="W866" s="2028" t="s">
        <v>3837</v>
      </c>
      <c r="X866" s="18"/>
      <c r="Y866" s="4"/>
      <c r="Z866" s="4"/>
    </row>
    <row r="867" spans="1:26" ht="50.1" hidden="1">
      <c r="A867" s="20">
        <v>874</v>
      </c>
      <c r="B867" s="1063">
        <v>40644</v>
      </c>
      <c r="C867" s="58" t="s">
        <v>329</v>
      </c>
      <c r="D867" s="11"/>
      <c r="E867" s="18" t="s">
        <v>2722</v>
      </c>
      <c r="F867" s="18" t="s">
        <v>2143</v>
      </c>
      <c r="G867" s="18" t="s">
        <v>3838</v>
      </c>
      <c r="H867" s="18" t="s">
        <v>2285</v>
      </c>
      <c r="I867" s="18" t="s">
        <v>574</v>
      </c>
      <c r="J867" s="18" t="s">
        <v>3839</v>
      </c>
      <c r="K867" s="18" t="s">
        <v>3840</v>
      </c>
      <c r="L867" s="18">
        <v>1005</v>
      </c>
      <c r="M867" s="18">
        <v>10</v>
      </c>
      <c r="N867" s="18">
        <v>1</v>
      </c>
      <c r="O867" s="18">
        <v>15</v>
      </c>
      <c r="P867" s="18">
        <v>0</v>
      </c>
      <c r="Q867" s="18">
        <f t="shared" si="34"/>
        <v>15</v>
      </c>
      <c r="R867" s="1215">
        <v>9.8000000000000007</v>
      </c>
      <c r="S867" s="1215">
        <f t="shared" si="35"/>
        <v>147</v>
      </c>
      <c r="T867" s="18" t="s">
        <v>3836</v>
      </c>
      <c r="U867" s="1859" t="s">
        <v>3094</v>
      </c>
      <c r="V867" s="18" t="s">
        <v>104</v>
      </c>
      <c r="W867" s="2028" t="s">
        <v>3841</v>
      </c>
      <c r="X867" s="18"/>
      <c r="Y867" s="4"/>
      <c r="Z867" s="4"/>
    </row>
    <row r="868" spans="1:26" ht="50.1" hidden="1">
      <c r="A868" s="20">
        <v>875</v>
      </c>
      <c r="B868" s="1063">
        <v>40645</v>
      </c>
      <c r="C868" s="18" t="s">
        <v>3842</v>
      </c>
      <c r="D868" s="11"/>
      <c r="E868" s="18" t="s">
        <v>2722</v>
      </c>
      <c r="F868" s="18" t="s">
        <v>2143</v>
      </c>
      <c r="G868" s="18" t="s">
        <v>3843</v>
      </c>
      <c r="H868" s="18" t="s">
        <v>2285</v>
      </c>
      <c r="I868" s="18" t="s">
        <v>574</v>
      </c>
      <c r="J868" s="18" t="s">
        <v>3844</v>
      </c>
      <c r="K868" s="18" t="s">
        <v>3845</v>
      </c>
      <c r="L868" s="18">
        <v>1005</v>
      </c>
      <c r="M868" s="18">
        <v>60</v>
      </c>
      <c r="N868" s="18">
        <v>1</v>
      </c>
      <c r="O868" s="18">
        <v>100</v>
      </c>
      <c r="P868" s="18">
        <v>0</v>
      </c>
      <c r="Q868" s="18">
        <f t="shared" si="34"/>
        <v>100</v>
      </c>
      <c r="R868" s="1215">
        <v>12.37</v>
      </c>
      <c r="S868" s="1215">
        <f t="shared" si="35"/>
        <v>1237</v>
      </c>
      <c r="T868" s="18" t="s">
        <v>3836</v>
      </c>
      <c r="U868" s="1859" t="s">
        <v>3094</v>
      </c>
      <c r="V868" s="18" t="s">
        <v>104</v>
      </c>
      <c r="W868" s="2028" t="s">
        <v>3846</v>
      </c>
      <c r="X868" s="18" t="s">
        <v>3847</v>
      </c>
      <c r="Y868" s="4"/>
      <c r="Z868" s="4"/>
    </row>
    <row r="869" spans="1:26" ht="50.1" hidden="1">
      <c r="A869" s="20">
        <v>876</v>
      </c>
      <c r="B869" s="1063">
        <v>40646</v>
      </c>
      <c r="C869" s="18" t="s">
        <v>3842</v>
      </c>
      <c r="D869" s="11"/>
      <c r="E869" s="18" t="s">
        <v>2722</v>
      </c>
      <c r="F869" s="18" t="s">
        <v>2143</v>
      </c>
      <c r="G869" s="18" t="s">
        <v>3848</v>
      </c>
      <c r="H869" s="18" t="s">
        <v>2285</v>
      </c>
      <c r="I869" s="18" t="s">
        <v>574</v>
      </c>
      <c r="J869" s="18" t="s">
        <v>3849</v>
      </c>
      <c r="K869" s="18" t="s">
        <v>3850</v>
      </c>
      <c r="L869" s="18">
        <v>1005</v>
      </c>
      <c r="M869" s="18">
        <v>30</v>
      </c>
      <c r="N869" s="18">
        <v>1</v>
      </c>
      <c r="O869" s="18">
        <v>100</v>
      </c>
      <c r="P869" s="18">
        <v>0</v>
      </c>
      <c r="Q869" s="18">
        <f t="shared" si="34"/>
        <v>100</v>
      </c>
      <c r="R869" s="1215">
        <v>7.85</v>
      </c>
      <c r="S869" s="1215">
        <f t="shared" si="35"/>
        <v>785</v>
      </c>
      <c r="T869" s="18" t="s">
        <v>3836</v>
      </c>
      <c r="U869" s="1859" t="s">
        <v>3094</v>
      </c>
      <c r="V869" s="18" t="s">
        <v>104</v>
      </c>
      <c r="W869" s="2028" t="s">
        <v>3851</v>
      </c>
      <c r="X869" s="18"/>
      <c r="Y869" s="4"/>
      <c r="Z869" s="4"/>
    </row>
    <row r="870" spans="1:26" ht="50.1" hidden="1">
      <c r="A870" s="20">
        <v>877</v>
      </c>
      <c r="B870" s="1063">
        <v>40647</v>
      </c>
      <c r="C870" s="18" t="s">
        <v>3842</v>
      </c>
      <c r="D870" s="11"/>
      <c r="E870" s="18" t="s">
        <v>2722</v>
      </c>
      <c r="F870" s="18" t="s">
        <v>2143</v>
      </c>
      <c r="G870" s="18" t="s">
        <v>3852</v>
      </c>
      <c r="H870" s="18" t="s">
        <v>2285</v>
      </c>
      <c r="I870" s="18" t="s">
        <v>574</v>
      </c>
      <c r="J870" s="18" t="s">
        <v>3853</v>
      </c>
      <c r="K870" s="18" t="s">
        <v>3854</v>
      </c>
      <c r="L870" s="18">
        <v>1005</v>
      </c>
      <c r="M870" s="18">
        <v>20</v>
      </c>
      <c r="N870" s="18">
        <v>1</v>
      </c>
      <c r="O870" s="18">
        <v>30</v>
      </c>
      <c r="P870" s="18">
        <v>0</v>
      </c>
      <c r="Q870" s="18">
        <f t="shared" si="34"/>
        <v>30</v>
      </c>
      <c r="R870" s="1215">
        <v>24.4</v>
      </c>
      <c r="S870" s="1215">
        <f t="shared" si="35"/>
        <v>732</v>
      </c>
      <c r="T870" s="18" t="s">
        <v>3836</v>
      </c>
      <c r="U870" s="1859" t="s">
        <v>3094</v>
      </c>
      <c r="V870" s="18" t="s">
        <v>104</v>
      </c>
      <c r="W870" s="2028" t="s">
        <v>3855</v>
      </c>
      <c r="X870" s="18"/>
      <c r="Y870" s="4"/>
      <c r="Z870" s="4"/>
    </row>
    <row r="871" spans="1:26" ht="50.1" hidden="1">
      <c r="A871" s="20">
        <v>878</v>
      </c>
      <c r="B871" s="1063">
        <v>40648</v>
      </c>
      <c r="C871" s="58" t="s">
        <v>329</v>
      </c>
      <c r="D871" s="11"/>
      <c r="E871" s="18" t="s">
        <v>2722</v>
      </c>
      <c r="F871" s="18" t="s">
        <v>2143</v>
      </c>
      <c r="G871" s="18" t="s">
        <v>3856</v>
      </c>
      <c r="H871" s="18" t="s">
        <v>2285</v>
      </c>
      <c r="I871" s="18" t="s">
        <v>574</v>
      </c>
      <c r="J871" s="18" t="s">
        <v>3857</v>
      </c>
      <c r="K871" s="18" t="s">
        <v>3858</v>
      </c>
      <c r="L871" s="18">
        <v>1005</v>
      </c>
      <c r="M871" s="18">
        <v>60</v>
      </c>
      <c r="N871" s="18">
        <v>1</v>
      </c>
      <c r="O871" s="18">
        <v>100</v>
      </c>
      <c r="P871" s="18">
        <v>0</v>
      </c>
      <c r="Q871" s="18">
        <f t="shared" si="34"/>
        <v>100</v>
      </c>
      <c r="R871" s="1215">
        <v>7.14</v>
      </c>
      <c r="S871" s="1215">
        <f t="shared" si="35"/>
        <v>714</v>
      </c>
      <c r="T871" s="18" t="s">
        <v>3836</v>
      </c>
      <c r="U871" s="1859" t="s">
        <v>3094</v>
      </c>
      <c r="V871" s="18" t="s">
        <v>104</v>
      </c>
      <c r="W871" s="2028" t="s">
        <v>3859</v>
      </c>
      <c r="X871" s="18"/>
      <c r="Y871" s="4"/>
      <c r="Z871" s="4"/>
    </row>
    <row r="872" spans="1:26" ht="50.1" hidden="1">
      <c r="A872" s="20">
        <v>879</v>
      </c>
      <c r="B872" s="1063">
        <v>40649</v>
      </c>
      <c r="C872" s="18" t="s">
        <v>3842</v>
      </c>
      <c r="D872" s="11"/>
      <c r="E872" s="18" t="s">
        <v>2722</v>
      </c>
      <c r="F872" s="18" t="s">
        <v>2143</v>
      </c>
      <c r="G872" s="18" t="s">
        <v>3860</v>
      </c>
      <c r="H872" s="18" t="s">
        <v>2285</v>
      </c>
      <c r="I872" s="18" t="s">
        <v>574</v>
      </c>
      <c r="J872" s="18" t="s">
        <v>3861</v>
      </c>
      <c r="K872" s="18" t="s">
        <v>3862</v>
      </c>
      <c r="L872" s="18">
        <v>1005</v>
      </c>
      <c r="M872" s="18">
        <v>10</v>
      </c>
      <c r="N872" s="18">
        <v>1</v>
      </c>
      <c r="O872" s="18">
        <v>15</v>
      </c>
      <c r="P872" s="18">
        <v>0</v>
      </c>
      <c r="Q872" s="18">
        <f t="shared" si="34"/>
        <v>15</v>
      </c>
      <c r="R872" s="1215">
        <v>15.5</v>
      </c>
      <c r="S872" s="1215">
        <f t="shared" si="35"/>
        <v>232.5</v>
      </c>
      <c r="T872" s="18" t="s">
        <v>3836</v>
      </c>
      <c r="U872" s="1859" t="s">
        <v>3094</v>
      </c>
      <c r="V872" s="18" t="s">
        <v>104</v>
      </c>
      <c r="W872" s="2028" t="s">
        <v>3863</v>
      </c>
      <c r="X872" s="18"/>
      <c r="Y872" s="4"/>
      <c r="Z872" s="4"/>
    </row>
    <row r="873" spans="1:26" ht="50.1" hidden="1">
      <c r="A873" s="20">
        <v>880</v>
      </c>
      <c r="B873" s="1063">
        <v>40650</v>
      </c>
      <c r="C873" s="18" t="s">
        <v>3842</v>
      </c>
      <c r="D873" s="11"/>
      <c r="E873" s="18" t="s">
        <v>2722</v>
      </c>
      <c r="F873" s="18" t="s">
        <v>2143</v>
      </c>
      <c r="G873" s="18" t="s">
        <v>3864</v>
      </c>
      <c r="H873" s="18" t="s">
        <v>2285</v>
      </c>
      <c r="I873" s="18" t="s">
        <v>574</v>
      </c>
      <c r="J873" s="18" t="s">
        <v>2328</v>
      </c>
      <c r="K873" s="18" t="s">
        <v>2329</v>
      </c>
      <c r="L873" s="18">
        <v>1005</v>
      </c>
      <c r="M873" s="18">
        <v>5</v>
      </c>
      <c r="N873" s="18">
        <v>1</v>
      </c>
      <c r="O873" s="18">
        <v>10</v>
      </c>
      <c r="P873" s="18">
        <v>5</v>
      </c>
      <c r="Q873" s="18">
        <f t="shared" si="34"/>
        <v>15</v>
      </c>
      <c r="R873" s="1215">
        <v>10.199999999999999</v>
      </c>
      <c r="S873" s="1215">
        <f t="shared" si="35"/>
        <v>102</v>
      </c>
      <c r="T873" s="18" t="s">
        <v>3836</v>
      </c>
      <c r="U873" s="1859" t="s">
        <v>3094</v>
      </c>
      <c r="V873" s="18" t="s">
        <v>104</v>
      </c>
      <c r="W873" s="2028" t="s">
        <v>3865</v>
      </c>
      <c r="X873" s="18"/>
      <c r="Y873" s="4"/>
      <c r="Z873" s="4"/>
    </row>
    <row r="874" spans="1:26" ht="50.1" hidden="1">
      <c r="A874" s="20">
        <v>881</v>
      </c>
      <c r="B874" s="1063">
        <v>40651</v>
      </c>
      <c r="C874" s="18" t="s">
        <v>3842</v>
      </c>
      <c r="D874" s="11"/>
      <c r="E874" s="18" t="s">
        <v>2722</v>
      </c>
      <c r="F874" s="18" t="s">
        <v>2143</v>
      </c>
      <c r="G874" s="18" t="s">
        <v>3866</v>
      </c>
      <c r="H874" s="18" t="s">
        <v>2285</v>
      </c>
      <c r="I874" s="18" t="s">
        <v>574</v>
      </c>
      <c r="J874" s="18" t="s">
        <v>3867</v>
      </c>
      <c r="K874" s="18" t="s">
        <v>3868</v>
      </c>
      <c r="L874" s="18">
        <v>1005</v>
      </c>
      <c r="M874" s="18">
        <v>10</v>
      </c>
      <c r="N874" s="18">
        <v>1</v>
      </c>
      <c r="O874" s="18">
        <v>15</v>
      </c>
      <c r="P874" s="18">
        <v>0</v>
      </c>
      <c r="Q874" s="18">
        <f t="shared" si="34"/>
        <v>15</v>
      </c>
      <c r="R874" s="1215">
        <v>21.3</v>
      </c>
      <c r="S874" s="1215">
        <f t="shared" si="35"/>
        <v>319.5</v>
      </c>
      <c r="T874" s="18" t="s">
        <v>3836</v>
      </c>
      <c r="U874" s="1859" t="s">
        <v>3094</v>
      </c>
      <c r="V874" s="18" t="s">
        <v>104</v>
      </c>
      <c r="W874" s="2028" t="s">
        <v>3869</v>
      </c>
      <c r="X874" s="18"/>
      <c r="Y874" s="4"/>
      <c r="Z874" s="4"/>
    </row>
    <row r="875" spans="1:26" ht="37.5" hidden="1">
      <c r="A875" s="20">
        <v>882</v>
      </c>
      <c r="B875" s="1063">
        <v>40652</v>
      </c>
      <c r="C875" s="18" t="s">
        <v>188</v>
      </c>
      <c r="D875" s="11"/>
      <c r="E875" s="18" t="s">
        <v>2722</v>
      </c>
      <c r="F875" s="18" t="s">
        <v>2143</v>
      </c>
      <c r="G875" s="18" t="s">
        <v>3870</v>
      </c>
      <c r="H875" s="18" t="s">
        <v>2285</v>
      </c>
      <c r="I875" s="18" t="s">
        <v>574</v>
      </c>
      <c r="J875" s="18" t="s">
        <v>2286</v>
      </c>
      <c r="K875" s="18" t="s">
        <v>2287</v>
      </c>
      <c r="L875" s="18">
        <v>1608</v>
      </c>
      <c r="M875" s="18">
        <v>25</v>
      </c>
      <c r="N875" s="18">
        <v>1</v>
      </c>
      <c r="O875" s="18">
        <v>50</v>
      </c>
      <c r="P875" s="18">
        <v>5</v>
      </c>
      <c r="Q875" s="18">
        <f t="shared" si="34"/>
        <v>55</v>
      </c>
      <c r="R875" s="1215">
        <v>32.9</v>
      </c>
      <c r="S875" s="1215">
        <f t="shared" si="35"/>
        <v>1645</v>
      </c>
      <c r="T875" s="18" t="s">
        <v>3836</v>
      </c>
      <c r="U875" s="1859" t="s">
        <v>3094</v>
      </c>
      <c r="V875" s="18" t="s">
        <v>104</v>
      </c>
      <c r="W875" s="2028" t="s">
        <v>3871</v>
      </c>
      <c r="X875" s="18"/>
      <c r="Y875" s="4"/>
      <c r="Z875" s="4"/>
    </row>
    <row r="876" spans="1:26" ht="37.5" hidden="1">
      <c r="A876" s="20">
        <v>883</v>
      </c>
      <c r="B876" s="1063">
        <v>40653</v>
      </c>
      <c r="C876" s="18" t="s">
        <v>188</v>
      </c>
      <c r="D876" s="11"/>
      <c r="E876" s="18" t="s">
        <v>2722</v>
      </c>
      <c r="F876" s="18" t="s">
        <v>2143</v>
      </c>
      <c r="G876" s="18" t="s">
        <v>3872</v>
      </c>
      <c r="H876" s="18" t="s">
        <v>1092</v>
      </c>
      <c r="I876" s="18" t="s">
        <v>574</v>
      </c>
      <c r="J876" s="18" t="s">
        <v>2290</v>
      </c>
      <c r="K876" s="18" t="s">
        <v>2291</v>
      </c>
      <c r="L876" s="18">
        <v>1005</v>
      </c>
      <c r="M876" s="18">
        <v>5</v>
      </c>
      <c r="N876" s="18">
        <v>1</v>
      </c>
      <c r="O876" s="18">
        <v>10</v>
      </c>
      <c r="P876" s="18">
        <v>5</v>
      </c>
      <c r="Q876" s="18">
        <f t="shared" si="34"/>
        <v>15</v>
      </c>
      <c r="R876" s="1215">
        <v>5.6</v>
      </c>
      <c r="S876" s="1215">
        <f t="shared" si="35"/>
        <v>56</v>
      </c>
      <c r="T876" s="18" t="s">
        <v>3836</v>
      </c>
      <c r="U876" s="1859" t="s">
        <v>3094</v>
      </c>
      <c r="V876" s="18" t="s">
        <v>104</v>
      </c>
      <c r="W876" s="2028" t="s">
        <v>3873</v>
      </c>
      <c r="X876" s="18"/>
      <c r="Y876" s="4"/>
      <c r="Z876" s="4"/>
    </row>
    <row r="877" spans="1:26" ht="37.5" hidden="1">
      <c r="A877" s="20">
        <v>884</v>
      </c>
      <c r="B877" s="1063">
        <v>40654</v>
      </c>
      <c r="C877" s="18" t="s">
        <v>188</v>
      </c>
      <c r="D877" s="11"/>
      <c r="E877" s="18" t="s">
        <v>2722</v>
      </c>
      <c r="F877" s="18" t="s">
        <v>2143</v>
      </c>
      <c r="G877" s="18" t="s">
        <v>3874</v>
      </c>
      <c r="H877" s="18" t="s">
        <v>1092</v>
      </c>
      <c r="I877" s="18" t="s">
        <v>574</v>
      </c>
      <c r="J877" s="18" t="s">
        <v>2295</v>
      </c>
      <c r="K877" s="18" t="s">
        <v>2296</v>
      </c>
      <c r="L877" s="18">
        <v>1005</v>
      </c>
      <c r="M877" s="18">
        <v>25</v>
      </c>
      <c r="N877" s="18">
        <v>1</v>
      </c>
      <c r="O877" s="18">
        <v>40</v>
      </c>
      <c r="P877" s="18">
        <v>5</v>
      </c>
      <c r="Q877" s="18">
        <f t="shared" si="34"/>
        <v>45</v>
      </c>
      <c r="R877" s="1215">
        <v>5.6</v>
      </c>
      <c r="S877" s="1215">
        <f t="shared" si="35"/>
        <v>224</v>
      </c>
      <c r="T877" s="18" t="s">
        <v>3836</v>
      </c>
      <c r="U877" s="1859" t="s">
        <v>3094</v>
      </c>
      <c r="V877" s="18" t="s">
        <v>104</v>
      </c>
      <c r="W877" s="2028" t="s">
        <v>3875</v>
      </c>
      <c r="X877" s="18"/>
      <c r="Y877" s="4"/>
      <c r="Z877" s="4"/>
    </row>
    <row r="878" spans="1:26" ht="24.95" hidden="1">
      <c r="A878" s="20">
        <v>885</v>
      </c>
      <c r="B878" s="1063">
        <v>40655</v>
      </c>
      <c r="C878" s="18" t="s">
        <v>188</v>
      </c>
      <c r="D878" s="11"/>
      <c r="E878" s="18" t="s">
        <v>2722</v>
      </c>
      <c r="F878" s="18" t="s">
        <v>2143</v>
      </c>
      <c r="G878" s="18" t="s">
        <v>3876</v>
      </c>
      <c r="H878" s="18" t="s">
        <v>1092</v>
      </c>
      <c r="I878" s="18" t="s">
        <v>574</v>
      </c>
      <c r="J878" s="18" t="s">
        <v>2299</v>
      </c>
      <c r="K878" s="18" t="s">
        <v>2300</v>
      </c>
      <c r="L878" s="18">
        <v>1005</v>
      </c>
      <c r="M878" s="18">
        <v>5</v>
      </c>
      <c r="N878" s="18">
        <v>1</v>
      </c>
      <c r="O878" s="18">
        <v>10</v>
      </c>
      <c r="P878" s="18">
        <v>5</v>
      </c>
      <c r="Q878" s="18">
        <f t="shared" si="34"/>
        <v>15</v>
      </c>
      <c r="R878" s="1215">
        <v>5.6</v>
      </c>
      <c r="S878" s="1215">
        <f t="shared" si="35"/>
        <v>56</v>
      </c>
      <c r="T878" s="18" t="s">
        <v>3836</v>
      </c>
      <c r="U878" s="1859" t="s">
        <v>3094</v>
      </c>
      <c r="V878" s="18" t="s">
        <v>104</v>
      </c>
      <c r="W878" s="2028" t="s">
        <v>3877</v>
      </c>
      <c r="X878" s="18"/>
      <c r="Y878" s="4"/>
      <c r="Z878" s="4"/>
    </row>
    <row r="879" spans="1:26" ht="37.5" hidden="1">
      <c r="A879" s="20">
        <v>886</v>
      </c>
      <c r="B879" s="1063">
        <v>40656</v>
      </c>
      <c r="C879" s="18" t="s">
        <v>188</v>
      </c>
      <c r="D879" s="11"/>
      <c r="E879" s="18" t="s">
        <v>2722</v>
      </c>
      <c r="F879" s="18" t="s">
        <v>2143</v>
      </c>
      <c r="G879" s="18" t="s">
        <v>3878</v>
      </c>
      <c r="H879" s="18" t="s">
        <v>1092</v>
      </c>
      <c r="I879" s="18" t="s">
        <v>574</v>
      </c>
      <c r="J879" s="18" t="s">
        <v>3879</v>
      </c>
      <c r="K879" s="18" t="s">
        <v>3880</v>
      </c>
      <c r="L879" s="18">
        <v>1005</v>
      </c>
      <c r="M879" s="18">
        <v>20</v>
      </c>
      <c r="N879" s="18">
        <v>1</v>
      </c>
      <c r="O879" s="18">
        <v>30</v>
      </c>
      <c r="P879" s="18">
        <v>0</v>
      </c>
      <c r="Q879" s="18">
        <f t="shared" si="34"/>
        <v>30</v>
      </c>
      <c r="R879" s="1215">
        <v>5.6</v>
      </c>
      <c r="S879" s="1215">
        <f t="shared" si="35"/>
        <v>168</v>
      </c>
      <c r="T879" s="18" t="s">
        <v>3836</v>
      </c>
      <c r="U879" s="1859" t="s">
        <v>3094</v>
      </c>
      <c r="V879" s="18" t="s">
        <v>104</v>
      </c>
      <c r="W879" s="2028" t="s">
        <v>3881</v>
      </c>
      <c r="X879" s="18"/>
      <c r="Y879" s="4"/>
      <c r="Z879" s="4"/>
    </row>
    <row r="880" spans="1:26" ht="26.1" hidden="1">
      <c r="A880" s="20">
        <v>887</v>
      </c>
      <c r="B880" s="1063">
        <v>40657</v>
      </c>
      <c r="C880" s="18" t="s">
        <v>188</v>
      </c>
      <c r="D880" s="11"/>
      <c r="E880" s="18" t="s">
        <v>2722</v>
      </c>
      <c r="F880" s="18" t="s">
        <v>2143</v>
      </c>
      <c r="G880" s="18" t="s">
        <v>3882</v>
      </c>
      <c r="H880" s="18" t="s">
        <v>1092</v>
      </c>
      <c r="I880" s="18" t="s">
        <v>574</v>
      </c>
      <c r="J880" s="18" t="s">
        <v>2307</v>
      </c>
      <c r="K880" s="18" t="s">
        <v>2308</v>
      </c>
      <c r="L880" s="18">
        <v>1005</v>
      </c>
      <c r="M880" s="18">
        <v>10</v>
      </c>
      <c r="N880" s="18">
        <v>1</v>
      </c>
      <c r="O880" s="18">
        <v>15</v>
      </c>
      <c r="P880" s="18">
        <v>0</v>
      </c>
      <c r="Q880" s="18">
        <f t="shared" si="34"/>
        <v>15</v>
      </c>
      <c r="R880" s="1215">
        <v>5.6</v>
      </c>
      <c r="S880" s="1215">
        <f t="shared" si="35"/>
        <v>84</v>
      </c>
      <c r="T880" s="18" t="s">
        <v>3836</v>
      </c>
      <c r="U880" s="1859" t="s">
        <v>3094</v>
      </c>
      <c r="V880" s="18" t="s">
        <v>104</v>
      </c>
      <c r="W880" s="2021" t="s">
        <v>3883</v>
      </c>
      <c r="X880" s="18"/>
      <c r="Y880" s="4"/>
      <c r="Z880" s="4"/>
    </row>
    <row r="881" spans="1:26" ht="26.1" hidden="1">
      <c r="A881" s="20">
        <v>888</v>
      </c>
      <c r="B881" s="1063">
        <v>40658</v>
      </c>
      <c r="C881" s="18" t="s">
        <v>188</v>
      </c>
      <c r="D881" s="11"/>
      <c r="E881" s="18" t="s">
        <v>2722</v>
      </c>
      <c r="F881" s="18" t="s">
        <v>2143</v>
      </c>
      <c r="G881" s="18" t="s">
        <v>3884</v>
      </c>
      <c r="H881" s="18" t="s">
        <v>2285</v>
      </c>
      <c r="I881" s="18" t="s">
        <v>574</v>
      </c>
      <c r="J881" s="18" t="s">
        <v>3885</v>
      </c>
      <c r="K881" s="18" t="s">
        <v>3886</v>
      </c>
      <c r="L881" s="18">
        <v>1005</v>
      </c>
      <c r="M881" s="18">
        <v>5</v>
      </c>
      <c r="N881" s="18">
        <v>1</v>
      </c>
      <c r="O881" s="18">
        <v>10</v>
      </c>
      <c r="P881" s="18">
        <v>5</v>
      </c>
      <c r="Q881" s="18">
        <f t="shared" si="34"/>
        <v>15</v>
      </c>
      <c r="R881" s="1215">
        <v>32.9</v>
      </c>
      <c r="S881" s="1215">
        <f t="shared" si="35"/>
        <v>329</v>
      </c>
      <c r="T881" s="18" t="s">
        <v>3836</v>
      </c>
      <c r="U881" s="1859" t="s">
        <v>3094</v>
      </c>
      <c r="V881" s="18" t="s">
        <v>104</v>
      </c>
      <c r="W881" s="2021" t="s">
        <v>3887</v>
      </c>
      <c r="X881" s="18"/>
      <c r="Y881" s="4"/>
      <c r="Z881" s="4"/>
    </row>
    <row r="882" spans="1:26" ht="26.1" hidden="1">
      <c r="A882" s="20">
        <v>889</v>
      </c>
      <c r="B882" s="1063">
        <v>40659</v>
      </c>
      <c r="C882" s="18" t="s">
        <v>3888</v>
      </c>
      <c r="D882" s="11"/>
      <c r="E882" s="18" t="s">
        <v>2722</v>
      </c>
      <c r="F882" s="18" t="s">
        <v>2143</v>
      </c>
      <c r="G882" s="18" t="s">
        <v>3889</v>
      </c>
      <c r="H882" s="18" t="s">
        <v>3890</v>
      </c>
      <c r="I882" s="18" t="s">
        <v>574</v>
      </c>
      <c r="J882" s="18" t="s">
        <v>2242</v>
      </c>
      <c r="K882" s="18" t="s">
        <v>2243</v>
      </c>
      <c r="L882" s="18" t="s">
        <v>2244</v>
      </c>
      <c r="M882" s="18">
        <v>8</v>
      </c>
      <c r="N882" s="18">
        <v>1</v>
      </c>
      <c r="O882" s="18">
        <v>10</v>
      </c>
      <c r="P882" s="18">
        <v>2</v>
      </c>
      <c r="Q882" s="18">
        <f t="shared" si="34"/>
        <v>12</v>
      </c>
      <c r="R882" s="1215">
        <v>704.5</v>
      </c>
      <c r="S882" s="1215">
        <f t="shared" si="35"/>
        <v>7045</v>
      </c>
      <c r="T882" s="18" t="s">
        <v>3836</v>
      </c>
      <c r="U882" s="1859" t="s">
        <v>3094</v>
      </c>
      <c r="V882" s="18" t="s">
        <v>104</v>
      </c>
      <c r="W882" s="2021" t="s">
        <v>3891</v>
      </c>
      <c r="X882" s="18"/>
      <c r="Y882" s="4"/>
      <c r="Z882" s="4"/>
    </row>
    <row r="883" spans="1:26" ht="24.95" hidden="1">
      <c r="A883" s="20">
        <v>890</v>
      </c>
      <c r="B883" s="1063">
        <v>40660</v>
      </c>
      <c r="C883" s="18" t="s">
        <v>3892</v>
      </c>
      <c r="D883" s="11"/>
      <c r="E883" s="18" t="s">
        <v>2722</v>
      </c>
      <c r="F883" s="18" t="s">
        <v>2143</v>
      </c>
      <c r="G883" s="18" t="s">
        <v>3893</v>
      </c>
      <c r="H883" s="18" t="s">
        <v>1904</v>
      </c>
      <c r="I883" s="18" t="s">
        <v>574</v>
      </c>
      <c r="J883" s="18" t="s">
        <v>1905</v>
      </c>
      <c r="K883" s="18" t="s">
        <v>1906</v>
      </c>
      <c r="L883" s="18" t="s">
        <v>3894</v>
      </c>
      <c r="M883" s="18">
        <v>20</v>
      </c>
      <c r="N883" s="18">
        <v>1</v>
      </c>
      <c r="O883" s="18">
        <v>30</v>
      </c>
      <c r="P883" s="18">
        <v>0</v>
      </c>
      <c r="Q883" s="18">
        <f t="shared" si="34"/>
        <v>30</v>
      </c>
      <c r="R883" s="1215">
        <v>77</v>
      </c>
      <c r="S883" s="1215">
        <f t="shared" si="35"/>
        <v>2310</v>
      </c>
      <c r="T883" s="18" t="s">
        <v>3836</v>
      </c>
      <c r="U883" s="1859" t="s">
        <v>3094</v>
      </c>
      <c r="V883" s="18" t="s">
        <v>104</v>
      </c>
      <c r="W883" s="2028" t="s">
        <v>3895</v>
      </c>
      <c r="X883" s="18"/>
      <c r="Y883" s="4"/>
      <c r="Z883" s="4"/>
    </row>
    <row r="884" spans="1:26" ht="24.95" hidden="1">
      <c r="A884" s="20">
        <v>891</v>
      </c>
      <c r="B884" s="1063">
        <v>40661</v>
      </c>
      <c r="C884" s="18" t="s">
        <v>3896</v>
      </c>
      <c r="D884" s="11"/>
      <c r="E884" s="18" t="s">
        <v>2722</v>
      </c>
      <c r="F884" s="18" t="s">
        <v>2143</v>
      </c>
      <c r="G884" s="18" t="s">
        <v>3897</v>
      </c>
      <c r="H884" s="18" t="s">
        <v>3898</v>
      </c>
      <c r="I884" s="18" t="s">
        <v>574</v>
      </c>
      <c r="J884" s="18" t="s">
        <v>3899</v>
      </c>
      <c r="K884" s="18" t="s">
        <v>3900</v>
      </c>
      <c r="L884" s="18" t="s">
        <v>1</v>
      </c>
      <c r="M884" s="18">
        <v>40</v>
      </c>
      <c r="N884" s="18">
        <v>1</v>
      </c>
      <c r="O884" s="18">
        <v>50</v>
      </c>
      <c r="P884" s="18">
        <v>0</v>
      </c>
      <c r="Q884" s="18">
        <f t="shared" si="34"/>
        <v>50</v>
      </c>
      <c r="R884" s="1215">
        <v>120.56</v>
      </c>
      <c r="S884" s="1215">
        <f t="shared" si="35"/>
        <v>6028</v>
      </c>
      <c r="T884" s="18" t="s">
        <v>3836</v>
      </c>
      <c r="U884" s="1859" t="s">
        <v>3094</v>
      </c>
      <c r="V884" s="18" t="s">
        <v>104</v>
      </c>
      <c r="W884" s="2028" t="s">
        <v>3901</v>
      </c>
      <c r="X884" s="18"/>
      <c r="Y884" s="4"/>
      <c r="Z884" s="4"/>
    </row>
    <row r="885" spans="1:26" ht="26.1" hidden="1">
      <c r="A885" s="20">
        <v>892</v>
      </c>
      <c r="B885" s="1063">
        <v>40662</v>
      </c>
      <c r="C885" s="18" t="s">
        <v>3902</v>
      </c>
      <c r="D885" s="11"/>
      <c r="E885" s="18" t="s">
        <v>2722</v>
      </c>
      <c r="F885" s="18" t="s">
        <v>2143</v>
      </c>
      <c r="G885" s="18" t="s">
        <v>3903</v>
      </c>
      <c r="H885" s="18" t="s">
        <v>3898</v>
      </c>
      <c r="I885" s="18" t="s">
        <v>574</v>
      </c>
      <c r="J885" s="18" t="s">
        <v>3904</v>
      </c>
      <c r="K885" s="18" t="s">
        <v>3905</v>
      </c>
      <c r="L885" s="18" t="s">
        <v>3906</v>
      </c>
      <c r="M885" s="18">
        <v>10</v>
      </c>
      <c r="N885" s="18">
        <v>1</v>
      </c>
      <c r="O885" s="18">
        <v>10</v>
      </c>
      <c r="P885" s="18">
        <v>0</v>
      </c>
      <c r="Q885" s="18">
        <f t="shared" si="34"/>
        <v>10</v>
      </c>
      <c r="R885" s="1215">
        <v>709</v>
      </c>
      <c r="S885" s="1215">
        <f t="shared" si="35"/>
        <v>7090</v>
      </c>
      <c r="T885" s="18" t="s">
        <v>3836</v>
      </c>
      <c r="U885" s="1859" t="s">
        <v>3094</v>
      </c>
      <c r="V885" s="18" t="s">
        <v>104</v>
      </c>
      <c r="W885" s="2024" t="s">
        <v>3907</v>
      </c>
      <c r="X885" s="18"/>
      <c r="Y885" s="4"/>
      <c r="Z885" s="4"/>
    </row>
    <row r="886" spans="1:26" ht="37.5" hidden="1">
      <c r="A886" s="20">
        <v>893</v>
      </c>
      <c r="B886" s="1063">
        <v>40663</v>
      </c>
      <c r="C886" s="18" t="s">
        <v>3908</v>
      </c>
      <c r="D886" s="11"/>
      <c r="E886" s="18" t="s">
        <v>2722</v>
      </c>
      <c r="F886" s="18" t="s">
        <v>2143</v>
      </c>
      <c r="G886" s="18" t="s">
        <v>3909</v>
      </c>
      <c r="H886" s="18" t="s">
        <v>1498</v>
      </c>
      <c r="I886" s="18" t="s">
        <v>574</v>
      </c>
      <c r="J886" s="18" t="s">
        <v>3910</v>
      </c>
      <c r="K886" s="18" t="s">
        <v>3908</v>
      </c>
      <c r="L886" s="18" t="s">
        <v>532</v>
      </c>
      <c r="M886" s="18">
        <v>10</v>
      </c>
      <c r="N886" s="18">
        <v>1</v>
      </c>
      <c r="O886" s="18">
        <v>25</v>
      </c>
      <c r="P886" s="18">
        <v>0</v>
      </c>
      <c r="Q886" s="18">
        <f t="shared" si="34"/>
        <v>25</v>
      </c>
      <c r="R886" s="1215">
        <v>313.72000000000003</v>
      </c>
      <c r="S886" s="1215">
        <f t="shared" si="35"/>
        <v>7843.0000000000009</v>
      </c>
      <c r="T886" s="18" t="s">
        <v>3836</v>
      </c>
      <c r="U886" s="1859" t="s">
        <v>3094</v>
      </c>
      <c r="V886" s="18" t="s">
        <v>104</v>
      </c>
      <c r="W886" s="2028" t="s">
        <v>3911</v>
      </c>
      <c r="X886" s="18"/>
      <c r="Y886" s="4"/>
      <c r="Z886" s="4"/>
    </row>
    <row r="887" spans="1:26" ht="26.1" hidden="1">
      <c r="A887" s="20">
        <v>894</v>
      </c>
      <c r="B887" s="1063">
        <v>40664</v>
      </c>
      <c r="C887" s="18" t="s">
        <v>3912</v>
      </c>
      <c r="D887" s="11"/>
      <c r="E887" s="18" t="s">
        <v>2722</v>
      </c>
      <c r="F887" s="18" t="s">
        <v>2143</v>
      </c>
      <c r="G887" s="18" t="s">
        <v>3913</v>
      </c>
      <c r="H887" s="18" t="s">
        <v>1853</v>
      </c>
      <c r="I887" s="18" t="s">
        <v>574</v>
      </c>
      <c r="J887" s="18" t="s">
        <v>599</v>
      </c>
      <c r="K887" s="18" t="s">
        <v>1991</v>
      </c>
      <c r="L887" s="18" t="s">
        <v>3914</v>
      </c>
      <c r="M887" s="18">
        <v>10</v>
      </c>
      <c r="N887" s="18">
        <v>1</v>
      </c>
      <c r="O887" s="18">
        <v>20</v>
      </c>
      <c r="P887" s="18">
        <v>0</v>
      </c>
      <c r="Q887" s="18">
        <f t="shared" si="34"/>
        <v>20</v>
      </c>
      <c r="R887" s="1215">
        <v>11.4</v>
      </c>
      <c r="S887" s="1215">
        <f t="shared" si="35"/>
        <v>228</v>
      </c>
      <c r="T887" s="18" t="s">
        <v>3836</v>
      </c>
      <c r="U887" s="1859" t="s">
        <v>3094</v>
      </c>
      <c r="V887" s="18" t="s">
        <v>104</v>
      </c>
      <c r="W887" s="2021" t="s">
        <v>3915</v>
      </c>
      <c r="X887" s="18"/>
      <c r="Y887" s="4"/>
      <c r="Z887" s="4"/>
    </row>
    <row r="888" spans="1:26" ht="26.1" hidden="1">
      <c r="A888" s="20">
        <v>895</v>
      </c>
      <c r="B888" s="1063">
        <v>40665</v>
      </c>
      <c r="C888" s="18" t="s">
        <v>3916</v>
      </c>
      <c r="D888" s="11"/>
      <c r="E888" s="18" t="s">
        <v>2722</v>
      </c>
      <c r="F888" s="18" t="s">
        <v>2143</v>
      </c>
      <c r="G888" s="18" t="s">
        <v>3917</v>
      </c>
      <c r="H888" s="18" t="s">
        <v>1715</v>
      </c>
      <c r="I888" s="18" t="s">
        <v>574</v>
      </c>
      <c r="J888" s="18" t="s">
        <v>2249</v>
      </c>
      <c r="K888" s="18" t="s">
        <v>2250</v>
      </c>
      <c r="L888" s="18" t="s">
        <v>3918</v>
      </c>
      <c r="M888" s="18">
        <v>5</v>
      </c>
      <c r="N888" s="18">
        <v>1</v>
      </c>
      <c r="O888" s="18">
        <v>5</v>
      </c>
      <c r="P888" s="18">
        <v>6</v>
      </c>
      <c r="Q888" s="18">
        <f t="shared" si="34"/>
        <v>11</v>
      </c>
      <c r="R888" s="1215">
        <v>502</v>
      </c>
      <c r="S888" s="1215">
        <f t="shared" si="35"/>
        <v>2510</v>
      </c>
      <c r="T888" s="18" t="s">
        <v>3836</v>
      </c>
      <c r="U888" s="1859" t="s">
        <v>3094</v>
      </c>
      <c r="V888" s="18" t="s">
        <v>104</v>
      </c>
      <c r="W888" s="2021" t="s">
        <v>3919</v>
      </c>
      <c r="X888" s="18"/>
      <c r="Y888" s="4"/>
      <c r="Z888" s="4"/>
    </row>
    <row r="889" spans="1:26" ht="26.1" hidden="1">
      <c r="A889" s="20">
        <v>896</v>
      </c>
      <c r="B889" s="1063">
        <v>40666</v>
      </c>
      <c r="C889" s="18" t="s">
        <v>3920</v>
      </c>
      <c r="D889" s="11"/>
      <c r="E889" s="18" t="s">
        <v>2722</v>
      </c>
      <c r="F889" s="18" t="s">
        <v>2143</v>
      </c>
      <c r="G889" s="18" t="s">
        <v>3921</v>
      </c>
      <c r="H889" s="18" t="s">
        <v>1715</v>
      </c>
      <c r="I889" s="18" t="s">
        <v>574</v>
      </c>
      <c r="J889" s="18" t="s">
        <v>2276</v>
      </c>
      <c r="K889" s="18" t="s">
        <v>2277</v>
      </c>
      <c r="L889" s="18" t="s">
        <v>1671</v>
      </c>
      <c r="M889" s="18">
        <v>5</v>
      </c>
      <c r="N889" s="18">
        <v>1</v>
      </c>
      <c r="O889" s="18">
        <v>25</v>
      </c>
      <c r="P889" s="18">
        <v>5</v>
      </c>
      <c r="Q889" s="18">
        <f t="shared" si="34"/>
        <v>30</v>
      </c>
      <c r="R889" s="1215">
        <v>11.04</v>
      </c>
      <c r="S889" s="1215">
        <f t="shared" si="35"/>
        <v>276</v>
      </c>
      <c r="T889" s="18" t="s">
        <v>3836</v>
      </c>
      <c r="U889" s="1859" t="s">
        <v>3094</v>
      </c>
      <c r="V889" s="18" t="s">
        <v>104</v>
      </c>
      <c r="W889" s="2021" t="s">
        <v>3922</v>
      </c>
      <c r="X889" s="18"/>
      <c r="Y889" s="4"/>
      <c r="Z889" s="4"/>
    </row>
    <row r="890" spans="1:26" ht="26.1" hidden="1">
      <c r="A890" s="20">
        <v>897</v>
      </c>
      <c r="B890" s="1063">
        <v>40667</v>
      </c>
      <c r="C890" s="18" t="s">
        <v>3923</v>
      </c>
      <c r="D890" s="11"/>
      <c r="E890" s="18" t="s">
        <v>2722</v>
      </c>
      <c r="F890" s="18" t="s">
        <v>2143</v>
      </c>
      <c r="G890" s="18" t="s">
        <v>3924</v>
      </c>
      <c r="H890" s="18" t="s">
        <v>2280</v>
      </c>
      <c r="I890" s="18" t="s">
        <v>574</v>
      </c>
      <c r="J890" s="18" t="s">
        <v>512</v>
      </c>
      <c r="K890" s="18" t="s">
        <v>2281</v>
      </c>
      <c r="L890" s="18" t="s">
        <v>513</v>
      </c>
      <c r="M890" s="18">
        <v>5</v>
      </c>
      <c r="N890" s="18">
        <v>1</v>
      </c>
      <c r="O890" s="18">
        <v>30</v>
      </c>
      <c r="P890" s="18">
        <v>0</v>
      </c>
      <c r="Q890" s="18">
        <f t="shared" si="34"/>
        <v>30</v>
      </c>
      <c r="R890" s="1215">
        <v>58.8</v>
      </c>
      <c r="S890" s="1215">
        <f t="shared" si="35"/>
        <v>1764</v>
      </c>
      <c r="T890" s="18" t="s">
        <v>3836</v>
      </c>
      <c r="U890" s="1859" t="s">
        <v>3094</v>
      </c>
      <c r="V890" s="18" t="s">
        <v>104</v>
      </c>
      <c r="W890" s="2021" t="s">
        <v>3925</v>
      </c>
      <c r="X890" s="18"/>
      <c r="Y890" s="4"/>
      <c r="Z890" s="4"/>
    </row>
    <row r="891" spans="1:26" ht="26.1" hidden="1">
      <c r="A891" s="20">
        <v>898</v>
      </c>
      <c r="B891" s="1063">
        <v>40668</v>
      </c>
      <c r="C891" s="18" t="s">
        <v>3926</v>
      </c>
      <c r="D891" s="11"/>
      <c r="E891" s="18" t="s">
        <v>2722</v>
      </c>
      <c r="F891" s="18" t="s">
        <v>2143</v>
      </c>
      <c r="G891" s="18" t="s">
        <v>3927</v>
      </c>
      <c r="H891" s="18" t="s">
        <v>2255</v>
      </c>
      <c r="I891" s="18" t="s">
        <v>574</v>
      </c>
      <c r="J891" s="18" t="s">
        <v>2256</v>
      </c>
      <c r="K891" s="18" t="s">
        <v>2257</v>
      </c>
      <c r="L891" s="18" t="s">
        <v>1</v>
      </c>
      <c r="M891" s="18">
        <v>5</v>
      </c>
      <c r="N891" s="18">
        <v>1</v>
      </c>
      <c r="O891" s="18">
        <v>10</v>
      </c>
      <c r="P891" s="18">
        <v>5</v>
      </c>
      <c r="Q891" s="18">
        <f t="shared" si="34"/>
        <v>15</v>
      </c>
      <c r="R891" s="1215">
        <v>120.6</v>
      </c>
      <c r="S891" s="1215">
        <f t="shared" si="35"/>
        <v>1206</v>
      </c>
      <c r="T891" s="18" t="s">
        <v>3836</v>
      </c>
      <c r="U891" s="1859" t="s">
        <v>3094</v>
      </c>
      <c r="V891" s="18" t="s">
        <v>104</v>
      </c>
      <c r="W891" s="2021" t="s">
        <v>3928</v>
      </c>
      <c r="X891" s="18"/>
      <c r="Y891" s="4"/>
      <c r="Z891" s="4"/>
    </row>
    <row r="892" spans="1:26" ht="37.5" hidden="1">
      <c r="A892" s="20">
        <v>899</v>
      </c>
      <c r="B892" s="1063">
        <v>40669</v>
      </c>
      <c r="C892" s="18" t="s">
        <v>3929</v>
      </c>
      <c r="D892" s="11"/>
      <c r="E892" s="18" t="s">
        <v>2722</v>
      </c>
      <c r="F892" s="18" t="s">
        <v>2143</v>
      </c>
      <c r="G892" s="18" t="s">
        <v>3930</v>
      </c>
      <c r="H892" s="18" t="s">
        <v>452</v>
      </c>
      <c r="I892" s="18" t="s">
        <v>574</v>
      </c>
      <c r="J892" s="18" t="s">
        <v>3931</v>
      </c>
      <c r="K892" s="18" t="s">
        <v>3932</v>
      </c>
      <c r="L892" s="18" t="s">
        <v>1</v>
      </c>
      <c r="M892" s="18">
        <v>1</v>
      </c>
      <c r="N892" s="18">
        <v>1</v>
      </c>
      <c r="O892" s="18">
        <v>1</v>
      </c>
      <c r="P892" s="18">
        <v>0</v>
      </c>
      <c r="Q892" s="18">
        <v>1</v>
      </c>
      <c r="R892" s="1215">
        <v>14741</v>
      </c>
      <c r="S892" s="1215">
        <v>14741</v>
      </c>
      <c r="T892" s="18" t="s">
        <v>929</v>
      </c>
      <c r="U892" s="1870" t="s">
        <v>3933</v>
      </c>
      <c r="V892" s="18" t="s">
        <v>104</v>
      </c>
      <c r="W892" s="2008" t="s">
        <v>3934</v>
      </c>
      <c r="X892" s="18"/>
      <c r="Y892" s="4"/>
      <c r="Z892" s="4"/>
    </row>
    <row r="893" spans="1:26" ht="37.5" hidden="1">
      <c r="A893" s="20">
        <v>900</v>
      </c>
      <c r="B893" s="1063">
        <v>40670</v>
      </c>
      <c r="C893" s="18" t="s">
        <v>3935</v>
      </c>
      <c r="D893" s="11"/>
      <c r="E893" s="18" t="s">
        <v>2722</v>
      </c>
      <c r="F893" s="18" t="s">
        <v>2143</v>
      </c>
      <c r="G893" s="102" t="s">
        <v>3936</v>
      </c>
      <c r="H893" s="18" t="s">
        <v>452</v>
      </c>
      <c r="I893" s="18" t="s">
        <v>574</v>
      </c>
      <c r="J893" s="18" t="s">
        <v>3937</v>
      </c>
      <c r="K893" s="18" t="s">
        <v>3938</v>
      </c>
      <c r="L893" s="102" t="s">
        <v>2099</v>
      </c>
      <c r="M893" s="18">
        <v>3</v>
      </c>
      <c r="N893" s="18">
        <v>1</v>
      </c>
      <c r="O893" s="18">
        <v>3</v>
      </c>
      <c r="P893" s="18">
        <v>0</v>
      </c>
      <c r="Q893" s="18">
        <v>3</v>
      </c>
      <c r="R893" s="1223">
        <v>565</v>
      </c>
      <c r="S893" s="1215">
        <f t="shared" ref="S893:S897" si="36">R893*O893</f>
        <v>1695</v>
      </c>
      <c r="T893" s="18" t="s">
        <v>929</v>
      </c>
      <c r="U893" s="1870" t="s">
        <v>3933</v>
      </c>
      <c r="V893" s="18" t="s">
        <v>104</v>
      </c>
      <c r="W893" s="2008" t="s">
        <v>3939</v>
      </c>
      <c r="X893" s="18"/>
      <c r="Y893" s="4"/>
      <c r="Z893" s="4"/>
    </row>
    <row r="894" spans="1:26" ht="37.5" hidden="1">
      <c r="A894" s="20">
        <v>901</v>
      </c>
      <c r="B894" s="1063">
        <v>40671</v>
      </c>
      <c r="C894" s="18" t="s">
        <v>3940</v>
      </c>
      <c r="D894" s="11"/>
      <c r="E894" s="18" t="s">
        <v>2722</v>
      </c>
      <c r="F894" s="18" t="s">
        <v>2143</v>
      </c>
      <c r="G894" s="18" t="s">
        <v>3941</v>
      </c>
      <c r="H894" s="18" t="s">
        <v>3898</v>
      </c>
      <c r="I894" s="18" t="s">
        <v>574</v>
      </c>
      <c r="J894" s="18" t="s">
        <v>3942</v>
      </c>
      <c r="K894" s="18" t="s">
        <v>3943</v>
      </c>
      <c r="L894" s="18" t="s">
        <v>3906</v>
      </c>
      <c r="M894" s="18">
        <v>1</v>
      </c>
      <c r="N894" s="18">
        <v>1</v>
      </c>
      <c r="O894" s="18">
        <v>1</v>
      </c>
      <c r="P894" s="18">
        <v>0</v>
      </c>
      <c r="Q894" s="18">
        <v>1</v>
      </c>
      <c r="R894" s="1215">
        <v>671</v>
      </c>
      <c r="S894" s="1215">
        <f t="shared" si="36"/>
        <v>671</v>
      </c>
      <c r="T894" s="18" t="s">
        <v>929</v>
      </c>
      <c r="U894" s="1859" t="s">
        <v>3094</v>
      </c>
      <c r="V894" s="18" t="s">
        <v>104</v>
      </c>
      <c r="W894" s="2028" t="s">
        <v>3944</v>
      </c>
      <c r="X894" s="18"/>
      <c r="Y894" s="4"/>
      <c r="Z894" s="4"/>
    </row>
    <row r="895" spans="1:26" ht="14.1" hidden="1">
      <c r="A895" s="20">
        <v>902</v>
      </c>
      <c r="B895" s="1063">
        <v>40672</v>
      </c>
      <c r="C895" s="18" t="s">
        <v>3945</v>
      </c>
      <c r="D895" s="11"/>
      <c r="E895" s="18" t="s">
        <v>1602</v>
      </c>
      <c r="F895" s="18" t="s">
        <v>1290</v>
      </c>
      <c r="G895" s="18" t="s">
        <v>3946</v>
      </c>
      <c r="H895" s="18" t="s">
        <v>3947</v>
      </c>
      <c r="I895" s="18" t="s">
        <v>76</v>
      </c>
      <c r="J895" s="18">
        <v>223811</v>
      </c>
      <c r="K895" s="18" t="s">
        <v>1</v>
      </c>
      <c r="L895" s="18" t="s">
        <v>1</v>
      </c>
      <c r="M895" s="18">
        <v>20</v>
      </c>
      <c r="N895" s="18">
        <v>20</v>
      </c>
      <c r="O895" s="18">
        <v>20</v>
      </c>
      <c r="P895" s="18">
        <v>0</v>
      </c>
      <c r="Q895" s="18">
        <f>P895+O895</f>
        <v>20</v>
      </c>
      <c r="R895" s="1215">
        <v>57.55</v>
      </c>
      <c r="S895" s="1215">
        <f t="shared" si="36"/>
        <v>1151</v>
      </c>
      <c r="T895" s="18" t="s">
        <v>1009</v>
      </c>
      <c r="U895" s="1859" t="s">
        <v>1</v>
      </c>
      <c r="V895" s="18" t="s">
        <v>1</v>
      </c>
      <c r="W895" s="2028" t="s">
        <v>3948</v>
      </c>
      <c r="X895" s="18"/>
      <c r="Y895" s="4"/>
      <c r="Z895" s="4"/>
    </row>
    <row r="896" spans="1:26" ht="26.1" hidden="1">
      <c r="A896" s="20">
        <v>903</v>
      </c>
      <c r="B896" s="1063">
        <v>40673</v>
      </c>
      <c r="C896" s="18" t="s">
        <v>3940</v>
      </c>
      <c r="D896" s="11" t="s">
        <v>6</v>
      </c>
      <c r="E896" s="18" t="s">
        <v>2722</v>
      </c>
      <c r="F896" s="18" t="s">
        <v>2143</v>
      </c>
      <c r="G896" s="18" t="s">
        <v>3949</v>
      </c>
      <c r="H896" s="18" t="s">
        <v>2920</v>
      </c>
      <c r="I896" s="18" t="s">
        <v>574</v>
      </c>
      <c r="J896" s="18" t="s">
        <v>3950</v>
      </c>
      <c r="K896" s="18">
        <v>852</v>
      </c>
      <c r="L896" s="18" t="s">
        <v>3951</v>
      </c>
      <c r="M896" s="18">
        <v>1</v>
      </c>
      <c r="N896" s="18">
        <v>1</v>
      </c>
      <c r="O896" s="18">
        <v>1</v>
      </c>
      <c r="P896" s="18">
        <v>0</v>
      </c>
      <c r="Q896" s="18">
        <v>1</v>
      </c>
      <c r="R896" s="1215">
        <v>471</v>
      </c>
      <c r="S896" s="1215">
        <f t="shared" si="36"/>
        <v>471</v>
      </c>
      <c r="T896" s="18" t="s">
        <v>929</v>
      </c>
      <c r="U896" s="1859" t="s">
        <v>3094</v>
      </c>
      <c r="V896" s="18" t="s">
        <v>104</v>
      </c>
      <c r="W896" s="2021" t="s">
        <v>3952</v>
      </c>
      <c r="X896" s="18"/>
      <c r="Y896" s="4"/>
      <c r="Z896" s="4"/>
    </row>
    <row r="897" spans="1:26" ht="14.1" hidden="1">
      <c r="A897" s="20">
        <v>904</v>
      </c>
      <c r="B897" s="1063">
        <v>40674</v>
      </c>
      <c r="C897" s="18" t="s">
        <v>3953</v>
      </c>
      <c r="D897" s="11" t="s">
        <v>6</v>
      </c>
      <c r="E897" s="18" t="s">
        <v>2722</v>
      </c>
      <c r="F897" s="18" t="s">
        <v>2143</v>
      </c>
      <c r="G897" s="18" t="s">
        <v>3954</v>
      </c>
      <c r="H897" s="18" t="s">
        <v>287</v>
      </c>
      <c r="I897" s="18" t="s">
        <v>287</v>
      </c>
      <c r="J897" s="18">
        <v>19052100185</v>
      </c>
      <c r="K897" s="18">
        <v>19052100185</v>
      </c>
      <c r="L897" s="18" t="s">
        <v>1</v>
      </c>
      <c r="M897" s="18">
        <v>3</v>
      </c>
      <c r="N897" s="18">
        <v>1</v>
      </c>
      <c r="O897" s="18">
        <v>3</v>
      </c>
      <c r="P897" s="18">
        <v>0</v>
      </c>
      <c r="Q897" s="18">
        <f>P897+O897</f>
        <v>3</v>
      </c>
      <c r="R897" s="1215">
        <f>60853/3</f>
        <v>20284.333333333332</v>
      </c>
      <c r="S897" s="1215">
        <f t="shared" si="36"/>
        <v>60853</v>
      </c>
      <c r="T897" s="18" t="s">
        <v>929</v>
      </c>
      <c r="U897" s="1859" t="s">
        <v>3094</v>
      </c>
      <c r="V897" s="18" t="s">
        <v>104</v>
      </c>
      <c r="W897" s="2020"/>
      <c r="X897" s="18"/>
      <c r="Y897" s="4"/>
      <c r="Z897" s="4"/>
    </row>
    <row r="898" spans="1:26" ht="24.95" hidden="1">
      <c r="A898" s="20">
        <v>905</v>
      </c>
      <c r="B898" s="1063">
        <v>40675</v>
      </c>
      <c r="C898" s="18" t="s">
        <v>3955</v>
      </c>
      <c r="D898" s="11"/>
      <c r="E898" s="18" t="s">
        <v>2722</v>
      </c>
      <c r="F898" s="18" t="s">
        <v>2876</v>
      </c>
      <c r="G898" s="90" t="s">
        <v>3956</v>
      </c>
      <c r="H898" s="18" t="s">
        <v>3957</v>
      </c>
      <c r="I898" s="18" t="s">
        <v>281</v>
      </c>
      <c r="J898" s="18" t="s">
        <v>3958</v>
      </c>
      <c r="K898" s="18" t="s">
        <v>3959</v>
      </c>
      <c r="L898" s="18" t="s">
        <v>3960</v>
      </c>
      <c r="M898" s="18">
        <v>10</v>
      </c>
      <c r="N898" s="18">
        <v>1</v>
      </c>
      <c r="O898" s="18">
        <v>25</v>
      </c>
      <c r="P898" s="18">
        <v>0</v>
      </c>
      <c r="Q898" s="18">
        <v>15</v>
      </c>
      <c r="R898" s="1215">
        <v>17.239999999999998</v>
      </c>
      <c r="S898" s="1215">
        <f>25*R898</f>
        <v>430.99999999999994</v>
      </c>
      <c r="T898" s="18" t="s">
        <v>3961</v>
      </c>
      <c r="U898" s="1859" t="s">
        <v>3962</v>
      </c>
      <c r="V898" s="18" t="s">
        <v>104</v>
      </c>
      <c r="W898" s="2028" t="s">
        <v>3963</v>
      </c>
      <c r="X898" s="18"/>
      <c r="Y898" s="4"/>
      <c r="Z898" s="4"/>
    </row>
    <row r="899" spans="1:26" ht="39" hidden="1">
      <c r="A899" s="20">
        <v>906</v>
      </c>
      <c r="B899" s="1063">
        <v>40676</v>
      </c>
      <c r="C899" s="58" t="s">
        <v>329</v>
      </c>
      <c r="D899" s="11"/>
      <c r="E899" s="18" t="s">
        <v>2722</v>
      </c>
      <c r="F899" s="18" t="s">
        <v>2876</v>
      </c>
      <c r="G899" s="58" t="s">
        <v>3548</v>
      </c>
      <c r="H899" s="81" t="s">
        <v>3243</v>
      </c>
      <c r="I899" s="58" t="s">
        <v>574</v>
      </c>
      <c r="J899" s="58" t="s">
        <v>3549</v>
      </c>
      <c r="K899" s="58" t="s">
        <v>3550</v>
      </c>
      <c r="L899" s="58" t="s">
        <v>3551</v>
      </c>
      <c r="M899" s="58">
        <v>88</v>
      </c>
      <c r="N899" s="58">
        <v>1</v>
      </c>
      <c r="O899" s="58">
        <v>30</v>
      </c>
      <c r="P899" s="58">
        <v>70</v>
      </c>
      <c r="Q899" s="58">
        <v>12</v>
      </c>
      <c r="R899" s="1219">
        <v>36</v>
      </c>
      <c r="S899" s="1219">
        <v>1080</v>
      </c>
      <c r="T899" s="58" t="s">
        <v>929</v>
      </c>
      <c r="U899" s="1865" t="s">
        <v>3619</v>
      </c>
      <c r="V899" s="58" t="s">
        <v>104</v>
      </c>
      <c r="W899" s="2029" t="s">
        <v>3553</v>
      </c>
      <c r="X899" s="18"/>
      <c r="Y899" s="4"/>
      <c r="Z899" s="4"/>
    </row>
    <row r="900" spans="1:26" ht="39" hidden="1">
      <c r="A900" s="20">
        <v>907</v>
      </c>
      <c r="B900" s="1063">
        <v>40677</v>
      </c>
      <c r="C900" s="58" t="s">
        <v>329</v>
      </c>
      <c r="D900" s="11"/>
      <c r="E900" s="18" t="s">
        <v>2722</v>
      </c>
      <c r="F900" s="18" t="s">
        <v>2876</v>
      </c>
      <c r="G900" s="81" t="s">
        <v>3214</v>
      </c>
      <c r="H900" s="81" t="s">
        <v>1653</v>
      </c>
      <c r="I900" s="58" t="s">
        <v>574</v>
      </c>
      <c r="J900" s="81" t="s">
        <v>1654</v>
      </c>
      <c r="K900" s="81" t="s">
        <v>3215</v>
      </c>
      <c r="L900" s="58" t="s">
        <v>3658</v>
      </c>
      <c r="M900" s="81">
        <v>10</v>
      </c>
      <c r="N900" s="81">
        <v>1</v>
      </c>
      <c r="O900" s="81">
        <v>10</v>
      </c>
      <c r="P900" s="81">
        <v>0</v>
      </c>
      <c r="Q900" s="58">
        <v>0</v>
      </c>
      <c r="R900" s="1219">
        <v>17</v>
      </c>
      <c r="S900" s="1219">
        <v>170</v>
      </c>
      <c r="T900" s="58" t="s">
        <v>929</v>
      </c>
      <c r="U900" s="1865" t="s">
        <v>3619</v>
      </c>
      <c r="V900" s="58" t="s">
        <v>104</v>
      </c>
      <c r="W900" s="2029" t="s">
        <v>3964</v>
      </c>
      <c r="X900" s="18"/>
      <c r="Y900" s="4"/>
      <c r="Z900" s="4"/>
    </row>
    <row r="901" spans="1:26" ht="39" hidden="1">
      <c r="A901" s="20">
        <v>908</v>
      </c>
      <c r="B901" s="1063">
        <v>40678</v>
      </c>
      <c r="C901" s="58" t="s">
        <v>329</v>
      </c>
      <c r="D901" s="11"/>
      <c r="E901" s="18" t="s">
        <v>2722</v>
      </c>
      <c r="F901" s="18" t="s">
        <v>2876</v>
      </c>
      <c r="G901" s="81" t="s">
        <v>3965</v>
      </c>
      <c r="H901" s="81" t="s">
        <v>1653</v>
      </c>
      <c r="I901" s="58" t="s">
        <v>574</v>
      </c>
      <c r="J901" s="81" t="s">
        <v>3966</v>
      </c>
      <c r="K901" s="81" t="s">
        <v>3967</v>
      </c>
      <c r="L901" s="58" t="s">
        <v>3658</v>
      </c>
      <c r="M901" s="81">
        <v>20</v>
      </c>
      <c r="N901" s="81">
        <v>1</v>
      </c>
      <c r="O901" s="81">
        <v>20</v>
      </c>
      <c r="P901" s="81">
        <v>0</v>
      </c>
      <c r="Q901" s="58">
        <v>0</v>
      </c>
      <c r="R901" s="1219">
        <v>37</v>
      </c>
      <c r="S901" s="1219">
        <v>740</v>
      </c>
      <c r="T901" s="58" t="s">
        <v>929</v>
      </c>
      <c r="U901" s="1865" t="s">
        <v>3619</v>
      </c>
      <c r="V901" s="58" t="s">
        <v>104</v>
      </c>
      <c r="W901" s="2029" t="s">
        <v>3968</v>
      </c>
      <c r="X901" s="18"/>
      <c r="Y901" s="4"/>
      <c r="Z901" s="4"/>
    </row>
    <row r="902" spans="1:26" ht="26.1" hidden="1">
      <c r="A902" s="20">
        <v>909</v>
      </c>
      <c r="B902" s="1063">
        <v>40679</v>
      </c>
      <c r="C902" s="58" t="s">
        <v>329</v>
      </c>
      <c r="D902" s="11"/>
      <c r="E902" s="18" t="s">
        <v>2722</v>
      </c>
      <c r="F902" s="18" t="s">
        <v>2876</v>
      </c>
      <c r="G902" s="81" t="s">
        <v>3969</v>
      </c>
      <c r="H902" s="81" t="s">
        <v>651</v>
      </c>
      <c r="I902" s="58" t="s">
        <v>574</v>
      </c>
      <c r="J902" s="81" t="s">
        <v>3970</v>
      </c>
      <c r="K902" s="81" t="s">
        <v>3971</v>
      </c>
      <c r="L902" s="58" t="s">
        <v>3658</v>
      </c>
      <c r="M902" s="81">
        <v>20</v>
      </c>
      <c r="N902" s="81">
        <v>1</v>
      </c>
      <c r="O902" s="81">
        <v>20</v>
      </c>
      <c r="P902" s="81">
        <v>0</v>
      </c>
      <c r="Q902" s="58">
        <v>0</v>
      </c>
      <c r="R902" s="1219">
        <v>26</v>
      </c>
      <c r="S902" s="1219">
        <v>520</v>
      </c>
      <c r="T902" s="58" t="s">
        <v>929</v>
      </c>
      <c r="U902" s="1865" t="s">
        <v>3619</v>
      </c>
      <c r="V902" s="58" t="s">
        <v>104</v>
      </c>
      <c r="W902" s="2029" t="s">
        <v>3972</v>
      </c>
      <c r="X902" s="18"/>
      <c r="Y902" s="4"/>
      <c r="Z902" s="4"/>
    </row>
    <row r="903" spans="1:26" ht="39" hidden="1">
      <c r="A903" s="20">
        <v>910</v>
      </c>
      <c r="B903" s="1063">
        <v>40680</v>
      </c>
      <c r="C903" s="58" t="s">
        <v>329</v>
      </c>
      <c r="D903" s="11"/>
      <c r="E903" s="18" t="s">
        <v>2722</v>
      </c>
      <c r="F903" s="18" t="s">
        <v>2876</v>
      </c>
      <c r="G903" s="81" t="s">
        <v>3973</v>
      </c>
      <c r="H903" s="81" t="s">
        <v>2285</v>
      </c>
      <c r="I903" s="58" t="s">
        <v>574</v>
      </c>
      <c r="J903" s="81" t="s">
        <v>3974</v>
      </c>
      <c r="K903" s="81" t="s">
        <v>3975</v>
      </c>
      <c r="L903" s="58" t="s">
        <v>3658</v>
      </c>
      <c r="M903" s="81">
        <v>30</v>
      </c>
      <c r="N903" s="81">
        <v>1</v>
      </c>
      <c r="O903" s="81">
        <v>30</v>
      </c>
      <c r="P903" s="81">
        <v>0</v>
      </c>
      <c r="Q903" s="58">
        <v>0</v>
      </c>
      <c r="R903" s="1219">
        <v>226</v>
      </c>
      <c r="S903" s="1219">
        <v>6780</v>
      </c>
      <c r="T903" s="58" t="s">
        <v>929</v>
      </c>
      <c r="U903" s="1865" t="s">
        <v>3619</v>
      </c>
      <c r="V903" s="58" t="s">
        <v>104</v>
      </c>
      <c r="W903" s="2029" t="s">
        <v>3976</v>
      </c>
      <c r="X903" s="18"/>
      <c r="Y903" s="4"/>
      <c r="Z903" s="4"/>
    </row>
    <row r="904" spans="1:26" ht="26.1" hidden="1">
      <c r="A904" s="20">
        <v>911</v>
      </c>
      <c r="B904" s="1063">
        <v>40681</v>
      </c>
      <c r="C904" s="103" t="s">
        <v>982</v>
      </c>
      <c r="D904" s="11"/>
      <c r="E904" s="18" t="s">
        <v>2722</v>
      </c>
      <c r="F904" s="18" t="s">
        <v>2876</v>
      </c>
      <c r="G904" s="103" t="s">
        <v>3977</v>
      </c>
      <c r="H904" s="103" t="s">
        <v>984</v>
      </c>
      <c r="I904" s="103" t="s">
        <v>574</v>
      </c>
      <c r="J904" s="103" t="s">
        <v>985</v>
      </c>
      <c r="K904" s="103" t="s">
        <v>986</v>
      </c>
      <c r="L904" s="103" t="s">
        <v>987</v>
      </c>
      <c r="M904" s="103">
        <v>5</v>
      </c>
      <c r="N904" s="103">
        <v>1</v>
      </c>
      <c r="O904" s="103">
        <v>5</v>
      </c>
      <c r="P904" s="103">
        <v>0</v>
      </c>
      <c r="Q904" s="103">
        <v>0</v>
      </c>
      <c r="R904" s="1224">
        <v>646</v>
      </c>
      <c r="S904" s="1224">
        <f>R904*O904</f>
        <v>3230</v>
      </c>
      <c r="T904" s="58" t="s">
        <v>929</v>
      </c>
      <c r="U904" s="1865" t="s">
        <v>3619</v>
      </c>
      <c r="V904" s="58" t="s">
        <v>104</v>
      </c>
      <c r="W904" s="2034" t="s">
        <v>988</v>
      </c>
      <c r="X904" s="18"/>
      <c r="Y904" s="4"/>
      <c r="Z904" s="4"/>
    </row>
    <row r="905" spans="1:26" ht="14.1" hidden="1">
      <c r="A905" s="20">
        <v>912</v>
      </c>
      <c r="B905" s="1063">
        <v>40682</v>
      </c>
      <c r="C905" s="32" t="s">
        <v>2621</v>
      </c>
      <c r="D905" s="11" t="s">
        <v>6</v>
      </c>
      <c r="E905" s="18" t="s">
        <v>2722</v>
      </c>
      <c r="F905" s="32" t="s">
        <v>2332</v>
      </c>
      <c r="G905" s="32" t="s">
        <v>3978</v>
      </c>
      <c r="H905" s="32" t="s">
        <v>3979</v>
      </c>
      <c r="I905" s="32" t="s">
        <v>3979</v>
      </c>
      <c r="J905" s="32"/>
      <c r="K905" s="32" t="s">
        <v>3980</v>
      </c>
      <c r="L905" s="32"/>
      <c r="M905" s="32">
        <v>50</v>
      </c>
      <c r="N905" s="32">
        <v>50</v>
      </c>
      <c r="O905" s="32">
        <v>50</v>
      </c>
      <c r="P905" s="32">
        <v>0</v>
      </c>
      <c r="Q905" s="32">
        <f t="shared" ref="Q905:Q914" si="37">O905+P905-M905</f>
        <v>0</v>
      </c>
      <c r="R905" s="1213">
        <v>4</v>
      </c>
      <c r="S905" s="1201">
        <f t="shared" ref="S905:S914" si="38">R905*N905</f>
        <v>200</v>
      </c>
      <c r="T905" s="22" t="s">
        <v>929</v>
      </c>
      <c r="U905" s="1863" t="s">
        <v>301</v>
      </c>
      <c r="V905" s="32" t="s">
        <v>931</v>
      </c>
      <c r="W905" s="2035" t="s">
        <v>3981</v>
      </c>
      <c r="X905" s="32"/>
      <c r="Y905" s="104"/>
      <c r="Z905" s="104"/>
    </row>
    <row r="906" spans="1:26" ht="14.1" hidden="1">
      <c r="A906" s="20">
        <v>913</v>
      </c>
      <c r="B906" s="1063">
        <v>40683</v>
      </c>
      <c r="C906" s="32" t="s">
        <v>2621</v>
      </c>
      <c r="D906" s="11" t="s">
        <v>6</v>
      </c>
      <c r="E906" s="18" t="s">
        <v>2722</v>
      </c>
      <c r="F906" s="32" t="s">
        <v>2332</v>
      </c>
      <c r="G906" s="32" t="s">
        <v>3982</v>
      </c>
      <c r="H906" s="32" t="s">
        <v>3979</v>
      </c>
      <c r="I906" s="32" t="s">
        <v>3979</v>
      </c>
      <c r="J906" s="32"/>
      <c r="K906" s="32" t="s">
        <v>3983</v>
      </c>
      <c r="L906" s="32"/>
      <c r="M906" s="32">
        <v>50</v>
      </c>
      <c r="N906" s="32">
        <v>50</v>
      </c>
      <c r="O906" s="32">
        <v>50</v>
      </c>
      <c r="P906" s="32">
        <v>0</v>
      </c>
      <c r="Q906" s="32">
        <f t="shared" si="37"/>
        <v>0</v>
      </c>
      <c r="R906" s="1213">
        <v>4</v>
      </c>
      <c r="S906" s="1201">
        <f t="shared" si="38"/>
        <v>200</v>
      </c>
      <c r="T906" s="22" t="s">
        <v>929</v>
      </c>
      <c r="U906" s="1863" t="s">
        <v>301</v>
      </c>
      <c r="V906" s="32" t="s">
        <v>931</v>
      </c>
      <c r="W906" s="2036" t="s">
        <v>3981</v>
      </c>
      <c r="X906" s="32"/>
      <c r="Y906" s="104"/>
      <c r="Z906" s="104"/>
    </row>
    <row r="907" spans="1:26" ht="14.1" hidden="1">
      <c r="A907" s="20">
        <v>914</v>
      </c>
      <c r="B907" s="1063">
        <v>40684</v>
      </c>
      <c r="C907" s="32" t="s">
        <v>2621</v>
      </c>
      <c r="D907" s="11" t="s">
        <v>6</v>
      </c>
      <c r="E907" s="18" t="s">
        <v>2722</v>
      </c>
      <c r="F907" s="32" t="s">
        <v>2332</v>
      </c>
      <c r="G907" s="32" t="s">
        <v>3984</v>
      </c>
      <c r="H907" s="32" t="s">
        <v>3979</v>
      </c>
      <c r="I907" s="32" t="s">
        <v>3979</v>
      </c>
      <c r="J907" s="32"/>
      <c r="K907" s="32" t="s">
        <v>3985</v>
      </c>
      <c r="L907" s="32"/>
      <c r="M907" s="32">
        <v>2</v>
      </c>
      <c r="N907" s="32">
        <v>50</v>
      </c>
      <c r="O907" s="32">
        <v>50</v>
      </c>
      <c r="P907" s="32">
        <v>0</v>
      </c>
      <c r="Q907" s="32">
        <f t="shared" si="37"/>
        <v>48</v>
      </c>
      <c r="R907" s="1213">
        <v>14</v>
      </c>
      <c r="S907" s="1201">
        <f t="shared" si="38"/>
        <v>700</v>
      </c>
      <c r="T907" s="22" t="s">
        <v>929</v>
      </c>
      <c r="U907" s="1863" t="s">
        <v>301</v>
      </c>
      <c r="V907" s="32" t="s">
        <v>931</v>
      </c>
      <c r="W907" s="2036" t="s">
        <v>3981</v>
      </c>
      <c r="X907" s="32"/>
      <c r="Y907" s="104"/>
      <c r="Z907" s="104"/>
    </row>
    <row r="908" spans="1:26" ht="14.1" hidden="1">
      <c r="A908" s="20">
        <v>915</v>
      </c>
      <c r="B908" s="1063">
        <v>40685</v>
      </c>
      <c r="C908" s="32" t="s">
        <v>2621</v>
      </c>
      <c r="D908" s="11" t="s">
        <v>6</v>
      </c>
      <c r="E908" s="18" t="s">
        <v>2722</v>
      </c>
      <c r="F908" s="32" t="s">
        <v>2332</v>
      </c>
      <c r="G908" s="32" t="s">
        <v>3986</v>
      </c>
      <c r="H908" s="32" t="s">
        <v>3979</v>
      </c>
      <c r="I908" s="32" t="s">
        <v>3979</v>
      </c>
      <c r="J908" s="32"/>
      <c r="K908" s="32" t="s">
        <v>3987</v>
      </c>
      <c r="L908" s="32"/>
      <c r="M908" s="32">
        <v>8</v>
      </c>
      <c r="N908" s="32">
        <v>50</v>
      </c>
      <c r="O908" s="32">
        <v>50</v>
      </c>
      <c r="P908" s="32">
        <v>0</v>
      </c>
      <c r="Q908" s="32">
        <f t="shared" si="37"/>
        <v>42</v>
      </c>
      <c r="R908" s="1213">
        <v>6</v>
      </c>
      <c r="S908" s="1201">
        <f t="shared" si="38"/>
        <v>300</v>
      </c>
      <c r="T908" s="22" t="s">
        <v>929</v>
      </c>
      <c r="U908" s="1863" t="s">
        <v>301</v>
      </c>
      <c r="V908" s="32" t="s">
        <v>931</v>
      </c>
      <c r="W908" s="2036" t="s">
        <v>3981</v>
      </c>
      <c r="X908" s="32"/>
      <c r="Y908" s="104"/>
      <c r="Z908" s="104"/>
    </row>
    <row r="909" spans="1:26" ht="14.1" hidden="1">
      <c r="A909" s="20">
        <v>916</v>
      </c>
      <c r="B909" s="1063">
        <v>40686</v>
      </c>
      <c r="C909" s="32" t="s">
        <v>2621</v>
      </c>
      <c r="D909" s="11" t="s">
        <v>6</v>
      </c>
      <c r="E909" s="18" t="s">
        <v>2722</v>
      </c>
      <c r="F909" s="32" t="s">
        <v>2332</v>
      </c>
      <c r="G909" s="32" t="s">
        <v>3988</v>
      </c>
      <c r="H909" s="32" t="s">
        <v>3979</v>
      </c>
      <c r="I909" s="32" t="s">
        <v>3979</v>
      </c>
      <c r="J909" s="32"/>
      <c r="K909" s="32" t="s">
        <v>3989</v>
      </c>
      <c r="L909" s="32"/>
      <c r="M909" s="32">
        <v>8</v>
      </c>
      <c r="N909" s="32">
        <v>50</v>
      </c>
      <c r="O909" s="32">
        <v>50</v>
      </c>
      <c r="P909" s="32">
        <v>0</v>
      </c>
      <c r="Q909" s="32">
        <f t="shared" si="37"/>
        <v>42</v>
      </c>
      <c r="R909" s="1213">
        <v>8</v>
      </c>
      <c r="S909" s="1201">
        <f t="shared" si="38"/>
        <v>400</v>
      </c>
      <c r="T909" s="22" t="s">
        <v>929</v>
      </c>
      <c r="U909" s="1863" t="s">
        <v>301</v>
      </c>
      <c r="V909" s="32" t="s">
        <v>931</v>
      </c>
      <c r="W909" s="2036" t="s">
        <v>3981</v>
      </c>
      <c r="X909" s="32"/>
      <c r="Y909" s="104"/>
      <c r="Z909" s="104"/>
    </row>
    <row r="910" spans="1:26" ht="27.95" hidden="1">
      <c r="A910" s="20">
        <v>917</v>
      </c>
      <c r="B910" s="1063">
        <v>40687</v>
      </c>
      <c r="C910" s="32" t="s">
        <v>2619</v>
      </c>
      <c r="D910" s="11" t="s">
        <v>6</v>
      </c>
      <c r="E910" s="18" t="s">
        <v>2722</v>
      </c>
      <c r="F910" s="32" t="s">
        <v>2332</v>
      </c>
      <c r="G910" s="32" t="s">
        <v>1148</v>
      </c>
      <c r="H910" s="32" t="s">
        <v>382</v>
      </c>
      <c r="I910" s="32" t="s">
        <v>366</v>
      </c>
      <c r="J910" s="32" t="s">
        <v>1148</v>
      </c>
      <c r="K910" s="32"/>
      <c r="L910" s="32"/>
      <c r="M910" s="32">
        <v>17</v>
      </c>
      <c r="N910" s="32">
        <v>17</v>
      </c>
      <c r="O910" s="32">
        <v>17</v>
      </c>
      <c r="P910" s="32">
        <v>25</v>
      </c>
      <c r="Q910" s="32">
        <f t="shared" si="37"/>
        <v>25</v>
      </c>
      <c r="R910" s="1213">
        <v>380</v>
      </c>
      <c r="S910" s="1201">
        <f t="shared" si="38"/>
        <v>6460</v>
      </c>
      <c r="T910" s="22" t="s">
        <v>929</v>
      </c>
      <c r="U910" s="1863" t="s">
        <v>301</v>
      </c>
      <c r="V910" s="32" t="s">
        <v>931</v>
      </c>
      <c r="W910" s="2036" t="s">
        <v>2620</v>
      </c>
      <c r="X910" s="32" t="s">
        <v>3990</v>
      </c>
      <c r="Y910" s="104"/>
      <c r="Z910" s="104"/>
    </row>
    <row r="911" spans="1:26" ht="42" hidden="1">
      <c r="A911" s="20">
        <v>918</v>
      </c>
      <c r="B911" s="1063">
        <v>40688</v>
      </c>
      <c r="C911" s="32" t="s">
        <v>2594</v>
      </c>
      <c r="D911" s="11" t="s">
        <v>6</v>
      </c>
      <c r="E911" s="18" t="s">
        <v>2722</v>
      </c>
      <c r="F911" s="32" t="s">
        <v>2332</v>
      </c>
      <c r="G911" s="32" t="s">
        <v>2612</v>
      </c>
      <c r="H911" s="32" t="s">
        <v>382</v>
      </c>
      <c r="I911" s="32" t="s">
        <v>366</v>
      </c>
      <c r="J911" s="32" t="s">
        <v>2612</v>
      </c>
      <c r="K911" s="32"/>
      <c r="L911" s="32"/>
      <c r="M911" s="32">
        <v>56</v>
      </c>
      <c r="N911" s="32">
        <v>60</v>
      </c>
      <c r="O911" s="32">
        <v>60</v>
      </c>
      <c r="P911" s="32">
        <v>13</v>
      </c>
      <c r="Q911" s="32">
        <f t="shared" si="37"/>
        <v>17</v>
      </c>
      <c r="R911" s="1213">
        <v>144.1</v>
      </c>
      <c r="S911" s="1201">
        <f t="shared" si="38"/>
        <v>8646</v>
      </c>
      <c r="T911" s="22" t="s">
        <v>929</v>
      </c>
      <c r="U911" s="1863" t="s">
        <v>301</v>
      </c>
      <c r="V911" s="32" t="s">
        <v>931</v>
      </c>
      <c r="W911" s="2036" t="s">
        <v>2613</v>
      </c>
      <c r="X911" s="32" t="s">
        <v>3991</v>
      </c>
      <c r="Y911" s="104"/>
      <c r="Z911" s="104"/>
    </row>
    <row r="912" spans="1:26" ht="69.95" hidden="1">
      <c r="A912" s="20">
        <v>919</v>
      </c>
      <c r="B912" s="1063">
        <v>40689</v>
      </c>
      <c r="C912" s="32" t="s">
        <v>2594</v>
      </c>
      <c r="D912" s="11"/>
      <c r="E912" s="18" t="s">
        <v>2722</v>
      </c>
      <c r="F912" s="32" t="s">
        <v>2332</v>
      </c>
      <c r="G912" s="32" t="s">
        <v>2604</v>
      </c>
      <c r="H912" s="32" t="s">
        <v>382</v>
      </c>
      <c r="I912" s="32" t="s">
        <v>366</v>
      </c>
      <c r="J912" s="32" t="s">
        <v>2604</v>
      </c>
      <c r="K912" s="32"/>
      <c r="L912" s="32"/>
      <c r="M912" s="32">
        <v>10</v>
      </c>
      <c r="N912" s="32">
        <v>10</v>
      </c>
      <c r="O912" s="32">
        <v>10</v>
      </c>
      <c r="P912" s="32">
        <v>4</v>
      </c>
      <c r="Q912" s="32">
        <f t="shared" si="37"/>
        <v>4</v>
      </c>
      <c r="R912" s="1213">
        <v>144.1</v>
      </c>
      <c r="S912" s="1201">
        <f t="shared" si="38"/>
        <v>1441</v>
      </c>
      <c r="T912" s="22" t="s">
        <v>929</v>
      </c>
      <c r="U912" s="1863" t="s">
        <v>301</v>
      </c>
      <c r="V912" s="32" t="s">
        <v>931</v>
      </c>
      <c r="W912" s="2036" t="s">
        <v>3992</v>
      </c>
      <c r="X912" s="32" t="s">
        <v>3991</v>
      </c>
      <c r="Y912" s="104"/>
      <c r="Z912" s="104"/>
    </row>
    <row r="913" spans="1:26" ht="84" hidden="1">
      <c r="A913" s="20">
        <v>920</v>
      </c>
      <c r="B913" s="1063">
        <v>40690</v>
      </c>
      <c r="C913" s="32" t="s">
        <v>2594</v>
      </c>
      <c r="D913" s="11"/>
      <c r="E913" s="18" t="s">
        <v>2722</v>
      </c>
      <c r="F913" s="32" t="s">
        <v>2332</v>
      </c>
      <c r="G913" s="32" t="s">
        <v>2834</v>
      </c>
      <c r="H913" s="32" t="s">
        <v>382</v>
      </c>
      <c r="I913" s="105" t="s">
        <v>366</v>
      </c>
      <c r="J913" s="32" t="s">
        <v>370</v>
      </c>
      <c r="K913" s="32"/>
      <c r="L913" s="32"/>
      <c r="M913" s="32">
        <v>8</v>
      </c>
      <c r="N913" s="105">
        <v>8</v>
      </c>
      <c r="O913" s="32">
        <v>8</v>
      </c>
      <c r="P913" s="32">
        <v>2</v>
      </c>
      <c r="Q913" s="32">
        <f t="shared" si="37"/>
        <v>2</v>
      </c>
      <c r="R913" s="1213">
        <v>260</v>
      </c>
      <c r="S913" s="1201">
        <f t="shared" si="38"/>
        <v>2080</v>
      </c>
      <c r="T913" s="32" t="s">
        <v>929</v>
      </c>
      <c r="U913" s="1863" t="s">
        <v>301</v>
      </c>
      <c r="V913" s="32" t="s">
        <v>931</v>
      </c>
      <c r="W913" s="2006" t="s">
        <v>368</v>
      </c>
      <c r="X913" s="32" t="s">
        <v>3993</v>
      </c>
      <c r="Y913" s="104"/>
      <c r="Z913" s="104"/>
    </row>
    <row r="914" spans="1:26" ht="42" hidden="1">
      <c r="A914" s="20">
        <v>921</v>
      </c>
      <c r="B914" s="1063">
        <v>40691</v>
      </c>
      <c r="C914" s="32" t="s">
        <v>3994</v>
      </c>
      <c r="D914" s="11" t="s">
        <v>6</v>
      </c>
      <c r="E914" s="18" t="s">
        <v>2722</v>
      </c>
      <c r="F914" s="32" t="s">
        <v>2332</v>
      </c>
      <c r="G914" s="32" t="s">
        <v>3995</v>
      </c>
      <c r="H914" s="32" t="s">
        <v>366</v>
      </c>
      <c r="I914" s="32" t="s">
        <v>366</v>
      </c>
      <c r="J914" s="32" t="s">
        <v>3996</v>
      </c>
      <c r="K914" s="32"/>
      <c r="L914" s="32"/>
      <c r="M914" s="32">
        <v>1</v>
      </c>
      <c r="N914" s="32">
        <v>1</v>
      </c>
      <c r="O914" s="32">
        <v>1</v>
      </c>
      <c r="P914" s="32">
        <v>0</v>
      </c>
      <c r="Q914" s="32">
        <f t="shared" si="37"/>
        <v>0</v>
      </c>
      <c r="R914" s="1213">
        <v>2570</v>
      </c>
      <c r="S914" s="1201">
        <f t="shared" si="38"/>
        <v>2570</v>
      </c>
      <c r="T914" s="32" t="s">
        <v>929</v>
      </c>
      <c r="U914" s="1863" t="s">
        <v>301</v>
      </c>
      <c r="V914" s="32" t="s">
        <v>931</v>
      </c>
      <c r="W914" s="2006" t="s">
        <v>3997</v>
      </c>
      <c r="X914" s="32" t="s">
        <v>3998</v>
      </c>
      <c r="Y914" s="104"/>
      <c r="Z914" s="104"/>
    </row>
    <row r="915" spans="1:26" ht="14.1" hidden="1">
      <c r="A915" s="20">
        <v>922</v>
      </c>
      <c r="B915" s="1063">
        <v>40692</v>
      </c>
      <c r="C915" s="32" t="s">
        <v>3646</v>
      </c>
      <c r="D915" s="11" t="s">
        <v>6</v>
      </c>
      <c r="E915" s="32" t="s">
        <v>3999</v>
      </c>
      <c r="F915" s="32" t="s">
        <v>417</v>
      </c>
      <c r="G915" s="32" t="s">
        <v>4000</v>
      </c>
      <c r="H915" s="32" t="s">
        <v>4001</v>
      </c>
      <c r="I915" s="32" t="s">
        <v>4001</v>
      </c>
      <c r="J915" s="32" t="s">
        <v>4002</v>
      </c>
      <c r="K915" s="32" t="s">
        <v>4002</v>
      </c>
      <c r="L915" s="32" t="s">
        <v>4003</v>
      </c>
      <c r="M915" s="32">
        <v>1</v>
      </c>
      <c r="N915" s="32">
        <v>1</v>
      </c>
      <c r="O915" s="32">
        <v>2</v>
      </c>
      <c r="P915" s="32">
        <v>0</v>
      </c>
      <c r="Q915" s="32">
        <v>1</v>
      </c>
      <c r="R915" s="1213" t="s">
        <v>4004</v>
      </c>
      <c r="S915" s="1213" t="s">
        <v>4005</v>
      </c>
      <c r="T915" s="32" t="s">
        <v>311</v>
      </c>
      <c r="U915" s="1863" t="s">
        <v>1543</v>
      </c>
      <c r="V915" s="32" t="s">
        <v>3187</v>
      </c>
      <c r="W915" s="2028" t="s">
        <v>4006</v>
      </c>
      <c r="X915" s="32" t="s">
        <v>4007</v>
      </c>
      <c r="Y915" s="104"/>
      <c r="Z915" s="104"/>
    </row>
    <row r="916" spans="1:26" ht="26.1" hidden="1">
      <c r="A916" s="20">
        <v>923</v>
      </c>
      <c r="B916" s="1063">
        <v>40693</v>
      </c>
      <c r="C916" s="18" t="s">
        <v>4008</v>
      </c>
      <c r="D916" s="11" t="s">
        <v>6</v>
      </c>
      <c r="E916" s="18" t="s">
        <v>2722</v>
      </c>
      <c r="F916" s="18" t="s">
        <v>2693</v>
      </c>
      <c r="G916" s="22" t="s">
        <v>664</v>
      </c>
      <c r="H916" s="22" t="s">
        <v>665</v>
      </c>
      <c r="I916" s="22" t="s">
        <v>666</v>
      </c>
      <c r="J916" s="22" t="s">
        <v>667</v>
      </c>
      <c r="K916" s="22" t="s">
        <v>667</v>
      </c>
      <c r="L916" s="18"/>
      <c r="M916" s="18">
        <v>2</v>
      </c>
      <c r="N916" s="18">
        <v>10</v>
      </c>
      <c r="O916" s="18">
        <v>10</v>
      </c>
      <c r="P916" s="18">
        <v>0</v>
      </c>
      <c r="Q916" s="18">
        <v>8</v>
      </c>
      <c r="R916" s="1215">
        <v>450</v>
      </c>
      <c r="S916" s="1215">
        <v>4500</v>
      </c>
      <c r="T916" s="18" t="s">
        <v>929</v>
      </c>
      <c r="U916" s="1859" t="s">
        <v>3282</v>
      </c>
      <c r="V916" s="18" t="s">
        <v>931</v>
      </c>
      <c r="W916" s="2021" t="s">
        <v>668</v>
      </c>
      <c r="X916" s="18"/>
      <c r="Y916" s="4"/>
      <c r="Z916" s="4"/>
    </row>
    <row r="917" spans="1:26" ht="24.95" hidden="1">
      <c r="A917" s="20">
        <v>924</v>
      </c>
      <c r="B917" s="1063">
        <v>40694</v>
      </c>
      <c r="C917" s="18" t="s">
        <v>346</v>
      </c>
      <c r="D917" s="11" t="s">
        <v>6</v>
      </c>
      <c r="E917" s="18" t="s">
        <v>2722</v>
      </c>
      <c r="F917" s="18" t="s">
        <v>2693</v>
      </c>
      <c r="G917" s="22" t="s">
        <v>354</v>
      </c>
      <c r="H917" s="22" t="s">
        <v>315</v>
      </c>
      <c r="I917" s="22" t="s">
        <v>315</v>
      </c>
      <c r="J917" s="22" t="s">
        <v>355</v>
      </c>
      <c r="K917" s="22" t="s">
        <v>355</v>
      </c>
      <c r="L917" s="18"/>
      <c r="M917" s="18">
        <v>2</v>
      </c>
      <c r="N917" s="18">
        <v>10</v>
      </c>
      <c r="O917" s="18">
        <v>10</v>
      </c>
      <c r="P917" s="18">
        <v>0</v>
      </c>
      <c r="Q917" s="18">
        <v>8</v>
      </c>
      <c r="R917" s="1215">
        <v>350</v>
      </c>
      <c r="S917" s="1215">
        <v>3500</v>
      </c>
      <c r="T917" s="18" t="s">
        <v>929</v>
      </c>
      <c r="U917" s="1859" t="s">
        <v>3282</v>
      </c>
      <c r="V917" s="18" t="s">
        <v>931</v>
      </c>
      <c r="W917" s="2028" t="s">
        <v>358</v>
      </c>
      <c r="X917" s="18"/>
      <c r="Y917" s="4"/>
      <c r="Z917" s="4"/>
    </row>
    <row r="918" spans="1:26" ht="26.1" hidden="1">
      <c r="A918" s="20">
        <v>925</v>
      </c>
      <c r="B918" s="1063">
        <v>40695</v>
      </c>
      <c r="C918" s="18" t="s">
        <v>4009</v>
      </c>
      <c r="D918" s="11" t="s">
        <v>6</v>
      </c>
      <c r="E918" s="18" t="s">
        <v>2722</v>
      </c>
      <c r="F918" s="18" t="s">
        <v>2693</v>
      </c>
      <c r="G918" s="18" t="s">
        <v>4010</v>
      </c>
      <c r="H918" s="18" t="s">
        <v>4011</v>
      </c>
      <c r="I918" s="18" t="s">
        <v>4012</v>
      </c>
      <c r="J918" s="18"/>
      <c r="K918" s="18"/>
      <c r="L918" s="18" t="s">
        <v>1881</v>
      </c>
      <c r="M918" s="18">
        <v>1</v>
      </c>
      <c r="N918" s="18">
        <v>1</v>
      </c>
      <c r="O918" s="18">
        <v>2</v>
      </c>
      <c r="P918" s="18">
        <v>0</v>
      </c>
      <c r="Q918" s="18">
        <v>2</v>
      </c>
      <c r="R918" s="1215">
        <v>24318</v>
      </c>
      <c r="S918" s="1215">
        <v>48637</v>
      </c>
      <c r="T918" s="18" t="s">
        <v>929</v>
      </c>
      <c r="U918" s="1859" t="s">
        <v>3282</v>
      </c>
      <c r="V918" s="18" t="s">
        <v>931</v>
      </c>
      <c r="W918" s="2021" t="s">
        <v>401</v>
      </c>
      <c r="X918" s="18"/>
      <c r="Y918" s="4"/>
      <c r="Z918" s="4"/>
    </row>
    <row r="919" spans="1:26" ht="42" hidden="1">
      <c r="A919" s="20">
        <v>926</v>
      </c>
      <c r="B919" s="1063">
        <v>40696</v>
      </c>
      <c r="C919" s="22" t="s">
        <v>2511</v>
      </c>
      <c r="D919" s="11" t="s">
        <v>6</v>
      </c>
      <c r="E919" s="18" t="s">
        <v>2722</v>
      </c>
      <c r="F919" s="22" t="s">
        <v>2450</v>
      </c>
      <c r="G919" s="22" t="s">
        <v>2512</v>
      </c>
      <c r="H919" s="22" t="s">
        <v>243</v>
      </c>
      <c r="I919" s="22" t="s">
        <v>2513</v>
      </c>
      <c r="J919" s="22" t="s">
        <v>2514</v>
      </c>
      <c r="K919" s="22"/>
      <c r="L919" s="22" t="s">
        <v>2515</v>
      </c>
      <c r="M919" s="18">
        <v>24</v>
      </c>
      <c r="N919" s="18">
        <v>6</v>
      </c>
      <c r="O919" s="18">
        <v>6</v>
      </c>
      <c r="P919" s="18">
        <v>18</v>
      </c>
      <c r="Q919" s="18">
        <f t="shared" ref="Q919:Q933" si="39">O919+P919-M919</f>
        <v>0</v>
      </c>
      <c r="R919" s="1215">
        <v>631.4</v>
      </c>
      <c r="S919" s="1215">
        <f t="shared" ref="S919:S933" si="40">R919*O919</f>
        <v>3788.3999999999996</v>
      </c>
      <c r="T919" s="18" t="s">
        <v>1957</v>
      </c>
      <c r="U919" s="1859" t="s">
        <v>2509</v>
      </c>
      <c r="V919" s="18"/>
      <c r="W919" s="2006" t="s">
        <v>2516</v>
      </c>
      <c r="X919" s="18"/>
      <c r="Y919" s="4"/>
      <c r="Z919" s="4"/>
    </row>
    <row r="920" spans="1:26" ht="42" hidden="1">
      <c r="A920" s="20">
        <v>927</v>
      </c>
      <c r="B920" s="1063">
        <v>40697</v>
      </c>
      <c r="C920" s="22" t="s">
        <v>4013</v>
      </c>
      <c r="D920" s="11"/>
      <c r="E920" s="18" t="s">
        <v>2722</v>
      </c>
      <c r="F920" s="22" t="s">
        <v>2450</v>
      </c>
      <c r="G920" s="22" t="s">
        <v>604</v>
      </c>
      <c r="H920" s="22" t="s">
        <v>64</v>
      </c>
      <c r="I920" s="22" t="s">
        <v>53</v>
      </c>
      <c r="J920" s="22" t="s">
        <v>605</v>
      </c>
      <c r="K920" s="22" t="s">
        <v>606</v>
      </c>
      <c r="L920" s="22" t="s">
        <v>607</v>
      </c>
      <c r="M920" s="22">
        <v>5</v>
      </c>
      <c r="N920" s="22">
        <v>2</v>
      </c>
      <c r="O920" s="22">
        <v>2</v>
      </c>
      <c r="P920" s="22">
        <v>3</v>
      </c>
      <c r="Q920" s="18">
        <f t="shared" si="39"/>
        <v>0</v>
      </c>
      <c r="R920" s="1201">
        <v>1471</v>
      </c>
      <c r="S920" s="1215">
        <f t="shared" si="40"/>
        <v>2942</v>
      </c>
      <c r="T920" s="18" t="s">
        <v>1957</v>
      </c>
      <c r="U920" s="1859" t="s">
        <v>2509</v>
      </c>
      <c r="V920" s="28"/>
      <c r="W920" s="2006" t="s">
        <v>608</v>
      </c>
      <c r="X920" s="18"/>
      <c r="Y920" s="4"/>
      <c r="Z920" s="4"/>
    </row>
    <row r="921" spans="1:26" ht="39" hidden="1">
      <c r="A921" s="20">
        <v>928</v>
      </c>
      <c r="B921" s="1063">
        <v>40698</v>
      </c>
      <c r="C921" s="18" t="s">
        <v>4014</v>
      </c>
      <c r="D921" s="11"/>
      <c r="E921" s="18" t="s">
        <v>2722</v>
      </c>
      <c r="F921" s="22" t="s">
        <v>2450</v>
      </c>
      <c r="G921" s="18"/>
      <c r="H921" s="18" t="s">
        <v>1715</v>
      </c>
      <c r="I921" s="18" t="s">
        <v>574</v>
      </c>
      <c r="J921" s="18" t="s">
        <v>4015</v>
      </c>
      <c r="K921" s="18" t="s">
        <v>4016</v>
      </c>
      <c r="L921" s="18" t="s">
        <v>4017</v>
      </c>
      <c r="M921" s="18">
        <v>8</v>
      </c>
      <c r="N921" s="18">
        <v>2</v>
      </c>
      <c r="O921" s="18">
        <v>2</v>
      </c>
      <c r="P921" s="18">
        <v>6</v>
      </c>
      <c r="Q921" s="18">
        <f t="shared" si="39"/>
        <v>0</v>
      </c>
      <c r="R921" s="1215">
        <v>244</v>
      </c>
      <c r="S921" s="1215">
        <f t="shared" si="40"/>
        <v>488</v>
      </c>
      <c r="T921" s="18" t="s">
        <v>1957</v>
      </c>
      <c r="U921" s="1859" t="s">
        <v>2509</v>
      </c>
      <c r="V921" s="18"/>
      <c r="W921" s="2021" t="s">
        <v>4018</v>
      </c>
      <c r="X921" s="18"/>
      <c r="Y921" s="4"/>
      <c r="Z921" s="4"/>
    </row>
    <row r="922" spans="1:26" ht="39" hidden="1">
      <c r="A922" s="20">
        <v>929</v>
      </c>
      <c r="B922" s="1063">
        <v>40699</v>
      </c>
      <c r="C922" s="18" t="s">
        <v>2534</v>
      </c>
      <c r="D922" s="11" t="s">
        <v>6</v>
      </c>
      <c r="E922" s="18" t="s">
        <v>2722</v>
      </c>
      <c r="F922" s="22" t="s">
        <v>2450</v>
      </c>
      <c r="G922" s="18"/>
      <c r="H922" s="18" t="s">
        <v>2536</v>
      </c>
      <c r="I922" s="18" t="s">
        <v>2536</v>
      </c>
      <c r="J922" s="18" t="s">
        <v>4019</v>
      </c>
      <c r="K922" s="18" t="s">
        <v>4019</v>
      </c>
      <c r="L922" s="18" t="s">
        <v>4020</v>
      </c>
      <c r="M922" s="18">
        <v>10</v>
      </c>
      <c r="N922" s="18">
        <v>10</v>
      </c>
      <c r="O922" s="18">
        <v>10</v>
      </c>
      <c r="P922" s="18">
        <v>0</v>
      </c>
      <c r="Q922" s="18">
        <f t="shared" si="39"/>
        <v>0</v>
      </c>
      <c r="R922" s="1215">
        <v>4398</v>
      </c>
      <c r="S922" s="1215">
        <f t="shared" si="40"/>
        <v>43980</v>
      </c>
      <c r="T922" s="18" t="s">
        <v>1957</v>
      </c>
      <c r="U922" s="1859" t="s">
        <v>2509</v>
      </c>
      <c r="V922" s="18"/>
      <c r="W922" s="2021" t="s">
        <v>4021</v>
      </c>
      <c r="X922" s="18"/>
      <c r="Y922" s="4"/>
      <c r="Z922" s="4"/>
    </row>
    <row r="923" spans="1:26" ht="90.95" hidden="1">
      <c r="A923" s="20">
        <v>930</v>
      </c>
      <c r="B923" s="1063">
        <v>40700</v>
      </c>
      <c r="C923" s="18" t="s">
        <v>750</v>
      </c>
      <c r="D923" s="11"/>
      <c r="E923" s="18" t="s">
        <v>2722</v>
      </c>
      <c r="F923" s="22" t="s">
        <v>2450</v>
      </c>
      <c r="G923" s="18"/>
      <c r="H923" s="18" t="s">
        <v>511</v>
      </c>
      <c r="I923" s="18" t="s">
        <v>39</v>
      </c>
      <c r="J923" s="18" t="s">
        <v>4022</v>
      </c>
      <c r="K923" s="18" t="s">
        <v>4023</v>
      </c>
      <c r="L923" s="18" t="s">
        <v>4024</v>
      </c>
      <c r="M923" s="18">
        <v>16</v>
      </c>
      <c r="N923" s="18">
        <v>10</v>
      </c>
      <c r="O923" s="18">
        <v>10</v>
      </c>
      <c r="P923" s="18">
        <v>12</v>
      </c>
      <c r="Q923" s="18">
        <f t="shared" si="39"/>
        <v>6</v>
      </c>
      <c r="R923" s="1215">
        <v>21.8</v>
      </c>
      <c r="S923" s="1215">
        <f t="shared" si="40"/>
        <v>218</v>
      </c>
      <c r="T923" s="18" t="s">
        <v>1957</v>
      </c>
      <c r="U923" s="1859" t="s">
        <v>2509</v>
      </c>
      <c r="V923" s="18"/>
      <c r="W923" s="2021" t="s">
        <v>4025</v>
      </c>
      <c r="X923" s="18"/>
      <c r="Y923" s="4"/>
      <c r="Z923" s="4"/>
    </row>
    <row r="924" spans="1:26" ht="14.1">
      <c r="A924" s="20"/>
      <c r="B924" s="1063">
        <v>44960</v>
      </c>
      <c r="C924" s="18"/>
      <c r="D924" s="22"/>
      <c r="E924" s="18"/>
      <c r="F924" s="22"/>
      <c r="G924" s="18"/>
      <c r="H924" s="18"/>
      <c r="I924" s="18"/>
      <c r="J924" s="18"/>
      <c r="K924" s="18"/>
      <c r="L924" s="18"/>
      <c r="M924" s="18"/>
      <c r="N924" s="18"/>
      <c r="O924" s="18"/>
      <c r="P924" s="18"/>
      <c r="Q924" s="18"/>
      <c r="R924" s="1215"/>
      <c r="S924" s="1215"/>
      <c r="T924" s="18"/>
      <c r="U924" s="1859"/>
      <c r="V924" s="18"/>
      <c r="W924" s="2021"/>
      <c r="X924" s="18"/>
      <c r="Y924" s="4"/>
      <c r="Z924" s="4"/>
    </row>
    <row r="925" spans="1:26" ht="39" hidden="1">
      <c r="A925" s="20">
        <v>932</v>
      </c>
      <c r="B925" s="1063">
        <v>40702</v>
      </c>
      <c r="C925" s="18" t="s">
        <v>2551</v>
      </c>
      <c r="D925" s="11"/>
      <c r="E925" s="18" t="s">
        <v>2722</v>
      </c>
      <c r="F925" s="22" t="s">
        <v>2450</v>
      </c>
      <c r="G925" s="18"/>
      <c r="H925" s="18" t="s">
        <v>280</v>
      </c>
      <c r="I925" s="18" t="s">
        <v>574</v>
      </c>
      <c r="J925" s="18" t="s">
        <v>4026</v>
      </c>
      <c r="K925" s="18" t="s">
        <v>2552</v>
      </c>
      <c r="L925" s="18" t="s">
        <v>2553</v>
      </c>
      <c r="M925" s="18">
        <v>5</v>
      </c>
      <c r="N925" s="18">
        <v>2</v>
      </c>
      <c r="O925" s="18">
        <v>2</v>
      </c>
      <c r="P925" s="18">
        <v>3</v>
      </c>
      <c r="Q925" s="18">
        <f t="shared" si="39"/>
        <v>0</v>
      </c>
      <c r="R925" s="1215">
        <v>480</v>
      </c>
      <c r="S925" s="1215">
        <f t="shared" si="40"/>
        <v>960</v>
      </c>
      <c r="T925" s="18" t="s">
        <v>1957</v>
      </c>
      <c r="U925" s="1859" t="s">
        <v>2509</v>
      </c>
      <c r="V925" s="18"/>
      <c r="W925" s="2021" t="s">
        <v>2554</v>
      </c>
      <c r="X925" s="18"/>
      <c r="Y925" s="4"/>
      <c r="Z925" s="4"/>
    </row>
    <row r="926" spans="1:26" ht="26.1" hidden="1">
      <c r="A926" s="20">
        <v>933</v>
      </c>
      <c r="B926" s="1063">
        <v>40703</v>
      </c>
      <c r="C926" s="18" t="s">
        <v>4027</v>
      </c>
      <c r="D926" s="11" t="s">
        <v>6</v>
      </c>
      <c r="E926" s="18" t="s">
        <v>2722</v>
      </c>
      <c r="F926" s="22" t="s">
        <v>2450</v>
      </c>
      <c r="G926" s="18"/>
      <c r="H926" s="18" t="s">
        <v>4028</v>
      </c>
      <c r="I926" s="18" t="s">
        <v>4028</v>
      </c>
      <c r="J926" s="18" t="s">
        <v>667</v>
      </c>
      <c r="K926" s="18" t="s">
        <v>667</v>
      </c>
      <c r="L926" s="18" t="s">
        <v>667</v>
      </c>
      <c r="M926" s="18">
        <v>4</v>
      </c>
      <c r="N926" s="18">
        <v>1</v>
      </c>
      <c r="O926" s="18">
        <v>1</v>
      </c>
      <c r="P926" s="18">
        <v>3</v>
      </c>
      <c r="Q926" s="18">
        <f t="shared" si="39"/>
        <v>0</v>
      </c>
      <c r="R926" s="1215">
        <v>450</v>
      </c>
      <c r="S926" s="1215">
        <f t="shared" si="40"/>
        <v>450</v>
      </c>
      <c r="T926" s="18" t="s">
        <v>1957</v>
      </c>
      <c r="U926" s="1859" t="s">
        <v>2454</v>
      </c>
      <c r="V926" s="18"/>
      <c r="W926" s="2021" t="s">
        <v>668</v>
      </c>
      <c r="X926" s="18"/>
      <c r="Y926" s="4"/>
      <c r="Z926" s="4"/>
    </row>
    <row r="927" spans="1:26" ht="26.1" hidden="1">
      <c r="A927" s="20">
        <v>934</v>
      </c>
      <c r="B927" s="1063">
        <v>40704</v>
      </c>
      <c r="C927" s="18" t="s">
        <v>4029</v>
      </c>
      <c r="D927" s="11"/>
      <c r="E927" s="18" t="s">
        <v>2722</v>
      </c>
      <c r="F927" s="22" t="s">
        <v>2450</v>
      </c>
      <c r="G927" s="18"/>
      <c r="H927" s="18"/>
      <c r="I927" s="18" t="s">
        <v>574</v>
      </c>
      <c r="J927" s="18" t="s">
        <v>4030</v>
      </c>
      <c r="K927" s="18" t="s">
        <v>4031</v>
      </c>
      <c r="L927" s="18"/>
      <c r="M927" s="18">
        <v>2</v>
      </c>
      <c r="N927" s="18">
        <v>2</v>
      </c>
      <c r="O927" s="18">
        <v>2</v>
      </c>
      <c r="P927" s="18">
        <v>0</v>
      </c>
      <c r="Q927" s="18">
        <f t="shared" si="39"/>
        <v>0</v>
      </c>
      <c r="R927" s="1215">
        <v>304</v>
      </c>
      <c r="S927" s="1215">
        <f t="shared" si="40"/>
        <v>608</v>
      </c>
      <c r="T927" s="18" t="s">
        <v>1957</v>
      </c>
      <c r="U927" s="1859" t="s">
        <v>441</v>
      </c>
      <c r="V927" s="18"/>
      <c r="W927" s="2021" t="s">
        <v>4032</v>
      </c>
      <c r="X927" s="18"/>
      <c r="Y927" s="4"/>
      <c r="Z927" s="4"/>
    </row>
    <row r="928" spans="1:26" ht="26.1" hidden="1">
      <c r="A928" s="20">
        <v>935</v>
      </c>
      <c r="B928" s="1063">
        <v>40705</v>
      </c>
      <c r="C928" s="18" t="s">
        <v>4033</v>
      </c>
      <c r="D928" s="11"/>
      <c r="E928" s="18" t="s">
        <v>2722</v>
      </c>
      <c r="F928" s="22" t="s">
        <v>2450</v>
      </c>
      <c r="G928" s="18"/>
      <c r="H928" s="18"/>
      <c r="I928" s="18" t="s">
        <v>574</v>
      </c>
      <c r="J928" s="18" t="s">
        <v>3613</v>
      </c>
      <c r="K928" s="18" t="s">
        <v>3614</v>
      </c>
      <c r="L928" s="18" t="s">
        <v>4034</v>
      </c>
      <c r="M928" s="18">
        <v>8</v>
      </c>
      <c r="N928" s="18">
        <v>6</v>
      </c>
      <c r="O928" s="18">
        <v>6</v>
      </c>
      <c r="P928" s="18">
        <v>2</v>
      </c>
      <c r="Q928" s="18">
        <f t="shared" si="39"/>
        <v>0</v>
      </c>
      <c r="R928" s="1215">
        <v>279</v>
      </c>
      <c r="S928" s="1215">
        <f t="shared" si="40"/>
        <v>1674</v>
      </c>
      <c r="T928" s="18" t="s">
        <v>1957</v>
      </c>
      <c r="U928" s="1859" t="s">
        <v>441</v>
      </c>
      <c r="V928" s="18"/>
      <c r="W928" s="2021" t="s">
        <v>4035</v>
      </c>
      <c r="X928" s="18"/>
      <c r="Y928" s="4"/>
      <c r="Z928" s="4"/>
    </row>
    <row r="929" spans="1:26" ht="26.1" hidden="1">
      <c r="A929" s="20">
        <v>936</v>
      </c>
      <c r="B929" s="1063">
        <v>40706</v>
      </c>
      <c r="C929" s="18" t="s">
        <v>4036</v>
      </c>
      <c r="D929" s="11"/>
      <c r="E929" s="18" t="s">
        <v>2722</v>
      </c>
      <c r="F929" s="22" t="s">
        <v>2450</v>
      </c>
      <c r="G929" s="18"/>
      <c r="H929" s="18" t="s">
        <v>1111</v>
      </c>
      <c r="I929" s="18" t="s">
        <v>574</v>
      </c>
      <c r="J929" s="18" t="s">
        <v>4037</v>
      </c>
      <c r="K929" s="18" t="s">
        <v>4038</v>
      </c>
      <c r="L929" s="18"/>
      <c r="M929" s="18">
        <v>16</v>
      </c>
      <c r="N929" s="18">
        <v>16</v>
      </c>
      <c r="O929" s="18">
        <v>16</v>
      </c>
      <c r="P929" s="18">
        <v>0</v>
      </c>
      <c r="Q929" s="18">
        <f t="shared" si="39"/>
        <v>0</v>
      </c>
      <c r="R929" s="1215">
        <v>29</v>
      </c>
      <c r="S929" s="1215">
        <f t="shared" si="40"/>
        <v>464</v>
      </c>
      <c r="T929" s="18" t="s">
        <v>1957</v>
      </c>
      <c r="U929" s="1859" t="s">
        <v>4039</v>
      </c>
      <c r="V929" s="18"/>
      <c r="W929" s="2021" t="s">
        <v>4040</v>
      </c>
      <c r="X929" s="18"/>
      <c r="Y929" s="4"/>
      <c r="Z929" s="4"/>
    </row>
    <row r="930" spans="1:26" ht="26.1" hidden="1">
      <c r="A930" s="20">
        <v>937</v>
      </c>
      <c r="B930" s="1063">
        <v>40707</v>
      </c>
      <c r="C930" s="18" t="s">
        <v>4041</v>
      </c>
      <c r="D930" s="11"/>
      <c r="E930" s="18" t="s">
        <v>2722</v>
      </c>
      <c r="F930" s="22" t="s">
        <v>2450</v>
      </c>
      <c r="G930" s="18"/>
      <c r="H930" s="18" t="s">
        <v>1111</v>
      </c>
      <c r="I930" s="18" t="s">
        <v>574</v>
      </c>
      <c r="J930" s="18" t="s">
        <v>4042</v>
      </c>
      <c r="K930" s="18" t="s">
        <v>4043</v>
      </c>
      <c r="L930" s="18"/>
      <c r="M930" s="18">
        <v>5</v>
      </c>
      <c r="N930" s="18">
        <v>5</v>
      </c>
      <c r="O930" s="18">
        <v>5</v>
      </c>
      <c r="P930" s="18">
        <v>0</v>
      </c>
      <c r="Q930" s="18">
        <f t="shared" si="39"/>
        <v>0</v>
      </c>
      <c r="R930" s="1215">
        <v>32</v>
      </c>
      <c r="S930" s="1215">
        <f t="shared" si="40"/>
        <v>160</v>
      </c>
      <c r="T930" s="18" t="s">
        <v>1957</v>
      </c>
      <c r="U930" s="1859" t="s">
        <v>4039</v>
      </c>
      <c r="V930" s="18"/>
      <c r="W930" s="2021" t="s">
        <v>4044</v>
      </c>
      <c r="X930" s="18"/>
      <c r="Y930" s="4"/>
      <c r="Z930" s="4"/>
    </row>
    <row r="931" spans="1:26" ht="26.1" hidden="1">
      <c r="A931" s="20">
        <v>938</v>
      </c>
      <c r="B931" s="1063">
        <v>40708</v>
      </c>
      <c r="C931" s="18" t="s">
        <v>4045</v>
      </c>
      <c r="D931" s="11"/>
      <c r="E931" s="18" t="s">
        <v>2722</v>
      </c>
      <c r="F931" s="22" t="s">
        <v>2450</v>
      </c>
      <c r="G931" s="18"/>
      <c r="H931" s="18"/>
      <c r="I931" s="18" t="s">
        <v>574</v>
      </c>
      <c r="J931" s="18" t="s">
        <v>4046</v>
      </c>
      <c r="K931" s="18" t="s">
        <v>4047</v>
      </c>
      <c r="L931" s="18"/>
      <c r="M931" s="18">
        <v>4</v>
      </c>
      <c r="N931" s="18">
        <v>4</v>
      </c>
      <c r="O931" s="18">
        <v>4</v>
      </c>
      <c r="P931" s="18">
        <v>0</v>
      </c>
      <c r="Q931" s="18">
        <f t="shared" si="39"/>
        <v>0</v>
      </c>
      <c r="R931" s="1215">
        <v>476</v>
      </c>
      <c r="S931" s="1215">
        <f t="shared" si="40"/>
        <v>1904</v>
      </c>
      <c r="T931" s="18" t="s">
        <v>1957</v>
      </c>
      <c r="U931" s="1859" t="s">
        <v>4048</v>
      </c>
      <c r="V931" s="18"/>
      <c r="W931" s="2021" t="s">
        <v>4049</v>
      </c>
      <c r="X931" s="18"/>
      <c r="Y931" s="4"/>
      <c r="Z931" s="4"/>
    </row>
    <row r="932" spans="1:26" ht="143.1" hidden="1">
      <c r="A932" s="20">
        <v>939</v>
      </c>
      <c r="B932" s="1063">
        <v>40709</v>
      </c>
      <c r="C932" s="18" t="s">
        <v>4050</v>
      </c>
      <c r="D932" s="11"/>
      <c r="E932" s="18" t="s">
        <v>2722</v>
      </c>
      <c r="F932" s="22" t="s">
        <v>2450</v>
      </c>
      <c r="G932" s="18"/>
      <c r="H932" s="18"/>
      <c r="I932" s="18" t="s">
        <v>39</v>
      </c>
      <c r="J932" s="18" t="s">
        <v>4051</v>
      </c>
      <c r="K932" s="18" t="s">
        <v>4052</v>
      </c>
      <c r="L932" s="18"/>
      <c r="M932" s="18">
        <v>5</v>
      </c>
      <c r="N932" s="18">
        <v>10</v>
      </c>
      <c r="O932" s="18">
        <v>10</v>
      </c>
      <c r="P932" s="18">
        <v>0</v>
      </c>
      <c r="Q932" s="18">
        <f t="shared" si="39"/>
        <v>5</v>
      </c>
      <c r="R932" s="1215">
        <v>339</v>
      </c>
      <c r="S932" s="1215">
        <f t="shared" si="40"/>
        <v>3390</v>
      </c>
      <c r="T932" s="18" t="s">
        <v>1957</v>
      </c>
      <c r="U932" s="1859" t="s">
        <v>2586</v>
      </c>
      <c r="V932" s="18"/>
      <c r="W932" s="2021" t="s">
        <v>4053</v>
      </c>
      <c r="X932" s="18"/>
      <c r="Y932" s="4"/>
      <c r="Z932" s="4"/>
    </row>
    <row r="933" spans="1:26" ht="26.1" hidden="1">
      <c r="A933" s="20">
        <v>940</v>
      </c>
      <c r="B933" s="1063">
        <v>40710</v>
      </c>
      <c r="C933" s="18" t="s">
        <v>4054</v>
      </c>
      <c r="D933" s="11"/>
      <c r="E933" s="18" t="s">
        <v>2722</v>
      </c>
      <c r="F933" s="22" t="s">
        <v>2450</v>
      </c>
      <c r="G933" s="18"/>
      <c r="H933" s="18"/>
      <c r="I933" s="18" t="s">
        <v>39</v>
      </c>
      <c r="J933" s="18" t="s">
        <v>4055</v>
      </c>
      <c r="K933" s="18" t="s">
        <v>4056</v>
      </c>
      <c r="L933" s="18"/>
      <c r="M933" s="18">
        <v>100</v>
      </c>
      <c r="N933" s="18">
        <v>100</v>
      </c>
      <c r="O933" s="18">
        <v>100</v>
      </c>
      <c r="P933" s="18">
        <v>0</v>
      </c>
      <c r="Q933" s="18">
        <f t="shared" si="39"/>
        <v>0</v>
      </c>
      <c r="R933" s="1215">
        <v>3.79</v>
      </c>
      <c r="S933" s="1215">
        <f t="shared" si="40"/>
        <v>379</v>
      </c>
      <c r="T933" s="18" t="s">
        <v>1957</v>
      </c>
      <c r="U933" s="1859" t="s">
        <v>2586</v>
      </c>
      <c r="V933" s="18"/>
      <c r="W933" s="2021" t="s">
        <v>4057</v>
      </c>
      <c r="X933" s="18"/>
      <c r="Y933" s="4"/>
      <c r="Z933" s="4"/>
    </row>
    <row r="934" spans="1:26" ht="26.1" hidden="1">
      <c r="A934" s="20">
        <v>941</v>
      </c>
      <c r="B934" s="1063">
        <v>40711</v>
      </c>
      <c r="C934" s="18" t="s">
        <v>3284</v>
      </c>
      <c r="D934" s="11" t="s">
        <v>6</v>
      </c>
      <c r="E934" s="18" t="s">
        <v>2722</v>
      </c>
      <c r="F934" s="18" t="s">
        <v>2693</v>
      </c>
      <c r="G934" s="18" t="s">
        <v>3285</v>
      </c>
      <c r="H934" s="18" t="s">
        <v>1073</v>
      </c>
      <c r="I934" s="18" t="s">
        <v>574</v>
      </c>
      <c r="J934" s="18" t="s">
        <v>1074</v>
      </c>
      <c r="K934" s="18" t="s">
        <v>1075</v>
      </c>
      <c r="L934" s="18"/>
      <c r="M934" s="18">
        <v>2</v>
      </c>
      <c r="N934" s="18">
        <v>1</v>
      </c>
      <c r="O934" s="18">
        <v>3</v>
      </c>
      <c r="P934" s="18">
        <v>1</v>
      </c>
      <c r="Q934" s="18">
        <v>2</v>
      </c>
      <c r="R934" s="1215">
        <v>285</v>
      </c>
      <c r="S934" s="1215">
        <v>855</v>
      </c>
      <c r="T934" s="18" t="s">
        <v>4058</v>
      </c>
      <c r="U934" s="1859" t="s">
        <v>3282</v>
      </c>
      <c r="V934" s="18" t="s">
        <v>931</v>
      </c>
      <c r="W934" s="2021" t="s">
        <v>1076</v>
      </c>
      <c r="X934" s="18"/>
      <c r="Y934" s="4"/>
      <c r="Z934" s="4"/>
    </row>
    <row r="935" spans="1:26" ht="39" hidden="1">
      <c r="A935" s="20">
        <v>942</v>
      </c>
      <c r="B935" s="1063">
        <v>40712</v>
      </c>
      <c r="C935" s="18" t="s">
        <v>4059</v>
      </c>
      <c r="D935" s="11" t="s">
        <v>6</v>
      </c>
      <c r="E935" s="18" t="s">
        <v>2722</v>
      </c>
      <c r="F935" s="18" t="s">
        <v>2693</v>
      </c>
      <c r="G935" s="18" t="s">
        <v>4060</v>
      </c>
      <c r="H935" s="18" t="s">
        <v>3676</v>
      </c>
      <c r="I935" s="18" t="s">
        <v>574</v>
      </c>
      <c r="J935" s="18" t="s">
        <v>4061</v>
      </c>
      <c r="K935" s="18" t="s">
        <v>4062</v>
      </c>
      <c r="L935" s="18"/>
      <c r="M935" s="18">
        <v>2</v>
      </c>
      <c r="N935" s="18">
        <v>1</v>
      </c>
      <c r="O935" s="18">
        <v>10</v>
      </c>
      <c r="P935" s="18">
        <v>0</v>
      </c>
      <c r="Q935" s="18">
        <v>8</v>
      </c>
      <c r="R935" s="1215">
        <v>98.5</v>
      </c>
      <c r="S935" s="1215">
        <v>985</v>
      </c>
      <c r="T935" s="18" t="s">
        <v>3064</v>
      </c>
      <c r="U935" s="1859" t="s">
        <v>3282</v>
      </c>
      <c r="V935" s="18" t="s">
        <v>931</v>
      </c>
      <c r="W935" s="2021" t="s">
        <v>4063</v>
      </c>
      <c r="X935" s="18"/>
      <c r="Y935" s="4"/>
      <c r="Z935" s="4"/>
    </row>
    <row r="936" spans="1:26" ht="26.1" hidden="1">
      <c r="A936" s="20">
        <v>943</v>
      </c>
      <c r="B936" s="1063">
        <v>40713</v>
      </c>
      <c r="C936" s="18" t="s">
        <v>3290</v>
      </c>
      <c r="D936" s="11" t="s">
        <v>6</v>
      </c>
      <c r="E936" s="18" t="s">
        <v>2722</v>
      </c>
      <c r="F936" s="18" t="s">
        <v>2693</v>
      </c>
      <c r="G936" s="18" t="s">
        <v>1084</v>
      </c>
      <c r="H936" s="18" t="s">
        <v>1085</v>
      </c>
      <c r="I936" s="18" t="s">
        <v>1662</v>
      </c>
      <c r="J936" s="18" t="s">
        <v>1086</v>
      </c>
      <c r="K936" s="18" t="s">
        <v>1087</v>
      </c>
      <c r="L936" s="18"/>
      <c r="M936" s="18">
        <v>1</v>
      </c>
      <c r="N936" s="18">
        <v>1</v>
      </c>
      <c r="O936" s="18">
        <v>2</v>
      </c>
      <c r="P936" s="18">
        <v>0</v>
      </c>
      <c r="Q936" s="18">
        <v>1</v>
      </c>
      <c r="R936" s="1215">
        <v>1096</v>
      </c>
      <c r="S936" s="1215">
        <v>2192</v>
      </c>
      <c r="T936" s="18" t="s">
        <v>3064</v>
      </c>
      <c r="U936" s="1859" t="s">
        <v>3282</v>
      </c>
      <c r="V936" s="18" t="s">
        <v>931</v>
      </c>
      <c r="W936" s="2021" t="s">
        <v>1090</v>
      </c>
      <c r="X936" s="18"/>
      <c r="Y936" s="4"/>
      <c r="Z936" s="4"/>
    </row>
    <row r="937" spans="1:26" ht="14.1" hidden="1">
      <c r="A937" s="20">
        <v>944</v>
      </c>
      <c r="B937" s="1063">
        <v>40714</v>
      </c>
      <c r="C937" s="18" t="s">
        <v>4064</v>
      </c>
      <c r="D937" s="11" t="s">
        <v>6</v>
      </c>
      <c r="E937" s="18" t="s">
        <v>2722</v>
      </c>
      <c r="F937" s="18" t="s">
        <v>2143</v>
      </c>
      <c r="G937" s="18" t="s">
        <v>4065</v>
      </c>
      <c r="H937" s="18"/>
      <c r="I937" s="18" t="s">
        <v>4066</v>
      </c>
      <c r="J937" s="18"/>
      <c r="K937" s="18"/>
      <c r="L937" s="18"/>
      <c r="M937" s="18">
        <v>1</v>
      </c>
      <c r="N937" s="18">
        <v>1</v>
      </c>
      <c r="O937" s="18">
        <v>1</v>
      </c>
      <c r="P937" s="18">
        <v>0</v>
      </c>
      <c r="Q937" s="18">
        <v>0</v>
      </c>
      <c r="R937" s="1215">
        <v>300</v>
      </c>
      <c r="S937" s="1215">
        <v>300</v>
      </c>
      <c r="T937" s="18" t="s">
        <v>4067</v>
      </c>
      <c r="U937" s="1859" t="s">
        <v>118</v>
      </c>
      <c r="V937" s="18"/>
      <c r="W937" s="2020"/>
      <c r="X937" s="18"/>
      <c r="Y937" s="4"/>
      <c r="Z937" s="4"/>
    </row>
    <row r="938" spans="1:26" ht="174.95" hidden="1">
      <c r="A938" s="20">
        <v>945</v>
      </c>
      <c r="B938" s="1063">
        <v>40715</v>
      </c>
      <c r="C938" s="18" t="s">
        <v>4068</v>
      </c>
      <c r="D938" s="11" t="s">
        <v>6</v>
      </c>
      <c r="E938" s="18" t="s">
        <v>3999</v>
      </c>
      <c r="F938" s="18" t="s">
        <v>2143</v>
      </c>
      <c r="G938" s="18" t="s">
        <v>4069</v>
      </c>
      <c r="H938" s="18" t="s">
        <v>101</v>
      </c>
      <c r="I938" s="18" t="s">
        <v>482</v>
      </c>
      <c r="J938" s="18">
        <v>3490874</v>
      </c>
      <c r="K938" s="18" t="s">
        <v>4070</v>
      </c>
      <c r="L938" s="18" t="s">
        <v>1</v>
      </c>
      <c r="M938" s="18">
        <v>1</v>
      </c>
      <c r="N938" s="18">
        <v>1</v>
      </c>
      <c r="O938" s="18">
        <v>10</v>
      </c>
      <c r="P938" s="18">
        <v>0</v>
      </c>
      <c r="Q938" s="18">
        <v>9</v>
      </c>
      <c r="R938" s="1215">
        <v>2169</v>
      </c>
      <c r="S938" s="1215">
        <f t="shared" ref="S938:S939" si="41">R938*O938</f>
        <v>21690</v>
      </c>
      <c r="T938" s="18" t="s">
        <v>3064</v>
      </c>
      <c r="U938" s="1859" t="s">
        <v>3094</v>
      </c>
      <c r="V938" s="18" t="s">
        <v>4071</v>
      </c>
      <c r="W938" s="2037" t="s">
        <v>4072</v>
      </c>
      <c r="X938" s="18"/>
      <c r="Y938" s="4"/>
      <c r="Z938" s="4"/>
    </row>
    <row r="939" spans="1:26" ht="174.95" hidden="1">
      <c r="A939" s="20">
        <v>946</v>
      </c>
      <c r="B939" s="1063">
        <v>40716</v>
      </c>
      <c r="C939" s="18" t="s">
        <v>4068</v>
      </c>
      <c r="D939" s="11" t="s">
        <v>6</v>
      </c>
      <c r="E939" s="18" t="s">
        <v>3999</v>
      </c>
      <c r="F939" s="18" t="s">
        <v>2143</v>
      </c>
      <c r="G939" s="18" t="s">
        <v>4073</v>
      </c>
      <c r="H939" s="18" t="s">
        <v>101</v>
      </c>
      <c r="I939" s="18" t="s">
        <v>482</v>
      </c>
      <c r="J939" s="18">
        <v>3890702</v>
      </c>
      <c r="K939" s="18" t="s">
        <v>4074</v>
      </c>
      <c r="L939" s="18" t="s">
        <v>1</v>
      </c>
      <c r="M939" s="18">
        <v>1</v>
      </c>
      <c r="N939" s="18">
        <v>1</v>
      </c>
      <c r="O939" s="18">
        <v>10</v>
      </c>
      <c r="P939" s="18">
        <v>0</v>
      </c>
      <c r="Q939" s="18">
        <v>9</v>
      </c>
      <c r="R939" s="1215">
        <v>2169</v>
      </c>
      <c r="S939" s="1215">
        <f t="shared" si="41"/>
        <v>21690</v>
      </c>
      <c r="T939" s="18" t="s">
        <v>3064</v>
      </c>
      <c r="U939" s="1859" t="s">
        <v>3094</v>
      </c>
      <c r="V939" s="18" t="s">
        <v>4071</v>
      </c>
      <c r="W939" s="2037" t="s">
        <v>4072</v>
      </c>
      <c r="X939" s="18"/>
      <c r="Y939" s="4"/>
      <c r="Z939" s="4"/>
    </row>
    <row r="940" spans="1:26" ht="14.1" hidden="1">
      <c r="A940" s="20">
        <v>947</v>
      </c>
      <c r="B940" s="1063">
        <v>40717</v>
      </c>
      <c r="C940" s="18" t="s">
        <v>4075</v>
      </c>
      <c r="D940" s="11"/>
      <c r="E940" s="18" t="s">
        <v>2722</v>
      </c>
      <c r="F940" s="18" t="s">
        <v>99</v>
      </c>
      <c r="G940" s="18" t="s">
        <v>4076</v>
      </c>
      <c r="H940" s="18" t="s">
        <v>4077</v>
      </c>
      <c r="I940" s="18" t="s">
        <v>4077</v>
      </c>
      <c r="J940" s="18"/>
      <c r="K940" s="18"/>
      <c r="L940" s="18"/>
      <c r="M940" s="18" t="s">
        <v>1140</v>
      </c>
      <c r="N940" s="18">
        <v>100</v>
      </c>
      <c r="O940" s="18">
        <v>100</v>
      </c>
      <c r="P940" s="18">
        <v>0</v>
      </c>
      <c r="Q940" s="18">
        <v>100</v>
      </c>
      <c r="R940" s="1215">
        <v>4350</v>
      </c>
      <c r="S940" s="1215">
        <v>4350</v>
      </c>
      <c r="T940" s="18"/>
      <c r="U940" s="1859"/>
      <c r="V940" s="18"/>
      <c r="W940" s="2020"/>
      <c r="X940" s="18"/>
      <c r="Y940" s="4"/>
      <c r="Z940" s="4"/>
    </row>
    <row r="941" spans="1:26" ht="37.5" hidden="1">
      <c r="A941" s="20">
        <v>948</v>
      </c>
      <c r="B941" s="1063">
        <v>40718</v>
      </c>
      <c r="C941" s="18" t="s">
        <v>4078</v>
      </c>
      <c r="D941" s="11" t="s">
        <v>6</v>
      </c>
      <c r="E941" s="18" t="s">
        <v>2722</v>
      </c>
      <c r="F941" s="18" t="s">
        <v>2143</v>
      </c>
      <c r="G941" s="18" t="s">
        <v>4079</v>
      </c>
      <c r="H941" s="18" t="s">
        <v>4080</v>
      </c>
      <c r="I941" s="18" t="s">
        <v>574</v>
      </c>
      <c r="J941" s="18" t="s">
        <v>4081</v>
      </c>
      <c r="K941" s="18" t="s">
        <v>4082</v>
      </c>
      <c r="L941" s="18">
        <v>1608</v>
      </c>
      <c r="M941" s="18">
        <v>1</v>
      </c>
      <c r="N941" s="18">
        <v>1</v>
      </c>
      <c r="O941" s="18">
        <v>10</v>
      </c>
      <c r="P941" s="18">
        <v>0</v>
      </c>
      <c r="Q941" s="18">
        <v>9</v>
      </c>
      <c r="R941" s="1215">
        <v>260.10000000000002</v>
      </c>
      <c r="S941" s="1215">
        <f t="shared" ref="S941:S947" si="42">R941*O941</f>
        <v>2601</v>
      </c>
      <c r="T941" s="18" t="s">
        <v>3064</v>
      </c>
      <c r="U941" s="1859" t="s">
        <v>3094</v>
      </c>
      <c r="V941" s="18" t="s">
        <v>931</v>
      </c>
      <c r="W941" s="2037" t="s">
        <v>4083</v>
      </c>
      <c r="X941" s="18" t="s">
        <v>4084</v>
      </c>
      <c r="Y941" s="4"/>
      <c r="Z941" s="4"/>
    </row>
    <row r="942" spans="1:26" ht="39" hidden="1">
      <c r="A942" s="20">
        <v>949</v>
      </c>
      <c r="B942" s="1063">
        <v>40719</v>
      </c>
      <c r="C942" s="18" t="s">
        <v>4085</v>
      </c>
      <c r="D942" s="11"/>
      <c r="E942" s="18"/>
      <c r="F942" s="18" t="s">
        <v>99</v>
      </c>
      <c r="G942" s="18"/>
      <c r="H942" s="18" t="s">
        <v>4086</v>
      </c>
      <c r="I942" s="18" t="s">
        <v>84</v>
      </c>
      <c r="J942" s="18"/>
      <c r="K942" s="18"/>
      <c r="L942" s="18"/>
      <c r="M942" s="18">
        <v>1</v>
      </c>
      <c r="N942" s="18">
        <v>1</v>
      </c>
      <c r="O942" s="18">
        <v>1</v>
      </c>
      <c r="P942" s="18">
        <v>1</v>
      </c>
      <c r="Q942" s="18">
        <v>1</v>
      </c>
      <c r="R942" s="1215">
        <v>5990</v>
      </c>
      <c r="S942" s="1215">
        <f t="shared" si="42"/>
        <v>5990</v>
      </c>
      <c r="T942" s="18"/>
      <c r="U942" s="1859"/>
      <c r="V942" s="18"/>
      <c r="W942" s="2021" t="s">
        <v>4087</v>
      </c>
      <c r="X942" s="18"/>
      <c r="Y942" s="4"/>
      <c r="Z942" s="4"/>
    </row>
    <row r="943" spans="1:26" ht="26.1" hidden="1">
      <c r="A943" s="20">
        <v>950</v>
      </c>
      <c r="B943" s="1063">
        <v>40720</v>
      </c>
      <c r="C943" s="18" t="s">
        <v>4088</v>
      </c>
      <c r="D943" s="11"/>
      <c r="E943" s="18"/>
      <c r="F943" s="18" t="s">
        <v>99</v>
      </c>
      <c r="G943" s="18"/>
      <c r="H943" s="18" t="s">
        <v>4086</v>
      </c>
      <c r="I943" s="18" t="s">
        <v>84</v>
      </c>
      <c r="J943" s="18"/>
      <c r="K943" s="18"/>
      <c r="L943" s="18"/>
      <c r="M943" s="18">
        <v>1</v>
      </c>
      <c r="N943" s="18">
        <v>1</v>
      </c>
      <c r="O943" s="18">
        <v>1</v>
      </c>
      <c r="P943" s="18">
        <v>1</v>
      </c>
      <c r="Q943" s="18">
        <v>1</v>
      </c>
      <c r="R943" s="1215">
        <v>2990</v>
      </c>
      <c r="S943" s="1215">
        <f t="shared" si="42"/>
        <v>2990</v>
      </c>
      <c r="T943" s="18"/>
      <c r="U943" s="1859"/>
      <c r="V943" s="18"/>
      <c r="W943" s="2021" t="s">
        <v>4089</v>
      </c>
      <c r="X943" s="18"/>
      <c r="Y943" s="4"/>
      <c r="Z943" s="4"/>
    </row>
    <row r="944" spans="1:26" ht="14.1" hidden="1">
      <c r="A944" s="20">
        <v>951</v>
      </c>
      <c r="B944" s="1063">
        <v>40721</v>
      </c>
      <c r="C944" s="18" t="s">
        <v>4090</v>
      </c>
      <c r="D944" s="11"/>
      <c r="E944" s="18"/>
      <c r="F944" s="18" t="s">
        <v>99</v>
      </c>
      <c r="G944" s="18"/>
      <c r="H944" s="18" t="s">
        <v>4086</v>
      </c>
      <c r="I944" s="18" t="s">
        <v>84</v>
      </c>
      <c r="J944" s="18"/>
      <c r="K944" s="18"/>
      <c r="L944" s="18"/>
      <c r="M944" s="18">
        <v>1</v>
      </c>
      <c r="N944" s="18">
        <v>1</v>
      </c>
      <c r="O944" s="18">
        <v>1</v>
      </c>
      <c r="P944" s="18">
        <v>1</v>
      </c>
      <c r="Q944" s="18">
        <v>1</v>
      </c>
      <c r="R944" s="1215">
        <v>779</v>
      </c>
      <c r="S944" s="1215">
        <f t="shared" si="42"/>
        <v>779</v>
      </c>
      <c r="T944" s="18"/>
      <c r="U944" s="1859"/>
      <c r="V944" s="18"/>
      <c r="W944" s="2021" t="s">
        <v>4091</v>
      </c>
      <c r="X944" s="18"/>
      <c r="Y944" s="4"/>
      <c r="Z944" s="4"/>
    </row>
    <row r="945" spans="1:26" ht="26.1" hidden="1">
      <c r="A945" s="20">
        <v>952</v>
      </c>
      <c r="B945" s="1063">
        <v>40722</v>
      </c>
      <c r="C945" s="18" t="s">
        <v>4092</v>
      </c>
      <c r="D945" s="11"/>
      <c r="E945" s="18"/>
      <c r="F945" s="18" t="s">
        <v>99</v>
      </c>
      <c r="G945" s="18"/>
      <c r="H945" s="18" t="s">
        <v>4093</v>
      </c>
      <c r="I945" s="18" t="s">
        <v>84</v>
      </c>
      <c r="J945" s="18"/>
      <c r="K945" s="18"/>
      <c r="L945" s="18"/>
      <c r="M945" s="18">
        <v>1</v>
      </c>
      <c r="N945" s="18">
        <v>1</v>
      </c>
      <c r="O945" s="18">
        <v>1</v>
      </c>
      <c r="P945" s="18">
        <v>1</v>
      </c>
      <c r="Q945" s="18">
        <v>1</v>
      </c>
      <c r="R945" s="1215">
        <v>689</v>
      </c>
      <c r="S945" s="1215">
        <f t="shared" si="42"/>
        <v>689</v>
      </c>
      <c r="T945" s="18"/>
      <c r="U945" s="1859"/>
      <c r="V945" s="18"/>
      <c r="W945" s="2021" t="s">
        <v>4094</v>
      </c>
      <c r="X945" s="18"/>
      <c r="Y945" s="4"/>
      <c r="Z945" s="4"/>
    </row>
    <row r="946" spans="1:26" ht="26.1" hidden="1">
      <c r="A946" s="20">
        <v>953</v>
      </c>
      <c r="B946" s="1063">
        <v>40723</v>
      </c>
      <c r="C946" s="18" t="s">
        <v>4095</v>
      </c>
      <c r="D946" s="11"/>
      <c r="E946" s="18"/>
      <c r="F946" s="18" t="s">
        <v>99</v>
      </c>
      <c r="G946" s="18"/>
      <c r="H946" s="18" t="s">
        <v>4086</v>
      </c>
      <c r="I946" s="18" t="s">
        <v>84</v>
      </c>
      <c r="J946" s="18"/>
      <c r="K946" s="18"/>
      <c r="L946" s="18"/>
      <c r="M946" s="18">
        <v>1</v>
      </c>
      <c r="N946" s="18">
        <v>1</v>
      </c>
      <c r="O946" s="18">
        <v>1</v>
      </c>
      <c r="P946" s="18">
        <v>1</v>
      </c>
      <c r="Q946" s="18">
        <v>1</v>
      </c>
      <c r="R946" s="1215">
        <v>2990</v>
      </c>
      <c r="S946" s="1215">
        <f t="shared" si="42"/>
        <v>2990</v>
      </c>
      <c r="T946" s="18"/>
      <c r="U946" s="1859"/>
      <c r="V946" s="18"/>
      <c r="W946" s="2021" t="s">
        <v>4096</v>
      </c>
      <c r="X946" s="18"/>
      <c r="Y946" s="4"/>
      <c r="Z946" s="4"/>
    </row>
    <row r="947" spans="1:26" ht="14.1" hidden="1">
      <c r="A947" s="20">
        <v>954</v>
      </c>
      <c r="B947" s="1063">
        <v>40724</v>
      </c>
      <c r="C947" s="18" t="s">
        <v>4095</v>
      </c>
      <c r="D947" s="11"/>
      <c r="E947" s="18"/>
      <c r="F947" s="18" t="s">
        <v>99</v>
      </c>
      <c r="G947" s="18"/>
      <c r="H947" s="18" t="s">
        <v>4093</v>
      </c>
      <c r="I947" s="18" t="s">
        <v>84</v>
      </c>
      <c r="J947" s="18"/>
      <c r="K947" s="18"/>
      <c r="L947" s="18"/>
      <c r="M947" s="18">
        <v>1</v>
      </c>
      <c r="N947" s="18">
        <v>1</v>
      </c>
      <c r="O947" s="18">
        <v>1</v>
      </c>
      <c r="P947" s="18">
        <v>1</v>
      </c>
      <c r="Q947" s="18">
        <v>1</v>
      </c>
      <c r="R947" s="1215">
        <v>2990</v>
      </c>
      <c r="S947" s="1215">
        <f t="shared" si="42"/>
        <v>2990</v>
      </c>
      <c r="T947" s="18"/>
      <c r="U947" s="1859"/>
      <c r="V947" s="18"/>
      <c r="W947" s="2020"/>
      <c r="X947" s="18"/>
      <c r="Y947" s="4"/>
      <c r="Z947" s="4"/>
    </row>
    <row r="948" spans="1:26" ht="14.1" hidden="1">
      <c r="A948" s="20">
        <v>955</v>
      </c>
      <c r="B948" s="1063">
        <v>40725</v>
      </c>
      <c r="C948" s="18" t="s">
        <v>4097</v>
      </c>
      <c r="D948" s="11"/>
      <c r="E948" s="18" t="s">
        <v>2722</v>
      </c>
      <c r="F948" s="18" t="s">
        <v>2699</v>
      </c>
      <c r="G948" s="18"/>
      <c r="H948" s="18"/>
      <c r="I948" s="18" t="s">
        <v>4098</v>
      </c>
      <c r="J948" s="18"/>
      <c r="K948" s="18"/>
      <c r="L948" s="18"/>
      <c r="M948" s="18">
        <v>3</v>
      </c>
      <c r="N948" s="18">
        <v>1</v>
      </c>
      <c r="O948" s="18">
        <v>15</v>
      </c>
      <c r="P948" s="18">
        <v>0</v>
      </c>
      <c r="Q948" s="18">
        <v>15</v>
      </c>
      <c r="R948" s="1215">
        <v>9500</v>
      </c>
      <c r="S948" s="1215">
        <v>144500</v>
      </c>
      <c r="T948" s="18"/>
      <c r="U948" s="1859"/>
      <c r="V948" s="18"/>
      <c r="W948" s="2020"/>
      <c r="X948" s="18"/>
      <c r="Y948" s="4"/>
      <c r="Z948" s="4"/>
    </row>
    <row r="949" spans="1:26" ht="225" hidden="1">
      <c r="A949" s="20">
        <v>956</v>
      </c>
      <c r="B949" s="1063">
        <v>40726</v>
      </c>
      <c r="C949" s="18" t="s">
        <v>4099</v>
      </c>
      <c r="D949" s="11"/>
      <c r="E949" s="18" t="s">
        <v>2722</v>
      </c>
      <c r="F949" s="18" t="s">
        <v>2143</v>
      </c>
      <c r="G949" s="18" t="s">
        <v>4100</v>
      </c>
      <c r="H949" s="18" t="s">
        <v>4101</v>
      </c>
      <c r="I949" s="18" t="s">
        <v>1022</v>
      </c>
      <c r="J949" s="18"/>
      <c r="K949" s="18" t="s">
        <v>4102</v>
      </c>
      <c r="L949" s="18" t="s">
        <v>4103</v>
      </c>
      <c r="M949" s="18">
        <v>1</v>
      </c>
      <c r="N949" s="18">
        <v>1</v>
      </c>
      <c r="O949" s="18">
        <v>1</v>
      </c>
      <c r="P949" s="18">
        <v>0</v>
      </c>
      <c r="Q949" s="18">
        <v>1</v>
      </c>
      <c r="R949" s="1215">
        <v>24099</v>
      </c>
      <c r="S949" s="1215">
        <v>24099</v>
      </c>
      <c r="T949" s="18" t="s">
        <v>1009</v>
      </c>
      <c r="U949" s="1859" t="s">
        <v>3094</v>
      </c>
      <c r="V949" s="18" t="s">
        <v>1009</v>
      </c>
      <c r="W949" s="2037" t="s">
        <v>4104</v>
      </c>
      <c r="X949" s="18"/>
      <c r="Y949" s="4"/>
      <c r="Z949" s="4"/>
    </row>
    <row r="950" spans="1:26" ht="287.45" hidden="1">
      <c r="A950" s="20">
        <v>957</v>
      </c>
      <c r="B950" s="1063">
        <v>40727</v>
      </c>
      <c r="C950" s="18" t="s">
        <v>4105</v>
      </c>
      <c r="D950" s="11"/>
      <c r="E950" s="18" t="s">
        <v>2722</v>
      </c>
      <c r="F950" s="18" t="s">
        <v>2143</v>
      </c>
      <c r="G950" s="18" t="s">
        <v>4106</v>
      </c>
      <c r="H950" s="18" t="s">
        <v>4101</v>
      </c>
      <c r="I950" s="18" t="s">
        <v>1022</v>
      </c>
      <c r="J950" s="18"/>
      <c r="K950" s="18"/>
      <c r="L950" s="18"/>
      <c r="M950" s="18">
        <v>1</v>
      </c>
      <c r="N950" s="18">
        <v>1</v>
      </c>
      <c r="O950" s="18">
        <v>1</v>
      </c>
      <c r="P950" s="18">
        <v>0</v>
      </c>
      <c r="Q950" s="18">
        <v>1</v>
      </c>
      <c r="R950" s="1215">
        <v>2599</v>
      </c>
      <c r="S950" s="1215">
        <v>2599</v>
      </c>
      <c r="T950" s="18" t="s">
        <v>1009</v>
      </c>
      <c r="U950" s="1859" t="s">
        <v>3094</v>
      </c>
      <c r="V950" s="18" t="s">
        <v>1009</v>
      </c>
      <c r="W950" s="2037" t="s">
        <v>4107</v>
      </c>
      <c r="X950" s="18"/>
      <c r="Y950" s="4"/>
      <c r="Z950" s="4"/>
    </row>
    <row r="951" spans="1:26" ht="187.5" hidden="1">
      <c r="A951" s="20">
        <v>958</v>
      </c>
      <c r="B951" s="1063">
        <v>40728</v>
      </c>
      <c r="C951" s="18" t="s">
        <v>4108</v>
      </c>
      <c r="D951" s="11"/>
      <c r="E951" s="18" t="s">
        <v>2722</v>
      </c>
      <c r="F951" s="18" t="s">
        <v>2143</v>
      </c>
      <c r="G951" s="18" t="s">
        <v>4109</v>
      </c>
      <c r="H951" s="18" t="s">
        <v>4110</v>
      </c>
      <c r="I951" s="18" t="s">
        <v>1022</v>
      </c>
      <c r="J951" s="18"/>
      <c r="K951" s="18"/>
      <c r="L951" s="18"/>
      <c r="M951" s="18">
        <v>1</v>
      </c>
      <c r="N951" s="18">
        <v>3</v>
      </c>
      <c r="O951" s="18">
        <v>3</v>
      </c>
      <c r="P951" s="18">
        <v>0</v>
      </c>
      <c r="Q951" s="18">
        <v>2</v>
      </c>
      <c r="R951" s="1215">
        <v>2257</v>
      </c>
      <c r="S951" s="1215">
        <v>2257</v>
      </c>
      <c r="T951" s="18" t="s">
        <v>1009</v>
      </c>
      <c r="U951" s="1859" t="s">
        <v>3094</v>
      </c>
      <c r="V951" s="18" t="s">
        <v>1009</v>
      </c>
      <c r="W951" s="2037" t="s">
        <v>4111</v>
      </c>
      <c r="X951" s="18"/>
      <c r="Y951" s="4"/>
      <c r="Z951" s="4"/>
    </row>
    <row r="952" spans="1:26" ht="14.1" hidden="1">
      <c r="A952" s="20">
        <v>959</v>
      </c>
      <c r="B952" s="1063">
        <v>40729</v>
      </c>
      <c r="C952" s="18" t="s">
        <v>4112</v>
      </c>
      <c r="D952" s="11"/>
      <c r="E952" s="18" t="s">
        <v>62</v>
      </c>
      <c r="F952" s="18" t="s">
        <v>2693</v>
      </c>
      <c r="G952" s="18" t="s">
        <v>4113</v>
      </c>
      <c r="H952" s="18" t="s">
        <v>4114</v>
      </c>
      <c r="I952" s="18" t="s">
        <v>4115</v>
      </c>
      <c r="J952" s="18"/>
      <c r="K952" s="106" t="s">
        <v>4116</v>
      </c>
      <c r="L952" s="18"/>
      <c r="M952" s="18">
        <v>1</v>
      </c>
      <c r="N952" s="18">
        <v>1</v>
      </c>
      <c r="O952" s="18">
        <v>1</v>
      </c>
      <c r="P952" s="18">
        <v>0</v>
      </c>
      <c r="Q952" s="18">
        <v>1</v>
      </c>
      <c r="R952" s="1215">
        <v>32222.2</v>
      </c>
      <c r="S952" s="1215">
        <v>34800</v>
      </c>
      <c r="T952" s="18" t="s">
        <v>1009</v>
      </c>
      <c r="U952" s="1859" t="s">
        <v>3282</v>
      </c>
      <c r="V952" s="18" t="s">
        <v>931</v>
      </c>
      <c r="W952" s="2038"/>
      <c r="X952" s="18"/>
      <c r="Y952" s="4"/>
      <c r="Z952" s="4"/>
    </row>
    <row r="953" spans="1:26" ht="39" hidden="1">
      <c r="A953" s="20">
        <v>960</v>
      </c>
      <c r="B953" s="1063">
        <v>40730</v>
      </c>
      <c r="C953" s="18" t="s">
        <v>4117</v>
      </c>
      <c r="D953" s="11"/>
      <c r="E953" s="18" t="s">
        <v>2722</v>
      </c>
      <c r="F953" s="18" t="s">
        <v>2450</v>
      </c>
      <c r="G953" s="18"/>
      <c r="H953" s="18" t="s">
        <v>4118</v>
      </c>
      <c r="I953" s="18" t="s">
        <v>574</v>
      </c>
      <c r="J953" s="18" t="s">
        <v>4119</v>
      </c>
      <c r="K953" s="18" t="s">
        <v>4120</v>
      </c>
      <c r="L953" s="18" t="s">
        <v>4121</v>
      </c>
      <c r="M953" s="18">
        <v>32</v>
      </c>
      <c r="N953" s="18">
        <v>1</v>
      </c>
      <c r="O953" s="18">
        <v>10</v>
      </c>
      <c r="P953" s="18">
        <v>25</v>
      </c>
      <c r="Q953" s="18">
        <f t="shared" ref="Q953:Q954" si="43">O953+P953-M953</f>
        <v>3</v>
      </c>
      <c r="R953" s="1215">
        <v>373</v>
      </c>
      <c r="S953" s="1215">
        <f t="shared" ref="S953:S954" si="44">R953*O953</f>
        <v>3730</v>
      </c>
      <c r="T953" s="18" t="s">
        <v>1957</v>
      </c>
      <c r="U953" s="1859" t="s">
        <v>4122</v>
      </c>
      <c r="V953" s="18" t="s">
        <v>3342</v>
      </c>
      <c r="W953" s="2021" t="str">
        <f>HYPERLINK("https://www.digikey.jp/product-detail/ja/infineon-technologies/BAT54E6327HTSA1/BAT54E6327HTSA1CT-ND/1287647","https://www.digikey.jp/product-detail/ja/infineon-technologies/BAT54E6327HTSA1/BAT54E6327HTSA1CT-ND/1287647")</f>
        <v>https://www.digikey.jp/product-detail/ja/infineon-technologies/BAT54E6327HTSA1/BAT54E6327HTSA1CT-ND/1287647</v>
      </c>
      <c r="X953" s="18"/>
      <c r="Y953" s="4"/>
      <c r="Z953" s="4"/>
    </row>
    <row r="954" spans="1:26" ht="14.1" hidden="1">
      <c r="A954" s="20">
        <v>961</v>
      </c>
      <c r="B954" s="1063">
        <v>40731</v>
      </c>
      <c r="C954" s="18" t="s">
        <v>4123</v>
      </c>
      <c r="D954" s="11"/>
      <c r="E954" s="18" t="s">
        <v>2722</v>
      </c>
      <c r="F954" s="18" t="s">
        <v>2450</v>
      </c>
      <c r="G954" s="18" t="s">
        <v>4124</v>
      </c>
      <c r="H954" s="18" t="s">
        <v>468</v>
      </c>
      <c r="I954" s="18" t="s">
        <v>468</v>
      </c>
      <c r="J954" s="18" t="s">
        <v>469</v>
      </c>
      <c r="K954" s="18" t="s">
        <v>469</v>
      </c>
      <c r="L954" s="18"/>
      <c r="M954" s="18">
        <v>20</v>
      </c>
      <c r="N954" s="18">
        <v>1</v>
      </c>
      <c r="O954" s="18">
        <v>20</v>
      </c>
      <c r="P954" s="18">
        <v>0</v>
      </c>
      <c r="Q954" s="18">
        <f t="shared" si="43"/>
        <v>0</v>
      </c>
      <c r="R954" s="1215">
        <v>43</v>
      </c>
      <c r="S954" s="1215">
        <f t="shared" si="44"/>
        <v>860</v>
      </c>
      <c r="T954" s="18" t="s">
        <v>1957</v>
      </c>
      <c r="U954" s="1859" t="s">
        <v>4125</v>
      </c>
      <c r="V954" s="18" t="s">
        <v>3342</v>
      </c>
      <c r="W954" s="2021" t="str">
        <f>HYPERLINK("http://hirosugi.co.jp/products/N/FSM-20.html","http://hirosugi.co.jp/products/N/FSM-20.html")</f>
        <v>http://hirosugi.co.jp/products/N/FSM-20.html</v>
      </c>
      <c r="X954" s="18"/>
      <c r="Y954" s="4"/>
      <c r="Z954" s="4"/>
    </row>
    <row r="955" spans="1:26" ht="26.1" hidden="1">
      <c r="A955" s="20">
        <v>962</v>
      </c>
      <c r="B955" s="1063">
        <v>40732</v>
      </c>
      <c r="C955" s="18" t="s">
        <v>2594</v>
      </c>
      <c r="D955" s="11"/>
      <c r="E955" s="18" t="s">
        <v>2722</v>
      </c>
      <c r="F955" s="18" t="s">
        <v>2450</v>
      </c>
      <c r="G955" s="18" t="s">
        <v>4126</v>
      </c>
      <c r="H955" s="18"/>
      <c r="I955" s="18" t="s">
        <v>382</v>
      </c>
      <c r="J955" s="18" t="s">
        <v>2595</v>
      </c>
      <c r="K955" s="18" t="s">
        <v>2595</v>
      </c>
      <c r="L955" s="18"/>
      <c r="M955" s="18">
        <v>24</v>
      </c>
      <c r="N955" s="18" t="s">
        <v>4127</v>
      </c>
      <c r="O955" s="18" t="s">
        <v>4127</v>
      </c>
      <c r="P955" s="18">
        <v>14</v>
      </c>
      <c r="Q955" s="18">
        <v>0</v>
      </c>
      <c r="R955" s="1215">
        <v>80</v>
      </c>
      <c r="S955" s="1215">
        <v>800</v>
      </c>
      <c r="T955" s="18" t="s">
        <v>1957</v>
      </c>
      <c r="U955" s="1859" t="s">
        <v>301</v>
      </c>
      <c r="V955" s="18" t="s">
        <v>931</v>
      </c>
      <c r="W955" s="2021" t="str">
        <f>HYPERLINK("https://www.nbk1560.com/products/specialscrew/nedzicom/lowsmallheadscrew/SSHS/SSHS-M2/SSHS-M2-6/","https://www.nbk1560.com/products/specialscrew/nedzicom/lowsmallheadscrew/SSHS/SSHS-M2/SSHS-M2-6/")</f>
        <v>https://www.nbk1560.com/products/specialscrew/nedzicom/lowsmallheadscrew/SSHS/SSHS-M2/SSHS-M2-6/</v>
      </c>
      <c r="X955" s="18"/>
      <c r="Y955" s="4"/>
      <c r="Z955" s="4"/>
    </row>
    <row r="956" spans="1:26" ht="26.1" hidden="1">
      <c r="A956" s="20">
        <v>963</v>
      </c>
      <c r="B956" s="1063">
        <v>40733</v>
      </c>
      <c r="C956" s="18" t="s">
        <v>2594</v>
      </c>
      <c r="D956" s="11"/>
      <c r="E956" s="18" t="s">
        <v>2722</v>
      </c>
      <c r="F956" s="18" t="s">
        <v>2450</v>
      </c>
      <c r="G956" s="18" t="s">
        <v>4126</v>
      </c>
      <c r="H956" s="18"/>
      <c r="I956" s="18" t="s">
        <v>382</v>
      </c>
      <c r="J956" s="18" t="s">
        <v>2597</v>
      </c>
      <c r="K956" s="18" t="s">
        <v>2597</v>
      </c>
      <c r="L956" s="18"/>
      <c r="M956" s="18">
        <v>24</v>
      </c>
      <c r="N956" s="18" t="s">
        <v>4127</v>
      </c>
      <c r="O956" s="18" t="s">
        <v>4127</v>
      </c>
      <c r="P956" s="18">
        <v>14</v>
      </c>
      <c r="Q956" s="18">
        <v>0</v>
      </c>
      <c r="R956" s="1215">
        <v>80</v>
      </c>
      <c r="S956" s="1215">
        <v>800</v>
      </c>
      <c r="T956" s="18" t="s">
        <v>1957</v>
      </c>
      <c r="U956" s="1859" t="s">
        <v>301</v>
      </c>
      <c r="V956" s="18" t="s">
        <v>931</v>
      </c>
      <c r="W956" s="2021" t="str">
        <f>HYPERLINK("https://www.nbk1560.com/products/specialscrew/nedzicom/lowsmallheadscrew/SSHS/SSHS-M2/SSHS-M2-8/","https://www.nbk1560.com/products/specialscrew/nedzicom/lowsmallheadscrew/SSHS/SSHS-M2/SSHS-M2-8/")</f>
        <v>https://www.nbk1560.com/products/specialscrew/nedzicom/lowsmallheadscrew/SSHS/SSHS-M2/SSHS-M2-8/</v>
      </c>
      <c r="X956" s="18"/>
      <c r="Y956" s="4"/>
      <c r="Z956" s="4"/>
    </row>
    <row r="957" spans="1:26" ht="26.1" hidden="1">
      <c r="A957" s="20">
        <v>964</v>
      </c>
      <c r="B957" s="1063">
        <v>40734</v>
      </c>
      <c r="C957" s="18" t="s">
        <v>2594</v>
      </c>
      <c r="D957" s="11"/>
      <c r="E957" s="18" t="s">
        <v>2722</v>
      </c>
      <c r="F957" s="18" t="s">
        <v>2450</v>
      </c>
      <c r="G957" s="18" t="s">
        <v>4128</v>
      </c>
      <c r="H957" s="18"/>
      <c r="I957" s="18" t="s">
        <v>382</v>
      </c>
      <c r="J957" s="18" t="s">
        <v>2600</v>
      </c>
      <c r="K957" s="18" t="s">
        <v>2600</v>
      </c>
      <c r="L957" s="18"/>
      <c r="M957" s="18">
        <v>8</v>
      </c>
      <c r="N957" s="18" t="s">
        <v>4127</v>
      </c>
      <c r="O957" s="18" t="s">
        <v>4127</v>
      </c>
      <c r="P957" s="18">
        <v>2</v>
      </c>
      <c r="Q957" s="18">
        <v>4</v>
      </c>
      <c r="R957" s="1215">
        <v>47</v>
      </c>
      <c r="S957" s="1215">
        <v>470</v>
      </c>
      <c r="T957" s="18" t="s">
        <v>1957</v>
      </c>
      <c r="U957" s="1859" t="s">
        <v>301</v>
      </c>
      <c r="V957" s="18" t="s">
        <v>931</v>
      </c>
      <c r="W957" s="2021" t="str">
        <f>HYPERLINK("https://www.nbk1560.com/products/specialscrew/nedzicom/miniaturescrew/SNSS/SNSS-M1.6/SNSS-M1.6-6/","https://www.nbk1560.com/products/specialscrew/nedzicom/miniaturescrew/SNSS/SNSS-M1.6/SNSS-M1.6-6/")</f>
        <v>https://www.nbk1560.com/products/specialscrew/nedzicom/miniaturescrew/SNSS/SNSS-M1.6/SNSS-M1.6-6/</v>
      </c>
      <c r="X957" s="18"/>
      <c r="Y957" s="4"/>
      <c r="Z957" s="4"/>
    </row>
    <row r="958" spans="1:26" ht="26.1" hidden="1">
      <c r="A958" s="20">
        <v>965</v>
      </c>
      <c r="B958" s="1063">
        <v>40735</v>
      </c>
      <c r="C958" s="18" t="s">
        <v>2594</v>
      </c>
      <c r="D958" s="11"/>
      <c r="E958" s="18" t="s">
        <v>2722</v>
      </c>
      <c r="F958" s="18" t="s">
        <v>2450</v>
      </c>
      <c r="G958" s="18" t="s">
        <v>4128</v>
      </c>
      <c r="H958" s="18"/>
      <c r="I958" s="18" t="s">
        <v>382</v>
      </c>
      <c r="J958" s="18" t="s">
        <v>2602</v>
      </c>
      <c r="K958" s="18" t="s">
        <v>2602</v>
      </c>
      <c r="L958" s="18"/>
      <c r="M958" s="18">
        <v>32</v>
      </c>
      <c r="N958" s="18" t="s">
        <v>4127</v>
      </c>
      <c r="O958" s="18" t="s">
        <v>4127</v>
      </c>
      <c r="P958" s="18">
        <v>24</v>
      </c>
      <c r="Q958" s="18">
        <v>2</v>
      </c>
      <c r="R958" s="1215">
        <v>38</v>
      </c>
      <c r="S958" s="1215">
        <v>380</v>
      </c>
      <c r="T958" s="18" t="s">
        <v>1957</v>
      </c>
      <c r="U958" s="1859" t="s">
        <v>301</v>
      </c>
      <c r="V958" s="18" t="s">
        <v>931</v>
      </c>
      <c r="W958" s="2021" t="str">
        <f>HYPERLINK("https://www.nbk1560.com/products/specialscrew/nedzicom/miniaturescrew/SNSS/SNSS-M2/SNSS-M2-4/","https://www.nbk1560.com/products/specialscrew/nedzicom/miniaturescrew/SNSS/SNSS-M2/SNSS-M2-4/")</f>
        <v>https://www.nbk1560.com/products/specialscrew/nedzicom/miniaturescrew/SNSS/SNSS-M2/SNSS-M2-4/</v>
      </c>
      <c r="X958" s="18"/>
      <c r="Y958" s="4"/>
      <c r="Z958" s="4"/>
    </row>
    <row r="959" spans="1:26" ht="26.1" hidden="1">
      <c r="A959" s="20">
        <v>966</v>
      </c>
      <c r="B959" s="1063">
        <v>40736</v>
      </c>
      <c r="C959" s="18" t="s">
        <v>2594</v>
      </c>
      <c r="D959" s="11"/>
      <c r="E959" s="18" t="s">
        <v>2722</v>
      </c>
      <c r="F959" s="18" t="s">
        <v>2450</v>
      </c>
      <c r="G959" s="18" t="s">
        <v>4128</v>
      </c>
      <c r="H959" s="18"/>
      <c r="I959" s="18" t="s">
        <v>382</v>
      </c>
      <c r="J959" s="18" t="s">
        <v>2606</v>
      </c>
      <c r="K959" s="18" t="s">
        <v>2606</v>
      </c>
      <c r="L959" s="18"/>
      <c r="M959" s="18">
        <v>64</v>
      </c>
      <c r="N959" s="18" t="s">
        <v>4127</v>
      </c>
      <c r="O959" s="18" t="s">
        <v>4129</v>
      </c>
      <c r="P959" s="18">
        <v>58</v>
      </c>
      <c r="Q959" s="18">
        <v>14</v>
      </c>
      <c r="R959" s="1215">
        <v>38</v>
      </c>
      <c r="S959" s="1215">
        <v>760</v>
      </c>
      <c r="T959" s="18" t="s">
        <v>1957</v>
      </c>
      <c r="U959" s="1859" t="s">
        <v>301</v>
      </c>
      <c r="V959" s="18" t="s">
        <v>931</v>
      </c>
      <c r="W959" s="2021" t="str">
        <f>HYPERLINK("https://www.nbk1560.com/products/specialscrew/nedzicom/miniaturescrew/SNSS/SNSS-M2/SNSS-M2-5/","https://www.nbk1560.com/products/specialscrew/nedzicom/miniaturescrew/SNSS/SNSS-M2/SNSS-M2-5/")</f>
        <v>https://www.nbk1560.com/products/specialscrew/nedzicom/miniaturescrew/SNSS/SNSS-M2/SNSS-M2-5/</v>
      </c>
      <c r="X959" s="18"/>
      <c r="Y959" s="4"/>
      <c r="Z959" s="4"/>
    </row>
    <row r="960" spans="1:26" ht="39" hidden="1">
      <c r="A960" s="20">
        <v>967</v>
      </c>
      <c r="B960" s="1063">
        <v>40737</v>
      </c>
      <c r="C960" s="18" t="s">
        <v>2594</v>
      </c>
      <c r="D960" s="11"/>
      <c r="E960" s="18" t="s">
        <v>2722</v>
      </c>
      <c r="F960" s="18" t="s">
        <v>2450</v>
      </c>
      <c r="G960" s="18" t="s">
        <v>4130</v>
      </c>
      <c r="H960" s="18"/>
      <c r="I960" s="18" t="s">
        <v>382</v>
      </c>
      <c r="J960" s="18" t="s">
        <v>2612</v>
      </c>
      <c r="K960" s="18" t="s">
        <v>2612</v>
      </c>
      <c r="L960" s="18"/>
      <c r="M960" s="18">
        <v>120</v>
      </c>
      <c r="N960" s="18" t="s">
        <v>4127</v>
      </c>
      <c r="O960" s="18" t="s">
        <v>4131</v>
      </c>
      <c r="P960" s="18">
        <v>96</v>
      </c>
      <c r="Q960" s="18">
        <v>6</v>
      </c>
      <c r="R960" s="1215">
        <v>148</v>
      </c>
      <c r="S960" s="1215">
        <f>R959:R960*10*2</f>
        <v>2960</v>
      </c>
      <c r="T960" s="18" t="s">
        <v>1957</v>
      </c>
      <c r="U960" s="1859" t="s">
        <v>301</v>
      </c>
      <c r="V960" s="18" t="s">
        <v>931</v>
      </c>
      <c r="W960" s="2021" t="str">
        <f>HYPERLINK("https://www.nbk1560.com/products/specialscrew/nedzicom/lowsmallheadscrew/SNSS-SD/SNSS-M2-SD/SNSS-M2-6-SD/","https://www.nbk1560.com/products/specialscrew/nedzicom/lowsmallheadscrew/SNSS-SD/SNSS-M2-SD/SNSS-M2-6-SD/")</f>
        <v>https://www.nbk1560.com/products/specialscrew/nedzicom/lowsmallheadscrew/SNSS-SD/SNSS-M2-SD/SNSS-M2-6-SD/</v>
      </c>
      <c r="X960" s="18"/>
      <c r="Y960" s="4"/>
      <c r="Z960" s="4"/>
    </row>
    <row r="961" spans="1:26" ht="51.95" hidden="1">
      <c r="A961" s="20">
        <v>968</v>
      </c>
      <c r="B961" s="1063">
        <v>40738</v>
      </c>
      <c r="C961" s="18" t="s">
        <v>2619</v>
      </c>
      <c r="D961" s="11"/>
      <c r="E961" s="18" t="s">
        <v>2722</v>
      </c>
      <c r="F961" s="18" t="s">
        <v>2450</v>
      </c>
      <c r="G961" s="18" t="s">
        <v>2619</v>
      </c>
      <c r="H961" s="18"/>
      <c r="I961" s="18" t="s">
        <v>429</v>
      </c>
      <c r="J961" s="18" t="s">
        <v>4132</v>
      </c>
      <c r="K961" s="18" t="s">
        <v>4132</v>
      </c>
      <c r="L961" s="18"/>
      <c r="M961" s="18">
        <v>50</v>
      </c>
      <c r="N961" s="18">
        <v>1</v>
      </c>
      <c r="O961" s="18">
        <v>20</v>
      </c>
      <c r="P961" s="18">
        <v>31</v>
      </c>
      <c r="Q961" s="18">
        <v>1</v>
      </c>
      <c r="R961" s="1215">
        <v>20</v>
      </c>
      <c r="S961" s="1215">
        <f>R961*O961</f>
        <v>400</v>
      </c>
      <c r="T961" s="18" t="s">
        <v>1957</v>
      </c>
      <c r="U961" s="1859" t="s">
        <v>301</v>
      </c>
      <c r="V961" s="18" t="s">
        <v>931</v>
      </c>
      <c r="W961" s="2021" t="str">
        <f>HYPERLINK("https://jp.misumi-ec.com/vona2/detail/110300250540/?CategorySpec=00000217009%3a%3amig00000002488144%0900000217129%3a%3ab&amp;clkid=clkid_list_template","https://jp.misumi-ec.com/vona2/detail/110300250540/?CategorySpec=00000217009%3a%3amig00000002488144%0900000217129%3a%3ab&amp;clkid=clkid_list_template")</f>
        <v>https://jp.misumi-ec.com/vona2/detail/110300250540/?CategorySpec=00000217009%3a%3amig00000002488144%0900000217129%3a%3ab&amp;clkid=clkid_list_template</v>
      </c>
      <c r="X961" s="18"/>
      <c r="Y961" s="4"/>
      <c r="Z961" s="4"/>
    </row>
    <row r="962" spans="1:26" ht="14.1" hidden="1">
      <c r="A962" s="20">
        <v>969</v>
      </c>
      <c r="B962" s="1063">
        <v>40739</v>
      </c>
      <c r="C962" s="18" t="s">
        <v>4133</v>
      </c>
      <c r="D962" s="11"/>
      <c r="E962" s="18" t="s">
        <v>2722</v>
      </c>
      <c r="F962" s="18" t="s">
        <v>2450</v>
      </c>
      <c r="G962" s="18" t="s">
        <v>4134</v>
      </c>
      <c r="H962" s="18"/>
      <c r="I962" s="18" t="s">
        <v>84</v>
      </c>
      <c r="J962" s="18">
        <v>42169644</v>
      </c>
      <c r="K962" s="18">
        <v>42169644</v>
      </c>
      <c r="L962" s="18"/>
      <c r="M962" s="18">
        <v>20</v>
      </c>
      <c r="N962" s="18" t="s">
        <v>4135</v>
      </c>
      <c r="O962" s="18" t="s">
        <v>4135</v>
      </c>
      <c r="P962" s="18">
        <v>0</v>
      </c>
      <c r="Q962" s="18">
        <v>30</v>
      </c>
      <c r="R962" s="1215">
        <f>399/50</f>
        <v>7.98</v>
      </c>
      <c r="S962" s="1215">
        <v>399</v>
      </c>
      <c r="T962" s="18" t="s">
        <v>1957</v>
      </c>
      <c r="U962" s="1859" t="s">
        <v>301</v>
      </c>
      <c r="V962" s="18" t="s">
        <v>931</v>
      </c>
      <c r="W962" s="2021" t="str">
        <f>HYPERLINK("https://www.monotaro.com/p/4216/9644/","https://www.monotaro.com/p/4216/9644/")</f>
        <v>https://www.monotaro.com/p/4216/9644/</v>
      </c>
      <c r="X962" s="18"/>
      <c r="Y962" s="4"/>
      <c r="Z962" s="4"/>
    </row>
    <row r="963" spans="1:26" ht="51.95" hidden="1">
      <c r="A963" s="20">
        <v>970</v>
      </c>
      <c r="B963" s="1063">
        <v>40740</v>
      </c>
      <c r="C963" s="18" t="s">
        <v>4133</v>
      </c>
      <c r="D963" s="11"/>
      <c r="E963" s="18" t="s">
        <v>2722</v>
      </c>
      <c r="F963" s="18" t="s">
        <v>2450</v>
      </c>
      <c r="G963" s="18" t="s">
        <v>4136</v>
      </c>
      <c r="H963" s="18"/>
      <c r="I963" s="18" t="s">
        <v>429</v>
      </c>
      <c r="J963" s="18" t="s">
        <v>4137</v>
      </c>
      <c r="K963" s="18" t="s">
        <v>4137</v>
      </c>
      <c r="L963" s="18"/>
      <c r="M963" s="18">
        <v>8</v>
      </c>
      <c r="N963" s="18" t="s">
        <v>4135</v>
      </c>
      <c r="O963" s="18" t="s">
        <v>4135</v>
      </c>
      <c r="P963" s="18">
        <v>0</v>
      </c>
      <c r="Q963" s="18">
        <v>42</v>
      </c>
      <c r="R963" s="1215">
        <v>5</v>
      </c>
      <c r="S963" s="1215">
        <v>250</v>
      </c>
      <c r="T963" s="18" t="s">
        <v>1957</v>
      </c>
      <c r="U963" s="1859" t="s">
        <v>301</v>
      </c>
      <c r="V963" s="18" t="s">
        <v>931</v>
      </c>
      <c r="W963" s="2021" t="str">
        <f>HYPERLINK("https://jp.misumi-ec.com/vona2/detail/221000552007/?HissuCode=WSJS-BR-M2&amp;PNSearch=WSJS-BR-M2&amp;KWSearch=WSJS-BR-M2&amp;searchFlow=results2products","https://jp.misumi-ec.com/vona2/detail/221000552007/?HissuCode=WSJS-BR-M2&amp;PNSearch=WSJS-BR-M2&amp;KWSearch=WSJS-BR-M2&amp;searchFlow=results2products")</f>
        <v>https://jp.misumi-ec.com/vona2/detail/221000552007/?HissuCode=WSJS-BR-M2&amp;PNSearch=WSJS-BR-M2&amp;KWSearch=WSJS-BR-M2&amp;searchFlow=results2products</v>
      </c>
      <c r="X963" s="18"/>
      <c r="Y963" s="4"/>
      <c r="Z963" s="4"/>
    </row>
    <row r="964" spans="1:26" ht="14.1" hidden="1">
      <c r="A964" s="20">
        <v>971</v>
      </c>
      <c r="B964" s="1063">
        <v>40741</v>
      </c>
      <c r="C964" s="56" t="s">
        <v>4138</v>
      </c>
      <c r="D964" s="11"/>
      <c r="E964" s="56" t="s">
        <v>2722</v>
      </c>
      <c r="F964" s="56" t="s">
        <v>2450</v>
      </c>
      <c r="G964" s="56" t="s">
        <v>4139</v>
      </c>
      <c r="H964" s="56"/>
      <c r="I964" s="56" t="s">
        <v>4140</v>
      </c>
      <c r="J964" s="56" t="s">
        <v>4141</v>
      </c>
      <c r="K964" s="56" t="s">
        <v>4141</v>
      </c>
      <c r="L964" s="56"/>
      <c r="M964" s="56">
        <v>8</v>
      </c>
      <c r="N964" s="56">
        <v>1</v>
      </c>
      <c r="O964" s="56">
        <v>8</v>
      </c>
      <c r="P964" s="56">
        <v>0</v>
      </c>
      <c r="Q964" s="56">
        <v>0</v>
      </c>
      <c r="R964" s="1216" t="s">
        <v>4142</v>
      </c>
      <c r="S964" s="1216"/>
      <c r="T964" s="56" t="s">
        <v>1957</v>
      </c>
      <c r="U964" s="1861" t="s">
        <v>4125</v>
      </c>
      <c r="V964" s="56" t="s">
        <v>931</v>
      </c>
      <c r="W964" s="2022" t="str">
        <f>HYPERLINK("http://www.nealloys.com/hymu_80.php","http://www.nealloys.com/hymu_80.php")</f>
        <v>http://www.nealloys.com/hymu_80.php</v>
      </c>
      <c r="X964" s="56"/>
      <c r="Y964" s="57"/>
      <c r="Z964" s="57"/>
    </row>
    <row r="965" spans="1:26" ht="26.1" hidden="1">
      <c r="A965" s="20">
        <v>972</v>
      </c>
      <c r="B965" s="1063">
        <v>40742</v>
      </c>
      <c r="C965" s="18" t="s">
        <v>4143</v>
      </c>
      <c r="D965" s="11"/>
      <c r="E965" s="18" t="s">
        <v>2722</v>
      </c>
      <c r="F965" s="18" t="s">
        <v>2450</v>
      </c>
      <c r="G965" s="18"/>
      <c r="H965" s="18"/>
      <c r="I965" s="18" t="s">
        <v>84</v>
      </c>
      <c r="J965" s="18" t="s">
        <v>4144</v>
      </c>
      <c r="K965" s="18" t="s">
        <v>4144</v>
      </c>
      <c r="L965" s="18"/>
      <c r="M965" s="18" t="s">
        <v>4145</v>
      </c>
      <c r="N965" s="18" t="s">
        <v>4145</v>
      </c>
      <c r="O965" s="18" t="s">
        <v>4145</v>
      </c>
      <c r="P965" s="18">
        <v>0</v>
      </c>
      <c r="Q965" s="18">
        <v>0</v>
      </c>
      <c r="R965" s="1215">
        <v>2990</v>
      </c>
      <c r="S965" s="1215">
        <v>2990</v>
      </c>
      <c r="T965" s="18" t="s">
        <v>1957</v>
      </c>
      <c r="U965" s="1859" t="s">
        <v>4125</v>
      </c>
      <c r="V965" s="18" t="s">
        <v>931</v>
      </c>
      <c r="W965" s="2021" t="s">
        <v>4146</v>
      </c>
      <c r="X965" s="18"/>
      <c r="Y965" s="4"/>
      <c r="Z965" s="4"/>
    </row>
    <row r="966" spans="1:26" ht="26.1" hidden="1">
      <c r="A966" s="20">
        <v>973</v>
      </c>
      <c r="B966" s="1063">
        <v>40743</v>
      </c>
      <c r="C966" s="18" t="s">
        <v>3760</v>
      </c>
      <c r="D966" s="11"/>
      <c r="E966" s="18" t="s">
        <v>2722</v>
      </c>
      <c r="F966" s="18" t="s">
        <v>2450</v>
      </c>
      <c r="G966" s="18"/>
      <c r="H966" s="18"/>
      <c r="I966" s="18" t="s">
        <v>84</v>
      </c>
      <c r="J966" s="18" t="s">
        <v>3763</v>
      </c>
      <c r="K966" s="18" t="s">
        <v>3763</v>
      </c>
      <c r="L966" s="18"/>
      <c r="M966" s="18">
        <v>3</v>
      </c>
      <c r="N966" s="18">
        <v>1</v>
      </c>
      <c r="O966" s="18">
        <v>2</v>
      </c>
      <c r="P966" s="18">
        <v>1</v>
      </c>
      <c r="Q966" s="18">
        <v>0</v>
      </c>
      <c r="R966" s="1215">
        <v>1390</v>
      </c>
      <c r="S966" s="1215">
        <f t="shared" ref="S966:S968" si="45">R966*O966</f>
        <v>2780</v>
      </c>
      <c r="T966" s="18" t="s">
        <v>1957</v>
      </c>
      <c r="U966" s="1859" t="s">
        <v>4125</v>
      </c>
      <c r="V966" s="18" t="s">
        <v>931</v>
      </c>
      <c r="W966" s="2021" t="str">
        <f>HYPERLINK("https://www.monotaro.com/p/5839/3815/?t.q=%83p%81%5B%83c%83P%81%5B%83X","https://www.monotaro.com/p/5839/3815/?t.q=%83p%81%5B%83c%83P%81%5B%83X")</f>
        <v>https://www.monotaro.com/p/5839/3815/?t.q=%83p%81%5B%83c%83P%81%5B%83X</v>
      </c>
      <c r="X966" s="18"/>
      <c r="Y966" s="4"/>
      <c r="Z966" s="4"/>
    </row>
    <row r="967" spans="1:26" ht="26.1" hidden="1">
      <c r="A967" s="20">
        <v>974</v>
      </c>
      <c r="B967" s="1063">
        <v>40744</v>
      </c>
      <c r="C967" s="18" t="s">
        <v>4147</v>
      </c>
      <c r="D967" s="11" t="s">
        <v>6</v>
      </c>
      <c r="E967" s="18" t="s">
        <v>2722</v>
      </c>
      <c r="F967" s="18" t="s">
        <v>2450</v>
      </c>
      <c r="G967" s="18"/>
      <c r="H967" s="18"/>
      <c r="I967" s="18" t="s">
        <v>4148</v>
      </c>
      <c r="J967" s="18" t="s">
        <v>4149</v>
      </c>
      <c r="K967" s="18" t="s">
        <v>4149</v>
      </c>
      <c r="L967" s="18"/>
      <c r="M967" s="18">
        <v>3</v>
      </c>
      <c r="N967" s="18">
        <v>1</v>
      </c>
      <c r="O967" s="18">
        <v>3</v>
      </c>
      <c r="P967" s="18">
        <v>0</v>
      </c>
      <c r="Q967" s="18">
        <v>0</v>
      </c>
      <c r="R967" s="1215">
        <v>7828</v>
      </c>
      <c r="S967" s="1215">
        <f t="shared" si="45"/>
        <v>23484</v>
      </c>
      <c r="T967" s="18" t="s">
        <v>1957</v>
      </c>
      <c r="U967" s="1859" t="s">
        <v>4125</v>
      </c>
      <c r="V967" s="18" t="s">
        <v>931</v>
      </c>
      <c r="W967" s="2021" t="e">
        <f>HYPERLINK("https://www.amazon.co.jp/AVRISP-mkII%E9%81%A9%E5%90%88-%E3%82%A4%E3%83%B3%E3%82%B7%E3%82%B9%E3%83%86%E3%83%A0%E3%83%97%E3%83%AD%E3%82%B0%E3%83%A9%E3%83%9E%E3%83%BC-PDI%E3%82%A4%E3%83%B3%E3%82%BF%E3%83%BC%E3%83%95%E3%82%A7%E3%83%BC%E3%82%B9-XYGStudy/dp/B00"&amp;"C7VV6E4/ref=sr_1_fkmr0_1?keywords=Compatible+Atmel+AT+AVRISP+mkII+AVR+ISP+mk2+USB+MCU+AVR+XMEGA+In-System+Programmer+Studio+4%2F5%2F6+ISP+PDI+interface+%40XYGStudy&amp;qid=1563947468&amp;s=gateway&amp;sr=8-1-fkmr0","https://www.amazon.co.jp/WINGONEER対応Atmel-AVRプログラマUSB-AVRISP-XPIIインシステムプログラマはAVR-Studio/dp/B07L3DT86R/ref=sr_1_2?__mk_ja_JP=%E3%82%AB%E3%82%BF%E3%82%AB%E3%83%8A&amp;keywords=AVR%20ISP&amp;qid=1560231003&amp;s=gateway&amp;sr=8-2")</f>
        <v>#VALUE!</v>
      </c>
      <c r="X967" s="18"/>
      <c r="Y967" s="4"/>
      <c r="Z967" s="4"/>
    </row>
    <row r="968" spans="1:26" ht="14.1" hidden="1">
      <c r="A968" s="20">
        <v>975</v>
      </c>
      <c r="B968" s="1063">
        <v>40745</v>
      </c>
      <c r="C968" s="18" t="s">
        <v>4150</v>
      </c>
      <c r="D968" s="11" t="s">
        <v>6</v>
      </c>
      <c r="E968" s="18" t="s">
        <v>2722</v>
      </c>
      <c r="F968" s="18" t="s">
        <v>2450</v>
      </c>
      <c r="G968" s="18"/>
      <c r="H968" s="18"/>
      <c r="I968" s="18" t="s">
        <v>4148</v>
      </c>
      <c r="J968" s="18" t="s">
        <v>4151</v>
      </c>
      <c r="K968" s="18" t="s">
        <v>4151</v>
      </c>
      <c r="L968" s="18"/>
      <c r="M968" s="18">
        <v>2</v>
      </c>
      <c r="N968" s="18">
        <v>1</v>
      </c>
      <c r="O968" s="18">
        <v>2</v>
      </c>
      <c r="P968" s="18">
        <v>0</v>
      </c>
      <c r="Q968" s="18">
        <v>0</v>
      </c>
      <c r="R968" s="1215">
        <v>1648</v>
      </c>
      <c r="S968" s="1215">
        <f t="shared" si="45"/>
        <v>3296</v>
      </c>
      <c r="T968" s="18" t="s">
        <v>1957</v>
      </c>
      <c r="U968" s="1859" t="s">
        <v>4125</v>
      </c>
      <c r="V968" s="18" t="s">
        <v>931</v>
      </c>
      <c r="W968" s="2021" t="e">
        <f>HYPERLINK("https://www.amazon.co.jp/%E3%82%B8%E3%82%A7%E3%83%8D%E3%83%AA%E3%83%83%E3%82%AF-PICkit3-KIT3-%E3%82%A8%E3%83%9F%E3%83%A5%E3%83%AC%E3%83%BC%E3%82%BF%E3%83%97%E3%83%AD%E3%82%B0%E3%83%A9%E3%83%9E%E3%83%BCPIC%E3%83%9E%E3%82%A4%E3%82%AF%E3%83%AD%E3%82%B3%E3%83"&amp;"%B3%E3%83%88%E3%83%AD%E3%83%BC%E3%83%A9%E3%83%87%E3%83%90%E3%83%83%E3%82%AC%E3%83%97%E3%83%AD%E3%82%B0%E3%83%A9%E3%83%9E/dp/B01K26W8FQ/ref=sr_1_3?__mk_ja_JP=%E3%82%AB%E3%82%BF%E3%82%AB%E3%83%8A&amp;crid=7J7ARC8LXQ3&amp;keywords=pickit3&amp;qid=1560233824&amp;s=gateway&amp;sp"&amp;"refix=pickit%2Caps%2C247&amp;sr=8-3","https://www.amazon.co.jp/%E3%82%B8%E3%82%A7%E3%83%8D%E3%83%AA%E3%83%83%E3%82%AF-PICkit3-KIT3-%E3%82%A8%E3%83%9F%E3%83%A5%E3%83%AC%E3%83%BC%E3%82%BF%E3%83%97%E3%83%AD%E3%82%B0%E3%83%A9%E3%83%9E%E3%83%BCPIC%E3%83%9E%E3%82%A4%E3%82%AF%E3%83%AD%E3%82%B3%E3%83"&amp;"%B3%E3%83%88%E3%83%AD%E3%83%BC%E3%83%A9%E3%83%87%E3%83%90%E3%83%83%E3%82%AC%E3%83%97%E3%83%AD%E3%82%B0%E3%83%A9%E3%83%9E/dp/B01K26W8FQ/ref=sr_1_3?__mk_ja_JP=%E3%82%AB%E3%82%BF%E3%82%AB%E3%83%8A&amp;crid=7J7ARC8LXQ3&amp;keywords=pickit3&amp;qid=1560233824&amp;s=gateway&amp;sp"&amp;"refix=pickit%2Caps%2C247&amp;sr=8-3")</f>
        <v>#VALUE!</v>
      </c>
      <c r="X968" s="18"/>
      <c r="Y968" s="4"/>
      <c r="Z968" s="4"/>
    </row>
    <row r="969" spans="1:26" ht="26.1" hidden="1">
      <c r="A969" s="20">
        <v>976</v>
      </c>
      <c r="B969" s="1063">
        <v>40746</v>
      </c>
      <c r="C969" s="18" t="s">
        <v>4152</v>
      </c>
      <c r="D969" s="11"/>
      <c r="E969" s="18" t="s">
        <v>2722</v>
      </c>
      <c r="F969" s="18" t="s">
        <v>2450</v>
      </c>
      <c r="G969" s="107" t="s">
        <v>4153</v>
      </c>
      <c r="H969" s="18"/>
      <c r="I969" s="18" t="s">
        <v>574</v>
      </c>
      <c r="J969" s="18" t="s">
        <v>4154</v>
      </c>
      <c r="K969" s="18">
        <v>30023</v>
      </c>
      <c r="L969" s="18"/>
      <c r="M969" s="18">
        <v>100</v>
      </c>
      <c r="N969" s="18">
        <v>1</v>
      </c>
      <c r="O969" s="18">
        <v>100</v>
      </c>
      <c r="P969" s="18">
        <v>0</v>
      </c>
      <c r="Q969" s="18">
        <v>0</v>
      </c>
      <c r="R969" s="1215">
        <v>12</v>
      </c>
      <c r="S969" s="1215">
        <v>1200</v>
      </c>
      <c r="T969" s="18" t="s">
        <v>1957</v>
      </c>
      <c r="U969" s="1859" t="s">
        <v>4125</v>
      </c>
      <c r="V969" s="18" t="s">
        <v>931</v>
      </c>
      <c r="W969" s="2021" t="str">
        <f>HYPERLINK("https://www.digikey.jp/product-detail/ja/scs/30023/SCP403-ND/3430453","https://www.digikey.jp/product-detail/ja/scs/30023/SCP403-ND/3430453")</f>
        <v>https://www.digikey.jp/product-detail/ja/scs/30023/SCP403-ND/3430453</v>
      </c>
      <c r="X969" s="18"/>
      <c r="Y969" s="4"/>
      <c r="Z969" s="4"/>
    </row>
    <row r="970" spans="1:26" ht="26.1" hidden="1">
      <c r="A970" s="20">
        <v>977</v>
      </c>
      <c r="B970" s="1063">
        <v>40747</v>
      </c>
      <c r="C970" s="37" t="s">
        <v>4155</v>
      </c>
      <c r="D970" s="11"/>
      <c r="E970" s="18" t="s">
        <v>2722</v>
      </c>
      <c r="F970" s="18" t="s">
        <v>2450</v>
      </c>
      <c r="G970" s="18" t="s">
        <v>4156</v>
      </c>
      <c r="H970" s="18"/>
      <c r="I970" s="18" t="s">
        <v>574</v>
      </c>
      <c r="J970" s="18" t="s">
        <v>4157</v>
      </c>
      <c r="K970" s="18">
        <v>1001014</v>
      </c>
      <c r="L970" s="18"/>
      <c r="M970" s="18">
        <v>20</v>
      </c>
      <c r="N970" s="18">
        <v>1</v>
      </c>
      <c r="O970" s="18">
        <v>20</v>
      </c>
      <c r="P970" s="18">
        <v>0</v>
      </c>
      <c r="Q970" s="18">
        <v>0</v>
      </c>
      <c r="R970" s="1215">
        <v>33</v>
      </c>
      <c r="S970" s="1215">
        <v>660</v>
      </c>
      <c r="T970" s="18" t="s">
        <v>1957</v>
      </c>
      <c r="U970" s="1859" t="s">
        <v>4125</v>
      </c>
      <c r="V970" s="18" t="s">
        <v>931</v>
      </c>
      <c r="W970" s="2021" t="s">
        <v>4158</v>
      </c>
      <c r="X970" s="18"/>
      <c r="Y970" s="4"/>
      <c r="Z970" s="4"/>
    </row>
    <row r="971" spans="1:26" ht="26.1" hidden="1">
      <c r="A971" s="20">
        <v>978</v>
      </c>
      <c r="B971" s="1063">
        <v>40748</v>
      </c>
      <c r="C971" s="18" t="s">
        <v>4159</v>
      </c>
      <c r="D971" s="11"/>
      <c r="E971" s="18" t="s">
        <v>2722</v>
      </c>
      <c r="F971" s="18" t="s">
        <v>2450</v>
      </c>
      <c r="G971" s="18" t="s">
        <v>4160</v>
      </c>
      <c r="H971" s="18"/>
      <c r="I971" s="18" t="s">
        <v>84</v>
      </c>
      <c r="J971" s="18" t="s">
        <v>4161</v>
      </c>
      <c r="K971" s="18" t="s">
        <v>4161</v>
      </c>
      <c r="L971" s="18"/>
      <c r="M971" s="18">
        <v>1</v>
      </c>
      <c r="N971" s="18">
        <v>1</v>
      </c>
      <c r="O971" s="18">
        <v>1</v>
      </c>
      <c r="P971" s="18">
        <v>0</v>
      </c>
      <c r="Q971" s="18">
        <v>0</v>
      </c>
      <c r="R971" s="1215">
        <v>31900</v>
      </c>
      <c r="S971" s="1215">
        <v>31900</v>
      </c>
      <c r="T971" s="18" t="s">
        <v>1957</v>
      </c>
      <c r="U971" s="1859" t="s">
        <v>4162</v>
      </c>
      <c r="V971" s="18" t="s">
        <v>931</v>
      </c>
      <c r="W971" s="2021" t="str">
        <f>HYPERLINK("https://www.monotaro.com/p/4900/2694/?t.q=%83y%83%8A%83J%83%93%201550","https://www.monotaro.com/p/4900/2694/?t.q=%83y%83%8A%83J%83%93%201550")</f>
        <v>https://www.monotaro.com/p/4900/2694/?t.q=%83y%83%8A%83J%83%93%201550</v>
      </c>
      <c r="X971" s="18"/>
      <c r="Y971" s="4"/>
      <c r="Z971" s="4"/>
    </row>
    <row r="972" spans="1:26" ht="26.1" hidden="1">
      <c r="A972" s="20">
        <v>979</v>
      </c>
      <c r="B972" s="1063">
        <v>40749</v>
      </c>
      <c r="C972" s="18" t="s">
        <v>4163</v>
      </c>
      <c r="D972" s="11"/>
      <c r="E972" s="18" t="s">
        <v>2722</v>
      </c>
      <c r="F972" s="18" t="s">
        <v>2450</v>
      </c>
      <c r="G972" s="18" t="s">
        <v>4164</v>
      </c>
      <c r="H972" s="18"/>
      <c r="I972" s="18" t="s">
        <v>84</v>
      </c>
      <c r="J972" s="18" t="s">
        <v>4165</v>
      </c>
      <c r="K972" s="18" t="s">
        <v>4166</v>
      </c>
      <c r="L972" s="18"/>
      <c r="M972" s="18">
        <v>1</v>
      </c>
      <c r="N972" s="18">
        <v>1</v>
      </c>
      <c r="O972" s="18">
        <v>1</v>
      </c>
      <c r="P972" s="18">
        <v>0</v>
      </c>
      <c r="Q972" s="18">
        <v>0</v>
      </c>
      <c r="R972" s="1215">
        <v>37900</v>
      </c>
      <c r="S972" s="1215">
        <v>37900</v>
      </c>
      <c r="T972" s="18" t="s">
        <v>1957</v>
      </c>
      <c r="U972" s="1859" t="s">
        <v>4162</v>
      </c>
      <c r="V972" s="18" t="s">
        <v>931</v>
      </c>
      <c r="W972" s="2021" t="s">
        <v>4167</v>
      </c>
      <c r="X972" s="18"/>
      <c r="Y972" s="4"/>
      <c r="Z972" s="4"/>
    </row>
    <row r="973" spans="1:26" ht="26.1" hidden="1">
      <c r="A973" s="20">
        <v>980</v>
      </c>
      <c r="B973" s="1063">
        <v>40750</v>
      </c>
      <c r="C973" s="18" t="s">
        <v>4168</v>
      </c>
      <c r="D973" s="11" t="s">
        <v>6</v>
      </c>
      <c r="E973" s="18" t="s">
        <v>2722</v>
      </c>
      <c r="F973" s="18" t="s">
        <v>3528</v>
      </c>
      <c r="G973" s="18" t="s">
        <v>3529</v>
      </c>
      <c r="H973" s="18" t="s">
        <v>3525</v>
      </c>
      <c r="I973" s="18" t="s">
        <v>3525</v>
      </c>
      <c r="J973" s="18"/>
      <c r="K973" s="18"/>
      <c r="L973" s="18"/>
      <c r="M973" s="18">
        <v>3</v>
      </c>
      <c r="N973" s="18">
        <v>1</v>
      </c>
      <c r="O973" s="18">
        <v>4</v>
      </c>
      <c r="P973" s="18">
        <v>0</v>
      </c>
      <c r="Q973" s="18">
        <v>0</v>
      </c>
      <c r="R973" s="1215">
        <v>80672</v>
      </c>
      <c r="S973" s="1215">
        <v>80672</v>
      </c>
      <c r="T973" s="18" t="s">
        <v>929</v>
      </c>
      <c r="U973" s="1859" t="s">
        <v>4169</v>
      </c>
      <c r="V973" s="18" t="s">
        <v>931</v>
      </c>
      <c r="W973" s="2021" t="s">
        <v>401</v>
      </c>
      <c r="X973" s="18"/>
      <c r="Y973" s="4"/>
      <c r="Z973" s="4"/>
    </row>
    <row r="974" spans="1:26" ht="14.1" hidden="1">
      <c r="A974" s="20">
        <v>981</v>
      </c>
      <c r="B974" s="1063">
        <v>40751</v>
      </c>
      <c r="C974" s="26" t="s">
        <v>4170</v>
      </c>
      <c r="D974" s="11" t="s">
        <v>6</v>
      </c>
      <c r="E974" s="18" t="s">
        <v>2722</v>
      </c>
      <c r="F974" s="26" t="s">
        <v>2143</v>
      </c>
      <c r="G974" s="26" t="s">
        <v>4171</v>
      </c>
      <c r="H974" s="26" t="s">
        <v>4172</v>
      </c>
      <c r="I974" s="26" t="s">
        <v>4172</v>
      </c>
      <c r="J974" s="26" t="s">
        <v>1</v>
      </c>
      <c r="K974" s="26" t="s">
        <v>1</v>
      </c>
      <c r="L974" s="26" t="s">
        <v>4173</v>
      </c>
      <c r="M974" s="26">
        <v>1</v>
      </c>
      <c r="N974" s="26">
        <v>1</v>
      </c>
      <c r="O974" s="26">
        <v>2</v>
      </c>
      <c r="P974" s="26">
        <v>0</v>
      </c>
      <c r="Q974" s="26">
        <v>1</v>
      </c>
      <c r="R974" s="1209">
        <v>2057</v>
      </c>
      <c r="S974" s="1209">
        <v>4914</v>
      </c>
      <c r="T974" s="26" t="s">
        <v>929</v>
      </c>
      <c r="U974" s="1871" t="s">
        <v>3094</v>
      </c>
      <c r="V974" s="26" t="s">
        <v>931</v>
      </c>
      <c r="W974" s="2037" t="s">
        <v>4174</v>
      </c>
      <c r="X974" s="18"/>
      <c r="Y974" s="4"/>
      <c r="Z974" s="4"/>
    </row>
    <row r="975" spans="1:26" ht="37.5" hidden="1">
      <c r="A975" s="20">
        <v>982</v>
      </c>
      <c r="B975" s="1063">
        <v>40752</v>
      </c>
      <c r="C975" s="26" t="s">
        <v>4175</v>
      </c>
      <c r="D975" s="11" t="s">
        <v>6</v>
      </c>
      <c r="E975" s="18" t="s">
        <v>2722</v>
      </c>
      <c r="F975" s="26" t="s">
        <v>2876</v>
      </c>
      <c r="G975" s="26" t="s">
        <v>4176</v>
      </c>
      <c r="H975" s="26" t="s">
        <v>1104</v>
      </c>
      <c r="I975" s="26" t="s">
        <v>574</v>
      </c>
      <c r="J975" s="26" t="s">
        <v>4177</v>
      </c>
      <c r="K975" s="108" t="s">
        <v>4178</v>
      </c>
      <c r="L975" s="26" t="s">
        <v>4179</v>
      </c>
      <c r="M975" s="26">
        <v>2</v>
      </c>
      <c r="N975" s="26">
        <v>1</v>
      </c>
      <c r="O975" s="26">
        <v>10</v>
      </c>
      <c r="P975" s="26">
        <v>0</v>
      </c>
      <c r="Q975" s="26">
        <v>10</v>
      </c>
      <c r="R975" s="1209">
        <v>80.099999999999994</v>
      </c>
      <c r="S975" s="1209">
        <v>801</v>
      </c>
      <c r="T975" s="26" t="s">
        <v>4180</v>
      </c>
      <c r="U975" s="1871" t="s">
        <v>4181</v>
      </c>
      <c r="V975" s="26" t="s">
        <v>931</v>
      </c>
      <c r="W975" s="2037" t="s">
        <v>4182</v>
      </c>
      <c r="X975" s="18"/>
      <c r="Y975" s="4"/>
      <c r="Z975" s="4"/>
    </row>
    <row r="976" spans="1:26" ht="24.95" hidden="1">
      <c r="A976" s="20">
        <v>983</v>
      </c>
      <c r="B976" s="1063">
        <v>40753</v>
      </c>
      <c r="C976" s="26" t="s">
        <v>4175</v>
      </c>
      <c r="D976" s="11" t="s">
        <v>6</v>
      </c>
      <c r="E976" s="18" t="s">
        <v>2722</v>
      </c>
      <c r="F976" s="26" t="s">
        <v>2876</v>
      </c>
      <c r="G976" s="108" t="s">
        <v>4183</v>
      </c>
      <c r="H976" s="26" t="s">
        <v>1104</v>
      </c>
      <c r="I976" s="26" t="s">
        <v>574</v>
      </c>
      <c r="J976" s="108" t="s">
        <v>4184</v>
      </c>
      <c r="K976" s="108" t="s">
        <v>4185</v>
      </c>
      <c r="L976" s="26" t="s">
        <v>4179</v>
      </c>
      <c r="M976" s="26">
        <v>2</v>
      </c>
      <c r="N976" s="26">
        <v>1</v>
      </c>
      <c r="O976" s="26">
        <v>10</v>
      </c>
      <c r="P976" s="26">
        <v>0</v>
      </c>
      <c r="Q976" s="26">
        <v>10</v>
      </c>
      <c r="R976" s="1209">
        <v>74.5</v>
      </c>
      <c r="S976" s="1209">
        <f t="shared" ref="S976:S977" si="46">Q976*R976</f>
        <v>745</v>
      </c>
      <c r="T976" s="26" t="s">
        <v>929</v>
      </c>
      <c r="U976" s="1871" t="s">
        <v>4186</v>
      </c>
      <c r="V976" s="26" t="s">
        <v>931</v>
      </c>
      <c r="W976" s="2037" t="s">
        <v>4187</v>
      </c>
      <c r="X976" s="18"/>
      <c r="Y976" s="4"/>
      <c r="Z976" s="4"/>
    </row>
    <row r="977" spans="1:26" ht="37.5" hidden="1">
      <c r="A977" s="20">
        <v>984</v>
      </c>
      <c r="B977" s="1063">
        <v>40754</v>
      </c>
      <c r="C977" s="26" t="s">
        <v>4175</v>
      </c>
      <c r="D977" s="11" t="s">
        <v>6</v>
      </c>
      <c r="E977" s="18" t="s">
        <v>2722</v>
      </c>
      <c r="F977" s="26" t="s">
        <v>2876</v>
      </c>
      <c r="G977" s="108" t="s">
        <v>4188</v>
      </c>
      <c r="H977" s="26" t="s">
        <v>1104</v>
      </c>
      <c r="I977" s="26" t="s">
        <v>574</v>
      </c>
      <c r="J977" s="108" t="s">
        <v>4189</v>
      </c>
      <c r="K977" s="108" t="s">
        <v>4190</v>
      </c>
      <c r="L977" s="26" t="s">
        <v>4179</v>
      </c>
      <c r="M977" s="26">
        <v>2</v>
      </c>
      <c r="N977" s="26">
        <v>1</v>
      </c>
      <c r="O977" s="26">
        <v>10</v>
      </c>
      <c r="P977" s="26">
        <v>0</v>
      </c>
      <c r="Q977" s="26">
        <v>10</v>
      </c>
      <c r="R977" s="1209">
        <v>74.5</v>
      </c>
      <c r="S977" s="1209">
        <f t="shared" si="46"/>
        <v>745</v>
      </c>
      <c r="T977" s="26" t="s">
        <v>929</v>
      </c>
      <c r="U977" s="1871" t="s">
        <v>4186</v>
      </c>
      <c r="V977" s="26" t="s">
        <v>931</v>
      </c>
      <c r="W977" s="2037" t="s">
        <v>4191</v>
      </c>
      <c r="X977" s="18" t="s">
        <v>4192</v>
      </c>
      <c r="Y977" s="4"/>
      <c r="Z977" s="4"/>
    </row>
    <row r="978" spans="1:26" ht="24.95" hidden="1">
      <c r="A978" s="20">
        <v>985</v>
      </c>
      <c r="B978" s="1063">
        <v>40755</v>
      </c>
      <c r="C978" s="26" t="s">
        <v>4193</v>
      </c>
      <c r="D978" s="11" t="s">
        <v>6</v>
      </c>
      <c r="E978" s="18" t="s">
        <v>2722</v>
      </c>
      <c r="F978" s="26" t="s">
        <v>2876</v>
      </c>
      <c r="G978" s="26" t="s">
        <v>4194</v>
      </c>
      <c r="H978" s="26" t="s">
        <v>4195</v>
      </c>
      <c r="I978" s="26"/>
      <c r="J978" s="26" t="s">
        <v>4196</v>
      </c>
      <c r="K978" s="26"/>
      <c r="L978" s="26"/>
      <c r="M978" s="26">
        <v>8</v>
      </c>
      <c r="N978" s="26"/>
      <c r="O978" s="26">
        <v>12</v>
      </c>
      <c r="P978" s="26">
        <v>0</v>
      </c>
      <c r="Q978" s="26">
        <v>12</v>
      </c>
      <c r="R978" s="1209"/>
      <c r="S978" s="1209">
        <v>205200</v>
      </c>
      <c r="T978" s="26" t="s">
        <v>929</v>
      </c>
      <c r="U978" s="1871" t="s">
        <v>4197</v>
      </c>
      <c r="V978" s="26" t="s">
        <v>931</v>
      </c>
      <c r="W978" s="2015"/>
      <c r="X978" s="18"/>
      <c r="Y978" s="4"/>
      <c r="Z978" s="4"/>
    </row>
    <row r="979" spans="1:26" ht="24.95" hidden="1">
      <c r="A979" s="20">
        <v>986</v>
      </c>
      <c r="B979" s="1063">
        <v>40756</v>
      </c>
      <c r="C979" s="26" t="s">
        <v>4198</v>
      </c>
      <c r="D979" s="11" t="s">
        <v>6</v>
      </c>
      <c r="E979" s="18" t="s">
        <v>2722</v>
      </c>
      <c r="F979" s="26" t="s">
        <v>2693</v>
      </c>
      <c r="G979" s="26" t="s">
        <v>4199</v>
      </c>
      <c r="H979" s="26" t="s">
        <v>4200</v>
      </c>
      <c r="I979" s="26" t="s">
        <v>113</v>
      </c>
      <c r="J979" s="26" t="s">
        <v>4201</v>
      </c>
      <c r="K979" s="26" t="s">
        <v>4201</v>
      </c>
      <c r="L979" s="26"/>
      <c r="M979" s="26">
        <v>1</v>
      </c>
      <c r="N979" s="26">
        <v>1</v>
      </c>
      <c r="O979" s="26">
        <v>3</v>
      </c>
      <c r="P979" s="26">
        <v>0</v>
      </c>
      <c r="Q979" s="26">
        <v>2</v>
      </c>
      <c r="R979" s="1215">
        <v>369</v>
      </c>
      <c r="S979" s="1215">
        <v>1107</v>
      </c>
      <c r="T979" s="26" t="s">
        <v>929</v>
      </c>
      <c r="U979" s="1871" t="s">
        <v>3282</v>
      </c>
      <c r="V979" s="26" t="s">
        <v>931</v>
      </c>
      <c r="W979" s="2008" t="s">
        <v>4202</v>
      </c>
      <c r="X979" s="18"/>
      <c r="Y979" s="4"/>
      <c r="Z979" s="4"/>
    </row>
    <row r="980" spans="1:26" ht="15.6" hidden="1">
      <c r="A980" s="20">
        <v>987</v>
      </c>
      <c r="B980" s="1063">
        <v>40757</v>
      </c>
      <c r="C980" s="26" t="s">
        <v>4203</v>
      </c>
      <c r="D980" s="11" t="s">
        <v>6</v>
      </c>
      <c r="E980" s="18" t="s">
        <v>2722</v>
      </c>
      <c r="F980" s="26" t="s">
        <v>2693</v>
      </c>
      <c r="G980" s="26" t="s">
        <v>4204</v>
      </c>
      <c r="H980" s="109" t="s">
        <v>4205</v>
      </c>
      <c r="I980" s="26" t="s">
        <v>4206</v>
      </c>
      <c r="J980" s="26" t="s">
        <v>4207</v>
      </c>
      <c r="K980" s="26" t="s">
        <v>4207</v>
      </c>
      <c r="L980" s="26"/>
      <c r="M980" s="26">
        <v>1</v>
      </c>
      <c r="N980" s="26">
        <v>1</v>
      </c>
      <c r="O980" s="26">
        <v>1</v>
      </c>
      <c r="P980" s="26">
        <v>0</v>
      </c>
      <c r="Q980" s="26">
        <v>1</v>
      </c>
      <c r="R980" s="1215">
        <v>3800</v>
      </c>
      <c r="S980" s="1215">
        <v>3800</v>
      </c>
      <c r="T980" s="26" t="s">
        <v>929</v>
      </c>
      <c r="U980" s="1871" t="s">
        <v>3282</v>
      </c>
      <c r="V980" s="26" t="s">
        <v>931</v>
      </c>
      <c r="W980" s="2015"/>
      <c r="X980" s="18"/>
      <c r="Y980" s="4"/>
      <c r="Z980" s="4"/>
    </row>
    <row r="981" spans="1:26" ht="14.1" hidden="1">
      <c r="A981" s="20">
        <v>988</v>
      </c>
      <c r="B981" s="1063">
        <v>40758</v>
      </c>
      <c r="C981" s="26" t="s">
        <v>4208</v>
      </c>
      <c r="D981" s="11" t="s">
        <v>6</v>
      </c>
      <c r="E981" s="18" t="s">
        <v>2722</v>
      </c>
      <c r="F981" s="26" t="s">
        <v>2699</v>
      </c>
      <c r="G981" s="26" t="s">
        <v>4209</v>
      </c>
      <c r="H981" s="26" t="s">
        <v>4210</v>
      </c>
      <c r="I981" s="26" t="s">
        <v>4211</v>
      </c>
      <c r="J981" s="26" t="s">
        <v>4212</v>
      </c>
      <c r="K981" s="26" t="s">
        <v>4212</v>
      </c>
      <c r="L981" s="26"/>
      <c r="M981" s="26">
        <v>1</v>
      </c>
      <c r="N981" s="26">
        <v>1</v>
      </c>
      <c r="O981" s="26">
        <v>1</v>
      </c>
      <c r="P981" s="26">
        <v>0</v>
      </c>
      <c r="Q981" s="26">
        <v>1</v>
      </c>
      <c r="R981" s="1215">
        <v>3800</v>
      </c>
      <c r="S981" s="1215">
        <v>3800</v>
      </c>
      <c r="T981" s="26" t="s">
        <v>4213</v>
      </c>
      <c r="U981" s="1871"/>
      <c r="V981" s="26" t="s">
        <v>931</v>
      </c>
      <c r="W981" s="2015"/>
      <c r="X981" s="18"/>
      <c r="Y981" s="4"/>
      <c r="Z981" s="4"/>
    </row>
    <row r="982" spans="1:26" ht="14.1" hidden="1">
      <c r="A982" s="20">
        <v>989</v>
      </c>
      <c r="B982" s="1063">
        <v>40759</v>
      </c>
      <c r="C982" s="26" t="s">
        <v>4214</v>
      </c>
      <c r="D982" s="11" t="s">
        <v>6</v>
      </c>
      <c r="E982" s="18" t="s">
        <v>2722</v>
      </c>
      <c r="F982" s="26" t="s">
        <v>2699</v>
      </c>
      <c r="G982" s="26" t="s">
        <v>4215</v>
      </c>
      <c r="H982" s="26" t="s">
        <v>4210</v>
      </c>
      <c r="I982" s="26" t="s">
        <v>4211</v>
      </c>
      <c r="J982" s="26" t="s">
        <v>4207</v>
      </c>
      <c r="K982" s="26" t="s">
        <v>4207</v>
      </c>
      <c r="L982" s="26"/>
      <c r="M982" s="26">
        <v>1</v>
      </c>
      <c r="N982" s="26">
        <v>1</v>
      </c>
      <c r="O982" s="26">
        <v>1</v>
      </c>
      <c r="P982" s="26">
        <v>0</v>
      </c>
      <c r="Q982" s="26">
        <v>1</v>
      </c>
      <c r="R982" s="1215">
        <v>3800</v>
      </c>
      <c r="S982" s="1215">
        <v>3800</v>
      </c>
      <c r="T982" s="26" t="s">
        <v>4213</v>
      </c>
      <c r="U982" s="1871"/>
      <c r="V982" s="26" t="s">
        <v>931</v>
      </c>
      <c r="W982" s="2015"/>
      <c r="X982" s="18"/>
      <c r="Y982" s="4"/>
      <c r="Z982" s="4"/>
    </row>
    <row r="983" spans="1:26" ht="24.95" hidden="1">
      <c r="A983" s="20">
        <v>990</v>
      </c>
      <c r="B983" s="1063">
        <v>40760</v>
      </c>
      <c r="C983" s="26" t="s">
        <v>728</v>
      </c>
      <c r="D983" s="11" t="s">
        <v>6</v>
      </c>
      <c r="E983" s="26" t="s">
        <v>62</v>
      </c>
      <c r="F983" s="26" t="s">
        <v>4216</v>
      </c>
      <c r="G983" s="26" t="s">
        <v>4217</v>
      </c>
      <c r="H983" s="26" t="s">
        <v>201</v>
      </c>
      <c r="I983" s="26" t="s">
        <v>39</v>
      </c>
      <c r="J983" s="26" t="s">
        <v>4218</v>
      </c>
      <c r="K983" s="26" t="s">
        <v>4219</v>
      </c>
      <c r="L983" s="26" t="s">
        <v>732</v>
      </c>
      <c r="M983" s="26">
        <v>42</v>
      </c>
      <c r="N983" s="26">
        <v>50</v>
      </c>
      <c r="O983" s="26">
        <v>50</v>
      </c>
      <c r="P983" s="26">
        <v>0</v>
      </c>
      <c r="Q983" s="26">
        <v>8</v>
      </c>
      <c r="R983" s="1209">
        <v>26.76</v>
      </c>
      <c r="S983" s="1209">
        <v>1338</v>
      </c>
      <c r="T983" s="26" t="s">
        <v>4220</v>
      </c>
      <c r="U983" s="1871" t="s">
        <v>4221</v>
      </c>
      <c r="V983" s="26" t="s">
        <v>1963</v>
      </c>
      <c r="W983" s="2008" t="s">
        <v>4222</v>
      </c>
      <c r="X983" s="18"/>
      <c r="Y983" s="4"/>
      <c r="Z983" s="4"/>
    </row>
    <row r="984" spans="1:26" ht="24.95" hidden="1">
      <c r="A984" s="20">
        <v>991</v>
      </c>
      <c r="B984" s="1063">
        <v>40761</v>
      </c>
      <c r="C984" s="26" t="s">
        <v>728</v>
      </c>
      <c r="D984" s="11" t="s">
        <v>6</v>
      </c>
      <c r="E984" s="26" t="s">
        <v>62</v>
      </c>
      <c r="F984" s="26" t="s">
        <v>4216</v>
      </c>
      <c r="G984" s="26" t="s">
        <v>4223</v>
      </c>
      <c r="H984" s="26" t="s">
        <v>144</v>
      </c>
      <c r="I984" s="26" t="s">
        <v>39</v>
      </c>
      <c r="J984" s="26" t="s">
        <v>4224</v>
      </c>
      <c r="K984" s="26" t="s">
        <v>4225</v>
      </c>
      <c r="L984" s="26" t="s">
        <v>732</v>
      </c>
      <c r="M984" s="26">
        <v>15</v>
      </c>
      <c r="N984" s="26">
        <v>25</v>
      </c>
      <c r="O984" s="26">
        <v>25</v>
      </c>
      <c r="P984" s="26">
        <v>0</v>
      </c>
      <c r="Q984" s="26">
        <v>10</v>
      </c>
      <c r="R984" s="1209">
        <v>29.12</v>
      </c>
      <c r="S984" s="1209">
        <v>728</v>
      </c>
      <c r="T984" s="26" t="s">
        <v>4220</v>
      </c>
      <c r="U984" s="1871" t="s">
        <v>4221</v>
      </c>
      <c r="V984" s="26" t="s">
        <v>1963</v>
      </c>
      <c r="W984" s="2008" t="s">
        <v>4226</v>
      </c>
      <c r="X984" s="18"/>
      <c r="Y984" s="4"/>
      <c r="Z984" s="4"/>
    </row>
    <row r="985" spans="1:26" ht="24.95" hidden="1">
      <c r="A985" s="20">
        <v>992</v>
      </c>
      <c r="B985" s="1063">
        <v>40762</v>
      </c>
      <c r="C985" s="26" t="s">
        <v>728</v>
      </c>
      <c r="D985" s="11" t="s">
        <v>6</v>
      </c>
      <c r="E985" s="26" t="s">
        <v>62</v>
      </c>
      <c r="F985" s="26" t="s">
        <v>4216</v>
      </c>
      <c r="G985" s="26" t="s">
        <v>4227</v>
      </c>
      <c r="H985" s="26" t="s">
        <v>201</v>
      </c>
      <c r="I985" s="26" t="s">
        <v>39</v>
      </c>
      <c r="J985" s="26" t="s">
        <v>4228</v>
      </c>
      <c r="K985" s="26" t="s">
        <v>4229</v>
      </c>
      <c r="L985" s="26" t="s">
        <v>4230</v>
      </c>
      <c r="M985" s="26">
        <v>12</v>
      </c>
      <c r="N985" s="26">
        <v>25</v>
      </c>
      <c r="O985" s="26">
        <v>25</v>
      </c>
      <c r="P985" s="26">
        <v>0</v>
      </c>
      <c r="Q985" s="26">
        <v>13</v>
      </c>
      <c r="R985" s="1209">
        <v>210.2</v>
      </c>
      <c r="S985" s="1209">
        <v>5255</v>
      </c>
      <c r="T985" s="26" t="s">
        <v>4220</v>
      </c>
      <c r="U985" s="1871" t="s">
        <v>4221</v>
      </c>
      <c r="V985" s="26" t="s">
        <v>1963</v>
      </c>
      <c r="W985" s="2008" t="s">
        <v>4231</v>
      </c>
      <c r="X985" s="26"/>
      <c r="Y985" s="71"/>
      <c r="Z985" s="71"/>
    </row>
    <row r="986" spans="1:26" ht="24.95" hidden="1">
      <c r="A986" s="20">
        <v>993</v>
      </c>
      <c r="B986" s="1063">
        <v>40763</v>
      </c>
      <c r="C986" s="26" t="s">
        <v>743</v>
      </c>
      <c r="D986" s="11" t="s">
        <v>6</v>
      </c>
      <c r="E986" s="26" t="s">
        <v>62</v>
      </c>
      <c r="F986" s="26" t="s">
        <v>4216</v>
      </c>
      <c r="G986" s="26" t="s">
        <v>183</v>
      </c>
      <c r="H986" s="26" t="s">
        <v>184</v>
      </c>
      <c r="I986" s="26" t="s">
        <v>39</v>
      </c>
      <c r="J986" s="26" t="s">
        <v>185</v>
      </c>
      <c r="K986" s="26" t="s">
        <v>186</v>
      </c>
      <c r="L986" s="26" t="s">
        <v>744</v>
      </c>
      <c r="M986" s="26">
        <v>21</v>
      </c>
      <c r="N986" s="26">
        <v>50</v>
      </c>
      <c r="O986" s="26">
        <v>50</v>
      </c>
      <c r="P986" s="26">
        <v>0</v>
      </c>
      <c r="Q986" s="26">
        <v>29</v>
      </c>
      <c r="R986" s="1209">
        <v>121.4</v>
      </c>
      <c r="S986" s="1209">
        <v>6070</v>
      </c>
      <c r="T986" s="26" t="s">
        <v>4220</v>
      </c>
      <c r="U986" s="1871" t="s">
        <v>4221</v>
      </c>
      <c r="V986" s="26" t="s">
        <v>1963</v>
      </c>
      <c r="W986" s="2008" t="s">
        <v>746</v>
      </c>
      <c r="X986" s="26"/>
      <c r="Y986" s="71"/>
      <c r="Z986" s="71"/>
    </row>
    <row r="987" spans="1:26" ht="24.95" hidden="1">
      <c r="A987" s="20">
        <v>994</v>
      </c>
      <c r="B987" s="1063">
        <v>40764</v>
      </c>
      <c r="C987" s="26" t="s">
        <v>728</v>
      </c>
      <c r="D987" s="11" t="s">
        <v>6</v>
      </c>
      <c r="E987" s="26" t="s">
        <v>62</v>
      </c>
      <c r="F987" s="26" t="s">
        <v>4216</v>
      </c>
      <c r="G987" s="26" t="s">
        <v>4232</v>
      </c>
      <c r="H987" s="26" t="s">
        <v>201</v>
      </c>
      <c r="I987" s="26" t="s">
        <v>39</v>
      </c>
      <c r="J987" s="26" t="s">
        <v>4233</v>
      </c>
      <c r="K987" s="26" t="s">
        <v>3550</v>
      </c>
      <c r="L987" s="26" t="s">
        <v>732</v>
      </c>
      <c r="M987" s="26">
        <v>21</v>
      </c>
      <c r="N987" s="26">
        <v>100</v>
      </c>
      <c r="O987" s="26">
        <v>100</v>
      </c>
      <c r="P987" s="26">
        <v>0</v>
      </c>
      <c r="Q987" s="26">
        <v>79</v>
      </c>
      <c r="R987" s="1209">
        <v>7.74</v>
      </c>
      <c r="S987" s="1209">
        <v>774</v>
      </c>
      <c r="T987" s="26" t="s">
        <v>4220</v>
      </c>
      <c r="U987" s="1871" t="s">
        <v>4221</v>
      </c>
      <c r="V987" s="26" t="s">
        <v>1963</v>
      </c>
      <c r="W987" s="2008" t="s">
        <v>4234</v>
      </c>
      <c r="X987" s="18"/>
      <c r="Y987" s="4"/>
      <c r="Z987" s="4"/>
    </row>
    <row r="988" spans="1:26" ht="24.95" hidden="1">
      <c r="A988" s="20">
        <v>995</v>
      </c>
      <c r="B988" s="1063">
        <v>40765</v>
      </c>
      <c r="C988" s="26" t="s">
        <v>728</v>
      </c>
      <c r="D988" s="11" t="s">
        <v>6</v>
      </c>
      <c r="E988" s="26" t="s">
        <v>62</v>
      </c>
      <c r="F988" s="26" t="s">
        <v>4216</v>
      </c>
      <c r="G988" s="26" t="s">
        <v>4235</v>
      </c>
      <c r="H988" s="26" t="s">
        <v>201</v>
      </c>
      <c r="I988" s="26" t="s">
        <v>39</v>
      </c>
      <c r="J988" s="26" t="s">
        <v>4236</v>
      </c>
      <c r="K988" s="26" t="s">
        <v>4237</v>
      </c>
      <c r="L988" s="26" t="s">
        <v>732</v>
      </c>
      <c r="M988" s="26">
        <v>6</v>
      </c>
      <c r="N988" s="26">
        <v>100</v>
      </c>
      <c r="O988" s="26">
        <v>100</v>
      </c>
      <c r="P988" s="26">
        <v>0</v>
      </c>
      <c r="Q988" s="26">
        <v>94</v>
      </c>
      <c r="R988" s="1209">
        <v>5.98</v>
      </c>
      <c r="S988" s="1209">
        <v>598</v>
      </c>
      <c r="T988" s="26" t="s">
        <v>4220</v>
      </c>
      <c r="U988" s="1871" t="s">
        <v>4221</v>
      </c>
      <c r="V988" s="26" t="s">
        <v>1963</v>
      </c>
      <c r="W988" s="2008" t="s">
        <v>4238</v>
      </c>
      <c r="X988" s="18"/>
      <c r="Y988" s="4"/>
      <c r="Z988" s="4"/>
    </row>
    <row r="989" spans="1:26" ht="14.1" hidden="1">
      <c r="A989" s="20">
        <v>996</v>
      </c>
      <c r="B989" s="1063">
        <v>40766</v>
      </c>
      <c r="C989" s="26" t="s">
        <v>4239</v>
      </c>
      <c r="D989" s="11" t="s">
        <v>6</v>
      </c>
      <c r="E989" s="26" t="s">
        <v>62</v>
      </c>
      <c r="F989" s="26" t="s">
        <v>4216</v>
      </c>
      <c r="G989" s="26" t="s">
        <v>4240</v>
      </c>
      <c r="H989" s="26" t="s">
        <v>214</v>
      </c>
      <c r="I989" s="26" t="s">
        <v>39</v>
      </c>
      <c r="J989" s="26" t="s">
        <v>215</v>
      </c>
      <c r="K989" s="26" t="s">
        <v>4241</v>
      </c>
      <c r="L989" s="26"/>
      <c r="M989" s="26">
        <v>4</v>
      </c>
      <c r="N989" s="26">
        <v>1</v>
      </c>
      <c r="O989" s="26">
        <v>4</v>
      </c>
      <c r="P989" s="26">
        <v>0</v>
      </c>
      <c r="Q989" s="26">
        <v>0</v>
      </c>
      <c r="R989" s="1209">
        <v>280</v>
      </c>
      <c r="S989" s="1209">
        <v>1120</v>
      </c>
      <c r="T989" s="26" t="s">
        <v>4220</v>
      </c>
      <c r="U989" s="1871" t="s">
        <v>4221</v>
      </c>
      <c r="V989" s="26" t="s">
        <v>1963</v>
      </c>
      <c r="W989" s="2008" t="s">
        <v>4242</v>
      </c>
      <c r="X989" s="18"/>
      <c r="Y989" s="4"/>
      <c r="Z989" s="4"/>
    </row>
    <row r="990" spans="1:26" ht="14.1" hidden="1">
      <c r="A990" s="20">
        <v>997</v>
      </c>
      <c r="B990" s="1063">
        <v>40767</v>
      </c>
      <c r="C990" s="26" t="s">
        <v>1806</v>
      </c>
      <c r="D990" s="11" t="s">
        <v>6</v>
      </c>
      <c r="E990" s="26" t="s">
        <v>62</v>
      </c>
      <c r="F990" s="26" t="s">
        <v>4216</v>
      </c>
      <c r="G990" s="26" t="s">
        <v>4243</v>
      </c>
      <c r="H990" s="26" t="s">
        <v>220</v>
      </c>
      <c r="I990" s="26" t="s">
        <v>39</v>
      </c>
      <c r="J990" s="26" t="s">
        <v>225</v>
      </c>
      <c r="K990" s="26" t="s">
        <v>4244</v>
      </c>
      <c r="L990" s="26"/>
      <c r="M990" s="26">
        <v>4</v>
      </c>
      <c r="N990" s="26">
        <v>10</v>
      </c>
      <c r="O990" s="26">
        <v>10</v>
      </c>
      <c r="P990" s="26">
        <v>0</v>
      </c>
      <c r="Q990" s="26">
        <v>6</v>
      </c>
      <c r="R990" s="1209">
        <v>25.5</v>
      </c>
      <c r="S990" s="1209">
        <v>255</v>
      </c>
      <c r="T990" s="26" t="s">
        <v>4220</v>
      </c>
      <c r="U990" s="1871" t="s">
        <v>4221</v>
      </c>
      <c r="V990" s="26" t="s">
        <v>1963</v>
      </c>
      <c r="W990" s="2008" t="s">
        <v>4245</v>
      </c>
      <c r="X990" s="18"/>
      <c r="Y990" s="4"/>
      <c r="Z990" s="4"/>
    </row>
    <row r="991" spans="1:26" ht="14.1" hidden="1">
      <c r="A991" s="20">
        <v>998</v>
      </c>
      <c r="B991" s="1063">
        <v>40768</v>
      </c>
      <c r="C991" s="26" t="s">
        <v>1806</v>
      </c>
      <c r="D991" s="11" t="s">
        <v>6</v>
      </c>
      <c r="E991" s="26" t="s">
        <v>62</v>
      </c>
      <c r="F991" s="26" t="s">
        <v>4216</v>
      </c>
      <c r="G991" s="26" t="s">
        <v>4246</v>
      </c>
      <c r="H991" s="26" t="s">
        <v>4247</v>
      </c>
      <c r="I991" s="26" t="s">
        <v>39</v>
      </c>
      <c r="J991" s="26" t="s">
        <v>4248</v>
      </c>
      <c r="K991" s="26" t="s">
        <v>4249</v>
      </c>
      <c r="L991" s="26"/>
      <c r="M991" s="26">
        <v>6</v>
      </c>
      <c r="N991" s="26">
        <v>1</v>
      </c>
      <c r="O991" s="26">
        <v>6</v>
      </c>
      <c r="P991" s="26">
        <v>0</v>
      </c>
      <c r="Q991" s="26">
        <v>0</v>
      </c>
      <c r="R991" s="1209">
        <v>467</v>
      </c>
      <c r="S991" s="1209">
        <v>2802</v>
      </c>
      <c r="T991" s="26" t="s">
        <v>4220</v>
      </c>
      <c r="U991" s="1871" t="s">
        <v>4221</v>
      </c>
      <c r="V991" s="26" t="s">
        <v>1963</v>
      </c>
      <c r="W991" s="2008" t="s">
        <v>4250</v>
      </c>
      <c r="X991" s="18"/>
      <c r="Y991" s="4"/>
      <c r="Z991" s="4"/>
    </row>
    <row r="992" spans="1:26" ht="24.95" hidden="1">
      <c r="A992" s="20">
        <v>999</v>
      </c>
      <c r="B992" s="1063">
        <v>40769</v>
      </c>
      <c r="C992" s="26" t="s">
        <v>4251</v>
      </c>
      <c r="D992" s="11" t="s">
        <v>6</v>
      </c>
      <c r="E992" s="26" t="s">
        <v>62</v>
      </c>
      <c r="F992" s="26" t="s">
        <v>4216</v>
      </c>
      <c r="G992" s="26" t="s">
        <v>4252</v>
      </c>
      <c r="H992" s="26" t="s">
        <v>280</v>
      </c>
      <c r="I992" s="26" t="s">
        <v>53</v>
      </c>
      <c r="J992" s="26" t="s">
        <v>4253</v>
      </c>
      <c r="K992" s="26" t="s">
        <v>4253</v>
      </c>
      <c r="L992" s="26" t="s">
        <v>210</v>
      </c>
      <c r="M992" s="26">
        <v>3</v>
      </c>
      <c r="N992" s="26">
        <v>1</v>
      </c>
      <c r="O992" s="26">
        <v>3</v>
      </c>
      <c r="P992" s="26">
        <v>0</v>
      </c>
      <c r="Q992" s="26">
        <v>0</v>
      </c>
      <c r="R992" s="1209">
        <v>347</v>
      </c>
      <c r="S992" s="1209">
        <v>1041</v>
      </c>
      <c r="T992" s="26" t="s">
        <v>4220</v>
      </c>
      <c r="U992" s="1871" t="s">
        <v>4221</v>
      </c>
      <c r="V992" s="26" t="s">
        <v>1963</v>
      </c>
      <c r="W992" s="2008" t="s">
        <v>4254</v>
      </c>
      <c r="X992" s="26"/>
      <c r="Y992" s="71"/>
      <c r="Z992" s="71"/>
    </row>
    <row r="993" spans="1:26" ht="14.1" hidden="1">
      <c r="A993" s="20">
        <v>1000</v>
      </c>
      <c r="B993" s="1063">
        <v>40770</v>
      </c>
      <c r="C993" s="26" t="s">
        <v>4255</v>
      </c>
      <c r="D993" s="11" t="s">
        <v>6</v>
      </c>
      <c r="E993" s="26" t="s">
        <v>62</v>
      </c>
      <c r="F993" s="26" t="s">
        <v>4216</v>
      </c>
      <c r="G993" s="26" t="s">
        <v>4256</v>
      </c>
      <c r="H993" s="26" t="s">
        <v>230</v>
      </c>
      <c r="I993" s="26" t="s">
        <v>39</v>
      </c>
      <c r="J993" s="26" t="s">
        <v>231</v>
      </c>
      <c r="K993" s="26" t="s">
        <v>4257</v>
      </c>
      <c r="L993" s="26" t="s">
        <v>210</v>
      </c>
      <c r="M993" s="26">
        <v>6</v>
      </c>
      <c r="N993" s="26">
        <v>2</v>
      </c>
      <c r="O993" s="26">
        <v>6</v>
      </c>
      <c r="P993" s="26">
        <v>0</v>
      </c>
      <c r="Q993" s="26">
        <v>0</v>
      </c>
      <c r="R993" s="1209">
        <v>205.5</v>
      </c>
      <c r="S993" s="1209">
        <v>1233</v>
      </c>
      <c r="T993" s="26" t="s">
        <v>4220</v>
      </c>
      <c r="U993" s="1871" t="s">
        <v>4221</v>
      </c>
      <c r="V993" s="26" t="s">
        <v>1963</v>
      </c>
      <c r="W993" s="2008" t="s">
        <v>4258</v>
      </c>
      <c r="X993" s="26"/>
      <c r="Y993" s="71"/>
      <c r="Z993" s="71"/>
    </row>
    <row r="994" spans="1:26" ht="24.95" hidden="1">
      <c r="A994" s="20">
        <v>1001</v>
      </c>
      <c r="B994" s="1063">
        <v>40771</v>
      </c>
      <c r="C994" s="26" t="s">
        <v>4259</v>
      </c>
      <c r="D994" s="11" t="s">
        <v>6</v>
      </c>
      <c r="E994" s="26" t="s">
        <v>62</v>
      </c>
      <c r="F994" s="26" t="s">
        <v>4216</v>
      </c>
      <c r="G994" s="26" t="s">
        <v>4260</v>
      </c>
      <c r="H994" s="26" t="s">
        <v>201</v>
      </c>
      <c r="I994" s="26" t="s">
        <v>39</v>
      </c>
      <c r="J994" s="26" t="s">
        <v>202</v>
      </c>
      <c r="K994" s="26" t="s">
        <v>4261</v>
      </c>
      <c r="L994" s="26"/>
      <c r="M994" s="26">
        <v>6</v>
      </c>
      <c r="N994" s="26">
        <v>2</v>
      </c>
      <c r="O994" s="26">
        <v>6</v>
      </c>
      <c r="P994" s="26">
        <v>0</v>
      </c>
      <c r="Q994" s="26">
        <v>0</v>
      </c>
      <c r="R994" s="1209">
        <v>247</v>
      </c>
      <c r="S994" s="1209">
        <v>1482</v>
      </c>
      <c r="T994" s="26" t="s">
        <v>4220</v>
      </c>
      <c r="U994" s="1871" t="s">
        <v>4221</v>
      </c>
      <c r="V994" s="26" t="s">
        <v>1963</v>
      </c>
      <c r="W994" s="2008" t="s">
        <v>4262</v>
      </c>
      <c r="X994" s="18"/>
      <c r="Y994" s="4"/>
      <c r="Z994" s="4"/>
    </row>
    <row r="995" spans="1:26" ht="24.95" hidden="1">
      <c r="A995" s="20">
        <v>1002</v>
      </c>
      <c r="B995" s="1063">
        <v>40772</v>
      </c>
      <c r="C995" s="26" t="s">
        <v>4263</v>
      </c>
      <c r="D995" s="11" t="s">
        <v>6</v>
      </c>
      <c r="E995" s="26" t="s">
        <v>62</v>
      </c>
      <c r="F995" s="26" t="s">
        <v>4216</v>
      </c>
      <c r="G995" s="26" t="s">
        <v>4264</v>
      </c>
      <c r="H995" s="26" t="s">
        <v>249</v>
      </c>
      <c r="I995" s="26" t="s">
        <v>39</v>
      </c>
      <c r="J995" s="26" t="s">
        <v>4265</v>
      </c>
      <c r="K995" s="26" t="s">
        <v>251</v>
      </c>
      <c r="L995" s="26"/>
      <c r="M995" s="26">
        <v>6</v>
      </c>
      <c r="N995" s="26">
        <v>1</v>
      </c>
      <c r="O995" s="26">
        <v>6</v>
      </c>
      <c r="P995" s="26">
        <v>0</v>
      </c>
      <c r="Q995" s="26">
        <v>0</v>
      </c>
      <c r="R995" s="1209">
        <v>870</v>
      </c>
      <c r="S995" s="1209">
        <v>5220</v>
      </c>
      <c r="T995" s="26" t="s">
        <v>4220</v>
      </c>
      <c r="U995" s="1871" t="s">
        <v>4221</v>
      </c>
      <c r="V995" s="26" t="s">
        <v>1963</v>
      </c>
      <c r="W995" s="2008" t="s">
        <v>4266</v>
      </c>
      <c r="X995" s="18"/>
      <c r="Y995" s="4"/>
      <c r="Z995" s="4"/>
    </row>
    <row r="996" spans="1:26" ht="24.95" hidden="1">
      <c r="A996" s="20">
        <v>1003</v>
      </c>
      <c r="B996" s="1063">
        <v>40773</v>
      </c>
      <c r="C996" s="26" t="s">
        <v>4267</v>
      </c>
      <c r="D996" s="11" t="s">
        <v>6</v>
      </c>
      <c r="E996" s="26" t="s">
        <v>62</v>
      </c>
      <c r="F996" s="26" t="s">
        <v>4216</v>
      </c>
      <c r="G996" s="26" t="s">
        <v>4268</v>
      </c>
      <c r="H996" s="26" t="s">
        <v>144</v>
      </c>
      <c r="I996" s="26" t="s">
        <v>39</v>
      </c>
      <c r="J996" s="26" t="s">
        <v>190</v>
      </c>
      <c r="K996" s="26" t="s">
        <v>191</v>
      </c>
      <c r="L996" s="26"/>
      <c r="M996" s="26">
        <v>9</v>
      </c>
      <c r="N996" s="26">
        <v>1</v>
      </c>
      <c r="O996" s="26">
        <v>9</v>
      </c>
      <c r="P996" s="26">
        <v>0</v>
      </c>
      <c r="Q996" s="26">
        <v>0</v>
      </c>
      <c r="R996" s="1209">
        <v>356</v>
      </c>
      <c r="S996" s="1209">
        <v>3204</v>
      </c>
      <c r="T996" s="26" t="s">
        <v>4220</v>
      </c>
      <c r="U996" s="1871" t="s">
        <v>4221</v>
      </c>
      <c r="V996" s="26" t="s">
        <v>1963</v>
      </c>
      <c r="W996" s="2008" t="s">
        <v>4269</v>
      </c>
      <c r="X996" s="18"/>
      <c r="Y996" s="4"/>
      <c r="Z996" s="4"/>
    </row>
    <row r="997" spans="1:26" ht="14.1" hidden="1">
      <c r="A997" s="20">
        <v>1004</v>
      </c>
      <c r="B997" s="1063">
        <v>40774</v>
      </c>
      <c r="C997" s="26" t="s">
        <v>253</v>
      </c>
      <c r="D997" s="11" t="s">
        <v>6</v>
      </c>
      <c r="E997" s="26" t="s">
        <v>62</v>
      </c>
      <c r="F997" s="26" t="s">
        <v>4216</v>
      </c>
      <c r="G997" s="26" t="s">
        <v>4270</v>
      </c>
      <c r="H997" s="26" t="s">
        <v>154</v>
      </c>
      <c r="I997" s="26" t="s">
        <v>39</v>
      </c>
      <c r="J997" s="26" t="s">
        <v>4271</v>
      </c>
      <c r="K997" s="26" t="s">
        <v>4272</v>
      </c>
      <c r="L997" s="26" t="s">
        <v>210</v>
      </c>
      <c r="M997" s="26">
        <v>9</v>
      </c>
      <c r="N997" s="26">
        <v>10</v>
      </c>
      <c r="O997" s="26">
        <v>10</v>
      </c>
      <c r="P997" s="26">
        <v>0</v>
      </c>
      <c r="Q997" s="26">
        <v>1</v>
      </c>
      <c r="R997" s="1209">
        <v>175.8</v>
      </c>
      <c r="S997" s="1209">
        <v>1758</v>
      </c>
      <c r="T997" s="26" t="s">
        <v>4220</v>
      </c>
      <c r="U997" s="1871" t="s">
        <v>4221</v>
      </c>
      <c r="V997" s="26" t="s">
        <v>1963</v>
      </c>
      <c r="W997" s="2008" t="s">
        <v>4273</v>
      </c>
      <c r="X997" s="18"/>
      <c r="Y997" s="4"/>
      <c r="Z997" s="4"/>
    </row>
    <row r="998" spans="1:26" ht="14.1" hidden="1">
      <c r="A998" s="20">
        <v>1005</v>
      </c>
      <c r="B998" s="1063">
        <v>40775</v>
      </c>
      <c r="C998" s="26" t="s">
        <v>4274</v>
      </c>
      <c r="D998" s="11" t="s">
        <v>6</v>
      </c>
      <c r="E998" s="26" t="s">
        <v>62</v>
      </c>
      <c r="F998" s="26" t="s">
        <v>4216</v>
      </c>
      <c r="G998" s="26" t="s">
        <v>4275</v>
      </c>
      <c r="H998" s="26" t="s">
        <v>4276</v>
      </c>
      <c r="I998" s="26" t="s">
        <v>39</v>
      </c>
      <c r="J998" s="26" t="s">
        <v>4277</v>
      </c>
      <c r="K998" s="26" t="s">
        <v>4278</v>
      </c>
      <c r="L998" s="26" t="s">
        <v>4279</v>
      </c>
      <c r="M998" s="26">
        <v>12</v>
      </c>
      <c r="N998" s="26">
        <v>20</v>
      </c>
      <c r="O998" s="26">
        <v>20</v>
      </c>
      <c r="P998" s="26">
        <v>0</v>
      </c>
      <c r="Q998" s="26">
        <v>8</v>
      </c>
      <c r="R998" s="1209">
        <v>64.650000000000006</v>
      </c>
      <c r="S998" s="1209">
        <v>1293</v>
      </c>
      <c r="T998" s="26" t="s">
        <v>4220</v>
      </c>
      <c r="U998" s="1871" t="s">
        <v>4221</v>
      </c>
      <c r="V998" s="26" t="s">
        <v>1963</v>
      </c>
      <c r="W998" s="2008" t="s">
        <v>4280</v>
      </c>
      <c r="X998" s="26"/>
      <c r="Y998" s="71"/>
      <c r="Z998" s="71"/>
    </row>
    <row r="999" spans="1:26" ht="14.1" hidden="1">
      <c r="A999" s="20">
        <v>1006</v>
      </c>
      <c r="B999" s="1063">
        <v>40776</v>
      </c>
      <c r="C999" s="26" t="s">
        <v>4281</v>
      </c>
      <c r="D999" s="11" t="s">
        <v>6</v>
      </c>
      <c r="E999" s="26" t="s">
        <v>62</v>
      </c>
      <c r="F999" s="26" t="s">
        <v>4216</v>
      </c>
      <c r="G999" s="26" t="s">
        <v>4282</v>
      </c>
      <c r="H999" s="26" t="s">
        <v>195</v>
      </c>
      <c r="I999" s="26" t="s">
        <v>39</v>
      </c>
      <c r="J999" s="26" t="s">
        <v>196</v>
      </c>
      <c r="K999" s="26" t="s">
        <v>4283</v>
      </c>
      <c r="L999" s="26"/>
      <c r="M999" s="26">
        <v>6</v>
      </c>
      <c r="N999" s="26">
        <v>1</v>
      </c>
      <c r="O999" s="26">
        <v>6</v>
      </c>
      <c r="P999" s="26">
        <v>0</v>
      </c>
      <c r="Q999" s="26">
        <v>0</v>
      </c>
      <c r="R999" s="1209">
        <v>345</v>
      </c>
      <c r="S999" s="1209">
        <v>2070</v>
      </c>
      <c r="T999" s="26" t="s">
        <v>4220</v>
      </c>
      <c r="U999" s="1871" t="s">
        <v>4221</v>
      </c>
      <c r="V999" s="26" t="s">
        <v>1963</v>
      </c>
      <c r="W999" s="2008" t="s">
        <v>4280</v>
      </c>
      <c r="X999" s="26"/>
      <c r="Y999" s="71"/>
      <c r="Z999" s="71"/>
    </row>
    <row r="1000" spans="1:26" ht="24.95" hidden="1">
      <c r="A1000" s="20">
        <v>1007</v>
      </c>
      <c r="B1000" s="1063">
        <v>40777</v>
      </c>
      <c r="C1000" s="26" t="s">
        <v>4284</v>
      </c>
      <c r="D1000" s="11" t="s">
        <v>6</v>
      </c>
      <c r="E1000" s="26" t="s">
        <v>62</v>
      </c>
      <c r="F1000" s="26" t="s">
        <v>4216</v>
      </c>
      <c r="G1000" s="26" t="s">
        <v>4285</v>
      </c>
      <c r="H1000" s="26" t="s">
        <v>230</v>
      </c>
      <c r="I1000" s="26" t="s">
        <v>39</v>
      </c>
      <c r="J1000" s="26" t="s">
        <v>922</v>
      </c>
      <c r="K1000" s="26" t="s">
        <v>923</v>
      </c>
      <c r="L1000" s="26" t="s">
        <v>4286</v>
      </c>
      <c r="M1000" s="26">
        <v>6</v>
      </c>
      <c r="N1000" s="26">
        <v>10</v>
      </c>
      <c r="O1000" s="26">
        <v>10</v>
      </c>
      <c r="P1000" s="26">
        <v>0</v>
      </c>
      <c r="Q1000" s="26">
        <v>4</v>
      </c>
      <c r="R1000" s="1209">
        <v>311</v>
      </c>
      <c r="S1000" s="1209">
        <v>3110</v>
      </c>
      <c r="T1000" s="26" t="s">
        <v>4220</v>
      </c>
      <c r="U1000" s="1871" t="s">
        <v>4221</v>
      </c>
      <c r="V1000" s="26" t="s">
        <v>1963</v>
      </c>
      <c r="W1000" s="2008" t="s">
        <v>4287</v>
      </c>
      <c r="X1000" s="18"/>
      <c r="Y1000" s="4"/>
      <c r="Z1000" s="4"/>
    </row>
    <row r="1001" spans="1:26" ht="24.95" hidden="1">
      <c r="A1001" s="20">
        <v>1008</v>
      </c>
      <c r="B1001" s="1063">
        <v>40778</v>
      </c>
      <c r="C1001" s="26" t="s">
        <v>175</v>
      </c>
      <c r="D1001" s="11" t="s">
        <v>6</v>
      </c>
      <c r="E1001" s="26" t="s">
        <v>62</v>
      </c>
      <c r="F1001" s="26" t="s">
        <v>4216</v>
      </c>
      <c r="G1001" s="26" t="s">
        <v>909</v>
      </c>
      <c r="H1001" s="26" t="s">
        <v>154</v>
      </c>
      <c r="I1001" s="26" t="s">
        <v>39</v>
      </c>
      <c r="J1001" s="26" t="s">
        <v>910</v>
      </c>
      <c r="K1001" s="26" t="s">
        <v>911</v>
      </c>
      <c r="L1001" s="26" t="s">
        <v>912</v>
      </c>
      <c r="M1001" s="26">
        <v>12</v>
      </c>
      <c r="N1001" s="26">
        <v>1</v>
      </c>
      <c r="O1001" s="26">
        <v>12</v>
      </c>
      <c r="P1001" s="26">
        <v>0</v>
      </c>
      <c r="Q1001" s="26">
        <v>0</v>
      </c>
      <c r="R1001" s="1209">
        <v>838</v>
      </c>
      <c r="S1001" s="1209">
        <v>10056</v>
      </c>
      <c r="T1001" s="26" t="s">
        <v>4220</v>
      </c>
      <c r="U1001" s="1871" t="s">
        <v>4221</v>
      </c>
      <c r="V1001" s="26" t="s">
        <v>1963</v>
      </c>
      <c r="W1001" s="2008" t="s">
        <v>914</v>
      </c>
      <c r="X1001" s="18"/>
      <c r="Y1001" s="4"/>
      <c r="Z1001" s="4"/>
    </row>
    <row r="1002" spans="1:26" ht="24.95" hidden="1">
      <c r="A1002" s="20">
        <v>1009</v>
      </c>
      <c r="B1002" s="1063">
        <v>40779</v>
      </c>
      <c r="C1002" s="26" t="s">
        <v>152</v>
      </c>
      <c r="D1002" s="11" t="s">
        <v>6</v>
      </c>
      <c r="E1002" s="26" t="s">
        <v>62</v>
      </c>
      <c r="F1002" s="26" t="s">
        <v>4216</v>
      </c>
      <c r="G1002" s="26" t="s">
        <v>4288</v>
      </c>
      <c r="H1002" s="26" t="s">
        <v>154</v>
      </c>
      <c r="I1002" s="26" t="s">
        <v>39</v>
      </c>
      <c r="J1002" s="26" t="s">
        <v>4289</v>
      </c>
      <c r="K1002" s="26" t="s">
        <v>4290</v>
      </c>
      <c r="L1002" s="26" t="s">
        <v>4291</v>
      </c>
      <c r="M1002" s="26">
        <v>9</v>
      </c>
      <c r="N1002" s="26">
        <v>50</v>
      </c>
      <c r="O1002" s="26">
        <v>50</v>
      </c>
      <c r="P1002" s="26">
        <v>0</v>
      </c>
      <c r="Q1002" s="26">
        <v>41</v>
      </c>
      <c r="R1002" s="1209">
        <v>1.34</v>
      </c>
      <c r="S1002" s="1209">
        <v>67</v>
      </c>
      <c r="T1002" s="26" t="s">
        <v>4220</v>
      </c>
      <c r="U1002" s="1871" t="s">
        <v>4221</v>
      </c>
      <c r="V1002" s="26" t="s">
        <v>1963</v>
      </c>
      <c r="W1002" s="2008" t="s">
        <v>4292</v>
      </c>
      <c r="X1002" s="18"/>
      <c r="Y1002" s="4"/>
      <c r="Z1002" s="4"/>
    </row>
    <row r="1003" spans="1:26" ht="24.95" hidden="1">
      <c r="A1003" s="20">
        <v>1010</v>
      </c>
      <c r="B1003" s="1063">
        <v>40780</v>
      </c>
      <c r="C1003" s="26" t="s">
        <v>152</v>
      </c>
      <c r="D1003" s="11" t="s">
        <v>6</v>
      </c>
      <c r="E1003" s="26" t="s">
        <v>62</v>
      </c>
      <c r="F1003" s="26" t="s">
        <v>4216</v>
      </c>
      <c r="G1003" s="26" t="s">
        <v>4293</v>
      </c>
      <c r="H1003" s="26" t="s">
        <v>2786</v>
      </c>
      <c r="I1003" s="26" t="s">
        <v>39</v>
      </c>
      <c r="J1003" s="26" t="s">
        <v>4294</v>
      </c>
      <c r="K1003" s="26" t="s">
        <v>4295</v>
      </c>
      <c r="L1003" s="26" t="s">
        <v>4291</v>
      </c>
      <c r="M1003" s="26">
        <v>6</v>
      </c>
      <c r="N1003" s="26">
        <v>50</v>
      </c>
      <c r="O1003" s="26">
        <v>50</v>
      </c>
      <c r="P1003" s="26">
        <v>0</v>
      </c>
      <c r="Q1003" s="26">
        <v>44</v>
      </c>
      <c r="R1003" s="1209">
        <v>7.96</v>
      </c>
      <c r="S1003" s="1209">
        <v>398</v>
      </c>
      <c r="T1003" s="26" t="s">
        <v>4220</v>
      </c>
      <c r="U1003" s="1871" t="s">
        <v>4221</v>
      </c>
      <c r="V1003" s="26" t="s">
        <v>1963</v>
      </c>
      <c r="W1003" s="2008" t="s">
        <v>4296</v>
      </c>
      <c r="X1003" s="18"/>
      <c r="Y1003" s="4"/>
      <c r="Z1003" s="4"/>
    </row>
    <row r="1004" spans="1:26" ht="24.95" hidden="1">
      <c r="A1004" s="20">
        <v>1011</v>
      </c>
      <c r="B1004" s="1063">
        <v>40781</v>
      </c>
      <c r="C1004" s="26" t="s">
        <v>4297</v>
      </c>
      <c r="D1004" s="11" t="s">
        <v>6</v>
      </c>
      <c r="E1004" s="26" t="s">
        <v>62</v>
      </c>
      <c r="F1004" s="26" t="s">
        <v>4216</v>
      </c>
      <c r="G1004" s="26" t="s">
        <v>4298</v>
      </c>
      <c r="H1004" s="26" t="s">
        <v>452</v>
      </c>
      <c r="I1004" s="26" t="s">
        <v>39</v>
      </c>
      <c r="J1004" s="26" t="s">
        <v>4299</v>
      </c>
      <c r="K1004" s="26" t="s">
        <v>4300</v>
      </c>
      <c r="L1004" s="26" t="s">
        <v>4301</v>
      </c>
      <c r="M1004" s="26">
        <v>6</v>
      </c>
      <c r="N1004" s="26">
        <v>10</v>
      </c>
      <c r="O1004" s="26">
        <v>10</v>
      </c>
      <c r="P1004" s="26">
        <v>0</v>
      </c>
      <c r="Q1004" s="26">
        <v>4</v>
      </c>
      <c r="R1004" s="1209">
        <v>82.2</v>
      </c>
      <c r="S1004" s="1209">
        <v>822</v>
      </c>
      <c r="T1004" s="26" t="s">
        <v>4220</v>
      </c>
      <c r="U1004" s="1871" t="s">
        <v>4221</v>
      </c>
      <c r="V1004" s="26" t="s">
        <v>1963</v>
      </c>
      <c r="W1004" s="2008" t="s">
        <v>4302</v>
      </c>
      <c r="X1004" s="26"/>
      <c r="Y1004" s="71"/>
      <c r="Z1004" s="71"/>
    </row>
    <row r="1005" spans="1:26" ht="24.95" hidden="1">
      <c r="A1005" s="20">
        <v>1012</v>
      </c>
      <c r="B1005" s="1063">
        <v>40782</v>
      </c>
      <c r="C1005" s="26" t="s">
        <v>776</v>
      </c>
      <c r="D1005" s="11" t="s">
        <v>6</v>
      </c>
      <c r="E1005" s="26" t="s">
        <v>62</v>
      </c>
      <c r="F1005" s="26" t="s">
        <v>4216</v>
      </c>
      <c r="G1005" s="26" t="s">
        <v>777</v>
      </c>
      <c r="H1005" s="26" t="s">
        <v>207</v>
      </c>
      <c r="I1005" s="26" t="s">
        <v>39</v>
      </c>
      <c r="J1005" s="26" t="s">
        <v>208</v>
      </c>
      <c r="K1005" s="26" t="s">
        <v>778</v>
      </c>
      <c r="L1005" s="26" t="s">
        <v>210</v>
      </c>
      <c r="M1005" s="26">
        <v>6</v>
      </c>
      <c r="N1005" s="26">
        <v>10</v>
      </c>
      <c r="O1005" s="26">
        <v>10</v>
      </c>
      <c r="P1005" s="26">
        <v>0</v>
      </c>
      <c r="Q1005" s="26">
        <v>4</v>
      </c>
      <c r="R1005" s="1209">
        <v>647</v>
      </c>
      <c r="S1005" s="1209">
        <v>6470</v>
      </c>
      <c r="T1005" s="26" t="s">
        <v>4220</v>
      </c>
      <c r="U1005" s="1871" t="s">
        <v>4221</v>
      </c>
      <c r="V1005" s="26" t="s">
        <v>1963</v>
      </c>
      <c r="W1005" s="2008" t="s">
        <v>780</v>
      </c>
      <c r="X1005" s="26"/>
      <c r="Y1005" s="71"/>
      <c r="Z1005" s="71"/>
    </row>
    <row r="1006" spans="1:26" ht="24.95" hidden="1">
      <c r="A1006" s="20">
        <v>1013</v>
      </c>
      <c r="B1006" s="1063">
        <v>40783</v>
      </c>
      <c r="C1006" s="26" t="s">
        <v>4303</v>
      </c>
      <c r="D1006" s="11" t="s">
        <v>6</v>
      </c>
      <c r="E1006" s="26" t="s">
        <v>62</v>
      </c>
      <c r="F1006" s="26" t="s">
        <v>4216</v>
      </c>
      <c r="G1006" s="26" t="s">
        <v>4304</v>
      </c>
      <c r="H1006" s="26" t="s">
        <v>243</v>
      </c>
      <c r="I1006" s="26" t="s">
        <v>39</v>
      </c>
      <c r="J1006" s="26" t="s">
        <v>244</v>
      </c>
      <c r="K1006" s="26" t="s">
        <v>245</v>
      </c>
      <c r="L1006" s="26" t="s">
        <v>210</v>
      </c>
      <c r="M1006" s="26">
        <v>9</v>
      </c>
      <c r="N1006" s="26">
        <v>10</v>
      </c>
      <c r="O1006" s="26">
        <v>10</v>
      </c>
      <c r="P1006" s="26">
        <v>0</v>
      </c>
      <c r="Q1006" s="26">
        <v>1</v>
      </c>
      <c r="R1006" s="1209">
        <v>400</v>
      </c>
      <c r="S1006" s="1209">
        <v>4000</v>
      </c>
      <c r="T1006" s="26" t="s">
        <v>4220</v>
      </c>
      <c r="U1006" s="1871" t="s">
        <v>4221</v>
      </c>
      <c r="V1006" s="26" t="s">
        <v>1963</v>
      </c>
      <c r="W1006" s="2008" t="s">
        <v>4305</v>
      </c>
      <c r="X1006" s="18"/>
      <c r="Y1006" s="4"/>
      <c r="Z1006" s="4"/>
    </row>
    <row r="1007" spans="1:26" ht="14.1" hidden="1">
      <c r="A1007" s="20">
        <v>1014</v>
      </c>
      <c r="B1007" s="1063">
        <v>40784</v>
      </c>
      <c r="C1007" s="26" t="s">
        <v>904</v>
      </c>
      <c r="D1007" s="11" t="s">
        <v>6</v>
      </c>
      <c r="E1007" s="26" t="s">
        <v>62</v>
      </c>
      <c r="F1007" s="26" t="s">
        <v>4216</v>
      </c>
      <c r="G1007" s="26" t="s">
        <v>905</v>
      </c>
      <c r="H1007" s="26" t="s">
        <v>260</v>
      </c>
      <c r="I1007" s="26" t="s">
        <v>39</v>
      </c>
      <c r="J1007" s="26" t="s">
        <v>906</v>
      </c>
      <c r="K1007" s="26" t="s">
        <v>906</v>
      </c>
      <c r="L1007" s="26"/>
      <c r="M1007" s="26">
        <v>10</v>
      </c>
      <c r="N1007" s="26">
        <v>10</v>
      </c>
      <c r="O1007" s="26">
        <v>10</v>
      </c>
      <c r="P1007" s="26">
        <v>0</v>
      </c>
      <c r="Q1007" s="26">
        <v>0</v>
      </c>
      <c r="R1007" s="1209">
        <v>224</v>
      </c>
      <c r="S1007" s="1209">
        <v>2240</v>
      </c>
      <c r="T1007" s="26" t="s">
        <v>4220</v>
      </c>
      <c r="U1007" s="1871" t="s">
        <v>4221</v>
      </c>
      <c r="V1007" s="26" t="s">
        <v>1963</v>
      </c>
      <c r="W1007" s="2008" t="s">
        <v>908</v>
      </c>
      <c r="X1007" s="18"/>
      <c r="Y1007" s="4"/>
      <c r="Z1007" s="4"/>
    </row>
    <row r="1008" spans="1:26" ht="24.95" hidden="1">
      <c r="A1008" s="20">
        <v>1015</v>
      </c>
      <c r="B1008" s="1063">
        <v>40785</v>
      </c>
      <c r="C1008" s="26" t="s">
        <v>4306</v>
      </c>
      <c r="D1008" s="11" t="s">
        <v>6</v>
      </c>
      <c r="E1008" s="26" t="s">
        <v>62</v>
      </c>
      <c r="F1008" s="26" t="s">
        <v>4216</v>
      </c>
      <c r="G1008" s="26" t="s">
        <v>4307</v>
      </c>
      <c r="H1008" s="26" t="s">
        <v>857</v>
      </c>
      <c r="I1008" s="26" t="s">
        <v>39</v>
      </c>
      <c r="J1008" s="26" t="s">
        <v>858</v>
      </c>
      <c r="K1008" s="26" t="s">
        <v>859</v>
      </c>
      <c r="L1008" s="26"/>
      <c r="M1008" s="26">
        <v>3</v>
      </c>
      <c r="N1008" s="26">
        <v>1</v>
      </c>
      <c r="O1008" s="26">
        <v>3</v>
      </c>
      <c r="P1008" s="26">
        <v>0</v>
      </c>
      <c r="Q1008" s="26">
        <v>0</v>
      </c>
      <c r="R1008" s="1209">
        <v>2397</v>
      </c>
      <c r="S1008" s="1209">
        <v>7191</v>
      </c>
      <c r="T1008" s="26" t="s">
        <v>4220</v>
      </c>
      <c r="U1008" s="1871" t="s">
        <v>4221</v>
      </c>
      <c r="V1008" s="26" t="s">
        <v>1963</v>
      </c>
      <c r="W1008" s="2008" t="s">
        <v>862</v>
      </c>
      <c r="X1008" s="18"/>
      <c r="Y1008" s="4"/>
      <c r="Z1008" s="4"/>
    </row>
    <row r="1009" spans="1:26" ht="24.95" hidden="1">
      <c r="A1009" s="20">
        <v>1016</v>
      </c>
      <c r="B1009" s="1063">
        <v>40786</v>
      </c>
      <c r="C1009" s="26" t="s">
        <v>4308</v>
      </c>
      <c r="D1009" s="11" t="s">
        <v>6</v>
      </c>
      <c r="E1009" s="26" t="s">
        <v>62</v>
      </c>
      <c r="F1009" s="26" t="s">
        <v>4216</v>
      </c>
      <c r="G1009" s="26" t="s">
        <v>4309</v>
      </c>
      <c r="H1009" s="26" t="s">
        <v>873</v>
      </c>
      <c r="I1009" s="26" t="s">
        <v>53</v>
      </c>
      <c r="J1009" s="26" t="s">
        <v>874</v>
      </c>
      <c r="K1009" s="26" t="s">
        <v>875</v>
      </c>
      <c r="L1009" s="26"/>
      <c r="M1009" s="26">
        <v>4</v>
      </c>
      <c r="N1009" s="26">
        <v>1</v>
      </c>
      <c r="O1009" s="26">
        <v>4</v>
      </c>
      <c r="P1009" s="26">
        <v>0</v>
      </c>
      <c r="Q1009" s="26">
        <v>0</v>
      </c>
      <c r="R1009" s="1209">
        <v>1891</v>
      </c>
      <c r="S1009" s="1209">
        <v>7564</v>
      </c>
      <c r="T1009" s="26" t="s">
        <v>4220</v>
      </c>
      <c r="U1009" s="1871" t="s">
        <v>4221</v>
      </c>
      <c r="V1009" s="26" t="s">
        <v>1963</v>
      </c>
      <c r="W1009" s="2008" t="s">
        <v>878</v>
      </c>
      <c r="X1009" s="18"/>
      <c r="Y1009" s="4"/>
      <c r="Z1009" s="4"/>
    </row>
    <row r="1010" spans="1:26" ht="24.95" hidden="1">
      <c r="A1010" s="20">
        <v>1017</v>
      </c>
      <c r="B1010" s="1063">
        <v>40787</v>
      </c>
      <c r="C1010" s="26" t="s">
        <v>4310</v>
      </c>
      <c r="D1010" s="11" t="s">
        <v>6</v>
      </c>
      <c r="E1010" s="26" t="s">
        <v>62</v>
      </c>
      <c r="F1010" s="26" t="s">
        <v>4216</v>
      </c>
      <c r="G1010" s="26" t="s">
        <v>4311</v>
      </c>
      <c r="H1010" s="26" t="s">
        <v>2914</v>
      </c>
      <c r="I1010" s="26" t="s">
        <v>39</v>
      </c>
      <c r="J1010" s="26" t="s">
        <v>4312</v>
      </c>
      <c r="K1010" s="26" t="s">
        <v>2916</v>
      </c>
      <c r="L1010" s="26"/>
      <c r="M1010" s="26">
        <v>9</v>
      </c>
      <c r="N1010" s="26">
        <v>1</v>
      </c>
      <c r="O1010" s="26">
        <v>9</v>
      </c>
      <c r="P1010" s="26">
        <v>0</v>
      </c>
      <c r="Q1010" s="26">
        <v>0</v>
      </c>
      <c r="R1010" s="1209">
        <v>392</v>
      </c>
      <c r="S1010" s="1209">
        <v>3528</v>
      </c>
      <c r="T1010" s="26" t="s">
        <v>4220</v>
      </c>
      <c r="U1010" s="1871" t="s">
        <v>4313</v>
      </c>
      <c r="V1010" s="26" t="s">
        <v>1963</v>
      </c>
      <c r="W1010" s="2008" t="s">
        <v>4314</v>
      </c>
      <c r="X1010" s="26"/>
      <c r="Y1010" s="71"/>
      <c r="Z1010" s="71"/>
    </row>
    <row r="1011" spans="1:26" ht="37.5" hidden="1">
      <c r="A1011" s="20">
        <v>1018</v>
      </c>
      <c r="B1011" s="1063">
        <v>40788</v>
      </c>
      <c r="C1011" s="26" t="s">
        <v>1806</v>
      </c>
      <c r="D1011" s="11" t="s">
        <v>6</v>
      </c>
      <c r="E1011" s="26" t="s">
        <v>62</v>
      </c>
      <c r="F1011" s="26" t="s">
        <v>4216</v>
      </c>
      <c r="G1011" s="26" t="s">
        <v>4315</v>
      </c>
      <c r="H1011" s="26" t="s">
        <v>4247</v>
      </c>
      <c r="I1011" s="26" t="s">
        <v>53</v>
      </c>
      <c r="J1011" s="26" t="s">
        <v>4316</v>
      </c>
      <c r="K1011" s="26" t="s">
        <v>4317</v>
      </c>
      <c r="L1011" s="26"/>
      <c r="M1011" s="26">
        <v>12</v>
      </c>
      <c r="N1011" s="26">
        <v>1</v>
      </c>
      <c r="O1011" s="26">
        <v>12</v>
      </c>
      <c r="P1011" s="26">
        <v>0</v>
      </c>
      <c r="Q1011" s="26">
        <v>0</v>
      </c>
      <c r="R1011" s="1209">
        <v>229</v>
      </c>
      <c r="S1011" s="1209">
        <v>2748</v>
      </c>
      <c r="T1011" s="26" t="s">
        <v>4220</v>
      </c>
      <c r="U1011" s="1871" t="s">
        <v>4313</v>
      </c>
      <c r="V1011" s="26" t="s">
        <v>1963</v>
      </c>
      <c r="W1011" s="2008" t="s">
        <v>4318</v>
      </c>
      <c r="X1011" s="26"/>
      <c r="Y1011" s="71"/>
      <c r="Z1011" s="71"/>
    </row>
    <row r="1012" spans="1:26" ht="14.1" hidden="1">
      <c r="A1012" s="20">
        <v>1019</v>
      </c>
      <c r="B1012" s="1063">
        <v>40789</v>
      </c>
      <c r="C1012" s="26" t="s">
        <v>4319</v>
      </c>
      <c r="D1012" s="11" t="s">
        <v>6</v>
      </c>
      <c r="E1012" s="26" t="s">
        <v>62</v>
      </c>
      <c r="F1012" s="26" t="s">
        <v>4216</v>
      </c>
      <c r="G1012" s="26" t="s">
        <v>4320</v>
      </c>
      <c r="H1012" s="26" t="s">
        <v>4321</v>
      </c>
      <c r="I1012" s="26" t="s">
        <v>39</v>
      </c>
      <c r="J1012" s="26" t="s">
        <v>4322</v>
      </c>
      <c r="K1012" s="26">
        <v>31.8201</v>
      </c>
      <c r="L1012" s="26"/>
      <c r="M1012" s="26">
        <v>2</v>
      </c>
      <c r="N1012" s="26">
        <v>10</v>
      </c>
      <c r="O1012" s="26">
        <v>10</v>
      </c>
      <c r="P1012" s="26">
        <v>0</v>
      </c>
      <c r="Q1012" s="26">
        <v>8</v>
      </c>
      <c r="R1012" s="1209">
        <v>97.4</v>
      </c>
      <c r="S1012" s="1209">
        <v>974</v>
      </c>
      <c r="T1012" s="26" t="s">
        <v>4220</v>
      </c>
      <c r="U1012" s="1871" t="s">
        <v>4313</v>
      </c>
      <c r="V1012" s="26" t="s">
        <v>1963</v>
      </c>
      <c r="W1012" s="2008" t="s">
        <v>4323</v>
      </c>
      <c r="X1012" s="18"/>
      <c r="Y1012" s="4"/>
      <c r="Z1012" s="4"/>
    </row>
    <row r="1013" spans="1:26" ht="14.1" hidden="1">
      <c r="A1013" s="20">
        <v>1020</v>
      </c>
      <c r="B1013" s="1063">
        <v>40790</v>
      </c>
      <c r="C1013" s="26" t="s">
        <v>4263</v>
      </c>
      <c r="D1013" s="11" t="s">
        <v>6</v>
      </c>
      <c r="E1013" s="26" t="s">
        <v>62</v>
      </c>
      <c r="F1013" s="26" t="s">
        <v>4216</v>
      </c>
      <c r="G1013" s="26" t="s">
        <v>4324</v>
      </c>
      <c r="H1013" s="26" t="s">
        <v>249</v>
      </c>
      <c r="I1013" s="26" t="s">
        <v>39</v>
      </c>
      <c r="J1013" s="26" t="s">
        <v>4325</v>
      </c>
      <c r="K1013" s="26" t="s">
        <v>4326</v>
      </c>
      <c r="L1013" s="26"/>
      <c r="M1013" s="26">
        <v>6</v>
      </c>
      <c r="N1013" s="26">
        <v>1</v>
      </c>
      <c r="O1013" s="26">
        <v>6</v>
      </c>
      <c r="P1013" s="26">
        <v>0</v>
      </c>
      <c r="Q1013" s="26">
        <v>0</v>
      </c>
      <c r="R1013" s="1209">
        <v>316</v>
      </c>
      <c r="S1013" s="1209">
        <v>1896</v>
      </c>
      <c r="T1013" s="26" t="s">
        <v>4220</v>
      </c>
      <c r="U1013" s="1871" t="s">
        <v>4313</v>
      </c>
      <c r="V1013" s="26" t="s">
        <v>1963</v>
      </c>
      <c r="W1013" s="2008" t="s">
        <v>4323</v>
      </c>
      <c r="X1013" s="18"/>
      <c r="Y1013" s="4"/>
      <c r="Z1013" s="4"/>
    </row>
    <row r="1014" spans="1:26" ht="24.95" hidden="1">
      <c r="A1014" s="20">
        <v>1021</v>
      </c>
      <c r="B1014" s="1063">
        <v>40791</v>
      </c>
      <c r="C1014" s="26" t="s">
        <v>4327</v>
      </c>
      <c r="D1014" s="11" t="s">
        <v>6</v>
      </c>
      <c r="E1014" s="26" t="s">
        <v>62</v>
      </c>
      <c r="F1014" s="26" t="s">
        <v>4216</v>
      </c>
      <c r="G1014" s="26" t="s">
        <v>4328</v>
      </c>
      <c r="H1014" s="26" t="s">
        <v>243</v>
      </c>
      <c r="I1014" s="26" t="s">
        <v>39</v>
      </c>
      <c r="J1014" s="26" t="s">
        <v>4329</v>
      </c>
      <c r="K1014" s="26" t="s">
        <v>4330</v>
      </c>
      <c r="L1014" s="26"/>
      <c r="M1014" s="26">
        <v>5</v>
      </c>
      <c r="N1014" s="26">
        <v>1</v>
      </c>
      <c r="O1014" s="26">
        <v>5</v>
      </c>
      <c r="P1014" s="26">
        <v>0</v>
      </c>
      <c r="Q1014" s="26">
        <v>0</v>
      </c>
      <c r="R1014" s="1209">
        <v>327</v>
      </c>
      <c r="S1014" s="1209">
        <v>1635</v>
      </c>
      <c r="T1014" s="26" t="s">
        <v>4220</v>
      </c>
      <c r="U1014" s="1871" t="s">
        <v>4313</v>
      </c>
      <c r="V1014" s="26" t="s">
        <v>1963</v>
      </c>
      <c r="W1014" s="2008" t="s">
        <v>4331</v>
      </c>
      <c r="X1014" s="18"/>
      <c r="Y1014" s="4"/>
      <c r="Z1014" s="4"/>
    </row>
    <row r="1015" spans="1:26" ht="24.95" hidden="1">
      <c r="A1015" s="20">
        <v>1022</v>
      </c>
      <c r="B1015" s="1063">
        <v>40792</v>
      </c>
      <c r="C1015" s="26" t="s">
        <v>152</v>
      </c>
      <c r="D1015" s="11" t="s">
        <v>6</v>
      </c>
      <c r="E1015" s="26" t="s">
        <v>62</v>
      </c>
      <c r="F1015" s="26" t="s">
        <v>4216</v>
      </c>
      <c r="G1015" s="26" t="s">
        <v>4332</v>
      </c>
      <c r="H1015" s="26" t="s">
        <v>249</v>
      </c>
      <c r="I1015" s="26" t="s">
        <v>39</v>
      </c>
      <c r="J1015" s="26" t="s">
        <v>4333</v>
      </c>
      <c r="K1015" s="26" t="s">
        <v>4334</v>
      </c>
      <c r="L1015" s="26"/>
      <c r="M1015" s="26">
        <v>30</v>
      </c>
      <c r="N1015" s="26">
        <v>50</v>
      </c>
      <c r="O1015" s="26">
        <v>50</v>
      </c>
      <c r="P1015" s="26">
        <v>0</v>
      </c>
      <c r="Q1015" s="26">
        <v>20</v>
      </c>
      <c r="R1015" s="1209">
        <v>3.9</v>
      </c>
      <c r="S1015" s="1209">
        <v>195</v>
      </c>
      <c r="T1015" s="26" t="s">
        <v>4220</v>
      </c>
      <c r="U1015" s="1871" t="s">
        <v>4313</v>
      </c>
      <c r="V1015" s="26" t="s">
        <v>1963</v>
      </c>
      <c r="W1015" s="2008" t="s">
        <v>4335</v>
      </c>
      <c r="X1015" s="18"/>
      <c r="Y1015" s="4"/>
      <c r="Z1015" s="4"/>
    </row>
    <row r="1016" spans="1:26" ht="24.95" hidden="1">
      <c r="A1016" s="20">
        <v>1023</v>
      </c>
      <c r="B1016" s="1063">
        <v>40793</v>
      </c>
      <c r="C1016" s="26" t="s">
        <v>1915</v>
      </c>
      <c r="D1016" s="11" t="s">
        <v>6</v>
      </c>
      <c r="E1016" s="26" t="s">
        <v>62</v>
      </c>
      <c r="F1016" s="26" t="s">
        <v>4216</v>
      </c>
      <c r="G1016" s="26" t="s">
        <v>4336</v>
      </c>
      <c r="H1016" s="26" t="s">
        <v>752</v>
      </c>
      <c r="I1016" s="26" t="s">
        <v>39</v>
      </c>
      <c r="J1016" s="26" t="s">
        <v>4337</v>
      </c>
      <c r="K1016" s="26" t="s">
        <v>4338</v>
      </c>
      <c r="L1016" s="26" t="s">
        <v>4339</v>
      </c>
      <c r="M1016" s="26">
        <v>30</v>
      </c>
      <c r="N1016" s="26">
        <v>5</v>
      </c>
      <c r="O1016" s="26">
        <v>30</v>
      </c>
      <c r="P1016" s="26">
        <v>0</v>
      </c>
      <c r="Q1016" s="26">
        <v>0</v>
      </c>
      <c r="R1016" s="1209">
        <v>90.8</v>
      </c>
      <c r="S1016" s="1209">
        <v>2724</v>
      </c>
      <c r="T1016" s="26" t="s">
        <v>4220</v>
      </c>
      <c r="U1016" s="1871" t="s">
        <v>4313</v>
      </c>
      <c r="V1016" s="26" t="s">
        <v>1963</v>
      </c>
      <c r="W1016" s="2008" t="s">
        <v>4340</v>
      </c>
      <c r="X1016" s="26"/>
      <c r="Y1016" s="71"/>
      <c r="Z1016" s="71"/>
    </row>
    <row r="1017" spans="1:26" ht="24.95" hidden="1">
      <c r="A1017" s="20">
        <v>1024</v>
      </c>
      <c r="B1017" s="1063">
        <v>40794</v>
      </c>
      <c r="C1017" s="26" t="s">
        <v>4341</v>
      </c>
      <c r="D1017" s="11" t="s">
        <v>6</v>
      </c>
      <c r="E1017" s="26" t="s">
        <v>62</v>
      </c>
      <c r="F1017" s="26" t="s">
        <v>4216</v>
      </c>
      <c r="G1017" s="26" t="s">
        <v>4342</v>
      </c>
      <c r="H1017" s="26" t="s">
        <v>899</v>
      </c>
      <c r="I1017" s="26" t="s">
        <v>39</v>
      </c>
      <c r="J1017" s="26" t="s">
        <v>900</v>
      </c>
      <c r="K1017" s="26" t="s">
        <v>901</v>
      </c>
      <c r="L1017" s="26"/>
      <c r="M1017" s="26">
        <v>24</v>
      </c>
      <c r="N1017" s="26">
        <v>30</v>
      </c>
      <c r="O1017" s="26">
        <v>30</v>
      </c>
      <c r="P1017" s="26">
        <v>0</v>
      </c>
      <c r="Q1017" s="26">
        <v>6</v>
      </c>
      <c r="R1017" s="1209">
        <v>81.400000000000006</v>
      </c>
      <c r="S1017" s="1209">
        <v>2442</v>
      </c>
      <c r="T1017" s="26" t="s">
        <v>4220</v>
      </c>
      <c r="U1017" s="1871" t="s">
        <v>4313</v>
      </c>
      <c r="V1017" s="26" t="s">
        <v>1963</v>
      </c>
      <c r="W1017" s="2008" t="s">
        <v>903</v>
      </c>
      <c r="X1017" s="26"/>
      <c r="Y1017" s="71"/>
      <c r="Z1017" s="71"/>
    </row>
    <row r="1018" spans="1:26" ht="14.1" hidden="1">
      <c r="A1018" s="20">
        <v>1025</v>
      </c>
      <c r="B1018" s="1063">
        <v>40795</v>
      </c>
      <c r="C1018" s="26" t="s">
        <v>4343</v>
      </c>
      <c r="D1018" s="11" t="s">
        <v>6</v>
      </c>
      <c r="E1018" s="26" t="s">
        <v>62</v>
      </c>
      <c r="F1018" s="26" t="s">
        <v>4216</v>
      </c>
      <c r="G1018" s="26" t="s">
        <v>4344</v>
      </c>
      <c r="H1018" s="26" t="s">
        <v>3525</v>
      </c>
      <c r="I1018" s="26"/>
      <c r="J1018" s="26"/>
      <c r="K1018" s="26"/>
      <c r="L1018" s="26"/>
      <c r="M1018" s="26">
        <v>3</v>
      </c>
      <c r="N1018" s="26">
        <v>1</v>
      </c>
      <c r="O1018" s="26">
        <v>3</v>
      </c>
      <c r="P1018" s="26">
        <v>0</v>
      </c>
      <c r="Q1018" s="26">
        <v>0</v>
      </c>
      <c r="R1018" s="1209">
        <f>43175/3</f>
        <v>14391.666666666666</v>
      </c>
      <c r="S1018" s="1209">
        <f t="shared" ref="S1018:S1020" si="47">R1018*O1018</f>
        <v>43175</v>
      </c>
      <c r="T1018" s="26" t="s">
        <v>4220</v>
      </c>
      <c r="U1018" s="1871" t="s">
        <v>4221</v>
      </c>
      <c r="V1018" s="26" t="s">
        <v>1963</v>
      </c>
      <c r="W1018" s="2015"/>
      <c r="X1018" s="18"/>
      <c r="Y1018" s="4"/>
      <c r="Z1018" s="4"/>
    </row>
    <row r="1019" spans="1:26" ht="14.1" hidden="1">
      <c r="A1019" s="20">
        <v>1026</v>
      </c>
      <c r="B1019" s="1063">
        <v>40796</v>
      </c>
      <c r="C1019" s="26" t="s">
        <v>4345</v>
      </c>
      <c r="D1019" s="11" t="s">
        <v>6</v>
      </c>
      <c r="E1019" s="26" t="s">
        <v>62</v>
      </c>
      <c r="F1019" s="26" t="s">
        <v>4216</v>
      </c>
      <c r="G1019" s="26" t="s">
        <v>4344</v>
      </c>
      <c r="H1019" s="26" t="s">
        <v>3525</v>
      </c>
      <c r="I1019" s="26"/>
      <c r="J1019" s="26"/>
      <c r="K1019" s="26"/>
      <c r="L1019" s="26"/>
      <c r="M1019" s="26">
        <v>3</v>
      </c>
      <c r="N1019" s="26">
        <v>1</v>
      </c>
      <c r="O1019" s="26">
        <v>3</v>
      </c>
      <c r="P1019" s="26">
        <v>0</v>
      </c>
      <c r="Q1019" s="26">
        <v>0</v>
      </c>
      <c r="R1019" s="1209">
        <f t="shared" ref="R1019:R1020" si="48">42307/3</f>
        <v>14102.333333333334</v>
      </c>
      <c r="S1019" s="1209">
        <f t="shared" si="47"/>
        <v>42307</v>
      </c>
      <c r="T1019" s="26" t="s">
        <v>4220</v>
      </c>
      <c r="U1019" s="1871" t="s">
        <v>4313</v>
      </c>
      <c r="V1019" s="26" t="s">
        <v>1963</v>
      </c>
      <c r="W1019" s="2015"/>
      <c r="X1019" s="18"/>
      <c r="Y1019" s="4"/>
      <c r="Z1019" s="4"/>
    </row>
    <row r="1020" spans="1:26" ht="14.1" hidden="1">
      <c r="A1020" s="20">
        <v>1027</v>
      </c>
      <c r="B1020" s="1063">
        <v>40797</v>
      </c>
      <c r="C1020" s="26" t="s">
        <v>4346</v>
      </c>
      <c r="D1020" s="11" t="s">
        <v>6</v>
      </c>
      <c r="E1020" s="26" t="s">
        <v>62</v>
      </c>
      <c r="F1020" s="26" t="s">
        <v>4216</v>
      </c>
      <c r="G1020" s="26" t="s">
        <v>4344</v>
      </c>
      <c r="H1020" s="26" t="s">
        <v>3525</v>
      </c>
      <c r="I1020" s="26"/>
      <c r="J1020" s="26"/>
      <c r="K1020" s="26"/>
      <c r="L1020" s="26"/>
      <c r="M1020" s="26">
        <v>3</v>
      </c>
      <c r="N1020" s="26">
        <v>1</v>
      </c>
      <c r="O1020" s="26">
        <v>3</v>
      </c>
      <c r="P1020" s="26">
        <v>0</v>
      </c>
      <c r="Q1020" s="26">
        <v>0</v>
      </c>
      <c r="R1020" s="1209">
        <f t="shared" si="48"/>
        <v>14102.333333333334</v>
      </c>
      <c r="S1020" s="1209">
        <f t="shared" si="47"/>
        <v>42307</v>
      </c>
      <c r="T1020" s="26" t="s">
        <v>4220</v>
      </c>
      <c r="U1020" s="1871" t="s">
        <v>4313</v>
      </c>
      <c r="V1020" s="26" t="s">
        <v>1963</v>
      </c>
      <c r="W1020" s="2015"/>
      <c r="X1020" s="18"/>
      <c r="Y1020" s="4"/>
      <c r="Z1020" s="4"/>
    </row>
    <row r="1021" spans="1:26" ht="14.1" hidden="1">
      <c r="A1021" s="20">
        <v>1028</v>
      </c>
      <c r="B1021" s="1063">
        <v>40798</v>
      </c>
      <c r="C1021" s="26" t="s">
        <v>3031</v>
      </c>
      <c r="D1021" s="11" t="s">
        <v>6</v>
      </c>
      <c r="E1021" s="26" t="s">
        <v>62</v>
      </c>
      <c r="F1021" s="26" t="s">
        <v>4347</v>
      </c>
      <c r="G1021" s="26" t="s">
        <v>4348</v>
      </c>
      <c r="H1021" s="26" t="s">
        <v>39</v>
      </c>
      <c r="I1021" s="26" t="s">
        <v>39</v>
      </c>
      <c r="J1021" s="26" t="s">
        <v>4349</v>
      </c>
      <c r="K1021" s="26" t="s">
        <v>4349</v>
      </c>
      <c r="L1021" s="26"/>
      <c r="M1021" s="26">
        <v>10</v>
      </c>
      <c r="N1021" s="26">
        <v>25</v>
      </c>
      <c r="O1021" s="26">
        <v>25</v>
      </c>
      <c r="P1021" s="26">
        <v>0</v>
      </c>
      <c r="Q1021" s="26">
        <v>15</v>
      </c>
      <c r="R1021" s="1209">
        <v>7.76</v>
      </c>
      <c r="S1021" s="1209">
        <v>194</v>
      </c>
      <c r="T1021" s="26" t="s">
        <v>311</v>
      </c>
      <c r="U1021" s="1871" t="s">
        <v>4350</v>
      </c>
      <c r="V1021" s="26" t="s">
        <v>1963</v>
      </c>
      <c r="W1021" s="2008" t="s">
        <v>4351</v>
      </c>
      <c r="X1021" s="18"/>
      <c r="Y1021" s="4"/>
      <c r="Z1021" s="4"/>
    </row>
    <row r="1022" spans="1:26" ht="24.95" hidden="1">
      <c r="A1022" s="20">
        <v>1029</v>
      </c>
      <c r="B1022" s="1063">
        <v>40799</v>
      </c>
      <c r="C1022" s="26" t="s">
        <v>743</v>
      </c>
      <c r="D1022" s="11" t="s">
        <v>6</v>
      </c>
      <c r="E1022" s="26" t="s">
        <v>62</v>
      </c>
      <c r="F1022" s="26" t="s">
        <v>4347</v>
      </c>
      <c r="G1022" s="26" t="s">
        <v>4352</v>
      </c>
      <c r="H1022" s="26" t="s">
        <v>184</v>
      </c>
      <c r="I1022" s="26" t="s">
        <v>39</v>
      </c>
      <c r="J1022" s="26" t="s">
        <v>185</v>
      </c>
      <c r="K1022" s="26" t="s">
        <v>186</v>
      </c>
      <c r="L1022" s="26" t="s">
        <v>744</v>
      </c>
      <c r="M1022" s="26">
        <v>10</v>
      </c>
      <c r="N1022" s="26">
        <v>10</v>
      </c>
      <c r="O1022" s="26">
        <v>10</v>
      </c>
      <c r="P1022" s="26">
        <v>0</v>
      </c>
      <c r="Q1022" s="26">
        <v>0</v>
      </c>
      <c r="R1022" s="1209">
        <v>274</v>
      </c>
      <c r="S1022" s="1209">
        <v>2740</v>
      </c>
      <c r="T1022" s="26" t="s">
        <v>311</v>
      </c>
      <c r="U1022" s="1871" t="s">
        <v>4350</v>
      </c>
      <c r="V1022" s="26" t="s">
        <v>1963</v>
      </c>
      <c r="W1022" s="2008" t="s">
        <v>746</v>
      </c>
      <c r="X1022" s="26"/>
      <c r="Y1022" s="71"/>
      <c r="Z1022" s="71"/>
    </row>
    <row r="1023" spans="1:26" ht="24.95" hidden="1">
      <c r="A1023" s="20">
        <v>1030</v>
      </c>
      <c r="B1023" s="1063">
        <v>40800</v>
      </c>
      <c r="C1023" s="26" t="s">
        <v>728</v>
      </c>
      <c r="D1023" s="11" t="s">
        <v>6</v>
      </c>
      <c r="E1023" s="26" t="s">
        <v>62</v>
      </c>
      <c r="F1023" s="26" t="s">
        <v>4347</v>
      </c>
      <c r="G1023" s="26" t="s">
        <v>4353</v>
      </c>
      <c r="H1023" s="26" t="s">
        <v>144</v>
      </c>
      <c r="I1023" s="26" t="s">
        <v>39</v>
      </c>
      <c r="J1023" s="26" t="s">
        <v>4354</v>
      </c>
      <c r="K1023" s="26" t="s">
        <v>4355</v>
      </c>
      <c r="L1023" s="26" t="s">
        <v>732</v>
      </c>
      <c r="M1023" s="26">
        <v>10</v>
      </c>
      <c r="N1023" s="26">
        <v>50</v>
      </c>
      <c r="O1023" s="26">
        <v>50</v>
      </c>
      <c r="P1023" s="26">
        <v>0</v>
      </c>
      <c r="Q1023" s="26">
        <v>40</v>
      </c>
      <c r="R1023" s="1209">
        <v>10.1</v>
      </c>
      <c r="S1023" s="1209">
        <v>505</v>
      </c>
      <c r="T1023" s="26" t="s">
        <v>311</v>
      </c>
      <c r="U1023" s="1871" t="s">
        <v>4350</v>
      </c>
      <c r="V1023" s="26" t="s">
        <v>1963</v>
      </c>
      <c r="W1023" s="2008" t="s">
        <v>734</v>
      </c>
      <c r="X1023" s="26"/>
      <c r="Y1023" s="71"/>
      <c r="Z1023" s="71"/>
    </row>
    <row r="1024" spans="1:26" ht="24.95" hidden="1">
      <c r="A1024" s="20">
        <v>1031</v>
      </c>
      <c r="B1024" s="1063">
        <v>40801</v>
      </c>
      <c r="C1024" s="26" t="s">
        <v>728</v>
      </c>
      <c r="D1024" s="11" t="s">
        <v>6</v>
      </c>
      <c r="E1024" s="26" t="s">
        <v>62</v>
      </c>
      <c r="F1024" s="26" t="s">
        <v>4347</v>
      </c>
      <c r="G1024" s="26" t="s">
        <v>4356</v>
      </c>
      <c r="H1024" s="26" t="s">
        <v>144</v>
      </c>
      <c r="I1024" s="26" t="s">
        <v>39</v>
      </c>
      <c r="J1024" s="26" t="s">
        <v>736</v>
      </c>
      <c r="K1024" s="26" t="s">
        <v>737</v>
      </c>
      <c r="L1024" s="26" t="s">
        <v>732</v>
      </c>
      <c r="M1024" s="26">
        <v>6</v>
      </c>
      <c r="N1024" s="26">
        <v>50</v>
      </c>
      <c r="O1024" s="26">
        <v>50</v>
      </c>
      <c r="P1024" s="26">
        <v>0</v>
      </c>
      <c r="Q1024" s="26">
        <v>44</v>
      </c>
      <c r="R1024" s="1209">
        <v>17.739999999999998</v>
      </c>
      <c r="S1024" s="1209">
        <v>887</v>
      </c>
      <c r="T1024" s="26" t="s">
        <v>311</v>
      </c>
      <c r="U1024" s="1871" t="s">
        <v>4350</v>
      </c>
      <c r="V1024" s="26" t="s">
        <v>1963</v>
      </c>
      <c r="W1024" s="2008" t="s">
        <v>4357</v>
      </c>
      <c r="X1024" s="18"/>
      <c r="Y1024" s="4"/>
      <c r="Z1024" s="4"/>
    </row>
    <row r="1025" spans="1:26" ht="24.95" hidden="1">
      <c r="A1025" s="20">
        <v>1032</v>
      </c>
      <c r="B1025" s="1063">
        <v>40802</v>
      </c>
      <c r="C1025" s="26" t="s">
        <v>728</v>
      </c>
      <c r="D1025" s="11" t="s">
        <v>6</v>
      </c>
      <c r="E1025" s="26" t="s">
        <v>62</v>
      </c>
      <c r="F1025" s="26" t="s">
        <v>4347</v>
      </c>
      <c r="G1025" s="26" t="s">
        <v>4358</v>
      </c>
      <c r="H1025" s="26" t="s">
        <v>201</v>
      </c>
      <c r="I1025" s="26" t="s">
        <v>39</v>
      </c>
      <c r="J1025" s="26" t="s">
        <v>4359</v>
      </c>
      <c r="K1025" s="26" t="s">
        <v>4360</v>
      </c>
      <c r="L1025" s="26" t="s">
        <v>732</v>
      </c>
      <c r="M1025" s="26">
        <v>4</v>
      </c>
      <c r="N1025" s="26">
        <v>20</v>
      </c>
      <c r="O1025" s="26">
        <v>20</v>
      </c>
      <c r="P1025" s="26">
        <v>0</v>
      </c>
      <c r="Q1025" s="26">
        <v>16</v>
      </c>
      <c r="R1025" s="1209">
        <v>31.95</v>
      </c>
      <c r="S1025" s="1209">
        <v>639</v>
      </c>
      <c r="T1025" s="26" t="s">
        <v>311</v>
      </c>
      <c r="U1025" s="1871" t="s">
        <v>4350</v>
      </c>
      <c r="V1025" s="26" t="s">
        <v>1963</v>
      </c>
      <c r="W1025" s="2008" t="s">
        <v>4361</v>
      </c>
      <c r="X1025" s="18"/>
      <c r="Y1025" s="4"/>
      <c r="Z1025" s="4"/>
    </row>
    <row r="1026" spans="1:26" ht="24.95" hidden="1">
      <c r="A1026" s="20">
        <v>1033</v>
      </c>
      <c r="B1026" s="1063">
        <v>40803</v>
      </c>
      <c r="C1026" s="26" t="s">
        <v>728</v>
      </c>
      <c r="D1026" s="11" t="s">
        <v>6</v>
      </c>
      <c r="E1026" s="26" t="s">
        <v>62</v>
      </c>
      <c r="F1026" s="26" t="s">
        <v>4347</v>
      </c>
      <c r="G1026" s="26" t="s">
        <v>4362</v>
      </c>
      <c r="H1026" s="26" t="s">
        <v>184</v>
      </c>
      <c r="I1026" s="26" t="s">
        <v>39</v>
      </c>
      <c r="J1026" s="26" t="s">
        <v>4363</v>
      </c>
      <c r="K1026" s="26" t="s">
        <v>4364</v>
      </c>
      <c r="L1026" s="26" t="s">
        <v>732</v>
      </c>
      <c r="M1026" s="26">
        <v>4</v>
      </c>
      <c r="N1026" s="26">
        <v>50</v>
      </c>
      <c r="O1026" s="26">
        <v>50</v>
      </c>
      <c r="P1026" s="26">
        <v>0</v>
      </c>
      <c r="Q1026" s="26">
        <v>46</v>
      </c>
      <c r="R1026" s="1209">
        <v>3.2</v>
      </c>
      <c r="S1026" s="1209">
        <v>160</v>
      </c>
      <c r="T1026" s="26" t="s">
        <v>311</v>
      </c>
      <c r="U1026" s="1871" t="s">
        <v>4350</v>
      </c>
      <c r="V1026" s="26" t="s">
        <v>1963</v>
      </c>
      <c r="W1026" s="2008" t="s">
        <v>4365</v>
      </c>
      <c r="X1026" s="18"/>
      <c r="Y1026" s="4"/>
      <c r="Z1026" s="4"/>
    </row>
    <row r="1027" spans="1:26" ht="24.95" hidden="1">
      <c r="A1027" s="20">
        <v>1034</v>
      </c>
      <c r="B1027" s="1063">
        <v>40804</v>
      </c>
      <c r="C1027" s="26" t="s">
        <v>728</v>
      </c>
      <c r="D1027" s="11" t="s">
        <v>6</v>
      </c>
      <c r="E1027" s="26" t="s">
        <v>62</v>
      </c>
      <c r="F1027" s="26" t="s">
        <v>4347</v>
      </c>
      <c r="G1027" s="26" t="s">
        <v>4366</v>
      </c>
      <c r="H1027" s="26" t="s">
        <v>184</v>
      </c>
      <c r="I1027" s="26" t="s">
        <v>39</v>
      </c>
      <c r="J1027" s="26" t="s">
        <v>4367</v>
      </c>
      <c r="K1027" s="26" t="s">
        <v>4368</v>
      </c>
      <c r="L1027" s="26" t="s">
        <v>732</v>
      </c>
      <c r="M1027" s="26">
        <v>4</v>
      </c>
      <c r="N1027" s="26">
        <v>50</v>
      </c>
      <c r="O1027" s="26">
        <v>50</v>
      </c>
      <c r="P1027" s="26">
        <v>0</v>
      </c>
      <c r="Q1027" s="26">
        <v>46</v>
      </c>
      <c r="R1027" s="1209">
        <v>16.86</v>
      </c>
      <c r="S1027" s="1209">
        <v>843</v>
      </c>
      <c r="T1027" s="26" t="s">
        <v>311</v>
      </c>
      <c r="U1027" s="1871" t="s">
        <v>4350</v>
      </c>
      <c r="V1027" s="26" t="s">
        <v>1963</v>
      </c>
      <c r="W1027" s="2008" t="s">
        <v>4369</v>
      </c>
      <c r="X1027" s="18"/>
      <c r="Y1027" s="4"/>
      <c r="Z1027" s="4"/>
    </row>
    <row r="1028" spans="1:26" ht="24.95" hidden="1">
      <c r="A1028" s="20">
        <v>1035</v>
      </c>
      <c r="B1028" s="1063">
        <v>40805</v>
      </c>
      <c r="C1028" s="26" t="s">
        <v>728</v>
      </c>
      <c r="D1028" s="11" t="s">
        <v>6</v>
      </c>
      <c r="E1028" s="26" t="s">
        <v>62</v>
      </c>
      <c r="F1028" s="26" t="s">
        <v>4347</v>
      </c>
      <c r="G1028" s="26" t="s">
        <v>4370</v>
      </c>
      <c r="H1028" s="26" t="s">
        <v>154</v>
      </c>
      <c r="I1028" s="26" t="s">
        <v>39</v>
      </c>
      <c r="J1028" s="26" t="s">
        <v>4371</v>
      </c>
      <c r="K1028" s="26" t="s">
        <v>4372</v>
      </c>
      <c r="L1028" s="26" t="s">
        <v>732</v>
      </c>
      <c r="M1028" s="26">
        <v>4</v>
      </c>
      <c r="N1028" s="26">
        <v>25</v>
      </c>
      <c r="O1028" s="26">
        <v>25</v>
      </c>
      <c r="P1028" s="26">
        <v>0</v>
      </c>
      <c r="Q1028" s="26">
        <v>21</v>
      </c>
      <c r="R1028" s="1209">
        <v>4.4400000000000004</v>
      </c>
      <c r="S1028" s="1209">
        <v>111</v>
      </c>
      <c r="T1028" s="26" t="s">
        <v>311</v>
      </c>
      <c r="U1028" s="1871" t="s">
        <v>4350</v>
      </c>
      <c r="V1028" s="26" t="s">
        <v>1963</v>
      </c>
      <c r="W1028" s="2008" t="s">
        <v>4373</v>
      </c>
      <c r="X1028" s="26"/>
      <c r="Y1028" s="71"/>
      <c r="Z1028" s="71"/>
    </row>
    <row r="1029" spans="1:26" ht="24.95" hidden="1">
      <c r="A1029" s="20">
        <v>1036</v>
      </c>
      <c r="B1029" s="1063">
        <v>40806</v>
      </c>
      <c r="C1029" s="26" t="s">
        <v>728</v>
      </c>
      <c r="D1029" s="11" t="s">
        <v>6</v>
      </c>
      <c r="E1029" s="26" t="s">
        <v>62</v>
      </c>
      <c r="F1029" s="26" t="s">
        <v>4347</v>
      </c>
      <c r="G1029" s="26" t="s">
        <v>4217</v>
      </c>
      <c r="H1029" s="26" t="s">
        <v>201</v>
      </c>
      <c r="I1029" s="26" t="s">
        <v>39</v>
      </c>
      <c r="J1029" s="26" t="s">
        <v>4218</v>
      </c>
      <c r="K1029" s="26" t="s">
        <v>4219</v>
      </c>
      <c r="L1029" s="26" t="s">
        <v>732</v>
      </c>
      <c r="M1029" s="26">
        <v>42</v>
      </c>
      <c r="N1029" s="26">
        <v>50</v>
      </c>
      <c r="O1029" s="26">
        <v>50</v>
      </c>
      <c r="P1029" s="26">
        <v>0</v>
      </c>
      <c r="Q1029" s="26">
        <v>8</v>
      </c>
      <c r="R1029" s="1209">
        <v>26.76</v>
      </c>
      <c r="S1029" s="1209">
        <v>1338</v>
      </c>
      <c r="T1029" s="26" t="s">
        <v>311</v>
      </c>
      <c r="U1029" s="1871" t="s">
        <v>4350</v>
      </c>
      <c r="V1029" s="26" t="s">
        <v>1963</v>
      </c>
      <c r="W1029" s="2008" t="s">
        <v>4222</v>
      </c>
      <c r="X1029" s="26"/>
      <c r="Y1029" s="71"/>
      <c r="Z1029" s="71"/>
    </row>
    <row r="1030" spans="1:26" ht="24.95" hidden="1">
      <c r="A1030" s="20">
        <v>1037</v>
      </c>
      <c r="B1030" s="1063">
        <v>40807</v>
      </c>
      <c r="C1030" s="26" t="s">
        <v>728</v>
      </c>
      <c r="D1030" s="11" t="s">
        <v>6</v>
      </c>
      <c r="E1030" s="26" t="s">
        <v>62</v>
      </c>
      <c r="F1030" s="26" t="s">
        <v>4347</v>
      </c>
      <c r="G1030" s="26" t="s">
        <v>4374</v>
      </c>
      <c r="H1030" s="26" t="s">
        <v>184</v>
      </c>
      <c r="I1030" s="26" t="s">
        <v>39</v>
      </c>
      <c r="J1030" s="26" t="s">
        <v>4375</v>
      </c>
      <c r="K1030" s="26" t="s">
        <v>4376</v>
      </c>
      <c r="L1030" s="26" t="s">
        <v>732</v>
      </c>
      <c r="M1030" s="26">
        <v>4</v>
      </c>
      <c r="N1030" s="26">
        <v>50</v>
      </c>
      <c r="O1030" s="26">
        <v>50</v>
      </c>
      <c r="P1030" s="26">
        <v>0</v>
      </c>
      <c r="Q1030" s="26">
        <v>46</v>
      </c>
      <c r="R1030" s="1209">
        <v>28.92</v>
      </c>
      <c r="S1030" s="1209">
        <v>1446</v>
      </c>
      <c r="T1030" s="26" t="s">
        <v>311</v>
      </c>
      <c r="U1030" s="1871" t="s">
        <v>4350</v>
      </c>
      <c r="V1030" s="26" t="s">
        <v>1963</v>
      </c>
      <c r="W1030" s="2008" t="s">
        <v>4377</v>
      </c>
      <c r="X1030" s="18"/>
      <c r="Y1030" s="4"/>
      <c r="Z1030" s="4"/>
    </row>
    <row r="1031" spans="1:26" ht="24.95" hidden="1">
      <c r="A1031" s="20">
        <v>1038</v>
      </c>
      <c r="B1031" s="1063">
        <v>40808</v>
      </c>
      <c r="C1031" s="26" t="s">
        <v>728</v>
      </c>
      <c r="D1031" s="11" t="s">
        <v>6</v>
      </c>
      <c r="E1031" s="26" t="s">
        <v>62</v>
      </c>
      <c r="F1031" s="26" t="s">
        <v>4347</v>
      </c>
      <c r="G1031" s="26" t="s">
        <v>4223</v>
      </c>
      <c r="H1031" s="26" t="s">
        <v>144</v>
      </c>
      <c r="I1031" s="26" t="s">
        <v>39</v>
      </c>
      <c r="J1031" s="26" t="s">
        <v>4224</v>
      </c>
      <c r="K1031" s="26" t="s">
        <v>4225</v>
      </c>
      <c r="L1031" s="26" t="s">
        <v>732</v>
      </c>
      <c r="M1031" s="26">
        <v>18</v>
      </c>
      <c r="N1031" s="26">
        <v>25</v>
      </c>
      <c r="O1031" s="26">
        <v>25</v>
      </c>
      <c r="P1031" s="26">
        <v>0</v>
      </c>
      <c r="Q1031" s="26">
        <v>7</v>
      </c>
      <c r="R1031" s="1209">
        <v>29.12</v>
      </c>
      <c r="S1031" s="1209">
        <v>728</v>
      </c>
      <c r="T1031" s="26" t="s">
        <v>311</v>
      </c>
      <c r="U1031" s="1871" t="s">
        <v>4350</v>
      </c>
      <c r="V1031" s="26" t="s">
        <v>1963</v>
      </c>
      <c r="W1031" s="2008" t="s">
        <v>4226</v>
      </c>
      <c r="X1031" s="18"/>
      <c r="Y1031" s="4"/>
      <c r="Z1031" s="4"/>
    </row>
    <row r="1032" spans="1:26" ht="24.95" hidden="1">
      <c r="A1032" s="20">
        <v>1039</v>
      </c>
      <c r="B1032" s="1063">
        <v>40809</v>
      </c>
      <c r="C1032" s="26" t="s">
        <v>728</v>
      </c>
      <c r="D1032" s="11" t="s">
        <v>6</v>
      </c>
      <c r="E1032" s="26" t="s">
        <v>62</v>
      </c>
      <c r="F1032" s="26" t="s">
        <v>4347</v>
      </c>
      <c r="G1032" s="26" t="s">
        <v>4378</v>
      </c>
      <c r="H1032" s="26" t="s">
        <v>184</v>
      </c>
      <c r="I1032" s="26" t="s">
        <v>39</v>
      </c>
      <c r="J1032" s="26" t="s">
        <v>4379</v>
      </c>
      <c r="K1032" s="26" t="s">
        <v>4380</v>
      </c>
      <c r="L1032" s="26" t="s">
        <v>4230</v>
      </c>
      <c r="M1032" s="26">
        <v>6</v>
      </c>
      <c r="N1032" s="26">
        <v>10</v>
      </c>
      <c r="O1032" s="26">
        <v>10</v>
      </c>
      <c r="P1032" s="26">
        <v>0</v>
      </c>
      <c r="Q1032" s="26">
        <v>4</v>
      </c>
      <c r="R1032" s="1209">
        <v>421.4</v>
      </c>
      <c r="S1032" s="1209">
        <v>4214</v>
      </c>
      <c r="T1032" s="26" t="s">
        <v>311</v>
      </c>
      <c r="U1032" s="1871" t="s">
        <v>4350</v>
      </c>
      <c r="V1032" s="26" t="s">
        <v>1963</v>
      </c>
      <c r="W1032" s="2008" t="s">
        <v>4381</v>
      </c>
      <c r="X1032" s="18"/>
      <c r="Y1032" s="4"/>
      <c r="Z1032" s="4"/>
    </row>
    <row r="1033" spans="1:26" ht="24.95" hidden="1">
      <c r="A1033" s="20">
        <v>1040</v>
      </c>
      <c r="B1033" s="1063">
        <v>40810</v>
      </c>
      <c r="C1033" s="26" t="s">
        <v>728</v>
      </c>
      <c r="D1033" s="11" t="s">
        <v>6</v>
      </c>
      <c r="E1033" s="26" t="s">
        <v>62</v>
      </c>
      <c r="F1033" s="26" t="s">
        <v>4347</v>
      </c>
      <c r="G1033" s="26" t="s">
        <v>4382</v>
      </c>
      <c r="H1033" s="26" t="s">
        <v>154</v>
      </c>
      <c r="I1033" s="26" t="s">
        <v>39</v>
      </c>
      <c r="J1033" s="26" t="s">
        <v>4383</v>
      </c>
      <c r="K1033" s="26" t="s">
        <v>4384</v>
      </c>
      <c r="L1033" s="26" t="s">
        <v>732</v>
      </c>
      <c r="M1033" s="26">
        <v>4</v>
      </c>
      <c r="N1033" s="26">
        <v>25</v>
      </c>
      <c r="O1033" s="26">
        <v>25</v>
      </c>
      <c r="P1033" s="26">
        <v>0</v>
      </c>
      <c r="Q1033" s="26">
        <v>21</v>
      </c>
      <c r="R1033" s="1209">
        <v>5.48</v>
      </c>
      <c r="S1033" s="1209">
        <v>137</v>
      </c>
      <c r="T1033" s="26" t="s">
        <v>311</v>
      </c>
      <c r="U1033" s="1871" t="s">
        <v>4350</v>
      </c>
      <c r="V1033" s="26" t="s">
        <v>1963</v>
      </c>
      <c r="W1033" s="2008" t="s">
        <v>4385</v>
      </c>
      <c r="X1033" s="18"/>
      <c r="Y1033" s="4"/>
      <c r="Z1033" s="4"/>
    </row>
    <row r="1034" spans="1:26" ht="24.95" hidden="1">
      <c r="A1034" s="20">
        <v>1041</v>
      </c>
      <c r="B1034" s="1063">
        <v>40811</v>
      </c>
      <c r="C1034" s="26" t="s">
        <v>728</v>
      </c>
      <c r="D1034" s="11" t="s">
        <v>6</v>
      </c>
      <c r="E1034" s="26" t="s">
        <v>62</v>
      </c>
      <c r="F1034" s="26" t="s">
        <v>4347</v>
      </c>
      <c r="G1034" s="26" t="s">
        <v>4386</v>
      </c>
      <c r="H1034" s="26" t="s">
        <v>201</v>
      </c>
      <c r="I1034" s="26" t="s">
        <v>39</v>
      </c>
      <c r="J1034" s="26" t="s">
        <v>4387</v>
      </c>
      <c r="K1034" s="26" t="s">
        <v>4388</v>
      </c>
      <c r="L1034" s="26" t="s">
        <v>732</v>
      </c>
      <c r="M1034" s="26">
        <v>4</v>
      </c>
      <c r="N1034" s="26">
        <v>50</v>
      </c>
      <c r="O1034" s="26">
        <v>50</v>
      </c>
      <c r="P1034" s="26">
        <v>0</v>
      </c>
      <c r="Q1034" s="26">
        <v>46</v>
      </c>
      <c r="R1034" s="1209">
        <v>2.66</v>
      </c>
      <c r="S1034" s="1209">
        <v>133</v>
      </c>
      <c r="T1034" s="26" t="s">
        <v>311</v>
      </c>
      <c r="U1034" s="1871" t="s">
        <v>4350</v>
      </c>
      <c r="V1034" s="26" t="s">
        <v>1963</v>
      </c>
      <c r="W1034" s="2008" t="s">
        <v>4389</v>
      </c>
      <c r="X1034" s="26"/>
      <c r="Y1034" s="71"/>
      <c r="Z1034" s="71"/>
    </row>
    <row r="1035" spans="1:26" ht="24.95" hidden="1">
      <c r="A1035" s="20">
        <v>1042</v>
      </c>
      <c r="B1035" s="1063">
        <v>40812</v>
      </c>
      <c r="C1035" s="26" t="s">
        <v>728</v>
      </c>
      <c r="D1035" s="11" t="s">
        <v>6</v>
      </c>
      <c r="E1035" s="26" t="s">
        <v>62</v>
      </c>
      <c r="F1035" s="26" t="s">
        <v>4347</v>
      </c>
      <c r="G1035" s="26" t="s">
        <v>4390</v>
      </c>
      <c r="H1035" s="26" t="s">
        <v>184</v>
      </c>
      <c r="I1035" s="26" t="s">
        <v>39</v>
      </c>
      <c r="J1035" s="26" t="s">
        <v>4391</v>
      </c>
      <c r="K1035" s="26" t="s">
        <v>4392</v>
      </c>
      <c r="L1035" s="26" t="s">
        <v>732</v>
      </c>
      <c r="M1035" s="26">
        <v>4</v>
      </c>
      <c r="N1035" s="26">
        <v>25</v>
      </c>
      <c r="O1035" s="26">
        <v>25</v>
      </c>
      <c r="P1035" s="26">
        <v>0</v>
      </c>
      <c r="Q1035" s="26">
        <v>21</v>
      </c>
      <c r="R1035" s="1209">
        <v>4.4400000000000004</v>
      </c>
      <c r="S1035" s="1209">
        <v>111</v>
      </c>
      <c r="T1035" s="26" t="s">
        <v>311</v>
      </c>
      <c r="U1035" s="1871" t="s">
        <v>4350</v>
      </c>
      <c r="V1035" s="26" t="s">
        <v>1963</v>
      </c>
      <c r="W1035" s="2008" t="s">
        <v>4393</v>
      </c>
      <c r="X1035" s="26"/>
      <c r="Y1035" s="71"/>
      <c r="Z1035" s="71"/>
    </row>
    <row r="1036" spans="1:26" ht="24.95" hidden="1">
      <c r="A1036" s="20">
        <v>1043</v>
      </c>
      <c r="B1036" s="1063">
        <v>40813</v>
      </c>
      <c r="C1036" s="26" t="s">
        <v>728</v>
      </c>
      <c r="D1036" s="11" t="s">
        <v>6</v>
      </c>
      <c r="E1036" s="26" t="s">
        <v>62</v>
      </c>
      <c r="F1036" s="26" t="s">
        <v>4347</v>
      </c>
      <c r="G1036" s="26" t="s">
        <v>4394</v>
      </c>
      <c r="H1036" s="26" t="s">
        <v>201</v>
      </c>
      <c r="I1036" s="26" t="s">
        <v>39</v>
      </c>
      <c r="J1036" s="26" t="s">
        <v>4395</v>
      </c>
      <c r="K1036" s="26" t="s">
        <v>4396</v>
      </c>
      <c r="L1036" s="26" t="s">
        <v>732</v>
      </c>
      <c r="M1036" s="26">
        <v>6</v>
      </c>
      <c r="N1036" s="26">
        <v>100</v>
      </c>
      <c r="O1036" s="26">
        <v>100</v>
      </c>
      <c r="P1036" s="26">
        <v>0</v>
      </c>
      <c r="Q1036" s="26">
        <v>94</v>
      </c>
      <c r="R1036" s="1209">
        <v>6.66</v>
      </c>
      <c r="S1036" s="1209">
        <v>666</v>
      </c>
      <c r="T1036" s="26" t="s">
        <v>311</v>
      </c>
      <c r="U1036" s="1871" t="s">
        <v>4350</v>
      </c>
      <c r="V1036" s="26" t="s">
        <v>1963</v>
      </c>
      <c r="W1036" s="2008" t="s">
        <v>4397</v>
      </c>
      <c r="X1036" s="18"/>
      <c r="Y1036" s="4"/>
      <c r="Z1036" s="4"/>
    </row>
    <row r="1037" spans="1:26" ht="24.95" hidden="1">
      <c r="A1037" s="20">
        <v>1044</v>
      </c>
      <c r="B1037" s="1063">
        <v>40814</v>
      </c>
      <c r="C1037" s="26" t="s">
        <v>750</v>
      </c>
      <c r="D1037" s="11" t="s">
        <v>6</v>
      </c>
      <c r="E1037" s="26" t="s">
        <v>62</v>
      </c>
      <c r="F1037" s="26" t="s">
        <v>4347</v>
      </c>
      <c r="G1037" s="26" t="s">
        <v>751</v>
      </c>
      <c r="H1037" s="26" t="s">
        <v>752</v>
      </c>
      <c r="I1037" s="26" t="s">
        <v>39</v>
      </c>
      <c r="J1037" s="26" t="s">
        <v>753</v>
      </c>
      <c r="K1037" s="26" t="s">
        <v>754</v>
      </c>
      <c r="L1037" s="26" t="s">
        <v>755</v>
      </c>
      <c r="M1037" s="26">
        <v>10</v>
      </c>
      <c r="N1037" s="26">
        <v>25</v>
      </c>
      <c r="O1037" s="26">
        <v>25</v>
      </c>
      <c r="P1037" s="26">
        <v>0</v>
      </c>
      <c r="Q1037" s="26">
        <v>15</v>
      </c>
      <c r="R1037" s="1209">
        <v>56.28</v>
      </c>
      <c r="S1037" s="1209">
        <v>1407</v>
      </c>
      <c r="T1037" s="26" t="s">
        <v>311</v>
      </c>
      <c r="U1037" s="1871" t="s">
        <v>4350</v>
      </c>
      <c r="V1037" s="26" t="s">
        <v>1963</v>
      </c>
      <c r="W1037" s="2008" t="s">
        <v>757</v>
      </c>
      <c r="X1037" s="18"/>
      <c r="Y1037" s="4"/>
      <c r="Z1037" s="4"/>
    </row>
    <row r="1038" spans="1:26" ht="24.95" hidden="1">
      <c r="A1038" s="20">
        <v>1045</v>
      </c>
      <c r="B1038" s="1063">
        <v>40815</v>
      </c>
      <c r="C1038" s="26" t="s">
        <v>4398</v>
      </c>
      <c r="D1038" s="11" t="s">
        <v>6</v>
      </c>
      <c r="E1038" s="26" t="s">
        <v>62</v>
      </c>
      <c r="F1038" s="26" t="s">
        <v>4347</v>
      </c>
      <c r="G1038" s="26" t="s">
        <v>4399</v>
      </c>
      <c r="H1038" s="26" t="s">
        <v>1803</v>
      </c>
      <c r="I1038" s="26" t="s">
        <v>39</v>
      </c>
      <c r="J1038" s="26" t="s">
        <v>4400</v>
      </c>
      <c r="K1038" s="26" t="s">
        <v>4401</v>
      </c>
      <c r="L1038" s="26" t="s">
        <v>4402</v>
      </c>
      <c r="M1038" s="26">
        <v>4</v>
      </c>
      <c r="N1038" s="26">
        <v>4</v>
      </c>
      <c r="O1038" s="26">
        <v>4</v>
      </c>
      <c r="P1038" s="26">
        <v>0</v>
      </c>
      <c r="Q1038" s="26">
        <v>0</v>
      </c>
      <c r="R1038" s="1209">
        <v>665.5</v>
      </c>
      <c r="S1038" s="1209">
        <v>2662</v>
      </c>
      <c r="T1038" s="26" t="s">
        <v>311</v>
      </c>
      <c r="U1038" s="1871" t="s">
        <v>4350</v>
      </c>
      <c r="V1038" s="26" t="s">
        <v>1963</v>
      </c>
      <c r="W1038" s="2008" t="s">
        <v>4403</v>
      </c>
      <c r="X1038" s="18"/>
      <c r="Y1038" s="4"/>
      <c r="Z1038" s="4"/>
    </row>
    <row r="1039" spans="1:26" ht="24.95" hidden="1">
      <c r="A1039" s="20">
        <v>1046</v>
      </c>
      <c r="B1039" s="1063">
        <v>40816</v>
      </c>
      <c r="C1039" s="26" t="s">
        <v>188</v>
      </c>
      <c r="D1039" s="11" t="s">
        <v>6</v>
      </c>
      <c r="E1039" s="26" t="s">
        <v>62</v>
      </c>
      <c r="F1039" s="26" t="s">
        <v>4347</v>
      </c>
      <c r="G1039" s="26" t="s">
        <v>4404</v>
      </c>
      <c r="H1039" s="26" t="s">
        <v>201</v>
      </c>
      <c r="I1039" s="26" t="s">
        <v>39</v>
      </c>
      <c r="J1039" s="26" t="s">
        <v>4405</v>
      </c>
      <c r="K1039" s="26" t="s">
        <v>4406</v>
      </c>
      <c r="L1039" s="26" t="s">
        <v>4407</v>
      </c>
      <c r="M1039" s="26">
        <v>6</v>
      </c>
      <c r="N1039" s="26">
        <v>10</v>
      </c>
      <c r="O1039" s="26">
        <v>10</v>
      </c>
      <c r="P1039" s="26">
        <v>0</v>
      </c>
      <c r="Q1039" s="26">
        <v>4</v>
      </c>
      <c r="R1039" s="1209">
        <v>88.8</v>
      </c>
      <c r="S1039" s="1209">
        <v>888</v>
      </c>
      <c r="T1039" s="26" t="s">
        <v>311</v>
      </c>
      <c r="U1039" s="1871" t="s">
        <v>4350</v>
      </c>
      <c r="V1039" s="26" t="s">
        <v>1963</v>
      </c>
      <c r="W1039" s="2008" t="s">
        <v>4408</v>
      </c>
      <c r="X1039" s="18"/>
      <c r="Y1039" s="4"/>
      <c r="Z1039" s="4"/>
    </row>
    <row r="1040" spans="1:26" ht="24.95" hidden="1">
      <c r="A1040" s="20">
        <v>1047</v>
      </c>
      <c r="B1040" s="1063">
        <v>40817</v>
      </c>
      <c r="C1040" s="26" t="s">
        <v>188</v>
      </c>
      <c r="D1040" s="11" t="s">
        <v>6</v>
      </c>
      <c r="E1040" s="26" t="s">
        <v>62</v>
      </c>
      <c r="F1040" s="26" t="s">
        <v>4347</v>
      </c>
      <c r="G1040" s="26" t="s">
        <v>4409</v>
      </c>
      <c r="H1040" s="26" t="s">
        <v>201</v>
      </c>
      <c r="I1040" s="26" t="s">
        <v>39</v>
      </c>
      <c r="J1040" s="26" t="s">
        <v>4410</v>
      </c>
      <c r="K1040" s="26" t="s">
        <v>4411</v>
      </c>
      <c r="L1040" s="26" t="s">
        <v>4412</v>
      </c>
      <c r="M1040" s="26">
        <v>6</v>
      </c>
      <c r="N1040" s="26">
        <v>10</v>
      </c>
      <c r="O1040" s="26">
        <v>10</v>
      </c>
      <c r="P1040" s="26">
        <v>0</v>
      </c>
      <c r="Q1040" s="26">
        <v>4</v>
      </c>
      <c r="R1040" s="1209">
        <v>140.30000000000001</v>
      </c>
      <c r="S1040" s="1209">
        <v>1403</v>
      </c>
      <c r="T1040" s="26" t="s">
        <v>311</v>
      </c>
      <c r="U1040" s="1871" t="s">
        <v>4350</v>
      </c>
      <c r="V1040" s="26" t="s">
        <v>1963</v>
      </c>
      <c r="W1040" s="2008" t="s">
        <v>4413</v>
      </c>
      <c r="X1040" s="26"/>
      <c r="Y1040" s="71"/>
      <c r="Z1040" s="71"/>
    </row>
    <row r="1041" spans="1:26" ht="14.1" hidden="1">
      <c r="A1041" s="20">
        <v>1048</v>
      </c>
      <c r="B1041" s="1063">
        <v>40818</v>
      </c>
      <c r="C1041" s="26" t="s">
        <v>4414</v>
      </c>
      <c r="D1041" s="11" t="s">
        <v>6</v>
      </c>
      <c r="E1041" s="26" t="s">
        <v>62</v>
      </c>
      <c r="F1041" s="26" t="s">
        <v>4347</v>
      </c>
      <c r="G1041" s="26" t="s">
        <v>4415</v>
      </c>
      <c r="H1041" s="26" t="s">
        <v>154</v>
      </c>
      <c r="I1041" s="26" t="s">
        <v>39</v>
      </c>
      <c r="J1041" s="26" t="s">
        <v>4416</v>
      </c>
      <c r="K1041" s="26" t="s">
        <v>4417</v>
      </c>
      <c r="L1041" s="26" t="s">
        <v>210</v>
      </c>
      <c r="M1041" s="26">
        <v>6</v>
      </c>
      <c r="N1041" s="26">
        <v>10</v>
      </c>
      <c r="O1041" s="26">
        <v>10</v>
      </c>
      <c r="P1041" s="26">
        <v>0</v>
      </c>
      <c r="Q1041" s="26">
        <v>4</v>
      </c>
      <c r="R1041" s="1209">
        <v>141.69999999999999</v>
      </c>
      <c r="S1041" s="1209">
        <v>1417</v>
      </c>
      <c r="T1041" s="26" t="s">
        <v>311</v>
      </c>
      <c r="U1041" s="1871" t="s">
        <v>4350</v>
      </c>
      <c r="V1041" s="26" t="s">
        <v>1963</v>
      </c>
      <c r="W1041" s="2008" t="s">
        <v>4418</v>
      </c>
      <c r="X1041" s="26"/>
      <c r="Y1041" s="71"/>
      <c r="Z1041" s="71"/>
    </row>
    <row r="1042" spans="1:26" ht="14.1" hidden="1">
      <c r="A1042" s="20">
        <v>1049</v>
      </c>
      <c r="B1042" s="1063">
        <v>40819</v>
      </c>
      <c r="C1042" s="26" t="s">
        <v>253</v>
      </c>
      <c r="D1042" s="11" t="s">
        <v>6</v>
      </c>
      <c r="E1042" s="26" t="s">
        <v>62</v>
      </c>
      <c r="F1042" s="26" t="s">
        <v>4347</v>
      </c>
      <c r="G1042" s="26" t="s">
        <v>4419</v>
      </c>
      <c r="H1042" s="26" t="s">
        <v>1039</v>
      </c>
      <c r="I1042" s="26" t="s">
        <v>39</v>
      </c>
      <c r="J1042" s="26" t="s">
        <v>4420</v>
      </c>
      <c r="K1042" s="26" t="s">
        <v>4421</v>
      </c>
      <c r="L1042" s="26" t="s">
        <v>344</v>
      </c>
      <c r="M1042" s="26">
        <v>4</v>
      </c>
      <c r="N1042" s="26">
        <v>20</v>
      </c>
      <c r="O1042" s="26">
        <v>20</v>
      </c>
      <c r="P1042" s="26">
        <v>0</v>
      </c>
      <c r="Q1042" s="26">
        <v>16</v>
      </c>
      <c r="R1042" s="1209">
        <v>35.950000000000003</v>
      </c>
      <c r="S1042" s="1209">
        <v>719</v>
      </c>
      <c r="T1042" s="26" t="s">
        <v>311</v>
      </c>
      <c r="U1042" s="1871" t="s">
        <v>4350</v>
      </c>
      <c r="V1042" s="26" t="s">
        <v>1963</v>
      </c>
      <c r="W1042" s="2008" t="s">
        <v>4422</v>
      </c>
      <c r="X1042" s="18"/>
      <c r="Y1042" s="4"/>
      <c r="Z1042" s="4"/>
    </row>
    <row r="1043" spans="1:26" ht="14.1" hidden="1">
      <c r="A1043" s="20">
        <v>1050</v>
      </c>
      <c r="B1043" s="1063">
        <v>40820</v>
      </c>
      <c r="C1043" s="26" t="s">
        <v>4423</v>
      </c>
      <c r="D1043" s="11" t="s">
        <v>6</v>
      </c>
      <c r="E1043" s="26" t="s">
        <v>62</v>
      </c>
      <c r="F1043" s="26" t="s">
        <v>4347</v>
      </c>
      <c r="G1043" s="26" t="s">
        <v>4424</v>
      </c>
      <c r="H1043" s="26" t="s">
        <v>766</v>
      </c>
      <c r="I1043" s="26" t="s">
        <v>39</v>
      </c>
      <c r="J1043" s="26" t="s">
        <v>767</v>
      </c>
      <c r="K1043" s="26" t="s">
        <v>768</v>
      </c>
      <c r="L1043" s="26"/>
      <c r="M1043" s="26">
        <v>10</v>
      </c>
      <c r="N1043" s="26">
        <v>10</v>
      </c>
      <c r="O1043" s="26">
        <v>10</v>
      </c>
      <c r="P1043" s="26">
        <v>0</v>
      </c>
      <c r="Q1043" s="26">
        <v>0</v>
      </c>
      <c r="R1043" s="1209">
        <v>154.19999999999999</v>
      </c>
      <c r="S1043" s="1209">
        <v>1542</v>
      </c>
      <c r="T1043" s="26" t="s">
        <v>311</v>
      </c>
      <c r="U1043" s="1871" t="s">
        <v>4350</v>
      </c>
      <c r="V1043" s="26" t="s">
        <v>1963</v>
      </c>
      <c r="W1043" s="2008" t="s">
        <v>775</v>
      </c>
      <c r="X1043" s="18"/>
      <c r="Y1043" s="4"/>
      <c r="Z1043" s="4"/>
    </row>
    <row r="1044" spans="1:26" ht="14.1" hidden="1">
      <c r="A1044" s="20">
        <v>1051</v>
      </c>
      <c r="B1044" s="1063">
        <v>40821</v>
      </c>
      <c r="C1044" s="26" t="s">
        <v>4425</v>
      </c>
      <c r="D1044" s="11" t="s">
        <v>6</v>
      </c>
      <c r="E1044" s="26" t="s">
        <v>62</v>
      </c>
      <c r="F1044" s="26" t="s">
        <v>4347</v>
      </c>
      <c r="G1044" s="26" t="s">
        <v>4426</v>
      </c>
      <c r="H1044" s="26" t="s">
        <v>766</v>
      </c>
      <c r="I1044" s="26" t="s">
        <v>39</v>
      </c>
      <c r="J1044" s="26" t="s">
        <v>772</v>
      </c>
      <c r="K1044" s="26" t="s">
        <v>773</v>
      </c>
      <c r="L1044" s="26"/>
      <c r="M1044" s="26">
        <v>10</v>
      </c>
      <c r="N1044" s="26">
        <v>10</v>
      </c>
      <c r="O1044" s="26">
        <v>10</v>
      </c>
      <c r="P1044" s="26">
        <v>0</v>
      </c>
      <c r="Q1044" s="26">
        <v>0</v>
      </c>
      <c r="R1044" s="1209">
        <v>172.2</v>
      </c>
      <c r="S1044" s="1209">
        <v>1722</v>
      </c>
      <c r="T1044" s="26" t="s">
        <v>311</v>
      </c>
      <c r="U1044" s="1871" t="s">
        <v>4350</v>
      </c>
      <c r="V1044" s="26" t="s">
        <v>1963</v>
      </c>
      <c r="W1044" s="2008" t="s">
        <v>770</v>
      </c>
      <c r="X1044" s="18"/>
      <c r="Y1044" s="4"/>
      <c r="Z1044" s="4"/>
    </row>
    <row r="1045" spans="1:26" ht="24.95" hidden="1">
      <c r="A1045" s="20">
        <v>1052</v>
      </c>
      <c r="B1045" s="1063">
        <v>40822</v>
      </c>
      <c r="C1045" s="26" t="s">
        <v>4281</v>
      </c>
      <c r="D1045" s="11" t="s">
        <v>6</v>
      </c>
      <c r="E1045" s="26" t="s">
        <v>62</v>
      </c>
      <c r="F1045" s="26" t="s">
        <v>4347</v>
      </c>
      <c r="G1045" s="26" t="s">
        <v>4282</v>
      </c>
      <c r="H1045" s="26" t="s">
        <v>195</v>
      </c>
      <c r="I1045" s="26" t="s">
        <v>39</v>
      </c>
      <c r="J1045" s="26" t="s">
        <v>196</v>
      </c>
      <c r="K1045" s="26" t="s">
        <v>4283</v>
      </c>
      <c r="L1045" s="26"/>
      <c r="M1045" s="26">
        <v>4</v>
      </c>
      <c r="N1045" s="26">
        <v>1</v>
      </c>
      <c r="O1045" s="26">
        <v>4</v>
      </c>
      <c r="P1045" s="26">
        <v>0</v>
      </c>
      <c r="Q1045" s="26">
        <v>0</v>
      </c>
      <c r="R1045" s="1209">
        <v>345</v>
      </c>
      <c r="S1045" s="1209">
        <v>1380</v>
      </c>
      <c r="T1045" s="26" t="s">
        <v>311</v>
      </c>
      <c r="U1045" s="1871" t="s">
        <v>4350</v>
      </c>
      <c r="V1045" s="26" t="s">
        <v>1963</v>
      </c>
      <c r="W1045" s="2008" t="s">
        <v>4427</v>
      </c>
      <c r="X1045" s="18"/>
      <c r="Y1045" s="4"/>
      <c r="Z1045" s="4"/>
    </row>
    <row r="1046" spans="1:26" ht="24.95" hidden="1">
      <c r="A1046" s="20">
        <v>1053</v>
      </c>
      <c r="B1046" s="1063">
        <v>40823</v>
      </c>
      <c r="C1046" s="26" t="s">
        <v>4428</v>
      </c>
      <c r="D1046" s="11" t="s">
        <v>6</v>
      </c>
      <c r="E1046" s="26" t="s">
        <v>62</v>
      </c>
      <c r="F1046" s="26" t="s">
        <v>4347</v>
      </c>
      <c r="G1046" s="26" t="s">
        <v>4429</v>
      </c>
      <c r="H1046" s="26" t="s">
        <v>1803</v>
      </c>
      <c r="I1046" s="26" t="s">
        <v>39</v>
      </c>
      <c r="J1046" s="26" t="s">
        <v>4430</v>
      </c>
      <c r="K1046" s="26" t="s">
        <v>4431</v>
      </c>
      <c r="L1046" s="26" t="s">
        <v>4432</v>
      </c>
      <c r="M1046" s="26">
        <v>6</v>
      </c>
      <c r="N1046" s="26">
        <v>1</v>
      </c>
      <c r="O1046" s="26">
        <v>6</v>
      </c>
      <c r="P1046" s="26">
        <v>0</v>
      </c>
      <c r="Q1046" s="26">
        <v>0</v>
      </c>
      <c r="R1046" s="1209">
        <v>1173</v>
      </c>
      <c r="S1046" s="1209">
        <v>7038</v>
      </c>
      <c r="T1046" s="26" t="s">
        <v>311</v>
      </c>
      <c r="U1046" s="1871" t="s">
        <v>4350</v>
      </c>
      <c r="V1046" s="26" t="s">
        <v>1963</v>
      </c>
      <c r="W1046" s="2008" t="s">
        <v>4427</v>
      </c>
      <c r="X1046" s="26"/>
      <c r="Y1046" s="71"/>
      <c r="Z1046" s="71"/>
    </row>
    <row r="1047" spans="1:26" ht="24.95" hidden="1">
      <c r="A1047" s="20">
        <v>1054</v>
      </c>
      <c r="B1047" s="1063">
        <v>40824</v>
      </c>
      <c r="C1047" s="26" t="s">
        <v>4284</v>
      </c>
      <c r="D1047" s="11" t="s">
        <v>6</v>
      </c>
      <c r="E1047" s="26" t="s">
        <v>62</v>
      </c>
      <c r="F1047" s="26" t="s">
        <v>4347</v>
      </c>
      <c r="G1047" s="26" t="s">
        <v>4433</v>
      </c>
      <c r="H1047" s="26" t="s">
        <v>230</v>
      </c>
      <c r="I1047" s="26" t="s">
        <v>39</v>
      </c>
      <c r="J1047" s="26" t="s">
        <v>4434</v>
      </c>
      <c r="K1047" s="26" t="s">
        <v>4435</v>
      </c>
      <c r="L1047" s="26" t="s">
        <v>4436</v>
      </c>
      <c r="M1047" s="26">
        <v>8</v>
      </c>
      <c r="N1047" s="26">
        <v>9</v>
      </c>
      <c r="O1047" s="26">
        <v>9</v>
      </c>
      <c r="P1047" s="26">
        <v>0</v>
      </c>
      <c r="Q1047" s="26">
        <v>1</v>
      </c>
      <c r="R1047" s="1209">
        <v>233.67</v>
      </c>
      <c r="S1047" s="1209">
        <v>2103</v>
      </c>
      <c r="T1047" s="26" t="s">
        <v>311</v>
      </c>
      <c r="U1047" s="1871" t="s">
        <v>4350</v>
      </c>
      <c r="V1047" s="26" t="s">
        <v>1963</v>
      </c>
      <c r="W1047" s="2008" t="s">
        <v>4427</v>
      </c>
      <c r="X1047" s="26"/>
      <c r="Y1047" s="71"/>
      <c r="Z1047" s="71"/>
    </row>
    <row r="1048" spans="1:26" ht="14.1" hidden="1">
      <c r="A1048" s="20">
        <v>1055</v>
      </c>
      <c r="B1048" s="1063">
        <v>40825</v>
      </c>
      <c r="C1048" s="26" t="s">
        <v>3644</v>
      </c>
      <c r="D1048" s="11" t="s">
        <v>6</v>
      </c>
      <c r="E1048" s="26" t="s">
        <v>62</v>
      </c>
      <c r="F1048" s="26" t="s">
        <v>4347</v>
      </c>
      <c r="G1048" s="26" t="s">
        <v>4437</v>
      </c>
      <c r="H1048" s="26" t="s">
        <v>945</v>
      </c>
      <c r="I1048" s="26" t="s">
        <v>39</v>
      </c>
      <c r="J1048" s="26" t="s">
        <v>4438</v>
      </c>
      <c r="K1048" s="26" t="s">
        <v>4439</v>
      </c>
      <c r="L1048" s="26"/>
      <c r="M1048" s="26">
        <v>14</v>
      </c>
      <c r="N1048" s="26">
        <v>10</v>
      </c>
      <c r="O1048" s="26">
        <v>14</v>
      </c>
      <c r="P1048" s="26">
        <v>0</v>
      </c>
      <c r="Q1048" s="26">
        <v>0</v>
      </c>
      <c r="R1048" s="1209">
        <v>31.1</v>
      </c>
      <c r="S1048" s="1209">
        <v>435.4</v>
      </c>
      <c r="T1048" s="26" t="s">
        <v>311</v>
      </c>
      <c r="U1048" s="1871" t="s">
        <v>4350</v>
      </c>
      <c r="V1048" s="26" t="s">
        <v>1963</v>
      </c>
      <c r="W1048" s="2008" t="s">
        <v>4440</v>
      </c>
      <c r="X1048" s="18"/>
      <c r="Y1048" s="4"/>
      <c r="Z1048" s="4"/>
    </row>
    <row r="1049" spans="1:26" ht="24.95" hidden="1">
      <c r="A1049" s="20">
        <v>1056</v>
      </c>
      <c r="B1049" s="1063">
        <v>40826</v>
      </c>
      <c r="C1049" s="26" t="s">
        <v>152</v>
      </c>
      <c r="D1049" s="11" t="s">
        <v>6</v>
      </c>
      <c r="E1049" s="26" t="s">
        <v>62</v>
      </c>
      <c r="F1049" s="26" t="s">
        <v>4347</v>
      </c>
      <c r="G1049" s="26" t="s">
        <v>4441</v>
      </c>
      <c r="H1049" s="26" t="s">
        <v>249</v>
      </c>
      <c r="I1049" s="26" t="s">
        <v>39</v>
      </c>
      <c r="J1049" s="26" t="s">
        <v>4442</v>
      </c>
      <c r="K1049" s="26" t="s">
        <v>4443</v>
      </c>
      <c r="L1049" s="26" t="s">
        <v>4291</v>
      </c>
      <c r="M1049" s="26">
        <v>4</v>
      </c>
      <c r="N1049" s="26">
        <v>5</v>
      </c>
      <c r="O1049" s="26">
        <v>5</v>
      </c>
      <c r="P1049" s="26">
        <v>0</v>
      </c>
      <c r="Q1049" s="26">
        <v>1</v>
      </c>
      <c r="R1049" s="1209">
        <v>24.8</v>
      </c>
      <c r="S1049" s="1209">
        <v>124</v>
      </c>
      <c r="T1049" s="26" t="s">
        <v>311</v>
      </c>
      <c r="U1049" s="1871" t="s">
        <v>4350</v>
      </c>
      <c r="V1049" s="26" t="s">
        <v>1963</v>
      </c>
      <c r="W1049" s="2008" t="s">
        <v>4444</v>
      </c>
      <c r="X1049" s="18"/>
      <c r="Y1049" s="4"/>
      <c r="Z1049" s="4"/>
    </row>
    <row r="1050" spans="1:26" ht="24.95" hidden="1">
      <c r="A1050" s="20">
        <v>1057</v>
      </c>
      <c r="B1050" s="1063">
        <v>40827</v>
      </c>
      <c r="C1050" s="26" t="s">
        <v>152</v>
      </c>
      <c r="D1050" s="11" t="s">
        <v>6</v>
      </c>
      <c r="E1050" s="26" t="s">
        <v>62</v>
      </c>
      <c r="F1050" s="26" t="s">
        <v>4347</v>
      </c>
      <c r="G1050" s="26" t="s">
        <v>4445</v>
      </c>
      <c r="H1050" s="26" t="s">
        <v>249</v>
      </c>
      <c r="I1050" s="26" t="s">
        <v>39</v>
      </c>
      <c r="J1050" s="26" t="s">
        <v>4446</v>
      </c>
      <c r="K1050" s="26" t="s">
        <v>4447</v>
      </c>
      <c r="L1050" s="26" t="s">
        <v>4291</v>
      </c>
      <c r="M1050" s="26">
        <v>4</v>
      </c>
      <c r="N1050" s="26">
        <v>5</v>
      </c>
      <c r="O1050" s="26">
        <v>5</v>
      </c>
      <c r="P1050" s="26">
        <v>0</v>
      </c>
      <c r="Q1050" s="26">
        <v>1</v>
      </c>
      <c r="R1050" s="1209">
        <v>28</v>
      </c>
      <c r="S1050" s="1209">
        <v>140</v>
      </c>
      <c r="T1050" s="26" t="s">
        <v>311</v>
      </c>
      <c r="U1050" s="1871" t="s">
        <v>4350</v>
      </c>
      <c r="V1050" s="26" t="s">
        <v>1963</v>
      </c>
      <c r="W1050" s="2008" t="s">
        <v>4448</v>
      </c>
      <c r="X1050" s="18"/>
      <c r="Y1050" s="4"/>
      <c r="Z1050" s="4"/>
    </row>
    <row r="1051" spans="1:26" ht="24.95" hidden="1">
      <c r="A1051" s="20">
        <v>1058</v>
      </c>
      <c r="B1051" s="1063">
        <v>40828</v>
      </c>
      <c r="C1051" s="26" t="s">
        <v>152</v>
      </c>
      <c r="D1051" s="11" t="s">
        <v>6</v>
      </c>
      <c r="E1051" s="26" t="s">
        <v>62</v>
      </c>
      <c r="F1051" s="26" t="s">
        <v>4347</v>
      </c>
      <c r="G1051" s="26" t="s">
        <v>4449</v>
      </c>
      <c r="H1051" s="26" t="s">
        <v>2786</v>
      </c>
      <c r="I1051" s="26" t="s">
        <v>39</v>
      </c>
      <c r="J1051" s="26" t="s">
        <v>4450</v>
      </c>
      <c r="K1051" s="26" t="s">
        <v>4451</v>
      </c>
      <c r="L1051" s="26" t="s">
        <v>4291</v>
      </c>
      <c r="M1051" s="26">
        <v>4</v>
      </c>
      <c r="N1051" s="26">
        <v>50</v>
      </c>
      <c r="O1051" s="26">
        <v>50</v>
      </c>
      <c r="P1051" s="26">
        <v>0</v>
      </c>
      <c r="Q1051" s="26">
        <v>46</v>
      </c>
      <c r="R1051" s="1209">
        <v>3.46</v>
      </c>
      <c r="S1051" s="1209">
        <v>173</v>
      </c>
      <c r="T1051" s="26" t="s">
        <v>311</v>
      </c>
      <c r="U1051" s="1871" t="s">
        <v>4350</v>
      </c>
      <c r="V1051" s="26" t="s">
        <v>1963</v>
      </c>
      <c r="W1051" s="2008" t="s">
        <v>4452</v>
      </c>
      <c r="X1051" s="18"/>
      <c r="Y1051" s="4"/>
      <c r="Z1051" s="4"/>
    </row>
    <row r="1052" spans="1:26" ht="24.95" hidden="1">
      <c r="A1052" s="20">
        <v>1059</v>
      </c>
      <c r="B1052" s="1063">
        <v>40829</v>
      </c>
      <c r="C1052" s="26" t="s">
        <v>152</v>
      </c>
      <c r="D1052" s="11" t="s">
        <v>6</v>
      </c>
      <c r="E1052" s="26" t="s">
        <v>62</v>
      </c>
      <c r="F1052" s="26" t="s">
        <v>4347</v>
      </c>
      <c r="G1052" s="26" t="s">
        <v>4453</v>
      </c>
      <c r="H1052" s="26" t="s">
        <v>2786</v>
      </c>
      <c r="I1052" s="26" t="s">
        <v>39</v>
      </c>
      <c r="J1052" s="26" t="s">
        <v>4454</v>
      </c>
      <c r="K1052" s="26" t="s">
        <v>4455</v>
      </c>
      <c r="L1052" s="26" t="s">
        <v>4291</v>
      </c>
      <c r="M1052" s="26">
        <v>4</v>
      </c>
      <c r="N1052" s="26">
        <v>50</v>
      </c>
      <c r="O1052" s="26">
        <v>50</v>
      </c>
      <c r="P1052" s="26">
        <v>0</v>
      </c>
      <c r="Q1052" s="26">
        <v>46</v>
      </c>
      <c r="R1052" s="1209">
        <v>3.96</v>
      </c>
      <c r="S1052" s="1209">
        <v>198</v>
      </c>
      <c r="T1052" s="26" t="s">
        <v>311</v>
      </c>
      <c r="U1052" s="1871" t="s">
        <v>4350</v>
      </c>
      <c r="V1052" s="26" t="s">
        <v>1963</v>
      </c>
      <c r="W1052" s="2008" t="s">
        <v>4456</v>
      </c>
      <c r="X1052" s="18"/>
      <c r="Y1052" s="4"/>
      <c r="Z1052" s="4"/>
    </row>
    <row r="1053" spans="1:26" ht="24.95" hidden="1">
      <c r="A1053" s="20">
        <v>1060</v>
      </c>
      <c r="B1053" s="1063">
        <v>40830</v>
      </c>
      <c r="C1053" s="26" t="s">
        <v>152</v>
      </c>
      <c r="D1053" s="11" t="s">
        <v>6</v>
      </c>
      <c r="E1053" s="26" t="s">
        <v>62</v>
      </c>
      <c r="F1053" s="26" t="s">
        <v>4347</v>
      </c>
      <c r="G1053" s="26" t="s">
        <v>4457</v>
      </c>
      <c r="H1053" s="26" t="s">
        <v>249</v>
      </c>
      <c r="I1053" s="26" t="s">
        <v>39</v>
      </c>
      <c r="J1053" s="26" t="s">
        <v>4458</v>
      </c>
      <c r="K1053" s="26" t="s">
        <v>4459</v>
      </c>
      <c r="L1053" s="26" t="s">
        <v>4291</v>
      </c>
      <c r="M1053" s="26">
        <v>4</v>
      </c>
      <c r="N1053" s="26">
        <v>20</v>
      </c>
      <c r="O1053" s="26">
        <v>20</v>
      </c>
      <c r="P1053" s="26">
        <v>0</v>
      </c>
      <c r="Q1053" s="26">
        <v>16</v>
      </c>
      <c r="R1053" s="1209">
        <v>26.6</v>
      </c>
      <c r="S1053" s="1209">
        <v>532</v>
      </c>
      <c r="T1053" s="26" t="s">
        <v>311</v>
      </c>
      <c r="U1053" s="1871" t="s">
        <v>4350</v>
      </c>
      <c r="V1053" s="26" t="s">
        <v>1963</v>
      </c>
      <c r="W1053" s="2008" t="s">
        <v>4460</v>
      </c>
      <c r="X1053" s="26"/>
      <c r="Y1053" s="71"/>
      <c r="Z1053" s="71"/>
    </row>
    <row r="1054" spans="1:26" ht="24.95" hidden="1">
      <c r="A1054" s="20">
        <v>1061</v>
      </c>
      <c r="B1054" s="1063">
        <v>40831</v>
      </c>
      <c r="C1054" s="26" t="s">
        <v>152</v>
      </c>
      <c r="D1054" s="11" t="s">
        <v>6</v>
      </c>
      <c r="E1054" s="26" t="s">
        <v>62</v>
      </c>
      <c r="F1054" s="26" t="s">
        <v>4347</v>
      </c>
      <c r="G1054" s="26" t="s">
        <v>4461</v>
      </c>
      <c r="H1054" s="26" t="s">
        <v>249</v>
      </c>
      <c r="I1054" s="26" t="s">
        <v>39</v>
      </c>
      <c r="J1054" s="26" t="s">
        <v>4462</v>
      </c>
      <c r="K1054" s="26" t="s">
        <v>4463</v>
      </c>
      <c r="L1054" s="26" t="s">
        <v>4291</v>
      </c>
      <c r="M1054" s="26">
        <v>4</v>
      </c>
      <c r="N1054" s="26">
        <v>20</v>
      </c>
      <c r="O1054" s="26">
        <v>20</v>
      </c>
      <c r="P1054" s="26">
        <v>0</v>
      </c>
      <c r="Q1054" s="26">
        <v>16</v>
      </c>
      <c r="R1054" s="1209">
        <v>31.3</v>
      </c>
      <c r="S1054" s="1209">
        <v>626</v>
      </c>
      <c r="T1054" s="26" t="s">
        <v>311</v>
      </c>
      <c r="U1054" s="1871" t="s">
        <v>4350</v>
      </c>
      <c r="V1054" s="26" t="s">
        <v>1963</v>
      </c>
      <c r="W1054" s="2008" t="s">
        <v>4464</v>
      </c>
      <c r="X1054" s="26"/>
      <c r="Y1054" s="71"/>
      <c r="Z1054" s="71"/>
    </row>
    <row r="1055" spans="1:26" ht="24.95" hidden="1">
      <c r="A1055" s="20">
        <v>1062</v>
      </c>
      <c r="B1055" s="1063">
        <v>40832</v>
      </c>
      <c r="C1055" s="26" t="s">
        <v>152</v>
      </c>
      <c r="D1055" s="11" t="s">
        <v>6</v>
      </c>
      <c r="E1055" s="26" t="s">
        <v>62</v>
      </c>
      <c r="F1055" s="26" t="s">
        <v>4347</v>
      </c>
      <c r="G1055" s="26" t="s">
        <v>4465</v>
      </c>
      <c r="H1055" s="26" t="s">
        <v>2786</v>
      </c>
      <c r="I1055" s="26" t="s">
        <v>39</v>
      </c>
      <c r="J1055" s="26" t="s">
        <v>4466</v>
      </c>
      <c r="K1055" s="26" t="s">
        <v>4467</v>
      </c>
      <c r="L1055" s="26" t="s">
        <v>4291</v>
      </c>
      <c r="M1055" s="26">
        <v>8</v>
      </c>
      <c r="N1055" s="26">
        <v>50</v>
      </c>
      <c r="O1055" s="26">
        <v>50</v>
      </c>
      <c r="P1055" s="26">
        <v>0</v>
      </c>
      <c r="Q1055" s="26">
        <v>42</v>
      </c>
      <c r="R1055" s="1209">
        <v>13.92</v>
      </c>
      <c r="S1055" s="1209">
        <v>696</v>
      </c>
      <c r="T1055" s="26" t="s">
        <v>311</v>
      </c>
      <c r="U1055" s="1871" t="s">
        <v>4350</v>
      </c>
      <c r="V1055" s="26" t="s">
        <v>1963</v>
      </c>
      <c r="W1055" s="2008" t="s">
        <v>4468</v>
      </c>
      <c r="X1055" s="18"/>
      <c r="Y1055" s="4"/>
      <c r="Z1055" s="4"/>
    </row>
    <row r="1056" spans="1:26" ht="24.95" hidden="1">
      <c r="A1056" s="20">
        <v>1063</v>
      </c>
      <c r="B1056" s="1063">
        <v>40833</v>
      </c>
      <c r="C1056" s="26" t="s">
        <v>152</v>
      </c>
      <c r="D1056" s="11" t="s">
        <v>6</v>
      </c>
      <c r="E1056" s="26" t="s">
        <v>62</v>
      </c>
      <c r="F1056" s="26" t="s">
        <v>4347</v>
      </c>
      <c r="G1056" s="26" t="s">
        <v>4469</v>
      </c>
      <c r="H1056" s="26" t="s">
        <v>249</v>
      </c>
      <c r="I1056" s="26" t="s">
        <v>39</v>
      </c>
      <c r="J1056" s="26" t="s">
        <v>4470</v>
      </c>
      <c r="K1056" s="26" t="s">
        <v>4471</v>
      </c>
      <c r="L1056" s="26" t="s">
        <v>4291</v>
      </c>
      <c r="M1056" s="26">
        <v>6</v>
      </c>
      <c r="N1056" s="26">
        <v>20</v>
      </c>
      <c r="O1056" s="26">
        <v>20</v>
      </c>
      <c r="P1056" s="26">
        <v>0</v>
      </c>
      <c r="Q1056" s="26">
        <v>14</v>
      </c>
      <c r="R1056" s="1209">
        <v>31.3</v>
      </c>
      <c r="S1056" s="1209">
        <v>626</v>
      </c>
      <c r="T1056" s="26" t="s">
        <v>311</v>
      </c>
      <c r="U1056" s="1871" t="s">
        <v>4350</v>
      </c>
      <c r="V1056" s="26" t="s">
        <v>1963</v>
      </c>
      <c r="W1056" s="2008" t="s">
        <v>4472</v>
      </c>
      <c r="X1056" s="18"/>
      <c r="Y1056" s="4"/>
      <c r="Z1056" s="4"/>
    </row>
    <row r="1057" spans="1:26" ht="24.95" hidden="1">
      <c r="A1057" s="20">
        <v>1064</v>
      </c>
      <c r="B1057" s="1063">
        <v>40834</v>
      </c>
      <c r="C1057" s="26" t="s">
        <v>152</v>
      </c>
      <c r="D1057" s="11" t="s">
        <v>6</v>
      </c>
      <c r="E1057" s="26" t="s">
        <v>62</v>
      </c>
      <c r="F1057" s="26" t="s">
        <v>4347</v>
      </c>
      <c r="G1057" s="26" t="s">
        <v>4473</v>
      </c>
      <c r="H1057" s="26" t="s">
        <v>2786</v>
      </c>
      <c r="I1057" s="26" t="s">
        <v>39</v>
      </c>
      <c r="J1057" s="26" t="s">
        <v>4474</v>
      </c>
      <c r="K1057" s="26" t="s">
        <v>4475</v>
      </c>
      <c r="L1057" s="26" t="s">
        <v>4291</v>
      </c>
      <c r="M1057" s="26">
        <v>4</v>
      </c>
      <c r="N1057" s="26">
        <v>50</v>
      </c>
      <c r="O1057" s="26">
        <v>50</v>
      </c>
      <c r="P1057" s="26">
        <v>0</v>
      </c>
      <c r="Q1057" s="26">
        <v>46</v>
      </c>
      <c r="R1057" s="1209">
        <v>8.2200000000000006</v>
      </c>
      <c r="S1057" s="1209">
        <v>411</v>
      </c>
      <c r="T1057" s="26" t="s">
        <v>311</v>
      </c>
      <c r="U1057" s="1871" t="s">
        <v>4350</v>
      </c>
      <c r="V1057" s="26" t="s">
        <v>1963</v>
      </c>
      <c r="W1057" s="2008" t="s">
        <v>4476</v>
      </c>
      <c r="X1057" s="18"/>
      <c r="Y1057" s="4"/>
      <c r="Z1057" s="4"/>
    </row>
    <row r="1058" spans="1:26" ht="24.95" hidden="1">
      <c r="A1058" s="20">
        <v>1065</v>
      </c>
      <c r="B1058" s="1063">
        <v>40835</v>
      </c>
      <c r="C1058" s="26" t="s">
        <v>4297</v>
      </c>
      <c r="D1058" s="11" t="s">
        <v>6</v>
      </c>
      <c r="E1058" s="26" t="s">
        <v>62</v>
      </c>
      <c r="F1058" s="26" t="s">
        <v>4347</v>
      </c>
      <c r="G1058" s="26" t="s">
        <v>4298</v>
      </c>
      <c r="H1058" s="26" t="s">
        <v>452</v>
      </c>
      <c r="I1058" s="26" t="s">
        <v>39</v>
      </c>
      <c r="J1058" s="26" t="s">
        <v>4299</v>
      </c>
      <c r="K1058" s="26" t="s">
        <v>4300</v>
      </c>
      <c r="L1058" s="26" t="s">
        <v>4301</v>
      </c>
      <c r="M1058" s="26">
        <v>4</v>
      </c>
      <c r="N1058" s="26">
        <v>10</v>
      </c>
      <c r="O1058" s="26">
        <v>10</v>
      </c>
      <c r="P1058" s="26">
        <v>0</v>
      </c>
      <c r="Q1058" s="26">
        <v>6</v>
      </c>
      <c r="R1058" s="1209">
        <v>82.2</v>
      </c>
      <c r="S1058" s="1209">
        <v>822</v>
      </c>
      <c r="T1058" s="26" t="s">
        <v>311</v>
      </c>
      <c r="U1058" s="1871" t="s">
        <v>4350</v>
      </c>
      <c r="V1058" s="26" t="s">
        <v>1963</v>
      </c>
      <c r="W1058" s="2008" t="s">
        <v>4302</v>
      </c>
      <c r="X1058" s="18"/>
      <c r="Y1058" s="4"/>
      <c r="Z1058" s="4"/>
    </row>
    <row r="1059" spans="1:26" ht="24.95" hidden="1">
      <c r="A1059" s="20">
        <v>1066</v>
      </c>
      <c r="B1059" s="1063">
        <v>40836</v>
      </c>
      <c r="C1059" s="26" t="s">
        <v>776</v>
      </c>
      <c r="D1059" s="11" t="s">
        <v>6</v>
      </c>
      <c r="E1059" s="26" t="s">
        <v>62</v>
      </c>
      <c r="F1059" s="26" t="s">
        <v>4347</v>
      </c>
      <c r="G1059" s="26" t="s">
        <v>777</v>
      </c>
      <c r="H1059" s="26" t="s">
        <v>207</v>
      </c>
      <c r="I1059" s="26" t="s">
        <v>39</v>
      </c>
      <c r="J1059" s="26" t="s">
        <v>208</v>
      </c>
      <c r="K1059" s="26" t="s">
        <v>778</v>
      </c>
      <c r="L1059" s="26" t="s">
        <v>210</v>
      </c>
      <c r="M1059" s="26">
        <v>10</v>
      </c>
      <c r="N1059" s="26">
        <v>2</v>
      </c>
      <c r="O1059" s="26">
        <v>10</v>
      </c>
      <c r="P1059" s="26">
        <v>0</v>
      </c>
      <c r="Q1059" s="26">
        <v>0</v>
      </c>
      <c r="R1059" s="1209">
        <v>647</v>
      </c>
      <c r="S1059" s="1209">
        <v>6470</v>
      </c>
      <c r="T1059" s="26" t="s">
        <v>311</v>
      </c>
      <c r="U1059" s="1871" t="s">
        <v>4350</v>
      </c>
      <c r="V1059" s="26" t="s">
        <v>1963</v>
      </c>
      <c r="W1059" s="2008" t="s">
        <v>780</v>
      </c>
      <c r="X1059" s="26"/>
      <c r="Y1059" s="71"/>
      <c r="Z1059" s="71"/>
    </row>
    <row r="1060" spans="1:26" ht="24.95" hidden="1">
      <c r="A1060" s="20">
        <v>1067</v>
      </c>
      <c r="B1060" s="1063">
        <v>40837</v>
      </c>
      <c r="C1060" s="26" t="s">
        <v>4303</v>
      </c>
      <c r="D1060" s="11" t="s">
        <v>6</v>
      </c>
      <c r="E1060" s="26" t="s">
        <v>62</v>
      </c>
      <c r="F1060" s="26" t="s">
        <v>4347</v>
      </c>
      <c r="G1060" s="26" t="s">
        <v>4304</v>
      </c>
      <c r="H1060" s="26" t="s">
        <v>243</v>
      </c>
      <c r="I1060" s="26" t="s">
        <v>39</v>
      </c>
      <c r="J1060" s="26" t="s">
        <v>244</v>
      </c>
      <c r="K1060" s="26" t="s">
        <v>245</v>
      </c>
      <c r="L1060" s="26" t="s">
        <v>210</v>
      </c>
      <c r="M1060" s="26">
        <v>12</v>
      </c>
      <c r="N1060" s="26">
        <v>1</v>
      </c>
      <c r="O1060" s="26">
        <v>12</v>
      </c>
      <c r="P1060" s="26">
        <v>0</v>
      </c>
      <c r="Q1060" s="26">
        <v>0</v>
      </c>
      <c r="R1060" s="1209">
        <v>400</v>
      </c>
      <c r="S1060" s="1209">
        <v>4800</v>
      </c>
      <c r="T1060" s="26" t="s">
        <v>311</v>
      </c>
      <c r="U1060" s="1871" t="s">
        <v>4350</v>
      </c>
      <c r="V1060" s="26" t="s">
        <v>1963</v>
      </c>
      <c r="W1060" s="2008" t="s">
        <v>4305</v>
      </c>
      <c r="X1060" s="26"/>
      <c r="Y1060" s="71"/>
      <c r="Z1060" s="71"/>
    </row>
    <row r="1061" spans="1:26" ht="24.95" hidden="1">
      <c r="A1061" s="20">
        <v>1068</v>
      </c>
      <c r="B1061" s="1063">
        <v>40838</v>
      </c>
      <c r="C1061" s="26" t="s">
        <v>879</v>
      </c>
      <c r="D1061" s="11" t="s">
        <v>6</v>
      </c>
      <c r="E1061" s="26" t="s">
        <v>62</v>
      </c>
      <c r="F1061" s="26" t="s">
        <v>4347</v>
      </c>
      <c r="G1061" s="26" t="s">
        <v>880</v>
      </c>
      <c r="H1061" s="26" t="s">
        <v>881</v>
      </c>
      <c r="I1061" s="26" t="s">
        <v>39</v>
      </c>
      <c r="J1061" s="26" t="s">
        <v>882</v>
      </c>
      <c r="K1061" s="26">
        <v>934091100</v>
      </c>
      <c r="L1061" s="26"/>
      <c r="M1061" s="26">
        <v>6</v>
      </c>
      <c r="N1061" s="26">
        <v>1</v>
      </c>
      <c r="O1061" s="26">
        <v>4</v>
      </c>
      <c r="P1061" s="26">
        <v>0</v>
      </c>
      <c r="Q1061" s="26">
        <v>0</v>
      </c>
      <c r="R1061" s="1209">
        <v>686</v>
      </c>
      <c r="S1061" s="1209">
        <v>4116</v>
      </c>
      <c r="T1061" s="26" t="s">
        <v>311</v>
      </c>
      <c r="U1061" s="1871" t="s">
        <v>4350</v>
      </c>
      <c r="V1061" s="26" t="s">
        <v>1963</v>
      </c>
      <c r="W1061" s="2008" t="s">
        <v>884</v>
      </c>
      <c r="X1061" s="18"/>
      <c r="Y1061" s="4"/>
      <c r="Z1061" s="4"/>
    </row>
    <row r="1062" spans="1:26" ht="24.95" hidden="1">
      <c r="A1062" s="20">
        <v>1069</v>
      </c>
      <c r="B1062" s="1063">
        <v>40839</v>
      </c>
      <c r="C1062" s="26" t="s">
        <v>885</v>
      </c>
      <c r="D1062" s="11" t="s">
        <v>6</v>
      </c>
      <c r="E1062" s="26" t="s">
        <v>62</v>
      </c>
      <c r="F1062" s="26" t="s">
        <v>4347</v>
      </c>
      <c r="G1062" s="26" t="s">
        <v>886</v>
      </c>
      <c r="H1062" s="26" t="s">
        <v>881</v>
      </c>
      <c r="I1062" s="26" t="s">
        <v>39</v>
      </c>
      <c r="J1062" s="26" t="s">
        <v>887</v>
      </c>
      <c r="K1062" s="26">
        <v>934061101</v>
      </c>
      <c r="L1062" s="26"/>
      <c r="M1062" s="26">
        <v>6</v>
      </c>
      <c r="N1062" s="26">
        <v>1</v>
      </c>
      <c r="O1062" s="26">
        <v>4</v>
      </c>
      <c r="P1062" s="26">
        <v>0</v>
      </c>
      <c r="Q1062" s="26">
        <v>0</v>
      </c>
      <c r="R1062" s="1209">
        <v>686</v>
      </c>
      <c r="S1062" s="1209">
        <v>4116</v>
      </c>
      <c r="T1062" s="26" t="s">
        <v>311</v>
      </c>
      <c r="U1062" s="1871" t="s">
        <v>4350</v>
      </c>
      <c r="V1062" s="26" t="s">
        <v>1963</v>
      </c>
      <c r="W1062" s="2008" t="s">
        <v>888</v>
      </c>
      <c r="X1062" s="18"/>
      <c r="Y1062" s="4"/>
      <c r="Z1062" s="4"/>
    </row>
    <row r="1063" spans="1:26" ht="24.95" hidden="1">
      <c r="A1063" s="20">
        <v>1070</v>
      </c>
      <c r="B1063" s="1063">
        <v>40840</v>
      </c>
      <c r="C1063" s="26" t="s">
        <v>889</v>
      </c>
      <c r="D1063" s="11" t="s">
        <v>6</v>
      </c>
      <c r="E1063" s="26" t="s">
        <v>62</v>
      </c>
      <c r="F1063" s="26" t="s">
        <v>4347</v>
      </c>
      <c r="G1063" s="26" t="s">
        <v>890</v>
      </c>
      <c r="H1063" s="26" t="s">
        <v>881</v>
      </c>
      <c r="I1063" s="26" t="s">
        <v>39</v>
      </c>
      <c r="J1063" s="26" t="s">
        <v>891</v>
      </c>
      <c r="K1063" s="26">
        <v>930046100</v>
      </c>
      <c r="L1063" s="26"/>
      <c r="M1063" s="26">
        <v>10</v>
      </c>
      <c r="N1063" s="26">
        <v>1</v>
      </c>
      <c r="O1063" s="26">
        <v>10</v>
      </c>
      <c r="P1063" s="26">
        <v>0</v>
      </c>
      <c r="Q1063" s="26">
        <v>0</v>
      </c>
      <c r="R1063" s="1209">
        <v>135</v>
      </c>
      <c r="S1063" s="1209">
        <v>1350</v>
      </c>
      <c r="T1063" s="26" t="s">
        <v>311</v>
      </c>
      <c r="U1063" s="1871" t="s">
        <v>4350</v>
      </c>
      <c r="V1063" s="26" t="s">
        <v>1963</v>
      </c>
      <c r="W1063" s="2008" t="s">
        <v>893</v>
      </c>
      <c r="X1063" s="18"/>
      <c r="Y1063" s="4"/>
      <c r="Z1063" s="4"/>
    </row>
    <row r="1064" spans="1:26" ht="24.95" hidden="1">
      <c r="A1064" s="20">
        <v>1071</v>
      </c>
      <c r="B1064" s="1063">
        <v>40841</v>
      </c>
      <c r="C1064" s="26" t="s">
        <v>894</v>
      </c>
      <c r="D1064" s="11" t="s">
        <v>6</v>
      </c>
      <c r="E1064" s="26" t="s">
        <v>62</v>
      </c>
      <c r="F1064" s="26" t="s">
        <v>4347</v>
      </c>
      <c r="G1064" s="26" t="s">
        <v>890</v>
      </c>
      <c r="H1064" s="26" t="s">
        <v>881</v>
      </c>
      <c r="I1064" s="26" t="s">
        <v>39</v>
      </c>
      <c r="J1064" s="26" t="s">
        <v>895</v>
      </c>
      <c r="K1064" s="26">
        <v>930046101</v>
      </c>
      <c r="L1064" s="26"/>
      <c r="M1064" s="26">
        <v>10</v>
      </c>
      <c r="N1064" s="26">
        <v>1</v>
      </c>
      <c r="O1064" s="26">
        <v>10</v>
      </c>
      <c r="P1064" s="26">
        <v>0</v>
      </c>
      <c r="Q1064" s="26">
        <v>0</v>
      </c>
      <c r="R1064" s="1209">
        <v>135</v>
      </c>
      <c r="S1064" s="1209">
        <v>1350</v>
      </c>
      <c r="T1064" s="26" t="s">
        <v>311</v>
      </c>
      <c r="U1064" s="1871" t="s">
        <v>4350</v>
      </c>
      <c r="V1064" s="26" t="s">
        <v>1963</v>
      </c>
      <c r="W1064" s="2008" t="s">
        <v>896</v>
      </c>
      <c r="X1064" s="18"/>
      <c r="Y1064" s="4"/>
      <c r="Z1064" s="4"/>
    </row>
    <row r="1065" spans="1:26" ht="14.1" hidden="1">
      <c r="A1065" s="20">
        <v>1072</v>
      </c>
      <c r="B1065" s="1063">
        <v>40842</v>
      </c>
      <c r="C1065" s="26" t="s">
        <v>4477</v>
      </c>
      <c r="D1065" s="11" t="s">
        <v>6</v>
      </c>
      <c r="E1065" s="26" t="s">
        <v>62</v>
      </c>
      <c r="F1065" s="26" t="s">
        <v>4347</v>
      </c>
      <c r="G1065" s="26" t="s">
        <v>4344</v>
      </c>
      <c r="H1065" s="26" t="s">
        <v>3525</v>
      </c>
      <c r="I1065" s="26"/>
      <c r="J1065" s="26"/>
      <c r="K1065" s="26"/>
      <c r="L1065" s="26"/>
      <c r="M1065" s="26">
        <v>2</v>
      </c>
      <c r="N1065" s="26">
        <v>1</v>
      </c>
      <c r="O1065" s="26">
        <v>2</v>
      </c>
      <c r="P1065" s="26">
        <v>0</v>
      </c>
      <c r="Q1065" s="26">
        <v>0</v>
      </c>
      <c r="R1065" s="1209">
        <v>23072.5</v>
      </c>
      <c r="S1065" s="1209">
        <f>R1065*O1065</f>
        <v>46145</v>
      </c>
      <c r="T1065" s="26" t="s">
        <v>311</v>
      </c>
      <c r="U1065" s="1871" t="s">
        <v>4350</v>
      </c>
      <c r="V1065" s="26" t="s">
        <v>1963</v>
      </c>
      <c r="W1065" s="2015"/>
      <c r="X1065" s="18"/>
      <c r="Y1065" s="4"/>
      <c r="Z1065" s="4"/>
    </row>
    <row r="1066" spans="1:26" ht="14.1" hidden="1">
      <c r="A1066" s="20">
        <v>1073</v>
      </c>
      <c r="B1066" s="1063">
        <v>40843</v>
      </c>
      <c r="C1066" s="26" t="s">
        <v>4478</v>
      </c>
      <c r="D1066" s="11" t="s">
        <v>6</v>
      </c>
      <c r="E1066" s="26" t="s">
        <v>2722</v>
      </c>
      <c r="F1066" s="26" t="s">
        <v>2876</v>
      </c>
      <c r="G1066" s="26" t="s">
        <v>4479</v>
      </c>
      <c r="H1066" s="26" t="s">
        <v>287</v>
      </c>
      <c r="I1066" s="26" t="s">
        <v>4480</v>
      </c>
      <c r="J1066" s="26"/>
      <c r="K1066" s="26"/>
      <c r="L1066" s="26"/>
      <c r="M1066" s="26">
        <v>1</v>
      </c>
      <c r="N1066" s="26">
        <v>1</v>
      </c>
      <c r="O1066" s="26">
        <v>2</v>
      </c>
      <c r="P1066" s="26">
        <v>0</v>
      </c>
      <c r="Q1066" s="26">
        <v>2</v>
      </c>
      <c r="R1066" s="1209">
        <f>33109/2</f>
        <v>16554.5</v>
      </c>
      <c r="S1066" s="1209">
        <f>O1066*R1066</f>
        <v>33109</v>
      </c>
      <c r="T1066" s="26" t="s">
        <v>929</v>
      </c>
      <c r="U1066" s="1871" t="s">
        <v>4481</v>
      </c>
      <c r="V1066" s="26" t="s">
        <v>4482</v>
      </c>
      <c r="W1066" s="2015"/>
      <c r="X1066" s="18"/>
      <c r="Y1066" s="4"/>
      <c r="Z1066" s="4"/>
    </row>
    <row r="1067" spans="1:26" ht="14.1" hidden="1">
      <c r="A1067" s="20">
        <v>1074</v>
      </c>
      <c r="B1067" s="1063">
        <v>40844</v>
      </c>
      <c r="C1067" s="26" t="s">
        <v>4483</v>
      </c>
      <c r="D1067" s="11" t="s">
        <v>6</v>
      </c>
      <c r="E1067" s="26" t="s">
        <v>62</v>
      </c>
      <c r="F1067" s="26" t="s">
        <v>73</v>
      </c>
      <c r="G1067" s="26" t="s">
        <v>4484</v>
      </c>
      <c r="H1067" s="26" t="s">
        <v>4485</v>
      </c>
      <c r="I1067" s="26" t="s">
        <v>482</v>
      </c>
      <c r="J1067" s="110">
        <v>31380824</v>
      </c>
      <c r="K1067" s="110">
        <v>31380824</v>
      </c>
      <c r="L1067" s="26"/>
      <c r="M1067" s="26">
        <v>1</v>
      </c>
      <c r="N1067" s="26">
        <v>1</v>
      </c>
      <c r="O1067" s="26">
        <v>1</v>
      </c>
      <c r="P1067" s="26">
        <v>0</v>
      </c>
      <c r="Q1067" s="26">
        <v>1</v>
      </c>
      <c r="R1067" s="1209">
        <v>25650</v>
      </c>
      <c r="S1067" s="1209">
        <v>25650</v>
      </c>
      <c r="T1067" s="26" t="s">
        <v>4220</v>
      </c>
      <c r="U1067" s="1871"/>
      <c r="V1067" s="26" t="s">
        <v>4482</v>
      </c>
      <c r="W1067" s="2008" t="s">
        <v>4486</v>
      </c>
      <c r="X1067" s="26"/>
      <c r="Y1067" s="71"/>
      <c r="Z1067" s="71"/>
    </row>
    <row r="1068" spans="1:26" ht="14.1" hidden="1">
      <c r="A1068" s="20">
        <v>1075</v>
      </c>
      <c r="B1068" s="1063">
        <v>40845</v>
      </c>
      <c r="C1068" s="26" t="s">
        <v>4487</v>
      </c>
      <c r="D1068" s="11" t="s">
        <v>6</v>
      </c>
      <c r="E1068" s="26" t="s">
        <v>62</v>
      </c>
      <c r="F1068" s="26" t="s">
        <v>73</v>
      </c>
      <c r="G1068" s="26" t="s">
        <v>4488</v>
      </c>
      <c r="H1068" s="26" t="s">
        <v>4489</v>
      </c>
      <c r="I1068" s="26" t="s">
        <v>482</v>
      </c>
      <c r="J1068" s="110">
        <v>4935201155081</v>
      </c>
      <c r="K1068" s="110">
        <v>4935201155081</v>
      </c>
      <c r="L1068" s="26"/>
      <c r="M1068" s="26">
        <v>1</v>
      </c>
      <c r="N1068" s="26">
        <v>1</v>
      </c>
      <c r="O1068" s="26">
        <v>1</v>
      </c>
      <c r="P1068" s="26">
        <v>0</v>
      </c>
      <c r="Q1068" s="26">
        <v>1</v>
      </c>
      <c r="R1068" s="1209">
        <v>14904</v>
      </c>
      <c r="S1068" s="1209">
        <v>14904</v>
      </c>
      <c r="T1068" s="26" t="s">
        <v>4220</v>
      </c>
      <c r="U1068" s="1871"/>
      <c r="V1068" s="26" t="s">
        <v>4490</v>
      </c>
      <c r="W1068" s="2008" t="s">
        <v>4491</v>
      </c>
      <c r="X1068" s="26"/>
      <c r="Y1068" s="71"/>
      <c r="Z1068" s="71"/>
    </row>
    <row r="1069" spans="1:26" ht="50.1" hidden="1">
      <c r="A1069" s="20">
        <v>1076</v>
      </c>
      <c r="B1069" s="1063">
        <v>40846</v>
      </c>
      <c r="C1069" s="26" t="s">
        <v>2342</v>
      </c>
      <c r="D1069" s="11"/>
      <c r="E1069" s="26" t="s">
        <v>2722</v>
      </c>
      <c r="F1069" s="26" t="s">
        <v>2693</v>
      </c>
      <c r="G1069" s="26" t="s">
        <v>4492</v>
      </c>
      <c r="H1069" s="26" t="s">
        <v>2285</v>
      </c>
      <c r="I1069" s="26" t="s">
        <v>574</v>
      </c>
      <c r="J1069" s="26" t="s">
        <v>3974</v>
      </c>
      <c r="K1069" s="26" t="s">
        <v>3975</v>
      </c>
      <c r="L1069" s="26">
        <v>2012</v>
      </c>
      <c r="M1069" s="26">
        <v>5</v>
      </c>
      <c r="N1069" s="26">
        <v>1</v>
      </c>
      <c r="O1069" s="26">
        <v>10</v>
      </c>
      <c r="P1069" s="26">
        <v>0</v>
      </c>
      <c r="Q1069" s="26">
        <v>5</v>
      </c>
      <c r="R1069" s="1209">
        <v>171.7</v>
      </c>
      <c r="S1069" s="1209">
        <v>1717</v>
      </c>
      <c r="T1069" s="26" t="s">
        <v>3064</v>
      </c>
      <c r="U1069" s="1871" t="s">
        <v>1886</v>
      </c>
      <c r="V1069" s="26" t="s">
        <v>931</v>
      </c>
      <c r="W1069" s="2008" t="s">
        <v>4493</v>
      </c>
      <c r="X1069" s="18"/>
      <c r="Y1069" s="4"/>
      <c r="Z1069" s="4"/>
    </row>
    <row r="1070" spans="1:26" ht="37.5" hidden="1">
      <c r="A1070" s="20">
        <v>1077</v>
      </c>
      <c r="B1070" s="1063">
        <v>40847</v>
      </c>
      <c r="C1070" s="26" t="s">
        <v>4494</v>
      </c>
      <c r="D1070" s="11"/>
      <c r="E1070" s="26" t="s">
        <v>2722</v>
      </c>
      <c r="F1070" s="26" t="s">
        <v>2693</v>
      </c>
      <c r="G1070" s="26"/>
      <c r="H1070" s="26" t="s">
        <v>3612</v>
      </c>
      <c r="I1070" s="26" t="s">
        <v>574</v>
      </c>
      <c r="J1070" s="26" t="s">
        <v>4495</v>
      </c>
      <c r="K1070" s="26" t="s">
        <v>4496</v>
      </c>
      <c r="L1070" s="26"/>
      <c r="M1070" s="26">
        <v>5</v>
      </c>
      <c r="N1070" s="26">
        <v>1</v>
      </c>
      <c r="O1070" s="26">
        <v>10</v>
      </c>
      <c r="P1070" s="26">
        <v>0</v>
      </c>
      <c r="Q1070" s="26">
        <v>5</v>
      </c>
      <c r="R1070" s="1209">
        <v>137.1</v>
      </c>
      <c r="S1070" s="1209">
        <v>1371</v>
      </c>
      <c r="T1070" s="26" t="s">
        <v>3064</v>
      </c>
      <c r="U1070" s="1871" t="s">
        <v>1886</v>
      </c>
      <c r="V1070" s="26" t="s">
        <v>931</v>
      </c>
      <c r="W1070" s="2039" t="s">
        <v>4497</v>
      </c>
      <c r="X1070" s="18"/>
      <c r="Y1070" s="4"/>
      <c r="Z1070" s="4"/>
    </row>
    <row r="1071" spans="1:26" ht="50.1" hidden="1">
      <c r="A1071" s="20">
        <v>1078</v>
      </c>
      <c r="B1071" s="1063">
        <v>40848</v>
      </c>
      <c r="C1071" s="26" t="s">
        <v>2342</v>
      </c>
      <c r="D1071" s="11"/>
      <c r="E1071" s="26" t="s">
        <v>2722</v>
      </c>
      <c r="F1071" s="26" t="s">
        <v>2693</v>
      </c>
      <c r="G1071" s="26" t="s">
        <v>4498</v>
      </c>
      <c r="H1071" s="26" t="s">
        <v>2285</v>
      </c>
      <c r="I1071" s="26" t="s">
        <v>574</v>
      </c>
      <c r="J1071" s="26" t="s">
        <v>4499</v>
      </c>
      <c r="K1071" s="26" t="s">
        <v>4500</v>
      </c>
      <c r="L1071" s="26">
        <v>603</v>
      </c>
      <c r="M1071" s="26">
        <v>5</v>
      </c>
      <c r="N1071" s="26">
        <v>1</v>
      </c>
      <c r="O1071" s="26">
        <v>10</v>
      </c>
      <c r="P1071" s="26">
        <v>0</v>
      </c>
      <c r="Q1071" s="26">
        <v>5</v>
      </c>
      <c r="R1071" s="1209">
        <v>49</v>
      </c>
      <c r="S1071" s="1209">
        <v>490</v>
      </c>
      <c r="T1071" s="26" t="s">
        <v>3064</v>
      </c>
      <c r="U1071" s="1871" t="s">
        <v>1886</v>
      </c>
      <c r="V1071" s="26" t="s">
        <v>931</v>
      </c>
      <c r="W1071" s="2008" t="s">
        <v>4501</v>
      </c>
      <c r="X1071" s="26"/>
      <c r="Y1071" s="71"/>
      <c r="Z1071" s="71"/>
    </row>
    <row r="1072" spans="1:26" ht="37.5" hidden="1">
      <c r="A1072" s="20">
        <v>1079</v>
      </c>
      <c r="B1072" s="1063">
        <v>40849</v>
      </c>
      <c r="C1072" s="26" t="s">
        <v>4502</v>
      </c>
      <c r="D1072" s="11"/>
      <c r="E1072" s="26" t="s">
        <v>2722</v>
      </c>
      <c r="F1072" s="26" t="s">
        <v>2693</v>
      </c>
      <c r="G1072" s="26"/>
      <c r="H1072" s="26" t="s">
        <v>4503</v>
      </c>
      <c r="I1072" s="26" t="s">
        <v>574</v>
      </c>
      <c r="J1072" s="26" t="s">
        <v>599</v>
      </c>
      <c r="K1072" s="26" t="s">
        <v>1991</v>
      </c>
      <c r="L1072" s="26"/>
      <c r="M1072" s="26">
        <v>10</v>
      </c>
      <c r="N1072" s="26">
        <v>1</v>
      </c>
      <c r="O1072" s="26">
        <v>25</v>
      </c>
      <c r="P1072" s="26">
        <v>0</v>
      </c>
      <c r="Q1072" s="26">
        <v>15</v>
      </c>
      <c r="R1072" s="1209">
        <v>19.2</v>
      </c>
      <c r="S1072" s="1209">
        <v>480</v>
      </c>
      <c r="T1072" s="26" t="s">
        <v>3064</v>
      </c>
      <c r="U1072" s="1871" t="s">
        <v>1886</v>
      </c>
      <c r="V1072" s="26" t="s">
        <v>931</v>
      </c>
      <c r="W1072" s="2008" t="s">
        <v>4504</v>
      </c>
      <c r="X1072" s="26"/>
      <c r="Y1072" s="71"/>
      <c r="Z1072" s="71"/>
    </row>
    <row r="1073" spans="1:26" ht="37.5" hidden="1">
      <c r="A1073" s="20">
        <v>1080</v>
      </c>
      <c r="B1073" s="1063">
        <v>40850</v>
      </c>
      <c r="C1073" s="26" t="s">
        <v>2342</v>
      </c>
      <c r="D1073" s="11"/>
      <c r="E1073" s="26" t="s">
        <v>2722</v>
      </c>
      <c r="F1073" s="26" t="s">
        <v>2693</v>
      </c>
      <c r="G1073" s="26" t="s">
        <v>650</v>
      </c>
      <c r="H1073" s="26" t="s">
        <v>3243</v>
      </c>
      <c r="I1073" s="26" t="s">
        <v>574</v>
      </c>
      <c r="J1073" s="108" t="s">
        <v>3549</v>
      </c>
      <c r="K1073" s="26" t="s">
        <v>3550</v>
      </c>
      <c r="L1073" s="26">
        <v>1608</v>
      </c>
      <c r="M1073" s="26">
        <v>10</v>
      </c>
      <c r="N1073" s="26">
        <v>1</v>
      </c>
      <c r="O1073" s="26">
        <v>50</v>
      </c>
      <c r="P1073" s="26">
        <v>0</v>
      </c>
      <c r="Q1073" s="26">
        <v>40</v>
      </c>
      <c r="R1073" s="1209">
        <v>23.7</v>
      </c>
      <c r="S1073" s="1209">
        <v>1185</v>
      </c>
      <c r="T1073" s="26" t="s">
        <v>3064</v>
      </c>
      <c r="U1073" s="1871" t="s">
        <v>1886</v>
      </c>
      <c r="V1073" s="26" t="s">
        <v>931</v>
      </c>
      <c r="W1073" s="2008" t="s">
        <v>4505</v>
      </c>
      <c r="X1073" s="18"/>
      <c r="Y1073" s="4"/>
      <c r="Z1073" s="4"/>
    </row>
    <row r="1074" spans="1:26" ht="37.5" hidden="1">
      <c r="A1074" s="20">
        <v>1081</v>
      </c>
      <c r="B1074" s="1063">
        <v>40851</v>
      </c>
      <c r="C1074" s="26" t="s">
        <v>4506</v>
      </c>
      <c r="D1074" s="11"/>
      <c r="E1074" s="26" t="s">
        <v>2722</v>
      </c>
      <c r="F1074" s="26" t="s">
        <v>2693</v>
      </c>
      <c r="G1074" s="26" t="s">
        <v>4507</v>
      </c>
      <c r="H1074" s="26" t="s">
        <v>4508</v>
      </c>
      <c r="I1074" s="26" t="s">
        <v>574</v>
      </c>
      <c r="J1074" s="26" t="s">
        <v>4509</v>
      </c>
      <c r="K1074" s="26" t="s">
        <v>4510</v>
      </c>
      <c r="L1074" s="26"/>
      <c r="M1074" s="26">
        <v>3</v>
      </c>
      <c r="N1074" s="26">
        <v>1</v>
      </c>
      <c r="O1074" s="26">
        <v>3</v>
      </c>
      <c r="P1074" s="26">
        <v>0</v>
      </c>
      <c r="Q1074" s="26">
        <v>0</v>
      </c>
      <c r="R1074" s="1209">
        <v>789</v>
      </c>
      <c r="S1074" s="1209">
        <v>2367</v>
      </c>
      <c r="T1074" s="26" t="s">
        <v>3064</v>
      </c>
      <c r="U1074" s="1871" t="s">
        <v>4511</v>
      </c>
      <c r="V1074" s="26" t="s">
        <v>931</v>
      </c>
      <c r="W1074" s="2008" t="s">
        <v>4512</v>
      </c>
      <c r="X1074" s="18"/>
      <c r="Y1074" s="4"/>
      <c r="Z1074" s="4"/>
    </row>
    <row r="1075" spans="1:26" ht="24.95" hidden="1">
      <c r="A1075" s="20">
        <v>1082</v>
      </c>
      <c r="B1075" s="1063">
        <v>40852</v>
      </c>
      <c r="C1075" s="26" t="s">
        <v>2024</v>
      </c>
      <c r="D1075" s="11"/>
      <c r="E1075" s="26" t="s">
        <v>2722</v>
      </c>
      <c r="F1075" s="26" t="s">
        <v>2693</v>
      </c>
      <c r="G1075" s="26" t="s">
        <v>4507</v>
      </c>
      <c r="H1075" s="26" t="s">
        <v>671</v>
      </c>
      <c r="I1075" s="26" t="s">
        <v>574</v>
      </c>
      <c r="J1075" s="26" t="s">
        <v>4513</v>
      </c>
      <c r="K1075" s="26">
        <v>132360</v>
      </c>
      <c r="L1075" s="26"/>
      <c r="M1075" s="26">
        <v>3</v>
      </c>
      <c r="N1075" s="26">
        <v>1</v>
      </c>
      <c r="O1075" s="26">
        <v>3</v>
      </c>
      <c r="P1075" s="26">
        <v>0</v>
      </c>
      <c r="Q1075" s="26">
        <v>0</v>
      </c>
      <c r="R1075" s="1209">
        <v>342</v>
      </c>
      <c r="S1075" s="1209">
        <v>1026</v>
      </c>
      <c r="T1075" s="26" t="s">
        <v>3064</v>
      </c>
      <c r="U1075" s="1871" t="s">
        <v>4511</v>
      </c>
      <c r="V1075" s="26" t="s">
        <v>931</v>
      </c>
      <c r="W1075" s="2008" t="s">
        <v>4514</v>
      </c>
      <c r="X1075" s="18"/>
      <c r="Y1075" s="4"/>
      <c r="Z1075" s="4"/>
    </row>
    <row r="1076" spans="1:26" ht="24.95" hidden="1">
      <c r="A1076" s="20">
        <v>1083</v>
      </c>
      <c r="B1076" s="1063">
        <v>40853</v>
      </c>
      <c r="C1076" s="26" t="s">
        <v>4515</v>
      </c>
      <c r="D1076" s="11" t="s">
        <v>6</v>
      </c>
      <c r="E1076" s="26" t="s">
        <v>2722</v>
      </c>
      <c r="F1076" s="26" t="s">
        <v>2693</v>
      </c>
      <c r="G1076" s="26" t="s">
        <v>4507</v>
      </c>
      <c r="H1076" s="26" t="s">
        <v>4516</v>
      </c>
      <c r="I1076" s="26" t="s">
        <v>1063</v>
      </c>
      <c r="J1076" s="26" t="s">
        <v>4517</v>
      </c>
      <c r="K1076" s="26" t="s">
        <v>4518</v>
      </c>
      <c r="L1076" s="26"/>
      <c r="M1076" s="26">
        <v>3</v>
      </c>
      <c r="N1076" s="26">
        <v>1</v>
      </c>
      <c r="O1076" s="26">
        <v>3</v>
      </c>
      <c r="P1076" s="26">
        <v>0</v>
      </c>
      <c r="Q1076" s="26">
        <v>0</v>
      </c>
      <c r="R1076" s="1209">
        <v>300</v>
      </c>
      <c r="S1076" s="1209">
        <v>900</v>
      </c>
      <c r="T1076" s="26" t="s">
        <v>3064</v>
      </c>
      <c r="U1076" s="1871" t="s">
        <v>4511</v>
      </c>
      <c r="V1076" s="26" t="s">
        <v>931</v>
      </c>
      <c r="W1076" s="2008" t="s">
        <v>4519</v>
      </c>
      <c r="X1076" s="18"/>
      <c r="Y1076" s="4"/>
      <c r="Z1076" s="4"/>
    </row>
    <row r="1077" spans="1:26" ht="14.1" hidden="1">
      <c r="A1077" s="20">
        <v>1084</v>
      </c>
      <c r="B1077" s="1063">
        <v>40854</v>
      </c>
      <c r="C1077" s="26" t="s">
        <v>4520</v>
      </c>
      <c r="D1077" s="11" t="s">
        <v>6</v>
      </c>
      <c r="E1077" s="26" t="s">
        <v>2722</v>
      </c>
      <c r="F1077" s="26" t="s">
        <v>2693</v>
      </c>
      <c r="G1077" s="26"/>
      <c r="H1077" s="26" t="s">
        <v>4521</v>
      </c>
      <c r="I1077" s="26" t="s">
        <v>1063</v>
      </c>
      <c r="J1077" s="26" t="s">
        <v>4522</v>
      </c>
      <c r="K1077" s="26" t="s">
        <v>4523</v>
      </c>
      <c r="L1077" s="26"/>
      <c r="M1077" s="26">
        <v>10</v>
      </c>
      <c r="N1077" s="26">
        <v>1</v>
      </c>
      <c r="O1077" s="26">
        <v>10</v>
      </c>
      <c r="P1077" s="26">
        <v>0</v>
      </c>
      <c r="Q1077" s="26">
        <v>10</v>
      </c>
      <c r="R1077" s="1209">
        <v>45</v>
      </c>
      <c r="S1077" s="1209">
        <v>450</v>
      </c>
      <c r="T1077" s="26" t="s">
        <v>3064</v>
      </c>
      <c r="U1077" s="1871" t="s">
        <v>4511</v>
      </c>
      <c r="V1077" s="26" t="s">
        <v>931</v>
      </c>
      <c r="W1077" s="2008" t="s">
        <v>4524</v>
      </c>
      <c r="X1077" s="26"/>
      <c r="Y1077" s="71"/>
      <c r="Z1077" s="71"/>
    </row>
    <row r="1078" spans="1:26" ht="14.1" hidden="1">
      <c r="A1078" s="20">
        <v>1085</v>
      </c>
      <c r="B1078" s="1063">
        <v>40855</v>
      </c>
      <c r="C1078" s="26" t="s">
        <v>4525</v>
      </c>
      <c r="D1078" s="11" t="s">
        <v>6</v>
      </c>
      <c r="E1078" s="26" t="s">
        <v>2722</v>
      </c>
      <c r="F1078" s="26" t="s">
        <v>2693</v>
      </c>
      <c r="G1078" s="26"/>
      <c r="H1078" s="26" t="s">
        <v>4521</v>
      </c>
      <c r="I1078" s="26" t="s">
        <v>1063</v>
      </c>
      <c r="J1078" s="26" t="s">
        <v>4526</v>
      </c>
      <c r="K1078" s="26" t="s">
        <v>4527</v>
      </c>
      <c r="L1078" s="26"/>
      <c r="M1078" s="26">
        <v>10</v>
      </c>
      <c r="N1078" s="26">
        <v>1</v>
      </c>
      <c r="O1078" s="26">
        <v>10</v>
      </c>
      <c r="P1078" s="26">
        <v>0</v>
      </c>
      <c r="Q1078" s="26">
        <v>10</v>
      </c>
      <c r="R1078" s="1209">
        <v>45</v>
      </c>
      <c r="S1078" s="1209">
        <v>450</v>
      </c>
      <c r="T1078" s="26" t="s">
        <v>3064</v>
      </c>
      <c r="U1078" s="1871" t="s">
        <v>4511</v>
      </c>
      <c r="V1078" s="26" t="s">
        <v>931</v>
      </c>
      <c r="W1078" s="2008" t="s">
        <v>4528</v>
      </c>
      <c r="X1078" s="26"/>
      <c r="Y1078" s="71"/>
      <c r="Z1078" s="71"/>
    </row>
    <row r="1079" spans="1:26" ht="37.5" hidden="1">
      <c r="A1079" s="20">
        <v>1086</v>
      </c>
      <c r="B1079" s="1063">
        <v>40856</v>
      </c>
      <c r="C1079" s="26" t="s">
        <v>4529</v>
      </c>
      <c r="D1079" s="11"/>
      <c r="E1079" s="26" t="s">
        <v>2722</v>
      </c>
      <c r="F1079" s="26" t="s">
        <v>2693</v>
      </c>
      <c r="G1079" s="26" t="s">
        <v>4530</v>
      </c>
      <c r="H1079" s="26" t="s">
        <v>348</v>
      </c>
      <c r="I1079" s="26" t="s">
        <v>574</v>
      </c>
      <c r="J1079" s="26" t="s">
        <v>4531</v>
      </c>
      <c r="K1079" s="26" t="s">
        <v>4532</v>
      </c>
      <c r="L1079" s="26"/>
      <c r="M1079" s="26">
        <v>5</v>
      </c>
      <c r="N1079" s="26">
        <v>1</v>
      </c>
      <c r="O1079" s="26">
        <v>10</v>
      </c>
      <c r="P1079" s="26">
        <v>0</v>
      </c>
      <c r="Q1079" s="26">
        <v>5</v>
      </c>
      <c r="R1079" s="1209">
        <v>175.6</v>
      </c>
      <c r="S1079" s="1209">
        <v>1756</v>
      </c>
      <c r="T1079" s="26" t="s">
        <v>3064</v>
      </c>
      <c r="U1079" s="1871" t="s">
        <v>3282</v>
      </c>
      <c r="V1079" s="26" t="s">
        <v>931</v>
      </c>
      <c r="W1079" s="2008" t="s">
        <v>4533</v>
      </c>
      <c r="X1079" s="18"/>
      <c r="Y1079" s="4"/>
      <c r="Z1079" s="4"/>
    </row>
    <row r="1080" spans="1:26" ht="37.5" hidden="1">
      <c r="A1080" s="20">
        <v>1087</v>
      </c>
      <c r="B1080" s="1063">
        <v>40857</v>
      </c>
      <c r="C1080" s="26" t="s">
        <v>4534</v>
      </c>
      <c r="D1080" s="11"/>
      <c r="E1080" s="26" t="s">
        <v>2722</v>
      </c>
      <c r="F1080" s="26" t="s">
        <v>2693</v>
      </c>
      <c r="G1080" s="26" t="s">
        <v>4535</v>
      </c>
      <c r="H1080" s="26" t="s">
        <v>3676</v>
      </c>
      <c r="I1080" s="26" t="s">
        <v>574</v>
      </c>
      <c r="J1080" s="26" t="s">
        <v>4061</v>
      </c>
      <c r="K1080" s="26" t="s">
        <v>4062</v>
      </c>
      <c r="L1080" s="26"/>
      <c r="M1080" s="26">
        <v>4</v>
      </c>
      <c r="N1080" s="26">
        <v>1</v>
      </c>
      <c r="O1080" s="26">
        <v>10</v>
      </c>
      <c r="P1080" s="26">
        <v>0</v>
      </c>
      <c r="Q1080" s="26">
        <v>6</v>
      </c>
      <c r="R1080" s="1209">
        <v>94.9</v>
      </c>
      <c r="S1080" s="1209">
        <v>949</v>
      </c>
      <c r="T1080" s="26" t="s">
        <v>3064</v>
      </c>
      <c r="U1080" s="1871" t="s">
        <v>3282</v>
      </c>
      <c r="V1080" s="26" t="s">
        <v>931</v>
      </c>
      <c r="W1080" s="2008" t="s">
        <v>4536</v>
      </c>
      <c r="X1080" s="18"/>
      <c r="Y1080" s="4"/>
      <c r="Z1080" s="4"/>
    </row>
    <row r="1081" spans="1:26" ht="37.5" hidden="1">
      <c r="A1081" s="20">
        <v>1088</v>
      </c>
      <c r="B1081" s="1063">
        <v>40858</v>
      </c>
      <c r="C1081" s="26" t="s">
        <v>4537</v>
      </c>
      <c r="D1081" s="11"/>
      <c r="E1081" s="26" t="s">
        <v>2722</v>
      </c>
      <c r="F1081" s="26" t="s">
        <v>2693</v>
      </c>
      <c r="G1081" s="26" t="s">
        <v>4507</v>
      </c>
      <c r="H1081" s="26" t="s">
        <v>1085</v>
      </c>
      <c r="I1081" s="26" t="s">
        <v>574</v>
      </c>
      <c r="J1081" s="26" t="s">
        <v>1086</v>
      </c>
      <c r="K1081" s="26" t="s">
        <v>1087</v>
      </c>
      <c r="L1081" s="26"/>
      <c r="M1081" s="26">
        <v>2</v>
      </c>
      <c r="N1081" s="26">
        <v>1</v>
      </c>
      <c r="O1081" s="26">
        <v>0</v>
      </c>
      <c r="P1081" s="26">
        <v>0</v>
      </c>
      <c r="Q1081" s="26">
        <v>1</v>
      </c>
      <c r="R1081" s="1209">
        <v>1055</v>
      </c>
      <c r="S1081" s="1209">
        <v>2110</v>
      </c>
      <c r="T1081" s="26" t="s">
        <v>3064</v>
      </c>
      <c r="U1081" s="1871" t="s">
        <v>3282</v>
      </c>
      <c r="V1081" s="26" t="s">
        <v>931</v>
      </c>
      <c r="W1081" s="2008" t="s">
        <v>1090</v>
      </c>
      <c r="X1081" s="18"/>
      <c r="Y1081" s="4"/>
      <c r="Z1081" s="4"/>
    </row>
    <row r="1082" spans="1:26" ht="14.45" hidden="1">
      <c r="A1082" s="20">
        <v>1089</v>
      </c>
      <c r="B1082" s="1063">
        <v>40859</v>
      </c>
      <c r="C1082" s="902" t="s">
        <v>3644</v>
      </c>
      <c r="D1082" s="11" t="s">
        <v>6</v>
      </c>
      <c r="E1082" s="26" t="s">
        <v>2722</v>
      </c>
      <c r="F1082" s="26" t="s">
        <v>2693</v>
      </c>
      <c r="G1082" s="111" t="s">
        <v>3645</v>
      </c>
      <c r="H1082" s="111" t="s">
        <v>468</v>
      </c>
      <c r="I1082" s="111" t="s">
        <v>468</v>
      </c>
      <c r="J1082" s="111" t="s">
        <v>469</v>
      </c>
      <c r="K1082" s="623" t="s">
        <v>469</v>
      </c>
      <c r="L1082" s="623" t="s">
        <v>2011</v>
      </c>
      <c r="M1082" s="111">
        <v>12</v>
      </c>
      <c r="N1082" s="623">
        <v>10</v>
      </c>
      <c r="O1082" s="623">
        <v>25</v>
      </c>
      <c r="P1082" s="623">
        <v>2</v>
      </c>
      <c r="Q1082" s="623">
        <f t="shared" ref="Q1082:Q1084" si="49">(O1082+P1082)-M1082</f>
        <v>15</v>
      </c>
      <c r="R1082" s="1225">
        <v>43</v>
      </c>
      <c r="S1082" s="1226">
        <f t="shared" ref="S1082:S1097" si="50">R1082*O1082</f>
        <v>1075</v>
      </c>
      <c r="T1082" s="26" t="s">
        <v>3064</v>
      </c>
      <c r="U1082" s="1871" t="s">
        <v>448</v>
      </c>
      <c r="V1082" s="26" t="s">
        <v>931</v>
      </c>
      <c r="W1082" s="2040" t="s">
        <v>471</v>
      </c>
      <c r="X1082" s="18"/>
      <c r="Y1082" s="4"/>
      <c r="Z1082" s="4"/>
    </row>
    <row r="1083" spans="1:26" ht="26.1" hidden="1">
      <c r="A1083" s="20">
        <v>1090</v>
      </c>
      <c r="B1083" s="1063">
        <v>40860</v>
      </c>
      <c r="C1083" s="903" t="s">
        <v>3183</v>
      </c>
      <c r="D1083" s="11" t="s">
        <v>6</v>
      </c>
      <c r="E1083" s="26" t="s">
        <v>2722</v>
      </c>
      <c r="F1083" s="26" t="s">
        <v>2693</v>
      </c>
      <c r="G1083" s="112" t="s">
        <v>3184</v>
      </c>
      <c r="H1083" s="112" t="s">
        <v>3185</v>
      </c>
      <c r="I1083" s="112" t="s">
        <v>2644</v>
      </c>
      <c r="J1083" s="112" t="s">
        <v>3186</v>
      </c>
      <c r="K1083" s="113" t="s">
        <v>3186</v>
      </c>
      <c r="L1083" s="113" t="s">
        <v>1</v>
      </c>
      <c r="M1083" s="112">
        <v>6</v>
      </c>
      <c r="N1083" s="113">
        <v>1</v>
      </c>
      <c r="O1083" s="113">
        <v>8</v>
      </c>
      <c r="P1083" s="113">
        <v>1</v>
      </c>
      <c r="Q1083" s="113">
        <f t="shared" si="49"/>
        <v>3</v>
      </c>
      <c r="R1083" s="1227">
        <v>9360</v>
      </c>
      <c r="S1083" s="1228">
        <f t="shared" si="50"/>
        <v>74880</v>
      </c>
      <c r="T1083" s="26" t="s">
        <v>3064</v>
      </c>
      <c r="U1083" s="1871" t="s">
        <v>448</v>
      </c>
      <c r="V1083" s="26" t="s">
        <v>931</v>
      </c>
      <c r="W1083" s="712" t="s">
        <v>3188</v>
      </c>
      <c r="X1083" s="26"/>
      <c r="Y1083" s="71"/>
      <c r="Z1083" s="71"/>
    </row>
    <row r="1084" spans="1:26" ht="29.1" hidden="1">
      <c r="A1084" s="20">
        <v>1091</v>
      </c>
      <c r="B1084" s="1063">
        <v>40861</v>
      </c>
      <c r="C1084" s="903" t="s">
        <v>4538</v>
      </c>
      <c r="D1084" s="11"/>
      <c r="E1084" s="26" t="s">
        <v>2722</v>
      </c>
      <c r="F1084" s="26" t="s">
        <v>2693</v>
      </c>
      <c r="G1084" s="112" t="s">
        <v>4539</v>
      </c>
      <c r="H1084" s="112" t="s">
        <v>4540</v>
      </c>
      <c r="I1084" s="112" t="s">
        <v>281</v>
      </c>
      <c r="J1084" s="112" t="s">
        <v>4541</v>
      </c>
      <c r="K1084" s="113" t="s">
        <v>4542</v>
      </c>
      <c r="L1084" s="113" t="s">
        <v>1</v>
      </c>
      <c r="M1084" s="112">
        <v>6</v>
      </c>
      <c r="N1084" s="114">
        <v>1</v>
      </c>
      <c r="O1084" s="113">
        <v>10</v>
      </c>
      <c r="P1084" s="113">
        <v>0</v>
      </c>
      <c r="Q1084" s="113">
        <f t="shared" si="49"/>
        <v>4</v>
      </c>
      <c r="R1084" s="1227">
        <v>550.29999999999995</v>
      </c>
      <c r="S1084" s="1228">
        <f t="shared" si="50"/>
        <v>5503</v>
      </c>
      <c r="T1084" s="26" t="s">
        <v>3064</v>
      </c>
      <c r="U1084" s="1871" t="s">
        <v>448</v>
      </c>
      <c r="V1084" s="26" t="s">
        <v>931</v>
      </c>
      <c r="W1084" s="712" t="s">
        <v>4543</v>
      </c>
      <c r="X1084" s="26"/>
      <c r="Y1084" s="71"/>
      <c r="Z1084" s="71"/>
    </row>
    <row r="1085" spans="1:26" ht="29.1" hidden="1">
      <c r="A1085" s="20">
        <v>1092</v>
      </c>
      <c r="B1085" s="1063">
        <v>40862</v>
      </c>
      <c r="C1085" s="903" t="s">
        <v>329</v>
      </c>
      <c r="D1085" s="11"/>
      <c r="E1085" s="26" t="s">
        <v>2722</v>
      </c>
      <c r="F1085" s="26" t="s">
        <v>2693</v>
      </c>
      <c r="G1085" s="115" t="s">
        <v>4544</v>
      </c>
      <c r="H1085" s="112" t="s">
        <v>578</v>
      </c>
      <c r="I1085" s="116" t="s">
        <v>281</v>
      </c>
      <c r="J1085" s="112" t="s">
        <v>1933</v>
      </c>
      <c r="K1085" s="117" t="s">
        <v>1934</v>
      </c>
      <c r="L1085" s="113"/>
      <c r="M1085" s="112"/>
      <c r="N1085" s="113">
        <v>1</v>
      </c>
      <c r="O1085" s="113">
        <v>100</v>
      </c>
      <c r="P1085" s="113">
        <v>2</v>
      </c>
      <c r="Q1085" s="113">
        <v>102</v>
      </c>
      <c r="R1085" s="1227">
        <v>5.47</v>
      </c>
      <c r="S1085" s="1228">
        <f t="shared" si="50"/>
        <v>547</v>
      </c>
      <c r="T1085" s="26" t="s">
        <v>3064</v>
      </c>
      <c r="U1085" s="1871" t="s">
        <v>448</v>
      </c>
      <c r="V1085" s="26" t="s">
        <v>931</v>
      </c>
      <c r="W1085" s="624" t="s">
        <v>4545</v>
      </c>
      <c r="X1085" s="18"/>
      <c r="Y1085" s="4"/>
      <c r="Z1085" s="4"/>
    </row>
    <row r="1086" spans="1:26" ht="29.1" hidden="1">
      <c r="A1086" s="20">
        <v>1093</v>
      </c>
      <c r="B1086" s="1063">
        <v>40863</v>
      </c>
      <c r="C1086" s="903" t="s">
        <v>4546</v>
      </c>
      <c r="D1086" s="11"/>
      <c r="E1086" s="26" t="s">
        <v>2722</v>
      </c>
      <c r="F1086" s="26" t="s">
        <v>2693</v>
      </c>
      <c r="G1086" s="118" t="s">
        <v>4547</v>
      </c>
      <c r="H1086" s="112" t="s">
        <v>220</v>
      </c>
      <c r="I1086" s="112" t="s">
        <v>574</v>
      </c>
      <c r="J1086" s="119" t="s">
        <v>4548</v>
      </c>
      <c r="K1086" s="120" t="s">
        <v>4549</v>
      </c>
      <c r="L1086" s="113" t="s">
        <v>1</v>
      </c>
      <c r="M1086" s="112">
        <v>60</v>
      </c>
      <c r="N1086" s="113">
        <v>1</v>
      </c>
      <c r="O1086" s="113">
        <v>100</v>
      </c>
      <c r="P1086" s="113">
        <v>0</v>
      </c>
      <c r="Q1086" s="113">
        <v>100</v>
      </c>
      <c r="R1086" s="1227">
        <v>3.73</v>
      </c>
      <c r="S1086" s="1228">
        <f t="shared" si="50"/>
        <v>373</v>
      </c>
      <c r="T1086" s="26" t="s">
        <v>3064</v>
      </c>
      <c r="U1086" s="1871" t="s">
        <v>448</v>
      </c>
      <c r="V1086" s="26" t="s">
        <v>931</v>
      </c>
      <c r="W1086" s="625" t="s">
        <v>4550</v>
      </c>
      <c r="X1086" s="18"/>
      <c r="Y1086" s="4"/>
      <c r="Z1086" s="4"/>
    </row>
    <row r="1087" spans="1:26" ht="37.5" hidden="1">
      <c r="A1087" s="20">
        <v>1094</v>
      </c>
      <c r="B1087" s="1063">
        <v>40864</v>
      </c>
      <c r="C1087" s="26" t="s">
        <v>329</v>
      </c>
      <c r="D1087" s="11"/>
      <c r="E1087" s="26" t="s">
        <v>2722</v>
      </c>
      <c r="F1087" s="26" t="s">
        <v>2693</v>
      </c>
      <c r="G1087" s="26" t="s">
        <v>4551</v>
      </c>
      <c r="H1087" s="26" t="s">
        <v>651</v>
      </c>
      <c r="I1087" s="112" t="s">
        <v>574</v>
      </c>
      <c r="J1087" s="108" t="s">
        <v>4552</v>
      </c>
      <c r="K1087" s="26" t="s">
        <v>4553</v>
      </c>
      <c r="L1087" s="26"/>
      <c r="M1087" s="26">
        <v>2</v>
      </c>
      <c r="N1087" s="26">
        <v>1</v>
      </c>
      <c r="O1087" s="26">
        <v>10</v>
      </c>
      <c r="P1087" s="26">
        <v>0</v>
      </c>
      <c r="Q1087" s="26">
        <v>8</v>
      </c>
      <c r="R1087" s="1227">
        <v>35.700000000000003</v>
      </c>
      <c r="S1087" s="1228">
        <f t="shared" si="50"/>
        <v>357</v>
      </c>
      <c r="T1087" s="26" t="s">
        <v>3064</v>
      </c>
      <c r="U1087" s="1871" t="s">
        <v>4554</v>
      </c>
      <c r="V1087" s="26" t="s">
        <v>931</v>
      </c>
      <c r="W1087" s="2008" t="s">
        <v>4555</v>
      </c>
      <c r="X1087" s="18"/>
      <c r="Y1087" s="4"/>
      <c r="Z1087" s="4"/>
    </row>
    <row r="1088" spans="1:26" ht="37.5" hidden="1">
      <c r="A1088" s="20">
        <v>1095</v>
      </c>
      <c r="B1088" s="1063">
        <v>40865</v>
      </c>
      <c r="C1088" s="26" t="s">
        <v>188</v>
      </c>
      <c r="D1088" s="11"/>
      <c r="E1088" s="26" t="s">
        <v>2722</v>
      </c>
      <c r="F1088" s="26" t="s">
        <v>2693</v>
      </c>
      <c r="G1088" s="26" t="s">
        <v>4556</v>
      </c>
      <c r="H1088" s="26" t="s">
        <v>2285</v>
      </c>
      <c r="I1088" s="112" t="s">
        <v>574</v>
      </c>
      <c r="J1088" s="26" t="s">
        <v>4557</v>
      </c>
      <c r="K1088" s="26" t="s">
        <v>4558</v>
      </c>
      <c r="L1088" s="26"/>
      <c r="M1088" s="26">
        <v>2</v>
      </c>
      <c r="N1088" s="26">
        <v>1</v>
      </c>
      <c r="O1088" s="26">
        <v>10</v>
      </c>
      <c r="P1088" s="26">
        <v>0</v>
      </c>
      <c r="Q1088" s="26">
        <v>8</v>
      </c>
      <c r="R1088" s="1227">
        <v>64.7</v>
      </c>
      <c r="S1088" s="1228">
        <f t="shared" si="50"/>
        <v>647</v>
      </c>
      <c r="T1088" s="26" t="s">
        <v>3064</v>
      </c>
      <c r="U1088" s="1871" t="s">
        <v>138</v>
      </c>
      <c r="V1088" s="26" t="s">
        <v>931</v>
      </c>
      <c r="W1088" s="2008" t="s">
        <v>4559</v>
      </c>
      <c r="X1088" s="18"/>
      <c r="Y1088" s="4"/>
      <c r="Z1088" s="4"/>
    </row>
    <row r="1089" spans="1:26" ht="26.1" hidden="1">
      <c r="A1089" s="20">
        <v>1096</v>
      </c>
      <c r="B1089" s="1063">
        <v>40866</v>
      </c>
      <c r="C1089" s="902" t="s">
        <v>4560</v>
      </c>
      <c r="D1089" s="11"/>
      <c r="E1089" s="26" t="s">
        <v>2722</v>
      </c>
      <c r="F1089" s="26" t="s">
        <v>2693</v>
      </c>
      <c r="G1089" s="111" t="s">
        <v>4561</v>
      </c>
      <c r="H1089" s="111" t="s">
        <v>2920</v>
      </c>
      <c r="I1089" s="623" t="s">
        <v>574</v>
      </c>
      <c r="J1089" s="623" t="s">
        <v>4562</v>
      </c>
      <c r="K1089" s="623">
        <v>1950</v>
      </c>
      <c r="L1089" s="111" t="s">
        <v>149</v>
      </c>
      <c r="M1089" s="623">
        <v>5</v>
      </c>
      <c r="N1089" s="623">
        <v>1</v>
      </c>
      <c r="O1089" s="623">
        <v>5</v>
      </c>
      <c r="P1089" s="111">
        <v>0</v>
      </c>
      <c r="Q1089" s="623">
        <f t="shared" ref="Q1089:Q1092" si="51">(O1089+P1089)-M1089</f>
        <v>0</v>
      </c>
      <c r="R1089" s="1227">
        <v>224</v>
      </c>
      <c r="S1089" s="1228">
        <f t="shared" si="50"/>
        <v>1120</v>
      </c>
      <c r="T1089" s="623" t="s">
        <v>929</v>
      </c>
      <c r="U1089" s="1872" t="s">
        <v>4563</v>
      </c>
      <c r="V1089" s="26" t="s">
        <v>931</v>
      </c>
      <c r="W1089" s="2041" t="s">
        <v>4564</v>
      </c>
      <c r="X1089" s="26"/>
      <c r="Y1089" s="71"/>
      <c r="Z1089" s="71"/>
    </row>
    <row r="1090" spans="1:26" ht="26.1" hidden="1">
      <c r="A1090" s="20">
        <v>1097</v>
      </c>
      <c r="B1090" s="1063">
        <v>40867</v>
      </c>
      <c r="C1090" s="903" t="s">
        <v>4565</v>
      </c>
      <c r="D1090" s="11"/>
      <c r="E1090" s="26" t="s">
        <v>2722</v>
      </c>
      <c r="F1090" s="26" t="s">
        <v>2693</v>
      </c>
      <c r="G1090" s="112" t="s">
        <v>4566</v>
      </c>
      <c r="H1090" s="112" t="s">
        <v>2920</v>
      </c>
      <c r="I1090" s="113" t="s">
        <v>574</v>
      </c>
      <c r="J1090" s="113" t="s">
        <v>4567</v>
      </c>
      <c r="K1090" s="113">
        <v>1957</v>
      </c>
      <c r="L1090" s="112" t="s">
        <v>149</v>
      </c>
      <c r="M1090" s="113">
        <v>5</v>
      </c>
      <c r="N1090" s="113">
        <v>1</v>
      </c>
      <c r="O1090" s="113">
        <v>5</v>
      </c>
      <c r="P1090" s="112">
        <v>0</v>
      </c>
      <c r="Q1090" s="113">
        <f t="shared" si="51"/>
        <v>0</v>
      </c>
      <c r="R1090" s="1227">
        <v>224</v>
      </c>
      <c r="S1090" s="1228">
        <f t="shared" si="50"/>
        <v>1120</v>
      </c>
      <c r="T1090" s="113" t="s">
        <v>929</v>
      </c>
      <c r="U1090" s="1873" t="s">
        <v>4563</v>
      </c>
      <c r="V1090" s="26" t="s">
        <v>931</v>
      </c>
      <c r="W1090" s="712" t="s">
        <v>4568</v>
      </c>
      <c r="X1090" s="26"/>
      <c r="Y1090" s="71"/>
      <c r="Z1090" s="71"/>
    </row>
    <row r="1091" spans="1:26" ht="26.1" hidden="1">
      <c r="A1091" s="20">
        <v>1098</v>
      </c>
      <c r="B1091" s="1063">
        <v>40868</v>
      </c>
      <c r="C1091" s="903" t="s">
        <v>4569</v>
      </c>
      <c r="D1091" s="11"/>
      <c r="E1091" s="26" t="s">
        <v>2722</v>
      </c>
      <c r="F1091" s="26" t="s">
        <v>2693</v>
      </c>
      <c r="G1091" s="112" t="s">
        <v>4570</v>
      </c>
      <c r="H1091" s="112" t="s">
        <v>2920</v>
      </c>
      <c r="I1091" s="113" t="s">
        <v>574</v>
      </c>
      <c r="J1091" s="113" t="s">
        <v>4571</v>
      </c>
      <c r="K1091" s="113">
        <v>1954</v>
      </c>
      <c r="L1091" s="112" t="s">
        <v>149</v>
      </c>
      <c r="M1091" s="113">
        <v>5</v>
      </c>
      <c r="N1091" s="113">
        <v>1</v>
      </c>
      <c r="O1091" s="113">
        <v>5</v>
      </c>
      <c r="P1091" s="112">
        <v>0</v>
      </c>
      <c r="Q1091" s="113">
        <f t="shared" si="51"/>
        <v>0</v>
      </c>
      <c r="R1091" s="1227">
        <v>224</v>
      </c>
      <c r="S1091" s="1228">
        <f t="shared" si="50"/>
        <v>1120</v>
      </c>
      <c r="T1091" s="113" t="s">
        <v>929</v>
      </c>
      <c r="U1091" s="1873" t="s">
        <v>4563</v>
      </c>
      <c r="V1091" s="26" t="s">
        <v>931</v>
      </c>
      <c r="W1091" s="712" t="s">
        <v>4572</v>
      </c>
      <c r="X1091" s="18"/>
      <c r="Y1091" s="4"/>
      <c r="Z1091" s="4"/>
    </row>
    <row r="1092" spans="1:26" ht="38.450000000000003" hidden="1">
      <c r="A1092" s="20">
        <v>1099</v>
      </c>
      <c r="B1092" s="1063">
        <v>40869</v>
      </c>
      <c r="C1092" s="903" t="s">
        <v>4573</v>
      </c>
      <c r="D1092" s="11"/>
      <c r="E1092" s="26" t="s">
        <v>2722</v>
      </c>
      <c r="F1092" s="26" t="s">
        <v>2693</v>
      </c>
      <c r="G1092" s="112" t="s">
        <v>4574</v>
      </c>
      <c r="H1092" s="112" t="s">
        <v>3612</v>
      </c>
      <c r="I1092" s="113" t="s">
        <v>574</v>
      </c>
      <c r="J1092" s="113" t="s">
        <v>4575</v>
      </c>
      <c r="K1092" s="113" t="s">
        <v>4576</v>
      </c>
      <c r="L1092" s="112" t="s">
        <v>149</v>
      </c>
      <c r="M1092" s="113">
        <v>3</v>
      </c>
      <c r="N1092" s="113">
        <v>1</v>
      </c>
      <c r="O1092" s="113">
        <v>3</v>
      </c>
      <c r="P1092" s="112">
        <v>0</v>
      </c>
      <c r="Q1092" s="113">
        <f t="shared" si="51"/>
        <v>0</v>
      </c>
      <c r="R1092" s="1227">
        <v>263</v>
      </c>
      <c r="S1092" s="1228">
        <f t="shared" si="50"/>
        <v>789</v>
      </c>
      <c r="T1092" s="113" t="s">
        <v>929</v>
      </c>
      <c r="U1092" s="1873" t="s">
        <v>4563</v>
      </c>
      <c r="V1092" s="26" t="s">
        <v>931</v>
      </c>
      <c r="W1092" s="712" t="s">
        <v>4577</v>
      </c>
      <c r="X1092" s="18"/>
      <c r="Y1092" s="4"/>
      <c r="Z1092" s="4"/>
    </row>
    <row r="1093" spans="1:26" ht="14.45" hidden="1">
      <c r="A1093" s="20">
        <v>1100</v>
      </c>
      <c r="B1093" s="1063">
        <v>40870</v>
      </c>
      <c r="C1093" s="26" t="s">
        <v>4578</v>
      </c>
      <c r="D1093" s="11" t="s">
        <v>6</v>
      </c>
      <c r="E1093" s="26" t="s">
        <v>2722</v>
      </c>
      <c r="F1093" s="26" t="s">
        <v>2693</v>
      </c>
      <c r="G1093" s="26" t="s">
        <v>4579</v>
      </c>
      <c r="H1093" s="26" t="s">
        <v>133</v>
      </c>
      <c r="I1093" s="26" t="s">
        <v>133</v>
      </c>
      <c r="J1093" s="26" t="s">
        <v>4580</v>
      </c>
      <c r="K1093" s="121" t="s">
        <v>4580</v>
      </c>
      <c r="L1093" s="26"/>
      <c r="M1093" s="26">
        <v>1</v>
      </c>
      <c r="N1093" s="26">
        <v>1</v>
      </c>
      <c r="O1093" s="26">
        <v>2</v>
      </c>
      <c r="P1093" s="26">
        <v>0</v>
      </c>
      <c r="Q1093" s="26">
        <v>2</v>
      </c>
      <c r="R1093" s="1227">
        <v>5500</v>
      </c>
      <c r="S1093" s="1228">
        <f t="shared" si="50"/>
        <v>11000</v>
      </c>
      <c r="T1093" s="113" t="s">
        <v>929</v>
      </c>
      <c r="U1093" s="1871" t="s">
        <v>3282</v>
      </c>
      <c r="V1093" s="26" t="s">
        <v>931</v>
      </c>
      <c r="W1093" s="2008" t="s">
        <v>4581</v>
      </c>
      <c r="X1093" s="18"/>
      <c r="Y1093" s="4"/>
      <c r="Z1093" s="4"/>
    </row>
    <row r="1094" spans="1:26" ht="56.1" hidden="1">
      <c r="A1094" s="20">
        <v>1101</v>
      </c>
      <c r="B1094" s="1063">
        <v>40871</v>
      </c>
      <c r="C1094" s="26" t="s">
        <v>2594</v>
      </c>
      <c r="D1094" s="11"/>
      <c r="E1094" s="26" t="s">
        <v>2722</v>
      </c>
      <c r="F1094" s="26" t="s">
        <v>2332</v>
      </c>
      <c r="G1094" s="26" t="s">
        <v>367</v>
      </c>
      <c r="H1094" s="26" t="s">
        <v>429</v>
      </c>
      <c r="I1094" s="26" t="s">
        <v>429</v>
      </c>
      <c r="J1094" s="26" t="s">
        <v>367</v>
      </c>
      <c r="K1094" s="26"/>
      <c r="L1094" s="26"/>
      <c r="M1094" s="26">
        <v>34</v>
      </c>
      <c r="N1094" s="26">
        <v>34</v>
      </c>
      <c r="O1094" s="26">
        <v>34</v>
      </c>
      <c r="P1094" s="26">
        <v>6</v>
      </c>
      <c r="Q1094" s="26">
        <f t="shared" ref="Q1094:Q1097" si="52">O1094+P1094-M1094</f>
        <v>6</v>
      </c>
      <c r="R1094" s="1227">
        <v>180</v>
      </c>
      <c r="S1094" s="1228">
        <f t="shared" si="50"/>
        <v>6120</v>
      </c>
      <c r="T1094" s="22" t="s">
        <v>929</v>
      </c>
      <c r="U1094" s="1863" t="s">
        <v>301</v>
      </c>
      <c r="V1094" s="32" t="s">
        <v>931</v>
      </c>
      <c r="W1094" s="2006" t="s">
        <v>368</v>
      </c>
      <c r="X1094" s="18" t="s">
        <v>4582</v>
      </c>
      <c r="Y1094" s="4"/>
      <c r="Z1094" s="4"/>
    </row>
    <row r="1095" spans="1:26" ht="56.1" hidden="1">
      <c r="A1095" s="20">
        <v>1102</v>
      </c>
      <c r="B1095" s="1063">
        <v>40872</v>
      </c>
      <c r="C1095" s="26" t="s">
        <v>2594</v>
      </c>
      <c r="D1095" s="11"/>
      <c r="E1095" s="26" t="s">
        <v>2722</v>
      </c>
      <c r="F1095" s="26" t="s">
        <v>2332</v>
      </c>
      <c r="G1095" s="26" t="s">
        <v>370</v>
      </c>
      <c r="H1095" s="26" t="s">
        <v>429</v>
      </c>
      <c r="I1095" s="26" t="s">
        <v>429</v>
      </c>
      <c r="J1095" s="26" t="s">
        <v>370</v>
      </c>
      <c r="K1095" s="26"/>
      <c r="L1095" s="26"/>
      <c r="M1095" s="26">
        <v>105</v>
      </c>
      <c r="N1095" s="26">
        <v>105</v>
      </c>
      <c r="O1095" s="26">
        <v>105</v>
      </c>
      <c r="P1095" s="26">
        <v>7</v>
      </c>
      <c r="Q1095" s="26">
        <f t="shared" si="52"/>
        <v>7</v>
      </c>
      <c r="R1095" s="1227">
        <v>130</v>
      </c>
      <c r="S1095" s="1228">
        <f t="shared" si="50"/>
        <v>13650</v>
      </c>
      <c r="T1095" s="22" t="s">
        <v>929</v>
      </c>
      <c r="U1095" s="1863" t="s">
        <v>301</v>
      </c>
      <c r="V1095" s="32" t="s">
        <v>931</v>
      </c>
      <c r="W1095" s="2006" t="s">
        <v>368</v>
      </c>
      <c r="X1095" s="18" t="s">
        <v>4582</v>
      </c>
      <c r="Y1095" s="4"/>
      <c r="Z1095" s="4"/>
    </row>
    <row r="1096" spans="1:26" ht="37.5" hidden="1">
      <c r="A1096" s="20">
        <v>1103</v>
      </c>
      <c r="B1096" s="1063">
        <v>40873</v>
      </c>
      <c r="C1096" s="26" t="s">
        <v>2594</v>
      </c>
      <c r="D1096" s="11"/>
      <c r="E1096" s="26" t="s">
        <v>2722</v>
      </c>
      <c r="F1096" s="26" t="s">
        <v>2332</v>
      </c>
      <c r="G1096" s="26" t="s">
        <v>2604</v>
      </c>
      <c r="H1096" s="26" t="s">
        <v>429</v>
      </c>
      <c r="I1096" s="26" t="s">
        <v>429</v>
      </c>
      <c r="J1096" s="26" t="s">
        <v>2604</v>
      </c>
      <c r="K1096" s="26"/>
      <c r="L1096" s="26"/>
      <c r="M1096" s="26">
        <v>7</v>
      </c>
      <c r="N1096" s="26">
        <v>10</v>
      </c>
      <c r="O1096" s="26">
        <v>10</v>
      </c>
      <c r="P1096" s="26">
        <v>3</v>
      </c>
      <c r="Q1096" s="26">
        <f t="shared" si="52"/>
        <v>6</v>
      </c>
      <c r="R1096" s="1227">
        <v>144.1</v>
      </c>
      <c r="S1096" s="1228">
        <f t="shared" si="50"/>
        <v>1441</v>
      </c>
      <c r="T1096" s="22" t="s">
        <v>929</v>
      </c>
      <c r="U1096" s="1863" t="s">
        <v>301</v>
      </c>
      <c r="V1096" s="32" t="s">
        <v>931</v>
      </c>
      <c r="W1096" s="2008" t="s">
        <v>4583</v>
      </c>
      <c r="X1096" s="18" t="s">
        <v>4584</v>
      </c>
      <c r="Y1096" s="4"/>
      <c r="Z1096" s="4"/>
    </row>
    <row r="1097" spans="1:26" ht="29.25" hidden="1" customHeight="1">
      <c r="A1097" s="20">
        <v>1104</v>
      </c>
      <c r="B1097" s="1063">
        <v>40874</v>
      </c>
      <c r="C1097" s="26" t="s">
        <v>4585</v>
      </c>
      <c r="D1097" s="11"/>
      <c r="E1097" s="26" t="s">
        <v>2722</v>
      </c>
      <c r="F1097" s="26" t="s">
        <v>2332</v>
      </c>
      <c r="G1097" s="26" t="s">
        <v>4586</v>
      </c>
      <c r="H1097" s="26" t="s">
        <v>569</v>
      </c>
      <c r="I1097" s="26" t="s">
        <v>569</v>
      </c>
      <c r="J1097" s="26" t="s">
        <v>149</v>
      </c>
      <c r="K1097" s="26" t="s">
        <v>149</v>
      </c>
      <c r="L1097" s="26" t="s">
        <v>149</v>
      </c>
      <c r="M1097" s="26">
        <v>1</v>
      </c>
      <c r="N1097" s="26">
        <v>1</v>
      </c>
      <c r="O1097" s="26">
        <v>1</v>
      </c>
      <c r="P1097" s="26">
        <v>0</v>
      </c>
      <c r="Q1097" s="26">
        <f t="shared" si="52"/>
        <v>0</v>
      </c>
      <c r="R1097" s="1227">
        <v>371900</v>
      </c>
      <c r="S1097" s="1228">
        <f t="shared" si="50"/>
        <v>371900</v>
      </c>
      <c r="T1097" s="22" t="s">
        <v>929</v>
      </c>
      <c r="U1097" s="1863" t="s">
        <v>301</v>
      </c>
      <c r="V1097" s="32" t="s">
        <v>931</v>
      </c>
      <c r="W1097" s="2015" t="s">
        <v>149</v>
      </c>
      <c r="X1097" s="18"/>
      <c r="Y1097" s="4"/>
      <c r="Z1097" s="4"/>
    </row>
    <row r="1098" spans="1:26" ht="14.1" hidden="1">
      <c r="A1098" s="20">
        <v>1105</v>
      </c>
      <c r="B1098" s="1063">
        <v>40875</v>
      </c>
      <c r="C1098" s="904" t="s">
        <v>4587</v>
      </c>
      <c r="D1098" s="11" t="s">
        <v>6</v>
      </c>
      <c r="E1098" s="26" t="s">
        <v>62</v>
      </c>
      <c r="F1098" s="26" t="s">
        <v>1787</v>
      </c>
      <c r="G1098" s="26"/>
      <c r="H1098" s="26" t="s">
        <v>84</v>
      </c>
      <c r="I1098" s="26" t="s">
        <v>84</v>
      </c>
      <c r="J1098" s="122">
        <v>9182047</v>
      </c>
      <c r="K1098" s="110"/>
      <c r="L1098" s="26"/>
      <c r="M1098" s="26">
        <v>17</v>
      </c>
      <c r="N1098" s="26">
        <v>1</v>
      </c>
      <c r="O1098" s="26">
        <v>10</v>
      </c>
      <c r="P1098" s="26">
        <v>7</v>
      </c>
      <c r="Q1098" s="26">
        <v>17</v>
      </c>
      <c r="R1098" s="1209">
        <v>629</v>
      </c>
      <c r="S1098" s="1209">
        <f t="shared" ref="S1098:S1103" si="53">O1098*R1098</f>
        <v>6290</v>
      </c>
      <c r="T1098" s="26"/>
      <c r="U1098" s="1871"/>
      <c r="V1098" s="26" t="s">
        <v>2875</v>
      </c>
      <c r="W1098" s="700" t="s">
        <v>4588</v>
      </c>
      <c r="X1098" s="18"/>
      <c r="Y1098" s="4"/>
      <c r="Z1098" s="4"/>
    </row>
    <row r="1099" spans="1:26" ht="27.95" hidden="1">
      <c r="A1099" s="20">
        <v>1106</v>
      </c>
      <c r="B1099" s="1063">
        <v>40876</v>
      </c>
      <c r="C1099" s="904" t="s">
        <v>4589</v>
      </c>
      <c r="D1099" s="11" t="s">
        <v>6</v>
      </c>
      <c r="E1099" s="26" t="s">
        <v>62</v>
      </c>
      <c r="F1099" s="26" t="s">
        <v>1787</v>
      </c>
      <c r="G1099" s="26" t="s">
        <v>4590</v>
      </c>
      <c r="H1099" s="26" t="s">
        <v>4591</v>
      </c>
      <c r="I1099" s="26" t="s">
        <v>84</v>
      </c>
      <c r="J1099" s="122">
        <v>40253071</v>
      </c>
      <c r="K1099" s="123" t="s">
        <v>4592</v>
      </c>
      <c r="L1099" s="26"/>
      <c r="M1099" s="26">
        <v>1</v>
      </c>
      <c r="N1099" s="26">
        <v>1</v>
      </c>
      <c r="O1099" s="26">
        <v>1</v>
      </c>
      <c r="P1099" s="26">
        <v>0</v>
      </c>
      <c r="Q1099" s="26">
        <v>1</v>
      </c>
      <c r="R1099" s="1209">
        <v>2990</v>
      </c>
      <c r="S1099" s="1209">
        <f t="shared" si="53"/>
        <v>2990</v>
      </c>
      <c r="T1099" s="26"/>
      <c r="U1099" s="1871"/>
      <c r="V1099" s="26" t="s">
        <v>2875</v>
      </c>
      <c r="W1099" s="700" t="s">
        <v>4593</v>
      </c>
      <c r="X1099" s="18"/>
      <c r="Y1099" s="4"/>
      <c r="Z1099" s="4"/>
    </row>
    <row r="1100" spans="1:26" ht="27.95" hidden="1">
      <c r="A1100" s="20">
        <v>1107</v>
      </c>
      <c r="B1100" s="1063">
        <v>40877</v>
      </c>
      <c r="C1100" s="904" t="s">
        <v>4594</v>
      </c>
      <c r="D1100" s="11" t="s">
        <v>6</v>
      </c>
      <c r="E1100" s="26" t="s">
        <v>62</v>
      </c>
      <c r="F1100" s="26" t="s">
        <v>1787</v>
      </c>
      <c r="G1100" s="124" t="s">
        <v>4595</v>
      </c>
      <c r="H1100" s="26" t="s">
        <v>4596</v>
      </c>
      <c r="I1100" s="26" t="s">
        <v>84</v>
      </c>
      <c r="J1100" s="122">
        <v>70567988</v>
      </c>
      <c r="K1100" s="124" t="s">
        <v>4597</v>
      </c>
      <c r="L1100" s="26"/>
      <c r="M1100" s="26">
        <v>3</v>
      </c>
      <c r="N1100" s="26">
        <v>1</v>
      </c>
      <c r="O1100" s="26">
        <v>2</v>
      </c>
      <c r="P1100" s="26">
        <v>1</v>
      </c>
      <c r="Q1100" s="26">
        <v>3</v>
      </c>
      <c r="R1100" s="1209">
        <v>2890</v>
      </c>
      <c r="S1100" s="1209">
        <f t="shared" si="53"/>
        <v>5780</v>
      </c>
      <c r="T1100" s="26"/>
      <c r="U1100" s="1871"/>
      <c r="V1100" s="26" t="s">
        <v>2875</v>
      </c>
      <c r="W1100" s="700" t="s">
        <v>4598</v>
      </c>
      <c r="X1100" s="18"/>
      <c r="Y1100" s="4"/>
      <c r="Z1100" s="4"/>
    </row>
    <row r="1101" spans="1:26" ht="24.95" hidden="1">
      <c r="A1101" s="20">
        <v>1108</v>
      </c>
      <c r="B1101" s="1063">
        <v>40878</v>
      </c>
      <c r="C1101" s="904" t="s">
        <v>4599</v>
      </c>
      <c r="D1101" s="11" t="s">
        <v>6</v>
      </c>
      <c r="E1101" s="26" t="s">
        <v>62</v>
      </c>
      <c r="F1101" s="26" t="s">
        <v>1787</v>
      </c>
      <c r="G1101" s="26" t="s">
        <v>4600</v>
      </c>
      <c r="H1101" s="26" t="s">
        <v>4601</v>
      </c>
      <c r="I1101" s="26" t="s">
        <v>84</v>
      </c>
      <c r="J1101" s="122">
        <v>11749675</v>
      </c>
      <c r="K1101" s="26"/>
      <c r="L1101" s="26"/>
      <c r="M1101" s="26">
        <v>3</v>
      </c>
      <c r="N1101" s="26">
        <v>1</v>
      </c>
      <c r="O1101" s="26">
        <v>2</v>
      </c>
      <c r="P1101" s="26">
        <v>1</v>
      </c>
      <c r="Q1101" s="26">
        <v>3</v>
      </c>
      <c r="R1101" s="1209">
        <v>1990</v>
      </c>
      <c r="S1101" s="1209">
        <f t="shared" si="53"/>
        <v>3980</v>
      </c>
      <c r="T1101" s="26"/>
      <c r="U1101" s="1871"/>
      <c r="V1101" s="26" t="s">
        <v>2875</v>
      </c>
      <c r="W1101" s="700" t="s">
        <v>4602</v>
      </c>
      <c r="X1101" s="26"/>
      <c r="Y1101" s="71"/>
      <c r="Z1101" s="71"/>
    </row>
    <row r="1102" spans="1:26" ht="27.95" hidden="1">
      <c r="A1102" s="20">
        <v>1109</v>
      </c>
      <c r="B1102" s="1063">
        <v>40879</v>
      </c>
      <c r="C1102" s="904" t="s">
        <v>4603</v>
      </c>
      <c r="D1102" s="11" t="s">
        <v>6</v>
      </c>
      <c r="E1102" s="26" t="s">
        <v>62</v>
      </c>
      <c r="F1102" s="26" t="s">
        <v>1787</v>
      </c>
      <c r="G1102" s="26"/>
      <c r="H1102" s="26" t="s">
        <v>4604</v>
      </c>
      <c r="I1102" s="26" t="s">
        <v>84</v>
      </c>
      <c r="J1102" s="122">
        <v>16716708</v>
      </c>
      <c r="K1102" s="123" t="s">
        <v>4605</v>
      </c>
      <c r="L1102" s="26"/>
      <c r="M1102" s="26">
        <v>5</v>
      </c>
      <c r="N1102" s="26">
        <v>1</v>
      </c>
      <c r="O1102" s="26">
        <v>3</v>
      </c>
      <c r="P1102" s="26">
        <v>2</v>
      </c>
      <c r="Q1102" s="26">
        <v>5</v>
      </c>
      <c r="R1102" s="1209">
        <v>3000</v>
      </c>
      <c r="S1102" s="1209">
        <f t="shared" si="53"/>
        <v>9000</v>
      </c>
      <c r="T1102" s="26"/>
      <c r="U1102" s="1871"/>
      <c r="V1102" s="26" t="s">
        <v>4606</v>
      </c>
      <c r="W1102" s="700" t="s">
        <v>4607</v>
      </c>
      <c r="X1102" s="26"/>
      <c r="Y1102" s="71"/>
      <c r="Z1102" s="71"/>
    </row>
    <row r="1103" spans="1:26" ht="24.95" hidden="1">
      <c r="A1103" s="20">
        <v>1110</v>
      </c>
      <c r="B1103" s="1063">
        <v>40880</v>
      </c>
      <c r="C1103" s="904" t="s">
        <v>4608</v>
      </c>
      <c r="D1103" s="11" t="s">
        <v>6</v>
      </c>
      <c r="E1103" s="26" t="s">
        <v>62</v>
      </c>
      <c r="F1103" s="26" t="s">
        <v>1787</v>
      </c>
      <c r="G1103" s="26"/>
      <c r="H1103" s="26" t="s">
        <v>4604</v>
      </c>
      <c r="I1103" s="26" t="s">
        <v>84</v>
      </c>
      <c r="J1103" s="122">
        <v>16716717</v>
      </c>
      <c r="K1103" s="124" t="s">
        <v>4609</v>
      </c>
      <c r="L1103" s="26"/>
      <c r="M1103" s="26">
        <v>3</v>
      </c>
      <c r="N1103" s="26">
        <v>1</v>
      </c>
      <c r="O1103" s="26">
        <v>3</v>
      </c>
      <c r="P1103" s="26">
        <v>0</v>
      </c>
      <c r="Q1103" s="26">
        <v>3</v>
      </c>
      <c r="R1103" s="1209">
        <v>1290</v>
      </c>
      <c r="S1103" s="1209">
        <f t="shared" si="53"/>
        <v>3870</v>
      </c>
      <c r="T1103" s="26"/>
      <c r="U1103" s="1871"/>
      <c r="V1103" s="26" t="s">
        <v>2875</v>
      </c>
      <c r="W1103" s="2008" t="s">
        <v>4610</v>
      </c>
      <c r="X1103" s="18"/>
      <c r="Y1103" s="4"/>
      <c r="Z1103" s="4"/>
    </row>
    <row r="1104" spans="1:26" ht="14.1" hidden="1">
      <c r="A1104" s="20">
        <v>1111</v>
      </c>
      <c r="B1104" s="1063">
        <v>40881</v>
      </c>
      <c r="C1104" s="26" t="s">
        <v>4611</v>
      </c>
      <c r="D1104" s="11"/>
      <c r="E1104" s="26" t="s">
        <v>4612</v>
      </c>
      <c r="F1104" s="26" t="s">
        <v>784</v>
      </c>
      <c r="G1104" s="26" t="s">
        <v>4613</v>
      </c>
      <c r="H1104" s="26" t="s">
        <v>4614</v>
      </c>
      <c r="I1104" s="26" t="s">
        <v>4614</v>
      </c>
      <c r="J1104" s="26" t="s">
        <v>149</v>
      </c>
      <c r="K1104" s="26" t="s">
        <v>149</v>
      </c>
      <c r="L1104" s="26" t="s">
        <v>1088</v>
      </c>
      <c r="M1104" s="26">
        <v>1</v>
      </c>
      <c r="N1104" s="26">
        <v>1</v>
      </c>
      <c r="O1104" s="26">
        <v>1</v>
      </c>
      <c r="P1104" s="26">
        <v>0</v>
      </c>
      <c r="Q1104" s="26">
        <v>0</v>
      </c>
      <c r="R1104" s="1209">
        <v>9740</v>
      </c>
      <c r="S1104" s="1209">
        <v>9740</v>
      </c>
      <c r="T1104" s="26" t="s">
        <v>929</v>
      </c>
      <c r="U1104" s="1871" t="s">
        <v>4615</v>
      </c>
      <c r="V1104" s="26" t="s">
        <v>931</v>
      </c>
      <c r="W1104" s="2015"/>
      <c r="X1104" s="18"/>
      <c r="Y1104" s="4"/>
      <c r="Z1104" s="4"/>
    </row>
    <row r="1105" spans="1:26" ht="14.1" hidden="1">
      <c r="A1105" s="20">
        <v>1112</v>
      </c>
      <c r="B1105" s="1063">
        <v>40882</v>
      </c>
      <c r="C1105" s="26" t="s">
        <v>3461</v>
      </c>
      <c r="D1105" s="11"/>
      <c r="E1105" s="26" t="s">
        <v>4612</v>
      </c>
      <c r="F1105" s="26" t="s">
        <v>1989</v>
      </c>
      <c r="G1105" s="18" t="s">
        <v>3462</v>
      </c>
      <c r="H1105" s="18" t="s">
        <v>3463</v>
      </c>
      <c r="I1105" s="18" t="s">
        <v>113</v>
      </c>
      <c r="J1105" s="18">
        <v>69326136</v>
      </c>
      <c r="K1105" s="18" t="s">
        <v>3464</v>
      </c>
      <c r="L1105" s="18"/>
      <c r="M1105" s="18">
        <v>2</v>
      </c>
      <c r="N1105" s="18">
        <v>1</v>
      </c>
      <c r="O1105" s="18">
        <v>1</v>
      </c>
      <c r="P1105" s="18">
        <v>0</v>
      </c>
      <c r="Q1105" s="18">
        <v>0</v>
      </c>
      <c r="R1105" s="1215">
        <v>1790</v>
      </c>
      <c r="S1105" s="1215">
        <v>3580</v>
      </c>
      <c r="T1105" s="18" t="s">
        <v>929</v>
      </c>
      <c r="U1105" s="1859" t="s">
        <v>4616</v>
      </c>
      <c r="V1105" s="18" t="s">
        <v>104</v>
      </c>
      <c r="W1105" s="2008" t="s">
        <v>3465</v>
      </c>
      <c r="X1105" s="18"/>
      <c r="Y1105" s="4"/>
      <c r="Z1105" s="4"/>
    </row>
    <row r="1106" spans="1:26" ht="50.1" hidden="1">
      <c r="A1106" s="20">
        <v>1113</v>
      </c>
      <c r="B1106" s="1063">
        <v>40883</v>
      </c>
      <c r="C1106" s="71" t="s">
        <v>4617</v>
      </c>
      <c r="D1106" s="11"/>
      <c r="E1106" s="26" t="s">
        <v>4612</v>
      </c>
      <c r="F1106" s="26" t="s">
        <v>1290</v>
      </c>
      <c r="G1106" s="26" t="s">
        <v>4618</v>
      </c>
      <c r="H1106" s="26" t="s">
        <v>4148</v>
      </c>
      <c r="I1106" s="26" t="s">
        <v>4148</v>
      </c>
      <c r="J1106" s="125" t="s">
        <v>4619</v>
      </c>
      <c r="K1106" s="26"/>
      <c r="L1106" s="26"/>
      <c r="M1106" s="26">
        <v>2</v>
      </c>
      <c r="N1106" s="26">
        <v>5</v>
      </c>
      <c r="O1106" s="26">
        <v>5</v>
      </c>
      <c r="P1106" s="26">
        <v>0</v>
      </c>
      <c r="Q1106" s="26">
        <v>3</v>
      </c>
      <c r="R1106" s="1209">
        <f>S1106/5</f>
        <v>787</v>
      </c>
      <c r="S1106" s="1209">
        <v>3935</v>
      </c>
      <c r="T1106" s="26" t="s">
        <v>1957</v>
      </c>
      <c r="U1106" s="1871" t="s">
        <v>4620</v>
      </c>
      <c r="V1106" s="26" t="s">
        <v>931</v>
      </c>
      <c r="W1106" s="2008" t="e">
        <f>HYPERLINK("https://www.amazon.co.jp/%E3%83%9C%E3%83%83%E3%82%AF%E3%82%B9%E3%83%90%E3%83%B3%E3%82%AF-%E3%83%80%E3%83%B3%E3%83%9C%E3%83%BC%E3%83%AB%EF%BC%88%E6%AE%B5%E3%83%9C%E3%83%BC%E3%83%AB%EF%BC%89%E3%83%80%E3%83%B3%E3%83%9C%E3%83%BC%E3%83%AB%E7%AE%B1-160%E3%82%B5"&amp;"%E3%82%A4%E3%82%BA-%E4%B8%AD%E6%95%B7%E3%81%8D%E6%9D%BF%E4%BB%98%EF%BC%882%E3%81%A4%E6%8A%98%E3%82%8A%E9%85%8D%E9%80%81%EF%BC%89-FD02-0001/dp/B002OXWFSG/ref=sr_1_1?__mk_ja_JP=%E3%82%AB%E3%82%BF%E3%82%AB%E3%83%8A&amp;keywords=B002OXWFSG&amp;qid=1563515050&amp;s=gatewa"&amp;"y&amp;sr=8-1","https://www.amazon.com/dp/B00IZLJUK2/ref=psdc_12900651_t1_B007PBKMKK")</f>
        <v>#VALUE!</v>
      </c>
      <c r="X1106" s="18"/>
      <c r="Y1106" s="4"/>
      <c r="Z1106" s="4"/>
    </row>
    <row r="1107" spans="1:26" ht="14.1" hidden="1">
      <c r="A1107" s="20">
        <v>1114</v>
      </c>
      <c r="B1107" s="1063">
        <v>40884</v>
      </c>
      <c r="C1107" s="22" t="s">
        <v>815</v>
      </c>
      <c r="D1107" s="11"/>
      <c r="E1107" s="26" t="s">
        <v>4612</v>
      </c>
      <c r="F1107" s="22" t="s">
        <v>1989</v>
      </c>
      <c r="G1107" s="22" t="s">
        <v>816</v>
      </c>
      <c r="H1107" s="22" t="s">
        <v>817</v>
      </c>
      <c r="I1107" s="22" t="s">
        <v>805</v>
      </c>
      <c r="J1107" s="22" t="s">
        <v>818</v>
      </c>
      <c r="K1107" s="22" t="s">
        <v>819</v>
      </c>
      <c r="L1107" s="22" t="s">
        <v>1</v>
      </c>
      <c r="M1107" s="22">
        <v>25</v>
      </c>
      <c r="N1107" s="22">
        <v>1</v>
      </c>
      <c r="O1107" s="22">
        <v>30</v>
      </c>
      <c r="P1107" s="22">
        <v>0</v>
      </c>
      <c r="Q1107" s="22">
        <f>O1107-M1107+P1107</f>
        <v>5</v>
      </c>
      <c r="R1107" s="1201">
        <v>507.2</v>
      </c>
      <c r="S1107" s="1201">
        <f t="shared" ref="S1107:S1109" si="54">R1107*O1107</f>
        <v>15216</v>
      </c>
      <c r="T1107" s="22" t="s">
        <v>929</v>
      </c>
      <c r="U1107" s="1854" t="s">
        <v>4621</v>
      </c>
      <c r="V1107" s="22" t="s">
        <v>352</v>
      </c>
      <c r="W1107" s="2008" t="s">
        <v>821</v>
      </c>
      <c r="X1107" s="18"/>
      <c r="Y1107" s="4"/>
      <c r="Z1107" s="4"/>
    </row>
    <row r="1108" spans="1:26" ht="26.1" hidden="1">
      <c r="A1108" s="20">
        <v>1115</v>
      </c>
      <c r="B1108" s="1063">
        <v>40885</v>
      </c>
      <c r="C1108" s="81" t="s">
        <v>2058</v>
      </c>
      <c r="D1108" s="11"/>
      <c r="E1108" s="26" t="s">
        <v>4612</v>
      </c>
      <c r="F1108" s="58" t="s">
        <v>1989</v>
      </c>
      <c r="G1108" s="81" t="s">
        <v>3639</v>
      </c>
      <c r="H1108" s="81" t="s">
        <v>1143</v>
      </c>
      <c r="I1108" s="81" t="s">
        <v>574</v>
      </c>
      <c r="J1108" s="81" t="s">
        <v>3640</v>
      </c>
      <c r="K1108" s="81">
        <v>554600272</v>
      </c>
      <c r="L1108" s="81" t="s">
        <v>2011</v>
      </c>
      <c r="M1108" s="81">
        <v>6</v>
      </c>
      <c r="N1108" s="81">
        <v>1</v>
      </c>
      <c r="O1108" s="81">
        <v>12</v>
      </c>
      <c r="P1108" s="81">
        <v>0</v>
      </c>
      <c r="Q1108" s="58">
        <f>(O1108+P1108)-M1108</f>
        <v>6</v>
      </c>
      <c r="R1108" s="1219">
        <v>161</v>
      </c>
      <c r="S1108" s="1219">
        <f t="shared" si="54"/>
        <v>1932</v>
      </c>
      <c r="T1108" s="81" t="s">
        <v>929</v>
      </c>
      <c r="U1108" s="1866" t="s">
        <v>3637</v>
      </c>
      <c r="V1108" s="22" t="s">
        <v>352</v>
      </c>
      <c r="W1108" s="2029" t="s">
        <v>3641</v>
      </c>
      <c r="X1108" s="18"/>
      <c r="Y1108" s="4"/>
      <c r="Z1108" s="4"/>
    </row>
    <row r="1109" spans="1:26" ht="50.1" hidden="1">
      <c r="A1109" s="20">
        <v>1116</v>
      </c>
      <c r="B1109" s="1063">
        <v>40886</v>
      </c>
      <c r="C1109" s="26" t="s">
        <v>4622</v>
      </c>
      <c r="D1109" s="11"/>
      <c r="E1109" s="26" t="s">
        <v>4612</v>
      </c>
      <c r="F1109" s="26" t="s">
        <v>1989</v>
      </c>
      <c r="G1109" s="108" t="s">
        <v>4623</v>
      </c>
      <c r="H1109" s="26" t="s">
        <v>578</v>
      </c>
      <c r="I1109" s="126" t="s">
        <v>574</v>
      </c>
      <c r="J1109" s="26" t="s">
        <v>4624</v>
      </c>
      <c r="K1109" s="108" t="s">
        <v>4625</v>
      </c>
      <c r="L1109" s="26" t="s">
        <v>1088</v>
      </c>
      <c r="M1109" s="26">
        <v>4</v>
      </c>
      <c r="N1109" s="26">
        <v>1</v>
      </c>
      <c r="O1109" s="26">
        <v>10</v>
      </c>
      <c r="P1109" s="26">
        <v>0</v>
      </c>
      <c r="Q1109" s="26">
        <v>6</v>
      </c>
      <c r="R1109" s="1209">
        <v>40</v>
      </c>
      <c r="S1109" s="1209">
        <f t="shared" si="54"/>
        <v>400</v>
      </c>
      <c r="T1109" s="81" t="s">
        <v>929</v>
      </c>
      <c r="U1109" s="1866" t="s">
        <v>3637</v>
      </c>
      <c r="V1109" s="22" t="s">
        <v>352</v>
      </c>
      <c r="W1109" s="2008" t="s">
        <v>4626</v>
      </c>
      <c r="X1109" s="18"/>
      <c r="Y1109" s="4"/>
      <c r="Z1109" s="4"/>
    </row>
    <row r="1110" spans="1:26" ht="37.5" hidden="1">
      <c r="A1110" s="20">
        <v>1117</v>
      </c>
      <c r="B1110" s="1063">
        <v>40887</v>
      </c>
      <c r="C1110" s="26" t="s">
        <v>4627</v>
      </c>
      <c r="D1110" s="11"/>
      <c r="E1110" s="26" t="s">
        <v>4612</v>
      </c>
      <c r="F1110" s="26" t="s">
        <v>2839</v>
      </c>
      <c r="G1110" s="26" t="s">
        <v>4628</v>
      </c>
      <c r="H1110" s="26" t="s">
        <v>752</v>
      </c>
      <c r="I1110" s="81" t="s">
        <v>574</v>
      </c>
      <c r="J1110" s="26" t="s">
        <v>4629</v>
      </c>
      <c r="K1110" s="26" t="s">
        <v>4630</v>
      </c>
      <c r="L1110" s="108" t="s">
        <v>4631</v>
      </c>
      <c r="M1110" s="26">
        <v>2</v>
      </c>
      <c r="N1110" s="26">
        <v>1</v>
      </c>
      <c r="O1110" s="26">
        <v>3</v>
      </c>
      <c r="P1110" s="26">
        <v>0</v>
      </c>
      <c r="Q1110" s="26">
        <v>1</v>
      </c>
      <c r="R1110" s="1209">
        <v>1727</v>
      </c>
      <c r="S1110" s="1209">
        <f>1727*3</f>
        <v>5181</v>
      </c>
      <c r="T1110" s="81" t="s">
        <v>929</v>
      </c>
      <c r="U1110" s="1871" t="s">
        <v>4632</v>
      </c>
      <c r="V1110" s="22" t="s">
        <v>352</v>
      </c>
      <c r="W1110" s="2037" t="s">
        <v>4633</v>
      </c>
      <c r="X1110" s="18"/>
      <c r="Y1110" s="4"/>
      <c r="Z1110" s="4"/>
    </row>
    <row r="1111" spans="1:26" ht="37.5" hidden="1">
      <c r="A1111" s="20">
        <v>1118</v>
      </c>
      <c r="B1111" s="1063">
        <v>40888</v>
      </c>
      <c r="C1111" s="26" t="s">
        <v>2511</v>
      </c>
      <c r="D1111" s="11"/>
      <c r="E1111" s="26" t="s">
        <v>4612</v>
      </c>
      <c r="F1111" s="26" t="s">
        <v>784</v>
      </c>
      <c r="G1111" s="26" t="s">
        <v>3402</v>
      </c>
      <c r="H1111" s="26" t="s">
        <v>243</v>
      </c>
      <c r="I1111" s="26" t="s">
        <v>4634</v>
      </c>
      <c r="J1111" s="26" t="s">
        <v>2514</v>
      </c>
      <c r="K1111" s="26" t="s">
        <v>4635</v>
      </c>
      <c r="L1111" s="26"/>
      <c r="M1111" s="26">
        <v>6</v>
      </c>
      <c r="N1111" s="26">
        <v>1</v>
      </c>
      <c r="O1111" s="26">
        <v>6</v>
      </c>
      <c r="P1111" s="26">
        <v>0</v>
      </c>
      <c r="Q1111" s="26">
        <v>6</v>
      </c>
      <c r="R1111" s="1209">
        <v>1100</v>
      </c>
      <c r="S1111" s="1209">
        <f t="shared" ref="S1111:S1114" si="55">R1111*O1111</f>
        <v>6600</v>
      </c>
      <c r="T1111" s="26" t="s">
        <v>1957</v>
      </c>
      <c r="U1111" s="1871" t="s">
        <v>4615</v>
      </c>
      <c r="V1111" s="26" t="s">
        <v>352</v>
      </c>
      <c r="W1111" s="2008" t="s">
        <v>2516</v>
      </c>
      <c r="X1111" s="18"/>
      <c r="Y1111" s="4"/>
      <c r="Z1111" s="4"/>
    </row>
    <row r="1112" spans="1:26" ht="37.5" hidden="1">
      <c r="A1112" s="20">
        <v>1119</v>
      </c>
      <c r="B1112" s="1063">
        <v>40889</v>
      </c>
      <c r="C1112" s="26" t="s">
        <v>2534</v>
      </c>
      <c r="D1112" s="11"/>
      <c r="E1112" s="26" t="s">
        <v>4612</v>
      </c>
      <c r="F1112" s="26" t="s">
        <v>784</v>
      </c>
      <c r="G1112" s="26" t="s">
        <v>4636</v>
      </c>
      <c r="H1112" s="26" t="s">
        <v>3067</v>
      </c>
      <c r="I1112" s="26" t="s">
        <v>3067</v>
      </c>
      <c r="J1112" s="26" t="s">
        <v>4637</v>
      </c>
      <c r="K1112" s="26" t="s">
        <v>4637</v>
      </c>
      <c r="L1112" s="26"/>
      <c r="M1112" s="26">
        <v>10</v>
      </c>
      <c r="N1112" s="26">
        <v>1</v>
      </c>
      <c r="O1112" s="26">
        <v>10</v>
      </c>
      <c r="P1112" s="26">
        <v>0</v>
      </c>
      <c r="Q1112" s="26">
        <v>10</v>
      </c>
      <c r="R1112" s="1209">
        <v>6500</v>
      </c>
      <c r="S1112" s="1209">
        <f t="shared" si="55"/>
        <v>65000</v>
      </c>
      <c r="T1112" s="26" t="s">
        <v>1957</v>
      </c>
      <c r="U1112" s="1871" t="s">
        <v>4638</v>
      </c>
      <c r="V1112" s="26" t="s">
        <v>352</v>
      </c>
      <c r="W1112" s="2015"/>
      <c r="X1112" s="18"/>
      <c r="Y1112" s="4"/>
      <c r="Z1112" s="4"/>
    </row>
    <row r="1113" spans="1:26" ht="24.95" hidden="1">
      <c r="A1113" s="20">
        <v>1120</v>
      </c>
      <c r="B1113" s="1063">
        <v>40890</v>
      </c>
      <c r="C1113" s="26" t="s">
        <v>4027</v>
      </c>
      <c r="D1113" s="11"/>
      <c r="E1113" s="26" t="s">
        <v>4612</v>
      </c>
      <c r="F1113" s="26" t="s">
        <v>784</v>
      </c>
      <c r="G1113" s="26" t="s">
        <v>4639</v>
      </c>
      <c r="H1113" s="26" t="s">
        <v>4640</v>
      </c>
      <c r="I1113" s="26" t="s">
        <v>4640</v>
      </c>
      <c r="J1113" s="26" t="s">
        <v>667</v>
      </c>
      <c r="K1113" s="26" t="s">
        <v>667</v>
      </c>
      <c r="L1113" s="26"/>
      <c r="M1113" s="26">
        <v>1</v>
      </c>
      <c r="N1113" s="26">
        <v>1</v>
      </c>
      <c r="O1113" s="26">
        <v>1</v>
      </c>
      <c r="P1113" s="26">
        <v>0</v>
      </c>
      <c r="Q1113" s="26">
        <v>1</v>
      </c>
      <c r="R1113" s="1209">
        <v>4800</v>
      </c>
      <c r="S1113" s="1209">
        <f t="shared" si="55"/>
        <v>4800</v>
      </c>
      <c r="T1113" s="26" t="s">
        <v>1957</v>
      </c>
      <c r="U1113" s="1871" t="s">
        <v>1886</v>
      </c>
      <c r="V1113" s="26" t="s">
        <v>352</v>
      </c>
      <c r="W1113" s="2008" t="s">
        <v>668</v>
      </c>
      <c r="X1113" s="18"/>
      <c r="Y1113" s="4"/>
      <c r="Z1113" s="4"/>
    </row>
    <row r="1114" spans="1:26" ht="200.1" hidden="1">
      <c r="A1114" s="20">
        <v>1121</v>
      </c>
      <c r="B1114" s="1063">
        <v>40891</v>
      </c>
      <c r="C1114" s="26" t="s">
        <v>4150</v>
      </c>
      <c r="D1114" s="11"/>
      <c r="E1114" s="26" t="s">
        <v>4612</v>
      </c>
      <c r="F1114" s="26" t="s">
        <v>784</v>
      </c>
      <c r="G1114" s="26" t="s">
        <v>4641</v>
      </c>
      <c r="H1114" s="26" t="s">
        <v>230</v>
      </c>
      <c r="I1114" s="26" t="s">
        <v>4148</v>
      </c>
      <c r="J1114" s="26" t="s">
        <v>4642</v>
      </c>
      <c r="K1114" s="26" t="s">
        <v>4642</v>
      </c>
      <c r="L1114" s="26"/>
      <c r="M1114" s="26">
        <v>2</v>
      </c>
      <c r="N1114" s="26">
        <v>1</v>
      </c>
      <c r="O1114" s="26">
        <v>2</v>
      </c>
      <c r="P1114" s="26">
        <v>0</v>
      </c>
      <c r="Q1114" s="26">
        <v>2</v>
      </c>
      <c r="R1114" s="1209">
        <v>1750</v>
      </c>
      <c r="S1114" s="1209">
        <f t="shared" si="55"/>
        <v>3500</v>
      </c>
      <c r="T1114" s="26" t="s">
        <v>1957</v>
      </c>
      <c r="U1114" s="1871" t="s">
        <v>4615</v>
      </c>
      <c r="V1114" s="26" t="s">
        <v>352</v>
      </c>
      <c r="W1114" s="2042" t="s">
        <v>4643</v>
      </c>
      <c r="X1114" s="26"/>
      <c r="Y1114" s="71"/>
      <c r="Z1114" s="71"/>
    </row>
    <row r="1115" spans="1:26" ht="14.1" hidden="1">
      <c r="A1115" s="20">
        <v>1122</v>
      </c>
      <c r="B1115" s="1063">
        <v>40892</v>
      </c>
      <c r="C1115" s="26" t="s">
        <v>4644</v>
      </c>
      <c r="D1115" s="11"/>
      <c r="E1115" s="26" t="s">
        <v>4612</v>
      </c>
      <c r="F1115" s="26" t="s">
        <v>2143</v>
      </c>
      <c r="G1115" s="26" t="s">
        <v>4645</v>
      </c>
      <c r="H1115" s="26"/>
      <c r="I1115" s="26" t="s">
        <v>4646</v>
      </c>
      <c r="J1115" s="26"/>
      <c r="K1115" s="26"/>
      <c r="L1115" s="26"/>
      <c r="M1115" s="26">
        <v>1</v>
      </c>
      <c r="N1115" s="26">
        <v>1</v>
      </c>
      <c r="O1115" s="26">
        <v>1</v>
      </c>
      <c r="P1115" s="26">
        <v>0</v>
      </c>
      <c r="Q1115" s="26">
        <v>0</v>
      </c>
      <c r="R1115" s="1209">
        <v>10600</v>
      </c>
      <c r="S1115" s="1209">
        <v>10600</v>
      </c>
      <c r="T1115" s="26" t="s">
        <v>87</v>
      </c>
      <c r="U1115" s="1871" t="s">
        <v>118</v>
      </c>
      <c r="V1115" s="26" t="s">
        <v>4647</v>
      </c>
      <c r="W1115" s="2015"/>
      <c r="X1115" s="26"/>
      <c r="Y1115" s="71"/>
      <c r="Z1115" s="71"/>
    </row>
    <row r="1116" spans="1:26" ht="18" hidden="1">
      <c r="A1116" s="20">
        <v>1123</v>
      </c>
      <c r="B1116" s="1063">
        <v>40893</v>
      </c>
      <c r="C1116" s="905" t="s">
        <v>4648</v>
      </c>
      <c r="D1116" s="11"/>
      <c r="E1116" s="26" t="s">
        <v>4612</v>
      </c>
      <c r="F1116" s="917" t="s">
        <v>1398</v>
      </c>
      <c r="G1116" s="128"/>
      <c r="H1116" s="127" t="s">
        <v>4649</v>
      </c>
      <c r="I1116" s="127" t="s">
        <v>4649</v>
      </c>
      <c r="J1116" s="128" t="s">
        <v>3423</v>
      </c>
      <c r="K1116" s="128" t="s">
        <v>3423</v>
      </c>
      <c r="L1116" s="128"/>
      <c r="M1116" s="128">
        <v>2</v>
      </c>
      <c r="N1116" s="128">
        <v>1</v>
      </c>
      <c r="O1116" s="128">
        <v>2</v>
      </c>
      <c r="P1116" s="128">
        <v>3</v>
      </c>
      <c r="Q1116" s="128">
        <v>5</v>
      </c>
      <c r="R1116" s="1229">
        <v>69660</v>
      </c>
      <c r="S1116" s="1229">
        <v>139320</v>
      </c>
      <c r="T1116" s="128" t="s">
        <v>929</v>
      </c>
      <c r="U1116" s="1874"/>
      <c r="V1116" s="129" t="s">
        <v>352</v>
      </c>
      <c r="W1116" s="2043"/>
      <c r="X1116" s="129"/>
      <c r="Y1116" s="130"/>
      <c r="Z1116" s="130"/>
    </row>
    <row r="1117" spans="1:26" ht="18" hidden="1">
      <c r="A1117" s="20">
        <v>1124</v>
      </c>
      <c r="B1117" s="1063">
        <v>40894</v>
      </c>
      <c r="C1117" s="906" t="s">
        <v>4650</v>
      </c>
      <c r="D1117" s="11" t="s">
        <v>6</v>
      </c>
      <c r="E1117" s="26" t="s">
        <v>4612</v>
      </c>
      <c r="F1117" s="918" t="s">
        <v>1398</v>
      </c>
      <c r="G1117" s="132"/>
      <c r="H1117" s="131" t="s">
        <v>4651</v>
      </c>
      <c r="I1117" s="131" t="s">
        <v>113</v>
      </c>
      <c r="J1117" s="132">
        <v>31485177</v>
      </c>
      <c r="K1117" s="132" t="s">
        <v>4652</v>
      </c>
      <c r="L1117" s="132" t="s">
        <v>4653</v>
      </c>
      <c r="M1117" s="132">
        <v>1</v>
      </c>
      <c r="N1117" s="132">
        <v>1</v>
      </c>
      <c r="O1117" s="132">
        <v>1</v>
      </c>
      <c r="P1117" s="132">
        <v>0</v>
      </c>
      <c r="Q1117" s="132">
        <v>1</v>
      </c>
      <c r="R1117" s="1230">
        <v>1590</v>
      </c>
      <c r="S1117" s="1230">
        <v>1590</v>
      </c>
      <c r="T1117" s="132" t="s">
        <v>929</v>
      </c>
      <c r="U1117" s="1875"/>
      <c r="V1117" s="129" t="s">
        <v>352</v>
      </c>
      <c r="W1117" s="2044" t="s">
        <v>4654</v>
      </c>
      <c r="X1117" s="129"/>
      <c r="Y1117" s="130"/>
      <c r="Z1117" s="130"/>
    </row>
    <row r="1118" spans="1:26" ht="36" hidden="1">
      <c r="A1118" s="20">
        <v>1125</v>
      </c>
      <c r="B1118" s="1063">
        <v>40895</v>
      </c>
      <c r="C1118" s="906" t="s">
        <v>4655</v>
      </c>
      <c r="D1118" s="11" t="s">
        <v>6</v>
      </c>
      <c r="E1118" s="26" t="s">
        <v>4612</v>
      </c>
      <c r="F1118" s="918" t="s">
        <v>1398</v>
      </c>
      <c r="G1118" s="132"/>
      <c r="H1118" s="131" t="s">
        <v>113</v>
      </c>
      <c r="I1118" s="131" t="s">
        <v>113</v>
      </c>
      <c r="J1118" s="132">
        <v>39114756</v>
      </c>
      <c r="K1118" s="132" t="s">
        <v>4656</v>
      </c>
      <c r="L1118" s="132" t="s">
        <v>4657</v>
      </c>
      <c r="M1118" s="132">
        <v>2</v>
      </c>
      <c r="N1118" s="132">
        <v>1</v>
      </c>
      <c r="O1118" s="132">
        <v>2</v>
      </c>
      <c r="P1118" s="132">
        <v>0</v>
      </c>
      <c r="Q1118" s="132">
        <v>2</v>
      </c>
      <c r="R1118" s="1230">
        <v>259</v>
      </c>
      <c r="S1118" s="1230">
        <v>518</v>
      </c>
      <c r="T1118" s="132" t="s">
        <v>929</v>
      </c>
      <c r="U1118" s="1875"/>
      <c r="V1118" s="129" t="s">
        <v>352</v>
      </c>
      <c r="W1118" s="2043" t="s">
        <v>4658</v>
      </c>
      <c r="X1118" s="129"/>
      <c r="Y1118" s="130"/>
      <c r="Z1118" s="130"/>
    </row>
    <row r="1119" spans="1:26" ht="37.5" hidden="1">
      <c r="A1119" s="20">
        <v>1126</v>
      </c>
      <c r="B1119" s="1063">
        <v>40896</v>
      </c>
      <c r="C1119" s="907" t="s">
        <v>4659</v>
      </c>
      <c r="D1119" s="11"/>
      <c r="E1119" s="26" t="s">
        <v>62</v>
      </c>
      <c r="F1119" s="26" t="s">
        <v>4660</v>
      </c>
      <c r="G1119" s="26" t="s">
        <v>4661</v>
      </c>
      <c r="H1119" s="26" t="s">
        <v>4662</v>
      </c>
      <c r="I1119" s="26" t="s">
        <v>4662</v>
      </c>
      <c r="J1119" s="26" t="s">
        <v>4663</v>
      </c>
      <c r="K1119" s="26" t="s">
        <v>4663</v>
      </c>
      <c r="L1119" s="26"/>
      <c r="M1119" s="26">
        <v>1</v>
      </c>
      <c r="N1119" s="26">
        <v>1</v>
      </c>
      <c r="O1119" s="26">
        <v>1</v>
      </c>
      <c r="P1119" s="26">
        <v>0</v>
      </c>
      <c r="Q1119" s="26">
        <v>1</v>
      </c>
      <c r="R1119" s="1209">
        <v>8800</v>
      </c>
      <c r="S1119" s="1209">
        <v>8800</v>
      </c>
      <c r="T1119" s="26" t="s">
        <v>1123</v>
      </c>
      <c r="U1119" s="1871" t="s">
        <v>118</v>
      </c>
      <c r="V1119" s="26"/>
      <c r="W1119" s="2037" t="s">
        <v>4664</v>
      </c>
      <c r="X1119" s="18"/>
      <c r="Y1119" s="4"/>
      <c r="Z1119" s="4"/>
    </row>
    <row r="1120" spans="1:26" ht="24.95" hidden="1">
      <c r="A1120" s="20">
        <v>1127</v>
      </c>
      <c r="B1120" s="1063">
        <v>40897</v>
      </c>
      <c r="C1120" s="54" t="s">
        <v>4665</v>
      </c>
      <c r="D1120" s="11" t="s">
        <v>6</v>
      </c>
      <c r="E1120" s="26" t="s">
        <v>4612</v>
      </c>
      <c r="F1120" s="54" t="s">
        <v>1398</v>
      </c>
      <c r="G1120" s="129"/>
      <c r="H1120" s="129" t="s">
        <v>220</v>
      </c>
      <c r="I1120" s="129" t="s">
        <v>39</v>
      </c>
      <c r="J1120" s="129" t="s">
        <v>4666</v>
      </c>
      <c r="K1120" s="133" t="s">
        <v>4667</v>
      </c>
      <c r="L1120" s="129" t="s">
        <v>4668</v>
      </c>
      <c r="M1120" s="129">
        <v>15</v>
      </c>
      <c r="N1120" s="129">
        <v>5</v>
      </c>
      <c r="O1120" s="129">
        <v>15</v>
      </c>
      <c r="P1120" s="129">
        <v>0</v>
      </c>
      <c r="Q1120" s="129">
        <v>15</v>
      </c>
      <c r="R1120" s="1231">
        <v>36.6</v>
      </c>
      <c r="S1120" s="1231">
        <v>549</v>
      </c>
      <c r="T1120" s="129" t="s">
        <v>4669</v>
      </c>
      <c r="U1120" s="1876"/>
      <c r="V1120" s="129" t="s">
        <v>352</v>
      </c>
      <c r="W1120" s="2045" t="s">
        <v>4670</v>
      </c>
      <c r="X1120" s="129"/>
      <c r="Y1120" s="130"/>
      <c r="Z1120" s="130"/>
    </row>
    <row r="1121" spans="1:26" ht="24.95" hidden="1">
      <c r="A1121" s="20">
        <v>1128</v>
      </c>
      <c r="B1121" s="1063">
        <v>40898</v>
      </c>
      <c r="C1121" s="54" t="s">
        <v>4671</v>
      </c>
      <c r="D1121" s="11" t="s">
        <v>6</v>
      </c>
      <c r="E1121" s="26" t="s">
        <v>4612</v>
      </c>
      <c r="F1121" s="54" t="s">
        <v>1398</v>
      </c>
      <c r="G1121" s="129"/>
      <c r="H1121" s="129" t="s">
        <v>220</v>
      </c>
      <c r="I1121" s="129" t="s">
        <v>39</v>
      </c>
      <c r="J1121" s="129" t="s">
        <v>4672</v>
      </c>
      <c r="K1121" s="133" t="s">
        <v>4673</v>
      </c>
      <c r="L1121" s="129" t="s">
        <v>4674</v>
      </c>
      <c r="M1121" s="129">
        <v>15</v>
      </c>
      <c r="N1121" s="129">
        <v>5</v>
      </c>
      <c r="O1121" s="129">
        <v>15</v>
      </c>
      <c r="P1121" s="129">
        <v>0</v>
      </c>
      <c r="Q1121" s="129">
        <v>15</v>
      </c>
      <c r="R1121" s="1231">
        <v>26.6</v>
      </c>
      <c r="S1121" s="1231">
        <v>399</v>
      </c>
      <c r="T1121" s="129" t="s">
        <v>4669</v>
      </c>
      <c r="U1121" s="1876"/>
      <c r="V1121" s="129" t="s">
        <v>352</v>
      </c>
      <c r="W1121" s="2045" t="s">
        <v>4675</v>
      </c>
      <c r="X1121" s="129"/>
      <c r="Y1121" s="130"/>
      <c r="Z1121" s="130"/>
    </row>
    <row r="1122" spans="1:26" ht="36" hidden="1">
      <c r="A1122" s="20">
        <v>1129</v>
      </c>
      <c r="B1122" s="1063">
        <v>40899</v>
      </c>
      <c r="C1122" s="54" t="s">
        <v>4676</v>
      </c>
      <c r="D1122" s="11" t="s">
        <v>6</v>
      </c>
      <c r="E1122" s="26" t="s">
        <v>4612</v>
      </c>
      <c r="F1122" s="54" t="s">
        <v>1398</v>
      </c>
      <c r="G1122" s="129"/>
      <c r="H1122" s="129" t="s">
        <v>220</v>
      </c>
      <c r="I1122" s="129" t="s">
        <v>39</v>
      </c>
      <c r="J1122" s="129" t="s">
        <v>4677</v>
      </c>
      <c r="K1122" s="129" t="s">
        <v>4678</v>
      </c>
      <c r="L1122" s="129" t="s">
        <v>4679</v>
      </c>
      <c r="M1122" s="129">
        <v>15</v>
      </c>
      <c r="N1122" s="129">
        <v>5</v>
      </c>
      <c r="O1122" s="129">
        <v>15</v>
      </c>
      <c r="P1122" s="129">
        <v>0</v>
      </c>
      <c r="Q1122" s="129">
        <v>15</v>
      </c>
      <c r="R1122" s="1231">
        <v>4.7</v>
      </c>
      <c r="S1122" s="1231">
        <v>210</v>
      </c>
      <c r="T1122" s="129" t="s">
        <v>4669</v>
      </c>
      <c r="U1122" s="1876"/>
      <c r="V1122" s="129" t="s">
        <v>352</v>
      </c>
      <c r="W1122" s="2046" t="s">
        <v>4680</v>
      </c>
      <c r="X1122" s="129"/>
      <c r="Y1122" s="130"/>
      <c r="Z1122" s="130"/>
    </row>
    <row r="1123" spans="1:26" ht="36" hidden="1">
      <c r="A1123" s="20">
        <v>1130</v>
      </c>
      <c r="B1123" s="1063">
        <v>40900</v>
      </c>
      <c r="C1123" s="54" t="s">
        <v>4681</v>
      </c>
      <c r="D1123" s="11" t="s">
        <v>6</v>
      </c>
      <c r="E1123" s="26" t="s">
        <v>4612</v>
      </c>
      <c r="F1123" s="54" t="s">
        <v>1398</v>
      </c>
      <c r="G1123" s="129"/>
      <c r="H1123" s="129" t="s">
        <v>220</v>
      </c>
      <c r="I1123" s="129" t="s">
        <v>39</v>
      </c>
      <c r="J1123" s="129" t="s">
        <v>4682</v>
      </c>
      <c r="K1123" s="129" t="s">
        <v>4683</v>
      </c>
      <c r="L1123" s="129" t="s">
        <v>4684</v>
      </c>
      <c r="M1123" s="129">
        <v>15</v>
      </c>
      <c r="N1123" s="129">
        <v>5</v>
      </c>
      <c r="O1123" s="129">
        <v>15</v>
      </c>
      <c r="P1123" s="129">
        <v>0</v>
      </c>
      <c r="Q1123" s="129">
        <v>15</v>
      </c>
      <c r="R1123" s="1231">
        <v>4.7</v>
      </c>
      <c r="S1123" s="1231">
        <v>210</v>
      </c>
      <c r="T1123" s="129" t="s">
        <v>4669</v>
      </c>
      <c r="U1123" s="1876"/>
      <c r="V1123" s="129" t="s">
        <v>352</v>
      </c>
      <c r="W1123" s="2046" t="s">
        <v>4685</v>
      </c>
      <c r="X1123" s="129"/>
      <c r="Y1123" s="130"/>
      <c r="Z1123" s="130"/>
    </row>
    <row r="1124" spans="1:26" ht="36" hidden="1">
      <c r="A1124" s="20">
        <v>1131</v>
      </c>
      <c r="B1124" s="1063">
        <v>40901</v>
      </c>
      <c r="C1124" s="54" t="s">
        <v>4686</v>
      </c>
      <c r="D1124" s="11" t="s">
        <v>6</v>
      </c>
      <c r="E1124" s="26" t="s">
        <v>4612</v>
      </c>
      <c r="F1124" s="54" t="s">
        <v>1398</v>
      </c>
      <c r="G1124" s="129"/>
      <c r="H1124" s="129" t="s">
        <v>220</v>
      </c>
      <c r="I1124" s="129" t="s">
        <v>39</v>
      </c>
      <c r="J1124" s="129" t="s">
        <v>4687</v>
      </c>
      <c r="K1124" s="129" t="s">
        <v>4688</v>
      </c>
      <c r="L1124" s="129" t="s">
        <v>4689</v>
      </c>
      <c r="M1124" s="129">
        <v>40</v>
      </c>
      <c r="N1124" s="129">
        <v>100</v>
      </c>
      <c r="O1124" s="129">
        <v>100</v>
      </c>
      <c r="P1124" s="129">
        <v>0</v>
      </c>
      <c r="Q1124" s="129">
        <v>100</v>
      </c>
      <c r="R1124" s="1231">
        <v>5.35</v>
      </c>
      <c r="S1124" s="1231">
        <v>535</v>
      </c>
      <c r="T1124" s="129" t="s">
        <v>4669</v>
      </c>
      <c r="U1124" s="1876"/>
      <c r="V1124" s="129" t="s">
        <v>352</v>
      </c>
      <c r="W1124" s="2046" t="s">
        <v>4690</v>
      </c>
      <c r="X1124" s="129"/>
      <c r="Y1124" s="130"/>
      <c r="Z1124" s="130"/>
    </row>
    <row r="1125" spans="1:26" ht="37.5" hidden="1">
      <c r="A1125" s="20">
        <v>1132</v>
      </c>
      <c r="B1125" s="1063">
        <v>40902</v>
      </c>
      <c r="C1125" s="26" t="s">
        <v>4691</v>
      </c>
      <c r="D1125" s="11" t="s">
        <v>6</v>
      </c>
      <c r="E1125" s="26" t="s">
        <v>62</v>
      </c>
      <c r="F1125" s="26" t="s">
        <v>1290</v>
      </c>
      <c r="G1125" s="26" t="s">
        <v>4692</v>
      </c>
      <c r="H1125" s="26" t="s">
        <v>3394</v>
      </c>
      <c r="I1125" s="26" t="s">
        <v>574</v>
      </c>
      <c r="J1125" s="26" t="s">
        <v>4693</v>
      </c>
      <c r="K1125" s="26" t="s">
        <v>4694</v>
      </c>
      <c r="L1125" s="26"/>
      <c r="M1125" s="26">
        <v>2</v>
      </c>
      <c r="N1125" s="26">
        <v>1</v>
      </c>
      <c r="O1125" s="26">
        <v>2</v>
      </c>
      <c r="P1125" s="26">
        <v>0</v>
      </c>
      <c r="Q1125" s="26">
        <v>0</v>
      </c>
      <c r="R1125" s="1209">
        <v>1812</v>
      </c>
      <c r="S1125" s="1209">
        <f t="shared" ref="S1125:S1130" si="56">O1125*R1125</f>
        <v>3624</v>
      </c>
      <c r="T1125" s="26" t="s">
        <v>4695</v>
      </c>
      <c r="U1125" s="1871" t="s">
        <v>4696</v>
      </c>
      <c r="V1125" s="26" t="s">
        <v>352</v>
      </c>
      <c r="W1125" s="2037" t="s">
        <v>4697</v>
      </c>
      <c r="X1125" s="18"/>
      <c r="Y1125" s="4"/>
      <c r="Z1125" s="4"/>
    </row>
    <row r="1126" spans="1:26" ht="24.95" hidden="1">
      <c r="A1126" s="20">
        <v>1133</v>
      </c>
      <c r="B1126" s="1063">
        <v>40903</v>
      </c>
      <c r="C1126" s="26" t="s">
        <v>4698</v>
      </c>
      <c r="D1126" s="11" t="s">
        <v>6</v>
      </c>
      <c r="E1126" s="26" t="s">
        <v>62</v>
      </c>
      <c r="F1126" s="26" t="s">
        <v>1290</v>
      </c>
      <c r="G1126" s="26" t="s">
        <v>4699</v>
      </c>
      <c r="H1126" s="26" t="s">
        <v>4700</v>
      </c>
      <c r="I1126" s="26" t="s">
        <v>574</v>
      </c>
      <c r="J1126" s="26" t="s">
        <v>4701</v>
      </c>
      <c r="K1126" s="26" t="s">
        <v>4702</v>
      </c>
      <c r="L1126" s="26"/>
      <c r="M1126" s="26">
        <v>2</v>
      </c>
      <c r="N1126" s="26">
        <v>1</v>
      </c>
      <c r="O1126" s="26">
        <v>2</v>
      </c>
      <c r="P1126" s="26">
        <v>0</v>
      </c>
      <c r="Q1126" s="26">
        <v>0</v>
      </c>
      <c r="R1126" s="1209">
        <v>608</v>
      </c>
      <c r="S1126" s="1209">
        <f t="shared" si="56"/>
        <v>1216</v>
      </c>
      <c r="T1126" s="26" t="s">
        <v>4695</v>
      </c>
      <c r="U1126" s="1871" t="s">
        <v>4696</v>
      </c>
      <c r="V1126" s="26" t="s">
        <v>352</v>
      </c>
      <c r="W1126" s="2037" t="s">
        <v>4703</v>
      </c>
      <c r="X1126" s="26"/>
      <c r="Y1126" s="71"/>
      <c r="Z1126" s="71"/>
    </row>
    <row r="1127" spans="1:26" ht="24.95" hidden="1">
      <c r="A1127" s="20">
        <v>1134</v>
      </c>
      <c r="B1127" s="1063">
        <v>40904</v>
      </c>
      <c r="C1127" s="26" t="s">
        <v>4698</v>
      </c>
      <c r="D1127" s="11" t="s">
        <v>6</v>
      </c>
      <c r="E1127" s="26" t="s">
        <v>62</v>
      </c>
      <c r="F1127" s="26" t="s">
        <v>1290</v>
      </c>
      <c r="G1127" s="26" t="s">
        <v>1761</v>
      </c>
      <c r="H1127" s="26" t="s">
        <v>1762</v>
      </c>
      <c r="I1127" s="26" t="s">
        <v>574</v>
      </c>
      <c r="J1127" s="26" t="s">
        <v>4704</v>
      </c>
      <c r="K1127" s="26" t="s">
        <v>4705</v>
      </c>
      <c r="L1127" s="26"/>
      <c r="M1127" s="26">
        <v>3</v>
      </c>
      <c r="N1127" s="26">
        <v>1</v>
      </c>
      <c r="O1127" s="26">
        <v>3</v>
      </c>
      <c r="P1127" s="26">
        <v>0</v>
      </c>
      <c r="Q1127" s="26">
        <v>0</v>
      </c>
      <c r="R1127" s="1209">
        <v>224</v>
      </c>
      <c r="S1127" s="1209">
        <f t="shared" si="56"/>
        <v>672</v>
      </c>
      <c r="T1127" s="26" t="s">
        <v>4695</v>
      </c>
      <c r="U1127" s="1871" t="s">
        <v>4696</v>
      </c>
      <c r="V1127" s="26" t="s">
        <v>352</v>
      </c>
      <c r="W1127" s="2008" t="s">
        <v>4706</v>
      </c>
      <c r="X1127" s="26"/>
      <c r="Y1127" s="71"/>
      <c r="Z1127" s="71"/>
    </row>
    <row r="1128" spans="1:26" ht="37.5" hidden="1">
      <c r="A1128" s="20">
        <v>1135</v>
      </c>
      <c r="B1128" s="1063">
        <v>40905</v>
      </c>
      <c r="C1128" s="26" t="s">
        <v>4707</v>
      </c>
      <c r="D1128" s="11" t="s">
        <v>6</v>
      </c>
      <c r="E1128" s="26" t="s">
        <v>62</v>
      </c>
      <c r="F1128" s="26" t="s">
        <v>1290</v>
      </c>
      <c r="G1128" s="26" t="s">
        <v>4708</v>
      </c>
      <c r="H1128" s="26" t="s">
        <v>452</v>
      </c>
      <c r="I1128" s="26" t="s">
        <v>574</v>
      </c>
      <c r="J1128" s="26" t="s">
        <v>4709</v>
      </c>
      <c r="K1128" s="26" t="s">
        <v>4710</v>
      </c>
      <c r="L1128" s="26"/>
      <c r="M1128" s="26">
        <v>1</v>
      </c>
      <c r="N1128" s="26">
        <v>1</v>
      </c>
      <c r="O1128" s="26">
        <v>1</v>
      </c>
      <c r="P1128" s="26">
        <v>0</v>
      </c>
      <c r="Q1128" s="26">
        <v>0</v>
      </c>
      <c r="R1128" s="1209">
        <v>8360</v>
      </c>
      <c r="S1128" s="1209">
        <f t="shared" si="56"/>
        <v>8360</v>
      </c>
      <c r="T1128" s="26" t="s">
        <v>4695</v>
      </c>
      <c r="U1128" s="1871" t="s">
        <v>4696</v>
      </c>
      <c r="V1128" s="26" t="s">
        <v>352</v>
      </c>
      <c r="W1128" s="2037" t="s">
        <v>4711</v>
      </c>
      <c r="X1128" s="18"/>
      <c r="Y1128" s="4"/>
      <c r="Z1128" s="4"/>
    </row>
    <row r="1129" spans="1:26" ht="37.5" hidden="1">
      <c r="A1129" s="20">
        <v>1136</v>
      </c>
      <c r="B1129" s="1063">
        <v>40906</v>
      </c>
      <c r="C1129" s="26" t="s">
        <v>4712</v>
      </c>
      <c r="D1129" s="11" t="s">
        <v>6</v>
      </c>
      <c r="E1129" s="26" t="s">
        <v>62</v>
      </c>
      <c r="F1129" s="26" t="s">
        <v>1290</v>
      </c>
      <c r="G1129" s="26" t="s">
        <v>4713</v>
      </c>
      <c r="H1129" s="26" t="s">
        <v>230</v>
      </c>
      <c r="I1129" s="26" t="s">
        <v>574</v>
      </c>
      <c r="J1129" s="26" t="s">
        <v>4714</v>
      </c>
      <c r="K1129" s="26" t="s">
        <v>4715</v>
      </c>
      <c r="L1129" s="26"/>
      <c r="M1129" s="26">
        <v>2</v>
      </c>
      <c r="N1129" s="26">
        <v>1</v>
      </c>
      <c r="O1129" s="26">
        <v>5</v>
      </c>
      <c r="P1129" s="26">
        <v>0</v>
      </c>
      <c r="Q1129" s="26">
        <v>3</v>
      </c>
      <c r="R1129" s="1209">
        <v>476</v>
      </c>
      <c r="S1129" s="1209">
        <f t="shared" si="56"/>
        <v>2380</v>
      </c>
      <c r="T1129" s="26" t="s">
        <v>4695</v>
      </c>
      <c r="U1129" s="1871" t="s">
        <v>4696</v>
      </c>
      <c r="V1129" s="26" t="s">
        <v>352</v>
      </c>
      <c r="W1129" s="2008" t="s">
        <v>4716</v>
      </c>
      <c r="X1129" s="18"/>
      <c r="Y1129" s="4"/>
      <c r="Z1129" s="4"/>
    </row>
    <row r="1130" spans="1:26" ht="14.1" hidden="1">
      <c r="A1130" s="20">
        <v>1137</v>
      </c>
      <c r="B1130" s="1063">
        <v>40907</v>
      </c>
      <c r="C1130" s="26" t="s">
        <v>4717</v>
      </c>
      <c r="D1130" s="11" t="s">
        <v>6</v>
      </c>
      <c r="E1130" s="26" t="s">
        <v>62</v>
      </c>
      <c r="F1130" s="26" t="s">
        <v>1290</v>
      </c>
      <c r="G1130" s="26" t="s">
        <v>4718</v>
      </c>
      <c r="H1130" s="26" t="s">
        <v>4719</v>
      </c>
      <c r="I1130" s="26" t="s">
        <v>4719</v>
      </c>
      <c r="J1130" s="26" t="s">
        <v>4720</v>
      </c>
      <c r="K1130" s="26" t="s">
        <v>4720</v>
      </c>
      <c r="L1130" s="26"/>
      <c r="M1130" s="26">
        <v>1</v>
      </c>
      <c r="N1130" s="26">
        <v>1</v>
      </c>
      <c r="O1130" s="26">
        <v>1</v>
      </c>
      <c r="P1130" s="26">
        <v>0</v>
      </c>
      <c r="Q1130" s="26">
        <v>0</v>
      </c>
      <c r="R1130" s="1209">
        <v>110000</v>
      </c>
      <c r="S1130" s="1209">
        <f t="shared" si="56"/>
        <v>110000</v>
      </c>
      <c r="T1130" s="26" t="s">
        <v>4695</v>
      </c>
      <c r="U1130" s="1871" t="s">
        <v>4696</v>
      </c>
      <c r="V1130" s="26" t="s">
        <v>352</v>
      </c>
      <c r="W1130" s="2028" t="s">
        <v>4721</v>
      </c>
      <c r="X1130" s="18"/>
      <c r="Y1130" s="4"/>
      <c r="Z1130" s="4"/>
    </row>
    <row r="1131" spans="1:26" ht="42" hidden="1">
      <c r="A1131" s="20">
        <v>1138</v>
      </c>
      <c r="B1131" s="1063">
        <v>40908</v>
      </c>
      <c r="C1131" s="26" t="s">
        <v>4722</v>
      </c>
      <c r="D1131" s="11" t="s">
        <v>6</v>
      </c>
      <c r="E1131" s="26" t="s">
        <v>2722</v>
      </c>
      <c r="F1131" s="26" t="s">
        <v>2332</v>
      </c>
      <c r="G1131" s="26" t="s">
        <v>2737</v>
      </c>
      <c r="H1131" s="26" t="s">
        <v>429</v>
      </c>
      <c r="I1131" s="26" t="s">
        <v>429</v>
      </c>
      <c r="J1131" s="26" t="s">
        <v>2737</v>
      </c>
      <c r="K1131" s="26"/>
      <c r="L1131" s="26"/>
      <c r="M1131" s="26">
        <v>16</v>
      </c>
      <c r="N1131" s="26">
        <v>1</v>
      </c>
      <c r="O1131" s="26">
        <v>20</v>
      </c>
      <c r="P1131" s="26">
        <v>9</v>
      </c>
      <c r="Q1131" s="26">
        <f t="shared" ref="Q1131:Q1134" si="57">O1131+P1131-M1131</f>
        <v>13</v>
      </c>
      <c r="R1131" s="1227">
        <v>203</v>
      </c>
      <c r="S1131" s="1228">
        <f t="shared" ref="S1131:S1134" si="58">R1131*O1131</f>
        <v>4060</v>
      </c>
      <c r="T1131" s="22" t="s">
        <v>929</v>
      </c>
      <c r="U1131" s="1863" t="s">
        <v>301</v>
      </c>
      <c r="V1131" s="32" t="s">
        <v>931</v>
      </c>
      <c r="W1131" s="2006" t="s">
        <v>4723</v>
      </c>
      <c r="X1131" s="18" t="s">
        <v>4724</v>
      </c>
      <c r="Y1131" s="4"/>
      <c r="Z1131" s="4"/>
    </row>
    <row r="1132" spans="1:26" ht="42" hidden="1">
      <c r="A1132" s="20">
        <v>1139</v>
      </c>
      <c r="B1132" s="1063">
        <v>40909</v>
      </c>
      <c r="C1132" s="26" t="s">
        <v>2594</v>
      </c>
      <c r="D1132" s="11" t="s">
        <v>6</v>
      </c>
      <c r="E1132" s="26" t="s">
        <v>2722</v>
      </c>
      <c r="F1132" s="26" t="s">
        <v>2332</v>
      </c>
      <c r="G1132" s="26" t="s">
        <v>2608</v>
      </c>
      <c r="H1132" s="26" t="s">
        <v>429</v>
      </c>
      <c r="I1132" s="26" t="s">
        <v>429</v>
      </c>
      <c r="J1132" s="26" t="s">
        <v>2608</v>
      </c>
      <c r="K1132" s="26"/>
      <c r="L1132" s="26"/>
      <c r="M1132" s="26">
        <v>24</v>
      </c>
      <c r="N1132" s="26">
        <v>50</v>
      </c>
      <c r="O1132" s="26">
        <v>50</v>
      </c>
      <c r="P1132" s="26">
        <v>0</v>
      </c>
      <c r="Q1132" s="26">
        <f t="shared" si="57"/>
        <v>26</v>
      </c>
      <c r="R1132" s="1227">
        <v>32.46</v>
      </c>
      <c r="S1132" s="1228">
        <f t="shared" si="58"/>
        <v>1623</v>
      </c>
      <c r="T1132" s="22" t="s">
        <v>929</v>
      </c>
      <c r="U1132" s="1863" t="s">
        <v>301</v>
      </c>
      <c r="V1132" s="32" t="s">
        <v>931</v>
      </c>
      <c r="W1132" s="2006" t="s">
        <v>4725</v>
      </c>
      <c r="X1132" s="18" t="s">
        <v>4582</v>
      </c>
      <c r="Y1132" s="4"/>
      <c r="Z1132" s="4"/>
    </row>
    <row r="1133" spans="1:26" ht="42" hidden="1">
      <c r="A1133" s="20">
        <v>1140</v>
      </c>
      <c r="B1133" s="1063">
        <v>40910</v>
      </c>
      <c r="C1133" s="26" t="s">
        <v>2594</v>
      </c>
      <c r="D1133" s="11" t="s">
        <v>6</v>
      </c>
      <c r="E1133" s="26" t="s">
        <v>2722</v>
      </c>
      <c r="F1133" s="26" t="s">
        <v>2332</v>
      </c>
      <c r="G1133" s="26" t="s">
        <v>1524</v>
      </c>
      <c r="H1133" s="26" t="s">
        <v>429</v>
      </c>
      <c r="I1133" s="26" t="s">
        <v>429</v>
      </c>
      <c r="J1133" s="26" t="s">
        <v>1524</v>
      </c>
      <c r="K1133" s="26"/>
      <c r="L1133" s="26"/>
      <c r="M1133" s="26">
        <v>4</v>
      </c>
      <c r="N1133" s="26">
        <v>10</v>
      </c>
      <c r="O1133" s="26">
        <v>10</v>
      </c>
      <c r="P1133" s="26">
        <v>1</v>
      </c>
      <c r="Q1133" s="26">
        <f t="shared" si="57"/>
        <v>7</v>
      </c>
      <c r="R1133" s="1227">
        <v>44.7</v>
      </c>
      <c r="S1133" s="1228">
        <f t="shared" si="58"/>
        <v>447</v>
      </c>
      <c r="T1133" s="22" t="s">
        <v>929</v>
      </c>
      <c r="U1133" s="1863" t="s">
        <v>301</v>
      </c>
      <c r="V1133" s="32" t="s">
        <v>931</v>
      </c>
      <c r="W1133" s="2006" t="s">
        <v>4726</v>
      </c>
      <c r="X1133" s="18" t="s">
        <v>4724</v>
      </c>
      <c r="Y1133" s="4"/>
      <c r="Z1133" s="4"/>
    </row>
    <row r="1134" spans="1:26" ht="42" hidden="1">
      <c r="A1134" s="20">
        <v>1141</v>
      </c>
      <c r="B1134" s="1063">
        <v>40911</v>
      </c>
      <c r="C1134" s="26" t="s">
        <v>2594</v>
      </c>
      <c r="D1134" s="11" t="s">
        <v>6</v>
      </c>
      <c r="E1134" s="26" t="s">
        <v>2722</v>
      </c>
      <c r="F1134" s="26" t="s">
        <v>2332</v>
      </c>
      <c r="G1134" s="26" t="s">
        <v>2595</v>
      </c>
      <c r="H1134" s="26" t="s">
        <v>429</v>
      </c>
      <c r="I1134" s="26" t="s">
        <v>429</v>
      </c>
      <c r="J1134" s="26" t="s">
        <v>2595</v>
      </c>
      <c r="K1134" s="26"/>
      <c r="L1134" s="26"/>
      <c r="M1134" s="26">
        <v>12</v>
      </c>
      <c r="N1134" s="26">
        <v>10</v>
      </c>
      <c r="O1134" s="26">
        <v>20</v>
      </c>
      <c r="P1134" s="26">
        <v>10</v>
      </c>
      <c r="Q1134" s="26">
        <f t="shared" si="57"/>
        <v>18</v>
      </c>
      <c r="R1134" s="1227">
        <v>78.599999999999994</v>
      </c>
      <c r="S1134" s="1228">
        <f t="shared" si="58"/>
        <v>1572</v>
      </c>
      <c r="T1134" s="22" t="s">
        <v>929</v>
      </c>
      <c r="U1134" s="1863" t="s">
        <v>301</v>
      </c>
      <c r="V1134" s="32" t="s">
        <v>931</v>
      </c>
      <c r="W1134" s="2006" t="s">
        <v>4727</v>
      </c>
      <c r="X1134" s="18" t="s">
        <v>4724</v>
      </c>
      <c r="Y1134" s="4"/>
      <c r="Z1134" s="4"/>
    </row>
    <row r="1135" spans="1:26" ht="24.95" hidden="1">
      <c r="A1135" s="20">
        <v>1142</v>
      </c>
      <c r="B1135" s="1063">
        <v>40912</v>
      </c>
      <c r="C1135" s="26" t="s">
        <v>2096</v>
      </c>
      <c r="D1135" s="11" t="s">
        <v>6</v>
      </c>
      <c r="E1135" s="26" t="s">
        <v>2722</v>
      </c>
      <c r="F1135" s="26" t="s">
        <v>970</v>
      </c>
      <c r="G1135" s="110" t="s">
        <v>4728</v>
      </c>
      <c r="H1135" s="26" t="s">
        <v>2051</v>
      </c>
      <c r="I1135" s="26" t="s">
        <v>4729</v>
      </c>
      <c r="J1135" s="133" t="s">
        <v>4728</v>
      </c>
      <c r="K1135" s="133" t="s">
        <v>4728</v>
      </c>
      <c r="L1135" s="26" t="s">
        <v>4730</v>
      </c>
      <c r="M1135" s="26">
        <v>4</v>
      </c>
      <c r="N1135" s="26">
        <v>1</v>
      </c>
      <c r="O1135" s="26">
        <v>10</v>
      </c>
      <c r="P1135" s="26">
        <v>0</v>
      </c>
      <c r="Q1135" s="26">
        <v>10</v>
      </c>
      <c r="R1135" s="1209">
        <v>277.83</v>
      </c>
      <c r="S1135" s="1209">
        <v>2778</v>
      </c>
      <c r="T1135" s="22" t="s">
        <v>929</v>
      </c>
      <c r="U1135" s="1871" t="s">
        <v>1886</v>
      </c>
      <c r="V1135" s="32" t="s">
        <v>931</v>
      </c>
      <c r="W1135" s="2008" t="s">
        <v>4731</v>
      </c>
      <c r="X1135" s="18"/>
      <c r="Y1135" s="4"/>
      <c r="Z1135" s="4"/>
    </row>
    <row r="1136" spans="1:26" ht="24.95" hidden="1">
      <c r="A1136" s="20">
        <v>1143</v>
      </c>
      <c r="B1136" s="1063">
        <v>40913</v>
      </c>
      <c r="C1136" s="26" t="s">
        <v>2096</v>
      </c>
      <c r="D1136" s="11" t="s">
        <v>6</v>
      </c>
      <c r="E1136" s="26" t="s">
        <v>2722</v>
      </c>
      <c r="F1136" s="26" t="s">
        <v>970</v>
      </c>
      <c r="G1136" s="26" t="s">
        <v>4732</v>
      </c>
      <c r="H1136" s="26" t="s">
        <v>230</v>
      </c>
      <c r="I1136" s="26" t="s">
        <v>39</v>
      </c>
      <c r="J1136" s="26" t="s">
        <v>4733</v>
      </c>
      <c r="K1136" s="26" t="s">
        <v>4732</v>
      </c>
      <c r="L1136" s="26" t="s">
        <v>4734</v>
      </c>
      <c r="M1136" s="26">
        <v>4</v>
      </c>
      <c r="N1136" s="26">
        <v>5</v>
      </c>
      <c r="O1136" s="26">
        <v>5</v>
      </c>
      <c r="P1136" s="26">
        <v>0</v>
      </c>
      <c r="Q1136" s="26">
        <v>5</v>
      </c>
      <c r="R1136" s="1209">
        <v>100.2</v>
      </c>
      <c r="S1136" s="1209">
        <v>501</v>
      </c>
      <c r="T1136" s="22" t="s">
        <v>929</v>
      </c>
      <c r="U1136" s="1871" t="s">
        <v>1886</v>
      </c>
      <c r="V1136" s="32" t="s">
        <v>931</v>
      </c>
      <c r="W1136" s="2008" t="s">
        <v>4735</v>
      </c>
      <c r="X1136" s="18"/>
      <c r="Y1136" s="4"/>
      <c r="Z1136" s="4"/>
    </row>
    <row r="1137" spans="1:26" ht="24.95" hidden="1">
      <c r="A1137" s="20">
        <v>1144</v>
      </c>
      <c r="B1137" s="1063">
        <v>40914</v>
      </c>
      <c r="C1137" s="26" t="s">
        <v>2096</v>
      </c>
      <c r="D1137" s="11" t="s">
        <v>6</v>
      </c>
      <c r="E1137" s="26" t="s">
        <v>2722</v>
      </c>
      <c r="F1137" s="26" t="s">
        <v>970</v>
      </c>
      <c r="G1137" s="26" t="s">
        <v>4736</v>
      </c>
      <c r="H1137" s="26" t="s">
        <v>460</v>
      </c>
      <c r="I1137" s="26" t="s">
        <v>39</v>
      </c>
      <c r="J1137" s="110" t="s">
        <v>4737</v>
      </c>
      <c r="K1137" s="26" t="s">
        <v>4736</v>
      </c>
      <c r="L1137" s="26" t="s">
        <v>4730</v>
      </c>
      <c r="M1137" s="26">
        <v>4</v>
      </c>
      <c r="N1137" s="26">
        <v>10</v>
      </c>
      <c r="O1137" s="26">
        <v>10</v>
      </c>
      <c r="P1137" s="26">
        <v>0</v>
      </c>
      <c r="Q1137" s="26">
        <v>10</v>
      </c>
      <c r="R1137" s="1209">
        <v>198.6</v>
      </c>
      <c r="S1137" s="1209">
        <v>1986</v>
      </c>
      <c r="T1137" s="22" t="s">
        <v>929</v>
      </c>
      <c r="U1137" s="1871" t="s">
        <v>1886</v>
      </c>
      <c r="V1137" s="32" t="s">
        <v>931</v>
      </c>
      <c r="W1137" s="2008" t="s">
        <v>4738</v>
      </c>
      <c r="X1137" s="26"/>
      <c r="Y1137" s="71"/>
      <c r="Z1137" s="71"/>
    </row>
    <row r="1138" spans="1:26" ht="24.95" hidden="1">
      <c r="A1138" s="20">
        <v>1145</v>
      </c>
      <c r="B1138" s="1063">
        <v>40915</v>
      </c>
      <c r="C1138" s="26" t="s">
        <v>4739</v>
      </c>
      <c r="D1138" s="11" t="s">
        <v>6</v>
      </c>
      <c r="E1138" s="26" t="s">
        <v>2722</v>
      </c>
      <c r="F1138" s="26" t="s">
        <v>970</v>
      </c>
      <c r="G1138" s="26" t="s">
        <v>4740</v>
      </c>
      <c r="H1138" s="26" t="s">
        <v>1921</v>
      </c>
      <c r="I1138" s="26" t="s">
        <v>39</v>
      </c>
      <c r="J1138" s="26" t="s">
        <v>4741</v>
      </c>
      <c r="K1138" s="26" t="s">
        <v>4740</v>
      </c>
      <c r="L1138" s="26"/>
      <c r="M1138" s="26">
        <v>2</v>
      </c>
      <c r="N1138" s="26">
        <v>1</v>
      </c>
      <c r="O1138" s="26">
        <v>2</v>
      </c>
      <c r="P1138" s="26">
        <v>0</v>
      </c>
      <c r="Q1138" s="26">
        <v>2</v>
      </c>
      <c r="R1138" s="1209">
        <v>350</v>
      </c>
      <c r="S1138" s="1209">
        <v>700</v>
      </c>
      <c r="T1138" s="22" t="s">
        <v>929</v>
      </c>
      <c r="U1138" s="1871" t="s">
        <v>1886</v>
      </c>
      <c r="V1138" s="32" t="s">
        <v>931</v>
      </c>
      <c r="W1138" s="2008" t="s">
        <v>4742</v>
      </c>
      <c r="X1138" s="26"/>
      <c r="Y1138" s="71"/>
      <c r="Z1138" s="71"/>
    </row>
    <row r="1139" spans="1:26" ht="24.95" hidden="1">
      <c r="A1139" s="20">
        <v>1146</v>
      </c>
      <c r="B1139" s="1063">
        <v>40916</v>
      </c>
      <c r="C1139" s="26" t="s">
        <v>4739</v>
      </c>
      <c r="D1139" s="11" t="s">
        <v>6</v>
      </c>
      <c r="E1139" s="26" t="s">
        <v>2722</v>
      </c>
      <c r="F1139" s="26" t="s">
        <v>970</v>
      </c>
      <c r="G1139" s="26" t="s">
        <v>4743</v>
      </c>
      <c r="H1139" s="26" t="s">
        <v>1921</v>
      </c>
      <c r="I1139" s="26" t="s">
        <v>39</v>
      </c>
      <c r="J1139" s="26" t="s">
        <v>4744</v>
      </c>
      <c r="K1139" s="26" t="s">
        <v>4743</v>
      </c>
      <c r="L1139" s="26"/>
      <c r="M1139" s="26">
        <v>2</v>
      </c>
      <c r="N1139" s="26">
        <v>1</v>
      </c>
      <c r="O1139" s="26">
        <v>2</v>
      </c>
      <c r="P1139" s="26">
        <v>0</v>
      </c>
      <c r="Q1139" s="26">
        <v>2</v>
      </c>
      <c r="R1139" s="1209">
        <v>350</v>
      </c>
      <c r="S1139" s="1209">
        <v>700</v>
      </c>
      <c r="T1139" s="22" t="s">
        <v>929</v>
      </c>
      <c r="U1139" s="1871" t="s">
        <v>1886</v>
      </c>
      <c r="V1139" s="32" t="s">
        <v>931</v>
      </c>
      <c r="W1139" s="2008" t="s">
        <v>4745</v>
      </c>
      <c r="X1139" s="18"/>
      <c r="Y1139" s="4"/>
      <c r="Z1139" s="4"/>
    </row>
    <row r="1140" spans="1:26" ht="24.95" hidden="1">
      <c r="A1140" s="20">
        <v>1147</v>
      </c>
      <c r="B1140" s="1063">
        <v>40917</v>
      </c>
      <c r="C1140" s="26" t="s">
        <v>4739</v>
      </c>
      <c r="D1140" s="11" t="s">
        <v>6</v>
      </c>
      <c r="E1140" s="26" t="s">
        <v>2722</v>
      </c>
      <c r="F1140" s="26" t="s">
        <v>970</v>
      </c>
      <c r="G1140" s="26" t="s">
        <v>4746</v>
      </c>
      <c r="H1140" s="26" t="s">
        <v>1921</v>
      </c>
      <c r="I1140" s="26" t="s">
        <v>39</v>
      </c>
      <c r="J1140" s="26" t="s">
        <v>4747</v>
      </c>
      <c r="K1140" s="26" t="s">
        <v>4746</v>
      </c>
      <c r="L1140" s="26"/>
      <c r="M1140" s="26">
        <v>2</v>
      </c>
      <c r="N1140" s="26">
        <v>1</v>
      </c>
      <c r="O1140" s="26">
        <v>2</v>
      </c>
      <c r="P1140" s="26">
        <v>0</v>
      </c>
      <c r="Q1140" s="26">
        <v>2</v>
      </c>
      <c r="R1140" s="1209">
        <v>350</v>
      </c>
      <c r="S1140" s="1209">
        <v>700</v>
      </c>
      <c r="T1140" s="22" t="s">
        <v>929</v>
      </c>
      <c r="U1140" s="1871" t="s">
        <v>1886</v>
      </c>
      <c r="V1140" s="32" t="s">
        <v>931</v>
      </c>
      <c r="W1140" s="2008" t="s">
        <v>4748</v>
      </c>
      <c r="X1140" s="18"/>
      <c r="Y1140" s="4"/>
      <c r="Z1140" s="4"/>
    </row>
    <row r="1141" spans="1:26" ht="36" hidden="1">
      <c r="A1141" s="20">
        <v>1148</v>
      </c>
      <c r="B1141" s="1063">
        <v>40918</v>
      </c>
      <c r="C1141" s="54" t="s">
        <v>4749</v>
      </c>
      <c r="D1141" s="11" t="s">
        <v>6</v>
      </c>
      <c r="E1141" s="26" t="s">
        <v>2722</v>
      </c>
      <c r="F1141" s="54" t="s">
        <v>1398</v>
      </c>
      <c r="G1141" s="129" t="s">
        <v>4750</v>
      </c>
      <c r="H1141" s="129" t="s">
        <v>460</v>
      </c>
      <c r="I1141" s="129" t="s">
        <v>39</v>
      </c>
      <c r="J1141" s="129" t="s">
        <v>4751</v>
      </c>
      <c r="K1141" s="129" t="s">
        <v>4752</v>
      </c>
      <c r="L1141" s="129" t="s">
        <v>4753</v>
      </c>
      <c r="M1141" s="129">
        <v>2</v>
      </c>
      <c r="N1141" s="129">
        <v>5</v>
      </c>
      <c r="O1141" s="129">
        <v>5</v>
      </c>
      <c r="P1141" s="129">
        <v>0</v>
      </c>
      <c r="Q1141" s="129">
        <v>5</v>
      </c>
      <c r="R1141" s="1231">
        <v>66.2</v>
      </c>
      <c r="S1141" s="1231">
        <v>331</v>
      </c>
      <c r="T1141" s="129" t="s">
        <v>4669</v>
      </c>
      <c r="U1141" s="1876"/>
      <c r="V1141" s="129" t="s">
        <v>352</v>
      </c>
      <c r="W1141" s="2046" t="s">
        <v>4754</v>
      </c>
      <c r="X1141" s="129"/>
      <c r="Y1141" s="130"/>
      <c r="Z1141" s="130"/>
    </row>
    <row r="1142" spans="1:26" ht="36" hidden="1">
      <c r="A1142" s="20">
        <v>1149</v>
      </c>
      <c r="B1142" s="1063">
        <v>40919</v>
      </c>
      <c r="C1142" s="54" t="s">
        <v>4755</v>
      </c>
      <c r="D1142" s="11" t="s">
        <v>6</v>
      </c>
      <c r="E1142" s="26" t="s">
        <v>2722</v>
      </c>
      <c r="F1142" s="54" t="s">
        <v>1398</v>
      </c>
      <c r="G1142" s="129" t="s">
        <v>4756</v>
      </c>
      <c r="H1142" s="129" t="s">
        <v>460</v>
      </c>
      <c r="I1142" s="129" t="s">
        <v>39</v>
      </c>
      <c r="J1142" s="129" t="s">
        <v>4757</v>
      </c>
      <c r="K1142" s="129" t="s">
        <v>4758</v>
      </c>
      <c r="L1142" s="129" t="s">
        <v>4753</v>
      </c>
      <c r="M1142" s="129">
        <v>2</v>
      </c>
      <c r="N1142" s="129">
        <v>5</v>
      </c>
      <c r="O1142" s="129">
        <v>5</v>
      </c>
      <c r="P1142" s="129">
        <v>0</v>
      </c>
      <c r="Q1142" s="129">
        <v>5</v>
      </c>
      <c r="R1142" s="1231">
        <v>70.8</v>
      </c>
      <c r="S1142" s="1231">
        <v>354</v>
      </c>
      <c r="T1142" s="129" t="s">
        <v>4669</v>
      </c>
      <c r="U1142" s="1876"/>
      <c r="V1142" s="129" t="s">
        <v>352</v>
      </c>
      <c r="W1142" s="2046" t="s">
        <v>4759</v>
      </c>
      <c r="X1142" s="129"/>
      <c r="Y1142" s="130"/>
      <c r="Z1142" s="130"/>
    </row>
    <row r="1143" spans="1:26" ht="36" hidden="1">
      <c r="A1143" s="20">
        <v>1150</v>
      </c>
      <c r="B1143" s="1063">
        <v>40920</v>
      </c>
      <c r="C1143" s="54" t="s">
        <v>4760</v>
      </c>
      <c r="D1143" s="11" t="s">
        <v>6</v>
      </c>
      <c r="E1143" s="26" t="s">
        <v>2722</v>
      </c>
      <c r="F1143" s="54" t="s">
        <v>1398</v>
      </c>
      <c r="G1143" s="129" t="s">
        <v>4761</v>
      </c>
      <c r="H1143" s="129" t="s">
        <v>2786</v>
      </c>
      <c r="I1143" s="129" t="s">
        <v>39</v>
      </c>
      <c r="J1143" s="129" t="s">
        <v>4762</v>
      </c>
      <c r="K1143" s="129" t="s">
        <v>4763</v>
      </c>
      <c r="L1143" s="129"/>
      <c r="M1143" s="129">
        <v>30</v>
      </c>
      <c r="N1143" s="129">
        <v>10</v>
      </c>
      <c r="O1143" s="129">
        <v>30</v>
      </c>
      <c r="P1143" s="129">
        <v>0</v>
      </c>
      <c r="Q1143" s="129">
        <v>30</v>
      </c>
      <c r="R1143" s="1231">
        <v>48.2</v>
      </c>
      <c r="S1143" s="1231">
        <v>1446</v>
      </c>
      <c r="T1143" s="129" t="s">
        <v>4669</v>
      </c>
      <c r="U1143" s="1876"/>
      <c r="V1143" s="129" t="s">
        <v>352</v>
      </c>
      <c r="W1143" s="2046" t="s">
        <v>4764</v>
      </c>
      <c r="X1143" s="129"/>
      <c r="Y1143" s="130"/>
      <c r="Z1143" s="130"/>
    </row>
    <row r="1144" spans="1:26" ht="36" hidden="1">
      <c r="A1144" s="20">
        <v>1151</v>
      </c>
      <c r="B1144" s="1063">
        <v>40921</v>
      </c>
      <c r="C1144" s="54" t="s">
        <v>4765</v>
      </c>
      <c r="D1144" s="11" t="s">
        <v>6</v>
      </c>
      <c r="E1144" s="26" t="s">
        <v>2722</v>
      </c>
      <c r="F1144" s="54" t="s">
        <v>1398</v>
      </c>
      <c r="G1144" s="129" t="s">
        <v>1452</v>
      </c>
      <c r="H1144" s="129" t="s">
        <v>230</v>
      </c>
      <c r="I1144" s="129" t="s">
        <v>39</v>
      </c>
      <c r="J1144" s="129" t="s">
        <v>1454</v>
      </c>
      <c r="K1144" s="129" t="s">
        <v>1455</v>
      </c>
      <c r="L1144" s="129" t="s">
        <v>1861</v>
      </c>
      <c r="M1144" s="129">
        <v>4</v>
      </c>
      <c r="N1144" s="129">
        <v>2</v>
      </c>
      <c r="O1144" s="129">
        <v>4</v>
      </c>
      <c r="P1144" s="129">
        <v>0</v>
      </c>
      <c r="Q1144" s="129">
        <v>4</v>
      </c>
      <c r="R1144" s="1231">
        <v>593.5</v>
      </c>
      <c r="S1144" s="1231">
        <v>2374</v>
      </c>
      <c r="T1144" s="129" t="s">
        <v>4669</v>
      </c>
      <c r="U1144" s="1876"/>
      <c r="V1144" s="129" t="s">
        <v>352</v>
      </c>
      <c r="W1144" s="2046" t="s">
        <v>4766</v>
      </c>
      <c r="X1144" s="129"/>
      <c r="Y1144" s="130"/>
      <c r="Z1144" s="130"/>
    </row>
    <row r="1145" spans="1:26" ht="36" hidden="1">
      <c r="A1145" s="20">
        <v>1152</v>
      </c>
      <c r="B1145" s="1063">
        <v>40922</v>
      </c>
      <c r="C1145" s="54" t="s">
        <v>4767</v>
      </c>
      <c r="D1145" s="11" t="s">
        <v>6</v>
      </c>
      <c r="E1145" s="26" t="s">
        <v>2722</v>
      </c>
      <c r="F1145" s="54" t="s">
        <v>1398</v>
      </c>
      <c r="G1145" s="129" t="s">
        <v>4768</v>
      </c>
      <c r="H1145" s="129" t="s">
        <v>201</v>
      </c>
      <c r="I1145" s="129" t="s">
        <v>39</v>
      </c>
      <c r="J1145" s="129" t="s">
        <v>4769</v>
      </c>
      <c r="K1145" s="129" t="s">
        <v>4770</v>
      </c>
      <c r="L1145" s="129"/>
      <c r="M1145" s="129">
        <v>4</v>
      </c>
      <c r="N1145" s="129">
        <v>20</v>
      </c>
      <c r="O1145" s="129">
        <v>20</v>
      </c>
      <c r="P1145" s="129">
        <v>0</v>
      </c>
      <c r="Q1145" s="129">
        <v>20</v>
      </c>
      <c r="R1145" s="1231">
        <v>31.95</v>
      </c>
      <c r="S1145" s="1231">
        <v>639</v>
      </c>
      <c r="T1145" s="129" t="s">
        <v>4669</v>
      </c>
      <c r="U1145" s="1876"/>
      <c r="V1145" s="129" t="s">
        <v>352</v>
      </c>
      <c r="W1145" s="2046" t="s">
        <v>4771</v>
      </c>
      <c r="X1145" s="129"/>
      <c r="Y1145" s="130"/>
      <c r="Z1145" s="130"/>
    </row>
    <row r="1146" spans="1:26" ht="36" hidden="1">
      <c r="A1146" s="20">
        <v>1153</v>
      </c>
      <c r="B1146" s="1063">
        <v>40923</v>
      </c>
      <c r="C1146" s="54" t="s">
        <v>4772</v>
      </c>
      <c r="D1146" s="11" t="s">
        <v>6</v>
      </c>
      <c r="E1146" s="26" t="s">
        <v>2722</v>
      </c>
      <c r="F1146" s="54" t="s">
        <v>1398</v>
      </c>
      <c r="G1146" s="129" t="s">
        <v>4773</v>
      </c>
      <c r="H1146" s="129" t="s">
        <v>201</v>
      </c>
      <c r="I1146" s="129" t="s">
        <v>39</v>
      </c>
      <c r="J1146" s="129" t="s">
        <v>4774</v>
      </c>
      <c r="K1146" s="129" t="s">
        <v>4775</v>
      </c>
      <c r="L1146" s="129" t="s">
        <v>4776</v>
      </c>
      <c r="M1146" s="129">
        <v>26</v>
      </c>
      <c r="N1146" s="129">
        <v>50</v>
      </c>
      <c r="O1146" s="129">
        <v>50</v>
      </c>
      <c r="P1146" s="129">
        <v>0</v>
      </c>
      <c r="Q1146" s="129">
        <v>50</v>
      </c>
      <c r="R1146" s="1231">
        <v>9.1199999999999992</v>
      </c>
      <c r="S1146" s="1231">
        <v>456</v>
      </c>
      <c r="T1146" s="129" t="s">
        <v>4669</v>
      </c>
      <c r="U1146" s="1876"/>
      <c r="V1146" s="129" t="s">
        <v>352</v>
      </c>
      <c r="W1146" s="2046" t="s">
        <v>4777</v>
      </c>
      <c r="X1146" s="129"/>
      <c r="Y1146" s="130"/>
      <c r="Z1146" s="130"/>
    </row>
    <row r="1147" spans="1:26" ht="36" hidden="1">
      <c r="A1147" s="20">
        <v>1154</v>
      </c>
      <c r="B1147" s="1063">
        <v>40924</v>
      </c>
      <c r="C1147" s="54" t="s">
        <v>4778</v>
      </c>
      <c r="D1147" s="11" t="s">
        <v>6</v>
      </c>
      <c r="E1147" s="26" t="s">
        <v>2722</v>
      </c>
      <c r="F1147" s="54" t="s">
        <v>1398</v>
      </c>
      <c r="G1147" s="129" t="s">
        <v>4779</v>
      </c>
      <c r="H1147" s="129" t="s">
        <v>220</v>
      </c>
      <c r="I1147" s="129" t="s">
        <v>39</v>
      </c>
      <c r="J1147" s="129" t="s">
        <v>4780</v>
      </c>
      <c r="K1147" s="129" t="s">
        <v>4781</v>
      </c>
      <c r="L1147" s="129" t="s">
        <v>4782</v>
      </c>
      <c r="M1147" s="129">
        <v>15</v>
      </c>
      <c r="N1147" s="129">
        <v>5</v>
      </c>
      <c r="O1147" s="129">
        <v>15</v>
      </c>
      <c r="P1147" s="129">
        <v>0</v>
      </c>
      <c r="Q1147" s="129">
        <v>15</v>
      </c>
      <c r="R1147" s="1231">
        <v>22</v>
      </c>
      <c r="S1147" s="1231">
        <v>330</v>
      </c>
      <c r="T1147" s="129" t="s">
        <v>4669</v>
      </c>
      <c r="U1147" s="1876"/>
      <c r="V1147" s="129" t="s">
        <v>352</v>
      </c>
      <c r="W1147" s="2046" t="s">
        <v>4783</v>
      </c>
      <c r="X1147" s="129"/>
      <c r="Y1147" s="130"/>
      <c r="Z1147" s="130"/>
    </row>
    <row r="1148" spans="1:26" ht="36" hidden="1">
      <c r="A1148" s="20">
        <v>1155</v>
      </c>
      <c r="B1148" s="1063">
        <v>40925</v>
      </c>
      <c r="C1148" s="54" t="s">
        <v>4784</v>
      </c>
      <c r="D1148" s="11" t="s">
        <v>6</v>
      </c>
      <c r="E1148" s="26" t="s">
        <v>2722</v>
      </c>
      <c r="F1148" s="54" t="s">
        <v>1398</v>
      </c>
      <c r="G1148" s="129" t="s">
        <v>4785</v>
      </c>
      <c r="H1148" s="129" t="s">
        <v>220</v>
      </c>
      <c r="I1148" s="129" t="s">
        <v>39</v>
      </c>
      <c r="J1148" s="129" t="s">
        <v>4786</v>
      </c>
      <c r="K1148" s="129" t="s">
        <v>4787</v>
      </c>
      <c r="L1148" s="129" t="s">
        <v>4782</v>
      </c>
      <c r="M1148" s="129">
        <v>15</v>
      </c>
      <c r="N1148" s="129">
        <v>5</v>
      </c>
      <c r="O1148" s="129">
        <v>15</v>
      </c>
      <c r="P1148" s="129">
        <v>0</v>
      </c>
      <c r="Q1148" s="129">
        <v>15</v>
      </c>
      <c r="R1148" s="1231">
        <v>12.8</v>
      </c>
      <c r="S1148" s="1231">
        <v>192</v>
      </c>
      <c r="T1148" s="129" t="s">
        <v>4669</v>
      </c>
      <c r="U1148" s="1876"/>
      <c r="V1148" s="129" t="s">
        <v>352</v>
      </c>
      <c r="W1148" s="2046" t="s">
        <v>4788</v>
      </c>
      <c r="X1148" s="129"/>
      <c r="Y1148" s="130"/>
      <c r="Z1148" s="130"/>
    </row>
    <row r="1149" spans="1:26" ht="72" hidden="1">
      <c r="A1149" s="20">
        <v>1156</v>
      </c>
      <c r="B1149" s="1063">
        <v>40926</v>
      </c>
      <c r="C1149" s="54" t="s">
        <v>1797</v>
      </c>
      <c r="D1149" s="11" t="s">
        <v>6</v>
      </c>
      <c r="E1149" s="26" t="s">
        <v>2722</v>
      </c>
      <c r="F1149" s="54" t="s">
        <v>1398</v>
      </c>
      <c r="G1149" s="129" t="s">
        <v>4789</v>
      </c>
      <c r="H1149" s="129" t="s">
        <v>1751</v>
      </c>
      <c r="I1149" s="129" t="s">
        <v>53</v>
      </c>
      <c r="J1149" s="129" t="s">
        <v>4790</v>
      </c>
      <c r="K1149" s="129" t="s">
        <v>1911</v>
      </c>
      <c r="L1149" s="129" t="s">
        <v>4791</v>
      </c>
      <c r="M1149" s="129">
        <v>2</v>
      </c>
      <c r="N1149" s="129">
        <v>1</v>
      </c>
      <c r="O1149" s="129">
        <v>2</v>
      </c>
      <c r="P1149" s="129">
        <v>0</v>
      </c>
      <c r="Q1149" s="129">
        <v>2</v>
      </c>
      <c r="R1149" s="1231">
        <v>1330</v>
      </c>
      <c r="S1149" s="1231">
        <v>2660</v>
      </c>
      <c r="T1149" s="129" t="s">
        <v>4669</v>
      </c>
      <c r="U1149" s="1876"/>
      <c r="V1149" s="129" t="s">
        <v>352</v>
      </c>
      <c r="W1149" s="2046" t="s">
        <v>4792</v>
      </c>
      <c r="X1149" s="129"/>
      <c r="Y1149" s="130"/>
      <c r="Z1149" s="130"/>
    </row>
    <row r="1150" spans="1:26" ht="36" hidden="1">
      <c r="A1150" s="20">
        <v>1157</v>
      </c>
      <c r="B1150" s="1063">
        <v>40927</v>
      </c>
      <c r="C1150" s="54" t="s">
        <v>4793</v>
      </c>
      <c r="D1150" s="11" t="s">
        <v>6</v>
      </c>
      <c r="E1150" s="26" t="s">
        <v>2722</v>
      </c>
      <c r="F1150" s="54" t="s">
        <v>1398</v>
      </c>
      <c r="G1150" s="129" t="s">
        <v>4794</v>
      </c>
      <c r="H1150" s="129" t="s">
        <v>53</v>
      </c>
      <c r="I1150" s="129" t="s">
        <v>53</v>
      </c>
      <c r="J1150" s="129" t="s">
        <v>4795</v>
      </c>
      <c r="K1150" s="129" t="s">
        <v>4796</v>
      </c>
      <c r="L1150" s="129"/>
      <c r="M1150" s="129">
        <v>1</v>
      </c>
      <c r="N1150" s="129">
        <v>1</v>
      </c>
      <c r="O1150" s="129">
        <v>1</v>
      </c>
      <c r="P1150" s="129">
        <v>0</v>
      </c>
      <c r="Q1150" s="129">
        <v>1</v>
      </c>
      <c r="R1150" s="1231">
        <v>568</v>
      </c>
      <c r="S1150" s="1231">
        <v>568</v>
      </c>
      <c r="T1150" s="129" t="s">
        <v>4669</v>
      </c>
      <c r="U1150" s="1876"/>
      <c r="V1150" s="129" t="s">
        <v>352</v>
      </c>
      <c r="W1150" s="2046" t="s">
        <v>4797</v>
      </c>
      <c r="X1150" s="129"/>
      <c r="Y1150" s="130"/>
      <c r="Z1150" s="130"/>
    </row>
    <row r="1151" spans="1:26" ht="72" hidden="1">
      <c r="A1151" s="20">
        <v>1158</v>
      </c>
      <c r="B1151" s="1063">
        <v>40928</v>
      </c>
      <c r="C1151" s="54" t="s">
        <v>4798</v>
      </c>
      <c r="D1151" s="11" t="s">
        <v>6</v>
      </c>
      <c r="E1151" s="26" t="s">
        <v>2722</v>
      </c>
      <c r="F1151" s="54" t="s">
        <v>1398</v>
      </c>
      <c r="G1151" s="129" t="s">
        <v>4799</v>
      </c>
      <c r="H1151" s="129" t="s">
        <v>1803</v>
      </c>
      <c r="I1151" s="129" t="s">
        <v>53</v>
      </c>
      <c r="J1151" s="129" t="s">
        <v>4800</v>
      </c>
      <c r="K1151" s="129" t="s">
        <v>4798</v>
      </c>
      <c r="L1151" s="129" t="s">
        <v>4799</v>
      </c>
      <c r="M1151" s="129">
        <v>25</v>
      </c>
      <c r="N1151" s="129">
        <v>1</v>
      </c>
      <c r="O1151" s="129">
        <v>25</v>
      </c>
      <c r="P1151" s="129">
        <v>0</v>
      </c>
      <c r="Q1151" s="129">
        <v>25</v>
      </c>
      <c r="R1151" s="1231">
        <v>283</v>
      </c>
      <c r="S1151" s="1231">
        <v>7075</v>
      </c>
      <c r="T1151" s="129" t="s">
        <v>4669</v>
      </c>
      <c r="U1151" s="1876"/>
      <c r="V1151" s="129" t="s">
        <v>352</v>
      </c>
      <c r="W1151" s="2046" t="s">
        <v>4801</v>
      </c>
      <c r="X1151" s="129"/>
      <c r="Y1151" s="130"/>
      <c r="Z1151" s="130"/>
    </row>
    <row r="1152" spans="1:26" ht="18" hidden="1">
      <c r="A1152" s="20">
        <v>1159</v>
      </c>
      <c r="B1152" s="1063">
        <v>40929</v>
      </c>
      <c r="C1152" s="54" t="s">
        <v>4802</v>
      </c>
      <c r="D1152" s="11" t="s">
        <v>6</v>
      </c>
      <c r="E1152" s="26" t="s">
        <v>2722</v>
      </c>
      <c r="F1152" s="54" t="s">
        <v>1398</v>
      </c>
      <c r="G1152" s="129" t="s">
        <v>4803</v>
      </c>
      <c r="H1152" s="129" t="s">
        <v>1478</v>
      </c>
      <c r="I1152" s="129" t="s">
        <v>4804</v>
      </c>
      <c r="J1152" s="129" t="s">
        <v>4805</v>
      </c>
      <c r="K1152" s="129" t="s">
        <v>4806</v>
      </c>
      <c r="L1152" s="134" t="s">
        <v>4807</v>
      </c>
      <c r="M1152" s="129">
        <v>4</v>
      </c>
      <c r="N1152" s="129">
        <v>1</v>
      </c>
      <c r="O1152" s="129">
        <v>4</v>
      </c>
      <c r="P1152" s="129">
        <v>0</v>
      </c>
      <c r="Q1152" s="129">
        <v>4</v>
      </c>
      <c r="R1152" s="1231">
        <v>80</v>
      </c>
      <c r="S1152" s="1231">
        <v>320</v>
      </c>
      <c r="T1152" s="129" t="s">
        <v>4669</v>
      </c>
      <c r="U1152" s="1876"/>
      <c r="V1152" s="129" t="s">
        <v>352</v>
      </c>
      <c r="W1152" s="2046" t="s">
        <v>4808</v>
      </c>
      <c r="X1152" s="129"/>
      <c r="Y1152" s="130"/>
      <c r="Z1152" s="130"/>
    </row>
    <row r="1153" spans="1:26" ht="18" hidden="1">
      <c r="A1153" s="20">
        <v>1160</v>
      </c>
      <c r="B1153" s="1063">
        <v>40930</v>
      </c>
      <c r="C1153" s="908" t="s">
        <v>4809</v>
      </c>
      <c r="D1153" s="11" t="s">
        <v>6</v>
      </c>
      <c r="E1153" s="26" t="s">
        <v>2722</v>
      </c>
      <c r="F1153" s="54" t="s">
        <v>1398</v>
      </c>
      <c r="G1153" s="134" t="s">
        <v>4810</v>
      </c>
      <c r="H1153" s="129" t="s">
        <v>1478</v>
      </c>
      <c r="I1153" s="129" t="s">
        <v>4804</v>
      </c>
      <c r="J1153" s="129" t="s">
        <v>4811</v>
      </c>
      <c r="K1153" s="129" t="s">
        <v>4812</v>
      </c>
      <c r="L1153" s="129" t="s">
        <v>4813</v>
      </c>
      <c r="M1153" s="129">
        <v>1</v>
      </c>
      <c r="N1153" s="129">
        <v>1</v>
      </c>
      <c r="O1153" s="129">
        <v>1</v>
      </c>
      <c r="P1153" s="129">
        <v>0</v>
      </c>
      <c r="Q1153" s="129">
        <v>1</v>
      </c>
      <c r="R1153" s="1231">
        <v>50</v>
      </c>
      <c r="S1153" s="1231">
        <v>50</v>
      </c>
      <c r="T1153" s="129" t="s">
        <v>4669</v>
      </c>
      <c r="U1153" s="1876"/>
      <c r="V1153" s="129" t="s">
        <v>352</v>
      </c>
      <c r="W1153" s="2046" t="s">
        <v>4814</v>
      </c>
      <c r="X1153" s="129"/>
      <c r="Y1153" s="130"/>
      <c r="Z1153" s="130"/>
    </row>
    <row r="1154" spans="1:26" ht="27.95" hidden="1">
      <c r="A1154" s="20">
        <v>1161</v>
      </c>
      <c r="B1154" s="1063">
        <v>40931</v>
      </c>
      <c r="C1154" s="54" t="s">
        <v>4815</v>
      </c>
      <c r="D1154" s="11" t="s">
        <v>6</v>
      </c>
      <c r="E1154" s="26" t="s">
        <v>2722</v>
      </c>
      <c r="F1154" s="54" t="s">
        <v>1398</v>
      </c>
      <c r="G1154" s="129" t="s">
        <v>4816</v>
      </c>
      <c r="H1154" s="129" t="s">
        <v>4817</v>
      </c>
      <c r="I1154" s="129" t="s">
        <v>4804</v>
      </c>
      <c r="J1154" s="129" t="s">
        <v>4818</v>
      </c>
      <c r="K1154" s="129" t="s">
        <v>4819</v>
      </c>
      <c r="L1154" s="129"/>
      <c r="M1154" s="129">
        <v>3</v>
      </c>
      <c r="N1154" s="129">
        <v>1</v>
      </c>
      <c r="O1154" s="129">
        <v>3</v>
      </c>
      <c r="P1154" s="129">
        <v>0</v>
      </c>
      <c r="Q1154" s="129">
        <v>3</v>
      </c>
      <c r="R1154" s="1231">
        <v>20</v>
      </c>
      <c r="S1154" s="1231">
        <v>60</v>
      </c>
      <c r="T1154" s="129" t="s">
        <v>4669</v>
      </c>
      <c r="U1154" s="1876"/>
      <c r="V1154" s="129" t="s">
        <v>352</v>
      </c>
      <c r="W1154" s="2046" t="s">
        <v>4820</v>
      </c>
      <c r="X1154" s="129"/>
      <c r="Y1154" s="130"/>
      <c r="Z1154" s="130"/>
    </row>
    <row r="1155" spans="1:26" ht="18" hidden="1">
      <c r="A1155" s="20">
        <v>1162</v>
      </c>
      <c r="B1155" s="1063">
        <v>40932</v>
      </c>
      <c r="C1155" s="54" t="s">
        <v>4821</v>
      </c>
      <c r="D1155" s="11" t="s">
        <v>6</v>
      </c>
      <c r="E1155" s="26" t="s">
        <v>2722</v>
      </c>
      <c r="F1155" s="54" t="s">
        <v>1398</v>
      </c>
      <c r="G1155" s="129" t="s">
        <v>4822</v>
      </c>
      <c r="H1155" s="129" t="s">
        <v>4823</v>
      </c>
      <c r="I1155" s="129" t="s">
        <v>4804</v>
      </c>
      <c r="J1155" s="129" t="s">
        <v>4824</v>
      </c>
      <c r="K1155" s="129"/>
      <c r="L1155" s="129"/>
      <c r="M1155" s="129">
        <v>8</v>
      </c>
      <c r="N1155" s="129">
        <v>1</v>
      </c>
      <c r="O1155" s="129">
        <v>8</v>
      </c>
      <c r="P1155" s="129">
        <v>0</v>
      </c>
      <c r="Q1155" s="129">
        <v>8</v>
      </c>
      <c r="R1155" s="1231">
        <v>100</v>
      </c>
      <c r="S1155" s="1231">
        <v>800</v>
      </c>
      <c r="T1155" s="129" t="s">
        <v>4669</v>
      </c>
      <c r="U1155" s="1876"/>
      <c r="V1155" s="129" t="s">
        <v>352</v>
      </c>
      <c r="W1155" s="2046" t="s">
        <v>4825</v>
      </c>
      <c r="X1155" s="129"/>
      <c r="Y1155" s="130"/>
      <c r="Z1155" s="130"/>
    </row>
    <row r="1156" spans="1:26" ht="18" hidden="1">
      <c r="A1156" s="20">
        <v>1163</v>
      </c>
      <c r="B1156" s="1063">
        <v>40933</v>
      </c>
      <c r="C1156" s="909" t="s">
        <v>4826</v>
      </c>
      <c r="D1156" s="11" t="s">
        <v>6</v>
      </c>
      <c r="E1156" s="26" t="s">
        <v>2722</v>
      </c>
      <c r="F1156" s="909" t="s">
        <v>1398</v>
      </c>
      <c r="G1156" s="135" t="s">
        <v>4827</v>
      </c>
      <c r="H1156" s="135" t="s">
        <v>4828</v>
      </c>
      <c r="I1156" s="135" t="s">
        <v>4804</v>
      </c>
      <c r="J1156" s="135" t="s">
        <v>4829</v>
      </c>
      <c r="K1156" s="135" t="s">
        <v>4830</v>
      </c>
      <c r="L1156" s="135"/>
      <c r="M1156" s="135">
        <v>3</v>
      </c>
      <c r="N1156" s="135">
        <v>1</v>
      </c>
      <c r="O1156" s="135">
        <v>3</v>
      </c>
      <c r="P1156" s="135">
        <v>0</v>
      </c>
      <c r="Q1156" s="135">
        <v>3</v>
      </c>
      <c r="R1156" s="1232">
        <v>100</v>
      </c>
      <c r="S1156" s="1232">
        <v>300</v>
      </c>
      <c r="T1156" s="135" t="s">
        <v>4669</v>
      </c>
      <c r="U1156" s="1877"/>
      <c r="V1156" s="129" t="s">
        <v>352</v>
      </c>
      <c r="W1156" s="626" t="s">
        <v>4831</v>
      </c>
      <c r="X1156" s="135"/>
      <c r="Y1156" s="130"/>
      <c r="Z1156" s="130"/>
    </row>
    <row r="1157" spans="1:26" ht="33.6" hidden="1">
      <c r="A1157" s="20">
        <v>1164</v>
      </c>
      <c r="B1157" s="1063">
        <v>40934</v>
      </c>
      <c r="C1157" s="910" t="s">
        <v>4832</v>
      </c>
      <c r="D1157" s="11" t="s">
        <v>6</v>
      </c>
      <c r="E1157" s="26" t="s">
        <v>2722</v>
      </c>
      <c r="F1157" s="54" t="s">
        <v>1398</v>
      </c>
      <c r="G1157" s="136" t="s">
        <v>4833</v>
      </c>
      <c r="H1157" s="136" t="s">
        <v>4834</v>
      </c>
      <c r="I1157" s="129" t="s">
        <v>4804</v>
      </c>
      <c r="J1157" s="129" t="s">
        <v>4835</v>
      </c>
      <c r="K1157" s="129" t="s">
        <v>4836</v>
      </c>
      <c r="L1157" s="136" t="s">
        <v>4837</v>
      </c>
      <c r="M1157" s="129">
        <v>4</v>
      </c>
      <c r="N1157" s="129">
        <v>1</v>
      </c>
      <c r="O1157" s="129">
        <v>4</v>
      </c>
      <c r="P1157" s="129">
        <v>0</v>
      </c>
      <c r="Q1157" s="129">
        <v>4</v>
      </c>
      <c r="R1157" s="1231">
        <v>140</v>
      </c>
      <c r="S1157" s="1231">
        <v>560</v>
      </c>
      <c r="T1157" s="129" t="s">
        <v>4669</v>
      </c>
      <c r="U1157" s="1876"/>
      <c r="V1157" s="129" t="s">
        <v>352</v>
      </c>
      <c r="W1157" s="2046" t="s">
        <v>4838</v>
      </c>
      <c r="X1157" s="129"/>
      <c r="Y1157" s="130"/>
      <c r="Z1157" s="130"/>
    </row>
    <row r="1158" spans="1:26" ht="18" hidden="1">
      <c r="A1158" s="20">
        <v>1165</v>
      </c>
      <c r="B1158" s="1063">
        <v>40935</v>
      </c>
      <c r="C1158" s="910" t="s">
        <v>4839</v>
      </c>
      <c r="D1158" s="11" t="s">
        <v>6</v>
      </c>
      <c r="E1158" s="26" t="s">
        <v>2722</v>
      </c>
      <c r="F1158" s="54" t="s">
        <v>1398</v>
      </c>
      <c r="G1158" s="136" t="s">
        <v>4810</v>
      </c>
      <c r="H1158" s="129" t="s">
        <v>1478</v>
      </c>
      <c r="I1158" s="129" t="s">
        <v>4804</v>
      </c>
      <c r="J1158" s="129" t="s">
        <v>1479</v>
      </c>
      <c r="K1158" s="129" t="s">
        <v>1480</v>
      </c>
      <c r="L1158" s="129"/>
      <c r="M1158" s="129">
        <v>6</v>
      </c>
      <c r="N1158" s="129">
        <v>1</v>
      </c>
      <c r="O1158" s="129">
        <v>6</v>
      </c>
      <c r="P1158" s="129">
        <v>2</v>
      </c>
      <c r="Q1158" s="129">
        <v>8</v>
      </c>
      <c r="R1158" s="1231">
        <v>35</v>
      </c>
      <c r="S1158" s="1231">
        <v>210</v>
      </c>
      <c r="T1158" s="129" t="s">
        <v>4669</v>
      </c>
      <c r="U1158" s="1876"/>
      <c r="V1158" s="129" t="s">
        <v>352</v>
      </c>
      <c r="W1158" s="2046" t="s">
        <v>1481</v>
      </c>
      <c r="X1158" s="129"/>
      <c r="Y1158" s="130"/>
      <c r="Z1158" s="130"/>
    </row>
    <row r="1159" spans="1:26" ht="18" hidden="1">
      <c r="A1159" s="20">
        <v>1166</v>
      </c>
      <c r="B1159" s="1063">
        <v>40936</v>
      </c>
      <c r="C1159" s="911" t="s">
        <v>1595</v>
      </c>
      <c r="D1159" s="11" t="s">
        <v>6</v>
      </c>
      <c r="E1159" s="26" t="s">
        <v>2722</v>
      </c>
      <c r="F1159" s="54" t="s">
        <v>1398</v>
      </c>
      <c r="G1159" s="137" t="s">
        <v>4840</v>
      </c>
      <c r="H1159" s="137" t="s">
        <v>4841</v>
      </c>
      <c r="I1159" s="129" t="s">
        <v>4804</v>
      </c>
      <c r="J1159" s="129" t="s">
        <v>1598</v>
      </c>
      <c r="K1159" s="129" t="s">
        <v>1599</v>
      </c>
      <c r="L1159" s="137" t="s">
        <v>1595</v>
      </c>
      <c r="M1159" s="129">
        <v>8</v>
      </c>
      <c r="N1159" s="129">
        <v>1</v>
      </c>
      <c r="O1159" s="129">
        <v>8</v>
      </c>
      <c r="P1159" s="129">
        <v>2</v>
      </c>
      <c r="Q1159" s="129">
        <v>10</v>
      </c>
      <c r="R1159" s="1231">
        <v>20</v>
      </c>
      <c r="S1159" s="1231">
        <v>160</v>
      </c>
      <c r="T1159" s="129" t="s">
        <v>4669</v>
      </c>
      <c r="U1159" s="1876"/>
      <c r="V1159" s="129" t="s">
        <v>352</v>
      </c>
      <c r="W1159" s="2046" t="s">
        <v>1600</v>
      </c>
      <c r="X1159" s="129"/>
      <c r="Y1159" s="130"/>
      <c r="Z1159" s="130"/>
    </row>
    <row r="1160" spans="1:26" ht="14.1" hidden="1">
      <c r="A1160" s="20">
        <v>1167</v>
      </c>
      <c r="B1160" s="1063">
        <v>40937</v>
      </c>
      <c r="C1160" s="26" t="s">
        <v>4842</v>
      </c>
      <c r="D1160" s="11"/>
      <c r="E1160" s="26" t="s">
        <v>62</v>
      </c>
      <c r="F1160" s="26" t="s">
        <v>2693</v>
      </c>
      <c r="G1160" s="26"/>
      <c r="H1160" s="26"/>
      <c r="I1160" s="26" t="s">
        <v>4843</v>
      </c>
      <c r="J1160" s="26"/>
      <c r="K1160" s="26"/>
      <c r="L1160" s="26"/>
      <c r="M1160" s="26">
        <v>1</v>
      </c>
      <c r="N1160" s="26">
        <v>1</v>
      </c>
      <c r="O1160" s="26">
        <v>1</v>
      </c>
      <c r="P1160" s="26"/>
      <c r="Q1160" s="26"/>
      <c r="R1160" s="1209">
        <v>2731.48</v>
      </c>
      <c r="S1160" s="1209">
        <v>2731.48</v>
      </c>
      <c r="T1160" s="26"/>
      <c r="U1160" s="1871"/>
      <c r="V1160" s="26"/>
      <c r="W1160" s="2008" t="s">
        <v>4844</v>
      </c>
      <c r="X1160" s="18"/>
      <c r="Y1160" s="4"/>
      <c r="Z1160" s="4"/>
    </row>
    <row r="1161" spans="1:26" ht="38.1" hidden="1">
      <c r="A1161" s="20">
        <v>1168</v>
      </c>
      <c r="B1161" s="1063">
        <v>40938</v>
      </c>
      <c r="C1161" s="617" t="s">
        <v>3940</v>
      </c>
      <c r="D1161" s="11" t="s">
        <v>6</v>
      </c>
      <c r="E1161" s="26" t="s">
        <v>2722</v>
      </c>
      <c r="F1161" s="617" t="s">
        <v>2143</v>
      </c>
      <c r="G1161" s="627" t="s">
        <v>3941</v>
      </c>
      <c r="H1161" s="627" t="s">
        <v>3898</v>
      </c>
      <c r="I1161" s="627" t="s">
        <v>574</v>
      </c>
      <c r="J1161" s="627" t="s">
        <v>3942</v>
      </c>
      <c r="K1161" s="627" t="s">
        <v>3943</v>
      </c>
      <c r="L1161" s="627" t="s">
        <v>3906</v>
      </c>
      <c r="M1161" s="627">
        <v>3</v>
      </c>
      <c r="N1161" s="627">
        <v>1</v>
      </c>
      <c r="O1161" s="627">
        <v>5</v>
      </c>
      <c r="P1161" s="627">
        <v>0</v>
      </c>
      <c r="Q1161" s="627">
        <v>2</v>
      </c>
      <c r="R1161" s="1233">
        <v>651</v>
      </c>
      <c r="S1161" s="1233">
        <f t="shared" ref="S1161:S1164" si="59">R1161*O1161</f>
        <v>3255</v>
      </c>
      <c r="T1161" s="627" t="s">
        <v>929</v>
      </c>
      <c r="U1161" s="1878" t="s">
        <v>3094</v>
      </c>
      <c r="V1161" s="1836" t="s">
        <v>104</v>
      </c>
      <c r="W1161" s="628" t="s">
        <v>3944</v>
      </c>
      <c r="X1161" s="629"/>
      <c r="Y1161" s="110"/>
      <c r="Z1161" s="110"/>
    </row>
    <row r="1162" spans="1:26" ht="14.1" hidden="1">
      <c r="A1162" s="20">
        <v>1169</v>
      </c>
      <c r="B1162" s="1063">
        <v>40939</v>
      </c>
      <c r="C1162" s="26" t="s">
        <v>3940</v>
      </c>
      <c r="D1162" s="11" t="s">
        <v>6</v>
      </c>
      <c r="E1162" s="26" t="s">
        <v>2722</v>
      </c>
      <c r="F1162" s="26" t="s">
        <v>2143</v>
      </c>
      <c r="G1162" s="138" t="s">
        <v>4845</v>
      </c>
      <c r="H1162" s="26" t="s">
        <v>4172</v>
      </c>
      <c r="I1162" s="26" t="s">
        <v>4172</v>
      </c>
      <c r="J1162" s="26"/>
      <c r="K1162" s="26"/>
      <c r="L1162" s="26"/>
      <c r="M1162" s="26">
        <v>2</v>
      </c>
      <c r="N1162" s="26">
        <v>1</v>
      </c>
      <c r="O1162" s="26">
        <v>2</v>
      </c>
      <c r="P1162" s="26">
        <v>0</v>
      </c>
      <c r="Q1162" s="26">
        <v>0</v>
      </c>
      <c r="R1162" s="1209">
        <v>2021</v>
      </c>
      <c r="S1162" s="1209">
        <f t="shared" si="59"/>
        <v>4042</v>
      </c>
      <c r="T1162" s="26" t="s">
        <v>929</v>
      </c>
      <c r="U1162" s="1871" t="s">
        <v>4846</v>
      </c>
      <c r="V1162" s="26" t="s">
        <v>104</v>
      </c>
      <c r="W1162" s="2037" t="s">
        <v>4847</v>
      </c>
      <c r="X1162" s="26"/>
      <c r="Y1162" s="71"/>
      <c r="Z1162" s="71"/>
    </row>
    <row r="1163" spans="1:26" ht="24.95" hidden="1">
      <c r="A1163" s="20">
        <v>1170</v>
      </c>
      <c r="B1163" s="1063">
        <v>40940</v>
      </c>
      <c r="C1163" s="26" t="s">
        <v>3940</v>
      </c>
      <c r="D1163" s="11" t="s">
        <v>6</v>
      </c>
      <c r="E1163" s="26" t="s">
        <v>2722</v>
      </c>
      <c r="F1163" s="26" t="s">
        <v>2143</v>
      </c>
      <c r="G1163" s="108" t="s">
        <v>4848</v>
      </c>
      <c r="H1163" s="108" t="s">
        <v>4849</v>
      </c>
      <c r="I1163" s="26" t="s">
        <v>574</v>
      </c>
      <c r="J1163" s="108" t="s">
        <v>4850</v>
      </c>
      <c r="K1163" s="108" t="s">
        <v>4851</v>
      </c>
      <c r="L1163" s="26" t="s">
        <v>3951</v>
      </c>
      <c r="M1163" s="26">
        <v>1</v>
      </c>
      <c r="N1163" s="26">
        <v>1</v>
      </c>
      <c r="O1163" s="26">
        <v>3</v>
      </c>
      <c r="P1163" s="26">
        <v>0</v>
      </c>
      <c r="Q1163" s="26">
        <v>2</v>
      </c>
      <c r="R1163" s="1209">
        <v>362</v>
      </c>
      <c r="S1163" s="1209">
        <f t="shared" si="59"/>
        <v>1086</v>
      </c>
      <c r="T1163" s="26" t="s">
        <v>929</v>
      </c>
      <c r="U1163" s="1871" t="s">
        <v>3094</v>
      </c>
      <c r="V1163" s="26" t="s">
        <v>104</v>
      </c>
      <c r="W1163" s="2037" t="s">
        <v>4852</v>
      </c>
      <c r="X1163" s="18"/>
      <c r="Y1163" s="4"/>
      <c r="Z1163" s="4"/>
    </row>
    <row r="1164" spans="1:26" ht="24.95" hidden="1">
      <c r="A1164" s="20">
        <v>1171</v>
      </c>
      <c r="B1164" s="1063">
        <v>40941</v>
      </c>
      <c r="C1164" s="26" t="s">
        <v>3940</v>
      </c>
      <c r="D1164" s="11" t="s">
        <v>6</v>
      </c>
      <c r="E1164" s="26" t="s">
        <v>2722</v>
      </c>
      <c r="F1164" s="26" t="s">
        <v>2143</v>
      </c>
      <c r="G1164" s="630" t="s">
        <v>4853</v>
      </c>
      <c r="H1164" s="26" t="s">
        <v>671</v>
      </c>
      <c r="I1164" s="26" t="s">
        <v>574</v>
      </c>
      <c r="J1164" s="26" t="s">
        <v>4854</v>
      </c>
      <c r="K1164" s="26" t="s">
        <v>4855</v>
      </c>
      <c r="L1164" s="26" t="s">
        <v>4856</v>
      </c>
      <c r="M1164" s="26">
        <v>2</v>
      </c>
      <c r="N1164" s="26">
        <v>1</v>
      </c>
      <c r="O1164" s="26">
        <v>3</v>
      </c>
      <c r="P1164" s="26">
        <v>0</v>
      </c>
      <c r="Q1164" s="26">
        <v>1</v>
      </c>
      <c r="R1164" s="1209">
        <v>1941</v>
      </c>
      <c r="S1164" s="1209">
        <f t="shared" si="59"/>
        <v>5823</v>
      </c>
      <c r="T1164" s="26" t="s">
        <v>929</v>
      </c>
      <c r="U1164" s="1871" t="s">
        <v>4857</v>
      </c>
      <c r="V1164" s="26" t="s">
        <v>104</v>
      </c>
      <c r="W1164" s="2037" t="s">
        <v>4858</v>
      </c>
      <c r="X1164" s="18"/>
      <c r="Y1164" s="4"/>
      <c r="Z1164" s="4"/>
    </row>
    <row r="1165" spans="1:26" ht="14.1" hidden="1">
      <c r="A1165" s="20">
        <v>1172</v>
      </c>
      <c r="B1165" s="1063">
        <v>40942</v>
      </c>
      <c r="C1165" s="139" t="s">
        <v>4859</v>
      </c>
      <c r="D1165" s="11" t="s">
        <v>6</v>
      </c>
      <c r="E1165" s="139" t="s">
        <v>62</v>
      </c>
      <c r="F1165" s="139" t="s">
        <v>404</v>
      </c>
      <c r="G1165" s="140" t="s">
        <v>4860</v>
      </c>
      <c r="H1165" s="139" t="s">
        <v>1</v>
      </c>
      <c r="I1165" s="139" t="s">
        <v>310</v>
      </c>
      <c r="J1165" s="141" t="s">
        <v>1</v>
      </c>
      <c r="K1165" s="139" t="s">
        <v>1</v>
      </c>
      <c r="L1165" s="139" t="s">
        <v>1</v>
      </c>
      <c r="M1165" s="139">
        <v>1</v>
      </c>
      <c r="N1165" s="139">
        <v>1</v>
      </c>
      <c r="O1165" s="139">
        <v>1</v>
      </c>
      <c r="P1165" s="139">
        <v>0</v>
      </c>
      <c r="Q1165" s="139">
        <v>0</v>
      </c>
      <c r="R1165" s="1234">
        <v>980</v>
      </c>
      <c r="S1165" s="1234">
        <v>980</v>
      </c>
      <c r="T1165" s="139" t="s">
        <v>1</v>
      </c>
      <c r="U1165" s="1879" t="s">
        <v>4861</v>
      </c>
      <c r="V1165" s="139" t="s">
        <v>4862</v>
      </c>
      <c r="W1165" s="2047"/>
      <c r="X1165" s="56"/>
      <c r="Y1165" s="57"/>
      <c r="Z1165" s="57"/>
    </row>
    <row r="1166" spans="1:26" ht="24.95" hidden="1">
      <c r="A1166" s="20">
        <v>1173</v>
      </c>
      <c r="B1166" s="1063">
        <v>40943</v>
      </c>
      <c r="C1166" s="26" t="s">
        <v>4863</v>
      </c>
      <c r="D1166" s="11" t="s">
        <v>6</v>
      </c>
      <c r="E1166" s="26" t="s">
        <v>62</v>
      </c>
      <c r="F1166" s="26" t="s">
        <v>404</v>
      </c>
      <c r="G1166" s="627" t="s">
        <v>4864</v>
      </c>
      <c r="H1166" s="26" t="s">
        <v>4865</v>
      </c>
      <c r="I1166" s="26" t="s">
        <v>39</v>
      </c>
      <c r="J1166" s="26" t="s">
        <v>4866</v>
      </c>
      <c r="K1166" s="26" t="s">
        <v>4867</v>
      </c>
      <c r="L1166" s="26" t="s">
        <v>1</v>
      </c>
      <c r="M1166" s="26">
        <v>1</v>
      </c>
      <c r="N1166" s="26">
        <v>1</v>
      </c>
      <c r="O1166" s="26">
        <v>1</v>
      </c>
      <c r="P1166" s="26">
        <v>0</v>
      </c>
      <c r="Q1166" s="26">
        <v>0</v>
      </c>
      <c r="R1166" s="1209">
        <v>3314</v>
      </c>
      <c r="S1166" s="1209">
        <v>3579</v>
      </c>
      <c r="T1166" s="26" t="s">
        <v>1</v>
      </c>
      <c r="U1166" s="1871" t="s">
        <v>4861</v>
      </c>
      <c r="V1166" s="26" t="s">
        <v>4862</v>
      </c>
      <c r="W1166" s="2008" t="s">
        <v>4868</v>
      </c>
      <c r="X1166" s="18"/>
      <c r="Y1166" s="4"/>
      <c r="Z1166" s="4"/>
    </row>
    <row r="1167" spans="1:26" ht="24.95" hidden="1">
      <c r="A1167" s="20">
        <v>1174</v>
      </c>
      <c r="B1167" s="1063">
        <v>40944</v>
      </c>
      <c r="C1167" s="26" t="s">
        <v>4869</v>
      </c>
      <c r="D1167" s="11"/>
      <c r="E1167" s="26" t="s">
        <v>2722</v>
      </c>
      <c r="F1167" s="26" t="s">
        <v>2450</v>
      </c>
      <c r="G1167" s="26" t="s">
        <v>4870</v>
      </c>
      <c r="H1167" s="26" t="s">
        <v>4871</v>
      </c>
      <c r="I1167" s="26" t="s">
        <v>84</v>
      </c>
      <c r="J1167" s="26">
        <v>49002493</v>
      </c>
      <c r="K1167" s="26" t="s">
        <v>4872</v>
      </c>
      <c r="L1167" s="26"/>
      <c r="M1167" s="26">
        <v>1</v>
      </c>
      <c r="N1167" s="26">
        <v>1</v>
      </c>
      <c r="O1167" s="26">
        <v>1</v>
      </c>
      <c r="P1167" s="26">
        <v>0</v>
      </c>
      <c r="Q1167" s="26">
        <v>0</v>
      </c>
      <c r="R1167" s="1209">
        <v>22500</v>
      </c>
      <c r="S1167" s="1209">
        <v>22500</v>
      </c>
      <c r="T1167" s="26" t="s">
        <v>1957</v>
      </c>
      <c r="U1167" s="1871" t="s">
        <v>4620</v>
      </c>
      <c r="V1167" s="26" t="s">
        <v>4873</v>
      </c>
      <c r="W1167" s="2008" t="s">
        <v>4874</v>
      </c>
      <c r="X1167" s="26"/>
      <c r="Y1167" s="71"/>
      <c r="Z1167" s="71"/>
    </row>
    <row r="1168" spans="1:26" ht="24.95" hidden="1">
      <c r="A1168" s="20">
        <v>1175</v>
      </c>
      <c r="B1168" s="1063">
        <v>40945</v>
      </c>
      <c r="C1168" s="26" t="s">
        <v>4875</v>
      </c>
      <c r="D1168" s="11"/>
      <c r="E1168" s="26" t="s">
        <v>62</v>
      </c>
      <c r="F1168" s="26" t="s">
        <v>2876</v>
      </c>
      <c r="G1168" s="142" t="s">
        <v>4876</v>
      </c>
      <c r="H1168" s="26" t="s">
        <v>166</v>
      </c>
      <c r="I1168" s="26" t="s">
        <v>39</v>
      </c>
      <c r="J1168" s="110" t="s">
        <v>4877</v>
      </c>
      <c r="K1168" s="110" t="s">
        <v>4878</v>
      </c>
      <c r="L1168" s="26"/>
      <c r="M1168" s="26">
        <v>4</v>
      </c>
      <c r="N1168" s="26">
        <v>2</v>
      </c>
      <c r="O1168" s="26">
        <v>4</v>
      </c>
      <c r="P1168" s="26">
        <v>0</v>
      </c>
      <c r="Q1168" s="26">
        <v>4</v>
      </c>
      <c r="R1168" s="1209">
        <v>512.5</v>
      </c>
      <c r="S1168" s="1209">
        <f t="shared" ref="S1168:S1170" si="60">Q1168*R1168</f>
        <v>2050</v>
      </c>
      <c r="T1168" s="26" t="s">
        <v>311</v>
      </c>
      <c r="U1168" s="1871" t="s">
        <v>311</v>
      </c>
      <c r="V1168" s="26" t="s">
        <v>4879</v>
      </c>
      <c r="W1168" s="2008" t="s">
        <v>4880</v>
      </c>
      <c r="X1168" s="26"/>
      <c r="Y1168" s="71"/>
      <c r="Z1168" s="71"/>
    </row>
    <row r="1169" spans="1:26" ht="24.95" hidden="1">
      <c r="A1169" s="20">
        <v>1176</v>
      </c>
      <c r="B1169" s="1063">
        <v>40946</v>
      </c>
      <c r="C1169" s="912" t="s">
        <v>4881</v>
      </c>
      <c r="D1169" s="11" t="s">
        <v>6</v>
      </c>
      <c r="E1169" s="26" t="s">
        <v>62</v>
      </c>
      <c r="F1169" s="26" t="s">
        <v>2876</v>
      </c>
      <c r="G1169" s="142" t="s">
        <v>4882</v>
      </c>
      <c r="H1169" s="26" t="s">
        <v>4306</v>
      </c>
      <c r="I1169" s="26" t="s">
        <v>39</v>
      </c>
      <c r="J1169" s="110" t="s">
        <v>4883</v>
      </c>
      <c r="K1169" s="110" t="s">
        <v>4884</v>
      </c>
      <c r="L1169" s="26"/>
      <c r="M1169" s="26">
        <v>1</v>
      </c>
      <c r="N1169" s="26">
        <v>1</v>
      </c>
      <c r="O1169" s="26">
        <v>1</v>
      </c>
      <c r="P1169" s="26">
        <v>0</v>
      </c>
      <c r="Q1169" s="26">
        <v>1</v>
      </c>
      <c r="R1169" s="1209">
        <v>2447</v>
      </c>
      <c r="S1169" s="1209">
        <f t="shared" si="60"/>
        <v>2447</v>
      </c>
      <c r="T1169" s="26" t="s">
        <v>311</v>
      </c>
      <c r="U1169" s="1871" t="s">
        <v>311</v>
      </c>
      <c r="V1169" s="26" t="s">
        <v>4879</v>
      </c>
      <c r="W1169" s="2037" t="s">
        <v>4885</v>
      </c>
      <c r="X1169" s="18"/>
      <c r="Y1169" s="4"/>
      <c r="Z1169" s="4"/>
    </row>
    <row r="1170" spans="1:26" ht="50.1" hidden="1">
      <c r="A1170" s="20">
        <v>1177</v>
      </c>
      <c r="B1170" s="1063">
        <v>40947</v>
      </c>
      <c r="C1170" s="26" t="s">
        <v>4886</v>
      </c>
      <c r="D1170" s="11" t="s">
        <v>6</v>
      </c>
      <c r="E1170" s="26" t="s">
        <v>62</v>
      </c>
      <c r="F1170" s="26" t="s">
        <v>2876</v>
      </c>
      <c r="G1170" s="108" t="s">
        <v>4887</v>
      </c>
      <c r="H1170" s="26" t="s">
        <v>4888</v>
      </c>
      <c r="I1170" s="26" t="s">
        <v>574</v>
      </c>
      <c r="J1170" s="108" t="s">
        <v>4889</v>
      </c>
      <c r="K1170" s="108" t="s">
        <v>4890</v>
      </c>
      <c r="L1170" s="26" t="s">
        <v>4179</v>
      </c>
      <c r="M1170" s="26">
        <v>4</v>
      </c>
      <c r="N1170" s="26">
        <v>1</v>
      </c>
      <c r="O1170" s="26">
        <v>4</v>
      </c>
      <c r="P1170" s="26">
        <v>0</v>
      </c>
      <c r="Q1170" s="26">
        <v>4</v>
      </c>
      <c r="R1170" s="1209">
        <v>80</v>
      </c>
      <c r="S1170" s="1209">
        <f t="shared" si="60"/>
        <v>320</v>
      </c>
      <c r="T1170" s="26" t="s">
        <v>422</v>
      </c>
      <c r="U1170" s="1871" t="s">
        <v>311</v>
      </c>
      <c r="V1170" s="26" t="s">
        <v>4879</v>
      </c>
      <c r="W1170" s="2037" t="s">
        <v>4891</v>
      </c>
      <c r="X1170" s="18"/>
      <c r="Y1170" s="4"/>
      <c r="Z1170" s="4"/>
    </row>
    <row r="1171" spans="1:26" ht="24.95" hidden="1">
      <c r="A1171" s="20">
        <v>1178</v>
      </c>
      <c r="B1171" s="1063">
        <v>40948</v>
      </c>
      <c r="C1171" s="26" t="s">
        <v>4892</v>
      </c>
      <c r="D1171" s="11" t="s">
        <v>6</v>
      </c>
      <c r="E1171" s="26" t="s">
        <v>62</v>
      </c>
      <c r="F1171" s="26" t="s">
        <v>2876</v>
      </c>
      <c r="G1171" s="108" t="s">
        <v>4893</v>
      </c>
      <c r="H1171" s="26" t="s">
        <v>4894</v>
      </c>
      <c r="I1171" s="26" t="s">
        <v>574</v>
      </c>
      <c r="J1171" s="108" t="s">
        <v>4895</v>
      </c>
      <c r="K1171" s="108" t="s">
        <v>4896</v>
      </c>
      <c r="L1171" s="26"/>
      <c r="M1171" s="26">
        <v>1</v>
      </c>
      <c r="N1171" s="26">
        <v>1</v>
      </c>
      <c r="O1171" s="26">
        <v>1</v>
      </c>
      <c r="P1171" s="26">
        <v>1</v>
      </c>
      <c r="Q1171" s="26">
        <v>1</v>
      </c>
      <c r="R1171" s="1209">
        <v>5548</v>
      </c>
      <c r="S1171" s="1209">
        <v>5548</v>
      </c>
      <c r="T1171" s="26" t="s">
        <v>4897</v>
      </c>
      <c r="U1171" s="1871" t="s">
        <v>311</v>
      </c>
      <c r="V1171" s="26" t="s">
        <v>4879</v>
      </c>
      <c r="W1171" s="2037" t="s">
        <v>4898</v>
      </c>
      <c r="X1171" s="18"/>
      <c r="Y1171" s="4"/>
      <c r="Z1171" s="4"/>
    </row>
    <row r="1172" spans="1:26" ht="24.95" hidden="1">
      <c r="A1172" s="20">
        <v>1179</v>
      </c>
      <c r="B1172" s="1063">
        <v>40949</v>
      </c>
      <c r="C1172" s="913" t="s">
        <v>4899</v>
      </c>
      <c r="D1172" s="11" t="s">
        <v>6</v>
      </c>
      <c r="E1172" s="26" t="s">
        <v>62</v>
      </c>
      <c r="F1172" s="26" t="s">
        <v>2876</v>
      </c>
      <c r="G1172" s="143" t="s">
        <v>4900</v>
      </c>
      <c r="H1172" s="26" t="s">
        <v>4901</v>
      </c>
      <c r="I1172" s="26" t="s">
        <v>39</v>
      </c>
      <c r="J1172" s="110" t="s">
        <v>4902</v>
      </c>
      <c r="K1172" s="110" t="s">
        <v>4903</v>
      </c>
      <c r="L1172" s="26"/>
      <c r="M1172" s="26">
        <v>10</v>
      </c>
      <c r="N1172" s="26">
        <v>1</v>
      </c>
      <c r="O1172" s="26">
        <v>10</v>
      </c>
      <c r="P1172" s="26">
        <v>1</v>
      </c>
      <c r="Q1172" s="26">
        <v>11</v>
      </c>
      <c r="R1172" s="1209">
        <v>265</v>
      </c>
      <c r="S1172" s="1209">
        <f>Q1172*R1172</f>
        <v>2915</v>
      </c>
      <c r="T1172" s="26" t="s">
        <v>4904</v>
      </c>
      <c r="U1172" s="1871" t="s">
        <v>929</v>
      </c>
      <c r="V1172" s="26" t="s">
        <v>104</v>
      </c>
      <c r="W1172" s="2037" t="s">
        <v>4905</v>
      </c>
      <c r="X1172" s="18"/>
      <c r="Y1172" s="4"/>
      <c r="Z1172" s="4"/>
    </row>
    <row r="1173" spans="1:26" ht="24.95" hidden="1">
      <c r="A1173" s="20">
        <v>1180</v>
      </c>
      <c r="B1173" s="1063">
        <v>40950</v>
      </c>
      <c r="C1173" s="102" t="s">
        <v>4906</v>
      </c>
      <c r="D1173" s="11" t="s">
        <v>6</v>
      </c>
      <c r="E1173" s="26" t="s">
        <v>4907</v>
      </c>
      <c r="F1173" s="26" t="s">
        <v>2876</v>
      </c>
      <c r="G1173" s="108" t="s">
        <v>4908</v>
      </c>
      <c r="H1173" s="26" t="s">
        <v>4909</v>
      </c>
      <c r="I1173" s="26" t="s">
        <v>574</v>
      </c>
      <c r="J1173" s="108" t="s">
        <v>4910</v>
      </c>
      <c r="K1173" s="144" t="s">
        <v>4911</v>
      </c>
      <c r="L1173" s="26" t="s">
        <v>4179</v>
      </c>
      <c r="M1173" s="26">
        <v>1</v>
      </c>
      <c r="N1173" s="26">
        <v>1</v>
      </c>
      <c r="O1173" s="26">
        <v>1</v>
      </c>
      <c r="P1173" s="26">
        <v>1</v>
      </c>
      <c r="Q1173" s="26">
        <v>1</v>
      </c>
      <c r="R1173" s="1209">
        <v>191</v>
      </c>
      <c r="S1173" s="1209">
        <v>191</v>
      </c>
      <c r="T1173" s="26" t="s">
        <v>1886</v>
      </c>
      <c r="U1173" s="1871" t="s">
        <v>929</v>
      </c>
      <c r="V1173" s="26" t="s">
        <v>104</v>
      </c>
      <c r="W1173" s="2037" t="s">
        <v>4912</v>
      </c>
      <c r="X1173" s="18"/>
      <c r="Y1173" s="4"/>
      <c r="Z1173" s="4"/>
    </row>
    <row r="1174" spans="1:26" ht="50.1" hidden="1">
      <c r="A1174" s="20">
        <v>1181</v>
      </c>
      <c r="B1174" s="1063">
        <v>40951</v>
      </c>
      <c r="C1174" s="26" t="s">
        <v>4913</v>
      </c>
      <c r="D1174" s="11" t="s">
        <v>6</v>
      </c>
      <c r="E1174" s="26" t="s">
        <v>4907</v>
      </c>
      <c r="F1174" s="26" t="s">
        <v>2876</v>
      </c>
      <c r="G1174" s="108" t="s">
        <v>4914</v>
      </c>
      <c r="H1174" s="145" t="s">
        <v>4915</v>
      </c>
      <c r="I1174" s="26" t="s">
        <v>574</v>
      </c>
      <c r="J1174" s="108" t="s">
        <v>4916</v>
      </c>
      <c r="K1174" s="108" t="s">
        <v>4917</v>
      </c>
      <c r="L1174" s="26" t="s">
        <v>4918</v>
      </c>
      <c r="M1174" s="26">
        <v>10</v>
      </c>
      <c r="N1174" s="26">
        <v>1</v>
      </c>
      <c r="O1174" s="26">
        <v>100</v>
      </c>
      <c r="P1174" s="26">
        <v>100</v>
      </c>
      <c r="Q1174" s="26">
        <v>100</v>
      </c>
      <c r="R1174" s="1209">
        <v>3.2</v>
      </c>
      <c r="S1174" s="1209">
        <f>R1174*Q1174</f>
        <v>320</v>
      </c>
      <c r="T1174" s="26" t="s">
        <v>1886</v>
      </c>
      <c r="U1174" s="1871" t="s">
        <v>929</v>
      </c>
      <c r="V1174" s="26" t="s">
        <v>104</v>
      </c>
      <c r="W1174" s="2037" t="s">
        <v>4919</v>
      </c>
      <c r="X1174" s="26"/>
      <c r="Y1174" s="71"/>
      <c r="Z1174" s="71"/>
    </row>
    <row r="1175" spans="1:26" ht="24.95" hidden="1">
      <c r="A1175" s="20">
        <v>1182</v>
      </c>
      <c r="B1175" s="1063">
        <v>40952</v>
      </c>
      <c r="C1175" s="102" t="s">
        <v>4920</v>
      </c>
      <c r="D1175" s="11" t="s">
        <v>6</v>
      </c>
      <c r="E1175" s="26" t="s">
        <v>4907</v>
      </c>
      <c r="F1175" s="26" t="s">
        <v>2876</v>
      </c>
      <c r="G1175" s="108" t="s">
        <v>4921</v>
      </c>
      <c r="H1175" s="145" t="s">
        <v>460</v>
      </c>
      <c r="I1175" s="26" t="s">
        <v>574</v>
      </c>
      <c r="J1175" s="108" t="s">
        <v>4922</v>
      </c>
      <c r="K1175" s="108" t="s">
        <v>4923</v>
      </c>
      <c r="L1175" s="110"/>
      <c r="M1175" s="26">
        <v>5</v>
      </c>
      <c r="N1175" s="26">
        <v>1</v>
      </c>
      <c r="O1175" s="26">
        <v>5</v>
      </c>
      <c r="P1175" s="26">
        <v>5</v>
      </c>
      <c r="Q1175" s="26">
        <v>5</v>
      </c>
      <c r="R1175" s="1209">
        <v>1533</v>
      </c>
      <c r="S1175" s="1209">
        <f>Q1175*R1175</f>
        <v>7665</v>
      </c>
      <c r="T1175" s="26" t="s">
        <v>1886</v>
      </c>
      <c r="U1175" s="1871" t="s">
        <v>929</v>
      </c>
      <c r="V1175" s="26" t="s">
        <v>104</v>
      </c>
      <c r="W1175" s="2037" t="s">
        <v>4924</v>
      </c>
      <c r="X1175" s="26"/>
      <c r="Y1175" s="71"/>
      <c r="Z1175" s="71"/>
    </row>
    <row r="1176" spans="1:26" ht="14.1" hidden="1">
      <c r="A1176" s="20">
        <v>1183</v>
      </c>
      <c r="B1176" s="1063">
        <v>40953</v>
      </c>
      <c r="C1176" s="26" t="s">
        <v>4925</v>
      </c>
      <c r="D1176" s="11" t="s">
        <v>6</v>
      </c>
      <c r="E1176" s="26" t="s">
        <v>4926</v>
      </c>
      <c r="F1176" s="26" t="s">
        <v>2143</v>
      </c>
      <c r="G1176" s="26" t="s">
        <v>3159</v>
      </c>
      <c r="H1176" s="26" t="s">
        <v>1</v>
      </c>
      <c r="I1176" s="54" t="s">
        <v>4927</v>
      </c>
      <c r="J1176" s="26" t="s">
        <v>3159</v>
      </c>
      <c r="K1176" s="26" t="s">
        <v>1</v>
      </c>
      <c r="L1176" s="26" t="s">
        <v>1</v>
      </c>
      <c r="M1176" s="26">
        <v>50</v>
      </c>
      <c r="N1176" s="26">
        <v>1</v>
      </c>
      <c r="O1176" s="26">
        <v>50</v>
      </c>
      <c r="P1176" s="26">
        <v>0</v>
      </c>
      <c r="Q1176" s="26">
        <v>0</v>
      </c>
      <c r="R1176" s="1209">
        <v>270</v>
      </c>
      <c r="S1176" s="1209">
        <f t="shared" ref="S1176:S1177" si="61">R1176*O1176</f>
        <v>13500</v>
      </c>
      <c r="T1176" s="26" t="s">
        <v>3510</v>
      </c>
      <c r="U1176" s="1871" t="s">
        <v>3510</v>
      </c>
      <c r="V1176" s="26" t="s">
        <v>118</v>
      </c>
      <c r="W1176" s="2037" t="s">
        <v>3160</v>
      </c>
      <c r="X1176" s="18" t="s">
        <v>4928</v>
      </c>
      <c r="Y1176" s="4"/>
      <c r="Z1176" s="4"/>
    </row>
    <row r="1177" spans="1:26" ht="14.1" hidden="1">
      <c r="A1177" s="20">
        <v>1184</v>
      </c>
      <c r="B1177" s="1063">
        <v>40954</v>
      </c>
      <c r="C1177" s="26" t="s">
        <v>4929</v>
      </c>
      <c r="D1177" s="11" t="s">
        <v>6</v>
      </c>
      <c r="E1177" s="26" t="s">
        <v>4926</v>
      </c>
      <c r="F1177" s="26" t="s">
        <v>2143</v>
      </c>
      <c r="G1177" s="26" t="s">
        <v>4930</v>
      </c>
      <c r="H1177" s="26" t="s">
        <v>1</v>
      </c>
      <c r="I1177" s="26" t="s">
        <v>4927</v>
      </c>
      <c r="J1177" s="26" t="s">
        <v>4931</v>
      </c>
      <c r="K1177" s="26" t="s">
        <v>1</v>
      </c>
      <c r="L1177" s="26" t="s">
        <v>1</v>
      </c>
      <c r="M1177" s="26">
        <v>2</v>
      </c>
      <c r="N1177" s="26">
        <v>10</v>
      </c>
      <c r="O1177" s="26">
        <v>10</v>
      </c>
      <c r="P1177" s="26">
        <v>0</v>
      </c>
      <c r="Q1177" s="26">
        <v>8</v>
      </c>
      <c r="R1177" s="1209">
        <v>766</v>
      </c>
      <c r="S1177" s="1209">
        <f t="shared" si="61"/>
        <v>7660</v>
      </c>
      <c r="T1177" s="26" t="s">
        <v>3510</v>
      </c>
      <c r="U1177" s="1871" t="s">
        <v>3510</v>
      </c>
      <c r="V1177" s="26" t="s">
        <v>118</v>
      </c>
      <c r="W1177" s="2037" t="s">
        <v>4932</v>
      </c>
      <c r="X1177" s="18"/>
      <c r="Y1177" s="4"/>
      <c r="Z1177" s="4"/>
    </row>
    <row r="1178" spans="1:26" ht="14.1" hidden="1">
      <c r="A1178" s="20">
        <v>1185</v>
      </c>
      <c r="B1178" s="1063">
        <v>40955</v>
      </c>
      <c r="C1178" s="26" t="s">
        <v>4933</v>
      </c>
      <c r="D1178" s="11" t="s">
        <v>6</v>
      </c>
      <c r="E1178" s="26" t="s">
        <v>4907</v>
      </c>
      <c r="F1178" s="26" t="s">
        <v>1398</v>
      </c>
      <c r="G1178" s="26" t="s">
        <v>4934</v>
      </c>
      <c r="H1178" s="26" t="s">
        <v>1</v>
      </c>
      <c r="I1178" s="26" t="s">
        <v>3525</v>
      </c>
      <c r="J1178" s="26" t="s">
        <v>1</v>
      </c>
      <c r="K1178" s="26" t="s">
        <v>1</v>
      </c>
      <c r="L1178" s="26" t="s">
        <v>1</v>
      </c>
      <c r="M1178" s="26">
        <v>1</v>
      </c>
      <c r="N1178" s="26">
        <v>1</v>
      </c>
      <c r="O1178" s="26">
        <v>1</v>
      </c>
      <c r="P1178" s="26" t="s">
        <v>1</v>
      </c>
      <c r="Q1178" s="26" t="s">
        <v>1</v>
      </c>
      <c r="R1178" s="1209" t="s">
        <v>1</v>
      </c>
      <c r="S1178" s="1209">
        <v>32100</v>
      </c>
      <c r="T1178" s="26" t="s">
        <v>4935</v>
      </c>
      <c r="U1178" s="1871" t="s">
        <v>4935</v>
      </c>
      <c r="V1178" s="26" t="s">
        <v>931</v>
      </c>
      <c r="W1178" s="2015"/>
      <c r="X1178" s="18"/>
      <c r="Y1178" s="4"/>
      <c r="Z1178" s="4"/>
    </row>
    <row r="1179" spans="1:26" ht="14.1" hidden="1">
      <c r="A1179" s="20">
        <v>1186</v>
      </c>
      <c r="B1179" s="1063">
        <v>40956</v>
      </c>
      <c r="C1179" s="26" t="s">
        <v>4936</v>
      </c>
      <c r="D1179" s="11" t="s">
        <v>6</v>
      </c>
      <c r="E1179" s="26" t="s">
        <v>4907</v>
      </c>
      <c r="F1179" s="26" t="s">
        <v>1398</v>
      </c>
      <c r="G1179" s="26" t="s">
        <v>4937</v>
      </c>
      <c r="H1179" s="26"/>
      <c r="I1179" s="26" t="s">
        <v>3525</v>
      </c>
      <c r="J1179" s="26" t="s">
        <v>1</v>
      </c>
      <c r="K1179" s="26" t="s">
        <v>1</v>
      </c>
      <c r="L1179" s="26" t="s">
        <v>1</v>
      </c>
      <c r="M1179" s="26">
        <v>1</v>
      </c>
      <c r="N1179" s="26">
        <v>1</v>
      </c>
      <c r="O1179" s="26">
        <v>1</v>
      </c>
      <c r="P1179" s="26" t="s">
        <v>1</v>
      </c>
      <c r="Q1179" s="26" t="s">
        <v>1</v>
      </c>
      <c r="R1179" s="1209" t="s">
        <v>1</v>
      </c>
      <c r="S1179" s="1209">
        <v>66224</v>
      </c>
      <c r="T1179" s="26" t="s">
        <v>4935</v>
      </c>
      <c r="U1179" s="1871" t="s">
        <v>4935</v>
      </c>
      <c r="V1179" s="26" t="s">
        <v>931</v>
      </c>
      <c r="W1179" s="2015"/>
      <c r="X1179" s="18"/>
      <c r="Y1179" s="4"/>
      <c r="Z1179" s="4"/>
    </row>
    <row r="1180" spans="1:26" ht="42" hidden="1">
      <c r="A1180" s="20">
        <v>1187</v>
      </c>
      <c r="B1180" s="1063">
        <v>40957</v>
      </c>
      <c r="C1180" s="26" t="s">
        <v>4938</v>
      </c>
      <c r="D1180" s="11"/>
      <c r="E1180" s="26" t="s">
        <v>4907</v>
      </c>
      <c r="F1180" s="26" t="s">
        <v>4939</v>
      </c>
      <c r="G1180" s="26" t="s">
        <v>4940</v>
      </c>
      <c r="H1180" s="26" t="s">
        <v>4941</v>
      </c>
      <c r="I1180" s="631" t="s">
        <v>4942</v>
      </c>
      <c r="J1180" s="26" t="s">
        <v>1</v>
      </c>
      <c r="K1180" s="26" t="s">
        <v>4943</v>
      </c>
      <c r="L1180" s="26" t="s">
        <v>1</v>
      </c>
      <c r="M1180" s="26">
        <v>1</v>
      </c>
      <c r="N1180" s="26">
        <v>1</v>
      </c>
      <c r="O1180" s="26">
        <v>1</v>
      </c>
      <c r="P1180" s="26">
        <v>0</v>
      </c>
      <c r="Q1180" s="26">
        <v>0</v>
      </c>
      <c r="R1180" s="1209">
        <v>463.95</v>
      </c>
      <c r="S1180" s="1209">
        <v>463.95</v>
      </c>
      <c r="T1180" s="26" t="s">
        <v>1009</v>
      </c>
      <c r="U1180" s="1871" t="s">
        <v>4944</v>
      </c>
      <c r="V1180" s="26" t="s">
        <v>3147</v>
      </c>
      <c r="W1180" s="2048" t="s">
        <v>4945</v>
      </c>
      <c r="X1180" s="26"/>
      <c r="Y1180" s="71"/>
      <c r="Z1180" s="71"/>
    </row>
    <row r="1181" spans="1:26" ht="14.1" hidden="1">
      <c r="A1181" s="20">
        <v>1188</v>
      </c>
      <c r="B1181" s="1063">
        <v>40958</v>
      </c>
      <c r="C1181" s="26" t="s">
        <v>4946</v>
      </c>
      <c r="D1181" s="11"/>
      <c r="E1181" s="26" t="s">
        <v>62</v>
      </c>
      <c r="F1181" s="26" t="s">
        <v>404</v>
      </c>
      <c r="G1181" s="26" t="s">
        <v>4947</v>
      </c>
      <c r="H1181" s="26" t="s">
        <v>4948</v>
      </c>
      <c r="I1181" s="26" t="s">
        <v>4948</v>
      </c>
      <c r="J1181" s="26" t="s">
        <v>1</v>
      </c>
      <c r="K1181" s="26" t="s">
        <v>1</v>
      </c>
      <c r="L1181" s="26" t="s">
        <v>1</v>
      </c>
      <c r="M1181" s="26">
        <v>50</v>
      </c>
      <c r="N1181" s="26">
        <v>1</v>
      </c>
      <c r="O1181" s="26">
        <v>50</v>
      </c>
      <c r="P1181" s="26">
        <v>0</v>
      </c>
      <c r="Q1181" s="26">
        <v>0</v>
      </c>
      <c r="R1181" s="1209">
        <v>70</v>
      </c>
      <c r="S1181" s="1209">
        <v>3500</v>
      </c>
      <c r="T1181" s="26" t="s">
        <v>87</v>
      </c>
      <c r="U1181" s="1871" t="s">
        <v>4949</v>
      </c>
      <c r="V1181" s="26" t="s">
        <v>4862</v>
      </c>
      <c r="W1181" s="2015" t="s">
        <v>1</v>
      </c>
      <c r="X1181" s="26"/>
      <c r="Y1181" s="71"/>
      <c r="Z1181" s="71"/>
    </row>
    <row r="1182" spans="1:26" ht="62.45" hidden="1">
      <c r="A1182" s="20">
        <v>1189</v>
      </c>
      <c r="B1182" s="1063">
        <v>40959</v>
      </c>
      <c r="C1182" s="26" t="s">
        <v>4950</v>
      </c>
      <c r="D1182" s="11"/>
      <c r="E1182" s="26" t="s">
        <v>4951</v>
      </c>
      <c r="F1182" s="26" t="s">
        <v>73</v>
      </c>
      <c r="G1182" s="26" t="s">
        <v>4952</v>
      </c>
      <c r="H1182" s="26" t="s">
        <v>686</v>
      </c>
      <c r="I1182" s="26" t="s">
        <v>366</v>
      </c>
      <c r="J1182" s="26" t="s">
        <v>687</v>
      </c>
      <c r="K1182" s="26" t="s">
        <v>687</v>
      </c>
      <c r="L1182" s="26" t="s">
        <v>1</v>
      </c>
      <c r="M1182" s="26">
        <v>34</v>
      </c>
      <c r="N1182" s="26">
        <v>1</v>
      </c>
      <c r="O1182" s="26">
        <v>34</v>
      </c>
      <c r="P1182" s="26">
        <v>0</v>
      </c>
      <c r="Q1182" s="26">
        <v>0</v>
      </c>
      <c r="R1182" s="1209">
        <v>104</v>
      </c>
      <c r="S1182" s="1209">
        <v>3536</v>
      </c>
      <c r="T1182" s="26" t="s">
        <v>4220</v>
      </c>
      <c r="U1182" s="1871" t="s">
        <v>4220</v>
      </c>
      <c r="V1182" s="26" t="s">
        <v>689</v>
      </c>
      <c r="W1182" s="2008" t="s">
        <v>4953</v>
      </c>
      <c r="X1182" s="18"/>
      <c r="Y1182" s="4"/>
      <c r="Z1182" s="4"/>
    </row>
    <row r="1183" spans="1:26" ht="62.45" hidden="1">
      <c r="A1183" s="20">
        <v>1190</v>
      </c>
      <c r="B1183" s="1063">
        <v>40960</v>
      </c>
      <c r="C1183" s="26" t="s">
        <v>4950</v>
      </c>
      <c r="D1183" s="11"/>
      <c r="E1183" s="26" t="s">
        <v>4951</v>
      </c>
      <c r="F1183" s="26" t="s">
        <v>73</v>
      </c>
      <c r="G1183" s="26" t="s">
        <v>4954</v>
      </c>
      <c r="H1183" s="26" t="s">
        <v>686</v>
      </c>
      <c r="I1183" s="26" t="s">
        <v>366</v>
      </c>
      <c r="J1183" s="26" t="s">
        <v>4955</v>
      </c>
      <c r="K1183" s="26" t="s">
        <v>4955</v>
      </c>
      <c r="L1183" s="26" t="s">
        <v>1</v>
      </c>
      <c r="M1183" s="26">
        <v>21</v>
      </c>
      <c r="N1183" s="26">
        <v>1</v>
      </c>
      <c r="O1183" s="26">
        <v>21</v>
      </c>
      <c r="P1183" s="26">
        <v>0</v>
      </c>
      <c r="Q1183" s="26">
        <v>0</v>
      </c>
      <c r="R1183" s="1209">
        <v>106</v>
      </c>
      <c r="S1183" s="1209">
        <v>2226</v>
      </c>
      <c r="T1183" s="26" t="s">
        <v>4220</v>
      </c>
      <c r="U1183" s="1871" t="s">
        <v>4220</v>
      </c>
      <c r="V1183" s="26" t="s">
        <v>689</v>
      </c>
      <c r="W1183" s="2008" t="s">
        <v>4956</v>
      </c>
      <c r="X1183" s="18"/>
      <c r="Y1183" s="4"/>
      <c r="Z1183" s="4"/>
    </row>
    <row r="1184" spans="1:26" ht="62.45" hidden="1">
      <c r="A1184" s="20">
        <v>1191</v>
      </c>
      <c r="B1184" s="1063">
        <v>40961</v>
      </c>
      <c r="C1184" s="26" t="s">
        <v>4950</v>
      </c>
      <c r="D1184" s="11"/>
      <c r="E1184" s="26" t="s">
        <v>4951</v>
      </c>
      <c r="F1184" s="26" t="s">
        <v>73</v>
      </c>
      <c r="G1184" s="26" t="s">
        <v>4957</v>
      </c>
      <c r="H1184" s="26" t="s">
        <v>686</v>
      </c>
      <c r="I1184" s="26" t="s">
        <v>366</v>
      </c>
      <c r="J1184" s="26" t="s">
        <v>692</v>
      </c>
      <c r="K1184" s="26" t="s">
        <v>692</v>
      </c>
      <c r="L1184" s="26" t="s">
        <v>1</v>
      </c>
      <c r="M1184" s="26">
        <v>8</v>
      </c>
      <c r="N1184" s="26">
        <v>1</v>
      </c>
      <c r="O1184" s="26">
        <v>8</v>
      </c>
      <c r="P1184" s="26">
        <v>0</v>
      </c>
      <c r="Q1184" s="26">
        <v>0</v>
      </c>
      <c r="R1184" s="1209">
        <v>132</v>
      </c>
      <c r="S1184" s="1209">
        <v>1056</v>
      </c>
      <c r="T1184" s="26" t="s">
        <v>4220</v>
      </c>
      <c r="U1184" s="1871" t="s">
        <v>4220</v>
      </c>
      <c r="V1184" s="26" t="s">
        <v>689</v>
      </c>
      <c r="W1184" s="2008" t="s">
        <v>4958</v>
      </c>
      <c r="X1184" s="18"/>
      <c r="Y1184" s="4"/>
      <c r="Z1184" s="4"/>
    </row>
    <row r="1185" spans="1:26" ht="62.45" hidden="1">
      <c r="A1185" s="20">
        <v>1192</v>
      </c>
      <c r="B1185" s="1063">
        <v>40962</v>
      </c>
      <c r="C1185" s="26" t="s">
        <v>4950</v>
      </c>
      <c r="D1185" s="11"/>
      <c r="E1185" s="26" t="s">
        <v>4951</v>
      </c>
      <c r="F1185" s="26" t="s">
        <v>73</v>
      </c>
      <c r="G1185" s="26" t="s">
        <v>4959</v>
      </c>
      <c r="H1185" s="26" t="s">
        <v>686</v>
      </c>
      <c r="I1185" s="26" t="s">
        <v>366</v>
      </c>
      <c r="J1185" s="26" t="s">
        <v>694</v>
      </c>
      <c r="K1185" s="26" t="s">
        <v>694</v>
      </c>
      <c r="L1185" s="26" t="s">
        <v>1</v>
      </c>
      <c r="M1185" s="26">
        <v>21</v>
      </c>
      <c r="N1185" s="26">
        <v>1</v>
      </c>
      <c r="O1185" s="26">
        <v>21</v>
      </c>
      <c r="P1185" s="26">
        <v>0</v>
      </c>
      <c r="Q1185" s="26">
        <v>0</v>
      </c>
      <c r="R1185" s="1209">
        <v>133</v>
      </c>
      <c r="S1185" s="1209">
        <v>2793</v>
      </c>
      <c r="T1185" s="26" t="s">
        <v>4220</v>
      </c>
      <c r="U1185" s="1871" t="s">
        <v>4220</v>
      </c>
      <c r="V1185" s="26" t="s">
        <v>689</v>
      </c>
      <c r="W1185" s="2008" t="s">
        <v>4960</v>
      </c>
      <c r="X1185" s="18"/>
      <c r="Y1185" s="4"/>
      <c r="Z1185" s="4"/>
    </row>
    <row r="1186" spans="1:26" ht="62.45" hidden="1">
      <c r="A1186" s="20">
        <v>1193</v>
      </c>
      <c r="B1186" s="1063">
        <v>40963</v>
      </c>
      <c r="C1186" s="26" t="s">
        <v>4961</v>
      </c>
      <c r="D1186" s="11"/>
      <c r="E1186" s="26" t="s">
        <v>4951</v>
      </c>
      <c r="F1186" s="26" t="s">
        <v>73</v>
      </c>
      <c r="G1186" s="26" t="s">
        <v>4962</v>
      </c>
      <c r="H1186" s="26" t="s">
        <v>686</v>
      </c>
      <c r="I1186" s="26" t="s">
        <v>366</v>
      </c>
      <c r="J1186" s="26" t="s">
        <v>701</v>
      </c>
      <c r="K1186" s="26" t="s">
        <v>701</v>
      </c>
      <c r="L1186" s="26" t="s">
        <v>1</v>
      </c>
      <c r="M1186" s="26">
        <v>84</v>
      </c>
      <c r="N1186" s="26">
        <v>1</v>
      </c>
      <c r="O1186" s="26">
        <v>84</v>
      </c>
      <c r="P1186" s="26">
        <v>0</v>
      </c>
      <c r="Q1186" s="26">
        <v>0</v>
      </c>
      <c r="R1186" s="1209">
        <v>24</v>
      </c>
      <c r="S1186" s="1209">
        <v>2016</v>
      </c>
      <c r="T1186" s="26" t="s">
        <v>4220</v>
      </c>
      <c r="U1186" s="1871" t="s">
        <v>4220</v>
      </c>
      <c r="V1186" s="26" t="s">
        <v>689</v>
      </c>
      <c r="W1186" s="2008" t="s">
        <v>4963</v>
      </c>
      <c r="X1186" s="26"/>
      <c r="Y1186" s="71"/>
      <c r="Z1186" s="71"/>
    </row>
    <row r="1187" spans="1:26" ht="37.5" hidden="1">
      <c r="A1187" s="20">
        <v>1194</v>
      </c>
      <c r="B1187" s="1063">
        <v>40964</v>
      </c>
      <c r="C1187" s="26" t="s">
        <v>1183</v>
      </c>
      <c r="D1187" s="11"/>
      <c r="E1187" s="26" t="s">
        <v>4951</v>
      </c>
      <c r="F1187" s="26" t="s">
        <v>73</v>
      </c>
      <c r="G1187" s="26" t="s">
        <v>4964</v>
      </c>
      <c r="H1187" s="26" t="s">
        <v>961</v>
      </c>
      <c r="I1187" s="26" t="s">
        <v>366</v>
      </c>
      <c r="J1187" s="26" t="s">
        <v>4965</v>
      </c>
      <c r="K1187" s="26" t="s">
        <v>4965</v>
      </c>
      <c r="L1187" s="26" t="s">
        <v>1</v>
      </c>
      <c r="M1187" s="26">
        <v>1</v>
      </c>
      <c r="N1187" s="26">
        <v>1</v>
      </c>
      <c r="O1187" s="26">
        <v>1</v>
      </c>
      <c r="P1187" s="26">
        <v>0</v>
      </c>
      <c r="Q1187" s="26">
        <v>0</v>
      </c>
      <c r="R1187" s="1209">
        <v>41531</v>
      </c>
      <c r="S1187" s="1209">
        <v>41531</v>
      </c>
      <c r="T1187" s="26" t="s">
        <v>4220</v>
      </c>
      <c r="U1187" s="1871" t="s">
        <v>4220</v>
      </c>
      <c r="V1187" s="26" t="s">
        <v>689</v>
      </c>
      <c r="W1187" s="2008" t="s">
        <v>4966</v>
      </c>
      <c r="X1187" s="26"/>
      <c r="Y1187" s="71"/>
      <c r="Z1187" s="71"/>
    </row>
    <row r="1188" spans="1:26" ht="50.1" hidden="1">
      <c r="A1188" s="20">
        <v>1195</v>
      </c>
      <c r="B1188" s="1063">
        <v>40965</v>
      </c>
      <c r="C1188" s="26" t="s">
        <v>4967</v>
      </c>
      <c r="D1188" s="11"/>
      <c r="E1188" s="26" t="s">
        <v>4951</v>
      </c>
      <c r="F1188" s="26" t="s">
        <v>73</v>
      </c>
      <c r="G1188" s="26" t="s">
        <v>4968</v>
      </c>
      <c r="H1188" s="26" t="s">
        <v>4969</v>
      </c>
      <c r="I1188" s="26" t="s">
        <v>366</v>
      </c>
      <c r="J1188" s="26">
        <v>4604</v>
      </c>
      <c r="K1188" s="26">
        <v>4604</v>
      </c>
      <c r="L1188" s="26" t="s">
        <v>1</v>
      </c>
      <c r="M1188" s="26">
        <v>10</v>
      </c>
      <c r="N1188" s="26">
        <v>1</v>
      </c>
      <c r="O1188" s="26">
        <v>10</v>
      </c>
      <c r="P1188" s="26">
        <v>0</v>
      </c>
      <c r="Q1188" s="26">
        <v>0</v>
      </c>
      <c r="R1188" s="1209">
        <v>50</v>
      </c>
      <c r="S1188" s="1209">
        <v>500</v>
      </c>
      <c r="T1188" s="26" t="s">
        <v>4220</v>
      </c>
      <c r="U1188" s="1871" t="s">
        <v>4220</v>
      </c>
      <c r="V1188" s="26" t="s">
        <v>689</v>
      </c>
      <c r="W1188" s="2008" t="s">
        <v>4970</v>
      </c>
      <c r="X1188" s="18"/>
      <c r="Y1188" s="4"/>
      <c r="Z1188" s="4"/>
    </row>
    <row r="1189" spans="1:26" ht="50.1" hidden="1">
      <c r="A1189" s="20">
        <v>1196</v>
      </c>
      <c r="B1189" s="1063">
        <v>40966</v>
      </c>
      <c r="C1189" s="26" t="s">
        <v>4971</v>
      </c>
      <c r="D1189" s="11"/>
      <c r="E1189" s="26" t="s">
        <v>4951</v>
      </c>
      <c r="F1189" s="26" t="s">
        <v>73</v>
      </c>
      <c r="G1189" s="26" t="s">
        <v>4972</v>
      </c>
      <c r="H1189" s="26" t="s">
        <v>4969</v>
      </c>
      <c r="I1189" s="26" t="s">
        <v>366</v>
      </c>
      <c r="J1189" s="26">
        <v>5064</v>
      </c>
      <c r="K1189" s="26">
        <v>5064</v>
      </c>
      <c r="L1189" s="26" t="s">
        <v>1</v>
      </c>
      <c r="M1189" s="26">
        <v>40</v>
      </c>
      <c r="N1189" s="26">
        <v>1</v>
      </c>
      <c r="O1189" s="26">
        <v>40</v>
      </c>
      <c r="P1189" s="26">
        <v>0</v>
      </c>
      <c r="Q1189" s="26">
        <v>0</v>
      </c>
      <c r="R1189" s="1209">
        <v>56</v>
      </c>
      <c r="S1189" s="1209">
        <v>2240</v>
      </c>
      <c r="T1189" s="26" t="s">
        <v>4220</v>
      </c>
      <c r="U1189" s="1871" t="s">
        <v>4220</v>
      </c>
      <c r="V1189" s="26" t="s">
        <v>689</v>
      </c>
      <c r="W1189" s="2008" t="s">
        <v>4973</v>
      </c>
      <c r="X1189" s="18"/>
      <c r="Y1189" s="4"/>
      <c r="Z1189" s="4"/>
    </row>
    <row r="1190" spans="1:26" ht="14.1" hidden="1">
      <c r="A1190" s="20">
        <v>1197</v>
      </c>
      <c r="B1190" s="1063">
        <v>40967</v>
      </c>
      <c r="C1190" s="26" t="s">
        <v>4974</v>
      </c>
      <c r="D1190" s="11" t="s">
        <v>6</v>
      </c>
      <c r="E1190" s="26" t="s">
        <v>4907</v>
      </c>
      <c r="F1190" s="26" t="s">
        <v>2143</v>
      </c>
      <c r="G1190" s="26" t="s">
        <v>4975</v>
      </c>
      <c r="H1190" s="26" t="s">
        <v>4066</v>
      </c>
      <c r="I1190" s="26" t="s">
        <v>4066</v>
      </c>
      <c r="J1190" s="26"/>
      <c r="K1190" s="26"/>
      <c r="L1190" s="26"/>
      <c r="M1190" s="26"/>
      <c r="N1190" s="26">
        <v>1</v>
      </c>
      <c r="O1190" s="26">
        <v>3</v>
      </c>
      <c r="P1190" s="26">
        <v>0</v>
      </c>
      <c r="Q1190" s="26">
        <v>0</v>
      </c>
      <c r="R1190" s="1209">
        <v>300</v>
      </c>
      <c r="S1190" s="1209">
        <f>R1190*O1190</f>
        <v>900</v>
      </c>
      <c r="T1190" s="26" t="s">
        <v>87</v>
      </c>
      <c r="U1190" s="1871" t="s">
        <v>4976</v>
      </c>
      <c r="V1190" s="26" t="s">
        <v>931</v>
      </c>
      <c r="W1190" s="2015"/>
      <c r="X1190" s="18"/>
      <c r="Y1190" s="4"/>
      <c r="Z1190" s="4"/>
    </row>
    <row r="1191" spans="1:26" ht="14.1" hidden="1">
      <c r="A1191" s="20">
        <v>1198</v>
      </c>
      <c r="B1191" s="1063">
        <v>40968</v>
      </c>
      <c r="C1191" s="26" t="s">
        <v>4977</v>
      </c>
      <c r="D1191" s="11" t="s">
        <v>6</v>
      </c>
      <c r="E1191" s="26" t="s">
        <v>4907</v>
      </c>
      <c r="F1191" s="26" t="s">
        <v>970</v>
      </c>
      <c r="G1191" s="26" t="s">
        <v>4978</v>
      </c>
      <c r="H1191" s="26" t="s">
        <v>1884</v>
      </c>
      <c r="I1191" s="26" t="s">
        <v>1884</v>
      </c>
      <c r="J1191" s="26" t="s">
        <v>4978</v>
      </c>
      <c r="K1191" s="26" t="s">
        <v>4978</v>
      </c>
      <c r="L1191" s="26" t="s">
        <v>1</v>
      </c>
      <c r="M1191" s="26">
        <v>3</v>
      </c>
      <c r="N1191" s="26">
        <v>1</v>
      </c>
      <c r="O1191" s="26">
        <v>6</v>
      </c>
      <c r="P1191" s="26">
        <v>2</v>
      </c>
      <c r="Q1191" s="26">
        <v>8</v>
      </c>
      <c r="R1191" s="1209">
        <v>30000</v>
      </c>
      <c r="S1191" s="1209">
        <v>180000</v>
      </c>
      <c r="T1191" s="26" t="s">
        <v>929</v>
      </c>
      <c r="U1191" s="1871" t="s">
        <v>1886</v>
      </c>
      <c r="V1191" s="26" t="s">
        <v>104</v>
      </c>
      <c r="W1191" s="2015"/>
      <c r="X1191" s="18"/>
      <c r="Y1191" s="4"/>
      <c r="Z1191" s="4"/>
    </row>
    <row r="1192" spans="1:26" ht="24.95" hidden="1">
      <c r="A1192" s="20">
        <v>1199</v>
      </c>
      <c r="B1192" s="1063">
        <v>40969</v>
      </c>
      <c r="C1192" s="26" t="s">
        <v>4979</v>
      </c>
      <c r="D1192" s="11"/>
      <c r="E1192" s="26" t="s">
        <v>62</v>
      </c>
      <c r="F1192" s="26" t="s">
        <v>4980</v>
      </c>
      <c r="G1192" s="26" t="s">
        <v>4981</v>
      </c>
      <c r="H1192" s="26" t="s">
        <v>4982</v>
      </c>
      <c r="I1192" s="26" t="s">
        <v>4982</v>
      </c>
      <c r="J1192" s="26"/>
      <c r="K1192" s="26" t="s">
        <v>4983</v>
      </c>
      <c r="L1192" s="26"/>
      <c r="M1192" s="26">
        <v>2</v>
      </c>
      <c r="N1192" s="26">
        <v>2</v>
      </c>
      <c r="O1192" s="26"/>
      <c r="P1192" s="26"/>
      <c r="Q1192" s="26"/>
      <c r="R1192" s="1209">
        <v>11016</v>
      </c>
      <c r="S1192" s="1209">
        <v>22032</v>
      </c>
      <c r="T1192" s="26" t="s">
        <v>4984</v>
      </c>
      <c r="U1192" s="1871"/>
      <c r="V1192" s="26"/>
      <c r="W1192" s="2015"/>
      <c r="X1192" s="26"/>
      <c r="Y1192" s="71"/>
      <c r="Z1192" s="71"/>
    </row>
    <row r="1193" spans="1:26" ht="24.95" hidden="1">
      <c r="A1193" s="20">
        <v>1200</v>
      </c>
      <c r="B1193" s="1063">
        <v>40970</v>
      </c>
      <c r="C1193" s="26" t="s">
        <v>4985</v>
      </c>
      <c r="D1193" s="11"/>
      <c r="E1193" s="26" t="s">
        <v>62</v>
      </c>
      <c r="F1193" s="26" t="s">
        <v>4980</v>
      </c>
      <c r="G1193" s="26" t="s">
        <v>4986</v>
      </c>
      <c r="H1193" s="26" t="s">
        <v>4982</v>
      </c>
      <c r="I1193" s="26" t="s">
        <v>4982</v>
      </c>
      <c r="J1193" s="26"/>
      <c r="K1193" s="26" t="s">
        <v>4987</v>
      </c>
      <c r="L1193" s="26"/>
      <c r="M1193" s="26">
        <v>2</v>
      </c>
      <c r="N1193" s="26">
        <v>2</v>
      </c>
      <c r="O1193" s="26"/>
      <c r="P1193" s="26"/>
      <c r="Q1193" s="26"/>
      <c r="R1193" s="1209">
        <v>3166</v>
      </c>
      <c r="S1193" s="1209">
        <v>6332</v>
      </c>
      <c r="T1193" s="26" t="s">
        <v>4984</v>
      </c>
      <c r="U1193" s="1871"/>
      <c r="V1193" s="26"/>
      <c r="W1193" s="2015"/>
      <c r="X1193" s="26"/>
      <c r="Y1193" s="71"/>
      <c r="Z1193" s="71"/>
    </row>
    <row r="1194" spans="1:26" ht="24.95" hidden="1">
      <c r="A1194" s="20">
        <v>1201</v>
      </c>
      <c r="B1194" s="1063">
        <v>40971</v>
      </c>
      <c r="C1194" s="26" t="s">
        <v>4988</v>
      </c>
      <c r="D1194" s="11"/>
      <c r="E1194" s="26" t="s">
        <v>62</v>
      </c>
      <c r="F1194" s="26" t="s">
        <v>4980</v>
      </c>
      <c r="G1194" s="26" t="s">
        <v>4989</v>
      </c>
      <c r="H1194" s="26" t="s">
        <v>4982</v>
      </c>
      <c r="I1194" s="26" t="s">
        <v>4982</v>
      </c>
      <c r="J1194" s="26"/>
      <c r="K1194" s="26" t="s">
        <v>4990</v>
      </c>
      <c r="L1194" s="26"/>
      <c r="M1194" s="26">
        <v>2</v>
      </c>
      <c r="N1194" s="26">
        <v>2</v>
      </c>
      <c r="O1194" s="26"/>
      <c r="P1194" s="26"/>
      <c r="Q1194" s="26"/>
      <c r="R1194" s="1209">
        <v>2054</v>
      </c>
      <c r="S1194" s="1209">
        <v>4108</v>
      </c>
      <c r="T1194" s="26" t="s">
        <v>4984</v>
      </c>
      <c r="U1194" s="1871"/>
      <c r="V1194" s="26"/>
      <c r="W1194" s="2015"/>
      <c r="X1194" s="18"/>
      <c r="Y1194" s="4"/>
      <c r="Z1194" s="4"/>
    </row>
    <row r="1195" spans="1:26" ht="24.95" hidden="1">
      <c r="A1195" s="20">
        <v>1202</v>
      </c>
      <c r="B1195" s="1063">
        <v>40972</v>
      </c>
      <c r="C1195" s="26" t="s">
        <v>4991</v>
      </c>
      <c r="D1195" s="11"/>
      <c r="E1195" s="26" t="s">
        <v>62</v>
      </c>
      <c r="F1195" s="26" t="s">
        <v>4980</v>
      </c>
      <c r="G1195" s="26" t="s">
        <v>4992</v>
      </c>
      <c r="H1195" s="26" t="s">
        <v>4982</v>
      </c>
      <c r="I1195" s="26" t="s">
        <v>4982</v>
      </c>
      <c r="J1195" s="26"/>
      <c r="K1195" s="26" t="s">
        <v>4993</v>
      </c>
      <c r="L1195" s="26"/>
      <c r="M1195" s="26">
        <v>1</v>
      </c>
      <c r="N1195" s="26">
        <v>1</v>
      </c>
      <c r="O1195" s="26"/>
      <c r="P1195" s="26"/>
      <c r="Q1195" s="26"/>
      <c r="R1195" s="1209">
        <v>718</v>
      </c>
      <c r="S1195" s="1209">
        <v>718</v>
      </c>
      <c r="T1195" s="26" t="s">
        <v>4984</v>
      </c>
      <c r="U1195" s="1871"/>
      <c r="V1195" s="26"/>
      <c r="W1195" s="2015"/>
      <c r="X1195" s="18"/>
      <c r="Y1195" s="4"/>
      <c r="Z1195" s="4"/>
    </row>
    <row r="1196" spans="1:26" ht="24.95" hidden="1">
      <c r="A1196" s="20">
        <v>1203</v>
      </c>
      <c r="B1196" s="1063">
        <v>40973</v>
      </c>
      <c r="C1196" s="26" t="s">
        <v>4994</v>
      </c>
      <c r="D1196" s="11"/>
      <c r="E1196" s="26" t="s">
        <v>62</v>
      </c>
      <c r="F1196" s="26" t="s">
        <v>4980</v>
      </c>
      <c r="G1196" s="26" t="s">
        <v>4995</v>
      </c>
      <c r="H1196" s="26" t="s">
        <v>4982</v>
      </c>
      <c r="I1196" s="26" t="s">
        <v>4982</v>
      </c>
      <c r="J1196" s="26"/>
      <c r="K1196" s="26" t="s">
        <v>4996</v>
      </c>
      <c r="L1196" s="26"/>
      <c r="M1196" s="26">
        <v>1</v>
      </c>
      <c r="N1196" s="26">
        <v>1</v>
      </c>
      <c r="O1196" s="26"/>
      <c r="P1196" s="26"/>
      <c r="Q1196" s="26"/>
      <c r="R1196" s="1209">
        <v>9497</v>
      </c>
      <c r="S1196" s="1209">
        <v>9497</v>
      </c>
      <c r="T1196" s="26" t="s">
        <v>4984</v>
      </c>
      <c r="U1196" s="1871"/>
      <c r="V1196" s="26"/>
      <c r="W1196" s="2015"/>
      <c r="X1196" s="18"/>
      <c r="Y1196" s="4"/>
      <c r="Z1196" s="4"/>
    </row>
    <row r="1197" spans="1:26" ht="24.95" hidden="1">
      <c r="A1197" s="20">
        <v>1204</v>
      </c>
      <c r="B1197" s="1063">
        <v>40974</v>
      </c>
      <c r="C1197" s="26" t="s">
        <v>4997</v>
      </c>
      <c r="D1197" s="11"/>
      <c r="E1197" s="26" t="s">
        <v>62</v>
      </c>
      <c r="F1197" s="26" t="s">
        <v>4980</v>
      </c>
      <c r="G1197" s="26" t="s">
        <v>4998</v>
      </c>
      <c r="H1197" s="26" t="s">
        <v>4999</v>
      </c>
      <c r="I1197" s="26" t="s">
        <v>4999</v>
      </c>
      <c r="J1197" s="26"/>
      <c r="K1197" s="26" t="s">
        <v>5000</v>
      </c>
      <c r="L1197" s="26"/>
      <c r="M1197" s="26">
        <v>2</v>
      </c>
      <c r="N1197" s="26">
        <v>2</v>
      </c>
      <c r="O1197" s="26"/>
      <c r="P1197" s="26"/>
      <c r="Q1197" s="26"/>
      <c r="R1197" s="1209">
        <v>1075</v>
      </c>
      <c r="S1197" s="1209">
        <v>2150</v>
      </c>
      <c r="T1197" s="26" t="s">
        <v>4984</v>
      </c>
      <c r="U1197" s="1871"/>
      <c r="V1197" s="26"/>
      <c r="W1197" s="2015"/>
      <c r="X1197" s="18"/>
      <c r="Y1197" s="4"/>
      <c r="Z1197" s="4"/>
    </row>
    <row r="1198" spans="1:26" ht="24.95" hidden="1">
      <c r="A1198" s="20">
        <v>1205</v>
      </c>
      <c r="B1198" s="1063">
        <v>40975</v>
      </c>
      <c r="C1198" s="26" t="s">
        <v>5001</v>
      </c>
      <c r="D1198" s="11"/>
      <c r="E1198" s="26" t="s">
        <v>62</v>
      </c>
      <c r="F1198" s="26" t="s">
        <v>4980</v>
      </c>
      <c r="G1198" s="26" t="s">
        <v>5002</v>
      </c>
      <c r="H1198" s="26" t="s">
        <v>4982</v>
      </c>
      <c r="I1198" s="26" t="s">
        <v>4982</v>
      </c>
      <c r="J1198" s="26"/>
      <c r="K1198" s="26" t="s">
        <v>5003</v>
      </c>
      <c r="L1198" s="26"/>
      <c r="M1198" s="26">
        <v>2</v>
      </c>
      <c r="N1198" s="26">
        <v>2</v>
      </c>
      <c r="O1198" s="26"/>
      <c r="P1198" s="26"/>
      <c r="Q1198" s="26"/>
      <c r="R1198" s="1209">
        <v>20679</v>
      </c>
      <c r="S1198" s="1209">
        <v>41358</v>
      </c>
      <c r="T1198" s="26" t="s">
        <v>4984</v>
      </c>
      <c r="U1198" s="1871"/>
      <c r="V1198" s="26"/>
      <c r="W1198" s="2015"/>
      <c r="X1198" s="26"/>
      <c r="Y1198" s="71"/>
      <c r="Z1198" s="71"/>
    </row>
    <row r="1199" spans="1:26" ht="24.95" hidden="1">
      <c r="A1199" s="20">
        <v>1206</v>
      </c>
      <c r="B1199" s="1063">
        <v>40976</v>
      </c>
      <c r="C1199" s="26" t="s">
        <v>5004</v>
      </c>
      <c r="D1199" s="11"/>
      <c r="E1199" s="26" t="s">
        <v>62</v>
      </c>
      <c r="F1199" s="26" t="s">
        <v>4980</v>
      </c>
      <c r="G1199" s="26" t="s">
        <v>5005</v>
      </c>
      <c r="H1199" s="26" t="s">
        <v>4982</v>
      </c>
      <c r="I1199" s="26" t="s">
        <v>4982</v>
      </c>
      <c r="J1199" s="26"/>
      <c r="K1199" s="26" t="s">
        <v>5006</v>
      </c>
      <c r="L1199" s="26"/>
      <c r="M1199" s="26">
        <v>8</v>
      </c>
      <c r="N1199" s="26">
        <v>8</v>
      </c>
      <c r="O1199" s="26"/>
      <c r="P1199" s="26"/>
      <c r="Q1199" s="26"/>
      <c r="R1199" s="1209">
        <v>5100</v>
      </c>
      <c r="S1199" s="1209">
        <v>40800</v>
      </c>
      <c r="T1199" s="26" t="s">
        <v>4984</v>
      </c>
      <c r="U1199" s="1871"/>
      <c r="V1199" s="26"/>
      <c r="W1199" s="2015"/>
      <c r="X1199" s="26"/>
      <c r="Y1199" s="71"/>
      <c r="Z1199" s="71"/>
    </row>
    <row r="1200" spans="1:26" ht="24.95" hidden="1">
      <c r="A1200" s="20">
        <v>1207</v>
      </c>
      <c r="B1200" s="1063">
        <v>40977</v>
      </c>
      <c r="C1200" s="26" t="s">
        <v>5007</v>
      </c>
      <c r="D1200" s="11"/>
      <c r="E1200" s="26" t="s">
        <v>62</v>
      </c>
      <c r="F1200" s="26" t="s">
        <v>4980</v>
      </c>
      <c r="G1200" s="26" t="s">
        <v>5008</v>
      </c>
      <c r="H1200" s="26" t="s">
        <v>4982</v>
      </c>
      <c r="I1200" s="26" t="s">
        <v>4982</v>
      </c>
      <c r="J1200" s="26"/>
      <c r="K1200" s="26" t="s">
        <v>5009</v>
      </c>
      <c r="L1200" s="26"/>
      <c r="M1200" s="26">
        <v>8</v>
      </c>
      <c r="N1200" s="26">
        <v>8</v>
      </c>
      <c r="O1200" s="26"/>
      <c r="P1200" s="26"/>
      <c r="Q1200" s="26"/>
      <c r="R1200" s="1209">
        <v>1099</v>
      </c>
      <c r="S1200" s="1209">
        <v>8792</v>
      </c>
      <c r="T1200" s="26" t="s">
        <v>4984</v>
      </c>
      <c r="U1200" s="1871"/>
      <c r="V1200" s="26"/>
      <c r="W1200" s="2015"/>
      <c r="X1200" s="18"/>
      <c r="Y1200" s="4"/>
      <c r="Z1200" s="4"/>
    </row>
    <row r="1201" spans="1:26" ht="24.95" hidden="1">
      <c r="A1201" s="20">
        <v>1208</v>
      </c>
      <c r="B1201" s="1063">
        <v>40978</v>
      </c>
      <c r="C1201" s="26" t="s">
        <v>5010</v>
      </c>
      <c r="D1201" s="11"/>
      <c r="E1201" s="26" t="s">
        <v>62</v>
      </c>
      <c r="F1201" s="26" t="s">
        <v>4980</v>
      </c>
      <c r="G1201" s="26" t="s">
        <v>5011</v>
      </c>
      <c r="H1201" s="26" t="s">
        <v>4982</v>
      </c>
      <c r="I1201" s="26" t="s">
        <v>4982</v>
      </c>
      <c r="J1201" s="26"/>
      <c r="K1201" s="26" t="s">
        <v>5012</v>
      </c>
      <c r="L1201" s="26"/>
      <c r="M1201" s="26">
        <v>8</v>
      </c>
      <c r="N1201" s="26">
        <v>8</v>
      </c>
      <c r="O1201" s="26"/>
      <c r="P1201" s="26"/>
      <c r="Q1201" s="26"/>
      <c r="R1201" s="1209">
        <v>703</v>
      </c>
      <c r="S1201" s="1209">
        <v>5624</v>
      </c>
      <c r="T1201" s="26" t="s">
        <v>4984</v>
      </c>
      <c r="U1201" s="1871"/>
      <c r="V1201" s="26"/>
      <c r="W1201" s="2015"/>
      <c r="X1201" s="18"/>
      <c r="Y1201" s="4"/>
      <c r="Z1201" s="4"/>
    </row>
    <row r="1202" spans="1:26" ht="24.95" hidden="1">
      <c r="A1202" s="20">
        <v>1209</v>
      </c>
      <c r="B1202" s="1063">
        <v>40979</v>
      </c>
      <c r="C1202" s="26" t="s">
        <v>5013</v>
      </c>
      <c r="D1202" s="11"/>
      <c r="E1202" s="26" t="s">
        <v>62</v>
      </c>
      <c r="F1202" s="26" t="s">
        <v>4980</v>
      </c>
      <c r="G1202" s="26" t="s">
        <v>5014</v>
      </c>
      <c r="H1202" s="26" t="s">
        <v>4982</v>
      </c>
      <c r="I1202" s="26" t="s">
        <v>4982</v>
      </c>
      <c r="J1202" s="26"/>
      <c r="K1202" s="26" t="s">
        <v>5015</v>
      </c>
      <c r="L1202" s="26"/>
      <c r="M1202" s="26">
        <v>2</v>
      </c>
      <c r="N1202" s="26">
        <v>2</v>
      </c>
      <c r="O1202" s="26"/>
      <c r="P1202" s="26"/>
      <c r="Q1202" s="26"/>
      <c r="R1202" s="1209">
        <v>6179</v>
      </c>
      <c r="S1202" s="1209">
        <v>12358</v>
      </c>
      <c r="T1202" s="26" t="s">
        <v>4984</v>
      </c>
      <c r="U1202" s="1871"/>
      <c r="V1202" s="26"/>
      <c r="W1202" s="2015"/>
      <c r="X1202" s="18"/>
      <c r="Y1202" s="4"/>
      <c r="Z1202" s="4"/>
    </row>
    <row r="1203" spans="1:26" ht="24.95" hidden="1">
      <c r="A1203" s="20">
        <v>1210</v>
      </c>
      <c r="B1203" s="1063">
        <v>40980</v>
      </c>
      <c r="C1203" s="26" t="s">
        <v>5016</v>
      </c>
      <c r="D1203" s="11"/>
      <c r="E1203" s="26" t="s">
        <v>62</v>
      </c>
      <c r="F1203" s="26" t="s">
        <v>4980</v>
      </c>
      <c r="G1203" s="26" t="s">
        <v>5017</v>
      </c>
      <c r="H1203" s="26" t="s">
        <v>4982</v>
      </c>
      <c r="I1203" s="26" t="s">
        <v>4982</v>
      </c>
      <c r="J1203" s="26"/>
      <c r="K1203" s="26" t="s">
        <v>5018</v>
      </c>
      <c r="L1203" s="26"/>
      <c r="M1203" s="26">
        <v>2</v>
      </c>
      <c r="N1203" s="26">
        <v>2</v>
      </c>
      <c r="O1203" s="26"/>
      <c r="P1203" s="26"/>
      <c r="Q1203" s="26"/>
      <c r="R1203" s="1209">
        <v>4046</v>
      </c>
      <c r="S1203" s="1209">
        <v>8092</v>
      </c>
      <c r="T1203" s="26" t="s">
        <v>4984</v>
      </c>
      <c r="U1203" s="1871"/>
      <c r="V1203" s="26"/>
      <c r="W1203" s="2015"/>
      <c r="X1203" s="18"/>
      <c r="Y1203" s="4"/>
      <c r="Z1203" s="4"/>
    </row>
    <row r="1204" spans="1:26" ht="24.95" hidden="1">
      <c r="A1204" s="20">
        <v>1211</v>
      </c>
      <c r="B1204" s="1063">
        <v>40981</v>
      </c>
      <c r="C1204" s="26" t="s">
        <v>5019</v>
      </c>
      <c r="D1204" s="11"/>
      <c r="E1204" s="26" t="s">
        <v>62</v>
      </c>
      <c r="F1204" s="26" t="s">
        <v>4980</v>
      </c>
      <c r="G1204" s="26" t="s">
        <v>5020</v>
      </c>
      <c r="H1204" s="26" t="s">
        <v>4982</v>
      </c>
      <c r="I1204" s="26" t="s">
        <v>4982</v>
      </c>
      <c r="J1204" s="26"/>
      <c r="K1204" s="26" t="s">
        <v>5021</v>
      </c>
      <c r="L1204" s="26"/>
      <c r="M1204" s="26">
        <v>1</v>
      </c>
      <c r="N1204" s="26">
        <v>1</v>
      </c>
      <c r="O1204" s="26"/>
      <c r="P1204" s="26"/>
      <c r="Q1204" s="26"/>
      <c r="R1204" s="1209">
        <v>19553</v>
      </c>
      <c r="S1204" s="1209">
        <v>19553</v>
      </c>
      <c r="T1204" s="26" t="s">
        <v>4984</v>
      </c>
      <c r="U1204" s="1871"/>
      <c r="V1204" s="26"/>
      <c r="W1204" s="2015"/>
      <c r="X1204" s="26"/>
      <c r="Y1204" s="71"/>
      <c r="Z1204" s="71"/>
    </row>
    <row r="1205" spans="1:26" ht="24.95" hidden="1">
      <c r="A1205" s="20">
        <v>1212</v>
      </c>
      <c r="B1205" s="1063">
        <v>40982</v>
      </c>
      <c r="C1205" s="26" t="s">
        <v>5022</v>
      </c>
      <c r="D1205" s="11"/>
      <c r="E1205" s="26" t="s">
        <v>62</v>
      </c>
      <c r="F1205" s="26" t="s">
        <v>4980</v>
      </c>
      <c r="G1205" s="26" t="s">
        <v>5023</v>
      </c>
      <c r="H1205" s="26" t="s">
        <v>4982</v>
      </c>
      <c r="I1205" s="26" t="s">
        <v>4982</v>
      </c>
      <c r="J1205" s="26"/>
      <c r="K1205" s="26" t="s">
        <v>5024</v>
      </c>
      <c r="L1205" s="26"/>
      <c r="M1205" s="26">
        <v>1</v>
      </c>
      <c r="N1205" s="26">
        <v>1</v>
      </c>
      <c r="O1205" s="26"/>
      <c r="P1205" s="26"/>
      <c r="Q1205" s="26"/>
      <c r="R1205" s="1209">
        <v>516</v>
      </c>
      <c r="S1205" s="1209">
        <v>516</v>
      </c>
      <c r="T1205" s="26" t="s">
        <v>4984</v>
      </c>
      <c r="U1205" s="1871"/>
      <c r="V1205" s="26"/>
      <c r="W1205" s="2015"/>
      <c r="X1205" s="26"/>
      <c r="Y1205" s="71"/>
      <c r="Z1205" s="71"/>
    </row>
    <row r="1206" spans="1:26" ht="24.95" hidden="1">
      <c r="A1206" s="20">
        <v>1213</v>
      </c>
      <c r="B1206" s="1063">
        <v>40983</v>
      </c>
      <c r="C1206" s="26" t="s">
        <v>5025</v>
      </c>
      <c r="D1206" s="11"/>
      <c r="E1206" s="26" t="s">
        <v>62</v>
      </c>
      <c r="F1206" s="26" t="s">
        <v>4980</v>
      </c>
      <c r="G1206" s="26" t="s">
        <v>5026</v>
      </c>
      <c r="H1206" s="26" t="s">
        <v>4982</v>
      </c>
      <c r="I1206" s="26" t="s">
        <v>4982</v>
      </c>
      <c r="J1206" s="26"/>
      <c r="K1206" s="26" t="s">
        <v>5027</v>
      </c>
      <c r="L1206" s="26"/>
      <c r="M1206" s="26">
        <v>1</v>
      </c>
      <c r="N1206" s="26">
        <v>1</v>
      </c>
      <c r="O1206" s="26"/>
      <c r="P1206" s="26"/>
      <c r="Q1206" s="26"/>
      <c r="R1206" s="1209">
        <v>5767</v>
      </c>
      <c r="S1206" s="1209">
        <v>5767</v>
      </c>
      <c r="T1206" s="26" t="s">
        <v>4984</v>
      </c>
      <c r="U1206" s="1871"/>
      <c r="V1206" s="26"/>
      <c r="W1206" s="2015"/>
      <c r="X1206" s="18"/>
      <c r="Y1206" s="4"/>
      <c r="Z1206" s="4"/>
    </row>
    <row r="1207" spans="1:26" ht="24.95" hidden="1">
      <c r="A1207" s="20">
        <v>1214</v>
      </c>
      <c r="B1207" s="1063">
        <v>40984</v>
      </c>
      <c r="C1207" s="26" t="s">
        <v>5028</v>
      </c>
      <c r="D1207" s="11"/>
      <c r="E1207" s="26" t="s">
        <v>62</v>
      </c>
      <c r="F1207" s="26" t="s">
        <v>4980</v>
      </c>
      <c r="G1207" s="26" t="s">
        <v>5029</v>
      </c>
      <c r="H1207" s="26" t="s">
        <v>4982</v>
      </c>
      <c r="I1207" s="26" t="s">
        <v>4982</v>
      </c>
      <c r="J1207" s="26"/>
      <c r="K1207" s="26" t="s">
        <v>5030</v>
      </c>
      <c r="L1207" s="26"/>
      <c r="M1207" s="26">
        <v>1</v>
      </c>
      <c r="N1207" s="26">
        <v>1</v>
      </c>
      <c r="O1207" s="26"/>
      <c r="P1207" s="26"/>
      <c r="Q1207" s="26"/>
      <c r="R1207" s="1209">
        <v>2588</v>
      </c>
      <c r="S1207" s="1209">
        <v>2588</v>
      </c>
      <c r="T1207" s="26" t="s">
        <v>4984</v>
      </c>
      <c r="U1207" s="1871"/>
      <c r="V1207" s="26"/>
      <c r="W1207" s="2015"/>
      <c r="X1207" s="18"/>
      <c r="Y1207" s="4"/>
      <c r="Z1207" s="4"/>
    </row>
    <row r="1208" spans="1:26" ht="24.95" hidden="1">
      <c r="A1208" s="20">
        <v>1215</v>
      </c>
      <c r="B1208" s="1063">
        <v>40985</v>
      </c>
      <c r="C1208" s="26" t="s">
        <v>5031</v>
      </c>
      <c r="D1208" s="11"/>
      <c r="E1208" s="26" t="s">
        <v>62</v>
      </c>
      <c r="F1208" s="26" t="s">
        <v>4980</v>
      </c>
      <c r="G1208" s="26" t="s">
        <v>5032</v>
      </c>
      <c r="H1208" s="26" t="s">
        <v>4982</v>
      </c>
      <c r="I1208" s="26" t="s">
        <v>4982</v>
      </c>
      <c r="J1208" s="26"/>
      <c r="K1208" s="26" t="s">
        <v>5033</v>
      </c>
      <c r="L1208" s="26"/>
      <c r="M1208" s="26">
        <v>2</v>
      </c>
      <c r="N1208" s="26">
        <v>2</v>
      </c>
      <c r="O1208" s="26"/>
      <c r="P1208" s="26"/>
      <c r="Q1208" s="26"/>
      <c r="R1208" s="1209">
        <v>3764</v>
      </c>
      <c r="S1208" s="1209">
        <v>7528</v>
      </c>
      <c r="T1208" s="26" t="s">
        <v>4984</v>
      </c>
      <c r="U1208" s="1871"/>
      <c r="V1208" s="26"/>
      <c r="W1208" s="2015"/>
      <c r="X1208" s="18"/>
      <c r="Y1208" s="4"/>
      <c r="Z1208" s="4"/>
    </row>
    <row r="1209" spans="1:26" ht="24.95" hidden="1">
      <c r="A1209" s="20">
        <v>1216</v>
      </c>
      <c r="B1209" s="1063">
        <v>40986</v>
      </c>
      <c r="C1209" s="26" t="s">
        <v>5034</v>
      </c>
      <c r="D1209" s="11"/>
      <c r="E1209" s="26" t="s">
        <v>62</v>
      </c>
      <c r="F1209" s="26" t="s">
        <v>4980</v>
      </c>
      <c r="G1209" s="26" t="s">
        <v>5035</v>
      </c>
      <c r="H1209" s="26" t="s">
        <v>4982</v>
      </c>
      <c r="I1209" s="26" t="s">
        <v>4982</v>
      </c>
      <c r="J1209" s="26"/>
      <c r="K1209" s="26" t="s">
        <v>5036</v>
      </c>
      <c r="L1209" s="26"/>
      <c r="M1209" s="26">
        <v>1</v>
      </c>
      <c r="N1209" s="26">
        <v>1</v>
      </c>
      <c r="O1209" s="26"/>
      <c r="P1209" s="26"/>
      <c r="Q1209" s="26"/>
      <c r="R1209" s="1209">
        <v>5312</v>
      </c>
      <c r="S1209" s="1209">
        <v>5312</v>
      </c>
      <c r="T1209" s="26" t="s">
        <v>4984</v>
      </c>
      <c r="U1209" s="1871"/>
      <c r="V1209" s="26"/>
      <c r="W1209" s="2015"/>
      <c r="X1209" s="18"/>
      <c r="Y1209" s="4"/>
      <c r="Z1209" s="4"/>
    </row>
    <row r="1210" spans="1:26" ht="24.95" hidden="1">
      <c r="A1210" s="20">
        <v>1217</v>
      </c>
      <c r="B1210" s="1063">
        <v>40987</v>
      </c>
      <c r="C1210" s="26" t="s">
        <v>5037</v>
      </c>
      <c r="D1210" s="11"/>
      <c r="E1210" s="26" t="s">
        <v>62</v>
      </c>
      <c r="F1210" s="26" t="s">
        <v>4980</v>
      </c>
      <c r="G1210" s="26" t="s">
        <v>5038</v>
      </c>
      <c r="H1210" s="26" t="s">
        <v>4982</v>
      </c>
      <c r="I1210" s="26" t="s">
        <v>4982</v>
      </c>
      <c r="J1210" s="26"/>
      <c r="K1210" s="26" t="s">
        <v>5039</v>
      </c>
      <c r="L1210" s="26"/>
      <c r="M1210" s="26">
        <v>1</v>
      </c>
      <c r="N1210" s="26">
        <v>1</v>
      </c>
      <c r="O1210" s="26"/>
      <c r="P1210" s="26"/>
      <c r="Q1210" s="26"/>
      <c r="R1210" s="1209">
        <v>1942</v>
      </c>
      <c r="S1210" s="1209">
        <v>1942</v>
      </c>
      <c r="T1210" s="26" t="s">
        <v>4984</v>
      </c>
      <c r="U1210" s="1871"/>
      <c r="V1210" s="26"/>
      <c r="W1210" s="2015"/>
      <c r="X1210" s="26"/>
      <c r="Y1210" s="71"/>
      <c r="Z1210" s="71"/>
    </row>
    <row r="1211" spans="1:26" ht="24.95" hidden="1">
      <c r="A1211" s="20">
        <v>1218</v>
      </c>
      <c r="B1211" s="1063">
        <v>40988</v>
      </c>
      <c r="C1211" s="26" t="s">
        <v>5040</v>
      </c>
      <c r="D1211" s="11"/>
      <c r="E1211" s="26" t="s">
        <v>62</v>
      </c>
      <c r="F1211" s="26" t="s">
        <v>4980</v>
      </c>
      <c r="G1211" s="26" t="s">
        <v>5041</v>
      </c>
      <c r="H1211" s="26" t="s">
        <v>4982</v>
      </c>
      <c r="I1211" s="26" t="s">
        <v>4982</v>
      </c>
      <c r="J1211" s="26"/>
      <c r="K1211" s="26" t="s">
        <v>5042</v>
      </c>
      <c r="L1211" s="26"/>
      <c r="M1211" s="26">
        <v>1</v>
      </c>
      <c r="N1211" s="26">
        <v>1</v>
      </c>
      <c r="O1211" s="26"/>
      <c r="P1211" s="26"/>
      <c r="Q1211" s="26"/>
      <c r="R1211" s="1209">
        <v>10938</v>
      </c>
      <c r="S1211" s="1209">
        <v>10938</v>
      </c>
      <c r="T1211" s="26" t="s">
        <v>4984</v>
      </c>
      <c r="U1211" s="1871"/>
      <c r="V1211" s="26"/>
      <c r="W1211" s="2015"/>
      <c r="X1211" s="26"/>
      <c r="Y1211" s="71"/>
      <c r="Z1211" s="71"/>
    </row>
    <row r="1212" spans="1:26" ht="24.95" hidden="1">
      <c r="A1212" s="20">
        <v>1219</v>
      </c>
      <c r="B1212" s="1063">
        <v>40989</v>
      </c>
      <c r="C1212" s="26" t="s">
        <v>5043</v>
      </c>
      <c r="D1212" s="11"/>
      <c r="E1212" s="26" t="s">
        <v>62</v>
      </c>
      <c r="F1212" s="26" t="s">
        <v>4980</v>
      </c>
      <c r="G1212" s="26" t="s">
        <v>5044</v>
      </c>
      <c r="H1212" s="26" t="s">
        <v>4982</v>
      </c>
      <c r="I1212" s="26" t="s">
        <v>4982</v>
      </c>
      <c r="J1212" s="26"/>
      <c r="K1212" s="26" t="s">
        <v>5045</v>
      </c>
      <c r="L1212" s="26"/>
      <c r="M1212" s="26">
        <v>2</v>
      </c>
      <c r="N1212" s="26">
        <v>2</v>
      </c>
      <c r="O1212" s="26"/>
      <c r="P1212" s="26"/>
      <c r="Q1212" s="26"/>
      <c r="R1212" s="1209">
        <v>3904</v>
      </c>
      <c r="S1212" s="1209">
        <v>7808</v>
      </c>
      <c r="T1212" s="26" t="s">
        <v>4984</v>
      </c>
      <c r="U1212" s="1871"/>
      <c r="V1212" s="26"/>
      <c r="W1212" s="2015"/>
      <c r="X1212" s="18"/>
      <c r="Y1212" s="4"/>
      <c r="Z1212" s="4"/>
    </row>
    <row r="1213" spans="1:26" ht="24.95" hidden="1">
      <c r="A1213" s="20">
        <v>1220</v>
      </c>
      <c r="B1213" s="1063">
        <v>40990</v>
      </c>
      <c r="C1213" s="26" t="s">
        <v>5046</v>
      </c>
      <c r="D1213" s="11"/>
      <c r="E1213" s="26" t="s">
        <v>62</v>
      </c>
      <c r="F1213" s="26" t="s">
        <v>4980</v>
      </c>
      <c r="G1213" s="108" t="s">
        <v>5047</v>
      </c>
      <c r="H1213" s="108" t="s">
        <v>460</v>
      </c>
      <c r="I1213" s="26" t="s">
        <v>281</v>
      </c>
      <c r="J1213" s="108" t="s">
        <v>5048</v>
      </c>
      <c r="K1213" s="26" t="s">
        <v>5049</v>
      </c>
      <c r="L1213" s="26"/>
      <c r="M1213" s="26">
        <v>4</v>
      </c>
      <c r="N1213" s="26">
        <v>4</v>
      </c>
      <c r="O1213" s="26"/>
      <c r="P1213" s="26"/>
      <c r="Q1213" s="26"/>
      <c r="R1213" s="1209">
        <v>133</v>
      </c>
      <c r="S1213" s="1209">
        <v>532</v>
      </c>
      <c r="T1213" s="26" t="s">
        <v>4984</v>
      </c>
      <c r="U1213" s="1871"/>
      <c r="V1213" s="26"/>
      <c r="W1213" s="2015"/>
      <c r="X1213" s="18"/>
      <c r="Y1213" s="4"/>
      <c r="Z1213" s="4"/>
    </row>
    <row r="1214" spans="1:26" ht="24.95" hidden="1">
      <c r="A1214" s="20">
        <v>1221</v>
      </c>
      <c r="B1214" s="1063">
        <v>40991</v>
      </c>
      <c r="C1214" s="26" t="s">
        <v>5050</v>
      </c>
      <c r="D1214" s="11"/>
      <c r="E1214" s="26" t="s">
        <v>62</v>
      </c>
      <c r="F1214" s="26" t="s">
        <v>4980</v>
      </c>
      <c r="G1214" s="26" t="s">
        <v>5051</v>
      </c>
      <c r="H1214" s="26" t="s">
        <v>4982</v>
      </c>
      <c r="I1214" s="26" t="s">
        <v>4982</v>
      </c>
      <c r="J1214" s="26"/>
      <c r="K1214" s="26" t="s">
        <v>5052</v>
      </c>
      <c r="L1214" s="26"/>
      <c r="M1214" s="26">
        <v>1</v>
      </c>
      <c r="N1214" s="26">
        <v>1</v>
      </c>
      <c r="O1214" s="26"/>
      <c r="P1214" s="26"/>
      <c r="Q1214" s="26"/>
      <c r="R1214" s="1209">
        <v>7034</v>
      </c>
      <c r="S1214" s="1209">
        <v>7034</v>
      </c>
      <c r="T1214" s="26" t="s">
        <v>4984</v>
      </c>
      <c r="U1214" s="1871"/>
      <c r="V1214" s="26"/>
      <c r="W1214" s="2015"/>
      <c r="X1214" s="18"/>
      <c r="Y1214" s="4"/>
      <c r="Z1214" s="4"/>
    </row>
    <row r="1215" spans="1:26" ht="24.95" hidden="1">
      <c r="A1215" s="20">
        <v>1222</v>
      </c>
      <c r="B1215" s="1063">
        <v>40992</v>
      </c>
      <c r="C1215" s="26" t="s">
        <v>5053</v>
      </c>
      <c r="D1215" s="11"/>
      <c r="E1215" s="26" t="s">
        <v>62</v>
      </c>
      <c r="F1215" s="26" t="s">
        <v>4980</v>
      </c>
      <c r="G1215" s="26" t="s">
        <v>5054</v>
      </c>
      <c r="H1215" s="26" t="s">
        <v>4982</v>
      </c>
      <c r="I1215" s="26" t="s">
        <v>4982</v>
      </c>
      <c r="J1215" s="26"/>
      <c r="K1215" s="26" t="s">
        <v>5055</v>
      </c>
      <c r="L1215" s="26"/>
      <c r="M1215" s="26">
        <v>1</v>
      </c>
      <c r="N1215" s="26">
        <v>1</v>
      </c>
      <c r="O1215" s="26"/>
      <c r="P1215" s="26"/>
      <c r="Q1215" s="26"/>
      <c r="R1215" s="1209">
        <v>32777</v>
      </c>
      <c r="S1215" s="1209">
        <v>32777</v>
      </c>
      <c r="T1215" s="26" t="s">
        <v>4984</v>
      </c>
      <c r="U1215" s="1871"/>
      <c r="V1215" s="26"/>
      <c r="W1215" s="2015"/>
      <c r="X1215" s="18"/>
      <c r="Y1215" s="4"/>
      <c r="Z1215" s="4"/>
    </row>
    <row r="1216" spans="1:26" ht="24.95" hidden="1">
      <c r="A1216" s="20">
        <v>1223</v>
      </c>
      <c r="B1216" s="1063">
        <v>40993</v>
      </c>
      <c r="C1216" s="26" t="s">
        <v>5056</v>
      </c>
      <c r="D1216" s="11"/>
      <c r="E1216" s="26" t="s">
        <v>62</v>
      </c>
      <c r="F1216" s="26" t="s">
        <v>4980</v>
      </c>
      <c r="G1216" s="26" t="s">
        <v>5057</v>
      </c>
      <c r="H1216" s="26" t="s">
        <v>4982</v>
      </c>
      <c r="I1216" s="26" t="s">
        <v>4982</v>
      </c>
      <c r="J1216" s="26"/>
      <c r="K1216" s="26" t="s">
        <v>5058</v>
      </c>
      <c r="L1216" s="26"/>
      <c r="M1216" s="26">
        <v>1</v>
      </c>
      <c r="N1216" s="26">
        <v>1</v>
      </c>
      <c r="O1216" s="26"/>
      <c r="P1216" s="26"/>
      <c r="Q1216" s="26"/>
      <c r="R1216" s="1209">
        <v>29683</v>
      </c>
      <c r="S1216" s="1209">
        <v>29683</v>
      </c>
      <c r="T1216" s="26" t="s">
        <v>4984</v>
      </c>
      <c r="U1216" s="1871"/>
      <c r="V1216" s="26"/>
      <c r="W1216" s="2015"/>
      <c r="X1216" s="26"/>
      <c r="Y1216" s="71"/>
      <c r="Z1216" s="71"/>
    </row>
    <row r="1217" spans="1:26" ht="24.95" hidden="1">
      <c r="A1217" s="20">
        <v>1224</v>
      </c>
      <c r="B1217" s="1063">
        <v>40994</v>
      </c>
      <c r="C1217" s="26" t="s">
        <v>5059</v>
      </c>
      <c r="D1217" s="11"/>
      <c r="E1217" s="26" t="s">
        <v>62</v>
      </c>
      <c r="F1217" s="26" t="s">
        <v>4980</v>
      </c>
      <c r="G1217" s="26" t="s">
        <v>5060</v>
      </c>
      <c r="H1217" s="26" t="s">
        <v>4982</v>
      </c>
      <c r="I1217" s="26" t="s">
        <v>4982</v>
      </c>
      <c r="J1217" s="26"/>
      <c r="K1217" s="26" t="s">
        <v>5061</v>
      </c>
      <c r="L1217" s="26"/>
      <c r="M1217" s="26">
        <v>1</v>
      </c>
      <c r="N1217" s="26">
        <v>1</v>
      </c>
      <c r="O1217" s="26"/>
      <c r="P1217" s="26"/>
      <c r="Q1217" s="26"/>
      <c r="R1217" s="1209">
        <v>3795</v>
      </c>
      <c r="S1217" s="1209">
        <v>3795</v>
      </c>
      <c r="T1217" s="26" t="s">
        <v>4984</v>
      </c>
      <c r="U1217" s="1871"/>
      <c r="V1217" s="26"/>
      <c r="W1217" s="2015"/>
      <c r="X1217" s="26"/>
      <c r="Y1217" s="71"/>
      <c r="Z1217" s="71"/>
    </row>
    <row r="1218" spans="1:26" ht="24.95" hidden="1">
      <c r="A1218" s="20">
        <v>1225</v>
      </c>
      <c r="B1218" s="1063">
        <v>40995</v>
      </c>
      <c r="C1218" s="26" t="s">
        <v>5062</v>
      </c>
      <c r="D1218" s="11"/>
      <c r="E1218" s="26" t="s">
        <v>62</v>
      </c>
      <c r="F1218" s="26" t="s">
        <v>4980</v>
      </c>
      <c r="G1218" s="26" t="s">
        <v>5063</v>
      </c>
      <c r="H1218" s="26" t="s">
        <v>4982</v>
      </c>
      <c r="I1218" s="26" t="s">
        <v>4982</v>
      </c>
      <c r="J1218" s="26"/>
      <c r="K1218" s="26" t="s">
        <v>5064</v>
      </c>
      <c r="L1218" s="26"/>
      <c r="M1218" s="26">
        <v>1</v>
      </c>
      <c r="N1218" s="26">
        <v>1</v>
      </c>
      <c r="O1218" s="26"/>
      <c r="P1218" s="26"/>
      <c r="Q1218" s="26"/>
      <c r="R1218" s="1209">
        <v>2194</v>
      </c>
      <c r="S1218" s="1209">
        <v>2194</v>
      </c>
      <c r="T1218" s="26" t="s">
        <v>4984</v>
      </c>
      <c r="U1218" s="1871"/>
      <c r="V1218" s="26"/>
      <c r="W1218" s="2015"/>
      <c r="X1218" s="18"/>
      <c r="Y1218" s="4"/>
      <c r="Z1218" s="4"/>
    </row>
    <row r="1219" spans="1:26" ht="24.95" hidden="1">
      <c r="A1219" s="20">
        <v>1226</v>
      </c>
      <c r="B1219" s="1063">
        <v>40996</v>
      </c>
      <c r="C1219" s="26" t="s">
        <v>5065</v>
      </c>
      <c r="D1219" s="11"/>
      <c r="E1219" s="26" t="s">
        <v>62</v>
      </c>
      <c r="F1219" s="26" t="s">
        <v>4980</v>
      </c>
      <c r="G1219" s="26" t="s">
        <v>5066</v>
      </c>
      <c r="H1219" s="26" t="s">
        <v>4999</v>
      </c>
      <c r="I1219" s="26" t="s">
        <v>4999</v>
      </c>
      <c r="J1219" s="26"/>
      <c r="K1219" s="26" t="s">
        <v>5067</v>
      </c>
      <c r="L1219" s="26"/>
      <c r="M1219" s="26">
        <v>1</v>
      </c>
      <c r="N1219" s="26">
        <v>1</v>
      </c>
      <c r="O1219" s="26"/>
      <c r="P1219" s="26"/>
      <c r="Q1219" s="26"/>
      <c r="R1219" s="1209">
        <v>1134</v>
      </c>
      <c r="S1219" s="1209">
        <v>1134</v>
      </c>
      <c r="T1219" s="26" t="s">
        <v>4984</v>
      </c>
      <c r="U1219" s="1871"/>
      <c r="V1219" s="26"/>
      <c r="W1219" s="2015"/>
      <c r="X1219" s="18"/>
      <c r="Y1219" s="4"/>
      <c r="Z1219" s="4"/>
    </row>
    <row r="1220" spans="1:26" ht="24.95" hidden="1">
      <c r="A1220" s="20">
        <v>1227</v>
      </c>
      <c r="B1220" s="1063">
        <v>40997</v>
      </c>
      <c r="C1220" s="26" t="s">
        <v>5068</v>
      </c>
      <c r="D1220" s="11"/>
      <c r="E1220" s="26" t="s">
        <v>62</v>
      </c>
      <c r="F1220" s="26" t="s">
        <v>4980</v>
      </c>
      <c r="G1220" s="26" t="s">
        <v>5069</v>
      </c>
      <c r="H1220" s="26" t="s">
        <v>4999</v>
      </c>
      <c r="I1220" s="26" t="s">
        <v>4999</v>
      </c>
      <c r="J1220" s="26"/>
      <c r="K1220" s="26" t="s">
        <v>5070</v>
      </c>
      <c r="L1220" s="26"/>
      <c r="M1220" s="26">
        <v>4</v>
      </c>
      <c r="N1220" s="26">
        <v>4</v>
      </c>
      <c r="O1220" s="26"/>
      <c r="P1220" s="26"/>
      <c r="Q1220" s="26"/>
      <c r="R1220" s="1209">
        <v>648</v>
      </c>
      <c r="S1220" s="1209">
        <v>2592</v>
      </c>
      <c r="T1220" s="26" t="s">
        <v>4984</v>
      </c>
      <c r="U1220" s="1871"/>
      <c r="V1220" s="26"/>
      <c r="W1220" s="2015"/>
      <c r="X1220" s="18"/>
      <c r="Y1220" s="4"/>
      <c r="Z1220" s="4"/>
    </row>
    <row r="1221" spans="1:26" ht="24.95" hidden="1">
      <c r="A1221" s="20">
        <v>1228</v>
      </c>
      <c r="B1221" s="1063">
        <v>40998</v>
      </c>
      <c r="C1221" s="26" t="s">
        <v>5071</v>
      </c>
      <c r="D1221" s="11"/>
      <c r="E1221" s="26" t="s">
        <v>62</v>
      </c>
      <c r="F1221" s="26" t="s">
        <v>4980</v>
      </c>
      <c r="G1221" s="26" t="s">
        <v>5072</v>
      </c>
      <c r="H1221" s="26" t="s">
        <v>4999</v>
      </c>
      <c r="I1221" s="26" t="s">
        <v>4999</v>
      </c>
      <c r="J1221" s="26"/>
      <c r="K1221" s="26" t="s">
        <v>5073</v>
      </c>
      <c r="L1221" s="26"/>
      <c r="M1221" s="26">
        <v>2</v>
      </c>
      <c r="N1221" s="26">
        <v>2</v>
      </c>
      <c r="O1221" s="26"/>
      <c r="P1221" s="26"/>
      <c r="Q1221" s="26"/>
      <c r="R1221" s="1209">
        <v>421</v>
      </c>
      <c r="S1221" s="1209">
        <v>842</v>
      </c>
      <c r="T1221" s="26" t="s">
        <v>4984</v>
      </c>
      <c r="U1221" s="1871"/>
      <c r="V1221" s="26"/>
      <c r="W1221" s="2015"/>
      <c r="X1221" s="18"/>
      <c r="Y1221" s="4"/>
      <c r="Z1221" s="4"/>
    </row>
    <row r="1222" spans="1:26" ht="24.95" hidden="1">
      <c r="A1222" s="20">
        <v>1229</v>
      </c>
      <c r="B1222" s="1063">
        <v>40999</v>
      </c>
      <c r="C1222" s="26" t="s">
        <v>212</v>
      </c>
      <c r="D1222" s="11"/>
      <c r="E1222" s="26" t="s">
        <v>62</v>
      </c>
      <c r="F1222" s="26" t="s">
        <v>4980</v>
      </c>
      <c r="G1222" s="26" t="s">
        <v>5074</v>
      </c>
      <c r="H1222" s="26" t="s">
        <v>4999</v>
      </c>
      <c r="I1222" s="26" t="s">
        <v>4999</v>
      </c>
      <c r="J1222" s="26"/>
      <c r="K1222" s="26" t="s">
        <v>5075</v>
      </c>
      <c r="L1222" s="26"/>
      <c r="M1222" s="26">
        <v>2</v>
      </c>
      <c r="N1222" s="26">
        <v>2</v>
      </c>
      <c r="O1222" s="26"/>
      <c r="P1222" s="26"/>
      <c r="Q1222" s="26"/>
      <c r="R1222" s="1209">
        <v>324</v>
      </c>
      <c r="S1222" s="1209">
        <v>648</v>
      </c>
      <c r="T1222" s="26" t="s">
        <v>4984</v>
      </c>
      <c r="U1222" s="1871"/>
      <c r="V1222" s="26"/>
      <c r="W1222" s="2015"/>
      <c r="X1222" s="26"/>
      <c r="Y1222" s="71"/>
      <c r="Z1222" s="71"/>
    </row>
    <row r="1223" spans="1:26" ht="24.95" hidden="1">
      <c r="A1223" s="20">
        <v>1230</v>
      </c>
      <c r="B1223" s="1063">
        <v>41000</v>
      </c>
      <c r="C1223" s="26" t="s">
        <v>5076</v>
      </c>
      <c r="D1223" s="11"/>
      <c r="E1223" s="26" t="s">
        <v>62</v>
      </c>
      <c r="F1223" s="26" t="s">
        <v>4980</v>
      </c>
      <c r="G1223" s="26" t="s">
        <v>5077</v>
      </c>
      <c r="H1223" s="26" t="s">
        <v>4999</v>
      </c>
      <c r="I1223" s="26" t="s">
        <v>4999</v>
      </c>
      <c r="J1223" s="26"/>
      <c r="K1223" s="26" t="s">
        <v>5078</v>
      </c>
      <c r="L1223" s="26"/>
      <c r="M1223" s="26">
        <v>1</v>
      </c>
      <c r="N1223" s="26">
        <v>1</v>
      </c>
      <c r="O1223" s="26"/>
      <c r="P1223" s="26"/>
      <c r="Q1223" s="26"/>
      <c r="R1223" s="1209">
        <v>486</v>
      </c>
      <c r="S1223" s="1209">
        <v>486</v>
      </c>
      <c r="T1223" s="26" t="s">
        <v>4984</v>
      </c>
      <c r="U1223" s="1871"/>
      <c r="V1223" s="26"/>
      <c r="W1223" s="2015"/>
      <c r="X1223" s="26"/>
      <c r="Y1223" s="71"/>
      <c r="Z1223" s="71"/>
    </row>
    <row r="1224" spans="1:26" ht="24.95" hidden="1">
      <c r="A1224" s="20">
        <v>1231</v>
      </c>
      <c r="B1224" s="1063">
        <v>41001</v>
      </c>
      <c r="C1224" s="26" t="s">
        <v>5079</v>
      </c>
      <c r="D1224" s="11"/>
      <c r="E1224" s="26" t="s">
        <v>62</v>
      </c>
      <c r="F1224" s="26" t="s">
        <v>4980</v>
      </c>
      <c r="G1224" s="108" t="s">
        <v>5080</v>
      </c>
      <c r="H1224" s="108" t="s">
        <v>5081</v>
      </c>
      <c r="I1224" s="26" t="s">
        <v>53</v>
      </c>
      <c r="J1224" s="26" t="s">
        <v>5082</v>
      </c>
      <c r="K1224" s="26" t="s">
        <v>5083</v>
      </c>
      <c r="L1224" s="26"/>
      <c r="M1224" s="26">
        <v>2</v>
      </c>
      <c r="N1224" s="26">
        <v>2</v>
      </c>
      <c r="O1224" s="26"/>
      <c r="P1224" s="26"/>
      <c r="Q1224" s="26"/>
      <c r="R1224" s="1209">
        <v>68</v>
      </c>
      <c r="S1224" s="1209">
        <v>136</v>
      </c>
      <c r="T1224" s="26" t="s">
        <v>4984</v>
      </c>
      <c r="U1224" s="1871"/>
      <c r="V1224" s="26"/>
      <c r="W1224" s="2015"/>
      <c r="X1224" s="18"/>
      <c r="Y1224" s="4"/>
      <c r="Z1224" s="4"/>
    </row>
    <row r="1225" spans="1:26" ht="24.95" hidden="1">
      <c r="A1225" s="20">
        <v>1232</v>
      </c>
      <c r="B1225" s="1063">
        <v>41002</v>
      </c>
      <c r="C1225" s="26" t="s">
        <v>5084</v>
      </c>
      <c r="D1225" s="11"/>
      <c r="E1225" s="26" t="s">
        <v>62</v>
      </c>
      <c r="F1225" s="26" t="s">
        <v>4980</v>
      </c>
      <c r="G1225" s="26" t="s">
        <v>5085</v>
      </c>
      <c r="H1225" s="26" t="s">
        <v>4999</v>
      </c>
      <c r="I1225" s="26" t="s">
        <v>4999</v>
      </c>
      <c r="J1225" s="26"/>
      <c r="K1225" s="26" t="s">
        <v>5086</v>
      </c>
      <c r="L1225" s="26"/>
      <c r="M1225" s="26">
        <v>1</v>
      </c>
      <c r="N1225" s="26">
        <v>1</v>
      </c>
      <c r="O1225" s="26"/>
      <c r="P1225" s="26"/>
      <c r="Q1225" s="26"/>
      <c r="R1225" s="1209">
        <v>643</v>
      </c>
      <c r="S1225" s="1209">
        <v>643</v>
      </c>
      <c r="T1225" s="26" t="s">
        <v>4984</v>
      </c>
      <c r="U1225" s="1871"/>
      <c r="V1225" s="26"/>
      <c r="W1225" s="2015"/>
      <c r="X1225" s="18"/>
      <c r="Y1225" s="4"/>
      <c r="Z1225" s="4"/>
    </row>
    <row r="1226" spans="1:26" ht="24.95" hidden="1">
      <c r="A1226" s="20">
        <v>1233</v>
      </c>
      <c r="B1226" s="1063">
        <v>41003</v>
      </c>
      <c r="C1226" s="26" t="s">
        <v>5087</v>
      </c>
      <c r="D1226" s="11"/>
      <c r="E1226" s="26" t="s">
        <v>62</v>
      </c>
      <c r="F1226" s="26" t="s">
        <v>4980</v>
      </c>
      <c r="G1226" s="26" t="s">
        <v>5088</v>
      </c>
      <c r="H1226" s="26" t="s">
        <v>4999</v>
      </c>
      <c r="I1226" s="26" t="s">
        <v>4999</v>
      </c>
      <c r="J1226" s="26"/>
      <c r="K1226" s="26" t="s">
        <v>5089</v>
      </c>
      <c r="L1226" s="26"/>
      <c r="M1226" s="26">
        <v>1</v>
      </c>
      <c r="N1226" s="26">
        <v>1</v>
      </c>
      <c r="O1226" s="26"/>
      <c r="P1226" s="26"/>
      <c r="Q1226" s="26"/>
      <c r="R1226" s="1209">
        <v>535</v>
      </c>
      <c r="S1226" s="1209">
        <v>535</v>
      </c>
      <c r="T1226" s="26" t="s">
        <v>4984</v>
      </c>
      <c r="U1226" s="1871"/>
      <c r="V1226" s="26"/>
      <c r="W1226" s="2015"/>
      <c r="X1226" s="18"/>
      <c r="Y1226" s="4"/>
      <c r="Z1226" s="4"/>
    </row>
    <row r="1227" spans="1:26" ht="24.95" hidden="1">
      <c r="A1227" s="20">
        <v>1234</v>
      </c>
      <c r="B1227" s="1063">
        <v>41004</v>
      </c>
      <c r="C1227" s="26" t="s">
        <v>5090</v>
      </c>
      <c r="D1227" s="11"/>
      <c r="E1227" s="26" t="s">
        <v>62</v>
      </c>
      <c r="F1227" s="26" t="s">
        <v>4980</v>
      </c>
      <c r="G1227" s="26" t="s">
        <v>5091</v>
      </c>
      <c r="H1227" s="26" t="s">
        <v>4999</v>
      </c>
      <c r="I1227" s="26" t="s">
        <v>4999</v>
      </c>
      <c r="J1227" s="26"/>
      <c r="K1227" s="26" t="s">
        <v>5092</v>
      </c>
      <c r="L1227" s="26"/>
      <c r="M1227" s="26">
        <v>2</v>
      </c>
      <c r="N1227" s="26">
        <v>2</v>
      </c>
      <c r="O1227" s="26"/>
      <c r="P1227" s="26"/>
      <c r="Q1227" s="26"/>
      <c r="R1227" s="1209">
        <v>6469</v>
      </c>
      <c r="S1227" s="1209">
        <v>12938</v>
      </c>
      <c r="T1227" s="26" t="s">
        <v>4984</v>
      </c>
      <c r="U1227" s="1871"/>
      <c r="V1227" s="26"/>
      <c r="W1227" s="2015"/>
      <c r="X1227" s="18"/>
      <c r="Y1227" s="4"/>
      <c r="Z1227" s="4"/>
    </row>
    <row r="1228" spans="1:26" ht="24.95" hidden="1">
      <c r="A1228" s="20">
        <v>1235</v>
      </c>
      <c r="B1228" s="1063">
        <v>41005</v>
      </c>
      <c r="C1228" s="26" t="s">
        <v>5093</v>
      </c>
      <c r="D1228" s="11"/>
      <c r="E1228" s="26" t="s">
        <v>62</v>
      </c>
      <c r="F1228" s="26" t="s">
        <v>4980</v>
      </c>
      <c r="G1228" s="26" t="s">
        <v>5094</v>
      </c>
      <c r="H1228" s="26" t="s">
        <v>4999</v>
      </c>
      <c r="I1228" s="26" t="s">
        <v>4999</v>
      </c>
      <c r="J1228" s="26"/>
      <c r="K1228" s="26" t="s">
        <v>5095</v>
      </c>
      <c r="L1228" s="26"/>
      <c r="M1228" s="26">
        <v>2</v>
      </c>
      <c r="N1228" s="26">
        <v>2</v>
      </c>
      <c r="O1228" s="26"/>
      <c r="P1228" s="26"/>
      <c r="Q1228" s="26"/>
      <c r="R1228" s="1209">
        <v>8413</v>
      </c>
      <c r="S1228" s="1209">
        <v>16826</v>
      </c>
      <c r="T1228" s="26" t="s">
        <v>4984</v>
      </c>
      <c r="U1228" s="1871"/>
      <c r="V1228" s="26"/>
      <c r="W1228" s="2015"/>
      <c r="X1228" s="26"/>
      <c r="Y1228" s="71"/>
      <c r="Z1228" s="71"/>
    </row>
    <row r="1229" spans="1:26" ht="24.95" hidden="1">
      <c r="A1229" s="20">
        <v>1236</v>
      </c>
      <c r="B1229" s="1063">
        <v>41006</v>
      </c>
      <c r="C1229" s="26" t="s">
        <v>5096</v>
      </c>
      <c r="D1229" s="11"/>
      <c r="E1229" s="26" t="s">
        <v>62</v>
      </c>
      <c r="F1229" s="26" t="s">
        <v>4980</v>
      </c>
      <c r="G1229" s="26" t="s">
        <v>5074</v>
      </c>
      <c r="H1229" s="26" t="s">
        <v>4999</v>
      </c>
      <c r="I1229" s="26" t="s">
        <v>4999</v>
      </c>
      <c r="J1229" s="26"/>
      <c r="K1229" s="26" t="s">
        <v>5097</v>
      </c>
      <c r="L1229" s="26"/>
      <c r="M1229" s="26">
        <v>1</v>
      </c>
      <c r="N1229" s="26">
        <v>1</v>
      </c>
      <c r="O1229" s="26"/>
      <c r="P1229" s="26"/>
      <c r="Q1229" s="26"/>
      <c r="R1229" s="1209">
        <v>54</v>
      </c>
      <c r="S1229" s="1209">
        <v>54</v>
      </c>
      <c r="T1229" s="26" t="s">
        <v>4984</v>
      </c>
      <c r="U1229" s="1871"/>
      <c r="V1229" s="26"/>
      <c r="W1229" s="2015"/>
      <c r="X1229" s="26"/>
      <c r="Y1229" s="71"/>
      <c r="Z1229" s="71"/>
    </row>
    <row r="1230" spans="1:26" ht="24.95" hidden="1">
      <c r="A1230" s="20">
        <v>1237</v>
      </c>
      <c r="B1230" s="1063">
        <v>41007</v>
      </c>
      <c r="C1230" s="26" t="s">
        <v>5098</v>
      </c>
      <c r="D1230" s="11"/>
      <c r="E1230" s="26" t="s">
        <v>62</v>
      </c>
      <c r="F1230" s="26" t="s">
        <v>4980</v>
      </c>
      <c r="G1230" s="26" t="s">
        <v>5094</v>
      </c>
      <c r="H1230" s="26" t="s">
        <v>4999</v>
      </c>
      <c r="I1230" s="26" t="s">
        <v>4999</v>
      </c>
      <c r="J1230" s="26"/>
      <c r="K1230" s="26" t="s">
        <v>5099</v>
      </c>
      <c r="L1230" s="26"/>
      <c r="M1230" s="26">
        <v>2</v>
      </c>
      <c r="N1230" s="26">
        <v>2</v>
      </c>
      <c r="O1230" s="26"/>
      <c r="P1230" s="26"/>
      <c r="Q1230" s="26"/>
      <c r="R1230" s="1209">
        <v>324</v>
      </c>
      <c r="S1230" s="1209">
        <v>648</v>
      </c>
      <c r="T1230" s="26" t="s">
        <v>4984</v>
      </c>
      <c r="U1230" s="1871"/>
      <c r="V1230" s="26"/>
      <c r="W1230" s="2015"/>
      <c r="X1230" s="18"/>
      <c r="Y1230" s="4"/>
      <c r="Z1230" s="4"/>
    </row>
    <row r="1231" spans="1:26" ht="24.95" hidden="1">
      <c r="A1231" s="20">
        <v>1238</v>
      </c>
      <c r="B1231" s="1063">
        <v>41008</v>
      </c>
      <c r="C1231" s="26" t="s">
        <v>5100</v>
      </c>
      <c r="D1231" s="11"/>
      <c r="E1231" s="26" t="s">
        <v>62</v>
      </c>
      <c r="F1231" s="26" t="s">
        <v>4980</v>
      </c>
      <c r="G1231" s="26" t="s">
        <v>5101</v>
      </c>
      <c r="H1231" s="26" t="s">
        <v>5102</v>
      </c>
      <c r="I1231" s="26" t="s">
        <v>5102</v>
      </c>
      <c r="J1231" s="26"/>
      <c r="K1231" s="26" t="s">
        <v>5103</v>
      </c>
      <c r="L1231" s="26"/>
      <c r="M1231" s="26">
        <v>1</v>
      </c>
      <c r="N1231" s="26">
        <v>1</v>
      </c>
      <c r="O1231" s="26"/>
      <c r="P1231" s="26"/>
      <c r="Q1231" s="26"/>
      <c r="R1231" s="1209">
        <v>1000</v>
      </c>
      <c r="S1231" s="1209">
        <v>1000</v>
      </c>
      <c r="T1231" s="26" t="s">
        <v>4984</v>
      </c>
      <c r="U1231" s="1871"/>
      <c r="V1231" s="26"/>
      <c r="W1231" s="2015"/>
      <c r="X1231" s="18"/>
      <c r="Y1231" s="4"/>
      <c r="Z1231" s="4"/>
    </row>
    <row r="1232" spans="1:26" ht="24.95" hidden="1">
      <c r="A1232" s="20">
        <v>1239</v>
      </c>
      <c r="B1232" s="1063">
        <v>41009</v>
      </c>
      <c r="C1232" s="26" t="s">
        <v>5104</v>
      </c>
      <c r="D1232" s="11"/>
      <c r="E1232" s="26" t="s">
        <v>62</v>
      </c>
      <c r="F1232" s="26" t="s">
        <v>4980</v>
      </c>
      <c r="G1232" s="26" t="s">
        <v>149</v>
      </c>
      <c r="H1232" s="26" t="s">
        <v>4999</v>
      </c>
      <c r="I1232" s="26" t="s">
        <v>4999</v>
      </c>
      <c r="J1232" s="26"/>
      <c r="K1232" s="26" t="s">
        <v>5105</v>
      </c>
      <c r="L1232" s="26"/>
      <c r="M1232" s="26">
        <v>1</v>
      </c>
      <c r="N1232" s="26">
        <v>1</v>
      </c>
      <c r="O1232" s="26"/>
      <c r="P1232" s="26"/>
      <c r="Q1232" s="26"/>
      <c r="R1232" s="1209">
        <v>518</v>
      </c>
      <c r="S1232" s="1209">
        <v>518</v>
      </c>
      <c r="T1232" s="26" t="s">
        <v>4984</v>
      </c>
      <c r="U1232" s="1871"/>
      <c r="V1232" s="26"/>
      <c r="W1232" s="2015"/>
      <c r="X1232" s="18"/>
      <c r="Y1232" s="4"/>
      <c r="Z1232" s="4"/>
    </row>
    <row r="1233" spans="1:26" ht="24.95" hidden="1">
      <c r="A1233" s="20">
        <v>1240</v>
      </c>
      <c r="B1233" s="1063">
        <v>41010</v>
      </c>
      <c r="C1233" s="26" t="s">
        <v>5106</v>
      </c>
      <c r="D1233" s="11"/>
      <c r="E1233" s="26" t="s">
        <v>62</v>
      </c>
      <c r="F1233" s="26" t="s">
        <v>4980</v>
      </c>
      <c r="G1233" s="26" t="s">
        <v>5107</v>
      </c>
      <c r="H1233" s="26" t="s">
        <v>4999</v>
      </c>
      <c r="I1233" s="26" t="s">
        <v>4999</v>
      </c>
      <c r="J1233" s="26"/>
      <c r="K1233" s="26" t="s">
        <v>5108</v>
      </c>
      <c r="L1233" s="26"/>
      <c r="M1233" s="26">
        <v>2</v>
      </c>
      <c r="N1233" s="26">
        <v>2</v>
      </c>
      <c r="O1233" s="26"/>
      <c r="P1233" s="26"/>
      <c r="Q1233" s="26"/>
      <c r="R1233" s="1209">
        <v>1069</v>
      </c>
      <c r="S1233" s="1209">
        <v>1069</v>
      </c>
      <c r="T1233" s="26" t="s">
        <v>4984</v>
      </c>
      <c r="U1233" s="1871"/>
      <c r="V1233" s="26"/>
      <c r="W1233" s="2015"/>
      <c r="X1233" s="18"/>
      <c r="Y1233" s="4"/>
      <c r="Z1233" s="4"/>
    </row>
    <row r="1234" spans="1:26" ht="24.95" hidden="1">
      <c r="A1234" s="20">
        <v>1241</v>
      </c>
      <c r="B1234" s="1063">
        <v>41011</v>
      </c>
      <c r="C1234" s="26" t="s">
        <v>5109</v>
      </c>
      <c r="D1234" s="11"/>
      <c r="E1234" s="26" t="s">
        <v>62</v>
      </c>
      <c r="F1234" s="26" t="s">
        <v>4980</v>
      </c>
      <c r="G1234" s="26" t="s">
        <v>5110</v>
      </c>
      <c r="H1234" s="26" t="s">
        <v>4999</v>
      </c>
      <c r="I1234" s="26" t="s">
        <v>4999</v>
      </c>
      <c r="J1234" s="26"/>
      <c r="K1234" s="26" t="s">
        <v>5111</v>
      </c>
      <c r="L1234" s="26"/>
      <c r="M1234" s="26">
        <v>4</v>
      </c>
      <c r="N1234" s="26">
        <v>4</v>
      </c>
      <c r="O1234" s="26"/>
      <c r="P1234" s="26"/>
      <c r="Q1234" s="26"/>
      <c r="R1234" s="1209">
        <v>4730</v>
      </c>
      <c r="S1234" s="1209">
        <v>18920</v>
      </c>
      <c r="T1234" s="26" t="s">
        <v>4984</v>
      </c>
      <c r="U1234" s="1871"/>
      <c r="V1234" s="26"/>
      <c r="W1234" s="2015"/>
      <c r="X1234" s="18"/>
      <c r="Y1234" s="4"/>
      <c r="Z1234" s="4"/>
    </row>
    <row r="1235" spans="1:26" ht="24.95" hidden="1">
      <c r="A1235" s="20">
        <v>1242</v>
      </c>
      <c r="B1235" s="1063">
        <v>41012</v>
      </c>
      <c r="C1235" s="26" t="s">
        <v>5112</v>
      </c>
      <c r="D1235" s="11"/>
      <c r="E1235" s="26" t="s">
        <v>62</v>
      </c>
      <c r="F1235" s="26" t="s">
        <v>4980</v>
      </c>
      <c r="G1235" s="26" t="s">
        <v>5113</v>
      </c>
      <c r="H1235" s="26" t="s">
        <v>4999</v>
      </c>
      <c r="I1235" s="26" t="s">
        <v>4999</v>
      </c>
      <c r="J1235" s="26"/>
      <c r="K1235" s="26" t="s">
        <v>5114</v>
      </c>
      <c r="L1235" s="26"/>
      <c r="M1235" s="26">
        <v>1</v>
      </c>
      <c r="N1235" s="26">
        <v>1</v>
      </c>
      <c r="O1235" s="26"/>
      <c r="P1235" s="26"/>
      <c r="Q1235" s="26"/>
      <c r="R1235" s="1209">
        <v>270</v>
      </c>
      <c r="S1235" s="1209">
        <v>270</v>
      </c>
      <c r="T1235" s="26" t="s">
        <v>4984</v>
      </c>
      <c r="U1235" s="1871"/>
      <c r="V1235" s="26"/>
      <c r="W1235" s="2015"/>
      <c r="X1235" s="26"/>
      <c r="Y1235" s="71"/>
      <c r="Z1235" s="71"/>
    </row>
    <row r="1236" spans="1:26" ht="24.95" hidden="1">
      <c r="A1236" s="20">
        <v>1243</v>
      </c>
      <c r="B1236" s="1063">
        <v>41013</v>
      </c>
      <c r="C1236" s="26" t="s">
        <v>5115</v>
      </c>
      <c r="D1236" s="11"/>
      <c r="E1236" s="26" t="s">
        <v>62</v>
      </c>
      <c r="F1236" s="26" t="s">
        <v>4980</v>
      </c>
      <c r="G1236" s="26" t="s">
        <v>5116</v>
      </c>
      <c r="H1236" s="26" t="s">
        <v>4999</v>
      </c>
      <c r="I1236" s="26" t="s">
        <v>4999</v>
      </c>
      <c r="J1236" s="26"/>
      <c r="K1236" s="26" t="s">
        <v>5117</v>
      </c>
      <c r="L1236" s="26"/>
      <c r="M1236" s="26">
        <v>2</v>
      </c>
      <c r="N1236" s="26">
        <v>2</v>
      </c>
      <c r="O1236" s="26"/>
      <c r="P1236" s="26"/>
      <c r="Q1236" s="26"/>
      <c r="R1236" s="1209">
        <v>1285</v>
      </c>
      <c r="S1236" s="1209">
        <v>2570</v>
      </c>
      <c r="T1236" s="26" t="s">
        <v>4984</v>
      </c>
      <c r="U1236" s="1871"/>
      <c r="V1236" s="26"/>
      <c r="W1236" s="2015"/>
      <c r="X1236" s="26"/>
      <c r="Y1236" s="71"/>
      <c r="Z1236" s="71"/>
    </row>
    <row r="1237" spans="1:26" ht="24.95" hidden="1">
      <c r="A1237" s="20">
        <v>1244</v>
      </c>
      <c r="B1237" s="1063">
        <v>41014</v>
      </c>
      <c r="C1237" s="26" t="s">
        <v>5118</v>
      </c>
      <c r="D1237" s="11"/>
      <c r="E1237" s="26" t="s">
        <v>62</v>
      </c>
      <c r="F1237" s="26" t="s">
        <v>4980</v>
      </c>
      <c r="G1237" s="26" t="s">
        <v>5119</v>
      </c>
      <c r="H1237" s="26" t="s">
        <v>5102</v>
      </c>
      <c r="I1237" s="26" t="s">
        <v>5102</v>
      </c>
      <c r="J1237" s="26"/>
      <c r="K1237" s="26" t="s">
        <v>5120</v>
      </c>
      <c r="L1237" s="26"/>
      <c r="M1237" s="26">
        <v>1</v>
      </c>
      <c r="N1237" s="26">
        <v>1</v>
      </c>
      <c r="O1237" s="26"/>
      <c r="P1237" s="26"/>
      <c r="Q1237" s="26"/>
      <c r="R1237" s="1209">
        <v>35000</v>
      </c>
      <c r="S1237" s="1209">
        <v>35000</v>
      </c>
      <c r="T1237" s="26" t="s">
        <v>4984</v>
      </c>
      <c r="U1237" s="1871"/>
      <c r="V1237" s="26"/>
      <c r="W1237" s="2015"/>
      <c r="X1237" s="18"/>
      <c r="Y1237" s="4"/>
      <c r="Z1237" s="4"/>
    </row>
    <row r="1238" spans="1:26" ht="14.1" hidden="1">
      <c r="A1238" s="20">
        <v>1245</v>
      </c>
      <c r="B1238" s="1063">
        <v>41015</v>
      </c>
      <c r="C1238" s="26" t="s">
        <v>5121</v>
      </c>
      <c r="D1238" s="11" t="s">
        <v>6</v>
      </c>
      <c r="E1238" s="26" t="s">
        <v>4907</v>
      </c>
      <c r="F1238" s="26" t="s">
        <v>784</v>
      </c>
      <c r="G1238" s="26" t="s">
        <v>5122</v>
      </c>
      <c r="H1238" s="26" t="s">
        <v>4614</v>
      </c>
      <c r="I1238" s="26" t="s">
        <v>4614</v>
      </c>
      <c r="J1238" s="26" t="s">
        <v>149</v>
      </c>
      <c r="K1238" s="26" t="s">
        <v>149</v>
      </c>
      <c r="L1238" s="26" t="s">
        <v>5123</v>
      </c>
      <c r="M1238" s="26">
        <v>1</v>
      </c>
      <c r="N1238" s="26">
        <v>1</v>
      </c>
      <c r="O1238" s="26">
        <v>1</v>
      </c>
      <c r="P1238" s="26">
        <v>0</v>
      </c>
      <c r="Q1238" s="26">
        <v>0</v>
      </c>
      <c r="R1238" s="1209">
        <v>1008000</v>
      </c>
      <c r="S1238" s="1209">
        <f>O1238*R1238</f>
        <v>1008000</v>
      </c>
      <c r="T1238" s="26" t="s">
        <v>929</v>
      </c>
      <c r="U1238" s="1871" t="s">
        <v>5124</v>
      </c>
      <c r="V1238" s="26" t="s">
        <v>931</v>
      </c>
      <c r="W1238" s="2015"/>
      <c r="X1238" s="26"/>
      <c r="Y1238" s="71"/>
      <c r="Z1238" s="71"/>
    </row>
    <row r="1239" spans="1:26" ht="24.95" hidden="1">
      <c r="A1239" s="20">
        <v>1246</v>
      </c>
      <c r="B1239" s="1063">
        <v>41016</v>
      </c>
      <c r="C1239" s="26" t="s">
        <v>5125</v>
      </c>
      <c r="D1239" s="11" t="s">
        <v>6</v>
      </c>
      <c r="E1239" s="26" t="s">
        <v>4926</v>
      </c>
      <c r="F1239" s="26" t="s">
        <v>2143</v>
      </c>
      <c r="G1239" s="26" t="s">
        <v>5126</v>
      </c>
      <c r="H1239" s="26" t="s">
        <v>5127</v>
      </c>
      <c r="I1239" s="26" t="s">
        <v>113</v>
      </c>
      <c r="J1239" s="26" t="s">
        <v>5126</v>
      </c>
      <c r="K1239" s="26" t="s">
        <v>5126</v>
      </c>
      <c r="L1239" s="26"/>
      <c r="M1239" s="26">
        <v>1</v>
      </c>
      <c r="N1239" s="26">
        <v>1</v>
      </c>
      <c r="O1239" s="26">
        <v>1</v>
      </c>
      <c r="P1239" s="26">
        <v>0</v>
      </c>
      <c r="Q1239" s="26">
        <v>1</v>
      </c>
      <c r="R1239" s="1209">
        <v>58900</v>
      </c>
      <c r="S1239" s="1209">
        <v>58900</v>
      </c>
      <c r="T1239" s="26" t="s">
        <v>3510</v>
      </c>
      <c r="U1239" s="1871" t="s">
        <v>5128</v>
      </c>
      <c r="V1239" s="26" t="s">
        <v>3140</v>
      </c>
      <c r="W1239" s="2015"/>
      <c r="X1239" s="26" t="s">
        <v>5129</v>
      </c>
      <c r="Y1239" s="71"/>
      <c r="Z1239" s="71"/>
    </row>
    <row r="1240" spans="1:26" ht="14.1" hidden="1">
      <c r="A1240" s="20">
        <v>1247</v>
      </c>
      <c r="B1240" s="1063">
        <v>41017</v>
      </c>
      <c r="C1240" s="26" t="s">
        <v>5130</v>
      </c>
      <c r="D1240" s="11"/>
      <c r="E1240" s="26" t="s">
        <v>4907</v>
      </c>
      <c r="F1240" s="26" t="s">
        <v>784</v>
      </c>
      <c r="G1240" s="26" t="s">
        <v>5131</v>
      </c>
      <c r="H1240" s="26" t="s">
        <v>5132</v>
      </c>
      <c r="I1240" s="26" t="s">
        <v>5132</v>
      </c>
      <c r="J1240" s="26" t="s">
        <v>149</v>
      </c>
      <c r="K1240" s="26" t="s">
        <v>149</v>
      </c>
      <c r="L1240" s="26" t="s">
        <v>5123</v>
      </c>
      <c r="M1240" s="26">
        <v>1</v>
      </c>
      <c r="N1240" s="26">
        <v>1</v>
      </c>
      <c r="O1240" s="26">
        <v>1</v>
      </c>
      <c r="P1240" s="26">
        <v>0</v>
      </c>
      <c r="Q1240" s="26">
        <v>0</v>
      </c>
      <c r="R1240" s="1209">
        <v>2390000</v>
      </c>
      <c r="S1240" s="1209">
        <f t="shared" ref="S1240:S1280" si="62">R1240*O1240</f>
        <v>2390000</v>
      </c>
      <c r="T1240" s="26" t="s">
        <v>929</v>
      </c>
      <c r="U1240" s="1871" t="s">
        <v>1896</v>
      </c>
      <c r="V1240" s="26" t="s">
        <v>931</v>
      </c>
      <c r="W1240" s="2015"/>
      <c r="X1240" s="18"/>
      <c r="Y1240" s="4"/>
      <c r="Z1240" s="4"/>
    </row>
    <row r="1241" spans="1:26" ht="14.1" hidden="1">
      <c r="A1241" s="20">
        <v>1248</v>
      </c>
      <c r="B1241" s="1063">
        <v>41018</v>
      </c>
      <c r="C1241" s="187" t="s">
        <v>3646</v>
      </c>
      <c r="D1241" s="11"/>
      <c r="E1241" s="26" t="s">
        <v>4907</v>
      </c>
      <c r="F1241" s="187" t="s">
        <v>2006</v>
      </c>
      <c r="G1241" s="187" t="s">
        <v>5133</v>
      </c>
      <c r="H1241" s="187" t="s">
        <v>713</v>
      </c>
      <c r="I1241" s="187" t="s">
        <v>714</v>
      </c>
      <c r="J1241" s="187" t="s">
        <v>715</v>
      </c>
      <c r="K1241" s="187" t="s">
        <v>716</v>
      </c>
      <c r="L1241" s="187"/>
      <c r="M1241" s="187">
        <v>4</v>
      </c>
      <c r="N1241" s="187">
        <v>1</v>
      </c>
      <c r="O1241" s="187">
        <v>6</v>
      </c>
      <c r="P1241" s="187">
        <v>0</v>
      </c>
      <c r="Q1241" s="187">
        <f t="shared" ref="Q1241:Q1279" si="63">(O1241+P1241)-M1241</f>
        <v>2</v>
      </c>
      <c r="R1241" s="1235">
        <v>4580</v>
      </c>
      <c r="S1241" s="1235">
        <f t="shared" si="62"/>
        <v>27480</v>
      </c>
      <c r="T1241" s="187" t="s">
        <v>929</v>
      </c>
      <c r="U1241" s="1880" t="s">
        <v>5134</v>
      </c>
      <c r="V1241" s="187" t="s">
        <v>104</v>
      </c>
      <c r="W1241" s="2049" t="s">
        <v>719</v>
      </c>
      <c r="X1241" s="26"/>
      <c r="Y1241" s="71"/>
      <c r="Z1241" s="71"/>
    </row>
    <row r="1242" spans="1:26" ht="37.5" hidden="1">
      <c r="A1242" s="20">
        <v>1249</v>
      </c>
      <c r="B1242" s="1063">
        <v>41019</v>
      </c>
      <c r="C1242" s="187" t="s">
        <v>329</v>
      </c>
      <c r="D1242" s="11"/>
      <c r="E1242" s="26" t="s">
        <v>4907</v>
      </c>
      <c r="F1242" s="187" t="s">
        <v>2006</v>
      </c>
      <c r="G1242" s="187" t="s">
        <v>3548</v>
      </c>
      <c r="H1242" s="187" t="s">
        <v>3243</v>
      </c>
      <c r="I1242" s="187" t="s">
        <v>574</v>
      </c>
      <c r="J1242" s="187" t="s">
        <v>5135</v>
      </c>
      <c r="K1242" s="187" t="s">
        <v>5136</v>
      </c>
      <c r="L1242" s="187" t="s">
        <v>3551</v>
      </c>
      <c r="M1242" s="187">
        <v>225</v>
      </c>
      <c r="N1242" s="187">
        <v>100</v>
      </c>
      <c r="O1242" s="187">
        <v>300</v>
      </c>
      <c r="P1242" s="187">
        <v>5</v>
      </c>
      <c r="Q1242" s="187">
        <f t="shared" si="63"/>
        <v>80</v>
      </c>
      <c r="R1242" s="1235">
        <v>10.25</v>
      </c>
      <c r="S1242" s="1235">
        <f t="shared" si="62"/>
        <v>3075</v>
      </c>
      <c r="T1242" s="187" t="s">
        <v>929</v>
      </c>
      <c r="U1242" s="1880" t="s">
        <v>5134</v>
      </c>
      <c r="V1242" s="187" t="s">
        <v>104</v>
      </c>
      <c r="W1242" s="2017" t="s">
        <v>5137</v>
      </c>
      <c r="X1242" s="26"/>
      <c r="Y1242" s="71"/>
      <c r="Z1242" s="71"/>
    </row>
    <row r="1243" spans="1:26" ht="24.95" hidden="1">
      <c r="A1243" s="20">
        <v>1250</v>
      </c>
      <c r="B1243" s="1063">
        <v>41020</v>
      </c>
      <c r="C1243" s="187" t="s">
        <v>329</v>
      </c>
      <c r="D1243" s="11"/>
      <c r="E1243" s="26" t="s">
        <v>4907</v>
      </c>
      <c r="F1243" s="187" t="s">
        <v>2006</v>
      </c>
      <c r="G1243" s="187" t="s">
        <v>3558</v>
      </c>
      <c r="H1243" s="187" t="s">
        <v>641</v>
      </c>
      <c r="I1243" s="187" t="s">
        <v>574</v>
      </c>
      <c r="J1243" s="187" t="s">
        <v>3559</v>
      </c>
      <c r="K1243" s="187" t="s">
        <v>3560</v>
      </c>
      <c r="L1243" s="187" t="s">
        <v>3551</v>
      </c>
      <c r="M1243" s="187">
        <v>70</v>
      </c>
      <c r="N1243" s="187">
        <v>10</v>
      </c>
      <c r="O1243" s="187">
        <v>60</v>
      </c>
      <c r="P1243" s="187">
        <v>20</v>
      </c>
      <c r="Q1243" s="187">
        <f t="shared" si="63"/>
        <v>10</v>
      </c>
      <c r="R1243" s="1235">
        <v>19.899999999999999</v>
      </c>
      <c r="S1243" s="1235">
        <f t="shared" si="62"/>
        <v>1194</v>
      </c>
      <c r="T1243" s="187" t="s">
        <v>929</v>
      </c>
      <c r="U1243" s="1880" t="s">
        <v>5134</v>
      </c>
      <c r="V1243" s="187" t="s">
        <v>104</v>
      </c>
      <c r="W1243" s="2049" t="s">
        <v>3561</v>
      </c>
      <c r="X1243" s="18"/>
      <c r="Y1243" s="4"/>
      <c r="Z1243" s="4"/>
    </row>
    <row r="1244" spans="1:26" ht="50.1" hidden="1">
      <c r="A1244" s="20">
        <v>1251</v>
      </c>
      <c r="B1244" s="1063">
        <v>41021</v>
      </c>
      <c r="C1244" s="187" t="s">
        <v>329</v>
      </c>
      <c r="D1244" s="11"/>
      <c r="E1244" s="26" t="s">
        <v>4907</v>
      </c>
      <c r="F1244" s="187" t="s">
        <v>2006</v>
      </c>
      <c r="G1244" s="187" t="s">
        <v>3973</v>
      </c>
      <c r="H1244" s="187" t="s">
        <v>2285</v>
      </c>
      <c r="I1244" s="187" t="s">
        <v>574</v>
      </c>
      <c r="J1244" s="187" t="s">
        <v>3974</v>
      </c>
      <c r="K1244" s="187" t="s">
        <v>3975</v>
      </c>
      <c r="L1244" s="187" t="s">
        <v>3658</v>
      </c>
      <c r="M1244" s="187">
        <v>25</v>
      </c>
      <c r="N1244" s="187">
        <v>10</v>
      </c>
      <c r="O1244" s="187">
        <v>20</v>
      </c>
      <c r="P1244" s="187">
        <v>20</v>
      </c>
      <c r="Q1244" s="187">
        <f t="shared" si="63"/>
        <v>15</v>
      </c>
      <c r="R1244" s="1235">
        <v>169.9</v>
      </c>
      <c r="S1244" s="1235">
        <f t="shared" si="62"/>
        <v>3398</v>
      </c>
      <c r="T1244" s="187" t="s">
        <v>929</v>
      </c>
      <c r="U1244" s="1880" t="s">
        <v>5134</v>
      </c>
      <c r="V1244" s="187" t="s">
        <v>104</v>
      </c>
      <c r="W1244" s="2049" t="s">
        <v>3976</v>
      </c>
      <c r="X1244" s="18"/>
      <c r="Y1244" s="4"/>
      <c r="Z1244" s="4"/>
    </row>
    <row r="1245" spans="1:26" ht="37.5" hidden="1">
      <c r="A1245" s="20">
        <v>1252</v>
      </c>
      <c r="B1245" s="1063">
        <v>41022</v>
      </c>
      <c r="C1245" s="187" t="s">
        <v>329</v>
      </c>
      <c r="D1245" s="11"/>
      <c r="E1245" s="26" t="s">
        <v>4907</v>
      </c>
      <c r="F1245" s="187" t="s">
        <v>2006</v>
      </c>
      <c r="G1245" s="187" t="s">
        <v>3566</v>
      </c>
      <c r="H1245" s="187" t="s">
        <v>3243</v>
      </c>
      <c r="I1245" s="187" t="s">
        <v>574</v>
      </c>
      <c r="J1245" s="187" t="s">
        <v>5138</v>
      </c>
      <c r="K1245" s="187" t="s">
        <v>5139</v>
      </c>
      <c r="L1245" s="187" t="s">
        <v>3551</v>
      </c>
      <c r="M1245" s="187">
        <v>5</v>
      </c>
      <c r="N1245" s="187">
        <v>10</v>
      </c>
      <c r="O1245" s="187">
        <v>10</v>
      </c>
      <c r="P1245" s="187">
        <v>3</v>
      </c>
      <c r="Q1245" s="187">
        <f t="shared" si="63"/>
        <v>8</v>
      </c>
      <c r="R1245" s="1235">
        <v>16.899999999999999</v>
      </c>
      <c r="S1245" s="1235">
        <f t="shared" si="62"/>
        <v>169</v>
      </c>
      <c r="T1245" s="187" t="s">
        <v>929</v>
      </c>
      <c r="U1245" s="1880" t="s">
        <v>5134</v>
      </c>
      <c r="V1245" s="187" t="s">
        <v>104</v>
      </c>
      <c r="W1245" s="2017" t="s">
        <v>5140</v>
      </c>
      <c r="X1245" s="18"/>
      <c r="Y1245" s="4"/>
      <c r="Z1245" s="4"/>
    </row>
    <row r="1246" spans="1:26" ht="37.5" hidden="1">
      <c r="A1246" s="20">
        <v>1253</v>
      </c>
      <c r="B1246" s="1063">
        <v>41023</v>
      </c>
      <c r="C1246" s="187" t="s">
        <v>329</v>
      </c>
      <c r="D1246" s="11"/>
      <c r="E1246" s="26" t="s">
        <v>4907</v>
      </c>
      <c r="F1246" s="187" t="s">
        <v>2006</v>
      </c>
      <c r="G1246" s="187" t="s">
        <v>3554</v>
      </c>
      <c r="H1246" s="187" t="s">
        <v>3243</v>
      </c>
      <c r="I1246" s="187" t="s">
        <v>574</v>
      </c>
      <c r="J1246" s="187" t="s">
        <v>3555</v>
      </c>
      <c r="K1246" s="187" t="s">
        <v>3556</v>
      </c>
      <c r="L1246" s="187" t="s">
        <v>3551</v>
      </c>
      <c r="M1246" s="187">
        <v>40</v>
      </c>
      <c r="N1246" s="187">
        <v>10</v>
      </c>
      <c r="O1246" s="187">
        <v>30</v>
      </c>
      <c r="P1246" s="187">
        <v>12</v>
      </c>
      <c r="Q1246" s="187">
        <f t="shared" si="63"/>
        <v>2</v>
      </c>
      <c r="R1246" s="1235">
        <v>15.2</v>
      </c>
      <c r="S1246" s="1235">
        <f t="shared" si="62"/>
        <v>456</v>
      </c>
      <c r="T1246" s="187" t="s">
        <v>929</v>
      </c>
      <c r="U1246" s="1880" t="s">
        <v>5134</v>
      </c>
      <c r="V1246" s="187" t="s">
        <v>104</v>
      </c>
      <c r="W1246" s="2049" t="s">
        <v>3557</v>
      </c>
      <c r="X1246" s="18"/>
      <c r="Y1246" s="4"/>
      <c r="Z1246" s="4"/>
    </row>
    <row r="1247" spans="1:26" ht="37.5" hidden="1">
      <c r="A1247" s="20">
        <v>1254</v>
      </c>
      <c r="B1247" s="1063">
        <v>41024</v>
      </c>
      <c r="C1247" s="187" t="s">
        <v>329</v>
      </c>
      <c r="D1247" s="11"/>
      <c r="E1247" s="26" t="s">
        <v>4907</v>
      </c>
      <c r="F1247" s="187" t="s">
        <v>2006</v>
      </c>
      <c r="G1247" s="187" t="s">
        <v>3581</v>
      </c>
      <c r="H1247" s="187" t="s">
        <v>3243</v>
      </c>
      <c r="I1247" s="187" t="s">
        <v>574</v>
      </c>
      <c r="J1247" s="187" t="s">
        <v>3582</v>
      </c>
      <c r="K1247" s="187" t="s">
        <v>3583</v>
      </c>
      <c r="L1247" s="187" t="s">
        <v>3551</v>
      </c>
      <c r="M1247" s="187">
        <v>5</v>
      </c>
      <c r="N1247" s="187">
        <v>10</v>
      </c>
      <c r="O1247" s="187">
        <v>10</v>
      </c>
      <c r="P1247" s="187">
        <v>0</v>
      </c>
      <c r="Q1247" s="187">
        <f t="shared" si="63"/>
        <v>5</v>
      </c>
      <c r="R1247" s="1235">
        <v>44.1</v>
      </c>
      <c r="S1247" s="1235">
        <f t="shared" si="62"/>
        <v>441</v>
      </c>
      <c r="T1247" s="187" t="s">
        <v>929</v>
      </c>
      <c r="U1247" s="1880" t="s">
        <v>5134</v>
      </c>
      <c r="V1247" s="187" t="s">
        <v>104</v>
      </c>
      <c r="W1247" s="2049" t="s">
        <v>3584</v>
      </c>
      <c r="X1247" s="26"/>
      <c r="Y1247" s="71"/>
      <c r="Z1247" s="71"/>
    </row>
    <row r="1248" spans="1:26" ht="37.5" hidden="1">
      <c r="A1248" s="20">
        <v>1255</v>
      </c>
      <c r="B1248" s="1063">
        <v>41025</v>
      </c>
      <c r="C1248" s="187" t="s">
        <v>329</v>
      </c>
      <c r="D1248" s="11"/>
      <c r="E1248" s="26" t="s">
        <v>4907</v>
      </c>
      <c r="F1248" s="187" t="s">
        <v>2006</v>
      </c>
      <c r="G1248" s="187" t="s">
        <v>3573</v>
      </c>
      <c r="H1248" s="187" t="s">
        <v>3243</v>
      </c>
      <c r="I1248" s="187" t="s">
        <v>574</v>
      </c>
      <c r="J1248" s="187" t="s">
        <v>3574</v>
      </c>
      <c r="K1248" s="187" t="s">
        <v>3575</v>
      </c>
      <c r="L1248" s="187" t="s">
        <v>3551</v>
      </c>
      <c r="M1248" s="187">
        <v>10</v>
      </c>
      <c r="N1248" s="187">
        <v>10</v>
      </c>
      <c r="O1248" s="187">
        <v>10</v>
      </c>
      <c r="P1248" s="187">
        <v>6</v>
      </c>
      <c r="Q1248" s="187">
        <f t="shared" si="63"/>
        <v>6</v>
      </c>
      <c r="R1248" s="1235">
        <v>30.2</v>
      </c>
      <c r="S1248" s="1235">
        <f t="shared" si="62"/>
        <v>302</v>
      </c>
      <c r="T1248" s="187" t="s">
        <v>929</v>
      </c>
      <c r="U1248" s="1880" t="s">
        <v>5134</v>
      </c>
      <c r="V1248" s="187" t="s">
        <v>104</v>
      </c>
      <c r="W1248" s="2049" t="s">
        <v>3576</v>
      </c>
      <c r="X1248" s="26"/>
      <c r="Y1248" s="71"/>
      <c r="Z1248" s="71"/>
    </row>
    <row r="1249" spans="1:26" ht="37.5" hidden="1">
      <c r="A1249" s="20">
        <v>1256</v>
      </c>
      <c r="B1249" s="1063">
        <v>41026</v>
      </c>
      <c r="C1249" s="187" t="s">
        <v>329</v>
      </c>
      <c r="D1249" s="11"/>
      <c r="E1249" s="26" t="s">
        <v>4907</v>
      </c>
      <c r="F1249" s="187" t="s">
        <v>2006</v>
      </c>
      <c r="G1249" s="187" t="s">
        <v>5141</v>
      </c>
      <c r="H1249" s="187" t="s">
        <v>3243</v>
      </c>
      <c r="I1249" s="187" t="s">
        <v>574</v>
      </c>
      <c r="J1249" s="187" t="s">
        <v>5142</v>
      </c>
      <c r="K1249" s="187" t="s">
        <v>5143</v>
      </c>
      <c r="L1249" s="187" t="s">
        <v>3551</v>
      </c>
      <c r="M1249" s="187">
        <v>5</v>
      </c>
      <c r="N1249" s="187">
        <v>10</v>
      </c>
      <c r="O1249" s="187">
        <v>10</v>
      </c>
      <c r="P1249" s="187">
        <v>3</v>
      </c>
      <c r="Q1249" s="187">
        <f t="shared" si="63"/>
        <v>8</v>
      </c>
      <c r="R1249" s="1235">
        <v>14.6</v>
      </c>
      <c r="S1249" s="1235">
        <f t="shared" si="62"/>
        <v>146</v>
      </c>
      <c r="T1249" s="187" t="s">
        <v>929</v>
      </c>
      <c r="U1249" s="1880" t="s">
        <v>5134</v>
      </c>
      <c r="V1249" s="187" t="s">
        <v>104</v>
      </c>
      <c r="W1249" s="2017" t="s">
        <v>5144</v>
      </c>
      <c r="X1249" s="18"/>
      <c r="Y1249" s="4"/>
      <c r="Z1249" s="4"/>
    </row>
    <row r="1250" spans="1:26" ht="24.95" hidden="1">
      <c r="A1250" s="20">
        <v>1257</v>
      </c>
      <c r="B1250" s="1063">
        <v>41027</v>
      </c>
      <c r="C1250" s="187" t="s">
        <v>2058</v>
      </c>
      <c r="D1250" s="11"/>
      <c r="E1250" s="26" t="s">
        <v>4907</v>
      </c>
      <c r="F1250" s="187" t="s">
        <v>2006</v>
      </c>
      <c r="G1250" s="187" t="s">
        <v>3611</v>
      </c>
      <c r="H1250" s="187" t="s">
        <v>3612</v>
      </c>
      <c r="I1250" s="187" t="s">
        <v>574</v>
      </c>
      <c r="J1250" s="187" t="s">
        <v>3613</v>
      </c>
      <c r="K1250" s="187" t="s">
        <v>3614</v>
      </c>
      <c r="L1250" s="187" t="s">
        <v>2011</v>
      </c>
      <c r="M1250" s="187">
        <v>5</v>
      </c>
      <c r="N1250" s="187">
        <v>10</v>
      </c>
      <c r="O1250" s="187">
        <v>10</v>
      </c>
      <c r="P1250" s="187">
        <v>0</v>
      </c>
      <c r="Q1250" s="187">
        <f t="shared" si="63"/>
        <v>5</v>
      </c>
      <c r="R1250" s="1235">
        <v>241.3</v>
      </c>
      <c r="S1250" s="1235">
        <f t="shared" si="62"/>
        <v>2413</v>
      </c>
      <c r="T1250" s="187" t="s">
        <v>929</v>
      </c>
      <c r="U1250" s="1880" t="s">
        <v>5134</v>
      </c>
      <c r="V1250" s="187" t="s">
        <v>104</v>
      </c>
      <c r="W1250" s="2049" t="s">
        <v>3615</v>
      </c>
      <c r="X1250" s="18"/>
      <c r="Y1250" s="4"/>
      <c r="Z1250" s="4"/>
    </row>
    <row r="1251" spans="1:26" ht="24.95" hidden="1">
      <c r="A1251" s="20">
        <v>1258</v>
      </c>
      <c r="B1251" s="1063">
        <v>41028</v>
      </c>
      <c r="C1251" s="187" t="s">
        <v>5145</v>
      </c>
      <c r="D1251" s="11"/>
      <c r="E1251" s="26" t="s">
        <v>4907</v>
      </c>
      <c r="F1251" s="187" t="s">
        <v>2006</v>
      </c>
      <c r="G1251" s="187" t="s">
        <v>5146</v>
      </c>
      <c r="H1251" s="187" t="s">
        <v>360</v>
      </c>
      <c r="I1251" s="187" t="s">
        <v>574</v>
      </c>
      <c r="J1251" s="187" t="s">
        <v>5147</v>
      </c>
      <c r="K1251" s="187">
        <v>61304011121</v>
      </c>
      <c r="L1251" s="187" t="s">
        <v>2063</v>
      </c>
      <c r="M1251" s="187">
        <v>2</v>
      </c>
      <c r="N1251" s="187">
        <v>1</v>
      </c>
      <c r="O1251" s="187">
        <v>3</v>
      </c>
      <c r="P1251" s="187">
        <v>0</v>
      </c>
      <c r="Q1251" s="187">
        <f t="shared" si="63"/>
        <v>1</v>
      </c>
      <c r="R1251" s="1235">
        <v>163</v>
      </c>
      <c r="S1251" s="1235">
        <f t="shared" si="62"/>
        <v>489</v>
      </c>
      <c r="T1251" s="187" t="s">
        <v>929</v>
      </c>
      <c r="U1251" s="1880" t="s">
        <v>5134</v>
      </c>
      <c r="V1251" s="187" t="s">
        <v>104</v>
      </c>
      <c r="W1251" s="2049" t="s">
        <v>5148</v>
      </c>
      <c r="X1251" s="18"/>
      <c r="Y1251" s="4"/>
      <c r="Z1251" s="4"/>
    </row>
    <row r="1252" spans="1:26" ht="24.95" hidden="1">
      <c r="A1252" s="20">
        <v>1259</v>
      </c>
      <c r="B1252" s="1063">
        <v>41029</v>
      </c>
      <c r="C1252" s="187" t="s">
        <v>5149</v>
      </c>
      <c r="D1252" s="11"/>
      <c r="E1252" s="26" t="s">
        <v>4907</v>
      </c>
      <c r="F1252" s="187" t="s">
        <v>2006</v>
      </c>
      <c r="G1252" s="187" t="s">
        <v>5150</v>
      </c>
      <c r="H1252" s="187" t="s">
        <v>360</v>
      </c>
      <c r="I1252" s="187" t="s">
        <v>574</v>
      </c>
      <c r="J1252" s="187" t="s">
        <v>5151</v>
      </c>
      <c r="K1252" s="187">
        <v>61304011021</v>
      </c>
      <c r="L1252" s="187" t="s">
        <v>2063</v>
      </c>
      <c r="M1252" s="187">
        <v>2</v>
      </c>
      <c r="N1252" s="187">
        <v>1</v>
      </c>
      <c r="O1252" s="187">
        <v>3</v>
      </c>
      <c r="P1252" s="187">
        <v>0</v>
      </c>
      <c r="Q1252" s="187">
        <f t="shared" si="63"/>
        <v>1</v>
      </c>
      <c r="R1252" s="1235">
        <v>163</v>
      </c>
      <c r="S1252" s="1235">
        <f t="shared" si="62"/>
        <v>489</v>
      </c>
      <c r="T1252" s="187" t="s">
        <v>929</v>
      </c>
      <c r="U1252" s="1880" t="s">
        <v>5134</v>
      </c>
      <c r="V1252" s="187" t="s">
        <v>104</v>
      </c>
      <c r="W1252" s="2017" t="s">
        <v>5152</v>
      </c>
      <c r="X1252" s="18"/>
      <c r="Y1252" s="4"/>
      <c r="Z1252" s="4"/>
    </row>
    <row r="1253" spans="1:26" ht="24.95" hidden="1">
      <c r="A1253" s="20">
        <v>1260</v>
      </c>
      <c r="B1253" s="1063">
        <v>41030</v>
      </c>
      <c r="C1253" s="187" t="s">
        <v>3809</v>
      </c>
      <c r="D1253" s="11"/>
      <c r="E1253" s="26" t="s">
        <v>4907</v>
      </c>
      <c r="F1253" s="187" t="s">
        <v>2006</v>
      </c>
      <c r="G1253" s="187" t="s">
        <v>3816</v>
      </c>
      <c r="H1253" s="187" t="s">
        <v>1740</v>
      </c>
      <c r="I1253" s="187" t="s">
        <v>574</v>
      </c>
      <c r="J1253" s="187" t="s">
        <v>3817</v>
      </c>
      <c r="K1253" s="187" t="s">
        <v>3818</v>
      </c>
      <c r="L1253" s="187" t="s">
        <v>5153</v>
      </c>
      <c r="M1253" s="187">
        <v>15</v>
      </c>
      <c r="N1253" s="187">
        <v>10</v>
      </c>
      <c r="O1253" s="187">
        <v>20</v>
      </c>
      <c r="P1253" s="187">
        <v>0</v>
      </c>
      <c r="Q1253" s="187">
        <f t="shared" si="63"/>
        <v>5</v>
      </c>
      <c r="R1253" s="1235">
        <v>128.5</v>
      </c>
      <c r="S1253" s="1235">
        <f t="shared" si="62"/>
        <v>2570</v>
      </c>
      <c r="T1253" s="187" t="s">
        <v>929</v>
      </c>
      <c r="U1253" s="1880" t="s">
        <v>5134</v>
      </c>
      <c r="V1253" s="187" t="s">
        <v>104</v>
      </c>
      <c r="W1253" s="2049" t="s">
        <v>3819</v>
      </c>
      <c r="X1253" s="26"/>
      <c r="Y1253" s="71"/>
      <c r="Z1253" s="71"/>
    </row>
    <row r="1254" spans="1:26" ht="24.95" hidden="1">
      <c r="A1254" s="20">
        <v>1261</v>
      </c>
      <c r="B1254" s="1063">
        <v>41031</v>
      </c>
      <c r="C1254" s="187" t="s">
        <v>3217</v>
      </c>
      <c r="D1254" s="11"/>
      <c r="E1254" s="26" t="s">
        <v>4907</v>
      </c>
      <c r="F1254" s="187" t="s">
        <v>2006</v>
      </c>
      <c r="G1254" s="187" t="s">
        <v>3222</v>
      </c>
      <c r="H1254" s="187" t="s">
        <v>1715</v>
      </c>
      <c r="I1254" s="187" t="s">
        <v>574</v>
      </c>
      <c r="J1254" s="187" t="s">
        <v>3223</v>
      </c>
      <c r="K1254" s="187" t="s">
        <v>3224</v>
      </c>
      <c r="L1254" s="187" t="s">
        <v>3225</v>
      </c>
      <c r="M1254" s="187">
        <v>5</v>
      </c>
      <c r="N1254" s="187">
        <v>1</v>
      </c>
      <c r="O1254" s="187">
        <v>2</v>
      </c>
      <c r="P1254" s="187">
        <v>4</v>
      </c>
      <c r="Q1254" s="187">
        <f t="shared" si="63"/>
        <v>1</v>
      </c>
      <c r="R1254" s="1235">
        <v>1402</v>
      </c>
      <c r="S1254" s="1235">
        <f t="shared" si="62"/>
        <v>2804</v>
      </c>
      <c r="T1254" s="187" t="s">
        <v>929</v>
      </c>
      <c r="U1254" s="1880" t="s">
        <v>5134</v>
      </c>
      <c r="V1254" s="187" t="s">
        <v>104</v>
      </c>
      <c r="W1254" s="2049" t="s">
        <v>3226</v>
      </c>
      <c r="X1254" s="26"/>
      <c r="Y1254" s="71"/>
      <c r="Z1254" s="71"/>
    </row>
    <row r="1255" spans="1:26" ht="24.95" hidden="1">
      <c r="A1255" s="20">
        <v>1262</v>
      </c>
      <c r="B1255" s="1063">
        <v>41032</v>
      </c>
      <c r="C1255" s="187" t="s">
        <v>3217</v>
      </c>
      <c r="D1255" s="11"/>
      <c r="E1255" s="26" t="s">
        <v>4907</v>
      </c>
      <c r="F1255" s="187" t="s">
        <v>2006</v>
      </c>
      <c r="G1255" s="187" t="s">
        <v>5154</v>
      </c>
      <c r="H1255" s="187" t="s">
        <v>752</v>
      </c>
      <c r="I1255" s="187" t="s">
        <v>574</v>
      </c>
      <c r="J1255" s="187" t="s">
        <v>4629</v>
      </c>
      <c r="K1255" s="187" t="s">
        <v>4630</v>
      </c>
      <c r="L1255" s="187" t="s">
        <v>3356</v>
      </c>
      <c r="M1255" s="187">
        <v>5</v>
      </c>
      <c r="N1255" s="187">
        <v>1</v>
      </c>
      <c r="O1255" s="187">
        <v>6</v>
      </c>
      <c r="P1255" s="187">
        <v>0</v>
      </c>
      <c r="Q1255" s="187">
        <f t="shared" si="63"/>
        <v>1</v>
      </c>
      <c r="R1255" s="1235">
        <v>1541</v>
      </c>
      <c r="S1255" s="1235">
        <f t="shared" si="62"/>
        <v>9246</v>
      </c>
      <c r="T1255" s="187" t="s">
        <v>929</v>
      </c>
      <c r="U1255" s="1880" t="s">
        <v>5134</v>
      </c>
      <c r="V1255" s="187" t="s">
        <v>104</v>
      </c>
      <c r="W1255" s="2017" t="s">
        <v>5155</v>
      </c>
      <c r="X1255" s="18"/>
      <c r="Y1255" s="4"/>
      <c r="Z1255" s="4"/>
    </row>
    <row r="1256" spans="1:26" ht="24.95" hidden="1">
      <c r="A1256" s="20">
        <v>1263</v>
      </c>
      <c r="B1256" s="1063">
        <v>41033</v>
      </c>
      <c r="C1256" s="187" t="s">
        <v>5156</v>
      </c>
      <c r="D1256" s="11"/>
      <c r="E1256" s="26" t="s">
        <v>4907</v>
      </c>
      <c r="F1256" s="187" t="s">
        <v>2006</v>
      </c>
      <c r="G1256" s="187" t="s">
        <v>5157</v>
      </c>
      <c r="H1256" s="187" t="s">
        <v>1073</v>
      </c>
      <c r="I1256" s="187" t="s">
        <v>574</v>
      </c>
      <c r="J1256" s="187" t="s">
        <v>5158</v>
      </c>
      <c r="K1256" s="187" t="s">
        <v>1940</v>
      </c>
      <c r="L1256" s="187" t="s">
        <v>2515</v>
      </c>
      <c r="M1256" s="187">
        <v>5</v>
      </c>
      <c r="N1256" s="187">
        <v>1</v>
      </c>
      <c r="O1256" s="187">
        <v>5</v>
      </c>
      <c r="P1256" s="187">
        <v>1</v>
      </c>
      <c r="Q1256" s="187">
        <f t="shared" si="63"/>
        <v>1</v>
      </c>
      <c r="R1256" s="1235">
        <v>668</v>
      </c>
      <c r="S1256" s="1235">
        <f t="shared" si="62"/>
        <v>3340</v>
      </c>
      <c r="T1256" s="187" t="s">
        <v>929</v>
      </c>
      <c r="U1256" s="1880" t="s">
        <v>5134</v>
      </c>
      <c r="V1256" s="187" t="s">
        <v>104</v>
      </c>
      <c r="W1256" s="2017" t="s">
        <v>5159</v>
      </c>
      <c r="X1256" s="18"/>
      <c r="Y1256" s="4"/>
      <c r="Z1256" s="4"/>
    </row>
    <row r="1257" spans="1:26" ht="24.95" hidden="1">
      <c r="A1257" s="20">
        <v>1264</v>
      </c>
      <c r="B1257" s="1063">
        <v>41034</v>
      </c>
      <c r="C1257" s="187" t="s">
        <v>3231</v>
      </c>
      <c r="D1257" s="11"/>
      <c r="E1257" s="26" t="s">
        <v>4907</v>
      </c>
      <c r="F1257" s="187" t="s">
        <v>2006</v>
      </c>
      <c r="G1257" s="187" t="s">
        <v>3232</v>
      </c>
      <c r="H1257" s="187" t="s">
        <v>1715</v>
      </c>
      <c r="I1257" s="187" t="s">
        <v>574</v>
      </c>
      <c r="J1257" s="187" t="s">
        <v>2135</v>
      </c>
      <c r="K1257" s="187" t="s">
        <v>2136</v>
      </c>
      <c r="L1257" s="187" t="s">
        <v>3233</v>
      </c>
      <c r="M1257" s="187">
        <v>5</v>
      </c>
      <c r="N1257" s="187">
        <v>1</v>
      </c>
      <c r="O1257" s="187">
        <v>4</v>
      </c>
      <c r="P1257" s="187">
        <v>3</v>
      </c>
      <c r="Q1257" s="187">
        <f t="shared" si="63"/>
        <v>2</v>
      </c>
      <c r="R1257" s="1235">
        <v>67</v>
      </c>
      <c r="S1257" s="1235">
        <f t="shared" si="62"/>
        <v>268</v>
      </c>
      <c r="T1257" s="187" t="s">
        <v>929</v>
      </c>
      <c r="U1257" s="1880" t="s">
        <v>5134</v>
      </c>
      <c r="V1257" s="187" t="s">
        <v>104</v>
      </c>
      <c r="W1257" s="2049" t="s">
        <v>3234</v>
      </c>
      <c r="X1257" s="18"/>
      <c r="Y1257" s="4"/>
      <c r="Z1257" s="4"/>
    </row>
    <row r="1258" spans="1:26" ht="24.95" hidden="1">
      <c r="A1258" s="20">
        <v>1265</v>
      </c>
      <c r="B1258" s="1063">
        <v>41035</v>
      </c>
      <c r="C1258" s="187" t="s">
        <v>3235</v>
      </c>
      <c r="D1258" s="11"/>
      <c r="E1258" s="26" t="s">
        <v>4907</v>
      </c>
      <c r="F1258" s="187" t="s">
        <v>2006</v>
      </c>
      <c r="G1258" s="187" t="s">
        <v>3236</v>
      </c>
      <c r="H1258" s="187" t="s">
        <v>3237</v>
      </c>
      <c r="I1258" s="187" t="s">
        <v>574</v>
      </c>
      <c r="J1258" s="187" t="s">
        <v>3238</v>
      </c>
      <c r="K1258" s="187" t="s">
        <v>3239</v>
      </c>
      <c r="L1258" s="187" t="s">
        <v>3240</v>
      </c>
      <c r="M1258" s="187">
        <v>25</v>
      </c>
      <c r="N1258" s="187">
        <v>25</v>
      </c>
      <c r="O1258" s="187">
        <v>50</v>
      </c>
      <c r="P1258" s="187">
        <v>2</v>
      </c>
      <c r="Q1258" s="187">
        <f t="shared" si="63"/>
        <v>27</v>
      </c>
      <c r="R1258" s="1235">
        <v>298.88</v>
      </c>
      <c r="S1258" s="1235">
        <f t="shared" si="62"/>
        <v>14944</v>
      </c>
      <c r="T1258" s="187" t="s">
        <v>929</v>
      </c>
      <c r="U1258" s="1880" t="s">
        <v>5134</v>
      </c>
      <c r="V1258" s="187" t="s">
        <v>104</v>
      </c>
      <c r="W1258" s="2017" t="s">
        <v>5160</v>
      </c>
      <c r="X1258" s="18"/>
      <c r="Y1258" s="4"/>
      <c r="Z1258" s="4"/>
    </row>
    <row r="1259" spans="1:26" ht="37.5" hidden="1">
      <c r="A1259" s="20">
        <v>1266</v>
      </c>
      <c r="B1259" s="1063">
        <v>41036</v>
      </c>
      <c r="C1259" s="187" t="s">
        <v>3602</v>
      </c>
      <c r="D1259" s="11"/>
      <c r="E1259" s="26" t="s">
        <v>4907</v>
      </c>
      <c r="F1259" s="187" t="s">
        <v>2006</v>
      </c>
      <c r="G1259" s="187" t="s">
        <v>3606</v>
      </c>
      <c r="H1259" s="187" t="s">
        <v>1865</v>
      </c>
      <c r="I1259" s="187" t="s">
        <v>574</v>
      </c>
      <c r="J1259" s="187" t="s">
        <v>3607</v>
      </c>
      <c r="K1259" s="187" t="s">
        <v>3608</v>
      </c>
      <c r="L1259" s="187" t="s">
        <v>3609</v>
      </c>
      <c r="M1259" s="187">
        <v>25</v>
      </c>
      <c r="N1259" s="187">
        <v>10</v>
      </c>
      <c r="O1259" s="187">
        <v>40</v>
      </c>
      <c r="P1259" s="187">
        <v>22</v>
      </c>
      <c r="Q1259" s="187">
        <f t="shared" si="63"/>
        <v>37</v>
      </c>
      <c r="R1259" s="1235">
        <v>39.6</v>
      </c>
      <c r="S1259" s="1235">
        <f t="shared" si="62"/>
        <v>1584</v>
      </c>
      <c r="T1259" s="187" t="s">
        <v>929</v>
      </c>
      <c r="U1259" s="1880" t="s">
        <v>5134</v>
      </c>
      <c r="V1259" s="187" t="s">
        <v>104</v>
      </c>
      <c r="W1259" s="2049" t="s">
        <v>3610</v>
      </c>
      <c r="X1259" s="26"/>
      <c r="Y1259" s="71"/>
      <c r="Z1259" s="71"/>
    </row>
    <row r="1260" spans="1:26" ht="24.95" hidden="1">
      <c r="A1260" s="20">
        <v>1267</v>
      </c>
      <c r="B1260" s="1063">
        <v>41037</v>
      </c>
      <c r="C1260" s="187" t="s">
        <v>3602</v>
      </c>
      <c r="D1260" s="11"/>
      <c r="E1260" s="26" t="s">
        <v>4907</v>
      </c>
      <c r="F1260" s="187" t="s">
        <v>2006</v>
      </c>
      <c r="G1260" s="187" t="s">
        <v>3603</v>
      </c>
      <c r="H1260" s="187" t="s">
        <v>1853</v>
      </c>
      <c r="I1260" s="187" t="s">
        <v>574</v>
      </c>
      <c r="J1260" s="187" t="s">
        <v>599</v>
      </c>
      <c r="K1260" s="187" t="s">
        <v>1991</v>
      </c>
      <c r="L1260" s="187" t="s">
        <v>3604</v>
      </c>
      <c r="M1260" s="187">
        <v>30</v>
      </c>
      <c r="N1260" s="187">
        <v>10</v>
      </c>
      <c r="O1260" s="187">
        <v>30</v>
      </c>
      <c r="P1260" s="187">
        <v>3</v>
      </c>
      <c r="Q1260" s="187">
        <f t="shared" si="63"/>
        <v>3</v>
      </c>
      <c r="R1260" s="1235">
        <v>20</v>
      </c>
      <c r="S1260" s="1235">
        <f t="shared" si="62"/>
        <v>600</v>
      </c>
      <c r="T1260" s="187" t="s">
        <v>929</v>
      </c>
      <c r="U1260" s="1880" t="s">
        <v>5134</v>
      </c>
      <c r="V1260" s="187" t="s">
        <v>104</v>
      </c>
      <c r="W1260" s="2049" t="s">
        <v>3605</v>
      </c>
      <c r="X1260" s="26"/>
      <c r="Y1260" s="71"/>
      <c r="Z1260" s="71"/>
    </row>
    <row r="1261" spans="1:26" ht="37.5" hidden="1">
      <c r="A1261" s="20">
        <v>1268</v>
      </c>
      <c r="B1261" s="1063">
        <v>41038</v>
      </c>
      <c r="C1261" s="187" t="s">
        <v>188</v>
      </c>
      <c r="D1261" s="11"/>
      <c r="E1261" s="26" t="s">
        <v>4907</v>
      </c>
      <c r="F1261" s="187" t="s">
        <v>2006</v>
      </c>
      <c r="G1261" s="187" t="s">
        <v>3242</v>
      </c>
      <c r="H1261" s="187" t="s">
        <v>3243</v>
      </c>
      <c r="I1261" s="187" t="s">
        <v>574</v>
      </c>
      <c r="J1261" s="187" t="s">
        <v>3244</v>
      </c>
      <c r="K1261" s="187" t="s">
        <v>3245</v>
      </c>
      <c r="L1261" s="187" t="s">
        <v>3211</v>
      </c>
      <c r="M1261" s="187">
        <v>5</v>
      </c>
      <c r="N1261" s="187">
        <v>1</v>
      </c>
      <c r="O1261" s="187">
        <v>10</v>
      </c>
      <c r="P1261" s="187">
        <v>0</v>
      </c>
      <c r="Q1261" s="187">
        <f t="shared" si="63"/>
        <v>5</v>
      </c>
      <c r="R1261" s="1235">
        <v>14.6</v>
      </c>
      <c r="S1261" s="1235">
        <f t="shared" si="62"/>
        <v>146</v>
      </c>
      <c r="T1261" s="187" t="s">
        <v>929</v>
      </c>
      <c r="U1261" s="1880" t="s">
        <v>5134</v>
      </c>
      <c r="V1261" s="187" t="s">
        <v>104</v>
      </c>
      <c r="W1261" s="2049" t="s">
        <v>3246</v>
      </c>
      <c r="X1261" s="18"/>
      <c r="Y1261" s="4"/>
      <c r="Z1261" s="4"/>
    </row>
    <row r="1262" spans="1:26" ht="37.5" hidden="1">
      <c r="A1262" s="20">
        <v>1269</v>
      </c>
      <c r="B1262" s="1063">
        <v>41039</v>
      </c>
      <c r="C1262" s="187" t="s">
        <v>188</v>
      </c>
      <c r="D1262" s="11"/>
      <c r="E1262" s="26" t="s">
        <v>4907</v>
      </c>
      <c r="F1262" s="187" t="s">
        <v>2006</v>
      </c>
      <c r="G1262" s="187" t="s">
        <v>3247</v>
      </c>
      <c r="H1262" s="187" t="s">
        <v>3243</v>
      </c>
      <c r="I1262" s="187" t="s">
        <v>574</v>
      </c>
      <c r="J1262" s="187" t="s">
        <v>3248</v>
      </c>
      <c r="K1262" s="187" t="s">
        <v>3249</v>
      </c>
      <c r="L1262" s="187" t="s">
        <v>3211</v>
      </c>
      <c r="M1262" s="187">
        <v>5</v>
      </c>
      <c r="N1262" s="187">
        <v>1</v>
      </c>
      <c r="O1262" s="187">
        <v>10</v>
      </c>
      <c r="P1262" s="187">
        <v>0</v>
      </c>
      <c r="Q1262" s="187">
        <f t="shared" si="63"/>
        <v>5</v>
      </c>
      <c r="R1262" s="1235">
        <v>25.1</v>
      </c>
      <c r="S1262" s="1235">
        <f t="shared" si="62"/>
        <v>251</v>
      </c>
      <c r="T1262" s="187" t="s">
        <v>929</v>
      </c>
      <c r="U1262" s="1880" t="s">
        <v>5134</v>
      </c>
      <c r="V1262" s="187" t="s">
        <v>104</v>
      </c>
      <c r="W1262" s="2049" t="s">
        <v>3250</v>
      </c>
      <c r="X1262" s="18"/>
      <c r="Y1262" s="4"/>
      <c r="Z1262" s="4"/>
    </row>
    <row r="1263" spans="1:26" ht="24.95" hidden="1">
      <c r="A1263" s="20">
        <v>1270</v>
      </c>
      <c r="B1263" s="1063">
        <v>41040</v>
      </c>
      <c r="C1263" s="187" t="s">
        <v>188</v>
      </c>
      <c r="D1263" s="11"/>
      <c r="E1263" s="26" t="s">
        <v>4907</v>
      </c>
      <c r="F1263" s="187" t="s">
        <v>2006</v>
      </c>
      <c r="G1263" s="187" t="s">
        <v>5161</v>
      </c>
      <c r="H1263" s="187" t="s">
        <v>3243</v>
      </c>
      <c r="I1263" s="187" t="s">
        <v>574</v>
      </c>
      <c r="J1263" s="187" t="s">
        <v>5162</v>
      </c>
      <c r="K1263" s="187" t="s">
        <v>5163</v>
      </c>
      <c r="L1263" s="187" t="s">
        <v>3211</v>
      </c>
      <c r="M1263" s="187">
        <v>5</v>
      </c>
      <c r="N1263" s="187">
        <v>1</v>
      </c>
      <c r="O1263" s="187">
        <v>10</v>
      </c>
      <c r="P1263" s="187">
        <v>0</v>
      </c>
      <c r="Q1263" s="187">
        <f t="shared" si="63"/>
        <v>5</v>
      </c>
      <c r="R1263" s="1235">
        <v>31.3</v>
      </c>
      <c r="S1263" s="1235">
        <f t="shared" si="62"/>
        <v>313</v>
      </c>
      <c r="T1263" s="187" t="s">
        <v>929</v>
      </c>
      <c r="U1263" s="1880" t="s">
        <v>5134</v>
      </c>
      <c r="V1263" s="187" t="s">
        <v>104</v>
      </c>
      <c r="W1263" s="2017" t="s">
        <v>5164</v>
      </c>
      <c r="X1263" s="18"/>
      <c r="Y1263" s="4"/>
      <c r="Z1263" s="4"/>
    </row>
    <row r="1264" spans="1:26" ht="24.95" hidden="1">
      <c r="A1264" s="20">
        <v>1271</v>
      </c>
      <c r="B1264" s="1063">
        <v>41041</v>
      </c>
      <c r="C1264" s="187" t="s">
        <v>188</v>
      </c>
      <c r="D1264" s="11"/>
      <c r="E1264" s="26" t="s">
        <v>4907</v>
      </c>
      <c r="F1264" s="187" t="s">
        <v>2006</v>
      </c>
      <c r="G1264" s="187" t="s">
        <v>5165</v>
      </c>
      <c r="H1264" s="187" t="s">
        <v>3243</v>
      </c>
      <c r="I1264" s="187" t="s">
        <v>574</v>
      </c>
      <c r="J1264" s="187" t="s">
        <v>5166</v>
      </c>
      <c r="K1264" s="187" t="s">
        <v>5167</v>
      </c>
      <c r="L1264" s="187" t="s">
        <v>3211</v>
      </c>
      <c r="M1264" s="187">
        <v>5</v>
      </c>
      <c r="N1264" s="187">
        <v>1</v>
      </c>
      <c r="O1264" s="187">
        <v>10</v>
      </c>
      <c r="P1264" s="187">
        <v>0</v>
      </c>
      <c r="Q1264" s="187">
        <f t="shared" si="63"/>
        <v>5</v>
      </c>
      <c r="R1264" s="1235">
        <v>14.6</v>
      </c>
      <c r="S1264" s="1235">
        <f t="shared" si="62"/>
        <v>146</v>
      </c>
      <c r="T1264" s="187" t="s">
        <v>929</v>
      </c>
      <c r="U1264" s="1880" t="s">
        <v>5134</v>
      </c>
      <c r="V1264" s="187" t="s">
        <v>104</v>
      </c>
      <c r="W1264" s="2017" t="s">
        <v>5168</v>
      </c>
      <c r="X1264" s="18"/>
      <c r="Y1264" s="4"/>
      <c r="Z1264" s="4"/>
    </row>
    <row r="1265" spans="1:26" ht="37.5" hidden="1">
      <c r="A1265" s="20">
        <v>1272</v>
      </c>
      <c r="B1265" s="1063">
        <v>41042</v>
      </c>
      <c r="C1265" s="187" t="s">
        <v>589</v>
      </c>
      <c r="D1265" s="11"/>
      <c r="E1265" s="26" t="s">
        <v>4907</v>
      </c>
      <c r="F1265" s="187" t="s">
        <v>2006</v>
      </c>
      <c r="G1265" s="187" t="s">
        <v>3585</v>
      </c>
      <c r="H1265" s="187" t="s">
        <v>1853</v>
      </c>
      <c r="I1265" s="187" t="s">
        <v>574</v>
      </c>
      <c r="J1265" s="187" t="s">
        <v>3586</v>
      </c>
      <c r="K1265" s="187" t="s">
        <v>3587</v>
      </c>
      <c r="L1265" s="187" t="s">
        <v>3588</v>
      </c>
      <c r="M1265" s="187">
        <v>15</v>
      </c>
      <c r="N1265" s="187">
        <v>10</v>
      </c>
      <c r="O1265" s="187">
        <v>20</v>
      </c>
      <c r="P1265" s="187">
        <v>4</v>
      </c>
      <c r="Q1265" s="187">
        <f t="shared" si="63"/>
        <v>9</v>
      </c>
      <c r="R1265" s="1235">
        <v>35.700000000000003</v>
      </c>
      <c r="S1265" s="1235">
        <f t="shared" si="62"/>
        <v>714</v>
      </c>
      <c r="T1265" s="187" t="s">
        <v>929</v>
      </c>
      <c r="U1265" s="1880" t="s">
        <v>5134</v>
      </c>
      <c r="V1265" s="187" t="s">
        <v>104</v>
      </c>
      <c r="W1265" s="2049" t="s">
        <v>3589</v>
      </c>
      <c r="X1265" s="26"/>
      <c r="Y1265" s="71"/>
      <c r="Z1265" s="71"/>
    </row>
    <row r="1266" spans="1:26" ht="37.5" hidden="1">
      <c r="A1266" s="20">
        <v>1273</v>
      </c>
      <c r="B1266" s="1063">
        <v>41043</v>
      </c>
      <c r="C1266" s="187" t="s">
        <v>589</v>
      </c>
      <c r="D1266" s="11"/>
      <c r="E1266" s="26" t="s">
        <v>4907</v>
      </c>
      <c r="F1266" s="187" t="s">
        <v>2006</v>
      </c>
      <c r="G1266" s="187" t="s">
        <v>3590</v>
      </c>
      <c r="H1266" s="187" t="s">
        <v>1853</v>
      </c>
      <c r="I1266" s="187" t="s">
        <v>574</v>
      </c>
      <c r="J1266" s="187" t="s">
        <v>3591</v>
      </c>
      <c r="K1266" s="187" t="s">
        <v>3592</v>
      </c>
      <c r="L1266" s="187" t="s">
        <v>3588</v>
      </c>
      <c r="M1266" s="187">
        <v>10</v>
      </c>
      <c r="N1266" s="187">
        <v>10</v>
      </c>
      <c r="O1266" s="187">
        <v>10</v>
      </c>
      <c r="P1266" s="187">
        <v>6</v>
      </c>
      <c r="Q1266" s="187">
        <f t="shared" si="63"/>
        <v>6</v>
      </c>
      <c r="R1266" s="1235">
        <v>35.700000000000003</v>
      </c>
      <c r="S1266" s="1235">
        <f t="shared" si="62"/>
        <v>357</v>
      </c>
      <c r="T1266" s="187" t="s">
        <v>929</v>
      </c>
      <c r="U1266" s="1880" t="s">
        <v>5134</v>
      </c>
      <c r="V1266" s="187" t="s">
        <v>104</v>
      </c>
      <c r="W1266" s="2049" t="s">
        <v>3593</v>
      </c>
      <c r="X1266" s="26"/>
      <c r="Y1266" s="71"/>
      <c r="Z1266" s="71"/>
    </row>
    <row r="1267" spans="1:26" ht="37.5" hidden="1">
      <c r="A1267" s="20">
        <v>1274</v>
      </c>
      <c r="B1267" s="1063">
        <v>41044</v>
      </c>
      <c r="C1267" s="187" t="s">
        <v>589</v>
      </c>
      <c r="D1267" s="11"/>
      <c r="E1267" s="26" t="s">
        <v>4907</v>
      </c>
      <c r="F1267" s="187" t="s">
        <v>2006</v>
      </c>
      <c r="G1267" s="187" t="s">
        <v>3594</v>
      </c>
      <c r="H1267" s="187" t="s">
        <v>1853</v>
      </c>
      <c r="I1267" s="187" t="s">
        <v>574</v>
      </c>
      <c r="J1267" s="187" t="s">
        <v>3595</v>
      </c>
      <c r="K1267" s="187" t="s">
        <v>3596</v>
      </c>
      <c r="L1267" s="187" t="s">
        <v>3588</v>
      </c>
      <c r="M1267" s="187">
        <v>20</v>
      </c>
      <c r="N1267" s="187">
        <v>10</v>
      </c>
      <c r="O1267" s="187">
        <v>20</v>
      </c>
      <c r="P1267" s="187">
        <v>2</v>
      </c>
      <c r="Q1267" s="187">
        <f t="shared" si="63"/>
        <v>2</v>
      </c>
      <c r="R1267" s="1235">
        <v>35.700000000000003</v>
      </c>
      <c r="S1267" s="1235">
        <f t="shared" si="62"/>
        <v>714</v>
      </c>
      <c r="T1267" s="187" t="s">
        <v>929</v>
      </c>
      <c r="U1267" s="1880" t="s">
        <v>5134</v>
      </c>
      <c r="V1267" s="187" t="s">
        <v>104</v>
      </c>
      <c r="W1267" s="2049" t="s">
        <v>3597</v>
      </c>
      <c r="X1267" s="18"/>
      <c r="Y1267" s="4"/>
      <c r="Z1267" s="4"/>
    </row>
    <row r="1268" spans="1:26" ht="37.5" hidden="1">
      <c r="A1268" s="20">
        <v>1275</v>
      </c>
      <c r="B1268" s="1063">
        <v>41045</v>
      </c>
      <c r="C1268" s="187" t="s">
        <v>589</v>
      </c>
      <c r="D1268" s="11"/>
      <c r="E1268" s="26" t="s">
        <v>4907</v>
      </c>
      <c r="F1268" s="187" t="s">
        <v>2006</v>
      </c>
      <c r="G1268" s="187" t="s">
        <v>3598</v>
      </c>
      <c r="H1268" s="187" t="s">
        <v>1853</v>
      </c>
      <c r="I1268" s="187" t="s">
        <v>574</v>
      </c>
      <c r="J1268" s="187" t="s">
        <v>3599</v>
      </c>
      <c r="K1268" s="187" t="s">
        <v>3600</v>
      </c>
      <c r="L1268" s="187" t="s">
        <v>3588</v>
      </c>
      <c r="M1268" s="187">
        <v>20</v>
      </c>
      <c r="N1268" s="187">
        <v>10</v>
      </c>
      <c r="O1268" s="187">
        <v>20</v>
      </c>
      <c r="P1268" s="187">
        <v>2</v>
      </c>
      <c r="Q1268" s="187">
        <f t="shared" si="63"/>
        <v>2</v>
      </c>
      <c r="R1268" s="1235">
        <v>35.700000000000003</v>
      </c>
      <c r="S1268" s="1235">
        <f t="shared" si="62"/>
        <v>714</v>
      </c>
      <c r="T1268" s="187" t="s">
        <v>929</v>
      </c>
      <c r="U1268" s="1880" t="s">
        <v>5134</v>
      </c>
      <c r="V1268" s="187" t="s">
        <v>104</v>
      </c>
      <c r="W1268" s="2049" t="s">
        <v>3601</v>
      </c>
      <c r="X1268" s="18"/>
      <c r="Y1268" s="4"/>
      <c r="Z1268" s="4"/>
    </row>
    <row r="1269" spans="1:26" ht="24.95" hidden="1">
      <c r="A1269" s="20">
        <v>1276</v>
      </c>
      <c r="B1269" s="1063">
        <v>41046</v>
      </c>
      <c r="C1269" s="187" t="s">
        <v>3831</v>
      </c>
      <c r="D1269" s="11"/>
      <c r="E1269" s="26" t="s">
        <v>4907</v>
      </c>
      <c r="F1269" s="187" t="s">
        <v>2006</v>
      </c>
      <c r="G1269" s="187" t="s">
        <v>3832</v>
      </c>
      <c r="H1269" s="187" t="s">
        <v>671</v>
      </c>
      <c r="I1269" s="187" t="s">
        <v>574</v>
      </c>
      <c r="J1269" s="187" t="s">
        <v>673</v>
      </c>
      <c r="K1269" s="187" t="s">
        <v>3288</v>
      </c>
      <c r="L1269" s="187" t="s">
        <v>2011</v>
      </c>
      <c r="M1269" s="187">
        <v>5</v>
      </c>
      <c r="N1269" s="187">
        <v>1</v>
      </c>
      <c r="O1269" s="187">
        <v>3</v>
      </c>
      <c r="P1269" s="187">
        <v>3</v>
      </c>
      <c r="Q1269" s="187">
        <f t="shared" si="63"/>
        <v>1</v>
      </c>
      <c r="R1269" s="1235">
        <v>696</v>
      </c>
      <c r="S1269" s="1235">
        <f t="shared" si="62"/>
        <v>2088</v>
      </c>
      <c r="T1269" s="187" t="s">
        <v>929</v>
      </c>
      <c r="U1269" s="1880" t="s">
        <v>5134</v>
      </c>
      <c r="V1269" s="187" t="s">
        <v>104</v>
      </c>
      <c r="W1269" s="2049" t="s">
        <v>3833</v>
      </c>
      <c r="X1269" s="18"/>
      <c r="Y1269" s="4"/>
      <c r="Z1269" s="4"/>
    </row>
    <row r="1270" spans="1:26" ht="24.95" hidden="1">
      <c r="A1270" s="20">
        <v>1277</v>
      </c>
      <c r="B1270" s="1063">
        <v>41047</v>
      </c>
      <c r="C1270" s="187" t="s">
        <v>2005</v>
      </c>
      <c r="D1270" s="11"/>
      <c r="E1270" s="26" t="s">
        <v>4907</v>
      </c>
      <c r="F1270" s="187" t="s">
        <v>2006</v>
      </c>
      <c r="G1270" s="187" t="s">
        <v>5169</v>
      </c>
      <c r="H1270" s="187" t="s">
        <v>2008</v>
      </c>
      <c r="I1270" s="187" t="s">
        <v>574</v>
      </c>
      <c r="J1270" s="187" t="s">
        <v>5170</v>
      </c>
      <c r="K1270" s="187" t="s">
        <v>5171</v>
      </c>
      <c r="L1270" s="187" t="s">
        <v>2011</v>
      </c>
      <c r="M1270" s="187">
        <v>5</v>
      </c>
      <c r="N1270" s="187">
        <v>10</v>
      </c>
      <c r="O1270" s="187">
        <v>10</v>
      </c>
      <c r="P1270" s="187">
        <v>0</v>
      </c>
      <c r="Q1270" s="187">
        <f t="shared" si="63"/>
        <v>5</v>
      </c>
      <c r="R1270" s="1235">
        <v>157.30000000000001</v>
      </c>
      <c r="S1270" s="1235">
        <f t="shared" si="62"/>
        <v>1573</v>
      </c>
      <c r="T1270" s="187" t="s">
        <v>929</v>
      </c>
      <c r="U1270" s="1880" t="s">
        <v>5134</v>
      </c>
      <c r="V1270" s="187" t="s">
        <v>104</v>
      </c>
      <c r="W1270" s="2017" t="s">
        <v>5172</v>
      </c>
      <c r="X1270" s="18"/>
      <c r="Y1270" s="4"/>
      <c r="Z1270" s="4"/>
    </row>
    <row r="1271" spans="1:26" ht="37.5" hidden="1">
      <c r="A1271" s="20">
        <v>1278</v>
      </c>
      <c r="B1271" s="1063">
        <v>41048</v>
      </c>
      <c r="C1271" s="187" t="s">
        <v>152</v>
      </c>
      <c r="D1271" s="11"/>
      <c r="E1271" s="26" t="s">
        <v>4907</v>
      </c>
      <c r="F1271" s="187" t="s">
        <v>2006</v>
      </c>
      <c r="G1271" s="187" t="s">
        <v>5173</v>
      </c>
      <c r="H1271" s="187" t="s">
        <v>5174</v>
      </c>
      <c r="I1271" s="187" t="s">
        <v>574</v>
      </c>
      <c r="J1271" s="187" t="s">
        <v>5175</v>
      </c>
      <c r="K1271" s="187" t="s">
        <v>5176</v>
      </c>
      <c r="L1271" s="187" t="s">
        <v>3588</v>
      </c>
      <c r="M1271" s="187">
        <v>40</v>
      </c>
      <c r="N1271" s="187">
        <v>10</v>
      </c>
      <c r="O1271" s="187">
        <v>50</v>
      </c>
      <c r="P1271" s="187">
        <v>0</v>
      </c>
      <c r="Q1271" s="187">
        <f t="shared" si="63"/>
        <v>10</v>
      </c>
      <c r="R1271" s="1235">
        <v>45.2</v>
      </c>
      <c r="S1271" s="1235">
        <f t="shared" si="62"/>
        <v>2260</v>
      </c>
      <c r="T1271" s="187" t="s">
        <v>929</v>
      </c>
      <c r="U1271" s="1880" t="s">
        <v>5134</v>
      </c>
      <c r="V1271" s="187" t="s">
        <v>104</v>
      </c>
      <c r="W1271" s="2017" t="s">
        <v>5177</v>
      </c>
      <c r="X1271" s="26"/>
      <c r="Y1271" s="71"/>
      <c r="Z1271" s="71"/>
    </row>
    <row r="1272" spans="1:26" ht="24.95" hidden="1">
      <c r="A1272" s="20">
        <v>1279</v>
      </c>
      <c r="B1272" s="1063">
        <v>41049</v>
      </c>
      <c r="C1272" s="187" t="s">
        <v>3277</v>
      </c>
      <c r="D1272" s="11"/>
      <c r="E1272" s="26" t="s">
        <v>4907</v>
      </c>
      <c r="F1272" s="187" t="s">
        <v>2006</v>
      </c>
      <c r="G1272" s="187" t="s">
        <v>3278</v>
      </c>
      <c r="H1272" s="187" t="s">
        <v>2001</v>
      </c>
      <c r="I1272" s="187" t="s">
        <v>574</v>
      </c>
      <c r="J1272" s="187" t="s">
        <v>2002</v>
      </c>
      <c r="K1272" s="187" t="s">
        <v>2003</v>
      </c>
      <c r="L1272" s="187" t="s">
        <v>2011</v>
      </c>
      <c r="M1272" s="187">
        <v>10</v>
      </c>
      <c r="N1272" s="187">
        <v>1</v>
      </c>
      <c r="O1272" s="187">
        <v>5</v>
      </c>
      <c r="P1272" s="187">
        <v>6</v>
      </c>
      <c r="Q1272" s="187">
        <f t="shared" si="63"/>
        <v>1</v>
      </c>
      <c r="R1272" s="1235">
        <v>103</v>
      </c>
      <c r="S1272" s="1235">
        <f t="shared" si="62"/>
        <v>515</v>
      </c>
      <c r="T1272" s="187" t="s">
        <v>929</v>
      </c>
      <c r="U1272" s="1880" t="s">
        <v>5134</v>
      </c>
      <c r="V1272" s="187" t="s">
        <v>104</v>
      </c>
      <c r="W1272" s="2049" t="s">
        <v>3279</v>
      </c>
      <c r="X1272" s="26"/>
      <c r="Y1272" s="71"/>
      <c r="Z1272" s="71"/>
    </row>
    <row r="1273" spans="1:26" ht="75" hidden="1">
      <c r="A1273" s="20">
        <v>1280</v>
      </c>
      <c r="B1273" s="1063">
        <v>41050</v>
      </c>
      <c r="C1273" s="187" t="s">
        <v>5178</v>
      </c>
      <c r="D1273" s="11"/>
      <c r="E1273" s="26" t="s">
        <v>4907</v>
      </c>
      <c r="F1273" s="187" t="s">
        <v>2006</v>
      </c>
      <c r="G1273" s="187" t="s">
        <v>5179</v>
      </c>
      <c r="H1273" s="187" t="s">
        <v>2668</v>
      </c>
      <c r="I1273" s="187" t="s">
        <v>574</v>
      </c>
      <c r="J1273" s="187" t="s">
        <v>5180</v>
      </c>
      <c r="K1273" s="187" t="s">
        <v>5181</v>
      </c>
      <c r="L1273" s="187" t="s">
        <v>149</v>
      </c>
      <c r="M1273" s="187">
        <v>1</v>
      </c>
      <c r="N1273" s="187">
        <v>1</v>
      </c>
      <c r="O1273" s="187">
        <v>1</v>
      </c>
      <c r="P1273" s="187">
        <v>0</v>
      </c>
      <c r="Q1273" s="187">
        <f t="shared" si="63"/>
        <v>0</v>
      </c>
      <c r="R1273" s="1235">
        <v>4716</v>
      </c>
      <c r="S1273" s="1235">
        <f t="shared" si="62"/>
        <v>4716</v>
      </c>
      <c r="T1273" s="187" t="s">
        <v>929</v>
      </c>
      <c r="U1273" s="1880" t="s">
        <v>5182</v>
      </c>
      <c r="V1273" s="187" t="s">
        <v>104</v>
      </c>
      <c r="W1273" s="2017" t="s">
        <v>5183</v>
      </c>
      <c r="X1273" s="18"/>
      <c r="Y1273" s="4"/>
      <c r="Z1273" s="4"/>
    </row>
    <row r="1274" spans="1:26" ht="24.95" hidden="1">
      <c r="A1274" s="20">
        <v>1281</v>
      </c>
      <c r="B1274" s="1063">
        <v>41051</v>
      </c>
      <c r="C1274" s="146" t="s">
        <v>329</v>
      </c>
      <c r="D1274" s="11"/>
      <c r="E1274" s="26" t="s">
        <v>4907</v>
      </c>
      <c r="F1274" s="187" t="s">
        <v>2006</v>
      </c>
      <c r="G1274" s="146" t="s">
        <v>5184</v>
      </c>
      <c r="H1274" s="146" t="s">
        <v>184</v>
      </c>
      <c r="I1274" s="187" t="s">
        <v>574</v>
      </c>
      <c r="J1274" s="632" t="s">
        <v>444</v>
      </c>
      <c r="K1274" s="146" t="s">
        <v>445</v>
      </c>
      <c r="L1274" s="146" t="s">
        <v>5185</v>
      </c>
      <c r="M1274" s="146">
        <v>40</v>
      </c>
      <c r="N1274" s="146">
        <v>10</v>
      </c>
      <c r="O1274" s="146">
        <v>50</v>
      </c>
      <c r="P1274" s="146">
        <v>0</v>
      </c>
      <c r="Q1274" s="187">
        <f t="shared" si="63"/>
        <v>10</v>
      </c>
      <c r="R1274" s="1236">
        <v>12.4</v>
      </c>
      <c r="S1274" s="1235">
        <f t="shared" si="62"/>
        <v>620</v>
      </c>
      <c r="T1274" s="146" t="s">
        <v>929</v>
      </c>
      <c r="U1274" s="1881" t="s">
        <v>5186</v>
      </c>
      <c r="V1274" s="146" t="s">
        <v>104</v>
      </c>
      <c r="W1274" s="2017" t="s">
        <v>5187</v>
      </c>
      <c r="X1274" s="18"/>
      <c r="Y1274" s="4"/>
      <c r="Z1274" s="4"/>
    </row>
    <row r="1275" spans="1:26" ht="24.95" hidden="1">
      <c r="A1275" s="20">
        <v>1282</v>
      </c>
      <c r="B1275" s="1063">
        <v>41052</v>
      </c>
      <c r="C1275" s="146" t="s">
        <v>1072</v>
      </c>
      <c r="D1275" s="11"/>
      <c r="E1275" s="26" t="s">
        <v>4907</v>
      </c>
      <c r="F1275" s="187" t="s">
        <v>2006</v>
      </c>
      <c r="G1275" s="146" t="s">
        <v>5188</v>
      </c>
      <c r="H1275" s="146" t="s">
        <v>460</v>
      </c>
      <c r="I1275" s="146" t="s">
        <v>281</v>
      </c>
      <c r="J1275" s="146" t="s">
        <v>461</v>
      </c>
      <c r="K1275" s="146" t="s">
        <v>462</v>
      </c>
      <c r="L1275" s="146" t="s">
        <v>587</v>
      </c>
      <c r="M1275" s="146">
        <v>60</v>
      </c>
      <c r="N1275" s="146">
        <v>25</v>
      </c>
      <c r="O1275" s="146">
        <v>50</v>
      </c>
      <c r="P1275" s="146">
        <v>18</v>
      </c>
      <c r="Q1275" s="187">
        <f t="shared" si="63"/>
        <v>8</v>
      </c>
      <c r="R1275" s="1236">
        <v>90.88</v>
      </c>
      <c r="S1275" s="1235">
        <f t="shared" si="62"/>
        <v>4544</v>
      </c>
      <c r="T1275" s="146" t="s">
        <v>929</v>
      </c>
      <c r="U1275" s="1881" t="s">
        <v>5186</v>
      </c>
      <c r="V1275" s="146" t="s">
        <v>104</v>
      </c>
      <c r="W1275" s="2049" t="s">
        <v>465</v>
      </c>
      <c r="X1275" s="18"/>
      <c r="Y1275" s="4"/>
      <c r="Z1275" s="4"/>
    </row>
    <row r="1276" spans="1:26" ht="37.5" hidden="1">
      <c r="A1276" s="20">
        <v>1283</v>
      </c>
      <c r="B1276" s="1063">
        <v>41053</v>
      </c>
      <c r="C1276" s="146" t="s">
        <v>5189</v>
      </c>
      <c r="D1276" s="11"/>
      <c r="E1276" s="26" t="s">
        <v>4907</v>
      </c>
      <c r="F1276" s="187" t="s">
        <v>2006</v>
      </c>
      <c r="G1276" s="146" t="s">
        <v>5190</v>
      </c>
      <c r="H1276" s="146" t="s">
        <v>452</v>
      </c>
      <c r="I1276" s="146" t="s">
        <v>281</v>
      </c>
      <c r="J1276" s="146" t="s">
        <v>453</v>
      </c>
      <c r="K1276" s="187" t="s">
        <v>454</v>
      </c>
      <c r="L1276" s="146" t="s">
        <v>455</v>
      </c>
      <c r="M1276" s="146">
        <v>50</v>
      </c>
      <c r="N1276" s="146">
        <v>10</v>
      </c>
      <c r="O1276" s="146">
        <v>50</v>
      </c>
      <c r="P1276" s="146">
        <v>13</v>
      </c>
      <c r="Q1276" s="187">
        <f t="shared" si="63"/>
        <v>13</v>
      </c>
      <c r="R1276" s="1236">
        <v>33.299999999999997</v>
      </c>
      <c r="S1276" s="1235">
        <f t="shared" si="62"/>
        <v>1664.9999999999998</v>
      </c>
      <c r="T1276" s="146" t="s">
        <v>929</v>
      </c>
      <c r="U1276" s="1881" t="s">
        <v>5186</v>
      </c>
      <c r="V1276" s="146" t="s">
        <v>104</v>
      </c>
      <c r="W1276" s="2017" t="s">
        <v>457</v>
      </c>
      <c r="X1276" s="18"/>
      <c r="Y1276" s="4"/>
      <c r="Z1276" s="4"/>
    </row>
    <row r="1277" spans="1:26" ht="24.95" hidden="1">
      <c r="A1277" s="20">
        <v>1284</v>
      </c>
      <c r="B1277" s="1063">
        <v>41054</v>
      </c>
      <c r="C1277" s="146" t="s">
        <v>5191</v>
      </c>
      <c r="D1277" s="11"/>
      <c r="E1277" s="26" t="s">
        <v>4907</v>
      </c>
      <c r="F1277" s="187" t="s">
        <v>2006</v>
      </c>
      <c r="G1277" s="146" t="s">
        <v>5192</v>
      </c>
      <c r="H1277" s="146" t="s">
        <v>5193</v>
      </c>
      <c r="I1277" s="146" t="s">
        <v>3312</v>
      </c>
      <c r="J1277" s="146">
        <v>1203938</v>
      </c>
      <c r="K1277" s="146" t="s">
        <v>5194</v>
      </c>
      <c r="L1277" s="146" t="s">
        <v>149</v>
      </c>
      <c r="M1277" s="146">
        <v>1</v>
      </c>
      <c r="N1277" s="146">
        <v>1</v>
      </c>
      <c r="O1277" s="146">
        <v>1</v>
      </c>
      <c r="P1277" s="146">
        <v>0</v>
      </c>
      <c r="Q1277" s="187">
        <f t="shared" si="63"/>
        <v>0</v>
      </c>
      <c r="R1277" s="1236">
        <v>1490</v>
      </c>
      <c r="S1277" s="1235">
        <f t="shared" si="62"/>
        <v>1490</v>
      </c>
      <c r="T1277" s="146" t="s">
        <v>929</v>
      </c>
      <c r="U1277" s="1881" t="s">
        <v>5186</v>
      </c>
      <c r="V1277" s="146" t="s">
        <v>104</v>
      </c>
      <c r="W1277" s="2017" t="s">
        <v>5195</v>
      </c>
      <c r="X1277" s="26"/>
      <c r="Y1277" s="71"/>
      <c r="Z1277" s="71"/>
    </row>
    <row r="1278" spans="1:26" ht="24.95" hidden="1">
      <c r="A1278" s="20">
        <v>1285</v>
      </c>
      <c r="B1278" s="1063">
        <v>41055</v>
      </c>
      <c r="C1278" s="146" t="s">
        <v>5196</v>
      </c>
      <c r="D1278" s="11"/>
      <c r="E1278" s="26" t="s">
        <v>4907</v>
      </c>
      <c r="F1278" s="187" t="s">
        <v>2006</v>
      </c>
      <c r="G1278" s="146" t="s">
        <v>5197</v>
      </c>
      <c r="H1278" s="146" t="s">
        <v>2416</v>
      </c>
      <c r="I1278" s="146" t="s">
        <v>281</v>
      </c>
      <c r="J1278" s="146" t="s">
        <v>5198</v>
      </c>
      <c r="K1278" s="146" t="s">
        <v>2417</v>
      </c>
      <c r="L1278" s="146" t="s">
        <v>5199</v>
      </c>
      <c r="M1278" s="146">
        <v>5</v>
      </c>
      <c r="N1278" s="146">
        <v>1</v>
      </c>
      <c r="O1278" s="146">
        <v>4</v>
      </c>
      <c r="P1278" s="146">
        <v>6</v>
      </c>
      <c r="Q1278" s="187">
        <f t="shared" si="63"/>
        <v>5</v>
      </c>
      <c r="R1278" s="1236">
        <v>1960</v>
      </c>
      <c r="S1278" s="1235">
        <f t="shared" si="62"/>
        <v>7840</v>
      </c>
      <c r="T1278" s="146" t="s">
        <v>929</v>
      </c>
      <c r="U1278" s="1881" t="s">
        <v>5186</v>
      </c>
      <c r="V1278" s="146" t="s">
        <v>104</v>
      </c>
      <c r="W1278" s="2017" t="s">
        <v>2418</v>
      </c>
      <c r="X1278" s="26"/>
      <c r="Y1278" s="71"/>
      <c r="Z1278" s="71"/>
    </row>
    <row r="1279" spans="1:26" ht="24.95" hidden="1">
      <c r="A1279" s="20">
        <v>1286</v>
      </c>
      <c r="B1279" s="1063">
        <v>41056</v>
      </c>
      <c r="C1279" s="146" t="s">
        <v>5200</v>
      </c>
      <c r="D1279" s="11"/>
      <c r="E1279" s="26" t="s">
        <v>4907</v>
      </c>
      <c r="F1279" s="187" t="s">
        <v>2006</v>
      </c>
      <c r="G1279" s="146" t="s">
        <v>4547</v>
      </c>
      <c r="H1279" s="146" t="s">
        <v>220</v>
      </c>
      <c r="I1279" s="146" t="s">
        <v>574</v>
      </c>
      <c r="J1279" s="146" t="s">
        <v>4548</v>
      </c>
      <c r="K1279" s="146" t="s">
        <v>4549</v>
      </c>
      <c r="L1279" s="146" t="s">
        <v>149</v>
      </c>
      <c r="M1279" s="146">
        <v>70</v>
      </c>
      <c r="N1279" s="146">
        <v>100</v>
      </c>
      <c r="O1279" s="146">
        <v>100</v>
      </c>
      <c r="P1279" s="146">
        <v>10</v>
      </c>
      <c r="Q1279" s="187">
        <f t="shared" si="63"/>
        <v>40</v>
      </c>
      <c r="R1279" s="1236">
        <v>3.69</v>
      </c>
      <c r="S1279" s="1235">
        <f t="shared" si="62"/>
        <v>369</v>
      </c>
      <c r="T1279" s="187" t="s">
        <v>3064</v>
      </c>
      <c r="U1279" s="1881" t="s">
        <v>5186</v>
      </c>
      <c r="V1279" s="146" t="s">
        <v>104</v>
      </c>
      <c r="W1279" s="2050" t="s">
        <v>4550</v>
      </c>
      <c r="X1279" s="18"/>
      <c r="Y1279" s="4"/>
      <c r="Z1279" s="4"/>
    </row>
    <row r="1280" spans="1:26" ht="14.1" hidden="1">
      <c r="A1280" s="20">
        <v>1287</v>
      </c>
      <c r="B1280" s="1063">
        <v>41057</v>
      </c>
      <c r="C1280" s="26" t="s">
        <v>3940</v>
      </c>
      <c r="D1280" s="11" t="s">
        <v>6</v>
      </c>
      <c r="E1280" s="26" t="s">
        <v>4907</v>
      </c>
      <c r="F1280" s="26" t="s">
        <v>2143</v>
      </c>
      <c r="G1280" s="138" t="s">
        <v>5201</v>
      </c>
      <c r="H1280" s="26" t="s">
        <v>4172</v>
      </c>
      <c r="I1280" s="26" t="s">
        <v>4172</v>
      </c>
      <c r="J1280" s="26"/>
      <c r="K1280" s="26"/>
      <c r="L1280" s="26"/>
      <c r="M1280" s="26">
        <v>3</v>
      </c>
      <c r="N1280" s="26">
        <v>1</v>
      </c>
      <c r="O1280" s="26">
        <v>4</v>
      </c>
      <c r="P1280" s="26">
        <v>0</v>
      </c>
      <c r="Q1280" s="26">
        <v>0</v>
      </c>
      <c r="R1280" s="1209">
        <v>1817</v>
      </c>
      <c r="S1280" s="1209">
        <f t="shared" si="62"/>
        <v>7268</v>
      </c>
      <c r="T1280" s="26" t="s">
        <v>929</v>
      </c>
      <c r="U1280" s="1871" t="s">
        <v>4846</v>
      </c>
      <c r="V1280" s="26" t="s">
        <v>104</v>
      </c>
      <c r="W1280" s="2037" t="s">
        <v>5202</v>
      </c>
      <c r="X1280" s="18"/>
      <c r="Y1280" s="4"/>
      <c r="Z1280" s="4"/>
    </row>
    <row r="1281" spans="1:26" ht="150.94999999999999" hidden="1">
      <c r="A1281" s="20">
        <v>1288</v>
      </c>
      <c r="B1281" s="1063">
        <v>41058</v>
      </c>
      <c r="C1281" s="914" t="s">
        <v>5203</v>
      </c>
      <c r="D1281" s="11" t="s">
        <v>5204</v>
      </c>
      <c r="E1281" s="139" t="s">
        <v>4907</v>
      </c>
      <c r="F1281" s="139" t="s">
        <v>4660</v>
      </c>
      <c r="G1281" s="148" t="s">
        <v>5205</v>
      </c>
      <c r="H1281" s="139" t="s">
        <v>5206</v>
      </c>
      <c r="I1281" s="139" t="s">
        <v>4148</v>
      </c>
      <c r="J1281" s="147" t="s">
        <v>5203</v>
      </c>
      <c r="K1281" s="149" t="s">
        <v>5207</v>
      </c>
      <c r="L1281" s="139"/>
      <c r="M1281" s="139">
        <v>1</v>
      </c>
      <c r="N1281" s="139">
        <v>1</v>
      </c>
      <c r="O1281" s="139">
        <v>1</v>
      </c>
      <c r="P1281" s="139">
        <v>0</v>
      </c>
      <c r="Q1281" s="139">
        <v>0</v>
      </c>
      <c r="R1281" s="1234">
        <v>39500</v>
      </c>
      <c r="S1281" s="1234">
        <v>39500</v>
      </c>
      <c r="T1281" s="139" t="s">
        <v>929</v>
      </c>
      <c r="U1281" s="1879" t="s">
        <v>5182</v>
      </c>
      <c r="V1281" s="139" t="s">
        <v>104</v>
      </c>
      <c r="W1281" s="2051" t="s">
        <v>5208</v>
      </c>
      <c r="X1281" s="56"/>
      <c r="Y1281" s="57"/>
      <c r="Z1281" s="57"/>
    </row>
    <row r="1282" spans="1:26" ht="27.95" hidden="1">
      <c r="A1282" s="20">
        <v>1289</v>
      </c>
      <c r="B1282" s="1063">
        <v>41059</v>
      </c>
      <c r="C1282" s="915" t="s">
        <v>5209</v>
      </c>
      <c r="D1282" s="11" t="s">
        <v>6</v>
      </c>
      <c r="E1282" s="150" t="s">
        <v>62</v>
      </c>
      <c r="F1282" s="28" t="s">
        <v>2876</v>
      </c>
      <c r="G1282" s="151" t="s">
        <v>5210</v>
      </c>
      <c r="H1282" s="150" t="s">
        <v>5211</v>
      </c>
      <c r="I1282" s="150" t="s">
        <v>39</v>
      </c>
      <c r="J1282" s="150" t="s">
        <v>5212</v>
      </c>
      <c r="K1282" s="150" t="s">
        <v>5213</v>
      </c>
      <c r="L1282" s="150"/>
      <c r="M1282" s="150">
        <v>8</v>
      </c>
      <c r="N1282" s="150">
        <v>10</v>
      </c>
      <c r="O1282" s="150">
        <v>10</v>
      </c>
      <c r="P1282" s="150">
        <v>0</v>
      </c>
      <c r="Q1282" s="150">
        <v>10</v>
      </c>
      <c r="R1282" s="1237">
        <v>268</v>
      </c>
      <c r="S1282" s="1237">
        <v>2680</v>
      </c>
      <c r="T1282" s="150" t="s">
        <v>5214</v>
      </c>
      <c r="U1282" s="1882" t="s">
        <v>422</v>
      </c>
      <c r="V1282" s="150" t="s">
        <v>5215</v>
      </c>
      <c r="W1282" s="2052" t="s">
        <v>5216</v>
      </c>
      <c r="X1282" s="18"/>
      <c r="Y1282" s="4"/>
      <c r="Z1282" s="4"/>
    </row>
    <row r="1283" spans="1:26" ht="27.95" hidden="1">
      <c r="A1283" s="20">
        <v>1290</v>
      </c>
      <c r="B1283" s="1063">
        <v>41060</v>
      </c>
      <c r="C1283" s="916" t="s">
        <v>5217</v>
      </c>
      <c r="D1283" s="11" t="s">
        <v>6</v>
      </c>
      <c r="E1283" s="150" t="s">
        <v>62</v>
      </c>
      <c r="F1283" s="28" t="s">
        <v>2876</v>
      </c>
      <c r="G1283" s="151" t="s">
        <v>5218</v>
      </c>
      <c r="H1283" s="150" t="s">
        <v>5219</v>
      </c>
      <c r="I1283" s="150" t="s">
        <v>39</v>
      </c>
      <c r="J1283" s="150" t="s">
        <v>5220</v>
      </c>
      <c r="K1283" s="152" t="s">
        <v>5221</v>
      </c>
      <c r="L1283" s="150"/>
      <c r="M1283" s="150">
        <v>10</v>
      </c>
      <c r="N1283" s="150">
        <v>10</v>
      </c>
      <c r="O1283" s="150">
        <v>10</v>
      </c>
      <c r="P1283" s="150">
        <v>0</v>
      </c>
      <c r="Q1283" s="150">
        <v>10</v>
      </c>
      <c r="R1283" s="1237">
        <v>235</v>
      </c>
      <c r="S1283" s="1237">
        <v>2350</v>
      </c>
      <c r="T1283" s="150" t="s">
        <v>5214</v>
      </c>
      <c r="U1283" s="1882" t="s">
        <v>422</v>
      </c>
      <c r="V1283" s="150" t="s">
        <v>5215</v>
      </c>
      <c r="W1283" s="2052" t="s">
        <v>5222</v>
      </c>
      <c r="X1283" s="26"/>
      <c r="Y1283" s="71"/>
      <c r="Z1283" s="71"/>
    </row>
    <row r="1284" spans="1:26" ht="27.95" hidden="1">
      <c r="A1284" s="20">
        <v>1291</v>
      </c>
      <c r="B1284" s="1063">
        <v>41061</v>
      </c>
      <c r="C1284" s="916" t="s">
        <v>5223</v>
      </c>
      <c r="D1284" s="11" t="s">
        <v>6</v>
      </c>
      <c r="E1284" s="150" t="s">
        <v>62</v>
      </c>
      <c r="F1284" s="28" t="s">
        <v>2876</v>
      </c>
      <c r="G1284" s="151" t="s">
        <v>5224</v>
      </c>
      <c r="H1284" s="150" t="s">
        <v>5219</v>
      </c>
      <c r="I1284" s="150" t="s">
        <v>39</v>
      </c>
      <c r="J1284" s="150" t="s">
        <v>5225</v>
      </c>
      <c r="K1284" s="152" t="s">
        <v>5226</v>
      </c>
      <c r="L1284" s="150"/>
      <c r="M1284" s="150">
        <v>10</v>
      </c>
      <c r="N1284" s="150">
        <v>10</v>
      </c>
      <c r="O1284" s="150">
        <v>10</v>
      </c>
      <c r="P1284" s="150">
        <v>0</v>
      </c>
      <c r="Q1284" s="150">
        <v>10</v>
      </c>
      <c r="R1284" s="1237">
        <v>235</v>
      </c>
      <c r="S1284" s="1237">
        <v>2350</v>
      </c>
      <c r="T1284" s="150" t="s">
        <v>5214</v>
      </c>
      <c r="U1284" s="1882" t="s">
        <v>422</v>
      </c>
      <c r="V1284" s="150" t="s">
        <v>5215</v>
      </c>
      <c r="W1284" s="2052" t="s">
        <v>5227</v>
      </c>
      <c r="X1284" s="26"/>
      <c r="Y1284" s="71"/>
      <c r="Z1284" s="71"/>
    </row>
    <row r="1285" spans="1:26" ht="153.94999999999999" hidden="1">
      <c r="A1285" s="20">
        <v>1292</v>
      </c>
      <c r="B1285" s="1063">
        <v>41062</v>
      </c>
      <c r="C1285" s="915" t="s">
        <v>5228</v>
      </c>
      <c r="D1285" s="11" t="s">
        <v>6</v>
      </c>
      <c r="E1285" s="150" t="s">
        <v>62</v>
      </c>
      <c r="F1285" s="915" t="s">
        <v>2876</v>
      </c>
      <c r="G1285" s="150" t="s">
        <v>5229</v>
      </c>
      <c r="H1285" s="150" t="s">
        <v>166</v>
      </c>
      <c r="I1285" s="150" t="s">
        <v>1022</v>
      </c>
      <c r="J1285" s="150" t="s">
        <v>1022</v>
      </c>
      <c r="K1285" s="150" t="s">
        <v>5230</v>
      </c>
      <c r="L1285" s="150"/>
      <c r="M1285" s="150">
        <v>4</v>
      </c>
      <c r="N1285" s="150">
        <v>2</v>
      </c>
      <c r="O1285" s="150">
        <v>4</v>
      </c>
      <c r="P1285" s="150">
        <v>0</v>
      </c>
      <c r="Q1285" s="150">
        <v>4</v>
      </c>
      <c r="R1285" s="1237">
        <v>1090</v>
      </c>
      <c r="S1285" s="1237">
        <v>4360</v>
      </c>
      <c r="T1285" s="150" t="s">
        <v>5231</v>
      </c>
      <c r="U1285" s="1882" t="s">
        <v>422</v>
      </c>
      <c r="V1285" s="150" t="s">
        <v>5215</v>
      </c>
      <c r="W1285" s="2052" t="s">
        <v>5232</v>
      </c>
      <c r="X1285" s="18"/>
      <c r="Y1285" s="4"/>
      <c r="Z1285" s="4"/>
    </row>
    <row r="1286" spans="1:26" ht="14.1" hidden="1">
      <c r="A1286" s="20">
        <v>1293</v>
      </c>
      <c r="B1286" s="1063">
        <v>41063</v>
      </c>
      <c r="C1286" s="915" t="s">
        <v>5233</v>
      </c>
      <c r="D1286" s="11" t="s">
        <v>6</v>
      </c>
      <c r="E1286" s="150" t="s">
        <v>62</v>
      </c>
      <c r="F1286" s="28" t="s">
        <v>2876</v>
      </c>
      <c r="G1286" s="153" t="s">
        <v>5234</v>
      </c>
      <c r="H1286" s="150" t="s">
        <v>1928</v>
      </c>
      <c r="I1286" s="633" t="s">
        <v>39</v>
      </c>
      <c r="J1286" s="154" t="s">
        <v>5235</v>
      </c>
      <c r="K1286" s="150" t="s">
        <v>1928</v>
      </c>
      <c r="L1286" s="634"/>
      <c r="M1286" s="150">
        <v>60</v>
      </c>
      <c r="N1286" s="150">
        <v>50</v>
      </c>
      <c r="O1286" s="150">
        <v>100</v>
      </c>
      <c r="P1286" s="150">
        <v>0</v>
      </c>
      <c r="Q1286" s="150">
        <v>100</v>
      </c>
      <c r="R1286" s="1237">
        <v>45.04</v>
      </c>
      <c r="S1286" s="1237">
        <v>4504</v>
      </c>
      <c r="T1286" s="150" t="s">
        <v>5214</v>
      </c>
      <c r="U1286" s="1882" t="s">
        <v>422</v>
      </c>
      <c r="V1286" s="150" t="s">
        <v>5215</v>
      </c>
      <c r="W1286" s="2052" t="s">
        <v>5236</v>
      </c>
      <c r="X1286" s="18"/>
      <c r="Y1286" s="4"/>
      <c r="Z1286" s="4"/>
    </row>
    <row r="1287" spans="1:26" ht="14.1" hidden="1">
      <c r="A1287" s="20">
        <v>1294</v>
      </c>
      <c r="B1287" s="1063">
        <v>41064</v>
      </c>
      <c r="C1287" s="916" t="s">
        <v>5237</v>
      </c>
      <c r="D1287" s="11" t="s">
        <v>6</v>
      </c>
      <c r="E1287" s="150" t="s">
        <v>62</v>
      </c>
      <c r="F1287" s="28" t="s">
        <v>2876</v>
      </c>
      <c r="G1287" s="153" t="s">
        <v>5238</v>
      </c>
      <c r="H1287" s="150" t="s">
        <v>1928</v>
      </c>
      <c r="I1287" s="635" t="s">
        <v>39</v>
      </c>
      <c r="J1287" s="150" t="s">
        <v>5239</v>
      </c>
      <c r="K1287" s="150" t="s">
        <v>1928</v>
      </c>
      <c r="L1287" s="155"/>
      <c r="M1287" s="150">
        <v>1</v>
      </c>
      <c r="N1287" s="150">
        <v>1</v>
      </c>
      <c r="O1287" s="150">
        <v>1</v>
      </c>
      <c r="P1287" s="150">
        <v>0</v>
      </c>
      <c r="Q1287" s="150">
        <v>1</v>
      </c>
      <c r="R1287" s="1237">
        <v>1013</v>
      </c>
      <c r="S1287" s="1237">
        <v>1013</v>
      </c>
      <c r="T1287" s="150" t="s">
        <v>5214</v>
      </c>
      <c r="U1287" s="1882" t="s">
        <v>422</v>
      </c>
      <c r="V1287" s="150" t="s">
        <v>5215</v>
      </c>
      <c r="W1287" s="2052" t="s">
        <v>5240</v>
      </c>
      <c r="X1287" s="18"/>
      <c r="Y1287" s="4"/>
      <c r="Z1287" s="4"/>
    </row>
    <row r="1288" spans="1:26" ht="27.95" hidden="1">
      <c r="A1288" s="20">
        <v>1295</v>
      </c>
      <c r="B1288" s="1063">
        <v>41065</v>
      </c>
      <c r="C1288" s="915" t="s">
        <v>5241</v>
      </c>
      <c r="D1288" s="11" t="s">
        <v>6</v>
      </c>
      <c r="E1288" s="150" t="s">
        <v>62</v>
      </c>
      <c r="F1288" s="28" t="s">
        <v>2876</v>
      </c>
      <c r="G1288" s="151" t="s">
        <v>5242</v>
      </c>
      <c r="H1288" s="150" t="s">
        <v>5211</v>
      </c>
      <c r="I1288" s="633" t="s">
        <v>39</v>
      </c>
      <c r="J1288" s="150" t="s">
        <v>5243</v>
      </c>
      <c r="K1288" s="150" t="s">
        <v>5244</v>
      </c>
      <c r="L1288" s="634"/>
      <c r="M1288" s="150">
        <v>8</v>
      </c>
      <c r="N1288" s="150">
        <v>10</v>
      </c>
      <c r="O1288" s="150">
        <v>10</v>
      </c>
      <c r="P1288" s="150">
        <v>0</v>
      </c>
      <c r="Q1288" s="150">
        <v>10</v>
      </c>
      <c r="R1288" s="1237">
        <v>268</v>
      </c>
      <c r="S1288" s="1237">
        <v>2680</v>
      </c>
      <c r="T1288" s="150" t="s">
        <v>5214</v>
      </c>
      <c r="U1288" s="1882" t="s">
        <v>422</v>
      </c>
      <c r="V1288" s="150" t="s">
        <v>5215</v>
      </c>
      <c r="W1288" s="2052" t="s">
        <v>5245</v>
      </c>
      <c r="X1288" s="18"/>
      <c r="Y1288" s="4"/>
      <c r="Z1288" s="4"/>
    </row>
    <row r="1289" spans="1:26" ht="37.5" hidden="1">
      <c r="A1289" s="20" t="s">
        <v>5246</v>
      </c>
      <c r="B1289" s="1063">
        <v>41066</v>
      </c>
      <c r="C1289" s="26" t="s">
        <v>5071</v>
      </c>
      <c r="D1289" s="11"/>
      <c r="E1289" s="26" t="s">
        <v>5247</v>
      </c>
      <c r="F1289" s="26" t="s">
        <v>1290</v>
      </c>
      <c r="G1289" s="26" t="s">
        <v>5248</v>
      </c>
      <c r="H1289" s="26" t="s">
        <v>5249</v>
      </c>
      <c r="I1289" s="26" t="s">
        <v>574</v>
      </c>
      <c r="J1289" s="26" t="s">
        <v>1086</v>
      </c>
      <c r="K1289" s="26" t="s">
        <v>1087</v>
      </c>
      <c r="L1289" s="26"/>
      <c r="M1289" s="26">
        <v>2</v>
      </c>
      <c r="N1289" s="26">
        <v>1</v>
      </c>
      <c r="O1289" s="26">
        <v>7</v>
      </c>
      <c r="P1289" s="26">
        <v>0</v>
      </c>
      <c r="Q1289" s="26">
        <v>5</v>
      </c>
      <c r="R1289" s="1209">
        <v>1044</v>
      </c>
      <c r="S1289" s="1209">
        <f t="shared" ref="S1289:S1292" si="64">R1289*O1289</f>
        <v>7308</v>
      </c>
      <c r="T1289" s="26" t="s">
        <v>1957</v>
      </c>
      <c r="U1289" s="1871" t="s">
        <v>138</v>
      </c>
      <c r="V1289" s="26" t="s">
        <v>5250</v>
      </c>
      <c r="W1289" s="2008" t="s">
        <v>1090</v>
      </c>
      <c r="X1289" s="26"/>
      <c r="Y1289" s="71"/>
      <c r="Z1289" s="71"/>
    </row>
    <row r="1290" spans="1:26" ht="24.95" hidden="1">
      <c r="A1290" s="20">
        <v>1297</v>
      </c>
      <c r="B1290" s="1063">
        <v>41067</v>
      </c>
      <c r="C1290" s="26" t="s">
        <v>5251</v>
      </c>
      <c r="D1290" s="11"/>
      <c r="E1290" s="26" t="s">
        <v>5247</v>
      </c>
      <c r="F1290" s="26" t="s">
        <v>1290</v>
      </c>
      <c r="G1290" s="26" t="s">
        <v>5252</v>
      </c>
      <c r="H1290" s="26" t="s">
        <v>2944</v>
      </c>
      <c r="I1290" s="26" t="s">
        <v>574</v>
      </c>
      <c r="J1290" s="26" t="s">
        <v>5253</v>
      </c>
      <c r="K1290" s="26" t="s">
        <v>5254</v>
      </c>
      <c r="L1290" s="26"/>
      <c r="M1290" s="26">
        <v>6</v>
      </c>
      <c r="N1290" s="26">
        <v>1</v>
      </c>
      <c r="O1290" s="26">
        <v>15</v>
      </c>
      <c r="P1290" s="26">
        <v>0</v>
      </c>
      <c r="Q1290" s="26">
        <v>9</v>
      </c>
      <c r="R1290" s="1209">
        <v>487</v>
      </c>
      <c r="S1290" s="1209">
        <f t="shared" si="64"/>
        <v>7305</v>
      </c>
      <c r="T1290" s="26" t="s">
        <v>1957</v>
      </c>
      <c r="U1290" s="1871" t="s">
        <v>138</v>
      </c>
      <c r="V1290" s="26" t="s">
        <v>5250</v>
      </c>
      <c r="W1290" s="2008" t="s">
        <v>5255</v>
      </c>
      <c r="X1290" s="26"/>
      <c r="Y1290" s="71"/>
      <c r="Z1290" s="71"/>
    </row>
    <row r="1291" spans="1:26" ht="37.5" hidden="1">
      <c r="A1291" s="20">
        <v>1298</v>
      </c>
      <c r="B1291" s="1063">
        <v>41068</v>
      </c>
      <c r="C1291" s="26" t="s">
        <v>5256</v>
      </c>
      <c r="D1291" s="11"/>
      <c r="E1291" s="26" t="s">
        <v>5247</v>
      </c>
      <c r="F1291" s="26" t="s">
        <v>1290</v>
      </c>
      <c r="G1291" s="26" t="s">
        <v>5257</v>
      </c>
      <c r="H1291" s="26" t="s">
        <v>4531</v>
      </c>
      <c r="I1291" s="26" t="s">
        <v>574</v>
      </c>
      <c r="J1291" s="26" t="s">
        <v>4531</v>
      </c>
      <c r="K1291" s="26" t="s">
        <v>4532</v>
      </c>
      <c r="L1291" s="26"/>
      <c r="M1291" s="26">
        <v>6</v>
      </c>
      <c r="N1291" s="26">
        <v>1</v>
      </c>
      <c r="O1291" s="26">
        <v>15</v>
      </c>
      <c r="P1291" s="26">
        <v>0</v>
      </c>
      <c r="Q1291" s="26">
        <v>9</v>
      </c>
      <c r="R1291" s="1209">
        <v>217</v>
      </c>
      <c r="S1291" s="1209">
        <f t="shared" si="64"/>
        <v>3255</v>
      </c>
      <c r="T1291" s="26" t="s">
        <v>1957</v>
      </c>
      <c r="U1291" s="1871" t="s">
        <v>138</v>
      </c>
      <c r="V1291" s="26" t="s">
        <v>5250</v>
      </c>
      <c r="W1291" s="2008" t="s">
        <v>5258</v>
      </c>
      <c r="X1291" s="18"/>
      <c r="Y1291" s="4"/>
      <c r="Z1291" s="4"/>
    </row>
    <row r="1292" spans="1:26" ht="24.95" hidden="1">
      <c r="A1292" s="20">
        <v>1299</v>
      </c>
      <c r="B1292" s="1063">
        <v>41069</v>
      </c>
      <c r="C1292" s="26" t="s">
        <v>5259</v>
      </c>
      <c r="D1292" s="11"/>
      <c r="E1292" s="26" t="s">
        <v>5247</v>
      </c>
      <c r="F1292" s="26" t="s">
        <v>1290</v>
      </c>
      <c r="G1292" s="26" t="s">
        <v>5260</v>
      </c>
      <c r="H1292" s="26" t="s">
        <v>5261</v>
      </c>
      <c r="I1292" s="26" t="s">
        <v>5261</v>
      </c>
      <c r="J1292" s="26" t="s">
        <v>355</v>
      </c>
      <c r="K1292" s="26" t="s">
        <v>355</v>
      </c>
      <c r="L1292" s="26"/>
      <c r="M1292" s="26">
        <v>8</v>
      </c>
      <c r="N1292" s="26">
        <v>20</v>
      </c>
      <c r="O1292" s="26">
        <v>20</v>
      </c>
      <c r="P1292" s="26">
        <v>0</v>
      </c>
      <c r="Q1292" s="26">
        <v>12</v>
      </c>
      <c r="R1292" s="1209">
        <v>107.06</v>
      </c>
      <c r="S1292" s="1209">
        <f t="shared" si="64"/>
        <v>2141.1999999999998</v>
      </c>
      <c r="T1292" s="26" t="s">
        <v>5262</v>
      </c>
      <c r="U1292" s="1871" t="s">
        <v>138</v>
      </c>
      <c r="V1292" s="26" t="s">
        <v>5250</v>
      </c>
      <c r="W1292" s="2008" t="s">
        <v>358</v>
      </c>
      <c r="X1292" s="18"/>
      <c r="Y1292" s="4"/>
      <c r="Z1292" s="4"/>
    </row>
    <row r="1293" spans="1:26" ht="14.1" hidden="1">
      <c r="A1293" s="20">
        <v>1300</v>
      </c>
      <c r="B1293" s="1063">
        <v>41070</v>
      </c>
      <c r="C1293" s="26" t="s">
        <v>5263</v>
      </c>
      <c r="D1293" s="11"/>
      <c r="E1293" s="26" t="s">
        <v>5247</v>
      </c>
      <c r="F1293" s="26" t="s">
        <v>1290</v>
      </c>
      <c r="G1293" s="26" t="s">
        <v>5264</v>
      </c>
      <c r="H1293" s="26" t="s">
        <v>1002</v>
      </c>
      <c r="I1293" s="26" t="s">
        <v>1002</v>
      </c>
      <c r="J1293" s="26">
        <v>19091300173</v>
      </c>
      <c r="K1293" s="26">
        <v>19091300173</v>
      </c>
      <c r="L1293" s="26"/>
      <c r="M1293" s="26">
        <v>2</v>
      </c>
      <c r="N1293" s="26">
        <v>4</v>
      </c>
      <c r="O1293" s="26">
        <v>6</v>
      </c>
      <c r="P1293" s="26">
        <v>0</v>
      </c>
      <c r="Q1293" s="26">
        <v>4</v>
      </c>
      <c r="R1293" s="1209">
        <f>S1293/O1293</f>
        <v>8859.5</v>
      </c>
      <c r="S1293" s="1209">
        <v>53157</v>
      </c>
      <c r="T1293" s="26" t="s">
        <v>1957</v>
      </c>
      <c r="U1293" s="1871" t="s">
        <v>138</v>
      </c>
      <c r="V1293" s="26" t="s">
        <v>5250</v>
      </c>
      <c r="W1293" s="2008" t="s">
        <v>5265</v>
      </c>
      <c r="X1293" s="18"/>
      <c r="Y1293" s="4"/>
      <c r="Z1293" s="4"/>
    </row>
    <row r="1294" spans="1:26" ht="24.95" hidden="1">
      <c r="A1294" s="20">
        <v>1301</v>
      </c>
      <c r="B1294" s="1063">
        <v>41071</v>
      </c>
      <c r="C1294" s="146" t="s">
        <v>5266</v>
      </c>
      <c r="D1294" s="11" t="s">
        <v>6</v>
      </c>
      <c r="E1294" s="129" t="s">
        <v>4907</v>
      </c>
      <c r="F1294" s="146" t="s">
        <v>1989</v>
      </c>
      <c r="G1294" s="156" t="s">
        <v>3639</v>
      </c>
      <c r="H1294" s="156" t="s">
        <v>1143</v>
      </c>
      <c r="I1294" s="156" t="s">
        <v>281</v>
      </c>
      <c r="J1294" s="156" t="s">
        <v>3640</v>
      </c>
      <c r="K1294" s="156">
        <v>554600272</v>
      </c>
      <c r="L1294" s="156" t="s">
        <v>5267</v>
      </c>
      <c r="M1294" s="156">
        <v>20</v>
      </c>
      <c r="N1294" s="156">
        <v>10</v>
      </c>
      <c r="O1294" s="156">
        <v>20</v>
      </c>
      <c r="P1294" s="156">
        <v>15</v>
      </c>
      <c r="Q1294" s="636">
        <f t="shared" ref="Q1294:Q1298" si="65">(O1294+P1294)-M1294</f>
        <v>15</v>
      </c>
      <c r="R1294" s="1225">
        <v>139.5</v>
      </c>
      <c r="S1294" s="1225">
        <f t="shared" ref="S1294:S1298" si="66">R1294*O1294</f>
        <v>2790</v>
      </c>
      <c r="T1294" s="156" t="s">
        <v>929</v>
      </c>
      <c r="U1294" s="1883" t="s">
        <v>5268</v>
      </c>
      <c r="V1294" s="636" t="s">
        <v>104</v>
      </c>
      <c r="W1294" s="2041" t="s">
        <v>5269</v>
      </c>
      <c r="X1294" s="26"/>
      <c r="Y1294" s="71"/>
      <c r="Z1294" s="71"/>
    </row>
    <row r="1295" spans="1:26" ht="24.95" hidden="1">
      <c r="A1295" s="20">
        <v>1302</v>
      </c>
      <c r="B1295" s="1063">
        <v>41072</v>
      </c>
      <c r="C1295" s="146" t="s">
        <v>5270</v>
      </c>
      <c r="D1295" s="11" t="s">
        <v>6</v>
      </c>
      <c r="E1295" s="129" t="s">
        <v>4907</v>
      </c>
      <c r="F1295" s="146" t="s">
        <v>1989</v>
      </c>
      <c r="G1295" s="156" t="s">
        <v>5271</v>
      </c>
      <c r="H1295" s="156" t="s">
        <v>3898</v>
      </c>
      <c r="I1295" s="156" t="s">
        <v>281</v>
      </c>
      <c r="J1295" s="156" t="s">
        <v>933</v>
      </c>
      <c r="K1295" s="156" t="s">
        <v>819</v>
      </c>
      <c r="L1295" s="156" t="s">
        <v>3636</v>
      </c>
      <c r="M1295" s="156">
        <v>30</v>
      </c>
      <c r="N1295" s="156">
        <v>1</v>
      </c>
      <c r="O1295" s="156">
        <v>15</v>
      </c>
      <c r="P1295" s="156">
        <v>29</v>
      </c>
      <c r="Q1295" s="636">
        <f t="shared" si="65"/>
        <v>14</v>
      </c>
      <c r="R1295" s="1225">
        <v>480</v>
      </c>
      <c r="S1295" s="1225">
        <f t="shared" si="66"/>
        <v>7200</v>
      </c>
      <c r="T1295" s="156" t="s">
        <v>929</v>
      </c>
      <c r="U1295" s="1883" t="s">
        <v>5268</v>
      </c>
      <c r="V1295" s="636" t="s">
        <v>104</v>
      </c>
      <c r="W1295" s="2041" t="s">
        <v>5272</v>
      </c>
      <c r="X1295" s="26"/>
      <c r="Y1295" s="71"/>
      <c r="Z1295" s="71"/>
    </row>
    <row r="1296" spans="1:26" ht="24.95" hidden="1">
      <c r="A1296" s="20">
        <v>1303</v>
      </c>
      <c r="B1296" s="1063">
        <v>41073</v>
      </c>
      <c r="C1296" s="146" t="s">
        <v>5273</v>
      </c>
      <c r="D1296" s="11" t="s">
        <v>6</v>
      </c>
      <c r="E1296" s="129" t="s">
        <v>4907</v>
      </c>
      <c r="F1296" s="146" t="s">
        <v>1989</v>
      </c>
      <c r="G1296" s="156" t="s">
        <v>5274</v>
      </c>
      <c r="H1296" s="156" t="s">
        <v>468</v>
      </c>
      <c r="I1296" s="156" t="s">
        <v>3312</v>
      </c>
      <c r="J1296" s="156">
        <v>26340378</v>
      </c>
      <c r="K1296" s="156" t="s">
        <v>5275</v>
      </c>
      <c r="L1296" s="156" t="s">
        <v>3636</v>
      </c>
      <c r="M1296" s="156">
        <v>5</v>
      </c>
      <c r="N1296" s="156">
        <v>50</v>
      </c>
      <c r="O1296" s="156">
        <v>50</v>
      </c>
      <c r="P1296" s="156">
        <v>2</v>
      </c>
      <c r="Q1296" s="636">
        <f t="shared" si="65"/>
        <v>47</v>
      </c>
      <c r="R1296" s="1225">
        <v>27.8</v>
      </c>
      <c r="S1296" s="1225">
        <f t="shared" si="66"/>
        <v>1390</v>
      </c>
      <c r="T1296" s="156" t="s">
        <v>929</v>
      </c>
      <c r="U1296" s="1883" t="s">
        <v>5268</v>
      </c>
      <c r="V1296" s="636" t="s">
        <v>104</v>
      </c>
      <c r="W1296" s="2041" t="s">
        <v>5276</v>
      </c>
      <c r="X1296" s="26"/>
      <c r="Y1296" s="71"/>
      <c r="Z1296" s="71"/>
    </row>
    <row r="1297" spans="1:26" ht="24.95" hidden="1">
      <c r="A1297" s="20">
        <v>1304</v>
      </c>
      <c r="B1297" s="1063">
        <v>41074</v>
      </c>
      <c r="C1297" s="187" t="s">
        <v>5277</v>
      </c>
      <c r="D1297" s="11" t="s">
        <v>6</v>
      </c>
      <c r="E1297" s="129" t="s">
        <v>4907</v>
      </c>
      <c r="F1297" s="146" t="s">
        <v>1989</v>
      </c>
      <c r="G1297" s="636" t="s">
        <v>3266</v>
      </c>
      <c r="H1297" s="636" t="s">
        <v>3267</v>
      </c>
      <c r="I1297" s="636" t="s">
        <v>3268</v>
      </c>
      <c r="J1297" s="636" t="s">
        <v>1</v>
      </c>
      <c r="K1297" s="636" t="s">
        <v>1</v>
      </c>
      <c r="L1297" s="636" t="s">
        <v>3269</v>
      </c>
      <c r="M1297" s="636">
        <v>20</v>
      </c>
      <c r="N1297" s="636">
        <v>1</v>
      </c>
      <c r="O1297" s="636">
        <v>20</v>
      </c>
      <c r="P1297" s="636">
        <v>12</v>
      </c>
      <c r="Q1297" s="636">
        <f t="shared" si="65"/>
        <v>12</v>
      </c>
      <c r="R1297" s="1238">
        <v>475</v>
      </c>
      <c r="S1297" s="1225">
        <f t="shared" si="66"/>
        <v>9500</v>
      </c>
      <c r="T1297" s="636" t="s">
        <v>929</v>
      </c>
      <c r="U1297" s="1883" t="s">
        <v>5268</v>
      </c>
      <c r="V1297" s="636" t="s">
        <v>104</v>
      </c>
      <c r="W1297" s="2041" t="s">
        <v>3270</v>
      </c>
      <c r="X1297" s="26"/>
      <c r="Y1297" s="71"/>
      <c r="Z1297" s="71"/>
    </row>
    <row r="1298" spans="1:26" ht="24.95" hidden="1">
      <c r="A1298" s="20">
        <v>1305</v>
      </c>
      <c r="B1298" s="1063">
        <v>41075</v>
      </c>
      <c r="C1298" s="146" t="s">
        <v>1072</v>
      </c>
      <c r="D1298" s="11" t="s">
        <v>6</v>
      </c>
      <c r="E1298" s="129" t="s">
        <v>4907</v>
      </c>
      <c r="F1298" s="146" t="s">
        <v>1989</v>
      </c>
      <c r="G1298" s="156" t="s">
        <v>5188</v>
      </c>
      <c r="H1298" s="156" t="s">
        <v>460</v>
      </c>
      <c r="I1298" s="156" t="s">
        <v>281</v>
      </c>
      <c r="J1298" s="156" t="s">
        <v>461</v>
      </c>
      <c r="K1298" s="156" t="s">
        <v>462</v>
      </c>
      <c r="L1298" s="156" t="s">
        <v>587</v>
      </c>
      <c r="M1298" s="156">
        <v>5</v>
      </c>
      <c r="N1298" s="156">
        <v>10</v>
      </c>
      <c r="O1298" s="156">
        <v>10</v>
      </c>
      <c r="P1298" s="156">
        <v>0</v>
      </c>
      <c r="Q1298" s="636">
        <f t="shared" si="65"/>
        <v>5</v>
      </c>
      <c r="R1298" s="1225">
        <v>103.5</v>
      </c>
      <c r="S1298" s="1225">
        <f t="shared" si="66"/>
        <v>1035</v>
      </c>
      <c r="T1298" s="156" t="s">
        <v>929</v>
      </c>
      <c r="U1298" s="1884" t="s">
        <v>5268</v>
      </c>
      <c r="V1298" s="156" t="s">
        <v>104</v>
      </c>
      <c r="W1298" s="2041" t="s">
        <v>465</v>
      </c>
      <c r="X1298" s="18"/>
      <c r="Y1298" s="4"/>
      <c r="Z1298" s="4"/>
    </row>
    <row r="1299" spans="1:26" ht="36" hidden="1">
      <c r="A1299" s="20">
        <v>1306</v>
      </c>
      <c r="B1299" s="1063">
        <v>41076</v>
      </c>
      <c r="C1299" s="54" t="s">
        <v>5278</v>
      </c>
      <c r="D1299" s="11" t="s">
        <v>6</v>
      </c>
      <c r="E1299" s="129" t="s">
        <v>4907</v>
      </c>
      <c r="F1299" s="54" t="s">
        <v>1398</v>
      </c>
      <c r="G1299" s="129" t="s">
        <v>5279</v>
      </c>
      <c r="H1299" s="129" t="s">
        <v>1059</v>
      </c>
      <c r="I1299" s="129" t="s">
        <v>39</v>
      </c>
      <c r="J1299" s="129" t="s">
        <v>5280</v>
      </c>
      <c r="K1299" s="129" t="s">
        <v>5281</v>
      </c>
      <c r="L1299" s="129"/>
      <c r="M1299" s="129">
        <v>4</v>
      </c>
      <c r="N1299" s="129">
        <v>1</v>
      </c>
      <c r="O1299" s="129">
        <v>5</v>
      </c>
      <c r="P1299" s="129">
        <v>0</v>
      </c>
      <c r="Q1299" s="129">
        <v>5</v>
      </c>
      <c r="R1299" s="1231">
        <v>101</v>
      </c>
      <c r="S1299" s="1231">
        <v>505</v>
      </c>
      <c r="T1299" s="129" t="s">
        <v>4669</v>
      </c>
      <c r="U1299" s="1876"/>
      <c r="V1299" s="129" t="s">
        <v>352</v>
      </c>
      <c r="W1299" s="2046" t="s">
        <v>5282</v>
      </c>
      <c r="X1299" s="129"/>
      <c r="Y1299" s="130"/>
      <c r="Z1299" s="130"/>
    </row>
    <row r="1300" spans="1:26" ht="36" hidden="1">
      <c r="A1300" s="20">
        <v>1307</v>
      </c>
      <c r="B1300" s="1063">
        <v>41077</v>
      </c>
      <c r="C1300" s="54" t="s">
        <v>5283</v>
      </c>
      <c r="D1300" s="11" t="s">
        <v>6</v>
      </c>
      <c r="E1300" s="129" t="s">
        <v>4907</v>
      </c>
      <c r="F1300" s="54" t="s">
        <v>1398</v>
      </c>
      <c r="G1300" s="129" t="s">
        <v>5284</v>
      </c>
      <c r="H1300" s="129" t="s">
        <v>1059</v>
      </c>
      <c r="I1300" s="129" t="s">
        <v>39</v>
      </c>
      <c r="J1300" s="129" t="s">
        <v>5285</v>
      </c>
      <c r="K1300" s="129" t="s">
        <v>5286</v>
      </c>
      <c r="L1300" s="129"/>
      <c r="M1300" s="129">
        <v>4</v>
      </c>
      <c r="N1300" s="129">
        <v>1</v>
      </c>
      <c r="O1300" s="129">
        <v>5</v>
      </c>
      <c r="P1300" s="129">
        <v>0</v>
      </c>
      <c r="Q1300" s="129">
        <v>5</v>
      </c>
      <c r="R1300" s="1231">
        <v>91</v>
      </c>
      <c r="S1300" s="1231">
        <v>455</v>
      </c>
      <c r="T1300" s="129" t="s">
        <v>4669</v>
      </c>
      <c r="U1300" s="1876"/>
      <c r="V1300" s="129" t="s">
        <v>352</v>
      </c>
      <c r="W1300" s="2046" t="s">
        <v>5287</v>
      </c>
      <c r="X1300" s="129"/>
      <c r="Y1300" s="130"/>
      <c r="Z1300" s="130"/>
    </row>
    <row r="1301" spans="1:26" ht="36" hidden="1">
      <c r="A1301" s="20">
        <v>1308</v>
      </c>
      <c r="B1301" s="1063">
        <v>41078</v>
      </c>
      <c r="C1301" s="911" t="s">
        <v>5288</v>
      </c>
      <c r="D1301" s="11" t="s">
        <v>6</v>
      </c>
      <c r="E1301" s="129" t="s">
        <v>4907</v>
      </c>
      <c r="F1301" s="54" t="s">
        <v>1398</v>
      </c>
      <c r="G1301" s="137" t="s">
        <v>5289</v>
      </c>
      <c r="H1301" s="137" t="s">
        <v>5290</v>
      </c>
      <c r="I1301" s="129" t="s">
        <v>39</v>
      </c>
      <c r="J1301" s="129" t="s">
        <v>5291</v>
      </c>
      <c r="K1301" s="129" t="s">
        <v>1991</v>
      </c>
      <c r="L1301" s="129"/>
      <c r="M1301" s="129">
        <v>6</v>
      </c>
      <c r="N1301" s="129">
        <v>5</v>
      </c>
      <c r="O1301" s="129">
        <v>10</v>
      </c>
      <c r="P1301" s="129">
        <v>14</v>
      </c>
      <c r="Q1301" s="129">
        <v>20</v>
      </c>
      <c r="R1301" s="1231">
        <v>32.200000000000003</v>
      </c>
      <c r="S1301" s="1231">
        <v>322</v>
      </c>
      <c r="T1301" s="129" t="s">
        <v>929</v>
      </c>
      <c r="U1301" s="1876" t="s">
        <v>441</v>
      </c>
      <c r="V1301" s="129" t="s">
        <v>352</v>
      </c>
      <c r="W1301" s="2046" t="s">
        <v>5292</v>
      </c>
      <c r="X1301" s="129"/>
      <c r="Y1301" s="130"/>
      <c r="Z1301" s="130"/>
    </row>
    <row r="1302" spans="1:26" ht="90" hidden="1">
      <c r="A1302" s="20">
        <v>1309</v>
      </c>
      <c r="B1302" s="1063">
        <v>41079</v>
      </c>
      <c r="C1302" s="911" t="s">
        <v>5293</v>
      </c>
      <c r="D1302" s="11" t="s">
        <v>6</v>
      </c>
      <c r="E1302" s="129" t="s">
        <v>4907</v>
      </c>
      <c r="F1302" s="54" t="s">
        <v>1398</v>
      </c>
      <c r="G1302" s="129" t="s">
        <v>3692</v>
      </c>
      <c r="H1302" s="129" t="s">
        <v>1803</v>
      </c>
      <c r="I1302" s="129" t="s">
        <v>53</v>
      </c>
      <c r="J1302" s="129" t="s">
        <v>5294</v>
      </c>
      <c r="K1302" s="129" t="s">
        <v>3691</v>
      </c>
      <c r="L1302" s="129"/>
      <c r="M1302" s="129">
        <v>16</v>
      </c>
      <c r="N1302" s="129">
        <v>1</v>
      </c>
      <c r="O1302" s="129">
        <v>20</v>
      </c>
      <c r="P1302" s="129">
        <v>4</v>
      </c>
      <c r="Q1302" s="129">
        <v>24</v>
      </c>
      <c r="R1302" s="1231">
        <v>451</v>
      </c>
      <c r="S1302" s="1231">
        <v>9020</v>
      </c>
      <c r="T1302" s="129" t="s">
        <v>929</v>
      </c>
      <c r="U1302" s="1876" t="s">
        <v>441</v>
      </c>
      <c r="V1302" s="129" t="s">
        <v>352</v>
      </c>
      <c r="W1302" s="2046" t="s">
        <v>3696</v>
      </c>
      <c r="X1302" s="129"/>
      <c r="Y1302" s="130"/>
      <c r="Z1302" s="130"/>
    </row>
    <row r="1303" spans="1:26" ht="72" hidden="1">
      <c r="A1303" s="20">
        <v>1310</v>
      </c>
      <c r="B1303" s="1063">
        <v>41080</v>
      </c>
      <c r="C1303" s="54" t="s">
        <v>1038</v>
      </c>
      <c r="D1303" s="11" t="s">
        <v>6</v>
      </c>
      <c r="E1303" s="129" t="s">
        <v>4907</v>
      </c>
      <c r="F1303" s="54" t="s">
        <v>1398</v>
      </c>
      <c r="G1303" s="129" t="s">
        <v>5295</v>
      </c>
      <c r="H1303" s="129" t="s">
        <v>511</v>
      </c>
      <c r="I1303" s="129" t="s">
        <v>53</v>
      </c>
      <c r="J1303" s="129" t="s">
        <v>512</v>
      </c>
      <c r="K1303" s="129" t="s">
        <v>2281</v>
      </c>
      <c r="L1303" s="129"/>
      <c r="M1303" s="129">
        <v>15</v>
      </c>
      <c r="N1303" s="129">
        <v>1</v>
      </c>
      <c r="O1303" s="129">
        <v>20</v>
      </c>
      <c r="P1303" s="129">
        <v>8</v>
      </c>
      <c r="Q1303" s="129">
        <v>28</v>
      </c>
      <c r="R1303" s="1231">
        <v>67</v>
      </c>
      <c r="S1303" s="1231">
        <v>1340</v>
      </c>
      <c r="T1303" s="129" t="s">
        <v>929</v>
      </c>
      <c r="U1303" s="1876" t="s">
        <v>441</v>
      </c>
      <c r="V1303" s="129" t="s">
        <v>352</v>
      </c>
      <c r="W1303" s="2046" t="s">
        <v>2074</v>
      </c>
      <c r="X1303" s="129"/>
      <c r="Y1303" s="130"/>
      <c r="Z1303" s="130"/>
    </row>
    <row r="1304" spans="1:26" ht="72" hidden="1">
      <c r="A1304" s="20">
        <v>1311</v>
      </c>
      <c r="B1304" s="1063">
        <v>41081</v>
      </c>
      <c r="C1304" s="911" t="s">
        <v>1797</v>
      </c>
      <c r="D1304" s="11" t="s">
        <v>6</v>
      </c>
      <c r="E1304" s="129" t="s">
        <v>4907</v>
      </c>
      <c r="F1304" s="54" t="s">
        <v>1398</v>
      </c>
      <c r="G1304" s="129" t="s">
        <v>5296</v>
      </c>
      <c r="H1304" s="129" t="s">
        <v>1751</v>
      </c>
      <c r="I1304" s="129" t="s">
        <v>53</v>
      </c>
      <c r="J1304" s="129" t="s">
        <v>4790</v>
      </c>
      <c r="K1304" s="129" t="s">
        <v>1911</v>
      </c>
      <c r="L1304" s="129"/>
      <c r="M1304" s="129">
        <v>5</v>
      </c>
      <c r="N1304" s="129">
        <v>1</v>
      </c>
      <c r="O1304" s="129">
        <v>5</v>
      </c>
      <c r="P1304" s="129">
        <v>2</v>
      </c>
      <c r="Q1304" s="129">
        <v>7</v>
      </c>
      <c r="R1304" s="1231">
        <v>1315</v>
      </c>
      <c r="S1304" s="1231">
        <v>6575</v>
      </c>
      <c r="T1304" s="129" t="s">
        <v>929</v>
      </c>
      <c r="U1304" s="1876" t="s">
        <v>441</v>
      </c>
      <c r="V1304" s="129" t="s">
        <v>352</v>
      </c>
      <c r="W1304" s="2046" t="s">
        <v>4792</v>
      </c>
      <c r="X1304" s="129"/>
      <c r="Y1304" s="130"/>
      <c r="Z1304" s="130"/>
    </row>
    <row r="1305" spans="1:26" ht="72" hidden="1">
      <c r="A1305" s="20">
        <v>1312</v>
      </c>
      <c r="B1305" s="1063">
        <v>41082</v>
      </c>
      <c r="C1305" s="911" t="s">
        <v>5297</v>
      </c>
      <c r="D1305" s="11" t="s">
        <v>6</v>
      </c>
      <c r="E1305" s="129" t="s">
        <v>4907</v>
      </c>
      <c r="F1305" s="54" t="s">
        <v>1398</v>
      </c>
      <c r="G1305" s="137" t="s">
        <v>5298</v>
      </c>
      <c r="H1305" s="129" t="s">
        <v>1498</v>
      </c>
      <c r="I1305" s="129" t="s">
        <v>53</v>
      </c>
      <c r="J1305" s="129" t="s">
        <v>5299</v>
      </c>
      <c r="K1305" s="129" t="s">
        <v>5300</v>
      </c>
      <c r="L1305" s="129"/>
      <c r="M1305" s="129">
        <v>3</v>
      </c>
      <c r="N1305" s="129">
        <v>1</v>
      </c>
      <c r="O1305" s="129">
        <v>3</v>
      </c>
      <c r="P1305" s="129">
        <v>2</v>
      </c>
      <c r="Q1305" s="129">
        <v>5</v>
      </c>
      <c r="R1305" s="1231">
        <v>537</v>
      </c>
      <c r="S1305" s="1231">
        <v>1611</v>
      </c>
      <c r="T1305" s="129" t="s">
        <v>929</v>
      </c>
      <c r="U1305" s="1876" t="s">
        <v>441</v>
      </c>
      <c r="V1305" s="129" t="s">
        <v>352</v>
      </c>
      <c r="W1305" s="2046" t="s">
        <v>5301</v>
      </c>
      <c r="X1305" s="129"/>
      <c r="Y1305" s="130"/>
      <c r="Z1305" s="130"/>
    </row>
    <row r="1306" spans="1:26" ht="54" hidden="1">
      <c r="A1306" s="20">
        <v>1313</v>
      </c>
      <c r="B1306" s="1063">
        <v>41083</v>
      </c>
      <c r="C1306" s="54" t="s">
        <v>1794</v>
      </c>
      <c r="D1306" s="11" t="s">
        <v>6</v>
      </c>
      <c r="E1306" s="129" t="s">
        <v>4907</v>
      </c>
      <c r="F1306" s="54" t="s">
        <v>1398</v>
      </c>
      <c r="G1306" s="129" t="s">
        <v>5302</v>
      </c>
      <c r="H1306" s="129" t="s">
        <v>1073</v>
      </c>
      <c r="I1306" s="129" t="s">
        <v>53</v>
      </c>
      <c r="J1306" s="129" t="s">
        <v>5303</v>
      </c>
      <c r="K1306" s="129" t="s">
        <v>5304</v>
      </c>
      <c r="L1306" s="129"/>
      <c r="M1306" s="129">
        <v>6</v>
      </c>
      <c r="N1306" s="129">
        <v>1</v>
      </c>
      <c r="O1306" s="129">
        <v>6</v>
      </c>
      <c r="P1306" s="129">
        <v>5</v>
      </c>
      <c r="Q1306" s="129">
        <v>11</v>
      </c>
      <c r="R1306" s="1231">
        <v>1315</v>
      </c>
      <c r="S1306" s="1231">
        <v>7890</v>
      </c>
      <c r="T1306" s="129" t="s">
        <v>929</v>
      </c>
      <c r="U1306" s="1876" t="s">
        <v>441</v>
      </c>
      <c r="V1306" s="129" t="s">
        <v>352</v>
      </c>
      <c r="W1306" s="2046" t="s">
        <v>3460</v>
      </c>
      <c r="X1306" s="129"/>
      <c r="Y1306" s="130"/>
      <c r="Z1306" s="130"/>
    </row>
    <row r="1307" spans="1:26" ht="72" hidden="1">
      <c r="A1307" s="20">
        <v>1314</v>
      </c>
      <c r="B1307" s="1063">
        <v>41084</v>
      </c>
      <c r="C1307" s="54" t="s">
        <v>5305</v>
      </c>
      <c r="D1307" s="11" t="s">
        <v>6</v>
      </c>
      <c r="E1307" s="129" t="s">
        <v>4907</v>
      </c>
      <c r="F1307" s="54" t="s">
        <v>1398</v>
      </c>
      <c r="G1307" s="129" t="s">
        <v>5306</v>
      </c>
      <c r="H1307" s="129" t="s">
        <v>460</v>
      </c>
      <c r="I1307" s="129" t="s">
        <v>53</v>
      </c>
      <c r="J1307" s="129" t="s">
        <v>5307</v>
      </c>
      <c r="K1307" s="129" t="s">
        <v>5308</v>
      </c>
      <c r="L1307" s="129"/>
      <c r="M1307" s="129">
        <v>4</v>
      </c>
      <c r="N1307" s="129">
        <v>1</v>
      </c>
      <c r="O1307" s="129">
        <v>4</v>
      </c>
      <c r="P1307" s="129">
        <v>3</v>
      </c>
      <c r="Q1307" s="129">
        <v>7</v>
      </c>
      <c r="R1307" s="1231">
        <v>119</v>
      </c>
      <c r="S1307" s="1231">
        <v>476</v>
      </c>
      <c r="T1307" s="129" t="s">
        <v>929</v>
      </c>
      <c r="U1307" s="1876" t="s">
        <v>441</v>
      </c>
      <c r="V1307" s="129" t="s">
        <v>352</v>
      </c>
      <c r="W1307" s="2046" t="s">
        <v>5309</v>
      </c>
      <c r="X1307" s="129"/>
      <c r="Y1307" s="130"/>
      <c r="Z1307" s="130"/>
    </row>
    <row r="1308" spans="1:26" ht="54" hidden="1">
      <c r="A1308" s="20">
        <v>1315</v>
      </c>
      <c r="B1308" s="1063">
        <v>41085</v>
      </c>
      <c r="C1308" s="54" t="s">
        <v>5310</v>
      </c>
      <c r="D1308" s="11" t="s">
        <v>6</v>
      </c>
      <c r="E1308" s="129" t="s">
        <v>4907</v>
      </c>
      <c r="F1308" s="54" t="s">
        <v>1398</v>
      </c>
      <c r="G1308" s="129" t="s">
        <v>5311</v>
      </c>
      <c r="H1308" s="129" t="s">
        <v>184</v>
      </c>
      <c r="I1308" s="129" t="s">
        <v>53</v>
      </c>
      <c r="J1308" s="129" t="s">
        <v>5312</v>
      </c>
      <c r="K1308" s="129" t="s">
        <v>5313</v>
      </c>
      <c r="L1308" s="129"/>
      <c r="M1308" s="129">
        <v>30</v>
      </c>
      <c r="N1308" s="129">
        <v>1</v>
      </c>
      <c r="O1308" s="129">
        <v>30</v>
      </c>
      <c r="P1308" s="129">
        <v>5</v>
      </c>
      <c r="Q1308" s="129">
        <v>35</v>
      </c>
      <c r="R1308" s="1231">
        <v>18</v>
      </c>
      <c r="S1308" s="1231">
        <v>540</v>
      </c>
      <c r="T1308" s="129" t="s">
        <v>929</v>
      </c>
      <c r="U1308" s="1876" t="s">
        <v>441</v>
      </c>
      <c r="V1308" s="129" t="s">
        <v>352</v>
      </c>
      <c r="W1308" s="2046" t="s">
        <v>5314</v>
      </c>
      <c r="X1308" s="129"/>
      <c r="Y1308" s="130"/>
      <c r="Z1308" s="130"/>
    </row>
    <row r="1309" spans="1:26" ht="54" hidden="1">
      <c r="A1309" s="20">
        <v>1316</v>
      </c>
      <c r="B1309" s="1063">
        <v>41086</v>
      </c>
      <c r="C1309" s="54" t="s">
        <v>5315</v>
      </c>
      <c r="D1309" s="11" t="s">
        <v>6</v>
      </c>
      <c r="E1309" s="129" t="s">
        <v>4907</v>
      </c>
      <c r="F1309" s="54" t="s">
        <v>1398</v>
      </c>
      <c r="G1309" s="136" t="s">
        <v>5316</v>
      </c>
      <c r="H1309" s="129" t="s">
        <v>1715</v>
      </c>
      <c r="I1309" s="129" t="s">
        <v>53</v>
      </c>
      <c r="J1309" s="129" t="s">
        <v>5317</v>
      </c>
      <c r="K1309" s="129" t="s">
        <v>5318</v>
      </c>
      <c r="L1309" s="129"/>
      <c r="M1309" s="129">
        <v>15</v>
      </c>
      <c r="N1309" s="129">
        <v>1</v>
      </c>
      <c r="O1309" s="129">
        <v>15</v>
      </c>
      <c r="P1309" s="129">
        <v>1</v>
      </c>
      <c r="Q1309" s="129">
        <v>16</v>
      </c>
      <c r="R1309" s="1231">
        <v>45</v>
      </c>
      <c r="S1309" s="1231">
        <v>675</v>
      </c>
      <c r="T1309" s="129" t="s">
        <v>929</v>
      </c>
      <c r="U1309" s="1876" t="s">
        <v>441</v>
      </c>
      <c r="V1309" s="129" t="s">
        <v>352</v>
      </c>
      <c r="W1309" s="2046" t="s">
        <v>5319</v>
      </c>
      <c r="X1309" s="129"/>
      <c r="Y1309" s="130"/>
      <c r="Z1309" s="130"/>
    </row>
    <row r="1310" spans="1:26" ht="54" hidden="1">
      <c r="A1310" s="20">
        <v>1317</v>
      </c>
      <c r="B1310" s="1063">
        <v>41087</v>
      </c>
      <c r="C1310" s="54" t="s">
        <v>1038</v>
      </c>
      <c r="D1310" s="11" t="s">
        <v>6</v>
      </c>
      <c r="E1310" s="129" t="s">
        <v>4907</v>
      </c>
      <c r="F1310" s="54" t="s">
        <v>1398</v>
      </c>
      <c r="G1310" s="129" t="s">
        <v>5320</v>
      </c>
      <c r="H1310" s="129" t="s">
        <v>1865</v>
      </c>
      <c r="I1310" s="129" t="s">
        <v>53</v>
      </c>
      <c r="J1310" s="129" t="s">
        <v>585</v>
      </c>
      <c r="K1310" s="129" t="s">
        <v>586</v>
      </c>
      <c r="L1310" s="129"/>
      <c r="M1310" s="129">
        <v>10</v>
      </c>
      <c r="N1310" s="129">
        <v>1</v>
      </c>
      <c r="O1310" s="129">
        <v>10</v>
      </c>
      <c r="P1310" s="129">
        <v>2</v>
      </c>
      <c r="Q1310" s="129">
        <v>12</v>
      </c>
      <c r="R1310" s="1231">
        <v>49</v>
      </c>
      <c r="S1310" s="1231">
        <v>490</v>
      </c>
      <c r="T1310" s="129" t="s">
        <v>929</v>
      </c>
      <c r="U1310" s="1876" t="s">
        <v>441</v>
      </c>
      <c r="V1310" s="129" t="s">
        <v>352</v>
      </c>
      <c r="W1310" s="2046" t="s">
        <v>5321</v>
      </c>
      <c r="X1310" s="129"/>
      <c r="Y1310" s="130"/>
      <c r="Z1310" s="130"/>
    </row>
    <row r="1311" spans="1:26" ht="72" hidden="1">
      <c r="A1311" s="20">
        <v>1318</v>
      </c>
      <c r="B1311" s="1063">
        <v>41088</v>
      </c>
      <c r="C1311" s="910" t="s">
        <v>5322</v>
      </c>
      <c r="D1311" s="11" t="s">
        <v>6</v>
      </c>
      <c r="E1311" s="129" t="s">
        <v>4907</v>
      </c>
      <c r="F1311" s="54" t="s">
        <v>1398</v>
      </c>
      <c r="G1311" s="136" t="s">
        <v>5323</v>
      </c>
      <c r="H1311" s="129" t="s">
        <v>460</v>
      </c>
      <c r="I1311" s="129" t="s">
        <v>53</v>
      </c>
      <c r="J1311" s="129" t="s">
        <v>1979</v>
      </c>
      <c r="K1311" s="129" t="s">
        <v>1980</v>
      </c>
      <c r="L1311" s="129"/>
      <c r="M1311" s="129">
        <v>15</v>
      </c>
      <c r="N1311" s="129">
        <v>1</v>
      </c>
      <c r="O1311" s="129">
        <v>15</v>
      </c>
      <c r="P1311" s="129">
        <v>1</v>
      </c>
      <c r="Q1311" s="129">
        <v>16</v>
      </c>
      <c r="R1311" s="1231">
        <v>66</v>
      </c>
      <c r="S1311" s="1231">
        <v>990</v>
      </c>
      <c r="T1311" s="129" t="s">
        <v>929</v>
      </c>
      <c r="U1311" s="1876" t="s">
        <v>441</v>
      </c>
      <c r="V1311" s="129" t="s">
        <v>352</v>
      </c>
      <c r="W1311" s="2046" t="s">
        <v>5324</v>
      </c>
      <c r="X1311" s="129"/>
      <c r="Y1311" s="130"/>
      <c r="Z1311" s="130"/>
    </row>
    <row r="1312" spans="1:26" ht="54" hidden="1">
      <c r="A1312" s="20">
        <v>1319</v>
      </c>
      <c r="B1312" s="1063">
        <v>41089</v>
      </c>
      <c r="C1312" s="54" t="s">
        <v>5325</v>
      </c>
      <c r="D1312" s="11" t="s">
        <v>6</v>
      </c>
      <c r="E1312" s="129" t="s">
        <v>4907</v>
      </c>
      <c r="F1312" s="54" t="s">
        <v>1398</v>
      </c>
      <c r="G1312" s="129" t="s">
        <v>5326</v>
      </c>
      <c r="H1312" s="129" t="s">
        <v>1098</v>
      </c>
      <c r="I1312" s="129" t="s">
        <v>53</v>
      </c>
      <c r="J1312" s="129" t="s">
        <v>3737</v>
      </c>
      <c r="K1312" s="129" t="s">
        <v>3738</v>
      </c>
      <c r="L1312" s="129"/>
      <c r="M1312" s="129">
        <v>20</v>
      </c>
      <c r="N1312" s="129">
        <v>1</v>
      </c>
      <c r="O1312" s="129">
        <v>20</v>
      </c>
      <c r="P1312" s="129">
        <v>10</v>
      </c>
      <c r="Q1312" s="129">
        <v>30</v>
      </c>
      <c r="R1312" s="1231">
        <v>43</v>
      </c>
      <c r="S1312" s="1231">
        <v>860</v>
      </c>
      <c r="T1312" s="129" t="s">
        <v>929</v>
      </c>
      <c r="U1312" s="1876" t="s">
        <v>441</v>
      </c>
      <c r="V1312" s="129" t="s">
        <v>352</v>
      </c>
      <c r="W1312" s="2046" t="s">
        <v>3739</v>
      </c>
      <c r="X1312" s="129"/>
      <c r="Y1312" s="130"/>
      <c r="Z1312" s="130"/>
    </row>
    <row r="1313" spans="1:26" ht="24.95" hidden="1">
      <c r="A1313" s="20">
        <v>1320</v>
      </c>
      <c r="B1313" s="1063">
        <v>41090</v>
      </c>
      <c r="C1313" s="26" t="s">
        <v>329</v>
      </c>
      <c r="D1313" s="11"/>
      <c r="E1313" s="26" t="s">
        <v>62</v>
      </c>
      <c r="F1313" s="26" t="s">
        <v>4980</v>
      </c>
      <c r="G1313" s="108" t="s">
        <v>5327</v>
      </c>
      <c r="H1313" s="26" t="s">
        <v>166</v>
      </c>
      <c r="I1313" s="26" t="s">
        <v>53</v>
      </c>
      <c r="J1313" s="108" t="s">
        <v>5328</v>
      </c>
      <c r="K1313" s="108" t="s">
        <v>5329</v>
      </c>
      <c r="L1313" s="26"/>
      <c r="M1313" s="26">
        <v>5</v>
      </c>
      <c r="N1313" s="26">
        <v>5</v>
      </c>
      <c r="O1313" s="26"/>
      <c r="P1313" s="26"/>
      <c r="Q1313" s="26"/>
      <c r="R1313" s="1209">
        <v>33</v>
      </c>
      <c r="S1313" s="1209">
        <v>165</v>
      </c>
      <c r="T1313" s="26" t="s">
        <v>4984</v>
      </c>
      <c r="U1313" s="1871"/>
      <c r="V1313" s="26"/>
      <c r="W1313" s="2015"/>
      <c r="X1313" s="18"/>
      <c r="Y1313" s="4"/>
      <c r="Z1313" s="4"/>
    </row>
    <row r="1314" spans="1:26" ht="24.95" hidden="1">
      <c r="A1314" s="20">
        <v>1321</v>
      </c>
      <c r="B1314" s="1063">
        <v>41091</v>
      </c>
      <c r="C1314" s="26" t="s">
        <v>329</v>
      </c>
      <c r="D1314" s="11"/>
      <c r="E1314" s="26" t="s">
        <v>62</v>
      </c>
      <c r="F1314" s="26" t="s">
        <v>4980</v>
      </c>
      <c r="G1314" s="108" t="s">
        <v>5330</v>
      </c>
      <c r="H1314" s="26" t="s">
        <v>166</v>
      </c>
      <c r="I1314" s="26" t="s">
        <v>53</v>
      </c>
      <c r="J1314" s="108" t="s">
        <v>5331</v>
      </c>
      <c r="K1314" s="108" t="s">
        <v>5332</v>
      </c>
      <c r="L1314" s="26"/>
      <c r="M1314" s="26">
        <v>10</v>
      </c>
      <c r="N1314" s="26">
        <v>10</v>
      </c>
      <c r="O1314" s="26"/>
      <c r="P1314" s="26"/>
      <c r="Q1314" s="26"/>
      <c r="R1314" s="1209">
        <v>14.5</v>
      </c>
      <c r="S1314" s="1209">
        <v>145</v>
      </c>
      <c r="T1314" s="26" t="s">
        <v>4984</v>
      </c>
      <c r="U1314" s="1871"/>
      <c r="V1314" s="26"/>
      <c r="W1314" s="2015"/>
      <c r="X1314" s="26"/>
      <c r="Y1314" s="71"/>
      <c r="Z1314" s="71"/>
    </row>
    <row r="1315" spans="1:26" ht="24.95" hidden="1">
      <c r="A1315" s="20">
        <v>1322</v>
      </c>
      <c r="B1315" s="1063">
        <v>41092</v>
      </c>
      <c r="C1315" s="26" t="s">
        <v>329</v>
      </c>
      <c r="D1315" s="11"/>
      <c r="E1315" s="26" t="s">
        <v>62</v>
      </c>
      <c r="F1315" s="26" t="s">
        <v>4980</v>
      </c>
      <c r="G1315" s="108" t="s">
        <v>5333</v>
      </c>
      <c r="H1315" s="108" t="s">
        <v>5334</v>
      </c>
      <c r="I1315" s="26" t="s">
        <v>53</v>
      </c>
      <c r="J1315" s="108" t="s">
        <v>5335</v>
      </c>
      <c r="K1315" s="26" t="s">
        <v>5336</v>
      </c>
      <c r="L1315" s="26"/>
      <c r="M1315" s="26">
        <v>10</v>
      </c>
      <c r="N1315" s="26">
        <v>10</v>
      </c>
      <c r="O1315" s="26"/>
      <c r="P1315" s="26"/>
      <c r="Q1315" s="26"/>
      <c r="R1315" s="1209">
        <v>100.7</v>
      </c>
      <c r="S1315" s="1209">
        <v>1007</v>
      </c>
      <c r="T1315" s="26" t="s">
        <v>4984</v>
      </c>
      <c r="U1315" s="1871"/>
      <c r="V1315" s="26"/>
      <c r="W1315" s="2015"/>
      <c r="X1315" s="26"/>
      <c r="Y1315" s="71"/>
      <c r="Z1315" s="71"/>
    </row>
    <row r="1316" spans="1:26" ht="24.95" hidden="1">
      <c r="A1316" s="20">
        <v>1323</v>
      </c>
      <c r="B1316" s="1063">
        <v>41093</v>
      </c>
      <c r="C1316" s="26" t="s">
        <v>329</v>
      </c>
      <c r="D1316" s="11"/>
      <c r="E1316" s="26" t="s">
        <v>62</v>
      </c>
      <c r="F1316" s="26" t="s">
        <v>4980</v>
      </c>
      <c r="G1316" s="108" t="s">
        <v>5337</v>
      </c>
      <c r="H1316" s="26" t="s">
        <v>166</v>
      </c>
      <c r="I1316" s="26" t="s">
        <v>53</v>
      </c>
      <c r="J1316" s="108" t="s">
        <v>5338</v>
      </c>
      <c r="K1316" s="26" t="s">
        <v>5339</v>
      </c>
      <c r="L1316" s="26"/>
      <c r="M1316" s="26">
        <v>5</v>
      </c>
      <c r="N1316" s="26">
        <v>5</v>
      </c>
      <c r="O1316" s="26"/>
      <c r="P1316" s="26"/>
      <c r="Q1316" s="26"/>
      <c r="R1316" s="1209">
        <v>51</v>
      </c>
      <c r="S1316" s="1209">
        <v>255</v>
      </c>
      <c r="T1316" s="26" t="s">
        <v>4984</v>
      </c>
      <c r="U1316" s="1871"/>
      <c r="V1316" s="26"/>
      <c r="W1316" s="2015"/>
      <c r="X1316" s="18"/>
      <c r="Y1316" s="4"/>
      <c r="Z1316" s="4"/>
    </row>
    <row r="1317" spans="1:26" ht="24.95" hidden="1">
      <c r="A1317" s="20">
        <v>1324</v>
      </c>
      <c r="B1317" s="1063">
        <v>41094</v>
      </c>
      <c r="C1317" s="26" t="s">
        <v>2005</v>
      </c>
      <c r="D1317" s="11"/>
      <c r="E1317" s="26" t="s">
        <v>62</v>
      </c>
      <c r="F1317" s="26" t="s">
        <v>4980</v>
      </c>
      <c r="G1317" s="108" t="s">
        <v>5340</v>
      </c>
      <c r="H1317" s="108" t="s">
        <v>2008</v>
      </c>
      <c r="I1317" s="26" t="s">
        <v>53</v>
      </c>
      <c r="J1317" s="108" t="s">
        <v>5341</v>
      </c>
      <c r="K1317" s="26" t="s">
        <v>5342</v>
      </c>
      <c r="L1317" s="26"/>
      <c r="M1317" s="26">
        <v>4</v>
      </c>
      <c r="N1317" s="26">
        <v>4</v>
      </c>
      <c r="O1317" s="26"/>
      <c r="P1317" s="26"/>
      <c r="Q1317" s="26"/>
      <c r="R1317" s="1209">
        <v>414</v>
      </c>
      <c r="S1317" s="1209">
        <v>1656</v>
      </c>
      <c r="T1317" s="26" t="s">
        <v>4984</v>
      </c>
      <c r="U1317" s="1871"/>
      <c r="V1317" s="26"/>
      <c r="W1317" s="2015"/>
      <c r="X1317" s="18"/>
      <c r="Y1317" s="4"/>
      <c r="Z1317" s="4"/>
    </row>
    <row r="1318" spans="1:26" ht="24.95" hidden="1">
      <c r="A1318" s="20">
        <v>1325</v>
      </c>
      <c r="B1318" s="1063">
        <v>41095</v>
      </c>
      <c r="C1318" s="26" t="s">
        <v>2005</v>
      </c>
      <c r="D1318" s="11"/>
      <c r="E1318" s="26" t="s">
        <v>62</v>
      </c>
      <c r="F1318" s="26" t="s">
        <v>4980</v>
      </c>
      <c r="G1318" s="108" t="s">
        <v>5343</v>
      </c>
      <c r="H1318" s="108" t="s">
        <v>5344</v>
      </c>
      <c r="I1318" s="26" t="s">
        <v>53</v>
      </c>
      <c r="J1318" s="26" t="s">
        <v>5345</v>
      </c>
      <c r="K1318" s="108" t="s">
        <v>5346</v>
      </c>
      <c r="L1318" s="26"/>
      <c r="M1318" s="26">
        <v>2</v>
      </c>
      <c r="N1318" s="26">
        <v>2</v>
      </c>
      <c r="O1318" s="26"/>
      <c r="P1318" s="26"/>
      <c r="Q1318" s="26"/>
      <c r="R1318" s="1209">
        <v>52</v>
      </c>
      <c r="S1318" s="1209">
        <v>104</v>
      </c>
      <c r="T1318" s="26" t="s">
        <v>4984</v>
      </c>
      <c r="U1318" s="1871"/>
      <c r="V1318" s="26"/>
      <c r="W1318" s="2015"/>
      <c r="X1318" s="18"/>
      <c r="Y1318" s="4"/>
      <c r="Z1318" s="4"/>
    </row>
    <row r="1319" spans="1:26" ht="24.95" hidden="1">
      <c r="A1319" s="20">
        <v>1326</v>
      </c>
      <c r="B1319" s="1063">
        <v>41096</v>
      </c>
      <c r="C1319" s="26" t="s">
        <v>5347</v>
      </c>
      <c r="D1319" s="11"/>
      <c r="E1319" s="26" t="s">
        <v>62</v>
      </c>
      <c r="F1319" s="26" t="s">
        <v>4980</v>
      </c>
      <c r="G1319" s="108" t="s">
        <v>5348</v>
      </c>
      <c r="H1319" s="108" t="s">
        <v>2008</v>
      </c>
      <c r="I1319" s="26" t="s">
        <v>53</v>
      </c>
      <c r="J1319" s="26" t="s">
        <v>5349</v>
      </c>
      <c r="K1319" s="108" t="s">
        <v>5350</v>
      </c>
      <c r="L1319" s="26"/>
      <c r="M1319" s="26">
        <v>5</v>
      </c>
      <c r="N1319" s="26">
        <v>5</v>
      </c>
      <c r="O1319" s="26"/>
      <c r="P1319" s="26"/>
      <c r="Q1319" s="26"/>
      <c r="R1319" s="1209">
        <v>49</v>
      </c>
      <c r="S1319" s="1209">
        <v>245</v>
      </c>
      <c r="T1319" s="26" t="s">
        <v>4984</v>
      </c>
      <c r="U1319" s="1871"/>
      <c r="V1319" s="26"/>
      <c r="W1319" s="2015"/>
      <c r="X1319" s="18"/>
      <c r="Y1319" s="4"/>
      <c r="Z1319" s="4"/>
    </row>
    <row r="1320" spans="1:26" ht="24.95" hidden="1">
      <c r="A1320" s="20">
        <v>1327</v>
      </c>
      <c r="B1320" s="1063">
        <v>41097</v>
      </c>
      <c r="C1320" s="26" t="s">
        <v>152</v>
      </c>
      <c r="D1320" s="11"/>
      <c r="E1320" s="26" t="s">
        <v>62</v>
      </c>
      <c r="F1320" s="26" t="s">
        <v>4980</v>
      </c>
      <c r="G1320" s="108" t="s">
        <v>5351</v>
      </c>
      <c r="H1320" s="108" t="s">
        <v>4915</v>
      </c>
      <c r="I1320" s="26" t="s">
        <v>53</v>
      </c>
      <c r="J1320" s="108" t="s">
        <v>5352</v>
      </c>
      <c r="K1320" s="108" t="s">
        <v>5353</v>
      </c>
      <c r="L1320" s="26"/>
      <c r="M1320" s="26">
        <v>10</v>
      </c>
      <c r="N1320" s="26">
        <v>10</v>
      </c>
      <c r="O1320" s="26"/>
      <c r="P1320" s="26"/>
      <c r="Q1320" s="26"/>
      <c r="R1320" s="1209">
        <v>4.5</v>
      </c>
      <c r="S1320" s="1209">
        <v>45</v>
      </c>
      <c r="T1320" s="26" t="s">
        <v>4984</v>
      </c>
      <c r="U1320" s="1871"/>
      <c r="V1320" s="26"/>
      <c r="W1320" s="2015"/>
      <c r="X1320" s="26"/>
      <c r="Y1320" s="71"/>
      <c r="Z1320" s="71"/>
    </row>
    <row r="1321" spans="1:26" ht="24.95" hidden="1">
      <c r="A1321" s="20">
        <v>1328</v>
      </c>
      <c r="B1321" s="1063">
        <v>41098</v>
      </c>
      <c r="C1321" s="26" t="s">
        <v>152</v>
      </c>
      <c r="D1321" s="11"/>
      <c r="E1321" s="26" t="s">
        <v>62</v>
      </c>
      <c r="F1321" s="26" t="s">
        <v>4980</v>
      </c>
      <c r="G1321" s="108" t="s">
        <v>5354</v>
      </c>
      <c r="H1321" s="108" t="s">
        <v>4915</v>
      </c>
      <c r="I1321" s="26" t="s">
        <v>53</v>
      </c>
      <c r="J1321" s="108" t="s">
        <v>5355</v>
      </c>
      <c r="K1321" s="26" t="s">
        <v>5356</v>
      </c>
      <c r="L1321" s="26"/>
      <c r="M1321" s="26">
        <v>10</v>
      </c>
      <c r="N1321" s="26">
        <v>10</v>
      </c>
      <c r="O1321" s="26"/>
      <c r="P1321" s="26"/>
      <c r="Q1321" s="26"/>
      <c r="R1321" s="1209">
        <v>4.5</v>
      </c>
      <c r="S1321" s="1209">
        <v>45</v>
      </c>
      <c r="T1321" s="26" t="s">
        <v>4984</v>
      </c>
      <c r="U1321" s="1871"/>
      <c r="V1321" s="26"/>
      <c r="W1321" s="2015"/>
      <c r="X1321" s="26"/>
      <c r="Y1321" s="71"/>
      <c r="Z1321" s="71"/>
    </row>
    <row r="1322" spans="1:26" ht="24.95" hidden="1">
      <c r="A1322" s="20">
        <v>1329</v>
      </c>
      <c r="B1322" s="1063">
        <v>41099</v>
      </c>
      <c r="C1322" s="26" t="s">
        <v>152</v>
      </c>
      <c r="D1322" s="11"/>
      <c r="E1322" s="26" t="s">
        <v>62</v>
      </c>
      <c r="F1322" s="26" t="s">
        <v>4980</v>
      </c>
      <c r="G1322" s="108" t="s">
        <v>5357</v>
      </c>
      <c r="H1322" s="108" t="s">
        <v>5334</v>
      </c>
      <c r="I1322" s="26" t="s">
        <v>53</v>
      </c>
      <c r="J1322" s="108" t="s">
        <v>5358</v>
      </c>
      <c r="K1322" s="26" t="s">
        <v>5359</v>
      </c>
      <c r="L1322" s="26"/>
      <c r="M1322" s="26">
        <v>5</v>
      </c>
      <c r="N1322" s="26">
        <v>5</v>
      </c>
      <c r="O1322" s="26"/>
      <c r="P1322" s="26"/>
      <c r="Q1322" s="26"/>
      <c r="R1322" s="1209">
        <v>27</v>
      </c>
      <c r="S1322" s="1209">
        <v>135</v>
      </c>
      <c r="T1322" s="26" t="s">
        <v>4984</v>
      </c>
      <c r="U1322" s="1871"/>
      <c r="V1322" s="26"/>
      <c r="W1322" s="2015"/>
      <c r="X1322" s="18"/>
      <c r="Y1322" s="4"/>
      <c r="Z1322" s="4"/>
    </row>
    <row r="1323" spans="1:26" ht="24.95" hidden="1">
      <c r="A1323" s="20">
        <v>1330</v>
      </c>
      <c r="B1323" s="1063">
        <v>41100</v>
      </c>
      <c r="C1323" s="26" t="s">
        <v>152</v>
      </c>
      <c r="D1323" s="11"/>
      <c r="E1323" s="26" t="s">
        <v>62</v>
      </c>
      <c r="F1323" s="26" t="s">
        <v>4980</v>
      </c>
      <c r="G1323" s="108" t="s">
        <v>5360</v>
      </c>
      <c r="H1323" s="108" t="s">
        <v>4915</v>
      </c>
      <c r="I1323" s="26" t="s">
        <v>53</v>
      </c>
      <c r="J1323" s="108" t="s">
        <v>5361</v>
      </c>
      <c r="K1323" s="26" t="s">
        <v>5362</v>
      </c>
      <c r="L1323" s="26"/>
      <c r="M1323" s="26">
        <v>10</v>
      </c>
      <c r="N1323" s="26">
        <v>10</v>
      </c>
      <c r="O1323" s="26"/>
      <c r="P1323" s="26"/>
      <c r="Q1323" s="26"/>
      <c r="R1323" s="1209">
        <v>4.5</v>
      </c>
      <c r="S1323" s="1209">
        <v>45</v>
      </c>
      <c r="T1323" s="26" t="s">
        <v>4984</v>
      </c>
      <c r="U1323" s="1871"/>
      <c r="V1323" s="26"/>
      <c r="W1323" s="2015"/>
      <c r="X1323" s="18"/>
      <c r="Y1323" s="4"/>
      <c r="Z1323" s="4"/>
    </row>
    <row r="1324" spans="1:26" ht="24.95" hidden="1">
      <c r="A1324" s="20">
        <v>1331</v>
      </c>
      <c r="B1324" s="1063">
        <v>41101</v>
      </c>
      <c r="C1324" s="26" t="s">
        <v>152</v>
      </c>
      <c r="D1324" s="11"/>
      <c r="E1324" s="26" t="s">
        <v>62</v>
      </c>
      <c r="F1324" s="26" t="s">
        <v>4980</v>
      </c>
      <c r="G1324" s="108" t="s">
        <v>5363</v>
      </c>
      <c r="H1324" s="108" t="s">
        <v>4915</v>
      </c>
      <c r="I1324" s="26" t="s">
        <v>53</v>
      </c>
      <c r="J1324" s="108" t="s">
        <v>5364</v>
      </c>
      <c r="K1324" s="26" t="s">
        <v>5365</v>
      </c>
      <c r="L1324" s="26"/>
      <c r="M1324" s="26">
        <v>10</v>
      </c>
      <c r="N1324" s="26">
        <v>10</v>
      </c>
      <c r="O1324" s="26"/>
      <c r="P1324" s="26"/>
      <c r="Q1324" s="26"/>
      <c r="R1324" s="1209">
        <v>4.5</v>
      </c>
      <c r="S1324" s="1209">
        <v>45</v>
      </c>
      <c r="T1324" s="26" t="s">
        <v>4984</v>
      </c>
      <c r="U1324" s="1871"/>
      <c r="V1324" s="26"/>
      <c r="W1324" s="2015"/>
      <c r="X1324" s="18"/>
      <c r="Y1324" s="4"/>
      <c r="Z1324" s="4"/>
    </row>
    <row r="1325" spans="1:26" ht="24.95" hidden="1">
      <c r="A1325" s="20">
        <v>1332</v>
      </c>
      <c r="B1325" s="1063">
        <v>41102</v>
      </c>
      <c r="C1325" s="26" t="s">
        <v>152</v>
      </c>
      <c r="D1325" s="11"/>
      <c r="E1325" s="26" t="s">
        <v>62</v>
      </c>
      <c r="F1325" s="26" t="s">
        <v>4980</v>
      </c>
      <c r="G1325" s="108" t="s">
        <v>5366</v>
      </c>
      <c r="H1325" s="108" t="s">
        <v>5334</v>
      </c>
      <c r="I1325" s="26" t="s">
        <v>53</v>
      </c>
      <c r="J1325" s="108" t="s">
        <v>5367</v>
      </c>
      <c r="K1325" s="26" t="s">
        <v>5368</v>
      </c>
      <c r="L1325" s="26"/>
      <c r="M1325" s="26">
        <v>5</v>
      </c>
      <c r="N1325" s="26">
        <v>5</v>
      </c>
      <c r="O1325" s="26"/>
      <c r="P1325" s="26"/>
      <c r="Q1325" s="26"/>
      <c r="R1325" s="1209">
        <v>23</v>
      </c>
      <c r="S1325" s="1209">
        <v>115</v>
      </c>
      <c r="T1325" s="26" t="s">
        <v>4984</v>
      </c>
      <c r="U1325" s="1871"/>
      <c r="V1325" s="26"/>
      <c r="W1325" s="2015"/>
      <c r="X1325" s="18"/>
      <c r="Y1325" s="4"/>
      <c r="Z1325" s="4"/>
    </row>
    <row r="1326" spans="1:26" ht="24.95" hidden="1">
      <c r="A1326" s="20">
        <v>1333</v>
      </c>
      <c r="B1326" s="1063">
        <v>41103</v>
      </c>
      <c r="C1326" s="26" t="s">
        <v>152</v>
      </c>
      <c r="D1326" s="11"/>
      <c r="E1326" s="26" t="s">
        <v>62</v>
      </c>
      <c r="F1326" s="26" t="s">
        <v>4980</v>
      </c>
      <c r="G1326" s="108" t="s">
        <v>5369</v>
      </c>
      <c r="H1326" s="108" t="s">
        <v>4915</v>
      </c>
      <c r="I1326" s="26" t="s">
        <v>53</v>
      </c>
      <c r="J1326" s="108" t="s">
        <v>5370</v>
      </c>
      <c r="K1326" s="26" t="s">
        <v>5371</v>
      </c>
      <c r="L1326" s="26"/>
      <c r="M1326" s="26">
        <v>10</v>
      </c>
      <c r="N1326" s="26">
        <v>10</v>
      </c>
      <c r="O1326" s="26"/>
      <c r="P1326" s="26"/>
      <c r="Q1326" s="26"/>
      <c r="R1326" s="1209">
        <v>4.5</v>
      </c>
      <c r="S1326" s="1209">
        <v>45</v>
      </c>
      <c r="T1326" s="26" t="s">
        <v>4984</v>
      </c>
      <c r="U1326" s="1871"/>
      <c r="V1326" s="26"/>
      <c r="W1326" s="2015"/>
      <c r="X1326" s="26"/>
      <c r="Y1326" s="71"/>
      <c r="Z1326" s="71"/>
    </row>
    <row r="1327" spans="1:26" ht="24.95" hidden="1">
      <c r="A1327" s="20">
        <v>1334</v>
      </c>
      <c r="B1327" s="1063">
        <v>41104</v>
      </c>
      <c r="C1327" s="26" t="s">
        <v>589</v>
      </c>
      <c r="D1327" s="11"/>
      <c r="E1327" s="26" t="s">
        <v>62</v>
      </c>
      <c r="F1327" s="26" t="s">
        <v>4980</v>
      </c>
      <c r="G1327" s="108" t="s">
        <v>5372</v>
      </c>
      <c r="H1327" s="108" t="s">
        <v>5373</v>
      </c>
      <c r="I1327" s="26" t="s">
        <v>53</v>
      </c>
      <c r="J1327" s="26" t="s">
        <v>5374</v>
      </c>
      <c r="K1327" s="108" t="s">
        <v>5375</v>
      </c>
      <c r="L1327" s="26"/>
      <c r="M1327" s="26">
        <v>5</v>
      </c>
      <c r="N1327" s="26">
        <v>5</v>
      </c>
      <c r="O1327" s="26"/>
      <c r="P1327" s="26"/>
      <c r="Q1327" s="26"/>
      <c r="R1327" s="1209">
        <v>25</v>
      </c>
      <c r="S1327" s="1209">
        <v>125</v>
      </c>
      <c r="T1327" s="26" t="s">
        <v>4984</v>
      </c>
      <c r="U1327" s="1871"/>
      <c r="V1327" s="26"/>
      <c r="W1327" s="2015"/>
      <c r="X1327" s="26"/>
      <c r="Y1327" s="71"/>
      <c r="Z1327" s="71"/>
    </row>
    <row r="1328" spans="1:26" ht="14.1" hidden="1">
      <c r="A1328" s="20">
        <v>1335</v>
      </c>
      <c r="B1328" s="1063">
        <v>41105</v>
      </c>
      <c r="C1328" s="26" t="s">
        <v>5376</v>
      </c>
      <c r="D1328" s="11" t="s">
        <v>6</v>
      </c>
      <c r="E1328" s="26" t="s">
        <v>62</v>
      </c>
      <c r="F1328" s="26" t="s">
        <v>784</v>
      </c>
      <c r="G1328" s="26" t="s">
        <v>5377</v>
      </c>
      <c r="H1328" s="26" t="s">
        <v>5378</v>
      </c>
      <c r="I1328" s="26" t="s">
        <v>5379</v>
      </c>
      <c r="J1328" s="26" t="s">
        <v>5380</v>
      </c>
      <c r="K1328" s="26" t="s">
        <v>5380</v>
      </c>
      <c r="L1328" s="26"/>
      <c r="M1328" s="26">
        <v>1</v>
      </c>
      <c r="N1328" s="26">
        <v>1</v>
      </c>
      <c r="O1328" s="26">
        <v>1</v>
      </c>
      <c r="P1328" s="26">
        <v>0</v>
      </c>
      <c r="Q1328" s="26">
        <v>0</v>
      </c>
      <c r="R1328" s="1209">
        <v>87560</v>
      </c>
      <c r="S1328" s="1209">
        <f>R1328*O1328</f>
        <v>87560</v>
      </c>
      <c r="T1328" s="26" t="s">
        <v>5381</v>
      </c>
      <c r="U1328" s="1871" t="s">
        <v>5381</v>
      </c>
      <c r="V1328" s="26" t="s">
        <v>5382</v>
      </c>
      <c r="W1328" s="2015"/>
      <c r="X1328" s="18"/>
      <c r="Y1328" s="4"/>
      <c r="Z1328" s="4"/>
    </row>
    <row r="1329" spans="1:26" ht="24.95" hidden="1">
      <c r="A1329" s="20">
        <v>1336</v>
      </c>
      <c r="B1329" s="1063">
        <v>41106</v>
      </c>
      <c r="C1329" s="139" t="s">
        <v>5383</v>
      </c>
      <c r="D1329" s="11" t="s">
        <v>6</v>
      </c>
      <c r="E1329" s="139" t="s">
        <v>5247</v>
      </c>
      <c r="F1329" s="139" t="s">
        <v>1290</v>
      </c>
      <c r="G1329" s="139" t="s">
        <v>5384</v>
      </c>
      <c r="H1329" s="139" t="s">
        <v>5385</v>
      </c>
      <c r="I1329" s="139" t="s">
        <v>5385</v>
      </c>
      <c r="J1329" s="139" t="s">
        <v>5386</v>
      </c>
      <c r="K1329" s="139" t="s">
        <v>5386</v>
      </c>
      <c r="L1329" s="26"/>
      <c r="M1329" s="26">
        <v>2</v>
      </c>
      <c r="N1329" s="26">
        <v>1</v>
      </c>
      <c r="O1329" s="26">
        <v>2</v>
      </c>
      <c r="P1329" s="26">
        <v>0</v>
      </c>
      <c r="Q1329" s="26">
        <v>0</v>
      </c>
      <c r="R1329" s="1209">
        <f>S1329/2</f>
        <v>12520</v>
      </c>
      <c r="S1329" s="1209">
        <v>25040</v>
      </c>
      <c r="T1329" s="26" t="s">
        <v>1375</v>
      </c>
      <c r="U1329" s="1871" t="s">
        <v>5387</v>
      </c>
      <c r="V1329" s="26" t="s">
        <v>5388</v>
      </c>
      <c r="W1329" s="2037" t="s">
        <v>5389</v>
      </c>
      <c r="X1329" s="18"/>
      <c r="Y1329" s="4"/>
      <c r="Z1329" s="4"/>
    </row>
    <row r="1330" spans="1:26" ht="14.1" hidden="1">
      <c r="A1330" s="20">
        <v>1337</v>
      </c>
      <c r="B1330" s="1063">
        <v>41107</v>
      </c>
      <c r="C1330" s="26" t="s">
        <v>5390</v>
      </c>
      <c r="D1330" s="11" t="s">
        <v>6</v>
      </c>
      <c r="E1330" s="26" t="s">
        <v>4907</v>
      </c>
      <c r="F1330" s="18" t="s">
        <v>1989</v>
      </c>
      <c r="G1330" s="18" t="s">
        <v>3529</v>
      </c>
      <c r="H1330" s="18" t="s">
        <v>3525</v>
      </c>
      <c r="I1330" s="18" t="s">
        <v>3525</v>
      </c>
      <c r="J1330" s="18"/>
      <c r="K1330" s="18"/>
      <c r="L1330" s="18"/>
      <c r="M1330" s="18">
        <v>3</v>
      </c>
      <c r="N1330" s="18">
        <v>1</v>
      </c>
      <c r="O1330" s="18">
        <v>6</v>
      </c>
      <c r="P1330" s="18">
        <v>0</v>
      </c>
      <c r="Q1330" s="18">
        <v>3</v>
      </c>
      <c r="R1330" s="1215">
        <v>87920</v>
      </c>
      <c r="S1330" s="1215">
        <v>87920</v>
      </c>
      <c r="T1330" s="18" t="s">
        <v>929</v>
      </c>
      <c r="U1330" s="1859" t="s">
        <v>3530</v>
      </c>
      <c r="V1330" s="26" t="s">
        <v>931</v>
      </c>
      <c r="W1330" s="2008" t="s">
        <v>5265</v>
      </c>
      <c r="X1330" s="18"/>
      <c r="Y1330" s="4"/>
      <c r="Z1330" s="4"/>
    </row>
    <row r="1331" spans="1:26" ht="14.1" hidden="1">
      <c r="A1331" s="20">
        <v>1338</v>
      </c>
      <c r="B1331" s="1063">
        <v>41108</v>
      </c>
      <c r="C1331" s="26" t="s">
        <v>5391</v>
      </c>
      <c r="D1331" s="11" t="s">
        <v>6</v>
      </c>
      <c r="E1331" s="26" t="s">
        <v>4907</v>
      </c>
      <c r="F1331" s="26" t="s">
        <v>2876</v>
      </c>
      <c r="G1331" s="26" t="s">
        <v>5392</v>
      </c>
      <c r="H1331" s="18" t="s">
        <v>3525</v>
      </c>
      <c r="I1331" s="18" t="s">
        <v>3525</v>
      </c>
      <c r="J1331" s="26"/>
      <c r="K1331" s="26"/>
      <c r="L1331" s="26"/>
      <c r="M1331" s="26">
        <v>3</v>
      </c>
      <c r="N1331" s="26">
        <v>1</v>
      </c>
      <c r="O1331" s="26">
        <v>6</v>
      </c>
      <c r="P1331" s="26">
        <v>0</v>
      </c>
      <c r="Q1331" s="26">
        <v>3</v>
      </c>
      <c r="R1331" s="1209">
        <f t="shared" ref="R1331:R1333" si="67">38318/6</f>
        <v>6386.333333333333</v>
      </c>
      <c r="S1331" s="1209">
        <f>O1331*R1331</f>
        <v>38318</v>
      </c>
      <c r="T1331" s="18" t="s">
        <v>929</v>
      </c>
      <c r="U1331" s="1871" t="s">
        <v>448</v>
      </c>
      <c r="V1331" s="26" t="s">
        <v>931</v>
      </c>
      <c r="W1331" s="2037" t="s">
        <v>401</v>
      </c>
      <c r="X1331" s="18"/>
      <c r="Y1331" s="4"/>
      <c r="Z1331" s="4"/>
    </row>
    <row r="1332" spans="1:26" ht="14.1" hidden="1">
      <c r="A1332" s="20">
        <v>1339</v>
      </c>
      <c r="B1332" s="1063">
        <v>41109</v>
      </c>
      <c r="C1332" s="26" t="s">
        <v>5393</v>
      </c>
      <c r="D1332" s="11" t="s">
        <v>6</v>
      </c>
      <c r="E1332" s="26" t="s">
        <v>4907</v>
      </c>
      <c r="F1332" s="26" t="s">
        <v>2876</v>
      </c>
      <c r="G1332" s="26" t="s">
        <v>5394</v>
      </c>
      <c r="H1332" s="18" t="s">
        <v>3525</v>
      </c>
      <c r="I1332" s="18" t="s">
        <v>3525</v>
      </c>
      <c r="J1332" s="26"/>
      <c r="K1332" s="26"/>
      <c r="L1332" s="26"/>
      <c r="M1332" s="26">
        <v>3</v>
      </c>
      <c r="N1332" s="26">
        <v>1</v>
      </c>
      <c r="O1332" s="26">
        <v>6</v>
      </c>
      <c r="P1332" s="26">
        <v>0</v>
      </c>
      <c r="Q1332" s="26">
        <v>3</v>
      </c>
      <c r="R1332" s="1209">
        <f t="shared" si="67"/>
        <v>6386.333333333333</v>
      </c>
      <c r="S1332" s="1209">
        <f t="shared" ref="S1332:S1334" si="68">6*R1332</f>
        <v>38318</v>
      </c>
      <c r="T1332" s="18" t="s">
        <v>929</v>
      </c>
      <c r="U1332" s="1871" t="s">
        <v>448</v>
      </c>
      <c r="V1332" s="26" t="s">
        <v>931</v>
      </c>
      <c r="W1332" s="2037" t="s">
        <v>401</v>
      </c>
      <c r="X1332" s="26"/>
      <c r="Y1332" s="71"/>
      <c r="Z1332" s="71"/>
    </row>
    <row r="1333" spans="1:26" ht="14.1" hidden="1">
      <c r="A1333" s="20">
        <v>1340</v>
      </c>
      <c r="B1333" s="1063">
        <v>41110</v>
      </c>
      <c r="C1333" s="26" t="s">
        <v>5395</v>
      </c>
      <c r="D1333" s="11" t="s">
        <v>6</v>
      </c>
      <c r="E1333" s="26" t="s">
        <v>4907</v>
      </c>
      <c r="F1333" s="26" t="s">
        <v>2876</v>
      </c>
      <c r="G1333" s="26" t="s">
        <v>5394</v>
      </c>
      <c r="H1333" s="18" t="s">
        <v>3525</v>
      </c>
      <c r="I1333" s="18" t="s">
        <v>3525</v>
      </c>
      <c r="J1333" s="26"/>
      <c r="K1333" s="26"/>
      <c r="L1333" s="26"/>
      <c r="M1333" s="26">
        <v>3</v>
      </c>
      <c r="N1333" s="26">
        <v>1</v>
      </c>
      <c r="O1333" s="26">
        <v>6</v>
      </c>
      <c r="P1333" s="26">
        <v>0</v>
      </c>
      <c r="Q1333" s="26">
        <v>3</v>
      </c>
      <c r="R1333" s="1209">
        <f t="shared" si="67"/>
        <v>6386.333333333333</v>
      </c>
      <c r="S1333" s="1209">
        <f t="shared" si="68"/>
        <v>38318</v>
      </c>
      <c r="T1333" s="18" t="s">
        <v>929</v>
      </c>
      <c r="U1333" s="1871" t="s">
        <v>448</v>
      </c>
      <c r="V1333" s="26" t="s">
        <v>931</v>
      </c>
      <c r="W1333" s="2037" t="s">
        <v>401</v>
      </c>
      <c r="X1333" s="26"/>
      <c r="Y1333" s="71"/>
      <c r="Z1333" s="71"/>
    </row>
    <row r="1334" spans="1:26" ht="14.1" hidden="1">
      <c r="A1334" s="20">
        <v>1341</v>
      </c>
      <c r="B1334" s="1063">
        <v>41111</v>
      </c>
      <c r="C1334" s="26" t="s">
        <v>5396</v>
      </c>
      <c r="D1334" s="11" t="s">
        <v>6</v>
      </c>
      <c r="E1334" s="26" t="s">
        <v>4907</v>
      </c>
      <c r="F1334" s="26" t="s">
        <v>2876</v>
      </c>
      <c r="G1334" s="26" t="s">
        <v>5397</v>
      </c>
      <c r="H1334" s="18" t="s">
        <v>3525</v>
      </c>
      <c r="I1334" s="18" t="s">
        <v>3525</v>
      </c>
      <c r="J1334" s="26"/>
      <c r="K1334" s="26"/>
      <c r="L1334" s="26"/>
      <c r="M1334" s="26">
        <v>3</v>
      </c>
      <c r="N1334" s="26">
        <v>1</v>
      </c>
      <c r="O1334" s="26">
        <v>6</v>
      </c>
      <c r="P1334" s="26">
        <v>0</v>
      </c>
      <c r="Q1334" s="26">
        <v>3</v>
      </c>
      <c r="R1334" s="1209">
        <f t="shared" ref="R1334:R1335" si="69">38621/6</f>
        <v>6436.833333333333</v>
      </c>
      <c r="S1334" s="1209">
        <f t="shared" si="68"/>
        <v>38621</v>
      </c>
      <c r="T1334" s="18" t="s">
        <v>929</v>
      </c>
      <c r="U1334" s="1871" t="s">
        <v>448</v>
      </c>
      <c r="V1334" s="26" t="s">
        <v>931</v>
      </c>
      <c r="W1334" s="2037" t="s">
        <v>401</v>
      </c>
      <c r="X1334" s="18"/>
      <c r="Y1334" s="4"/>
      <c r="Z1334" s="4"/>
    </row>
    <row r="1335" spans="1:26" ht="14.1" hidden="1">
      <c r="A1335" s="20">
        <v>1342</v>
      </c>
      <c r="B1335" s="1063">
        <v>41112</v>
      </c>
      <c r="C1335" s="26" t="s">
        <v>5398</v>
      </c>
      <c r="D1335" s="11" t="s">
        <v>6</v>
      </c>
      <c r="E1335" s="26" t="s">
        <v>4907</v>
      </c>
      <c r="F1335" s="26" t="s">
        <v>2876</v>
      </c>
      <c r="G1335" s="26" t="s">
        <v>5397</v>
      </c>
      <c r="H1335" s="18" t="s">
        <v>3525</v>
      </c>
      <c r="I1335" s="18" t="s">
        <v>3525</v>
      </c>
      <c r="J1335" s="26"/>
      <c r="K1335" s="26"/>
      <c r="L1335" s="26"/>
      <c r="M1335" s="26">
        <v>3</v>
      </c>
      <c r="N1335" s="26">
        <v>1</v>
      </c>
      <c r="O1335" s="26">
        <v>6</v>
      </c>
      <c r="P1335" s="26">
        <v>0</v>
      </c>
      <c r="Q1335" s="26">
        <v>3</v>
      </c>
      <c r="R1335" s="1209">
        <f t="shared" si="69"/>
        <v>6436.833333333333</v>
      </c>
      <c r="S1335" s="1209">
        <f>R1335*6</f>
        <v>38621</v>
      </c>
      <c r="T1335" s="18" t="s">
        <v>929</v>
      </c>
      <c r="U1335" s="1871" t="s">
        <v>448</v>
      </c>
      <c r="V1335" s="26" t="s">
        <v>931</v>
      </c>
      <c r="W1335" s="2037" t="s">
        <v>401</v>
      </c>
      <c r="X1335" s="18"/>
      <c r="Y1335" s="4"/>
      <c r="Z1335" s="4"/>
    </row>
    <row r="1336" spans="1:26" ht="14.1" hidden="1">
      <c r="A1336" s="20">
        <v>1343</v>
      </c>
      <c r="B1336" s="1063">
        <v>41113</v>
      </c>
      <c r="C1336" s="26" t="s">
        <v>5399</v>
      </c>
      <c r="D1336" s="11" t="s">
        <v>6</v>
      </c>
      <c r="E1336" s="26" t="s">
        <v>4907</v>
      </c>
      <c r="F1336" s="26" t="s">
        <v>5400</v>
      </c>
      <c r="G1336" s="26" t="s">
        <v>5401</v>
      </c>
      <c r="H1336" s="18" t="s">
        <v>3525</v>
      </c>
      <c r="I1336" s="18" t="s">
        <v>3525</v>
      </c>
      <c r="J1336" s="26"/>
      <c r="K1336" s="26"/>
      <c r="L1336" s="26"/>
      <c r="M1336" s="26">
        <v>3</v>
      </c>
      <c r="N1336" s="26">
        <v>1</v>
      </c>
      <c r="O1336" s="26">
        <v>6</v>
      </c>
      <c r="P1336" s="26">
        <v>0</v>
      </c>
      <c r="Q1336" s="26">
        <v>3</v>
      </c>
      <c r="R1336" s="1209">
        <f>S1336/6</f>
        <v>27172</v>
      </c>
      <c r="S1336" s="1209">
        <v>163032</v>
      </c>
      <c r="T1336" s="18" t="s">
        <v>929</v>
      </c>
      <c r="U1336" s="1871" t="s">
        <v>441</v>
      </c>
      <c r="V1336" s="26" t="s">
        <v>931</v>
      </c>
      <c r="W1336" s="2037" t="s">
        <v>401</v>
      </c>
      <c r="X1336" s="18"/>
      <c r="Y1336" s="4"/>
      <c r="Z1336" s="4"/>
    </row>
    <row r="1337" spans="1:26" ht="37.5" hidden="1">
      <c r="A1337" s="20">
        <v>1344</v>
      </c>
      <c r="B1337" s="1063">
        <v>41114</v>
      </c>
      <c r="C1337" s="26" t="s">
        <v>5402</v>
      </c>
      <c r="D1337" s="11"/>
      <c r="E1337" s="26"/>
      <c r="F1337" s="26" t="s">
        <v>5403</v>
      </c>
      <c r="G1337" s="26" t="s">
        <v>5404</v>
      </c>
      <c r="H1337" s="18" t="s">
        <v>3525</v>
      </c>
      <c r="I1337" s="18" t="s">
        <v>3525</v>
      </c>
      <c r="J1337" s="26"/>
      <c r="K1337" s="26"/>
      <c r="L1337" s="26"/>
      <c r="M1337" s="26">
        <v>2</v>
      </c>
      <c r="N1337" s="26">
        <v>2</v>
      </c>
      <c r="O1337" s="26">
        <v>4</v>
      </c>
      <c r="P1337" s="26">
        <v>0</v>
      </c>
      <c r="Q1337" s="26">
        <v>4</v>
      </c>
      <c r="R1337" s="1209">
        <v>10125</v>
      </c>
      <c r="S1337" s="1209">
        <v>40500</v>
      </c>
      <c r="T1337" s="26" t="s">
        <v>5405</v>
      </c>
      <c r="U1337" s="1871" t="s">
        <v>1</v>
      </c>
      <c r="V1337" s="26" t="s">
        <v>5406</v>
      </c>
      <c r="W1337" s="2008" t="s">
        <v>5407</v>
      </c>
      <c r="X1337" s="18"/>
      <c r="Y1337" s="4"/>
      <c r="Z1337" s="4"/>
    </row>
    <row r="1338" spans="1:26" ht="37.5" hidden="1">
      <c r="A1338" s="20">
        <v>1345</v>
      </c>
      <c r="B1338" s="1063">
        <v>41115</v>
      </c>
      <c r="C1338" s="26" t="s">
        <v>5408</v>
      </c>
      <c r="D1338" s="11"/>
      <c r="E1338" s="26"/>
      <c r="F1338" s="26" t="s">
        <v>5403</v>
      </c>
      <c r="G1338" s="26" t="s">
        <v>5404</v>
      </c>
      <c r="H1338" s="18" t="s">
        <v>3525</v>
      </c>
      <c r="I1338" s="18" t="s">
        <v>3525</v>
      </c>
      <c r="J1338" s="157"/>
      <c r="K1338" s="26"/>
      <c r="L1338" s="26"/>
      <c r="M1338" s="26">
        <v>2</v>
      </c>
      <c r="N1338" s="26">
        <v>2</v>
      </c>
      <c r="O1338" s="26">
        <v>4</v>
      </c>
      <c r="P1338" s="26">
        <v>0</v>
      </c>
      <c r="Q1338" s="26">
        <v>4</v>
      </c>
      <c r="R1338" s="1209">
        <v>10125</v>
      </c>
      <c r="S1338" s="1209">
        <v>40500</v>
      </c>
      <c r="T1338" s="26" t="s">
        <v>5405</v>
      </c>
      <c r="U1338" s="1871" t="s">
        <v>1</v>
      </c>
      <c r="V1338" s="26" t="s">
        <v>5406</v>
      </c>
      <c r="W1338" s="2008" t="s">
        <v>5409</v>
      </c>
      <c r="X1338" s="26"/>
      <c r="Y1338" s="71"/>
      <c r="Z1338" s="71"/>
    </row>
    <row r="1339" spans="1:26" ht="14.1" hidden="1">
      <c r="A1339" s="20">
        <v>1346</v>
      </c>
      <c r="B1339" s="1063">
        <v>41116</v>
      </c>
      <c r="C1339" s="26" t="s">
        <v>3644</v>
      </c>
      <c r="D1339" s="11" t="s">
        <v>6</v>
      </c>
      <c r="E1339" s="26" t="s">
        <v>4907</v>
      </c>
      <c r="F1339" s="26" t="s">
        <v>2693</v>
      </c>
      <c r="G1339" s="26" t="s">
        <v>5410</v>
      </c>
      <c r="H1339" s="81" t="s">
        <v>468</v>
      </c>
      <c r="I1339" s="81" t="s">
        <v>468</v>
      </c>
      <c r="J1339" s="81" t="s">
        <v>469</v>
      </c>
      <c r="K1339" s="81" t="s">
        <v>469</v>
      </c>
      <c r="L1339" s="81" t="s">
        <v>2011</v>
      </c>
      <c r="M1339" s="26">
        <v>24</v>
      </c>
      <c r="N1339" s="26">
        <v>10</v>
      </c>
      <c r="O1339" s="26">
        <v>37</v>
      </c>
      <c r="P1339" s="26">
        <v>0</v>
      </c>
      <c r="Q1339" s="26">
        <v>13</v>
      </c>
      <c r="R1339" s="1209">
        <v>43</v>
      </c>
      <c r="S1339" s="1209">
        <f t="shared" ref="S1339:S1347" si="70">R1339*O1339</f>
        <v>1591</v>
      </c>
      <c r="T1339" s="26" t="s">
        <v>929</v>
      </c>
      <c r="U1339" s="1871" t="s">
        <v>5411</v>
      </c>
      <c r="V1339" s="26" t="s">
        <v>931</v>
      </c>
      <c r="W1339" s="2037" t="s">
        <v>471</v>
      </c>
      <c r="X1339" s="26"/>
      <c r="Y1339" s="71"/>
      <c r="Z1339" s="71"/>
    </row>
    <row r="1340" spans="1:26" ht="37.5" hidden="1">
      <c r="A1340" s="20">
        <v>1347</v>
      </c>
      <c r="B1340" s="1063">
        <v>41117</v>
      </c>
      <c r="C1340" s="26" t="s">
        <v>1077</v>
      </c>
      <c r="D1340" s="11" t="s">
        <v>6</v>
      </c>
      <c r="E1340" s="26" t="s">
        <v>4907</v>
      </c>
      <c r="F1340" s="26" t="s">
        <v>2693</v>
      </c>
      <c r="G1340" s="26" t="s">
        <v>3281</v>
      </c>
      <c r="H1340" s="26" t="s">
        <v>1078</v>
      </c>
      <c r="I1340" s="26" t="s">
        <v>3098</v>
      </c>
      <c r="J1340" s="26" t="s">
        <v>1079</v>
      </c>
      <c r="K1340" s="158" t="s">
        <v>1080</v>
      </c>
      <c r="L1340" s="26"/>
      <c r="M1340" s="26">
        <v>12</v>
      </c>
      <c r="N1340" s="26">
        <v>1</v>
      </c>
      <c r="O1340" s="26">
        <v>15</v>
      </c>
      <c r="P1340" s="26">
        <v>2</v>
      </c>
      <c r="Q1340" s="26">
        <v>5</v>
      </c>
      <c r="R1340" s="1209">
        <v>909.3</v>
      </c>
      <c r="S1340" s="1209">
        <f t="shared" si="70"/>
        <v>13639.5</v>
      </c>
      <c r="T1340" s="26" t="s">
        <v>929</v>
      </c>
      <c r="U1340" s="1871" t="s">
        <v>1136</v>
      </c>
      <c r="V1340" s="26" t="s">
        <v>931</v>
      </c>
      <c r="W1340" s="2008" t="s">
        <v>3283</v>
      </c>
      <c r="X1340" s="18"/>
      <c r="Y1340" s="4"/>
      <c r="Z1340" s="4"/>
    </row>
    <row r="1341" spans="1:26" ht="37.5" hidden="1">
      <c r="A1341" s="20">
        <v>1348</v>
      </c>
      <c r="B1341" s="1063">
        <v>41118</v>
      </c>
      <c r="C1341" s="26" t="s">
        <v>2279</v>
      </c>
      <c r="D1341" s="11" t="s">
        <v>6</v>
      </c>
      <c r="E1341" s="26" t="s">
        <v>4907</v>
      </c>
      <c r="F1341" s="26" t="s">
        <v>2693</v>
      </c>
      <c r="G1341" s="26" t="s">
        <v>5412</v>
      </c>
      <c r="H1341" s="26" t="s">
        <v>5413</v>
      </c>
      <c r="I1341" s="26" t="s">
        <v>3098</v>
      </c>
      <c r="J1341" s="159" t="s">
        <v>5414</v>
      </c>
      <c r="K1341" s="159" t="s">
        <v>5415</v>
      </c>
      <c r="L1341" s="26" t="s">
        <v>5416</v>
      </c>
      <c r="M1341" s="26">
        <v>3</v>
      </c>
      <c r="N1341" s="26">
        <v>1</v>
      </c>
      <c r="O1341" s="26">
        <v>10</v>
      </c>
      <c r="P1341" s="26">
        <v>0</v>
      </c>
      <c r="Q1341" s="26">
        <v>7</v>
      </c>
      <c r="R1341" s="1209">
        <v>230</v>
      </c>
      <c r="S1341" s="1209">
        <f t="shared" si="70"/>
        <v>2300</v>
      </c>
      <c r="T1341" s="26" t="s">
        <v>929</v>
      </c>
      <c r="U1341" s="1871" t="s">
        <v>5417</v>
      </c>
      <c r="V1341" s="26" t="s">
        <v>931</v>
      </c>
      <c r="W1341" s="2037" t="s">
        <v>5418</v>
      </c>
      <c r="X1341" s="18"/>
      <c r="Y1341" s="4"/>
      <c r="Z1341" s="4"/>
    </row>
    <row r="1342" spans="1:26" ht="37.5" hidden="1">
      <c r="A1342" s="20">
        <v>1349</v>
      </c>
      <c r="B1342" s="1063">
        <v>41119</v>
      </c>
      <c r="C1342" s="26" t="s">
        <v>5419</v>
      </c>
      <c r="D1342" s="11" t="s">
        <v>6</v>
      </c>
      <c r="E1342" s="26" t="s">
        <v>4907</v>
      </c>
      <c r="F1342" s="26" t="s">
        <v>2693</v>
      </c>
      <c r="G1342" s="109" t="s">
        <v>3285</v>
      </c>
      <c r="H1342" s="26" t="s">
        <v>1073</v>
      </c>
      <c r="I1342" s="26" t="s">
        <v>3098</v>
      </c>
      <c r="J1342" s="26" t="s">
        <v>1074</v>
      </c>
      <c r="K1342" s="26" t="s">
        <v>1075</v>
      </c>
      <c r="L1342" s="26"/>
      <c r="M1342" s="26">
        <v>6</v>
      </c>
      <c r="N1342" s="26">
        <v>1</v>
      </c>
      <c r="O1342" s="26">
        <v>10</v>
      </c>
      <c r="P1342" s="26">
        <v>0</v>
      </c>
      <c r="Q1342" s="26">
        <v>4</v>
      </c>
      <c r="R1342" s="1209">
        <v>243.9</v>
      </c>
      <c r="S1342" s="1209">
        <f t="shared" si="70"/>
        <v>2439</v>
      </c>
      <c r="T1342" s="26" t="s">
        <v>929</v>
      </c>
      <c r="U1342" s="1885" t="s">
        <v>1136</v>
      </c>
      <c r="V1342" s="26" t="s">
        <v>931</v>
      </c>
      <c r="W1342" s="2008" t="s">
        <v>1076</v>
      </c>
      <c r="X1342" s="18"/>
      <c r="Y1342" s="4"/>
      <c r="Z1342" s="4"/>
    </row>
    <row r="1343" spans="1:26" ht="37.5" hidden="1">
      <c r="A1343" s="20">
        <v>1350</v>
      </c>
      <c r="B1343" s="1063">
        <v>41120</v>
      </c>
      <c r="C1343" s="26" t="s">
        <v>5420</v>
      </c>
      <c r="D1343" s="11" t="s">
        <v>6</v>
      </c>
      <c r="E1343" s="26" t="s">
        <v>4907</v>
      </c>
      <c r="F1343" s="26" t="s">
        <v>2693</v>
      </c>
      <c r="G1343" s="26" t="s">
        <v>5421</v>
      </c>
      <c r="H1343" s="26" t="s">
        <v>348</v>
      </c>
      <c r="I1343" s="26" t="s">
        <v>3098</v>
      </c>
      <c r="J1343" s="26" t="s">
        <v>4531</v>
      </c>
      <c r="K1343" s="26" t="s">
        <v>4532</v>
      </c>
      <c r="L1343" s="26"/>
      <c r="M1343" s="26">
        <v>6</v>
      </c>
      <c r="N1343" s="26">
        <v>1</v>
      </c>
      <c r="O1343" s="26">
        <v>10</v>
      </c>
      <c r="P1343" s="26">
        <v>0</v>
      </c>
      <c r="Q1343" s="26">
        <v>4</v>
      </c>
      <c r="R1343" s="1209">
        <v>173</v>
      </c>
      <c r="S1343" s="1209">
        <f t="shared" si="70"/>
        <v>1730</v>
      </c>
      <c r="T1343" s="26" t="s">
        <v>929</v>
      </c>
      <c r="U1343" s="1885" t="s">
        <v>1136</v>
      </c>
      <c r="V1343" s="26" t="s">
        <v>931</v>
      </c>
      <c r="W1343" s="2008" t="s">
        <v>4533</v>
      </c>
      <c r="X1343" s="18"/>
      <c r="Y1343" s="4"/>
      <c r="Z1343" s="4"/>
    </row>
    <row r="1344" spans="1:26" ht="24.95" hidden="1">
      <c r="A1344" s="20">
        <v>1351</v>
      </c>
      <c r="B1344" s="1063">
        <v>41121</v>
      </c>
      <c r="C1344" s="26" t="s">
        <v>5422</v>
      </c>
      <c r="D1344" s="11" t="s">
        <v>6</v>
      </c>
      <c r="E1344" s="26" t="s">
        <v>4907</v>
      </c>
      <c r="F1344" s="26" t="s">
        <v>2693</v>
      </c>
      <c r="G1344" s="26" t="s">
        <v>1084</v>
      </c>
      <c r="H1344" s="109" t="s">
        <v>671</v>
      </c>
      <c r="I1344" s="26" t="s">
        <v>3098</v>
      </c>
      <c r="J1344" s="26" t="s">
        <v>673</v>
      </c>
      <c r="K1344" s="26" t="s">
        <v>3288</v>
      </c>
      <c r="L1344" s="26"/>
      <c r="M1344" s="26">
        <v>6</v>
      </c>
      <c r="N1344" s="26">
        <v>1</v>
      </c>
      <c r="O1344" s="26">
        <v>10</v>
      </c>
      <c r="P1344" s="26">
        <v>0</v>
      </c>
      <c r="Q1344" s="26">
        <v>4</v>
      </c>
      <c r="R1344" s="1209">
        <v>668</v>
      </c>
      <c r="S1344" s="1209">
        <f t="shared" si="70"/>
        <v>6680</v>
      </c>
      <c r="T1344" s="26" t="s">
        <v>929</v>
      </c>
      <c r="U1344" s="1885" t="s">
        <v>1136</v>
      </c>
      <c r="V1344" s="26" t="s">
        <v>931</v>
      </c>
      <c r="W1344" s="2008" t="s">
        <v>3289</v>
      </c>
      <c r="X1344" s="26"/>
      <c r="Y1344" s="71"/>
      <c r="Z1344" s="71"/>
    </row>
    <row r="1345" spans="1:26" ht="37.5" hidden="1">
      <c r="A1345" s="20">
        <v>1352</v>
      </c>
      <c r="B1345" s="1063">
        <v>41122</v>
      </c>
      <c r="C1345" s="26" t="s">
        <v>329</v>
      </c>
      <c r="D1345" s="11" t="s">
        <v>6</v>
      </c>
      <c r="E1345" s="26" t="s">
        <v>4907</v>
      </c>
      <c r="F1345" s="26" t="s">
        <v>2693</v>
      </c>
      <c r="G1345" s="26" t="s">
        <v>5423</v>
      </c>
      <c r="H1345" s="26" t="s">
        <v>184</v>
      </c>
      <c r="I1345" s="26" t="s">
        <v>3098</v>
      </c>
      <c r="J1345" s="26" t="s">
        <v>5424</v>
      </c>
      <c r="K1345" s="26" t="s">
        <v>5425</v>
      </c>
      <c r="L1345" s="26"/>
      <c r="M1345" s="26">
        <v>6</v>
      </c>
      <c r="N1345" s="26">
        <v>1</v>
      </c>
      <c r="O1345" s="26">
        <v>10</v>
      </c>
      <c r="P1345" s="26">
        <v>0</v>
      </c>
      <c r="Q1345" s="26">
        <v>4</v>
      </c>
      <c r="R1345" s="1209">
        <v>89</v>
      </c>
      <c r="S1345" s="1209">
        <f t="shared" si="70"/>
        <v>890</v>
      </c>
      <c r="T1345" s="26" t="s">
        <v>929</v>
      </c>
      <c r="U1345" s="1885" t="s">
        <v>1136</v>
      </c>
      <c r="V1345" s="26" t="s">
        <v>931</v>
      </c>
      <c r="W1345" s="2008" t="s">
        <v>5426</v>
      </c>
      <c r="X1345" s="26"/>
      <c r="Y1345" s="71"/>
      <c r="Z1345" s="71"/>
    </row>
    <row r="1346" spans="1:26" ht="37.5" hidden="1">
      <c r="A1346" s="20">
        <v>1353</v>
      </c>
      <c r="B1346" s="1063">
        <v>41123</v>
      </c>
      <c r="C1346" s="26" t="s">
        <v>188</v>
      </c>
      <c r="D1346" s="11" t="s">
        <v>6</v>
      </c>
      <c r="E1346" s="26" t="s">
        <v>4907</v>
      </c>
      <c r="F1346" s="26" t="s">
        <v>2693</v>
      </c>
      <c r="G1346" s="26" t="s">
        <v>5427</v>
      </c>
      <c r="H1346" s="26" t="s">
        <v>5428</v>
      </c>
      <c r="I1346" s="26" t="s">
        <v>3098</v>
      </c>
      <c r="J1346" s="26" t="s">
        <v>5429</v>
      </c>
      <c r="K1346" s="26" t="s">
        <v>5430</v>
      </c>
      <c r="L1346" s="26"/>
      <c r="M1346" s="26">
        <v>6</v>
      </c>
      <c r="N1346" s="26">
        <v>1</v>
      </c>
      <c r="O1346" s="26">
        <v>10</v>
      </c>
      <c r="P1346" s="26">
        <v>0</v>
      </c>
      <c r="Q1346" s="26">
        <v>4</v>
      </c>
      <c r="R1346" s="1209">
        <v>14.6</v>
      </c>
      <c r="S1346" s="1209">
        <f t="shared" si="70"/>
        <v>146</v>
      </c>
      <c r="T1346" s="26" t="s">
        <v>929</v>
      </c>
      <c r="U1346" s="1885" t="s">
        <v>1136</v>
      </c>
      <c r="V1346" s="26" t="s">
        <v>931</v>
      </c>
      <c r="W1346" s="2008" t="s">
        <v>5431</v>
      </c>
      <c r="X1346" s="18"/>
      <c r="Y1346" s="4"/>
      <c r="Z1346" s="4"/>
    </row>
    <row r="1347" spans="1:26" ht="14.1" hidden="1">
      <c r="A1347" s="20">
        <v>1354</v>
      </c>
      <c r="B1347" s="1063">
        <v>41124</v>
      </c>
      <c r="C1347" s="26" t="s">
        <v>5432</v>
      </c>
      <c r="D1347" s="11" t="s">
        <v>6</v>
      </c>
      <c r="E1347" s="26" t="s">
        <v>4907</v>
      </c>
      <c r="F1347" s="26" t="s">
        <v>2143</v>
      </c>
      <c r="G1347" s="26" t="s">
        <v>5433</v>
      </c>
      <c r="H1347" s="26" t="s">
        <v>5434</v>
      </c>
      <c r="I1347" s="26" t="s">
        <v>5435</v>
      </c>
      <c r="J1347" s="26" t="s">
        <v>5436</v>
      </c>
      <c r="K1347" s="26" t="s">
        <v>5437</v>
      </c>
      <c r="L1347" s="26"/>
      <c r="M1347" s="26">
        <v>6</v>
      </c>
      <c r="N1347" s="26">
        <v>1</v>
      </c>
      <c r="O1347" s="26">
        <v>10</v>
      </c>
      <c r="P1347" s="26">
        <v>0</v>
      </c>
      <c r="Q1347" s="26">
        <v>4</v>
      </c>
      <c r="R1347" s="1209">
        <v>200</v>
      </c>
      <c r="S1347" s="1209">
        <f t="shared" si="70"/>
        <v>2000</v>
      </c>
      <c r="T1347" s="26" t="s">
        <v>311</v>
      </c>
      <c r="U1347" s="1886" t="s">
        <v>1</v>
      </c>
      <c r="V1347" s="26" t="s">
        <v>931</v>
      </c>
      <c r="W1347" s="2037" t="s">
        <v>5438</v>
      </c>
      <c r="X1347" s="18"/>
      <c r="Y1347" s="4"/>
      <c r="Z1347" s="4"/>
    </row>
    <row r="1348" spans="1:26" ht="36" hidden="1">
      <c r="A1348" s="20">
        <v>1355</v>
      </c>
      <c r="B1348" s="1063">
        <v>41125</v>
      </c>
      <c r="C1348" s="917" t="s">
        <v>2096</v>
      </c>
      <c r="D1348" s="11" t="s">
        <v>6</v>
      </c>
      <c r="E1348" s="26" t="s">
        <v>4907</v>
      </c>
      <c r="F1348" s="917" t="s">
        <v>970</v>
      </c>
      <c r="G1348" s="128" t="s">
        <v>4728</v>
      </c>
      <c r="H1348" s="128" t="s">
        <v>2051</v>
      </c>
      <c r="I1348" s="128" t="s">
        <v>4729</v>
      </c>
      <c r="J1348" s="128" t="s">
        <v>4728</v>
      </c>
      <c r="K1348" s="128" t="s">
        <v>4728</v>
      </c>
      <c r="L1348" s="128" t="s">
        <v>4730</v>
      </c>
      <c r="M1348" s="128">
        <v>8</v>
      </c>
      <c r="N1348" s="128">
        <v>1</v>
      </c>
      <c r="O1348" s="128">
        <v>10</v>
      </c>
      <c r="P1348" s="128">
        <v>5</v>
      </c>
      <c r="Q1348" s="128">
        <v>15</v>
      </c>
      <c r="R1348" s="1229">
        <v>277.83</v>
      </c>
      <c r="S1348" s="1229">
        <v>2778</v>
      </c>
      <c r="T1348" s="161" t="s">
        <v>929</v>
      </c>
      <c r="U1348" s="1874" t="s">
        <v>1886</v>
      </c>
      <c r="V1348" s="171" t="s">
        <v>104</v>
      </c>
      <c r="W1348" s="2046" t="s">
        <v>4731</v>
      </c>
      <c r="X1348" s="128"/>
      <c r="Y1348" s="130"/>
      <c r="Z1348" s="130"/>
    </row>
    <row r="1349" spans="1:26" ht="54" hidden="1">
      <c r="A1349" s="20">
        <v>1356</v>
      </c>
      <c r="B1349" s="1063">
        <v>41126</v>
      </c>
      <c r="C1349" s="918" t="s">
        <v>2684</v>
      </c>
      <c r="D1349" s="11" t="s">
        <v>6</v>
      </c>
      <c r="E1349" s="26" t="s">
        <v>4907</v>
      </c>
      <c r="F1349" s="917" t="s">
        <v>970</v>
      </c>
      <c r="G1349" s="162" t="s">
        <v>2685</v>
      </c>
      <c r="H1349" s="162" t="s">
        <v>2686</v>
      </c>
      <c r="I1349" s="162" t="s">
        <v>84</v>
      </c>
      <c r="J1349" s="162">
        <v>5232675</v>
      </c>
      <c r="K1349" s="132"/>
      <c r="L1349" s="132"/>
      <c r="M1349" s="162">
        <v>4</v>
      </c>
      <c r="N1349" s="162">
        <v>1</v>
      </c>
      <c r="O1349" s="162">
        <v>4</v>
      </c>
      <c r="P1349" s="162">
        <v>0</v>
      </c>
      <c r="Q1349" s="162">
        <v>4</v>
      </c>
      <c r="R1349" s="1239">
        <v>3590</v>
      </c>
      <c r="S1349" s="1239">
        <v>14360</v>
      </c>
      <c r="T1349" s="162" t="s">
        <v>929</v>
      </c>
      <c r="U1349" s="1887" t="s">
        <v>1886</v>
      </c>
      <c r="V1349" s="171" t="s">
        <v>104</v>
      </c>
      <c r="W1349" s="2053" t="s">
        <v>2687</v>
      </c>
      <c r="X1349" s="132"/>
      <c r="Y1349" s="130"/>
      <c r="Z1349" s="130"/>
    </row>
    <row r="1350" spans="1:26" ht="36" hidden="1">
      <c r="A1350" s="20">
        <v>1357</v>
      </c>
      <c r="B1350" s="1063">
        <v>41127</v>
      </c>
      <c r="C1350" s="918" t="s">
        <v>3750</v>
      </c>
      <c r="D1350" s="11" t="s">
        <v>6</v>
      </c>
      <c r="E1350" s="26" t="s">
        <v>4907</v>
      </c>
      <c r="F1350" s="917" t="s">
        <v>970</v>
      </c>
      <c r="G1350" s="162" t="s">
        <v>3751</v>
      </c>
      <c r="H1350" s="162" t="s">
        <v>3750</v>
      </c>
      <c r="I1350" s="162" t="s">
        <v>84</v>
      </c>
      <c r="J1350" s="162">
        <v>34665565</v>
      </c>
      <c r="K1350" s="162" t="s">
        <v>800</v>
      </c>
      <c r="L1350" s="162" t="s">
        <v>149</v>
      </c>
      <c r="M1350" s="162">
        <v>5</v>
      </c>
      <c r="N1350" s="162">
        <v>1</v>
      </c>
      <c r="O1350" s="162">
        <v>5</v>
      </c>
      <c r="P1350" s="162">
        <v>3</v>
      </c>
      <c r="Q1350" s="162">
        <v>8</v>
      </c>
      <c r="R1350" s="1239">
        <v>719</v>
      </c>
      <c r="S1350" s="1239">
        <v>3595</v>
      </c>
      <c r="T1350" s="163" t="s">
        <v>929</v>
      </c>
      <c r="U1350" s="1875" t="s">
        <v>1886</v>
      </c>
      <c r="V1350" s="171" t="s">
        <v>104</v>
      </c>
      <c r="W1350" s="2053" t="s">
        <v>3752</v>
      </c>
      <c r="X1350" s="132"/>
      <c r="Y1350" s="130"/>
      <c r="Z1350" s="130"/>
    </row>
    <row r="1351" spans="1:26" ht="36" hidden="1">
      <c r="A1351" s="20">
        <v>1358</v>
      </c>
      <c r="B1351" s="1063">
        <v>41128</v>
      </c>
      <c r="C1351" s="919" t="s">
        <v>2079</v>
      </c>
      <c r="D1351" s="11" t="s">
        <v>6</v>
      </c>
      <c r="E1351" s="26" t="s">
        <v>4907</v>
      </c>
      <c r="F1351" s="917" t="s">
        <v>970</v>
      </c>
      <c r="G1351" s="163" t="s">
        <v>2080</v>
      </c>
      <c r="H1351" s="163" t="s">
        <v>2081</v>
      </c>
      <c r="I1351" s="637" t="s">
        <v>2082</v>
      </c>
      <c r="J1351" s="163" t="s">
        <v>2080</v>
      </c>
      <c r="K1351" s="163" t="s">
        <v>2080</v>
      </c>
      <c r="L1351" s="163" t="s">
        <v>2083</v>
      </c>
      <c r="M1351" s="163">
        <v>8</v>
      </c>
      <c r="N1351" s="163">
        <v>1</v>
      </c>
      <c r="O1351" s="163">
        <v>8</v>
      </c>
      <c r="P1351" s="163">
        <v>2</v>
      </c>
      <c r="Q1351" s="163">
        <v>10</v>
      </c>
      <c r="R1351" s="1240">
        <v>21323</v>
      </c>
      <c r="S1351" s="1240">
        <v>170584</v>
      </c>
      <c r="T1351" s="162" t="s">
        <v>929</v>
      </c>
      <c r="U1351" s="1888" t="s">
        <v>1886</v>
      </c>
      <c r="V1351" s="171" t="s">
        <v>104</v>
      </c>
      <c r="W1351" s="2053" t="s">
        <v>2084</v>
      </c>
      <c r="X1351" s="132"/>
      <c r="Y1351" s="130"/>
      <c r="Z1351" s="130"/>
    </row>
    <row r="1352" spans="1:26" ht="25.5" hidden="1">
      <c r="A1352" s="20">
        <v>1359</v>
      </c>
      <c r="B1352" s="1063">
        <v>41129</v>
      </c>
      <c r="C1352" s="26" t="s">
        <v>5439</v>
      </c>
      <c r="D1352" s="11" t="s">
        <v>6</v>
      </c>
      <c r="E1352" s="26" t="s">
        <v>4907</v>
      </c>
      <c r="F1352" s="26" t="s">
        <v>2332</v>
      </c>
      <c r="G1352" s="18" t="s">
        <v>5440</v>
      </c>
      <c r="H1352" s="26" t="s">
        <v>569</v>
      </c>
      <c r="I1352" s="26" t="s">
        <v>1</v>
      </c>
      <c r="J1352" s="26" t="s">
        <v>1</v>
      </c>
      <c r="K1352" s="26" t="s">
        <v>1</v>
      </c>
      <c r="L1352" s="26" t="s">
        <v>1</v>
      </c>
      <c r="M1352" s="26">
        <v>3</v>
      </c>
      <c r="N1352" s="26">
        <v>3</v>
      </c>
      <c r="O1352" s="26">
        <v>3</v>
      </c>
      <c r="P1352" s="26">
        <v>0</v>
      </c>
      <c r="Q1352" s="26">
        <v>3</v>
      </c>
      <c r="R1352" s="1209">
        <v>458400</v>
      </c>
      <c r="S1352" s="1240">
        <f>R1352*Q1352</f>
        <v>1375200</v>
      </c>
      <c r="T1352" s="26" t="s">
        <v>929</v>
      </c>
      <c r="U1352" s="1871" t="s">
        <v>5441</v>
      </c>
      <c r="V1352" s="171" t="s">
        <v>104</v>
      </c>
      <c r="W1352" s="2015"/>
      <c r="X1352" s="110" t="s">
        <v>5442</v>
      </c>
      <c r="Y1352" s="110"/>
      <c r="Z1352" s="110"/>
    </row>
    <row r="1353" spans="1:26" ht="37.5" hidden="1">
      <c r="A1353" s="20">
        <v>1360</v>
      </c>
      <c r="B1353" s="1063">
        <v>41130</v>
      </c>
      <c r="C1353" s="26" t="s">
        <v>5443</v>
      </c>
      <c r="D1353" s="11"/>
      <c r="E1353" s="26" t="s">
        <v>62</v>
      </c>
      <c r="F1353" s="26" t="s">
        <v>2652</v>
      </c>
      <c r="G1353" s="18" t="s">
        <v>5444</v>
      </c>
      <c r="H1353" s="631" t="s">
        <v>2668</v>
      </c>
      <c r="I1353" s="26" t="s">
        <v>5445</v>
      </c>
      <c r="J1353" s="26" t="s">
        <v>5446</v>
      </c>
      <c r="K1353" s="26" t="s">
        <v>5447</v>
      </c>
      <c r="L1353" s="26"/>
      <c r="M1353" s="26">
        <v>1</v>
      </c>
      <c r="N1353" s="26">
        <v>1</v>
      </c>
      <c r="O1353" s="26">
        <v>1</v>
      </c>
      <c r="P1353" s="26">
        <v>0</v>
      </c>
      <c r="Q1353" s="26">
        <v>0</v>
      </c>
      <c r="R1353" s="1209">
        <v>5390</v>
      </c>
      <c r="S1353" s="1240">
        <f t="shared" ref="S1353:S1365" si="71">O1353*R1353</f>
        <v>5390</v>
      </c>
      <c r="T1353" s="26" t="s">
        <v>5448</v>
      </c>
      <c r="U1353" s="1871" t="s">
        <v>3646</v>
      </c>
      <c r="V1353" s="171" t="s">
        <v>3140</v>
      </c>
      <c r="W1353" s="2008" t="s">
        <v>5449</v>
      </c>
      <c r="X1353" s="110"/>
      <c r="Y1353" s="110"/>
      <c r="Z1353" s="110"/>
    </row>
    <row r="1354" spans="1:26" ht="37.5" hidden="1">
      <c r="A1354" s="20">
        <v>1361</v>
      </c>
      <c r="B1354" s="1063">
        <v>41131</v>
      </c>
      <c r="C1354" s="26" t="s">
        <v>5450</v>
      </c>
      <c r="D1354" s="11"/>
      <c r="E1354" s="26" t="s">
        <v>62</v>
      </c>
      <c r="F1354" s="26" t="s">
        <v>4660</v>
      </c>
      <c r="G1354" s="18" t="s">
        <v>5451</v>
      </c>
      <c r="H1354" s="631" t="s">
        <v>2668</v>
      </c>
      <c r="I1354" s="26" t="s">
        <v>1144</v>
      </c>
      <c r="J1354" s="26" t="s">
        <v>5452</v>
      </c>
      <c r="K1354" s="26" t="s">
        <v>5453</v>
      </c>
      <c r="L1354" s="26"/>
      <c r="M1354" s="26">
        <v>1</v>
      </c>
      <c r="N1354" s="26">
        <v>1</v>
      </c>
      <c r="O1354" s="26">
        <v>1</v>
      </c>
      <c r="P1354" s="26">
        <v>0</v>
      </c>
      <c r="Q1354" s="26">
        <v>0</v>
      </c>
      <c r="R1354" s="1209">
        <v>6058</v>
      </c>
      <c r="S1354" s="1240">
        <f t="shared" si="71"/>
        <v>6058</v>
      </c>
      <c r="T1354" s="26" t="s">
        <v>5448</v>
      </c>
      <c r="U1354" s="1871" t="s">
        <v>5454</v>
      </c>
      <c r="V1354" s="171" t="s">
        <v>3140</v>
      </c>
      <c r="W1354" s="2008" t="s">
        <v>5455</v>
      </c>
      <c r="X1354" s="110"/>
      <c r="Y1354" s="110"/>
      <c r="Z1354" s="110"/>
    </row>
    <row r="1355" spans="1:26" ht="37.5" hidden="1">
      <c r="A1355" s="20">
        <v>1362</v>
      </c>
      <c r="B1355" s="1063">
        <v>41132</v>
      </c>
      <c r="C1355" s="26" t="s">
        <v>5456</v>
      </c>
      <c r="D1355" s="11"/>
      <c r="E1355" s="26" t="s">
        <v>62</v>
      </c>
      <c r="F1355" s="26" t="s">
        <v>5457</v>
      </c>
      <c r="G1355" s="18" t="s">
        <v>5458</v>
      </c>
      <c r="H1355" s="631" t="s">
        <v>2668</v>
      </c>
      <c r="I1355" s="26" t="s">
        <v>5445</v>
      </c>
      <c r="J1355" s="26" t="s">
        <v>5459</v>
      </c>
      <c r="K1355" s="26">
        <v>1101001000045</v>
      </c>
      <c r="L1355" s="26"/>
      <c r="M1355" s="26">
        <v>2</v>
      </c>
      <c r="N1355" s="26">
        <v>2</v>
      </c>
      <c r="O1355" s="26">
        <v>2</v>
      </c>
      <c r="P1355" s="26">
        <v>0</v>
      </c>
      <c r="Q1355" s="26">
        <v>0</v>
      </c>
      <c r="R1355" s="1209">
        <v>1067</v>
      </c>
      <c r="S1355" s="1240">
        <f t="shared" si="71"/>
        <v>2134</v>
      </c>
      <c r="T1355" s="26" t="s">
        <v>5448</v>
      </c>
      <c r="U1355" s="1871" t="s">
        <v>5460</v>
      </c>
      <c r="V1355" s="171" t="s">
        <v>3140</v>
      </c>
      <c r="W1355" s="2042" t="s">
        <v>5461</v>
      </c>
      <c r="X1355" s="110"/>
      <c r="Y1355" s="110"/>
      <c r="Z1355" s="110"/>
    </row>
    <row r="1356" spans="1:26" ht="50.1" hidden="1">
      <c r="A1356" s="20">
        <v>1363</v>
      </c>
      <c r="B1356" s="1063">
        <v>41133</v>
      </c>
      <c r="C1356" s="26" t="s">
        <v>5462</v>
      </c>
      <c r="D1356" s="11"/>
      <c r="E1356" s="26" t="s">
        <v>62</v>
      </c>
      <c r="F1356" s="26" t="s">
        <v>5457</v>
      </c>
      <c r="G1356" s="18" t="s">
        <v>5463</v>
      </c>
      <c r="H1356" s="631" t="s">
        <v>2668</v>
      </c>
      <c r="I1356" s="26" t="s">
        <v>1144</v>
      </c>
      <c r="J1356" s="26" t="s">
        <v>5464</v>
      </c>
      <c r="K1356" s="26" t="s">
        <v>5465</v>
      </c>
      <c r="L1356" s="26"/>
      <c r="M1356" s="26">
        <v>2</v>
      </c>
      <c r="N1356" s="26">
        <v>2</v>
      </c>
      <c r="O1356" s="26">
        <v>2</v>
      </c>
      <c r="P1356" s="26">
        <v>0</v>
      </c>
      <c r="Q1356" s="26">
        <v>0</v>
      </c>
      <c r="R1356" s="1209">
        <v>14858</v>
      </c>
      <c r="S1356" s="1240">
        <f t="shared" si="71"/>
        <v>29716</v>
      </c>
      <c r="T1356" s="26" t="s">
        <v>5448</v>
      </c>
      <c r="U1356" s="1871" t="s">
        <v>5460</v>
      </c>
      <c r="V1356" s="171" t="s">
        <v>3140</v>
      </c>
      <c r="W1356" s="2008" t="s">
        <v>5466</v>
      </c>
      <c r="X1356" s="110"/>
      <c r="Y1356" s="110"/>
      <c r="Z1356" s="110"/>
    </row>
    <row r="1357" spans="1:26" ht="37.5" hidden="1">
      <c r="A1357" s="20">
        <v>1364</v>
      </c>
      <c r="B1357" s="1063">
        <v>41134</v>
      </c>
      <c r="C1357" s="26" t="s">
        <v>5467</v>
      </c>
      <c r="D1357" s="11"/>
      <c r="E1357" s="26" t="s">
        <v>62</v>
      </c>
      <c r="F1357" s="26" t="s">
        <v>2652</v>
      </c>
      <c r="G1357" s="18" t="s">
        <v>5468</v>
      </c>
      <c r="H1357" s="631" t="s">
        <v>5469</v>
      </c>
      <c r="I1357" s="26" t="s">
        <v>1144</v>
      </c>
      <c r="J1357" s="26" t="s">
        <v>5470</v>
      </c>
      <c r="K1357" s="26" t="s">
        <v>5471</v>
      </c>
      <c r="L1357" s="26"/>
      <c r="M1357" s="26">
        <v>2</v>
      </c>
      <c r="N1357" s="26">
        <v>2</v>
      </c>
      <c r="O1357" s="26">
        <v>2</v>
      </c>
      <c r="P1357" s="26">
        <v>0</v>
      </c>
      <c r="Q1357" s="26">
        <v>0</v>
      </c>
      <c r="R1357" s="1209">
        <v>2438</v>
      </c>
      <c r="S1357" s="1240">
        <f t="shared" si="71"/>
        <v>4876</v>
      </c>
      <c r="T1357" s="26" t="s">
        <v>5448</v>
      </c>
      <c r="U1357" s="1871" t="s">
        <v>4615</v>
      </c>
      <c r="V1357" s="171" t="s">
        <v>3140</v>
      </c>
      <c r="W1357" s="2008" t="s">
        <v>5472</v>
      </c>
      <c r="X1357" s="110"/>
      <c r="Y1357" s="110"/>
      <c r="Z1357" s="110"/>
    </row>
    <row r="1358" spans="1:26" ht="37.5" hidden="1">
      <c r="A1358" s="20">
        <v>1365</v>
      </c>
      <c r="B1358" s="1063">
        <v>41135</v>
      </c>
      <c r="C1358" s="26" t="s">
        <v>5473</v>
      </c>
      <c r="D1358" s="11"/>
      <c r="E1358" s="26" t="s">
        <v>62</v>
      </c>
      <c r="F1358" s="26" t="s">
        <v>2652</v>
      </c>
      <c r="G1358" s="18" t="s">
        <v>5474</v>
      </c>
      <c r="H1358" s="631" t="s">
        <v>5469</v>
      </c>
      <c r="I1358" s="26" t="s">
        <v>1144</v>
      </c>
      <c r="J1358" s="26" t="s">
        <v>5475</v>
      </c>
      <c r="K1358" s="26" t="s">
        <v>4884</v>
      </c>
      <c r="L1358" s="26"/>
      <c r="M1358" s="26">
        <v>2</v>
      </c>
      <c r="N1358" s="26">
        <v>2</v>
      </c>
      <c r="O1358" s="26">
        <v>2</v>
      </c>
      <c r="P1358" s="26">
        <v>0</v>
      </c>
      <c r="Q1358" s="26">
        <v>0</v>
      </c>
      <c r="R1358" s="1209">
        <v>2438</v>
      </c>
      <c r="S1358" s="1240">
        <f t="shared" si="71"/>
        <v>4876</v>
      </c>
      <c r="T1358" s="26" t="s">
        <v>5448</v>
      </c>
      <c r="U1358" s="1871" t="s">
        <v>4615</v>
      </c>
      <c r="V1358" s="171" t="s">
        <v>3140</v>
      </c>
      <c r="W1358" s="2008" t="s">
        <v>5476</v>
      </c>
      <c r="X1358" s="110"/>
      <c r="Y1358" s="110"/>
      <c r="Z1358" s="110"/>
    </row>
    <row r="1359" spans="1:26" ht="24.95" hidden="1">
      <c r="A1359" s="20">
        <v>1366</v>
      </c>
      <c r="B1359" s="1063">
        <v>41136</v>
      </c>
      <c r="C1359" s="26" t="s">
        <v>5477</v>
      </c>
      <c r="D1359" s="11"/>
      <c r="E1359" s="26" t="s">
        <v>62</v>
      </c>
      <c r="F1359" s="26" t="s">
        <v>2652</v>
      </c>
      <c r="G1359" s="18" t="s">
        <v>4893</v>
      </c>
      <c r="H1359" s="631" t="s">
        <v>1715</v>
      </c>
      <c r="I1359" s="26" t="s">
        <v>1144</v>
      </c>
      <c r="J1359" s="26" t="s">
        <v>4895</v>
      </c>
      <c r="K1359" s="26" t="s">
        <v>4896</v>
      </c>
      <c r="L1359" s="26"/>
      <c r="M1359" s="26">
        <v>1</v>
      </c>
      <c r="N1359" s="26">
        <v>1</v>
      </c>
      <c r="O1359" s="26">
        <v>1</v>
      </c>
      <c r="P1359" s="26">
        <v>0</v>
      </c>
      <c r="Q1359" s="26">
        <v>0</v>
      </c>
      <c r="R1359" s="1209">
        <v>5502</v>
      </c>
      <c r="S1359" s="1240">
        <f t="shared" si="71"/>
        <v>5502</v>
      </c>
      <c r="T1359" s="26" t="s">
        <v>5448</v>
      </c>
      <c r="U1359" s="1871" t="s">
        <v>4615</v>
      </c>
      <c r="V1359" s="171" t="s">
        <v>3140</v>
      </c>
      <c r="W1359" s="2008" t="s">
        <v>4898</v>
      </c>
      <c r="X1359" s="110"/>
      <c r="Y1359" s="110"/>
      <c r="Z1359" s="110"/>
    </row>
    <row r="1360" spans="1:26" ht="24.95" hidden="1">
      <c r="A1360" s="20">
        <v>1367</v>
      </c>
      <c r="B1360" s="1063">
        <v>41137</v>
      </c>
      <c r="C1360" s="26" t="s">
        <v>5478</v>
      </c>
      <c r="D1360" s="11"/>
      <c r="E1360" s="26" t="s">
        <v>62</v>
      </c>
      <c r="F1360" s="26" t="s">
        <v>5457</v>
      </c>
      <c r="G1360" s="18" t="s">
        <v>5479</v>
      </c>
      <c r="H1360" s="26" t="s">
        <v>5480</v>
      </c>
      <c r="I1360" s="26" t="s">
        <v>1144</v>
      </c>
      <c r="J1360" s="26" t="s">
        <v>5481</v>
      </c>
      <c r="K1360" s="26" t="s">
        <v>5482</v>
      </c>
      <c r="L1360" s="26"/>
      <c r="M1360" s="26">
        <v>2</v>
      </c>
      <c r="N1360" s="26">
        <v>2</v>
      </c>
      <c r="O1360" s="26">
        <v>2</v>
      </c>
      <c r="P1360" s="26">
        <v>0</v>
      </c>
      <c r="Q1360" s="26">
        <v>0</v>
      </c>
      <c r="R1360" s="1209">
        <v>290</v>
      </c>
      <c r="S1360" s="1240">
        <f t="shared" si="71"/>
        <v>580</v>
      </c>
      <c r="T1360" s="26" t="s">
        <v>5448</v>
      </c>
      <c r="U1360" s="1871" t="s">
        <v>5460</v>
      </c>
      <c r="V1360" s="171" t="s">
        <v>3140</v>
      </c>
      <c r="W1360" s="2008" t="s">
        <v>5483</v>
      </c>
      <c r="X1360" s="110"/>
      <c r="Y1360" s="110"/>
      <c r="Z1360" s="110"/>
    </row>
    <row r="1361" spans="1:26" ht="50.1" hidden="1">
      <c r="A1361" s="20">
        <v>1368</v>
      </c>
      <c r="B1361" s="1063">
        <v>41138</v>
      </c>
      <c r="C1361" s="26" t="s">
        <v>5484</v>
      </c>
      <c r="D1361" s="11"/>
      <c r="E1361" s="26" t="s">
        <v>62</v>
      </c>
      <c r="F1361" s="26" t="s">
        <v>4660</v>
      </c>
      <c r="G1361" s="18" t="s">
        <v>5485</v>
      </c>
      <c r="H1361" s="631" t="s">
        <v>5486</v>
      </c>
      <c r="I1361" s="26" t="s">
        <v>5445</v>
      </c>
      <c r="J1361" s="26" t="s">
        <v>5487</v>
      </c>
      <c r="K1361" s="26" t="s">
        <v>5488</v>
      </c>
      <c r="L1361" s="26"/>
      <c r="M1361" s="26">
        <v>2</v>
      </c>
      <c r="N1361" s="26">
        <v>2</v>
      </c>
      <c r="O1361" s="26">
        <v>2</v>
      </c>
      <c r="P1361" s="26">
        <v>0</v>
      </c>
      <c r="Q1361" s="26">
        <v>0</v>
      </c>
      <c r="R1361" s="1209">
        <v>21136</v>
      </c>
      <c r="S1361" s="1240">
        <f t="shared" si="71"/>
        <v>42272</v>
      </c>
      <c r="T1361" s="26" t="s">
        <v>5448</v>
      </c>
      <c r="U1361" s="1871" t="s">
        <v>5454</v>
      </c>
      <c r="V1361" s="171" t="s">
        <v>3140</v>
      </c>
      <c r="W1361" s="2008" t="s">
        <v>5489</v>
      </c>
      <c r="X1361" s="110"/>
      <c r="Y1361" s="110"/>
      <c r="Z1361" s="110"/>
    </row>
    <row r="1362" spans="1:26" ht="50.1" hidden="1">
      <c r="A1362" s="20">
        <v>1369</v>
      </c>
      <c r="B1362" s="1063">
        <v>41139</v>
      </c>
      <c r="C1362" s="26" t="s">
        <v>138</v>
      </c>
      <c r="D1362" s="11"/>
      <c r="E1362" s="26" t="s">
        <v>62</v>
      </c>
      <c r="F1362" s="26" t="s">
        <v>4660</v>
      </c>
      <c r="G1362" s="18" t="s">
        <v>5490</v>
      </c>
      <c r="H1362" s="631" t="s">
        <v>5486</v>
      </c>
      <c r="I1362" s="26" t="s">
        <v>5445</v>
      </c>
      <c r="J1362" s="26" t="s">
        <v>5491</v>
      </c>
      <c r="K1362" s="26" t="s">
        <v>5492</v>
      </c>
      <c r="L1362" s="26"/>
      <c r="M1362" s="26">
        <v>2</v>
      </c>
      <c r="N1362" s="26">
        <v>2</v>
      </c>
      <c r="O1362" s="26">
        <v>2</v>
      </c>
      <c r="P1362" s="26">
        <v>0</v>
      </c>
      <c r="Q1362" s="26">
        <v>0</v>
      </c>
      <c r="R1362" s="1209">
        <v>4539</v>
      </c>
      <c r="S1362" s="1240">
        <f t="shared" si="71"/>
        <v>9078</v>
      </c>
      <c r="T1362" s="26" t="s">
        <v>5448</v>
      </c>
      <c r="U1362" s="1871" t="s">
        <v>5454</v>
      </c>
      <c r="V1362" s="171" t="s">
        <v>3140</v>
      </c>
      <c r="W1362" s="2008" t="s">
        <v>5493</v>
      </c>
      <c r="X1362" s="110"/>
      <c r="Y1362" s="110"/>
      <c r="Z1362" s="110"/>
    </row>
    <row r="1363" spans="1:26" ht="24.95" hidden="1">
      <c r="A1363" s="20">
        <v>1370</v>
      </c>
      <c r="B1363" s="1063">
        <v>41140</v>
      </c>
      <c r="C1363" s="26" t="s">
        <v>5494</v>
      </c>
      <c r="D1363" s="11"/>
      <c r="E1363" s="26" t="s">
        <v>62</v>
      </c>
      <c r="F1363" s="26" t="s">
        <v>5457</v>
      </c>
      <c r="G1363" s="18" t="s">
        <v>5495</v>
      </c>
      <c r="H1363" s="631" t="s">
        <v>5496</v>
      </c>
      <c r="I1363" s="26" t="s">
        <v>1144</v>
      </c>
      <c r="J1363" s="26" t="s">
        <v>5497</v>
      </c>
      <c r="K1363" s="26" t="s">
        <v>5498</v>
      </c>
      <c r="L1363" s="26"/>
      <c r="M1363" s="26">
        <v>2</v>
      </c>
      <c r="N1363" s="26">
        <v>2</v>
      </c>
      <c r="O1363" s="26">
        <v>2</v>
      </c>
      <c r="P1363" s="26">
        <v>0</v>
      </c>
      <c r="Q1363" s="26">
        <v>0</v>
      </c>
      <c r="R1363" s="1209">
        <v>5517</v>
      </c>
      <c r="S1363" s="1240">
        <f t="shared" si="71"/>
        <v>11034</v>
      </c>
      <c r="T1363" s="26" t="s">
        <v>5448</v>
      </c>
      <c r="U1363" s="1871" t="s">
        <v>5460</v>
      </c>
      <c r="V1363" s="171" t="s">
        <v>3140</v>
      </c>
      <c r="W1363" s="2008" t="s">
        <v>5499</v>
      </c>
      <c r="X1363" s="110"/>
      <c r="Y1363" s="110"/>
      <c r="Z1363" s="110"/>
    </row>
    <row r="1364" spans="1:26" ht="24.95" hidden="1">
      <c r="A1364" s="20">
        <v>1371</v>
      </c>
      <c r="B1364" s="1063">
        <v>41141</v>
      </c>
      <c r="C1364" s="26" t="s">
        <v>5500</v>
      </c>
      <c r="D1364" s="11"/>
      <c r="E1364" s="26" t="s">
        <v>62</v>
      </c>
      <c r="F1364" s="26" t="s">
        <v>4660</v>
      </c>
      <c r="G1364" s="18" t="s">
        <v>5501</v>
      </c>
      <c r="H1364" s="631" t="s">
        <v>1353</v>
      </c>
      <c r="I1364" s="26" t="s">
        <v>1144</v>
      </c>
      <c r="J1364" s="26" t="s">
        <v>5502</v>
      </c>
      <c r="K1364" s="26" t="s">
        <v>5503</v>
      </c>
      <c r="L1364" s="26"/>
      <c r="M1364" s="26">
        <v>1</v>
      </c>
      <c r="N1364" s="26">
        <v>1</v>
      </c>
      <c r="O1364" s="26">
        <v>1</v>
      </c>
      <c r="P1364" s="26">
        <v>0</v>
      </c>
      <c r="Q1364" s="26">
        <v>0</v>
      </c>
      <c r="R1364" s="1209">
        <v>251</v>
      </c>
      <c r="S1364" s="1240">
        <f t="shared" si="71"/>
        <v>251</v>
      </c>
      <c r="T1364" s="26" t="s">
        <v>5448</v>
      </c>
      <c r="U1364" s="1871" t="s">
        <v>5454</v>
      </c>
      <c r="V1364" s="171" t="s">
        <v>3140</v>
      </c>
      <c r="W1364" s="2008" t="s">
        <v>5504</v>
      </c>
      <c r="X1364" s="110"/>
      <c r="Y1364" s="110"/>
      <c r="Z1364" s="110"/>
    </row>
    <row r="1365" spans="1:26" ht="24.95" hidden="1">
      <c r="A1365" s="20">
        <v>1372</v>
      </c>
      <c r="B1365" s="1063">
        <v>41142</v>
      </c>
      <c r="C1365" s="26" t="s">
        <v>5505</v>
      </c>
      <c r="D1365" s="11"/>
      <c r="E1365" s="26" t="s">
        <v>62</v>
      </c>
      <c r="F1365" s="26" t="s">
        <v>4660</v>
      </c>
      <c r="G1365" s="18" t="s">
        <v>5506</v>
      </c>
      <c r="H1365" s="631" t="s">
        <v>2852</v>
      </c>
      <c r="I1365" s="26" t="s">
        <v>1144</v>
      </c>
      <c r="J1365" s="26" t="s">
        <v>5507</v>
      </c>
      <c r="K1365" s="26" t="s">
        <v>5508</v>
      </c>
      <c r="L1365" s="26"/>
      <c r="M1365" s="26">
        <v>1</v>
      </c>
      <c r="N1365" s="26">
        <v>1</v>
      </c>
      <c r="O1365" s="26">
        <v>1</v>
      </c>
      <c r="P1365" s="26">
        <v>0</v>
      </c>
      <c r="Q1365" s="26">
        <v>0</v>
      </c>
      <c r="R1365" s="1209">
        <v>877</v>
      </c>
      <c r="S1365" s="1240">
        <f t="shared" si="71"/>
        <v>877</v>
      </c>
      <c r="T1365" s="26" t="s">
        <v>5448</v>
      </c>
      <c r="U1365" s="1871" t="s">
        <v>5454</v>
      </c>
      <c r="V1365" s="171" t="s">
        <v>3140</v>
      </c>
      <c r="W1365" s="2008" t="s">
        <v>5509</v>
      </c>
      <c r="X1365" s="110"/>
      <c r="Y1365" s="110"/>
      <c r="Z1365" s="110"/>
    </row>
    <row r="1366" spans="1:26" ht="37.5" hidden="1">
      <c r="A1366" s="20">
        <v>1373</v>
      </c>
      <c r="B1366" s="1063">
        <v>41143</v>
      </c>
      <c r="C1366" s="26" t="s">
        <v>5510</v>
      </c>
      <c r="D1366" s="11" t="s">
        <v>6</v>
      </c>
      <c r="E1366" s="26" t="s">
        <v>4907</v>
      </c>
      <c r="F1366" s="26" t="s">
        <v>2143</v>
      </c>
      <c r="G1366" s="157" t="s">
        <v>5511</v>
      </c>
      <c r="H1366" s="26" t="s">
        <v>4080</v>
      </c>
      <c r="I1366" s="26" t="s">
        <v>5512</v>
      </c>
      <c r="J1366" s="26" t="s">
        <v>5513</v>
      </c>
      <c r="K1366" s="26" t="s">
        <v>5514</v>
      </c>
      <c r="L1366" s="26">
        <v>603</v>
      </c>
      <c r="M1366" s="26">
        <v>3</v>
      </c>
      <c r="N1366" s="26">
        <v>1</v>
      </c>
      <c r="O1366" s="26">
        <v>10</v>
      </c>
      <c r="P1366" s="26">
        <v>0</v>
      </c>
      <c r="Q1366" s="26">
        <v>0</v>
      </c>
      <c r="R1366" s="1209">
        <v>255.1</v>
      </c>
      <c r="S1366" s="1209">
        <f>R1366*O1366</f>
        <v>2551</v>
      </c>
      <c r="T1366" s="26" t="s">
        <v>929</v>
      </c>
      <c r="U1366" s="1871" t="s">
        <v>3094</v>
      </c>
      <c r="V1366" s="26" t="s">
        <v>931</v>
      </c>
      <c r="W1366" s="2037" t="s">
        <v>5515</v>
      </c>
      <c r="X1366" s="18"/>
      <c r="Y1366" s="4"/>
      <c r="Z1366" s="4"/>
    </row>
    <row r="1367" spans="1:26" ht="24.95" hidden="1">
      <c r="A1367" s="20">
        <v>1374</v>
      </c>
      <c r="B1367" s="1063">
        <v>41144</v>
      </c>
      <c r="C1367" s="26" t="s">
        <v>5516</v>
      </c>
      <c r="D1367" s="11" t="s">
        <v>6</v>
      </c>
      <c r="E1367" s="26" t="s">
        <v>4907</v>
      </c>
      <c r="F1367" s="26" t="s">
        <v>2143</v>
      </c>
      <c r="G1367" s="26" t="s">
        <v>5517</v>
      </c>
      <c r="H1367" s="160" t="s">
        <v>3612</v>
      </c>
      <c r="I1367" s="160" t="s">
        <v>574</v>
      </c>
      <c r="J1367" s="160" t="s">
        <v>3613</v>
      </c>
      <c r="K1367" s="160" t="s">
        <v>3614</v>
      </c>
      <c r="L1367" s="160" t="s">
        <v>2011</v>
      </c>
      <c r="M1367" s="160">
        <v>5</v>
      </c>
      <c r="N1367" s="160">
        <v>10</v>
      </c>
      <c r="O1367" s="160">
        <v>10</v>
      </c>
      <c r="P1367" s="160">
        <v>0</v>
      </c>
      <c r="Q1367" s="160">
        <v>5</v>
      </c>
      <c r="R1367" s="1241">
        <v>243.9</v>
      </c>
      <c r="S1367" s="1241">
        <v>2439</v>
      </c>
      <c r="T1367" s="160" t="s">
        <v>929</v>
      </c>
      <c r="U1367" s="1885" t="s">
        <v>5134</v>
      </c>
      <c r="V1367" s="160" t="s">
        <v>104</v>
      </c>
      <c r="W1367" s="2054" t="s">
        <v>3615</v>
      </c>
      <c r="X1367" s="126"/>
      <c r="Y1367" s="126"/>
      <c r="Z1367" s="126"/>
    </row>
    <row r="1368" spans="1:26" ht="37.5" hidden="1">
      <c r="A1368" s="20">
        <v>1375</v>
      </c>
      <c r="B1368" s="1063">
        <v>41145</v>
      </c>
      <c r="C1368" s="26" t="s">
        <v>5518</v>
      </c>
      <c r="D1368" s="11" t="s">
        <v>6</v>
      </c>
      <c r="E1368" s="26" t="s">
        <v>4907</v>
      </c>
      <c r="F1368" s="26" t="s">
        <v>2143</v>
      </c>
      <c r="G1368" s="26"/>
      <c r="H1368" s="160" t="s">
        <v>1853</v>
      </c>
      <c r="I1368" s="160" t="s">
        <v>574</v>
      </c>
      <c r="J1368" s="160" t="s">
        <v>3595</v>
      </c>
      <c r="K1368" s="160" t="s">
        <v>3596</v>
      </c>
      <c r="L1368" s="160" t="s">
        <v>3588</v>
      </c>
      <c r="M1368" s="160">
        <v>3</v>
      </c>
      <c r="N1368" s="160">
        <v>10</v>
      </c>
      <c r="O1368" s="160">
        <v>10</v>
      </c>
      <c r="P1368" s="160">
        <v>0</v>
      </c>
      <c r="Q1368" s="160">
        <v>7</v>
      </c>
      <c r="R1368" s="1241">
        <v>36.1</v>
      </c>
      <c r="S1368" s="1241">
        <v>361</v>
      </c>
      <c r="T1368" s="160" t="s">
        <v>929</v>
      </c>
      <c r="U1368" s="1885" t="s">
        <v>5134</v>
      </c>
      <c r="V1368" s="160" t="s">
        <v>104</v>
      </c>
      <c r="W1368" s="2054" t="s">
        <v>3597</v>
      </c>
      <c r="X1368" s="126"/>
      <c r="Y1368" s="126"/>
      <c r="Z1368" s="126"/>
    </row>
    <row r="1369" spans="1:26" ht="37.5" hidden="1">
      <c r="A1369" s="20">
        <v>1376</v>
      </c>
      <c r="B1369" s="1063">
        <v>41146</v>
      </c>
      <c r="C1369" s="139" t="s">
        <v>5519</v>
      </c>
      <c r="D1369" s="11" t="s">
        <v>6</v>
      </c>
      <c r="E1369" s="139" t="s">
        <v>4907</v>
      </c>
      <c r="F1369" s="139" t="s">
        <v>2143</v>
      </c>
      <c r="G1369" s="139"/>
      <c r="H1369" s="638" t="s">
        <v>1853</v>
      </c>
      <c r="I1369" s="638" t="s">
        <v>574</v>
      </c>
      <c r="J1369" s="638" t="s">
        <v>3599</v>
      </c>
      <c r="K1369" s="638" t="s">
        <v>3600</v>
      </c>
      <c r="L1369" s="638" t="s">
        <v>3588</v>
      </c>
      <c r="M1369" s="638">
        <v>3</v>
      </c>
      <c r="N1369" s="638">
        <v>10</v>
      </c>
      <c r="O1369" s="638">
        <v>10</v>
      </c>
      <c r="P1369" s="638">
        <v>0</v>
      </c>
      <c r="Q1369" s="638">
        <v>7</v>
      </c>
      <c r="R1369" s="1242">
        <v>35.700000000000003</v>
      </c>
      <c r="S1369" s="1242">
        <v>357</v>
      </c>
      <c r="T1369" s="638" t="s">
        <v>929</v>
      </c>
      <c r="U1369" s="1889" t="s">
        <v>5134</v>
      </c>
      <c r="V1369" s="638" t="s">
        <v>104</v>
      </c>
      <c r="W1369" s="2055" t="s">
        <v>3601</v>
      </c>
      <c r="X1369" s="126"/>
      <c r="Y1369" s="126"/>
      <c r="Z1369" s="126"/>
    </row>
    <row r="1370" spans="1:26" ht="24.95" hidden="1">
      <c r="A1370" s="20">
        <v>1377</v>
      </c>
      <c r="B1370" s="1063">
        <v>41147</v>
      </c>
      <c r="C1370" s="26" t="s">
        <v>5520</v>
      </c>
      <c r="D1370" s="11" t="s">
        <v>6</v>
      </c>
      <c r="E1370" s="26" t="s">
        <v>4907</v>
      </c>
      <c r="F1370" s="26" t="s">
        <v>2143</v>
      </c>
      <c r="G1370" s="26"/>
      <c r="H1370" s="160" t="s">
        <v>2001</v>
      </c>
      <c r="I1370" s="160" t="s">
        <v>574</v>
      </c>
      <c r="J1370" s="160" t="s">
        <v>2002</v>
      </c>
      <c r="K1370" s="160" t="s">
        <v>2003</v>
      </c>
      <c r="L1370" s="160" t="s">
        <v>2011</v>
      </c>
      <c r="M1370" s="160">
        <v>2</v>
      </c>
      <c r="N1370" s="160">
        <v>1</v>
      </c>
      <c r="O1370" s="160">
        <v>5</v>
      </c>
      <c r="P1370" s="160">
        <v>0</v>
      </c>
      <c r="Q1370" s="160">
        <v>3</v>
      </c>
      <c r="R1370" s="1241">
        <v>104</v>
      </c>
      <c r="S1370" s="1241">
        <v>520</v>
      </c>
      <c r="T1370" s="160" t="s">
        <v>929</v>
      </c>
      <c r="U1370" s="1885" t="s">
        <v>5134</v>
      </c>
      <c r="V1370" s="160" t="s">
        <v>104</v>
      </c>
      <c r="W1370" s="2054" t="s">
        <v>3279</v>
      </c>
      <c r="X1370" s="126"/>
      <c r="Y1370" s="126"/>
      <c r="Z1370" s="126"/>
    </row>
    <row r="1371" spans="1:26" ht="14.1" hidden="1">
      <c r="A1371" s="20">
        <v>1378</v>
      </c>
      <c r="B1371" s="1063">
        <v>41148</v>
      </c>
      <c r="C1371" s="26" t="s">
        <v>5521</v>
      </c>
      <c r="D1371" s="11" t="s">
        <v>6</v>
      </c>
      <c r="E1371" s="26" t="s">
        <v>4907</v>
      </c>
      <c r="F1371" s="26" t="s">
        <v>2143</v>
      </c>
      <c r="G1371" s="26" t="s">
        <v>5522</v>
      </c>
      <c r="H1371" s="26" t="s">
        <v>5523</v>
      </c>
      <c r="I1371" s="26" t="s">
        <v>113</v>
      </c>
      <c r="J1371" s="26" t="s">
        <v>1</v>
      </c>
      <c r="K1371" s="26">
        <v>40356836</v>
      </c>
      <c r="L1371" s="26" t="s">
        <v>1</v>
      </c>
      <c r="M1371" s="26" t="s">
        <v>5524</v>
      </c>
      <c r="N1371" s="26">
        <v>1</v>
      </c>
      <c r="O1371" s="26">
        <v>5</v>
      </c>
      <c r="P1371" s="26">
        <v>0</v>
      </c>
      <c r="Q1371" s="26">
        <v>0</v>
      </c>
      <c r="R1371" s="1209">
        <v>350</v>
      </c>
      <c r="S1371" s="1209">
        <f t="shared" ref="S1371:S1383" si="72">R1371*O1371</f>
        <v>1750</v>
      </c>
      <c r="T1371" s="26" t="s">
        <v>311</v>
      </c>
      <c r="U1371" s="1871" t="s">
        <v>1</v>
      </c>
      <c r="V1371" s="26" t="s">
        <v>931</v>
      </c>
      <c r="W1371" s="2037" t="s">
        <v>5525</v>
      </c>
      <c r="X1371" s="18"/>
      <c r="Y1371" s="4"/>
      <c r="Z1371" s="4"/>
    </row>
    <row r="1372" spans="1:26" ht="69.95" hidden="1">
      <c r="A1372" s="20">
        <v>1379</v>
      </c>
      <c r="B1372" s="1063">
        <v>41149</v>
      </c>
      <c r="C1372" s="639" t="s">
        <v>2594</v>
      </c>
      <c r="D1372" s="11" t="s">
        <v>6</v>
      </c>
      <c r="E1372" s="26" t="s">
        <v>4907</v>
      </c>
      <c r="F1372" s="639" t="s">
        <v>2332</v>
      </c>
      <c r="G1372" s="639" t="s">
        <v>5526</v>
      </c>
      <c r="H1372" s="639" t="s">
        <v>366</v>
      </c>
      <c r="I1372" s="639" t="s">
        <v>366</v>
      </c>
      <c r="J1372" s="639" t="s">
        <v>5527</v>
      </c>
      <c r="K1372" s="639"/>
      <c r="L1372" s="639"/>
      <c r="M1372" s="639">
        <v>9</v>
      </c>
      <c r="N1372" s="639">
        <v>10</v>
      </c>
      <c r="O1372" s="639">
        <v>10</v>
      </c>
      <c r="P1372" s="639">
        <v>0</v>
      </c>
      <c r="Q1372" s="639">
        <f t="shared" ref="Q1372:Q1383" si="73">O1372+P1372-M1372</f>
        <v>1</v>
      </c>
      <c r="R1372" s="1227">
        <v>36.299999999999997</v>
      </c>
      <c r="S1372" s="1228">
        <f t="shared" si="72"/>
        <v>363</v>
      </c>
      <c r="T1372" s="639" t="s">
        <v>929</v>
      </c>
      <c r="U1372" s="1890" t="s">
        <v>301</v>
      </c>
      <c r="V1372" s="639" t="s">
        <v>931</v>
      </c>
      <c r="W1372" s="2056" t="s">
        <v>5528</v>
      </c>
      <c r="X1372" s="32" t="s">
        <v>5529</v>
      </c>
      <c r="Y1372" s="104"/>
      <c r="Z1372" s="104"/>
    </row>
    <row r="1373" spans="1:26" ht="69.95" hidden="1">
      <c r="A1373" s="20">
        <v>1380</v>
      </c>
      <c r="B1373" s="1063">
        <v>41150</v>
      </c>
      <c r="C1373" s="639" t="s">
        <v>2594</v>
      </c>
      <c r="D1373" s="11" t="s">
        <v>6</v>
      </c>
      <c r="E1373" s="26" t="s">
        <v>4907</v>
      </c>
      <c r="F1373" s="639" t="s">
        <v>2332</v>
      </c>
      <c r="G1373" s="32" t="s">
        <v>2604</v>
      </c>
      <c r="H1373" s="32" t="s">
        <v>382</v>
      </c>
      <c r="I1373" s="32" t="s">
        <v>366</v>
      </c>
      <c r="J1373" s="32" t="s">
        <v>2604</v>
      </c>
      <c r="K1373" s="32"/>
      <c r="L1373" s="32"/>
      <c r="M1373" s="32">
        <v>24</v>
      </c>
      <c r="N1373" s="32">
        <v>10</v>
      </c>
      <c r="O1373" s="32">
        <v>20</v>
      </c>
      <c r="P1373" s="32">
        <v>13</v>
      </c>
      <c r="Q1373" s="32">
        <f t="shared" si="73"/>
        <v>9</v>
      </c>
      <c r="R1373" s="1227">
        <v>144.1</v>
      </c>
      <c r="S1373" s="1228">
        <f t="shared" si="72"/>
        <v>2882</v>
      </c>
      <c r="T1373" s="22" t="s">
        <v>929</v>
      </c>
      <c r="U1373" s="1863" t="s">
        <v>301</v>
      </c>
      <c r="V1373" s="32" t="s">
        <v>931</v>
      </c>
      <c r="W1373" s="2036" t="s">
        <v>5530</v>
      </c>
      <c r="X1373" s="32" t="s">
        <v>5529</v>
      </c>
      <c r="Y1373" s="104"/>
      <c r="Z1373" s="104"/>
    </row>
    <row r="1374" spans="1:26" ht="69.95" hidden="1">
      <c r="A1374" s="20">
        <v>1381</v>
      </c>
      <c r="B1374" s="1063">
        <v>41151</v>
      </c>
      <c r="C1374" s="639" t="s">
        <v>2594</v>
      </c>
      <c r="D1374" s="11" t="s">
        <v>6</v>
      </c>
      <c r="E1374" s="26" t="s">
        <v>4907</v>
      </c>
      <c r="F1374" s="639" t="s">
        <v>2332</v>
      </c>
      <c r="G1374" s="32" t="s">
        <v>2612</v>
      </c>
      <c r="H1374" s="32" t="s">
        <v>382</v>
      </c>
      <c r="I1374" s="32" t="s">
        <v>366</v>
      </c>
      <c r="J1374" s="32" t="s">
        <v>2612</v>
      </c>
      <c r="K1374" s="32"/>
      <c r="L1374" s="32"/>
      <c r="M1374" s="32">
        <v>84</v>
      </c>
      <c r="N1374" s="32">
        <v>10</v>
      </c>
      <c r="O1374" s="32">
        <v>40</v>
      </c>
      <c r="P1374" s="32">
        <v>46</v>
      </c>
      <c r="Q1374" s="32">
        <f t="shared" si="73"/>
        <v>2</v>
      </c>
      <c r="R1374" s="1227">
        <v>144.1</v>
      </c>
      <c r="S1374" s="1228">
        <f t="shared" si="72"/>
        <v>5764</v>
      </c>
      <c r="T1374" s="22" t="s">
        <v>929</v>
      </c>
      <c r="U1374" s="1863" t="s">
        <v>301</v>
      </c>
      <c r="V1374" s="32" t="s">
        <v>931</v>
      </c>
      <c r="W1374" s="2036" t="s">
        <v>5530</v>
      </c>
      <c r="X1374" s="32" t="s">
        <v>5529</v>
      </c>
      <c r="Y1374" s="104"/>
      <c r="Z1374" s="104"/>
    </row>
    <row r="1375" spans="1:26" ht="42" hidden="1">
      <c r="A1375" s="20">
        <v>1382</v>
      </c>
      <c r="B1375" s="1063">
        <v>41152</v>
      </c>
      <c r="C1375" s="639" t="s">
        <v>2594</v>
      </c>
      <c r="D1375" s="11" t="s">
        <v>6</v>
      </c>
      <c r="E1375" s="26" t="s">
        <v>4907</v>
      </c>
      <c r="F1375" s="639" t="s">
        <v>2332</v>
      </c>
      <c r="G1375" s="26" t="s">
        <v>1524</v>
      </c>
      <c r="H1375" s="639" t="s">
        <v>366</v>
      </c>
      <c r="I1375" s="639" t="s">
        <v>366</v>
      </c>
      <c r="J1375" s="26" t="s">
        <v>1524</v>
      </c>
      <c r="K1375" s="26"/>
      <c r="L1375" s="26"/>
      <c r="M1375" s="26">
        <v>12</v>
      </c>
      <c r="N1375" s="26">
        <v>10</v>
      </c>
      <c r="O1375" s="26">
        <v>10</v>
      </c>
      <c r="P1375" s="26">
        <v>11</v>
      </c>
      <c r="Q1375" s="26">
        <f t="shared" si="73"/>
        <v>9</v>
      </c>
      <c r="R1375" s="1227">
        <v>44.7</v>
      </c>
      <c r="S1375" s="1228">
        <f t="shared" si="72"/>
        <v>447</v>
      </c>
      <c r="T1375" s="22" t="s">
        <v>929</v>
      </c>
      <c r="U1375" s="1863" t="s">
        <v>301</v>
      </c>
      <c r="V1375" s="32" t="s">
        <v>931</v>
      </c>
      <c r="W1375" s="2006" t="s">
        <v>4726</v>
      </c>
      <c r="X1375" s="32" t="s">
        <v>5529</v>
      </c>
      <c r="Y1375" s="104"/>
      <c r="Z1375" s="104"/>
    </row>
    <row r="1376" spans="1:26" ht="42" hidden="1">
      <c r="A1376" s="20">
        <v>1383</v>
      </c>
      <c r="B1376" s="1063">
        <v>41153</v>
      </c>
      <c r="C1376" s="639" t="s">
        <v>2594</v>
      </c>
      <c r="D1376" s="11" t="s">
        <v>6</v>
      </c>
      <c r="E1376" s="26" t="s">
        <v>4907</v>
      </c>
      <c r="F1376" s="639" t="s">
        <v>2332</v>
      </c>
      <c r="G1376" s="26" t="s">
        <v>2737</v>
      </c>
      <c r="H1376" s="639" t="s">
        <v>366</v>
      </c>
      <c r="I1376" s="639" t="s">
        <v>366</v>
      </c>
      <c r="J1376" s="26" t="s">
        <v>2737</v>
      </c>
      <c r="K1376" s="26"/>
      <c r="L1376" s="26"/>
      <c r="M1376" s="26">
        <v>60</v>
      </c>
      <c r="N1376" s="26">
        <v>1</v>
      </c>
      <c r="O1376" s="26">
        <v>52</v>
      </c>
      <c r="P1376" s="26">
        <v>8</v>
      </c>
      <c r="Q1376" s="26">
        <f t="shared" si="73"/>
        <v>0</v>
      </c>
      <c r="R1376" s="1227">
        <v>203</v>
      </c>
      <c r="S1376" s="1228">
        <f t="shared" si="72"/>
        <v>10556</v>
      </c>
      <c r="T1376" s="22" t="s">
        <v>929</v>
      </c>
      <c r="U1376" s="1863" t="s">
        <v>301</v>
      </c>
      <c r="V1376" s="32" t="s">
        <v>931</v>
      </c>
      <c r="W1376" s="2006" t="s">
        <v>4723</v>
      </c>
      <c r="X1376" s="32" t="s">
        <v>5529</v>
      </c>
      <c r="Y1376" s="104"/>
      <c r="Z1376" s="104"/>
    </row>
    <row r="1377" spans="1:26" ht="37.5" hidden="1">
      <c r="A1377" s="20">
        <v>1384</v>
      </c>
      <c r="B1377" s="1063">
        <v>41154</v>
      </c>
      <c r="C1377" s="639" t="s">
        <v>2594</v>
      </c>
      <c r="D1377" s="11" t="s">
        <v>6</v>
      </c>
      <c r="E1377" s="26" t="s">
        <v>4907</v>
      </c>
      <c r="F1377" s="639" t="s">
        <v>2332</v>
      </c>
      <c r="G1377" s="26" t="s">
        <v>2606</v>
      </c>
      <c r="H1377" s="639" t="s">
        <v>366</v>
      </c>
      <c r="I1377" s="639" t="s">
        <v>366</v>
      </c>
      <c r="J1377" s="26" t="s">
        <v>2606</v>
      </c>
      <c r="K1377" s="26"/>
      <c r="L1377" s="26" t="s">
        <v>1881</v>
      </c>
      <c r="M1377" s="26">
        <v>66</v>
      </c>
      <c r="N1377" s="26">
        <v>10</v>
      </c>
      <c r="O1377" s="26">
        <v>60</v>
      </c>
      <c r="P1377" s="26">
        <v>10</v>
      </c>
      <c r="Q1377" s="26">
        <f t="shared" si="73"/>
        <v>4</v>
      </c>
      <c r="R1377" s="1227">
        <v>36.1</v>
      </c>
      <c r="S1377" s="1228">
        <f t="shared" si="72"/>
        <v>2166</v>
      </c>
      <c r="T1377" s="22" t="s">
        <v>929</v>
      </c>
      <c r="U1377" s="1863" t="s">
        <v>301</v>
      </c>
      <c r="V1377" s="32" t="s">
        <v>931</v>
      </c>
      <c r="W1377" s="2008" t="s">
        <v>5531</v>
      </c>
      <c r="X1377" s="32" t="s">
        <v>5529</v>
      </c>
      <c r="Y1377" s="104"/>
      <c r="Z1377" s="104"/>
    </row>
    <row r="1378" spans="1:26" ht="37.5" hidden="1">
      <c r="A1378" s="20">
        <v>1385</v>
      </c>
      <c r="B1378" s="1063">
        <v>41155</v>
      </c>
      <c r="C1378" s="639" t="s">
        <v>2594</v>
      </c>
      <c r="D1378" s="11" t="s">
        <v>6</v>
      </c>
      <c r="E1378" s="26" t="s">
        <v>4907</v>
      </c>
      <c r="F1378" s="639" t="s">
        <v>2332</v>
      </c>
      <c r="G1378" s="26" t="s">
        <v>5532</v>
      </c>
      <c r="H1378" s="639" t="s">
        <v>366</v>
      </c>
      <c r="I1378" s="639" t="s">
        <v>366</v>
      </c>
      <c r="J1378" s="26" t="s">
        <v>5532</v>
      </c>
      <c r="K1378" s="26"/>
      <c r="L1378" s="26"/>
      <c r="M1378" s="26">
        <v>18</v>
      </c>
      <c r="N1378" s="26">
        <v>1</v>
      </c>
      <c r="O1378" s="26">
        <v>13</v>
      </c>
      <c r="P1378" s="26">
        <v>5</v>
      </c>
      <c r="Q1378" s="26">
        <f t="shared" si="73"/>
        <v>0</v>
      </c>
      <c r="R1378" s="1227">
        <v>470</v>
      </c>
      <c r="S1378" s="1228">
        <f t="shared" si="72"/>
        <v>6110</v>
      </c>
      <c r="T1378" s="22" t="s">
        <v>929</v>
      </c>
      <c r="U1378" s="1863" t="s">
        <v>301</v>
      </c>
      <c r="V1378" s="32" t="s">
        <v>931</v>
      </c>
      <c r="W1378" s="2008" t="s">
        <v>5533</v>
      </c>
      <c r="X1378" s="32" t="s">
        <v>5529</v>
      </c>
      <c r="Y1378" s="104"/>
      <c r="Z1378" s="104"/>
    </row>
    <row r="1379" spans="1:26" ht="37.5" hidden="1">
      <c r="A1379" s="20">
        <v>1386</v>
      </c>
      <c r="B1379" s="1063">
        <v>41156</v>
      </c>
      <c r="C1379" s="639" t="s">
        <v>2594</v>
      </c>
      <c r="D1379" s="11" t="s">
        <v>6</v>
      </c>
      <c r="E1379" s="26" t="s">
        <v>4907</v>
      </c>
      <c r="F1379" s="639" t="s">
        <v>2332</v>
      </c>
      <c r="G1379" s="26" t="s">
        <v>2602</v>
      </c>
      <c r="H1379" s="639" t="s">
        <v>366</v>
      </c>
      <c r="I1379" s="639" t="s">
        <v>366</v>
      </c>
      <c r="J1379" s="26" t="s">
        <v>2602</v>
      </c>
      <c r="K1379" s="26"/>
      <c r="L1379" s="26"/>
      <c r="M1379" s="26">
        <v>60</v>
      </c>
      <c r="N1379" s="26">
        <v>10</v>
      </c>
      <c r="O1379" s="26">
        <v>50</v>
      </c>
      <c r="P1379" s="26">
        <v>14</v>
      </c>
      <c r="Q1379" s="26">
        <f t="shared" si="73"/>
        <v>4</v>
      </c>
      <c r="R1379" s="1227">
        <v>36.1</v>
      </c>
      <c r="S1379" s="1228">
        <f t="shared" si="72"/>
        <v>1805</v>
      </c>
      <c r="T1379" s="22" t="s">
        <v>929</v>
      </c>
      <c r="U1379" s="1863" t="s">
        <v>301</v>
      </c>
      <c r="V1379" s="32" t="s">
        <v>931</v>
      </c>
      <c r="W1379" s="2008" t="s">
        <v>5534</v>
      </c>
      <c r="X1379" s="32" t="s">
        <v>5529</v>
      </c>
      <c r="Y1379" s="104"/>
      <c r="Z1379" s="104"/>
    </row>
    <row r="1380" spans="1:26" ht="37.5" hidden="1">
      <c r="A1380" s="20">
        <v>1387</v>
      </c>
      <c r="B1380" s="1063">
        <v>41157</v>
      </c>
      <c r="C1380" s="639" t="s">
        <v>2594</v>
      </c>
      <c r="D1380" s="11" t="s">
        <v>6</v>
      </c>
      <c r="E1380" s="26" t="s">
        <v>4907</v>
      </c>
      <c r="F1380" s="639" t="s">
        <v>2332</v>
      </c>
      <c r="G1380" s="26" t="s">
        <v>2595</v>
      </c>
      <c r="H1380" s="639" t="s">
        <v>366</v>
      </c>
      <c r="I1380" s="639" t="s">
        <v>366</v>
      </c>
      <c r="J1380" s="26" t="s">
        <v>2595</v>
      </c>
      <c r="K1380" s="26"/>
      <c r="L1380" s="26"/>
      <c r="M1380" s="26">
        <v>36</v>
      </c>
      <c r="N1380" s="26">
        <v>10</v>
      </c>
      <c r="O1380" s="26">
        <v>10</v>
      </c>
      <c r="P1380" s="26">
        <v>26</v>
      </c>
      <c r="Q1380" s="26">
        <f t="shared" si="73"/>
        <v>0</v>
      </c>
      <c r="R1380" s="1227">
        <v>78.599999999999994</v>
      </c>
      <c r="S1380" s="1228">
        <f t="shared" si="72"/>
        <v>786</v>
      </c>
      <c r="T1380" s="22" t="s">
        <v>929</v>
      </c>
      <c r="U1380" s="1863" t="s">
        <v>301</v>
      </c>
      <c r="V1380" s="32" t="s">
        <v>931</v>
      </c>
      <c r="W1380" s="2008" t="s">
        <v>5535</v>
      </c>
      <c r="X1380" s="32" t="s">
        <v>5529</v>
      </c>
      <c r="Y1380" s="104"/>
      <c r="Z1380" s="104"/>
    </row>
    <row r="1381" spans="1:26" ht="37.5" hidden="1">
      <c r="A1381" s="20">
        <v>1388</v>
      </c>
      <c r="B1381" s="1063">
        <v>41158</v>
      </c>
      <c r="C1381" s="639" t="s">
        <v>2594</v>
      </c>
      <c r="D1381" s="11" t="s">
        <v>6</v>
      </c>
      <c r="E1381" s="26" t="s">
        <v>4907</v>
      </c>
      <c r="F1381" s="639" t="s">
        <v>2332</v>
      </c>
      <c r="G1381" s="26" t="s">
        <v>2597</v>
      </c>
      <c r="H1381" s="639" t="s">
        <v>366</v>
      </c>
      <c r="I1381" s="639" t="s">
        <v>366</v>
      </c>
      <c r="J1381" s="26" t="s">
        <v>2597</v>
      </c>
      <c r="K1381" s="26"/>
      <c r="L1381" s="26"/>
      <c r="M1381" s="26">
        <v>30</v>
      </c>
      <c r="N1381" s="26">
        <v>10</v>
      </c>
      <c r="O1381" s="26">
        <v>10</v>
      </c>
      <c r="P1381" s="26">
        <v>20</v>
      </c>
      <c r="Q1381" s="26">
        <f t="shared" si="73"/>
        <v>0</v>
      </c>
      <c r="R1381" s="1227">
        <v>78.599999999999994</v>
      </c>
      <c r="S1381" s="1228">
        <f t="shared" si="72"/>
        <v>786</v>
      </c>
      <c r="T1381" s="22" t="s">
        <v>929</v>
      </c>
      <c r="U1381" s="1863" t="s">
        <v>301</v>
      </c>
      <c r="V1381" s="32" t="s">
        <v>931</v>
      </c>
      <c r="W1381" s="2008" t="s">
        <v>5536</v>
      </c>
      <c r="X1381" s="32" t="s">
        <v>5529</v>
      </c>
      <c r="Y1381" s="104"/>
      <c r="Z1381" s="104"/>
    </row>
    <row r="1382" spans="1:26" ht="50.1" hidden="1">
      <c r="A1382" s="20">
        <v>1389</v>
      </c>
      <c r="B1382" s="1063">
        <v>41159</v>
      </c>
      <c r="C1382" s="639" t="s">
        <v>2594</v>
      </c>
      <c r="D1382" s="11" t="s">
        <v>6</v>
      </c>
      <c r="E1382" s="26" t="s">
        <v>4907</v>
      </c>
      <c r="F1382" s="639" t="s">
        <v>2332</v>
      </c>
      <c r="G1382" s="26" t="s">
        <v>379</v>
      </c>
      <c r="H1382" s="639" t="s">
        <v>366</v>
      </c>
      <c r="I1382" s="639" t="s">
        <v>366</v>
      </c>
      <c r="J1382" s="26" t="s">
        <v>379</v>
      </c>
      <c r="K1382" s="26"/>
      <c r="L1382" s="26"/>
      <c r="M1382" s="26">
        <v>45</v>
      </c>
      <c r="N1382" s="26">
        <v>1</v>
      </c>
      <c r="O1382" s="26">
        <v>25</v>
      </c>
      <c r="P1382" s="26">
        <v>20</v>
      </c>
      <c r="Q1382" s="26">
        <f t="shared" si="73"/>
        <v>0</v>
      </c>
      <c r="R1382" s="1227">
        <v>43</v>
      </c>
      <c r="S1382" s="1228">
        <f t="shared" si="72"/>
        <v>1075</v>
      </c>
      <c r="T1382" s="22" t="s">
        <v>929</v>
      </c>
      <c r="U1382" s="1863" t="s">
        <v>301</v>
      </c>
      <c r="V1382" s="32" t="s">
        <v>931</v>
      </c>
      <c r="W1382" s="2008" t="s">
        <v>380</v>
      </c>
      <c r="X1382" s="32" t="s">
        <v>5529</v>
      </c>
      <c r="Y1382" s="104"/>
      <c r="Z1382" s="104"/>
    </row>
    <row r="1383" spans="1:26" ht="50.1" hidden="1">
      <c r="A1383" s="20">
        <v>1390</v>
      </c>
      <c r="B1383" s="1063">
        <v>41160</v>
      </c>
      <c r="C1383" s="639" t="s">
        <v>2594</v>
      </c>
      <c r="D1383" s="11" t="s">
        <v>6</v>
      </c>
      <c r="E1383" s="26" t="s">
        <v>4907</v>
      </c>
      <c r="F1383" s="639" t="s">
        <v>2332</v>
      </c>
      <c r="G1383" s="26" t="s">
        <v>5537</v>
      </c>
      <c r="H1383" s="639" t="s">
        <v>366</v>
      </c>
      <c r="I1383" s="639" t="s">
        <v>366</v>
      </c>
      <c r="J1383" s="26" t="s">
        <v>5537</v>
      </c>
      <c r="K1383" s="26"/>
      <c r="L1383" s="26"/>
      <c r="M1383" s="26">
        <v>9</v>
      </c>
      <c r="N1383" s="26">
        <v>1</v>
      </c>
      <c r="O1383" s="26">
        <v>9</v>
      </c>
      <c r="P1383" s="26">
        <v>0</v>
      </c>
      <c r="Q1383" s="26">
        <f t="shared" si="73"/>
        <v>0</v>
      </c>
      <c r="R1383" s="1227">
        <v>260</v>
      </c>
      <c r="S1383" s="1228">
        <f t="shared" si="72"/>
        <v>2340</v>
      </c>
      <c r="T1383" s="22" t="s">
        <v>929</v>
      </c>
      <c r="U1383" s="1863" t="s">
        <v>301</v>
      </c>
      <c r="V1383" s="32" t="s">
        <v>931</v>
      </c>
      <c r="W1383" s="2008" t="s">
        <v>368</v>
      </c>
      <c r="X1383" s="32" t="s">
        <v>5529</v>
      </c>
      <c r="Y1383" s="104"/>
      <c r="Z1383" s="104"/>
    </row>
    <row r="1384" spans="1:26" ht="14.1" hidden="1">
      <c r="A1384" s="20">
        <v>1391</v>
      </c>
      <c r="B1384" s="1063">
        <v>41161</v>
      </c>
      <c r="C1384" s="26" t="s">
        <v>5538</v>
      </c>
      <c r="D1384" s="11" t="s">
        <v>6</v>
      </c>
      <c r="E1384" s="26" t="s">
        <v>4907</v>
      </c>
      <c r="F1384" s="18" t="s">
        <v>1989</v>
      </c>
      <c r="G1384" s="18" t="s">
        <v>5539</v>
      </c>
      <c r="H1384" s="18" t="s">
        <v>3525</v>
      </c>
      <c r="I1384" s="18" t="s">
        <v>3525</v>
      </c>
      <c r="J1384" s="18">
        <v>9100300093</v>
      </c>
      <c r="K1384" s="18"/>
      <c r="L1384" s="18"/>
      <c r="M1384" s="18">
        <v>3</v>
      </c>
      <c r="N1384" s="18">
        <v>1</v>
      </c>
      <c r="O1384" s="18">
        <v>6</v>
      </c>
      <c r="P1384" s="18">
        <v>0</v>
      </c>
      <c r="Q1384" s="18">
        <v>3</v>
      </c>
      <c r="R1384" s="1227">
        <v>203645</v>
      </c>
      <c r="S1384" s="1227">
        <v>203605</v>
      </c>
      <c r="T1384" s="18" t="s">
        <v>929</v>
      </c>
      <c r="U1384" s="1859" t="s">
        <v>5540</v>
      </c>
      <c r="V1384" s="26" t="s">
        <v>931</v>
      </c>
      <c r="W1384" s="2008" t="s">
        <v>5265</v>
      </c>
      <c r="X1384" s="18" t="s">
        <v>5529</v>
      </c>
      <c r="Y1384" s="4"/>
      <c r="Z1384" s="4"/>
    </row>
    <row r="1385" spans="1:26" ht="36" hidden="1">
      <c r="A1385" s="20">
        <v>1392</v>
      </c>
      <c r="B1385" s="1063">
        <v>41162</v>
      </c>
      <c r="C1385" s="54" t="s">
        <v>5541</v>
      </c>
      <c r="D1385" s="11" t="s">
        <v>6</v>
      </c>
      <c r="E1385" s="26" t="s">
        <v>4907</v>
      </c>
      <c r="F1385" s="54" t="s">
        <v>1398</v>
      </c>
      <c r="G1385" s="129" t="s">
        <v>5542</v>
      </c>
      <c r="H1385" s="129" t="s">
        <v>2701</v>
      </c>
      <c r="I1385" s="129" t="s">
        <v>39</v>
      </c>
      <c r="J1385" s="129" t="s">
        <v>2702</v>
      </c>
      <c r="K1385" s="129" t="s">
        <v>2700</v>
      </c>
      <c r="L1385" s="137" t="s">
        <v>5543</v>
      </c>
      <c r="M1385" s="129">
        <v>6</v>
      </c>
      <c r="N1385" s="129">
        <v>5</v>
      </c>
      <c r="O1385" s="129">
        <v>5</v>
      </c>
      <c r="P1385" s="129">
        <v>2</v>
      </c>
      <c r="Q1385" s="129">
        <v>7</v>
      </c>
      <c r="R1385" s="1231">
        <v>31</v>
      </c>
      <c r="S1385" s="1231">
        <v>155</v>
      </c>
      <c r="T1385" s="22" t="s">
        <v>929</v>
      </c>
      <c r="U1385" s="1876" t="s">
        <v>5544</v>
      </c>
      <c r="V1385" s="129"/>
      <c r="W1385" s="2046" t="s">
        <v>2704</v>
      </c>
      <c r="X1385" s="129"/>
      <c r="Y1385" s="130"/>
      <c r="Z1385" s="130"/>
    </row>
    <row r="1386" spans="1:26" ht="36" hidden="1">
      <c r="A1386" s="20">
        <v>1393</v>
      </c>
      <c r="B1386" s="1063">
        <v>41163</v>
      </c>
      <c r="C1386" s="911" t="s">
        <v>5288</v>
      </c>
      <c r="D1386" s="11" t="s">
        <v>6</v>
      </c>
      <c r="E1386" s="26" t="s">
        <v>4907</v>
      </c>
      <c r="F1386" s="54" t="s">
        <v>1398</v>
      </c>
      <c r="G1386" s="137" t="s">
        <v>5289</v>
      </c>
      <c r="H1386" s="137" t="s">
        <v>5290</v>
      </c>
      <c r="I1386" s="129" t="s">
        <v>39</v>
      </c>
      <c r="J1386" s="129" t="s">
        <v>5291</v>
      </c>
      <c r="K1386" s="129" t="s">
        <v>1991</v>
      </c>
      <c r="L1386" s="129"/>
      <c r="M1386" s="129">
        <v>36</v>
      </c>
      <c r="N1386" s="129">
        <v>5</v>
      </c>
      <c r="O1386" s="129">
        <v>15</v>
      </c>
      <c r="P1386" s="129">
        <v>25</v>
      </c>
      <c r="Q1386" s="129">
        <v>40</v>
      </c>
      <c r="R1386" s="1231">
        <v>32.200000000000003</v>
      </c>
      <c r="S1386" s="1231">
        <v>483</v>
      </c>
      <c r="T1386" s="18" t="s">
        <v>929</v>
      </c>
      <c r="U1386" s="1876" t="s">
        <v>5544</v>
      </c>
      <c r="V1386" s="129"/>
      <c r="W1386" s="2046" t="s">
        <v>5292</v>
      </c>
      <c r="X1386" s="129"/>
      <c r="Y1386" s="130"/>
      <c r="Z1386" s="130"/>
    </row>
    <row r="1387" spans="1:26" ht="90" hidden="1">
      <c r="A1387" s="20">
        <v>1394</v>
      </c>
      <c r="B1387" s="1063">
        <v>41164</v>
      </c>
      <c r="C1387" s="911" t="s">
        <v>5293</v>
      </c>
      <c r="D1387" s="11" t="s">
        <v>6</v>
      </c>
      <c r="E1387" s="26" t="s">
        <v>4907</v>
      </c>
      <c r="F1387" s="54" t="s">
        <v>1398</v>
      </c>
      <c r="G1387" s="137" t="s">
        <v>5289</v>
      </c>
      <c r="H1387" s="129" t="s">
        <v>1803</v>
      </c>
      <c r="I1387" s="129" t="s">
        <v>53</v>
      </c>
      <c r="J1387" s="129" t="s">
        <v>5294</v>
      </c>
      <c r="K1387" s="129" t="s">
        <v>3691</v>
      </c>
      <c r="L1387" s="129"/>
      <c r="M1387" s="129">
        <v>36</v>
      </c>
      <c r="N1387" s="129">
        <v>1</v>
      </c>
      <c r="O1387" s="129">
        <v>15</v>
      </c>
      <c r="P1387" s="129">
        <v>25</v>
      </c>
      <c r="Q1387" s="129">
        <v>40</v>
      </c>
      <c r="R1387" s="1231">
        <v>451</v>
      </c>
      <c r="S1387" s="1231">
        <v>6765</v>
      </c>
      <c r="T1387" s="22" t="s">
        <v>929</v>
      </c>
      <c r="U1387" s="1876" t="s">
        <v>5544</v>
      </c>
      <c r="V1387" s="129"/>
      <c r="W1387" s="2046" t="s">
        <v>3696</v>
      </c>
      <c r="X1387" s="129"/>
      <c r="Y1387" s="130"/>
      <c r="Z1387" s="130"/>
    </row>
    <row r="1388" spans="1:26" ht="72" hidden="1">
      <c r="A1388" s="20">
        <v>1395</v>
      </c>
      <c r="B1388" s="1063">
        <v>41165</v>
      </c>
      <c r="C1388" s="54" t="s">
        <v>1038</v>
      </c>
      <c r="D1388" s="11" t="s">
        <v>6</v>
      </c>
      <c r="E1388" s="26" t="s">
        <v>4907</v>
      </c>
      <c r="F1388" s="54" t="s">
        <v>1398</v>
      </c>
      <c r="G1388" s="129" t="s">
        <v>5295</v>
      </c>
      <c r="H1388" s="129" t="s">
        <v>511</v>
      </c>
      <c r="I1388" s="129" t="s">
        <v>53</v>
      </c>
      <c r="J1388" s="129" t="s">
        <v>512</v>
      </c>
      <c r="K1388" s="129" t="s">
        <v>2281</v>
      </c>
      <c r="L1388" s="129"/>
      <c r="M1388" s="129">
        <v>36</v>
      </c>
      <c r="N1388" s="129">
        <v>1</v>
      </c>
      <c r="O1388" s="129">
        <v>12</v>
      </c>
      <c r="P1388" s="129">
        <v>28</v>
      </c>
      <c r="Q1388" s="129">
        <v>40</v>
      </c>
      <c r="R1388" s="1231">
        <v>67</v>
      </c>
      <c r="S1388" s="1231">
        <v>804</v>
      </c>
      <c r="T1388" s="18" t="s">
        <v>929</v>
      </c>
      <c r="U1388" s="1876" t="s">
        <v>5544</v>
      </c>
      <c r="V1388" s="129"/>
      <c r="W1388" s="2046" t="s">
        <v>2074</v>
      </c>
      <c r="X1388" s="129"/>
      <c r="Y1388" s="130"/>
      <c r="Z1388" s="130"/>
    </row>
    <row r="1389" spans="1:26" ht="37.5" hidden="1">
      <c r="A1389" s="20">
        <v>1396</v>
      </c>
      <c r="B1389" s="1063">
        <v>41166</v>
      </c>
      <c r="C1389" s="54" t="s">
        <v>5545</v>
      </c>
      <c r="D1389" s="11" t="s">
        <v>6</v>
      </c>
      <c r="E1389" s="26" t="s">
        <v>4907</v>
      </c>
      <c r="F1389" s="54" t="s">
        <v>1398</v>
      </c>
      <c r="G1389" s="129" t="s">
        <v>5326</v>
      </c>
      <c r="H1389" s="129" t="s">
        <v>1098</v>
      </c>
      <c r="I1389" s="129" t="s">
        <v>53</v>
      </c>
      <c r="J1389" s="129" t="s">
        <v>3737</v>
      </c>
      <c r="K1389" s="129" t="s">
        <v>3738</v>
      </c>
      <c r="L1389" s="129"/>
      <c r="M1389" s="129">
        <v>36</v>
      </c>
      <c r="N1389" s="129">
        <v>1</v>
      </c>
      <c r="O1389" s="129">
        <v>30</v>
      </c>
      <c r="P1389" s="129">
        <v>12</v>
      </c>
      <c r="Q1389" s="129">
        <v>42</v>
      </c>
      <c r="R1389" s="1231">
        <v>44</v>
      </c>
      <c r="S1389" s="1231">
        <v>1320</v>
      </c>
      <c r="T1389" s="22" t="s">
        <v>929</v>
      </c>
      <c r="U1389" s="1876" t="s">
        <v>5544</v>
      </c>
      <c r="V1389" s="129"/>
      <c r="W1389" s="2064" t="s">
        <v>3739</v>
      </c>
      <c r="X1389" s="129"/>
      <c r="Y1389" s="130"/>
      <c r="Z1389" s="130"/>
    </row>
    <row r="1390" spans="1:26" ht="54" hidden="1">
      <c r="A1390" s="20">
        <v>1397</v>
      </c>
      <c r="B1390" s="1063">
        <v>41167</v>
      </c>
      <c r="C1390" s="911" t="s">
        <v>5546</v>
      </c>
      <c r="D1390" s="11" t="s">
        <v>6</v>
      </c>
      <c r="E1390" s="26" t="s">
        <v>4907</v>
      </c>
      <c r="F1390" s="54" t="s">
        <v>1398</v>
      </c>
      <c r="G1390" s="129" t="s">
        <v>5547</v>
      </c>
      <c r="H1390" s="129" t="s">
        <v>1098</v>
      </c>
      <c r="I1390" s="129" t="s">
        <v>53</v>
      </c>
      <c r="J1390" s="129" t="s">
        <v>3727</v>
      </c>
      <c r="K1390" s="129" t="s">
        <v>3728</v>
      </c>
      <c r="L1390" s="129"/>
      <c r="M1390" s="129">
        <v>14</v>
      </c>
      <c r="N1390" s="129">
        <v>1</v>
      </c>
      <c r="O1390" s="129">
        <v>5</v>
      </c>
      <c r="P1390" s="129">
        <v>12</v>
      </c>
      <c r="Q1390" s="129">
        <v>17</v>
      </c>
      <c r="R1390" s="1231">
        <v>38</v>
      </c>
      <c r="S1390" s="1231">
        <v>190</v>
      </c>
      <c r="T1390" s="18" t="s">
        <v>929</v>
      </c>
      <c r="U1390" s="1876" t="s">
        <v>5544</v>
      </c>
      <c r="V1390" s="129"/>
      <c r="W1390" s="2046" t="s">
        <v>3729</v>
      </c>
      <c r="X1390" s="164"/>
      <c r="Y1390" s="165"/>
      <c r="Z1390" s="165"/>
    </row>
    <row r="1391" spans="1:26" ht="72" hidden="1">
      <c r="A1391" s="20">
        <v>1398</v>
      </c>
      <c r="B1391" s="1063">
        <v>41168</v>
      </c>
      <c r="C1391" s="54" t="s">
        <v>5548</v>
      </c>
      <c r="D1391" s="11" t="s">
        <v>6</v>
      </c>
      <c r="E1391" s="26" t="s">
        <v>4907</v>
      </c>
      <c r="F1391" s="54" t="s">
        <v>1398</v>
      </c>
      <c r="G1391" s="129" t="s">
        <v>5549</v>
      </c>
      <c r="H1391" s="129" t="s">
        <v>5550</v>
      </c>
      <c r="I1391" s="129" t="s">
        <v>53</v>
      </c>
      <c r="J1391" s="129" t="s">
        <v>5551</v>
      </c>
      <c r="K1391" s="129" t="s">
        <v>5552</v>
      </c>
      <c r="L1391" s="129"/>
      <c r="M1391" s="129">
        <v>18</v>
      </c>
      <c r="N1391" s="129">
        <v>1</v>
      </c>
      <c r="O1391" s="129">
        <v>25</v>
      </c>
      <c r="P1391" s="129">
        <v>0</v>
      </c>
      <c r="Q1391" s="129">
        <v>25</v>
      </c>
      <c r="R1391" s="1231">
        <v>41</v>
      </c>
      <c r="S1391" s="1231">
        <v>1025</v>
      </c>
      <c r="T1391" s="22" t="s">
        <v>929</v>
      </c>
      <c r="U1391" s="1876" t="s">
        <v>5544</v>
      </c>
      <c r="V1391" s="129"/>
      <c r="W1391" s="2046" t="s">
        <v>5553</v>
      </c>
      <c r="X1391" s="129"/>
      <c r="Y1391" s="130"/>
      <c r="Z1391" s="130"/>
    </row>
    <row r="1392" spans="1:26" ht="54" hidden="1">
      <c r="A1392" s="20">
        <v>1399</v>
      </c>
      <c r="B1392" s="1063">
        <v>41169</v>
      </c>
      <c r="C1392" s="54" t="s">
        <v>5310</v>
      </c>
      <c r="D1392" s="11" t="s">
        <v>6</v>
      </c>
      <c r="E1392" s="26" t="s">
        <v>4907</v>
      </c>
      <c r="F1392" s="54" t="s">
        <v>1398</v>
      </c>
      <c r="G1392" s="129" t="s">
        <v>5311</v>
      </c>
      <c r="H1392" s="129" t="s">
        <v>184</v>
      </c>
      <c r="I1392" s="129" t="s">
        <v>53</v>
      </c>
      <c r="J1392" s="129" t="s">
        <v>5312</v>
      </c>
      <c r="K1392" s="129" t="s">
        <v>5313</v>
      </c>
      <c r="L1392" s="129"/>
      <c r="M1392" s="129">
        <v>42</v>
      </c>
      <c r="N1392" s="129">
        <v>1</v>
      </c>
      <c r="O1392" s="129">
        <v>12</v>
      </c>
      <c r="P1392" s="129">
        <v>35</v>
      </c>
      <c r="Q1392" s="129">
        <v>47</v>
      </c>
      <c r="R1392" s="1231">
        <v>18</v>
      </c>
      <c r="S1392" s="1231">
        <v>216</v>
      </c>
      <c r="T1392" s="18" t="s">
        <v>929</v>
      </c>
      <c r="U1392" s="1876" t="s">
        <v>5544</v>
      </c>
      <c r="V1392" s="129"/>
      <c r="W1392" s="2046" t="s">
        <v>5314</v>
      </c>
      <c r="X1392" s="129"/>
      <c r="Y1392" s="130"/>
      <c r="Z1392" s="130"/>
    </row>
    <row r="1393" spans="1:26" ht="72" hidden="1">
      <c r="A1393" s="20">
        <v>1400</v>
      </c>
      <c r="B1393" s="1063">
        <v>41170</v>
      </c>
      <c r="C1393" s="54" t="s">
        <v>5554</v>
      </c>
      <c r="D1393" s="11" t="s">
        <v>6</v>
      </c>
      <c r="E1393" s="26" t="s">
        <v>4907</v>
      </c>
      <c r="F1393" s="54" t="s">
        <v>1398</v>
      </c>
      <c r="G1393" s="129" t="s">
        <v>5555</v>
      </c>
      <c r="H1393" s="129" t="s">
        <v>578</v>
      </c>
      <c r="I1393" s="129" t="s">
        <v>53</v>
      </c>
      <c r="J1393" s="129" t="s">
        <v>5556</v>
      </c>
      <c r="K1393" s="129" t="s">
        <v>5557</v>
      </c>
      <c r="L1393" s="129"/>
      <c r="M1393" s="129">
        <v>6</v>
      </c>
      <c r="N1393" s="129">
        <v>1</v>
      </c>
      <c r="O1393" s="129">
        <v>10</v>
      </c>
      <c r="P1393" s="129">
        <v>3</v>
      </c>
      <c r="Q1393" s="129">
        <v>13</v>
      </c>
      <c r="R1393" s="1231">
        <v>13</v>
      </c>
      <c r="S1393" s="1231">
        <v>130</v>
      </c>
      <c r="T1393" s="22" t="s">
        <v>929</v>
      </c>
      <c r="U1393" s="1876" t="s">
        <v>5544</v>
      </c>
      <c r="V1393" s="129"/>
      <c r="W1393" s="2046" t="s">
        <v>5558</v>
      </c>
      <c r="X1393" s="129"/>
      <c r="Y1393" s="130"/>
      <c r="Z1393" s="130"/>
    </row>
    <row r="1394" spans="1:26" ht="14.1" hidden="1">
      <c r="A1394" s="20">
        <v>1401</v>
      </c>
      <c r="B1394" s="1063">
        <v>41171</v>
      </c>
      <c r="C1394" s="26" t="s">
        <v>5559</v>
      </c>
      <c r="D1394" s="11" t="s">
        <v>6</v>
      </c>
      <c r="E1394" s="26" t="s">
        <v>4907</v>
      </c>
      <c r="F1394" s="18" t="s">
        <v>970</v>
      </c>
      <c r="G1394" s="18" t="s">
        <v>3529</v>
      </c>
      <c r="H1394" s="18" t="s">
        <v>3525</v>
      </c>
      <c r="I1394" s="18" t="s">
        <v>3525</v>
      </c>
      <c r="J1394" s="18"/>
      <c r="K1394" s="18"/>
      <c r="L1394" s="18"/>
      <c r="M1394" s="18">
        <v>3</v>
      </c>
      <c r="N1394" s="18">
        <v>1</v>
      </c>
      <c r="O1394" s="18">
        <v>8</v>
      </c>
      <c r="P1394" s="18">
        <v>0</v>
      </c>
      <c r="Q1394" s="18">
        <v>8</v>
      </c>
      <c r="R1394" s="1215">
        <v>146931</v>
      </c>
      <c r="S1394" s="1215">
        <v>146931</v>
      </c>
      <c r="T1394" s="18" t="s">
        <v>929</v>
      </c>
      <c r="U1394" s="1859" t="s">
        <v>5560</v>
      </c>
      <c r="V1394" s="26" t="s">
        <v>931</v>
      </c>
      <c r="W1394" s="2008" t="s">
        <v>5265</v>
      </c>
      <c r="X1394" s="18" t="s">
        <v>5529</v>
      </c>
      <c r="Y1394" s="4"/>
      <c r="Z1394" s="4"/>
    </row>
    <row r="1395" spans="1:26" ht="14.1" hidden="1">
      <c r="A1395" s="20">
        <v>1402</v>
      </c>
      <c r="B1395" s="1063">
        <v>41172</v>
      </c>
      <c r="C1395" s="26" t="s">
        <v>5203</v>
      </c>
      <c r="D1395" s="11"/>
      <c r="E1395" s="26" t="s">
        <v>4907</v>
      </c>
      <c r="F1395" s="18" t="s">
        <v>4660</v>
      </c>
      <c r="G1395" s="18" t="s">
        <v>5561</v>
      </c>
      <c r="H1395" s="18" t="s">
        <v>5206</v>
      </c>
      <c r="I1395" s="18" t="s">
        <v>5562</v>
      </c>
      <c r="J1395" s="18" t="s">
        <v>5563</v>
      </c>
      <c r="K1395" s="18" t="s">
        <v>5564</v>
      </c>
      <c r="L1395" s="18"/>
      <c r="M1395" s="18">
        <v>1</v>
      </c>
      <c r="N1395" s="18">
        <v>1</v>
      </c>
      <c r="O1395" s="18">
        <v>1</v>
      </c>
      <c r="P1395" s="18">
        <v>0</v>
      </c>
      <c r="Q1395" s="18">
        <v>0</v>
      </c>
      <c r="R1395" s="1215">
        <v>37950</v>
      </c>
      <c r="S1395" s="1215">
        <v>37950</v>
      </c>
      <c r="T1395" s="18" t="s">
        <v>929</v>
      </c>
      <c r="U1395" s="1859" t="s">
        <v>5182</v>
      </c>
      <c r="V1395" s="26" t="s">
        <v>104</v>
      </c>
      <c r="W1395" s="2008" t="s">
        <v>5565</v>
      </c>
      <c r="X1395" s="18"/>
      <c r="Y1395" s="4"/>
      <c r="Z1395" s="4"/>
    </row>
    <row r="1396" spans="1:26" ht="38.450000000000003" hidden="1">
      <c r="A1396" s="20">
        <v>1403</v>
      </c>
      <c r="B1396" s="1063">
        <v>41173</v>
      </c>
      <c r="C1396" s="26" t="s">
        <v>1109</v>
      </c>
      <c r="D1396" s="11" t="s">
        <v>6</v>
      </c>
      <c r="E1396" s="26" t="s">
        <v>4907</v>
      </c>
      <c r="F1396" s="26" t="s">
        <v>2876</v>
      </c>
      <c r="G1396" s="166" t="s">
        <v>5566</v>
      </c>
      <c r="H1396" s="640" t="s">
        <v>1111</v>
      </c>
      <c r="I1396" s="640" t="s">
        <v>281</v>
      </c>
      <c r="J1396" s="640" t="s">
        <v>1112</v>
      </c>
      <c r="K1396" s="641" t="s">
        <v>1113</v>
      </c>
      <c r="L1396" s="640"/>
      <c r="M1396" s="640">
        <v>6</v>
      </c>
      <c r="N1396" s="26">
        <v>1</v>
      </c>
      <c r="O1396" s="26">
        <v>12</v>
      </c>
      <c r="P1396" s="26">
        <v>0</v>
      </c>
      <c r="Q1396" s="26">
        <v>12</v>
      </c>
      <c r="R1396" s="1209">
        <v>229</v>
      </c>
      <c r="S1396" s="1209">
        <f>O1396*R1396</f>
        <v>2748</v>
      </c>
      <c r="T1396" s="26" t="s">
        <v>929</v>
      </c>
      <c r="U1396" s="1871" t="s">
        <v>448</v>
      </c>
      <c r="V1396" s="26" t="s">
        <v>104</v>
      </c>
      <c r="W1396" s="2037" t="s">
        <v>1115</v>
      </c>
      <c r="X1396" s="18"/>
      <c r="Y1396" s="4"/>
      <c r="Z1396" s="4"/>
    </row>
    <row r="1397" spans="1:26" ht="14.1" hidden="1">
      <c r="A1397" s="20">
        <v>1404</v>
      </c>
      <c r="B1397" s="1063">
        <v>41174</v>
      </c>
      <c r="C1397" s="26" t="s">
        <v>5567</v>
      </c>
      <c r="D1397" s="11" t="s">
        <v>6</v>
      </c>
      <c r="E1397" s="26" t="s">
        <v>4907</v>
      </c>
      <c r="F1397" s="26" t="s">
        <v>2876</v>
      </c>
      <c r="G1397" s="26" t="s">
        <v>5568</v>
      </c>
      <c r="H1397" s="26" t="s">
        <v>5569</v>
      </c>
      <c r="I1397" s="26" t="s">
        <v>5569</v>
      </c>
      <c r="J1397" s="26"/>
      <c r="K1397" s="26"/>
      <c r="L1397" s="26"/>
      <c r="M1397" s="26">
        <v>15</v>
      </c>
      <c r="N1397" s="26">
        <v>50</v>
      </c>
      <c r="O1397" s="26">
        <v>50</v>
      </c>
      <c r="P1397" s="26">
        <v>0</v>
      </c>
      <c r="Q1397" s="26">
        <v>50</v>
      </c>
      <c r="R1397" s="1209">
        <v>170</v>
      </c>
      <c r="S1397" s="1209">
        <f>R1397*O1397</f>
        <v>8500</v>
      </c>
      <c r="T1397" s="26" t="s">
        <v>929</v>
      </c>
      <c r="U1397" s="1871" t="s">
        <v>448</v>
      </c>
      <c r="V1397" s="26"/>
      <c r="W1397" s="2015"/>
      <c r="X1397" s="18"/>
      <c r="Y1397" s="4"/>
      <c r="Z1397" s="4"/>
    </row>
    <row r="1398" spans="1:26" ht="15.95" hidden="1">
      <c r="A1398" s="20">
        <v>1405</v>
      </c>
      <c r="B1398" s="1063">
        <v>41175</v>
      </c>
      <c r="C1398" s="26" t="s">
        <v>5570</v>
      </c>
      <c r="D1398" s="11"/>
      <c r="E1398" s="26" t="s">
        <v>5571</v>
      </c>
      <c r="F1398" s="26" t="s">
        <v>2876</v>
      </c>
      <c r="G1398" s="26" t="s">
        <v>5572</v>
      </c>
      <c r="H1398" s="26" t="s">
        <v>5573</v>
      </c>
      <c r="I1398" s="26"/>
      <c r="J1398" s="124" t="s">
        <v>5574</v>
      </c>
      <c r="K1398" s="26"/>
      <c r="L1398" s="26"/>
      <c r="M1398" s="26">
        <v>1</v>
      </c>
      <c r="N1398" s="26">
        <v>1</v>
      </c>
      <c r="O1398" s="26">
        <v>1</v>
      </c>
      <c r="P1398" s="26">
        <v>0</v>
      </c>
      <c r="Q1398" s="26">
        <v>1</v>
      </c>
      <c r="R1398" s="1209">
        <v>2590</v>
      </c>
      <c r="S1398" s="1209">
        <v>2590</v>
      </c>
      <c r="T1398" s="26" t="s">
        <v>311</v>
      </c>
      <c r="U1398" s="1871" t="s">
        <v>311</v>
      </c>
      <c r="V1398" s="26" t="s">
        <v>5575</v>
      </c>
      <c r="W1398" s="2037" t="s">
        <v>5576</v>
      </c>
      <c r="X1398" s="18"/>
      <c r="Y1398" s="4"/>
      <c r="Z1398" s="4"/>
    </row>
    <row r="1399" spans="1:26" ht="24.95" hidden="1">
      <c r="A1399" s="20">
        <v>1406</v>
      </c>
      <c r="B1399" s="1063">
        <v>41176</v>
      </c>
      <c r="C1399" s="26" t="s">
        <v>5577</v>
      </c>
      <c r="D1399" s="11" t="s">
        <v>6</v>
      </c>
      <c r="E1399" s="26" t="s">
        <v>5578</v>
      </c>
      <c r="F1399" s="26" t="s">
        <v>5403</v>
      </c>
      <c r="G1399" s="26" t="s">
        <v>5579</v>
      </c>
      <c r="H1399" s="26" t="s">
        <v>5580</v>
      </c>
      <c r="I1399" s="26" t="s">
        <v>5580</v>
      </c>
      <c r="J1399" s="26"/>
      <c r="K1399" s="26"/>
      <c r="L1399" s="26"/>
      <c r="M1399" s="26">
        <v>4</v>
      </c>
      <c r="N1399" s="26">
        <v>4</v>
      </c>
      <c r="O1399" s="26">
        <v>4</v>
      </c>
      <c r="P1399" s="26">
        <v>0</v>
      </c>
      <c r="Q1399" s="26">
        <v>4</v>
      </c>
      <c r="R1399" s="1209">
        <v>4000</v>
      </c>
      <c r="S1399" s="1209">
        <v>19800</v>
      </c>
      <c r="T1399" s="26" t="s">
        <v>87</v>
      </c>
      <c r="U1399" s="1871" t="s">
        <v>5387</v>
      </c>
      <c r="V1399" s="26" t="s">
        <v>5581</v>
      </c>
      <c r="W1399" s="2008" t="s">
        <v>5582</v>
      </c>
      <c r="X1399" s="18"/>
      <c r="Y1399" s="4"/>
      <c r="Z1399" s="4"/>
    </row>
    <row r="1400" spans="1:26" ht="24.95" hidden="1">
      <c r="A1400" s="20">
        <v>1407</v>
      </c>
      <c r="B1400" s="1063">
        <v>41177</v>
      </c>
      <c r="C1400" s="26" t="s">
        <v>5583</v>
      </c>
      <c r="D1400" s="11"/>
      <c r="E1400" s="26" t="s">
        <v>5571</v>
      </c>
      <c r="F1400" s="26" t="s">
        <v>131</v>
      </c>
      <c r="G1400" s="26" t="s">
        <v>5584</v>
      </c>
      <c r="H1400" s="26" t="s">
        <v>5585</v>
      </c>
      <c r="I1400" s="26" t="s">
        <v>281</v>
      </c>
      <c r="J1400" s="26" t="s">
        <v>5586</v>
      </c>
      <c r="K1400" s="26" t="s">
        <v>5586</v>
      </c>
      <c r="L1400" s="26"/>
      <c r="M1400" s="26">
        <v>1</v>
      </c>
      <c r="N1400" s="26">
        <v>1</v>
      </c>
      <c r="O1400" s="26">
        <v>1</v>
      </c>
      <c r="P1400" s="26">
        <v>0</v>
      </c>
      <c r="Q1400" s="26">
        <v>0</v>
      </c>
      <c r="R1400" s="1209">
        <v>10642</v>
      </c>
      <c r="S1400" s="1209">
        <v>10642</v>
      </c>
      <c r="T1400" s="26" t="s">
        <v>5448</v>
      </c>
      <c r="U1400" s="1871" t="s">
        <v>5587</v>
      </c>
      <c r="V1400" s="26" t="s">
        <v>3140</v>
      </c>
      <c r="W1400" s="2008" t="s">
        <v>5588</v>
      </c>
      <c r="X1400" s="26"/>
      <c r="Y1400" s="71"/>
      <c r="Z1400" s="71"/>
    </row>
    <row r="1401" spans="1:26" ht="14.1" hidden="1">
      <c r="A1401" s="20">
        <v>1408</v>
      </c>
      <c r="B1401" s="1063">
        <v>41178</v>
      </c>
      <c r="C1401" s="26" t="s">
        <v>5589</v>
      </c>
      <c r="D1401" s="11" t="s">
        <v>6</v>
      </c>
      <c r="E1401" s="26" t="s">
        <v>4907</v>
      </c>
      <c r="F1401" s="26" t="s">
        <v>2693</v>
      </c>
      <c r="G1401" s="26" t="s">
        <v>5590</v>
      </c>
      <c r="H1401" s="26" t="s">
        <v>3525</v>
      </c>
      <c r="I1401" s="26" t="s">
        <v>3525</v>
      </c>
      <c r="J1401" s="26"/>
      <c r="K1401" s="26"/>
      <c r="L1401" s="26"/>
      <c r="M1401" s="26">
        <v>1</v>
      </c>
      <c r="N1401" s="26">
        <v>1</v>
      </c>
      <c r="O1401" s="26">
        <v>2</v>
      </c>
      <c r="P1401" s="26">
        <v>0</v>
      </c>
      <c r="Q1401" s="26">
        <v>1</v>
      </c>
      <c r="R1401" s="1209">
        <v>79959</v>
      </c>
      <c r="S1401" s="1209">
        <v>159918</v>
      </c>
      <c r="T1401" s="26" t="s">
        <v>929</v>
      </c>
      <c r="U1401" s="1871" t="s">
        <v>1136</v>
      </c>
      <c r="V1401" s="26" t="s">
        <v>352</v>
      </c>
      <c r="W1401" s="2008" t="s">
        <v>401</v>
      </c>
      <c r="X1401" s="26"/>
      <c r="Y1401" s="71"/>
      <c r="Z1401" s="71"/>
    </row>
    <row r="1402" spans="1:26" ht="50.1" hidden="1">
      <c r="A1402" s="20">
        <v>1409</v>
      </c>
      <c r="B1402" s="1063">
        <v>41179</v>
      </c>
      <c r="C1402" s="26" t="s">
        <v>5591</v>
      </c>
      <c r="D1402" s="11"/>
      <c r="E1402" s="26"/>
      <c r="F1402" s="26" t="s">
        <v>99</v>
      </c>
      <c r="G1402" s="26" t="s">
        <v>5592</v>
      </c>
      <c r="H1402" s="26" t="s">
        <v>5593</v>
      </c>
      <c r="I1402" s="26" t="s">
        <v>5594</v>
      </c>
      <c r="J1402" s="26" t="s">
        <v>5595</v>
      </c>
      <c r="K1402" s="26"/>
      <c r="L1402" s="26"/>
      <c r="M1402" s="26">
        <v>1</v>
      </c>
      <c r="N1402" s="26">
        <v>1</v>
      </c>
      <c r="O1402" s="26">
        <v>1</v>
      </c>
      <c r="P1402" s="26">
        <v>0</v>
      </c>
      <c r="Q1402" s="26">
        <v>1</v>
      </c>
      <c r="R1402" s="1209">
        <v>37180</v>
      </c>
      <c r="S1402" s="1209">
        <v>37180</v>
      </c>
      <c r="T1402" s="26" t="s">
        <v>688</v>
      </c>
      <c r="U1402" s="1871"/>
      <c r="V1402" s="26" t="s">
        <v>5596</v>
      </c>
      <c r="W1402" s="2008" t="s">
        <v>5597</v>
      </c>
      <c r="X1402" s="18"/>
      <c r="Y1402" s="4"/>
      <c r="Z1402" s="4"/>
    </row>
    <row r="1403" spans="1:26" ht="14.1" hidden="1">
      <c r="A1403" s="20">
        <v>1410</v>
      </c>
      <c r="B1403" s="1063">
        <v>41180</v>
      </c>
      <c r="C1403" s="26" t="s">
        <v>5598</v>
      </c>
      <c r="D1403" s="11" t="s">
        <v>6</v>
      </c>
      <c r="E1403" s="26" t="s">
        <v>62</v>
      </c>
      <c r="F1403" s="26" t="s">
        <v>5599</v>
      </c>
      <c r="G1403" s="26" t="s">
        <v>5600</v>
      </c>
      <c r="H1403" s="26" t="s">
        <v>5601</v>
      </c>
      <c r="I1403" s="26" t="s">
        <v>1597</v>
      </c>
      <c r="J1403" s="26" t="s">
        <v>5602</v>
      </c>
      <c r="K1403" s="26" t="s">
        <v>5602</v>
      </c>
      <c r="L1403" s="26"/>
      <c r="M1403" s="26">
        <v>1</v>
      </c>
      <c r="N1403" s="26">
        <v>1</v>
      </c>
      <c r="O1403" s="26">
        <v>1</v>
      </c>
      <c r="P1403" s="26">
        <v>0</v>
      </c>
      <c r="Q1403" s="26">
        <v>0</v>
      </c>
      <c r="R1403" s="1209">
        <v>1080</v>
      </c>
      <c r="S1403" s="1209">
        <v>1080</v>
      </c>
      <c r="T1403" s="26" t="s">
        <v>5603</v>
      </c>
      <c r="U1403" s="1871"/>
      <c r="V1403" s="26" t="s">
        <v>5604</v>
      </c>
      <c r="W1403" s="2008" t="s">
        <v>5605</v>
      </c>
      <c r="X1403" s="18"/>
      <c r="Y1403" s="4"/>
      <c r="Z1403" s="4"/>
    </row>
    <row r="1404" spans="1:26" ht="37.5" hidden="1">
      <c r="A1404" s="20">
        <v>1411</v>
      </c>
      <c r="B1404" s="1063">
        <v>41181</v>
      </c>
      <c r="C1404" s="26" t="s">
        <v>5606</v>
      </c>
      <c r="D1404" s="11"/>
      <c r="E1404" s="26" t="s">
        <v>5607</v>
      </c>
      <c r="F1404" s="26" t="s">
        <v>73</v>
      </c>
      <c r="G1404" s="26" t="s">
        <v>5608</v>
      </c>
      <c r="H1404" s="26" t="s">
        <v>5609</v>
      </c>
      <c r="I1404" s="26" t="s">
        <v>366</v>
      </c>
      <c r="J1404" s="26" t="s">
        <v>5610</v>
      </c>
      <c r="K1404" s="26" t="s">
        <v>5610</v>
      </c>
      <c r="L1404" s="26" t="s">
        <v>5611</v>
      </c>
      <c r="M1404" s="26">
        <v>3</v>
      </c>
      <c r="N1404" s="26">
        <v>1</v>
      </c>
      <c r="O1404" s="26">
        <v>3</v>
      </c>
      <c r="P1404" s="26">
        <v>0</v>
      </c>
      <c r="Q1404" s="26">
        <v>0</v>
      </c>
      <c r="R1404" s="1209">
        <v>710</v>
      </c>
      <c r="S1404" s="1209">
        <v>2130</v>
      </c>
      <c r="T1404" s="26" t="s">
        <v>5607</v>
      </c>
      <c r="U1404" s="1871" t="s">
        <v>5612</v>
      </c>
      <c r="V1404" s="26" t="s">
        <v>1</v>
      </c>
      <c r="W1404" s="2008" t="s">
        <v>5613</v>
      </c>
      <c r="X1404" s="18"/>
      <c r="Y1404" s="4"/>
      <c r="Z1404" s="4"/>
    </row>
    <row r="1405" spans="1:26" ht="62.45" hidden="1">
      <c r="A1405" s="20">
        <v>1412</v>
      </c>
      <c r="B1405" s="1063">
        <v>41182</v>
      </c>
      <c r="C1405" s="26" t="s">
        <v>5606</v>
      </c>
      <c r="D1405" s="11"/>
      <c r="E1405" s="26" t="s">
        <v>5607</v>
      </c>
      <c r="F1405" s="26" t="s">
        <v>73</v>
      </c>
      <c r="G1405" s="26" t="s">
        <v>5614</v>
      </c>
      <c r="H1405" s="26" t="s">
        <v>5609</v>
      </c>
      <c r="I1405" s="26" t="s">
        <v>366</v>
      </c>
      <c r="J1405" s="26" t="s">
        <v>5615</v>
      </c>
      <c r="K1405" s="26" t="s">
        <v>5615</v>
      </c>
      <c r="L1405" s="26" t="s">
        <v>5611</v>
      </c>
      <c r="M1405" s="26">
        <v>4</v>
      </c>
      <c r="N1405" s="26">
        <v>1</v>
      </c>
      <c r="O1405" s="26">
        <v>4</v>
      </c>
      <c r="P1405" s="26">
        <v>0</v>
      </c>
      <c r="Q1405" s="26">
        <v>0</v>
      </c>
      <c r="R1405" s="1209">
        <v>680</v>
      </c>
      <c r="S1405" s="1209">
        <v>2720</v>
      </c>
      <c r="T1405" s="26" t="s">
        <v>5607</v>
      </c>
      <c r="U1405" s="1871" t="s">
        <v>5612</v>
      </c>
      <c r="V1405" s="26" t="s">
        <v>1</v>
      </c>
      <c r="W1405" s="2008" t="s">
        <v>5616</v>
      </c>
      <c r="X1405" s="18"/>
      <c r="Y1405" s="4"/>
      <c r="Z1405" s="4"/>
    </row>
    <row r="1406" spans="1:26" ht="50.1" hidden="1">
      <c r="A1406" s="20">
        <v>1413</v>
      </c>
      <c r="B1406" s="1063">
        <v>41183</v>
      </c>
      <c r="C1406" s="26" t="s">
        <v>5617</v>
      </c>
      <c r="D1406" s="11"/>
      <c r="E1406" s="26" t="s">
        <v>5607</v>
      </c>
      <c r="F1406" s="26" t="s">
        <v>73</v>
      </c>
      <c r="G1406" s="26" t="s">
        <v>5617</v>
      </c>
      <c r="H1406" s="26" t="s">
        <v>5609</v>
      </c>
      <c r="I1406" s="26" t="s">
        <v>366</v>
      </c>
      <c r="J1406" s="26" t="s">
        <v>5618</v>
      </c>
      <c r="K1406" s="26" t="s">
        <v>5618</v>
      </c>
      <c r="L1406" s="26" t="s">
        <v>5619</v>
      </c>
      <c r="M1406" s="26">
        <v>1</v>
      </c>
      <c r="N1406" s="26">
        <v>1</v>
      </c>
      <c r="O1406" s="26">
        <v>1</v>
      </c>
      <c r="P1406" s="26">
        <v>0</v>
      </c>
      <c r="Q1406" s="26">
        <v>0</v>
      </c>
      <c r="R1406" s="1209">
        <v>538</v>
      </c>
      <c r="S1406" s="1209">
        <v>538</v>
      </c>
      <c r="T1406" s="26" t="s">
        <v>5607</v>
      </c>
      <c r="U1406" s="1871" t="s">
        <v>5612</v>
      </c>
      <c r="V1406" s="26" t="s">
        <v>1</v>
      </c>
      <c r="W1406" s="2008" t="s">
        <v>5620</v>
      </c>
      <c r="X1406" s="26"/>
      <c r="Y1406" s="71"/>
      <c r="Z1406" s="71"/>
    </row>
    <row r="1407" spans="1:26" ht="62.45" hidden="1">
      <c r="A1407" s="20">
        <v>1414</v>
      </c>
      <c r="B1407" s="1063">
        <v>41184</v>
      </c>
      <c r="C1407" s="26" t="s">
        <v>5621</v>
      </c>
      <c r="D1407" s="11"/>
      <c r="E1407" s="26" t="s">
        <v>5607</v>
      </c>
      <c r="F1407" s="26" t="s">
        <v>73</v>
      </c>
      <c r="G1407" s="26" t="s">
        <v>5622</v>
      </c>
      <c r="H1407" s="26" t="s">
        <v>5609</v>
      </c>
      <c r="I1407" s="26" t="s">
        <v>366</v>
      </c>
      <c r="J1407" s="26" t="s">
        <v>5623</v>
      </c>
      <c r="K1407" s="26" t="s">
        <v>5623</v>
      </c>
      <c r="L1407" s="26" t="s">
        <v>5619</v>
      </c>
      <c r="M1407" s="26">
        <v>2</v>
      </c>
      <c r="N1407" s="26">
        <v>1</v>
      </c>
      <c r="O1407" s="26">
        <v>2</v>
      </c>
      <c r="P1407" s="26">
        <v>0</v>
      </c>
      <c r="Q1407" s="26">
        <v>0</v>
      </c>
      <c r="R1407" s="1209">
        <v>1320</v>
      </c>
      <c r="S1407" s="1209">
        <v>2640</v>
      </c>
      <c r="T1407" s="26" t="s">
        <v>5607</v>
      </c>
      <c r="U1407" s="1871" t="s">
        <v>5612</v>
      </c>
      <c r="V1407" s="26" t="s">
        <v>1</v>
      </c>
      <c r="W1407" s="2008" t="s">
        <v>5624</v>
      </c>
      <c r="X1407" s="26"/>
      <c r="Y1407" s="71"/>
      <c r="Z1407" s="71"/>
    </row>
    <row r="1408" spans="1:26" ht="50.1" hidden="1">
      <c r="A1408" s="20">
        <v>1415</v>
      </c>
      <c r="B1408" s="1063">
        <v>41185</v>
      </c>
      <c r="C1408" s="26" t="s">
        <v>5625</v>
      </c>
      <c r="D1408" s="11"/>
      <c r="E1408" s="26" t="s">
        <v>5607</v>
      </c>
      <c r="F1408" s="26" t="s">
        <v>73</v>
      </c>
      <c r="G1408" s="26" t="s">
        <v>5625</v>
      </c>
      <c r="H1408" s="26" t="s">
        <v>5609</v>
      </c>
      <c r="I1408" s="26" t="s">
        <v>366</v>
      </c>
      <c r="J1408" s="26" t="s">
        <v>5626</v>
      </c>
      <c r="K1408" s="26" t="s">
        <v>5626</v>
      </c>
      <c r="L1408" s="26"/>
      <c r="M1408" s="26">
        <v>16</v>
      </c>
      <c r="N1408" s="26">
        <v>1</v>
      </c>
      <c r="O1408" s="26">
        <v>16</v>
      </c>
      <c r="P1408" s="26">
        <v>0</v>
      </c>
      <c r="Q1408" s="26">
        <v>0</v>
      </c>
      <c r="R1408" s="1209">
        <v>38</v>
      </c>
      <c r="S1408" s="1209">
        <v>608</v>
      </c>
      <c r="T1408" s="26" t="s">
        <v>5607</v>
      </c>
      <c r="U1408" s="1871" t="s">
        <v>5612</v>
      </c>
      <c r="V1408" s="26" t="s">
        <v>1</v>
      </c>
      <c r="W1408" s="2008" t="s">
        <v>5627</v>
      </c>
      <c r="X1408" s="18"/>
      <c r="Y1408" s="4"/>
      <c r="Z1408" s="4"/>
    </row>
    <row r="1409" spans="1:26" ht="62.45" hidden="1">
      <c r="A1409" s="20">
        <v>1416</v>
      </c>
      <c r="B1409" s="1063">
        <v>41186</v>
      </c>
      <c r="C1409" s="26" t="s">
        <v>5628</v>
      </c>
      <c r="D1409" s="11"/>
      <c r="E1409" s="26" t="s">
        <v>5607</v>
      </c>
      <c r="F1409" s="26" t="s">
        <v>73</v>
      </c>
      <c r="G1409" s="26" t="s">
        <v>5628</v>
      </c>
      <c r="H1409" s="26" t="s">
        <v>5609</v>
      </c>
      <c r="I1409" s="26" t="s">
        <v>366</v>
      </c>
      <c r="J1409" s="26" t="s">
        <v>5629</v>
      </c>
      <c r="K1409" s="26" t="s">
        <v>5629</v>
      </c>
      <c r="L1409" s="26"/>
      <c r="M1409" s="26">
        <v>4</v>
      </c>
      <c r="N1409" s="26">
        <v>1</v>
      </c>
      <c r="O1409" s="26">
        <v>4</v>
      </c>
      <c r="P1409" s="26">
        <v>0</v>
      </c>
      <c r="Q1409" s="26">
        <v>0</v>
      </c>
      <c r="R1409" s="1209">
        <v>167</v>
      </c>
      <c r="S1409" s="1209">
        <v>668</v>
      </c>
      <c r="T1409" s="26" t="s">
        <v>5607</v>
      </c>
      <c r="U1409" s="1871" t="s">
        <v>5612</v>
      </c>
      <c r="V1409" s="26" t="s">
        <v>1</v>
      </c>
      <c r="W1409" s="2008" t="s">
        <v>5630</v>
      </c>
      <c r="X1409" s="18"/>
      <c r="Y1409" s="4"/>
      <c r="Z1409" s="4"/>
    </row>
    <row r="1410" spans="1:26" ht="62.45" hidden="1">
      <c r="A1410" s="20">
        <v>1417</v>
      </c>
      <c r="B1410" s="1063">
        <v>41187</v>
      </c>
      <c r="C1410" s="26" t="s">
        <v>5631</v>
      </c>
      <c r="D1410" s="11"/>
      <c r="E1410" s="26" t="s">
        <v>5607</v>
      </c>
      <c r="F1410" s="26" t="s">
        <v>73</v>
      </c>
      <c r="G1410" s="26" t="s">
        <v>5632</v>
      </c>
      <c r="H1410" s="26" t="s">
        <v>366</v>
      </c>
      <c r="I1410" s="26" t="s">
        <v>366</v>
      </c>
      <c r="J1410" s="26" t="s">
        <v>5633</v>
      </c>
      <c r="K1410" s="26" t="s">
        <v>5633</v>
      </c>
      <c r="L1410" s="26"/>
      <c r="M1410" s="26">
        <v>8</v>
      </c>
      <c r="N1410" s="26">
        <v>1</v>
      </c>
      <c r="O1410" s="26">
        <v>8</v>
      </c>
      <c r="P1410" s="26">
        <v>0</v>
      </c>
      <c r="Q1410" s="26">
        <v>0</v>
      </c>
      <c r="R1410" s="1209">
        <v>220</v>
      </c>
      <c r="S1410" s="1209">
        <v>1760</v>
      </c>
      <c r="T1410" s="26" t="s">
        <v>5607</v>
      </c>
      <c r="U1410" s="1871" t="s">
        <v>5612</v>
      </c>
      <c r="V1410" s="26" t="s">
        <v>1</v>
      </c>
      <c r="W1410" s="2008" t="s">
        <v>5634</v>
      </c>
      <c r="X1410" s="18"/>
      <c r="Y1410" s="4"/>
      <c r="Z1410" s="4"/>
    </row>
    <row r="1411" spans="1:26" ht="50.1" hidden="1">
      <c r="A1411" s="20">
        <v>1418</v>
      </c>
      <c r="B1411" s="1063">
        <v>41188</v>
      </c>
      <c r="C1411" s="26" t="s">
        <v>3196</v>
      </c>
      <c r="D1411" s="11"/>
      <c r="E1411" s="26" t="s">
        <v>5607</v>
      </c>
      <c r="F1411" s="26" t="s">
        <v>73</v>
      </c>
      <c r="G1411" s="26" t="s">
        <v>5635</v>
      </c>
      <c r="H1411" s="26" t="s">
        <v>366</v>
      </c>
      <c r="I1411" s="26" t="s">
        <v>366</v>
      </c>
      <c r="J1411" s="26" t="s">
        <v>3198</v>
      </c>
      <c r="K1411" s="26" t="s">
        <v>3198</v>
      </c>
      <c r="L1411" s="26"/>
      <c r="M1411" s="26">
        <v>2</v>
      </c>
      <c r="N1411" s="26">
        <v>1</v>
      </c>
      <c r="O1411" s="26">
        <v>2</v>
      </c>
      <c r="P1411" s="26">
        <v>0</v>
      </c>
      <c r="Q1411" s="26">
        <v>0</v>
      </c>
      <c r="R1411" s="1209">
        <v>1300</v>
      </c>
      <c r="S1411" s="1209">
        <v>2600</v>
      </c>
      <c r="T1411" s="26" t="s">
        <v>5607</v>
      </c>
      <c r="U1411" s="1871" t="s">
        <v>5612</v>
      </c>
      <c r="V1411" s="26" t="s">
        <v>1</v>
      </c>
      <c r="W1411" s="2008" t="s">
        <v>3199</v>
      </c>
      <c r="X1411" s="18"/>
      <c r="Y1411" s="4"/>
      <c r="Z1411" s="4"/>
    </row>
    <row r="1412" spans="1:26" ht="62.45" hidden="1">
      <c r="A1412" s="20">
        <v>1419</v>
      </c>
      <c r="B1412" s="1063">
        <v>41189</v>
      </c>
      <c r="C1412" s="26" t="s">
        <v>5621</v>
      </c>
      <c r="D1412" s="11"/>
      <c r="E1412" s="26" t="s">
        <v>5607</v>
      </c>
      <c r="F1412" s="26" t="s">
        <v>73</v>
      </c>
      <c r="G1412" s="26" t="s">
        <v>5636</v>
      </c>
      <c r="H1412" s="26" t="s">
        <v>5609</v>
      </c>
      <c r="I1412" s="26" t="s">
        <v>366</v>
      </c>
      <c r="J1412" s="26" t="s">
        <v>5637</v>
      </c>
      <c r="K1412" s="26" t="s">
        <v>5637</v>
      </c>
      <c r="L1412" s="26" t="s">
        <v>5619</v>
      </c>
      <c r="M1412" s="26">
        <v>1</v>
      </c>
      <c r="N1412" s="26">
        <v>1</v>
      </c>
      <c r="O1412" s="26">
        <v>1</v>
      </c>
      <c r="P1412" s="26">
        <v>0</v>
      </c>
      <c r="Q1412" s="26">
        <v>0</v>
      </c>
      <c r="R1412" s="1209">
        <v>1240</v>
      </c>
      <c r="S1412" s="1209">
        <v>1240</v>
      </c>
      <c r="T1412" s="26" t="s">
        <v>5607</v>
      </c>
      <c r="U1412" s="1871" t="s">
        <v>5612</v>
      </c>
      <c r="V1412" s="26" t="s">
        <v>1</v>
      </c>
      <c r="W1412" s="2008" t="s">
        <v>5638</v>
      </c>
      <c r="X1412" s="26"/>
      <c r="Y1412" s="71"/>
      <c r="Z1412" s="71"/>
    </row>
    <row r="1413" spans="1:26" ht="37.5" hidden="1">
      <c r="A1413" s="20">
        <v>1420</v>
      </c>
      <c r="B1413" s="1063">
        <v>41190</v>
      </c>
      <c r="C1413" s="26" t="s">
        <v>5639</v>
      </c>
      <c r="D1413" s="11"/>
      <c r="E1413" s="26" t="s">
        <v>5640</v>
      </c>
      <c r="F1413" s="26" t="s">
        <v>73</v>
      </c>
      <c r="G1413" s="26" t="s">
        <v>5641</v>
      </c>
      <c r="H1413" s="26" t="s">
        <v>366</v>
      </c>
      <c r="I1413" s="26" t="s">
        <v>366</v>
      </c>
      <c r="J1413" s="110" t="s">
        <v>5642</v>
      </c>
      <c r="K1413" s="110" t="s">
        <v>5642</v>
      </c>
      <c r="L1413" s="26"/>
      <c r="M1413" s="26">
        <v>4</v>
      </c>
      <c r="N1413" s="26">
        <v>1</v>
      </c>
      <c r="O1413" s="26">
        <v>4</v>
      </c>
      <c r="P1413" s="26">
        <v>0</v>
      </c>
      <c r="Q1413" s="26">
        <v>0</v>
      </c>
      <c r="R1413" s="1209">
        <v>9488</v>
      </c>
      <c r="S1413" s="1209">
        <v>37952</v>
      </c>
      <c r="T1413" s="26" t="s">
        <v>5643</v>
      </c>
      <c r="U1413" s="1871" t="s">
        <v>5644</v>
      </c>
      <c r="V1413" s="26" t="s">
        <v>689</v>
      </c>
      <c r="W1413" s="2008" t="s">
        <v>5645</v>
      </c>
      <c r="X1413" s="26"/>
      <c r="Y1413" s="71"/>
      <c r="Z1413" s="71"/>
    </row>
    <row r="1414" spans="1:26" ht="14.1" hidden="1">
      <c r="A1414" s="20">
        <v>1421</v>
      </c>
      <c r="B1414" s="1063">
        <v>41191</v>
      </c>
      <c r="C1414" s="26" t="s">
        <v>5646</v>
      </c>
      <c r="D1414" s="11" t="s">
        <v>6</v>
      </c>
      <c r="E1414" s="26" t="s">
        <v>4907</v>
      </c>
      <c r="F1414" s="26" t="s">
        <v>1118</v>
      </c>
      <c r="G1414" s="26" t="s">
        <v>5647</v>
      </c>
      <c r="H1414" s="26" t="s">
        <v>5648</v>
      </c>
      <c r="I1414" s="26" t="s">
        <v>5648</v>
      </c>
      <c r="J1414" s="26" t="s">
        <v>5649</v>
      </c>
      <c r="K1414" s="26" t="s">
        <v>5649</v>
      </c>
      <c r="L1414" s="26" t="s">
        <v>149</v>
      </c>
      <c r="M1414" s="26">
        <v>1</v>
      </c>
      <c r="N1414" s="26">
        <v>1</v>
      </c>
      <c r="O1414" s="26">
        <v>1</v>
      </c>
      <c r="P1414" s="26">
        <v>0</v>
      </c>
      <c r="Q1414" s="26">
        <v>0</v>
      </c>
      <c r="R1414" s="1209" t="s">
        <v>5650</v>
      </c>
      <c r="S1414" s="1209" t="s">
        <v>5650</v>
      </c>
      <c r="T1414" s="26" t="s">
        <v>3321</v>
      </c>
      <c r="U1414" s="1871" t="s">
        <v>5387</v>
      </c>
      <c r="V1414" s="26" t="s">
        <v>3147</v>
      </c>
      <c r="W1414" s="2037" t="s">
        <v>5651</v>
      </c>
      <c r="X1414" s="18"/>
      <c r="Y1414" s="4"/>
      <c r="Z1414" s="4"/>
    </row>
    <row r="1415" spans="1:26" ht="56.1" hidden="1">
      <c r="A1415" s="20">
        <v>1422</v>
      </c>
      <c r="B1415" s="1063">
        <v>41192</v>
      </c>
      <c r="C1415" s="920" t="s">
        <v>2342</v>
      </c>
      <c r="D1415" s="11" t="s">
        <v>6</v>
      </c>
      <c r="E1415" s="26" t="s">
        <v>4907</v>
      </c>
      <c r="F1415" s="920" t="s">
        <v>970</v>
      </c>
      <c r="G1415" s="161" t="s">
        <v>4492</v>
      </c>
      <c r="H1415" s="161" t="s">
        <v>2285</v>
      </c>
      <c r="I1415" s="161" t="s">
        <v>574</v>
      </c>
      <c r="J1415" s="161" t="s">
        <v>3974</v>
      </c>
      <c r="K1415" s="161" t="s">
        <v>3975</v>
      </c>
      <c r="L1415" s="161">
        <v>2012</v>
      </c>
      <c r="M1415" s="161">
        <v>30</v>
      </c>
      <c r="N1415" s="161">
        <v>1</v>
      </c>
      <c r="O1415" s="161">
        <v>35</v>
      </c>
      <c r="P1415" s="161">
        <v>0</v>
      </c>
      <c r="Q1415" s="161">
        <v>35</v>
      </c>
      <c r="R1415" s="1243">
        <v>172</v>
      </c>
      <c r="S1415" s="1243">
        <v>6009.5</v>
      </c>
      <c r="T1415" s="167" t="s">
        <v>929</v>
      </c>
      <c r="U1415" s="1891" t="s">
        <v>5560</v>
      </c>
      <c r="V1415" s="171" t="s">
        <v>931</v>
      </c>
      <c r="W1415" s="2057" t="s">
        <v>4493</v>
      </c>
      <c r="X1415" s="18"/>
      <c r="Y1415" s="4"/>
      <c r="Z1415" s="4"/>
    </row>
    <row r="1416" spans="1:26" ht="27.95" hidden="1">
      <c r="A1416" s="20">
        <v>1423</v>
      </c>
      <c r="B1416" s="1063">
        <v>41193</v>
      </c>
      <c r="C1416" s="174" t="s">
        <v>982</v>
      </c>
      <c r="D1416" s="11" t="s">
        <v>6</v>
      </c>
      <c r="E1416" s="26" t="s">
        <v>4907</v>
      </c>
      <c r="F1416" s="174" t="s">
        <v>970</v>
      </c>
      <c r="G1416" s="163" t="s">
        <v>3977</v>
      </c>
      <c r="H1416" s="163" t="s">
        <v>984</v>
      </c>
      <c r="I1416" s="163" t="s">
        <v>574</v>
      </c>
      <c r="J1416" s="163" t="s">
        <v>5652</v>
      </c>
      <c r="K1416" s="163" t="s">
        <v>3977</v>
      </c>
      <c r="L1416" s="163" t="s">
        <v>987</v>
      </c>
      <c r="M1416" s="163">
        <v>6</v>
      </c>
      <c r="N1416" s="163">
        <v>1</v>
      </c>
      <c r="O1416" s="163">
        <v>5</v>
      </c>
      <c r="P1416" s="163">
        <v>2</v>
      </c>
      <c r="Q1416" s="163">
        <v>7</v>
      </c>
      <c r="R1416" s="1240">
        <v>646</v>
      </c>
      <c r="S1416" s="1240">
        <v>3230</v>
      </c>
      <c r="T1416" s="168" t="s">
        <v>929</v>
      </c>
      <c r="U1416" s="1892" t="s">
        <v>5560</v>
      </c>
      <c r="V1416" s="171" t="s">
        <v>931</v>
      </c>
      <c r="W1416" s="2058" t="s">
        <v>988</v>
      </c>
      <c r="X1416" s="18"/>
      <c r="Y1416" s="4"/>
      <c r="Z1416" s="4"/>
    </row>
    <row r="1417" spans="1:26" ht="54" hidden="1">
      <c r="A1417" s="20">
        <v>1424</v>
      </c>
      <c r="B1417" s="1063">
        <v>41194</v>
      </c>
      <c r="C1417" s="921" t="s">
        <v>1806</v>
      </c>
      <c r="D1417" s="11" t="s">
        <v>6</v>
      </c>
      <c r="E1417" s="26" t="s">
        <v>4907</v>
      </c>
      <c r="F1417" s="174" t="s">
        <v>970</v>
      </c>
      <c r="G1417" s="168" t="s">
        <v>3648</v>
      </c>
      <c r="H1417" s="168" t="s">
        <v>1143</v>
      </c>
      <c r="I1417" s="163" t="s">
        <v>574</v>
      </c>
      <c r="J1417" s="168" t="s">
        <v>3649</v>
      </c>
      <c r="K1417" s="168">
        <v>545502471</v>
      </c>
      <c r="L1417" s="168" t="s">
        <v>1606</v>
      </c>
      <c r="M1417" s="168">
        <v>6</v>
      </c>
      <c r="N1417" s="168">
        <v>1</v>
      </c>
      <c r="O1417" s="168">
        <v>10</v>
      </c>
      <c r="P1417" s="168">
        <v>4</v>
      </c>
      <c r="Q1417" s="168">
        <v>14</v>
      </c>
      <c r="R1417" s="1244">
        <v>314</v>
      </c>
      <c r="S1417" s="1240">
        <v>3140</v>
      </c>
      <c r="T1417" s="168" t="s">
        <v>929</v>
      </c>
      <c r="U1417" s="1892" t="s">
        <v>5560</v>
      </c>
      <c r="V1417" s="171" t="s">
        <v>931</v>
      </c>
      <c r="W1417" s="2059" t="s">
        <v>3650</v>
      </c>
      <c r="X1417" s="18"/>
      <c r="Y1417" s="4"/>
      <c r="Z1417" s="4"/>
    </row>
    <row r="1418" spans="1:26" ht="15" hidden="1" customHeight="1">
      <c r="A1418" s="20">
        <v>1425</v>
      </c>
      <c r="B1418" s="1063">
        <v>41195</v>
      </c>
      <c r="C1418" s="921" t="s">
        <v>152</v>
      </c>
      <c r="D1418" s="11" t="s">
        <v>6</v>
      </c>
      <c r="E1418" s="26" t="s">
        <v>4907</v>
      </c>
      <c r="F1418" s="174" t="s">
        <v>970</v>
      </c>
      <c r="G1418" s="168" t="s">
        <v>3675</v>
      </c>
      <c r="H1418" s="168" t="s">
        <v>3676</v>
      </c>
      <c r="I1418" s="163" t="s">
        <v>574</v>
      </c>
      <c r="J1418" s="168" t="s">
        <v>3677</v>
      </c>
      <c r="K1418" s="168" t="s">
        <v>2883</v>
      </c>
      <c r="L1418" s="168" t="s">
        <v>3211</v>
      </c>
      <c r="M1418" s="168">
        <v>30</v>
      </c>
      <c r="N1418" s="168">
        <v>1</v>
      </c>
      <c r="O1418" s="168">
        <v>25</v>
      </c>
      <c r="P1418" s="168">
        <v>11</v>
      </c>
      <c r="Q1418" s="168">
        <v>36</v>
      </c>
      <c r="R1418" s="1244">
        <v>105</v>
      </c>
      <c r="S1418" s="1240">
        <v>2625</v>
      </c>
      <c r="T1418" s="168" t="s">
        <v>929</v>
      </c>
      <c r="U1418" s="1892" t="s">
        <v>5560</v>
      </c>
      <c r="V1418" s="171" t="s">
        <v>931</v>
      </c>
      <c r="W1418" s="2060" t="s">
        <v>2884</v>
      </c>
      <c r="X1418" s="18"/>
      <c r="Y1418" s="4"/>
      <c r="Z1418" s="4"/>
    </row>
    <row r="1419" spans="1:26" ht="18" hidden="1" customHeight="1">
      <c r="A1419" s="20">
        <v>1426</v>
      </c>
      <c r="B1419" s="1063">
        <v>41196</v>
      </c>
      <c r="C1419" s="921" t="s">
        <v>329</v>
      </c>
      <c r="D1419" s="11" t="s">
        <v>6</v>
      </c>
      <c r="E1419" s="26" t="s">
        <v>4907</v>
      </c>
      <c r="F1419" s="174" t="s">
        <v>970</v>
      </c>
      <c r="G1419" s="168" t="s">
        <v>3651</v>
      </c>
      <c r="H1419" s="168" t="s">
        <v>3243</v>
      </c>
      <c r="I1419" s="163" t="s">
        <v>574</v>
      </c>
      <c r="J1419" s="168" t="s">
        <v>3652</v>
      </c>
      <c r="K1419" s="168" t="s">
        <v>3653</v>
      </c>
      <c r="L1419" s="168" t="s">
        <v>3551</v>
      </c>
      <c r="M1419" s="168">
        <v>24</v>
      </c>
      <c r="N1419" s="168">
        <v>1</v>
      </c>
      <c r="O1419" s="168">
        <v>25</v>
      </c>
      <c r="P1419" s="168">
        <v>2</v>
      </c>
      <c r="Q1419" s="168">
        <v>27</v>
      </c>
      <c r="R1419" s="1244">
        <v>62</v>
      </c>
      <c r="S1419" s="1240">
        <v>1550</v>
      </c>
      <c r="T1419" s="168" t="s">
        <v>929</v>
      </c>
      <c r="U1419" s="1892" t="s">
        <v>5560</v>
      </c>
      <c r="V1419" s="171" t="s">
        <v>931</v>
      </c>
      <c r="W1419" s="2060" t="s">
        <v>3654</v>
      </c>
      <c r="X1419" s="26"/>
      <c r="Y1419" s="71"/>
      <c r="Z1419" s="71"/>
    </row>
    <row r="1420" spans="1:26" ht="18" hidden="1" customHeight="1">
      <c r="A1420" s="20">
        <v>1427</v>
      </c>
      <c r="B1420" s="1063">
        <v>41197</v>
      </c>
      <c r="C1420" s="921" t="s">
        <v>329</v>
      </c>
      <c r="D1420" s="11" t="s">
        <v>6</v>
      </c>
      <c r="E1420" s="26" t="s">
        <v>4907</v>
      </c>
      <c r="F1420" s="174" t="s">
        <v>970</v>
      </c>
      <c r="G1420" s="168" t="s">
        <v>3210</v>
      </c>
      <c r="H1420" s="168" t="s">
        <v>651</v>
      </c>
      <c r="I1420" s="163" t="s">
        <v>574</v>
      </c>
      <c r="J1420" s="168" t="s">
        <v>1657</v>
      </c>
      <c r="K1420" s="168" t="s">
        <v>1658</v>
      </c>
      <c r="L1420" s="168" t="s">
        <v>3211</v>
      </c>
      <c r="M1420" s="168">
        <v>30</v>
      </c>
      <c r="N1420" s="168">
        <v>1</v>
      </c>
      <c r="O1420" s="168">
        <v>20</v>
      </c>
      <c r="P1420" s="168">
        <v>20</v>
      </c>
      <c r="Q1420" s="168">
        <v>40</v>
      </c>
      <c r="R1420" s="1244">
        <v>47</v>
      </c>
      <c r="S1420" s="1240">
        <v>940</v>
      </c>
      <c r="T1420" s="168" t="s">
        <v>929</v>
      </c>
      <c r="U1420" s="1892" t="s">
        <v>5560</v>
      </c>
      <c r="V1420" s="171" t="s">
        <v>931</v>
      </c>
      <c r="W1420" s="2060" t="s">
        <v>3213</v>
      </c>
      <c r="X1420" s="26"/>
      <c r="Y1420" s="71"/>
      <c r="Z1420" s="71"/>
    </row>
    <row r="1421" spans="1:26" ht="16.5" hidden="1" customHeight="1">
      <c r="A1421" s="20">
        <v>1428</v>
      </c>
      <c r="B1421" s="1063">
        <v>41198</v>
      </c>
      <c r="C1421" s="921" t="s">
        <v>329</v>
      </c>
      <c r="D1421" s="11" t="s">
        <v>6</v>
      </c>
      <c r="E1421" s="26" t="s">
        <v>4907</v>
      </c>
      <c r="F1421" s="174" t="s">
        <v>970</v>
      </c>
      <c r="G1421" s="168" t="s">
        <v>3548</v>
      </c>
      <c r="H1421" s="168" t="s">
        <v>3243</v>
      </c>
      <c r="I1421" s="163" t="s">
        <v>574</v>
      </c>
      <c r="J1421" s="168" t="s">
        <v>3549</v>
      </c>
      <c r="K1421" s="168" t="s">
        <v>3550</v>
      </c>
      <c r="L1421" s="168" t="s">
        <v>3551</v>
      </c>
      <c r="M1421" s="168">
        <v>60</v>
      </c>
      <c r="N1421" s="168">
        <v>1</v>
      </c>
      <c r="O1421" s="168">
        <v>20</v>
      </c>
      <c r="P1421" s="168">
        <v>50</v>
      </c>
      <c r="Q1421" s="168">
        <v>70</v>
      </c>
      <c r="R1421" s="1244">
        <v>36</v>
      </c>
      <c r="S1421" s="1240">
        <v>720</v>
      </c>
      <c r="T1421" s="168" t="s">
        <v>929</v>
      </c>
      <c r="U1421" s="1892" t="s">
        <v>5560</v>
      </c>
      <c r="V1421" s="171" t="s">
        <v>931</v>
      </c>
      <c r="W1421" s="2060" t="s">
        <v>3553</v>
      </c>
      <c r="X1421" s="18"/>
      <c r="Y1421" s="4"/>
      <c r="Z1421" s="4"/>
    </row>
    <row r="1422" spans="1:26" ht="27.95" hidden="1">
      <c r="A1422" s="20">
        <v>1429</v>
      </c>
      <c r="B1422" s="1063">
        <v>41199</v>
      </c>
      <c r="C1422" s="174" t="s">
        <v>2033</v>
      </c>
      <c r="D1422" s="11" t="s">
        <v>6</v>
      </c>
      <c r="E1422" s="26" t="s">
        <v>4907</v>
      </c>
      <c r="F1422" s="174" t="s">
        <v>970</v>
      </c>
      <c r="G1422" s="163" t="s">
        <v>2034</v>
      </c>
      <c r="H1422" s="163" t="s">
        <v>752</v>
      </c>
      <c r="I1422" s="163" t="s">
        <v>39</v>
      </c>
      <c r="J1422" s="163" t="s">
        <v>2035</v>
      </c>
      <c r="K1422" s="163" t="s">
        <v>2034</v>
      </c>
      <c r="L1422" s="163" t="s">
        <v>2036</v>
      </c>
      <c r="M1422" s="163">
        <v>6</v>
      </c>
      <c r="N1422" s="163">
        <v>5</v>
      </c>
      <c r="O1422" s="163">
        <v>20</v>
      </c>
      <c r="P1422" s="163">
        <v>2</v>
      </c>
      <c r="Q1422" s="163">
        <v>22</v>
      </c>
      <c r="R1422" s="1240">
        <v>999</v>
      </c>
      <c r="S1422" s="1240">
        <v>19980</v>
      </c>
      <c r="T1422" s="168" t="s">
        <v>929</v>
      </c>
      <c r="U1422" s="1892" t="s">
        <v>5560</v>
      </c>
      <c r="V1422" s="171" t="s">
        <v>931</v>
      </c>
      <c r="W1422" s="2058" t="s">
        <v>2037</v>
      </c>
      <c r="X1422" s="18"/>
      <c r="Y1422" s="4"/>
      <c r="Z1422" s="4"/>
    </row>
    <row r="1423" spans="1:26" ht="14.1" hidden="1">
      <c r="A1423" s="20">
        <v>1430</v>
      </c>
      <c r="B1423" s="1063">
        <v>41200</v>
      </c>
      <c r="C1423" s="920" t="s">
        <v>2049</v>
      </c>
      <c r="D1423" s="11" t="s">
        <v>6</v>
      </c>
      <c r="E1423" s="26" t="s">
        <v>4907</v>
      </c>
      <c r="F1423" s="920" t="s">
        <v>970</v>
      </c>
      <c r="G1423" s="161" t="s">
        <v>2054</v>
      </c>
      <c r="H1423" s="161" t="s">
        <v>511</v>
      </c>
      <c r="I1423" s="161" t="s">
        <v>1063</v>
      </c>
      <c r="J1423" s="161" t="s">
        <v>5653</v>
      </c>
      <c r="K1423" s="161" t="s">
        <v>2054</v>
      </c>
      <c r="L1423" s="161" t="s">
        <v>2056</v>
      </c>
      <c r="M1423" s="161">
        <v>12</v>
      </c>
      <c r="N1423" s="161">
        <v>10</v>
      </c>
      <c r="O1423" s="161">
        <v>10</v>
      </c>
      <c r="P1423" s="161">
        <v>4</v>
      </c>
      <c r="Q1423" s="161">
        <v>14</v>
      </c>
      <c r="R1423" s="1243">
        <v>130</v>
      </c>
      <c r="S1423" s="1243">
        <v>1300</v>
      </c>
      <c r="T1423" s="167" t="s">
        <v>929</v>
      </c>
      <c r="U1423" s="1891" t="s">
        <v>5560</v>
      </c>
      <c r="V1423" s="171" t="s">
        <v>931</v>
      </c>
      <c r="W1423" s="2061" t="s">
        <v>5654</v>
      </c>
      <c r="X1423" s="18"/>
      <c r="Y1423" s="4"/>
      <c r="Z1423" s="4"/>
    </row>
    <row r="1424" spans="1:26" ht="56.1" hidden="1">
      <c r="A1424" s="20">
        <v>1431</v>
      </c>
      <c r="B1424" s="1063">
        <v>41201</v>
      </c>
      <c r="C1424" s="921" t="s">
        <v>329</v>
      </c>
      <c r="D1424" s="11" t="s">
        <v>6</v>
      </c>
      <c r="E1424" s="26" t="s">
        <v>4907</v>
      </c>
      <c r="F1424" s="174" t="s">
        <v>970</v>
      </c>
      <c r="G1424" s="163" t="s">
        <v>3838</v>
      </c>
      <c r="H1424" s="163" t="s">
        <v>2285</v>
      </c>
      <c r="I1424" s="163" t="s">
        <v>574</v>
      </c>
      <c r="J1424" s="163" t="s">
        <v>3839</v>
      </c>
      <c r="K1424" s="163" t="s">
        <v>3840</v>
      </c>
      <c r="L1424" s="163">
        <v>1005</v>
      </c>
      <c r="M1424" s="163">
        <v>6</v>
      </c>
      <c r="N1424" s="163">
        <v>1</v>
      </c>
      <c r="O1424" s="163">
        <v>5</v>
      </c>
      <c r="P1424" s="163">
        <v>5</v>
      </c>
      <c r="Q1424" s="163">
        <v>10</v>
      </c>
      <c r="R1424" s="1240">
        <v>10</v>
      </c>
      <c r="S1424" s="1240">
        <v>49</v>
      </c>
      <c r="T1424" s="168" t="s">
        <v>929</v>
      </c>
      <c r="U1424" s="1892" t="s">
        <v>5560</v>
      </c>
      <c r="V1424" s="171" t="s">
        <v>931</v>
      </c>
      <c r="W1424" s="2062" t="s">
        <v>3841</v>
      </c>
      <c r="X1424" s="18"/>
      <c r="Y1424" s="4"/>
      <c r="Z1424" s="4"/>
    </row>
    <row r="1425" spans="1:26" ht="42" hidden="1">
      <c r="A1425" s="20">
        <v>1432</v>
      </c>
      <c r="B1425" s="1063">
        <v>41202</v>
      </c>
      <c r="C1425" s="174" t="s">
        <v>1634</v>
      </c>
      <c r="D1425" s="11" t="s">
        <v>6</v>
      </c>
      <c r="E1425" s="26" t="s">
        <v>4907</v>
      </c>
      <c r="F1425" s="174" t="s">
        <v>970</v>
      </c>
      <c r="G1425" s="163" t="s">
        <v>1991</v>
      </c>
      <c r="H1425" s="163" t="s">
        <v>1853</v>
      </c>
      <c r="I1425" s="163" t="s">
        <v>574</v>
      </c>
      <c r="J1425" s="163" t="s">
        <v>599</v>
      </c>
      <c r="K1425" s="163" t="s">
        <v>1991</v>
      </c>
      <c r="L1425" s="163"/>
      <c r="M1425" s="163">
        <v>30</v>
      </c>
      <c r="N1425" s="163">
        <v>1</v>
      </c>
      <c r="O1425" s="163">
        <v>10</v>
      </c>
      <c r="P1425" s="163">
        <v>26</v>
      </c>
      <c r="Q1425" s="163">
        <v>36</v>
      </c>
      <c r="R1425" s="1240">
        <v>19</v>
      </c>
      <c r="S1425" s="1240">
        <v>192</v>
      </c>
      <c r="T1425" s="168" t="s">
        <v>929</v>
      </c>
      <c r="U1425" s="1892" t="s">
        <v>5560</v>
      </c>
      <c r="V1425" s="171" t="s">
        <v>931</v>
      </c>
      <c r="W1425" s="2057" t="s">
        <v>4504</v>
      </c>
      <c r="X1425" s="26"/>
      <c r="Y1425" s="71"/>
      <c r="Z1425" s="71"/>
    </row>
    <row r="1426" spans="1:26" ht="42" hidden="1">
      <c r="A1426" s="20">
        <v>1433</v>
      </c>
      <c r="B1426" s="1063">
        <v>41203</v>
      </c>
      <c r="C1426" s="174" t="s">
        <v>2320</v>
      </c>
      <c r="D1426" s="11" t="s">
        <v>6</v>
      </c>
      <c r="E1426" s="26" t="s">
        <v>4907</v>
      </c>
      <c r="F1426" s="174" t="s">
        <v>970</v>
      </c>
      <c r="G1426" s="163" t="s">
        <v>2321</v>
      </c>
      <c r="H1426" s="26"/>
      <c r="I1426" s="163" t="s">
        <v>574</v>
      </c>
      <c r="J1426" s="163" t="s">
        <v>2322</v>
      </c>
      <c r="K1426" s="163" t="s">
        <v>2323</v>
      </c>
      <c r="L1426" s="163" t="s">
        <v>2324</v>
      </c>
      <c r="M1426" s="163">
        <v>6</v>
      </c>
      <c r="N1426" s="163">
        <v>1</v>
      </c>
      <c r="O1426" s="163">
        <v>5</v>
      </c>
      <c r="P1426" s="163">
        <v>5</v>
      </c>
      <c r="Q1426" s="163">
        <v>10</v>
      </c>
      <c r="R1426" s="1240">
        <v>241</v>
      </c>
      <c r="S1426" s="1240">
        <v>1204.5</v>
      </c>
      <c r="T1426" s="168" t="s">
        <v>929</v>
      </c>
      <c r="U1426" s="1892" t="s">
        <v>5560</v>
      </c>
      <c r="V1426" s="171" t="s">
        <v>931</v>
      </c>
      <c r="W1426" s="2063" t="s">
        <v>2325</v>
      </c>
      <c r="X1426" s="26"/>
      <c r="Y1426" s="71"/>
      <c r="Z1426" s="71"/>
    </row>
    <row r="1427" spans="1:26" ht="18" hidden="1" customHeight="1">
      <c r="A1427" s="20">
        <v>1434</v>
      </c>
      <c r="B1427" s="1063">
        <v>41204</v>
      </c>
      <c r="C1427" s="174" t="s">
        <v>3682</v>
      </c>
      <c r="D1427" s="11" t="s">
        <v>6</v>
      </c>
      <c r="E1427" s="26" t="s">
        <v>4907</v>
      </c>
      <c r="F1427" s="174" t="s">
        <v>970</v>
      </c>
      <c r="G1427" s="168" t="s">
        <v>3236</v>
      </c>
      <c r="H1427" s="168" t="s">
        <v>3237</v>
      </c>
      <c r="I1427" s="163" t="s">
        <v>574</v>
      </c>
      <c r="J1427" s="168" t="s">
        <v>3238</v>
      </c>
      <c r="K1427" s="168" t="s">
        <v>3239</v>
      </c>
      <c r="L1427" s="168" t="s">
        <v>3240</v>
      </c>
      <c r="M1427" s="168">
        <v>30</v>
      </c>
      <c r="N1427" s="168">
        <v>1</v>
      </c>
      <c r="O1427" s="168">
        <v>15</v>
      </c>
      <c r="P1427" s="168">
        <v>19</v>
      </c>
      <c r="Q1427" s="168">
        <v>34</v>
      </c>
      <c r="R1427" s="1244">
        <v>473</v>
      </c>
      <c r="S1427" s="1240">
        <v>7095</v>
      </c>
      <c r="T1427" s="168" t="s">
        <v>929</v>
      </c>
      <c r="U1427" s="1892" t="s">
        <v>5560</v>
      </c>
      <c r="V1427" s="171" t="s">
        <v>931</v>
      </c>
      <c r="W1427" s="2060" t="s">
        <v>3241</v>
      </c>
      <c r="X1427" s="18"/>
      <c r="Y1427" s="4"/>
      <c r="Z1427" s="4"/>
    </row>
    <row r="1428" spans="1:26" ht="27.95" hidden="1">
      <c r="A1428" s="20">
        <v>1435</v>
      </c>
      <c r="B1428" s="1063">
        <v>41205</v>
      </c>
      <c r="C1428" s="921" t="s">
        <v>1072</v>
      </c>
      <c r="D1428" s="11" t="s">
        <v>6</v>
      </c>
      <c r="E1428" s="26" t="s">
        <v>4907</v>
      </c>
      <c r="F1428" s="174" t="s">
        <v>970</v>
      </c>
      <c r="G1428" s="168" t="s">
        <v>5188</v>
      </c>
      <c r="H1428" s="168" t="s">
        <v>460</v>
      </c>
      <c r="I1428" s="163" t="s">
        <v>574</v>
      </c>
      <c r="J1428" s="168" t="s">
        <v>461</v>
      </c>
      <c r="K1428" s="168" t="s">
        <v>462</v>
      </c>
      <c r="L1428" s="168" t="s">
        <v>587</v>
      </c>
      <c r="M1428" s="168">
        <v>6</v>
      </c>
      <c r="N1428" s="168">
        <v>25</v>
      </c>
      <c r="O1428" s="168">
        <v>25</v>
      </c>
      <c r="P1428" s="168">
        <v>0</v>
      </c>
      <c r="Q1428" s="168">
        <v>25</v>
      </c>
      <c r="R1428" s="1244">
        <v>91</v>
      </c>
      <c r="S1428" s="1240">
        <v>2272</v>
      </c>
      <c r="T1428" s="168" t="s">
        <v>929</v>
      </c>
      <c r="U1428" s="1892" t="s">
        <v>5560</v>
      </c>
      <c r="V1428" s="171" t="s">
        <v>931</v>
      </c>
      <c r="W1428" s="2060" t="s">
        <v>465</v>
      </c>
      <c r="X1428" s="18"/>
      <c r="Y1428" s="4"/>
      <c r="Z1428" s="4"/>
    </row>
    <row r="1429" spans="1:26" ht="42" hidden="1">
      <c r="A1429" s="20">
        <v>1436</v>
      </c>
      <c r="B1429" s="1063">
        <v>41206</v>
      </c>
      <c r="C1429" s="174" t="s">
        <v>2260</v>
      </c>
      <c r="D1429" s="11" t="s">
        <v>6</v>
      </c>
      <c r="E1429" s="26" t="s">
        <v>4907</v>
      </c>
      <c r="F1429" s="174" t="s">
        <v>970</v>
      </c>
      <c r="G1429" s="163" t="s">
        <v>2261</v>
      </c>
      <c r="H1429" s="163" t="s">
        <v>2262</v>
      </c>
      <c r="I1429" s="163" t="s">
        <v>1662</v>
      </c>
      <c r="J1429" s="163" t="s">
        <v>2263</v>
      </c>
      <c r="K1429" s="163" t="s">
        <v>2264</v>
      </c>
      <c r="L1429" s="163" t="s">
        <v>2265</v>
      </c>
      <c r="M1429" s="163">
        <v>6</v>
      </c>
      <c r="N1429" s="163">
        <v>1</v>
      </c>
      <c r="O1429" s="163">
        <v>10</v>
      </c>
      <c r="P1429" s="163">
        <v>0</v>
      </c>
      <c r="Q1429" s="163">
        <v>10</v>
      </c>
      <c r="R1429" s="1240">
        <v>73.3</v>
      </c>
      <c r="S1429" s="1240">
        <v>733</v>
      </c>
      <c r="T1429" s="168" t="s">
        <v>929</v>
      </c>
      <c r="U1429" s="1892" t="s">
        <v>5560</v>
      </c>
      <c r="V1429" s="171" t="s">
        <v>931</v>
      </c>
      <c r="W1429" s="2058" t="s">
        <v>2266</v>
      </c>
      <c r="X1429" s="18"/>
      <c r="Y1429" s="4"/>
      <c r="Z1429" s="4"/>
    </row>
    <row r="1430" spans="1:26" ht="42" hidden="1">
      <c r="A1430" s="20">
        <v>1437</v>
      </c>
      <c r="B1430" s="1063">
        <v>41207</v>
      </c>
      <c r="C1430" s="174" t="s">
        <v>188</v>
      </c>
      <c r="D1430" s="11" t="s">
        <v>6</v>
      </c>
      <c r="E1430" s="26" t="s">
        <v>4907</v>
      </c>
      <c r="F1430" s="174" t="s">
        <v>970</v>
      </c>
      <c r="G1430" s="169" t="s">
        <v>5655</v>
      </c>
      <c r="H1430" s="163" t="s">
        <v>1092</v>
      </c>
      <c r="I1430" s="163" t="s">
        <v>1662</v>
      </c>
      <c r="J1430" s="163" t="s">
        <v>5656</v>
      </c>
      <c r="K1430" s="163" t="s">
        <v>5657</v>
      </c>
      <c r="L1430" s="163" t="s">
        <v>2292</v>
      </c>
      <c r="M1430" s="163">
        <v>6</v>
      </c>
      <c r="N1430" s="163">
        <v>1</v>
      </c>
      <c r="O1430" s="163">
        <v>10</v>
      </c>
      <c r="P1430" s="163">
        <v>0</v>
      </c>
      <c r="Q1430" s="163">
        <v>10</v>
      </c>
      <c r="R1430" s="1240">
        <v>5.4</v>
      </c>
      <c r="S1430" s="1240">
        <v>54</v>
      </c>
      <c r="T1430" s="168" t="s">
        <v>929</v>
      </c>
      <c r="U1430" s="1892" t="s">
        <v>5560</v>
      </c>
      <c r="V1430" s="171" t="s">
        <v>931</v>
      </c>
      <c r="W1430" s="2058" t="s">
        <v>5658</v>
      </c>
      <c r="X1430" s="18"/>
      <c r="Y1430" s="4"/>
      <c r="Z1430" s="4"/>
    </row>
    <row r="1431" spans="1:26" ht="38.450000000000003" hidden="1">
      <c r="A1431" s="20">
        <v>1438</v>
      </c>
      <c r="B1431" s="1063">
        <v>41208</v>
      </c>
      <c r="C1431" s="922" t="s">
        <v>1282</v>
      </c>
      <c r="D1431" s="11" t="s">
        <v>6</v>
      </c>
      <c r="E1431" s="26" t="s">
        <v>4907</v>
      </c>
      <c r="F1431" s="35" t="s">
        <v>2876</v>
      </c>
      <c r="G1431" s="171" t="s">
        <v>5659</v>
      </c>
      <c r="H1431" s="111" t="s">
        <v>5660</v>
      </c>
      <c r="I1431" s="171" t="s">
        <v>574</v>
      </c>
      <c r="J1431" s="172" t="s">
        <v>5661</v>
      </c>
      <c r="K1431" s="173" t="s">
        <v>5662</v>
      </c>
      <c r="L1431" s="170" t="s">
        <v>2011</v>
      </c>
      <c r="M1431" s="26">
        <v>5</v>
      </c>
      <c r="N1431" s="26">
        <v>1</v>
      </c>
      <c r="O1431" s="26">
        <v>10</v>
      </c>
      <c r="P1431" s="26">
        <v>0</v>
      </c>
      <c r="Q1431" s="26">
        <v>10</v>
      </c>
      <c r="R1431" s="1209">
        <v>132.5</v>
      </c>
      <c r="S1431" s="1209">
        <f>O1431*R1431</f>
        <v>1325</v>
      </c>
      <c r="T1431" s="26" t="s">
        <v>929</v>
      </c>
      <c r="U1431" s="1871" t="s">
        <v>5124</v>
      </c>
      <c r="V1431" s="171" t="s">
        <v>931</v>
      </c>
      <c r="W1431" s="2039" t="s">
        <v>5663</v>
      </c>
      <c r="X1431" s="26"/>
      <c r="Y1431" s="71"/>
      <c r="Z1431" s="71"/>
    </row>
    <row r="1432" spans="1:26" ht="27.95" hidden="1">
      <c r="A1432" s="20">
        <v>1439</v>
      </c>
      <c r="B1432" s="1063">
        <v>41209</v>
      </c>
      <c r="C1432" s="22" t="s">
        <v>720</v>
      </c>
      <c r="D1432" s="11" t="s">
        <v>6</v>
      </c>
      <c r="E1432" s="26" t="s">
        <v>4907</v>
      </c>
      <c r="F1432" s="22" t="s">
        <v>1989</v>
      </c>
      <c r="G1432" s="171" t="s">
        <v>5664</v>
      </c>
      <c r="H1432" s="35" t="s">
        <v>722</v>
      </c>
      <c r="I1432" s="35" t="s">
        <v>723</v>
      </c>
      <c r="J1432" s="27" t="s">
        <v>5665</v>
      </c>
      <c r="K1432" s="22" t="s">
        <v>720</v>
      </c>
      <c r="L1432" s="22" t="s">
        <v>724</v>
      </c>
      <c r="M1432" s="26">
        <v>3</v>
      </c>
      <c r="N1432" s="26">
        <v>1</v>
      </c>
      <c r="O1432" s="26">
        <v>6</v>
      </c>
      <c r="P1432" s="26">
        <v>0</v>
      </c>
      <c r="Q1432" s="26">
        <v>3</v>
      </c>
      <c r="R1432" s="1209" t="s">
        <v>5666</v>
      </c>
      <c r="S1432" s="1209" t="s">
        <v>5667</v>
      </c>
      <c r="T1432" s="26" t="s">
        <v>929</v>
      </c>
      <c r="U1432" s="1871" t="s">
        <v>5134</v>
      </c>
      <c r="V1432" s="35" t="s">
        <v>931</v>
      </c>
      <c r="W1432" s="2049" t="s">
        <v>727</v>
      </c>
      <c r="X1432" s="26"/>
      <c r="Y1432" s="71"/>
      <c r="Z1432" s="71"/>
    </row>
    <row r="1433" spans="1:26" ht="24.95" hidden="1">
      <c r="A1433" s="20">
        <v>1440</v>
      </c>
      <c r="B1433" s="1063">
        <v>41210</v>
      </c>
      <c r="C1433" s="26" t="s">
        <v>5668</v>
      </c>
      <c r="D1433" s="11" t="s">
        <v>6</v>
      </c>
      <c r="E1433" s="26" t="s">
        <v>2722</v>
      </c>
      <c r="F1433" s="26" t="s">
        <v>313</v>
      </c>
      <c r="G1433" s="26" t="s">
        <v>5669</v>
      </c>
      <c r="H1433" s="26" t="s">
        <v>4110</v>
      </c>
      <c r="I1433" s="26" t="s">
        <v>574</v>
      </c>
      <c r="J1433" s="26" t="s">
        <v>5670</v>
      </c>
      <c r="K1433" s="26" t="s">
        <v>5671</v>
      </c>
      <c r="L1433" s="26"/>
      <c r="M1433" s="26">
        <v>3</v>
      </c>
      <c r="N1433" s="26">
        <v>1</v>
      </c>
      <c r="O1433" s="26">
        <v>3</v>
      </c>
      <c r="P1433" s="26">
        <v>0</v>
      </c>
      <c r="Q1433" s="26">
        <v>0</v>
      </c>
      <c r="R1433" s="1209">
        <v>2831</v>
      </c>
      <c r="S1433" s="1209">
        <f t="shared" ref="S1433:S1434" si="74">R1433*O1433</f>
        <v>8493</v>
      </c>
      <c r="T1433" s="26" t="s">
        <v>5672</v>
      </c>
      <c r="U1433" s="1871" t="s">
        <v>5673</v>
      </c>
      <c r="V1433" s="26" t="s">
        <v>5674</v>
      </c>
      <c r="W1433" s="2037" t="s">
        <v>5675</v>
      </c>
      <c r="X1433" s="18"/>
      <c r="Y1433" s="4"/>
      <c r="Z1433" s="4"/>
    </row>
    <row r="1434" spans="1:26" ht="24.95" hidden="1">
      <c r="A1434" s="20">
        <v>1441</v>
      </c>
      <c r="B1434" s="1063">
        <v>41211</v>
      </c>
      <c r="C1434" s="26" t="s">
        <v>5676</v>
      </c>
      <c r="D1434" s="11" t="s">
        <v>6</v>
      </c>
      <c r="E1434" s="26" t="s">
        <v>2722</v>
      </c>
      <c r="F1434" s="26" t="s">
        <v>313</v>
      </c>
      <c r="G1434" s="26" t="s">
        <v>5677</v>
      </c>
      <c r="H1434" s="26" t="s">
        <v>4110</v>
      </c>
      <c r="I1434" s="26" t="s">
        <v>574</v>
      </c>
      <c r="J1434" s="26" t="s">
        <v>5678</v>
      </c>
      <c r="K1434" s="26" t="s">
        <v>5679</v>
      </c>
      <c r="L1434" s="26"/>
      <c r="M1434" s="26">
        <v>1</v>
      </c>
      <c r="N1434" s="26">
        <v>1</v>
      </c>
      <c r="O1434" s="26">
        <v>1</v>
      </c>
      <c r="P1434" s="26">
        <v>0</v>
      </c>
      <c r="Q1434" s="26">
        <v>0</v>
      </c>
      <c r="R1434" s="1209">
        <v>6647</v>
      </c>
      <c r="S1434" s="1209">
        <f t="shared" si="74"/>
        <v>6647</v>
      </c>
      <c r="T1434" s="26" t="s">
        <v>5672</v>
      </c>
      <c r="U1434" s="1871" t="s">
        <v>5673</v>
      </c>
      <c r="V1434" s="26" t="s">
        <v>5674</v>
      </c>
      <c r="W1434" s="2008" t="s">
        <v>5680</v>
      </c>
      <c r="X1434" s="18"/>
      <c r="Y1434" s="4"/>
      <c r="Z1434" s="4"/>
    </row>
    <row r="1435" spans="1:26" ht="24.95" hidden="1">
      <c r="A1435" s="20">
        <v>1442</v>
      </c>
      <c r="B1435" s="1063">
        <v>41212</v>
      </c>
      <c r="C1435" s="26" t="s">
        <v>5681</v>
      </c>
      <c r="D1435" s="11" t="s">
        <v>6</v>
      </c>
      <c r="E1435" s="26" t="s">
        <v>4907</v>
      </c>
      <c r="F1435" s="26" t="s">
        <v>2876</v>
      </c>
      <c r="G1435" s="26" t="s">
        <v>5682</v>
      </c>
      <c r="H1435" s="26" t="s">
        <v>1143</v>
      </c>
      <c r="I1435" s="26" t="s">
        <v>39</v>
      </c>
      <c r="J1435" s="26" t="s">
        <v>306</v>
      </c>
      <c r="K1435" s="26"/>
      <c r="L1435" s="26"/>
      <c r="M1435" s="26">
        <v>12</v>
      </c>
      <c r="N1435" s="26">
        <v>10</v>
      </c>
      <c r="O1435" s="26">
        <v>20</v>
      </c>
      <c r="P1435" s="26">
        <v>12</v>
      </c>
      <c r="Q1435" s="26">
        <v>32</v>
      </c>
      <c r="R1435" s="1209">
        <v>28.1</v>
      </c>
      <c r="S1435" s="1209">
        <f t="shared" ref="S1435:S1437" si="75">O1435*R1435</f>
        <v>562</v>
      </c>
      <c r="T1435" s="26" t="s">
        <v>929</v>
      </c>
      <c r="U1435" s="1871" t="s">
        <v>5683</v>
      </c>
      <c r="V1435" s="26" t="s">
        <v>931</v>
      </c>
      <c r="W1435" s="2039" t="s">
        <v>5684</v>
      </c>
      <c r="X1435" s="18"/>
      <c r="Y1435" s="4"/>
      <c r="Z1435" s="4"/>
    </row>
    <row r="1436" spans="1:26" ht="137.44999999999999" hidden="1">
      <c r="A1436" s="20">
        <v>1443</v>
      </c>
      <c r="B1436" s="1063">
        <v>41213</v>
      </c>
      <c r="C1436" s="26" t="s">
        <v>5196</v>
      </c>
      <c r="D1436" s="11" t="s">
        <v>6</v>
      </c>
      <c r="E1436" s="26" t="s">
        <v>4907</v>
      </c>
      <c r="F1436" s="26" t="s">
        <v>2876</v>
      </c>
      <c r="G1436" s="26" t="s">
        <v>5685</v>
      </c>
      <c r="H1436" s="26" t="s">
        <v>5686</v>
      </c>
      <c r="I1436" s="26" t="s">
        <v>39</v>
      </c>
      <c r="J1436" s="26" t="s">
        <v>5687</v>
      </c>
      <c r="K1436" s="26" t="s">
        <v>299</v>
      </c>
      <c r="L1436" s="26" t="s">
        <v>5416</v>
      </c>
      <c r="M1436" s="26">
        <v>6</v>
      </c>
      <c r="N1436" s="26">
        <v>1</v>
      </c>
      <c r="O1436" s="26">
        <v>15</v>
      </c>
      <c r="P1436" s="26">
        <v>7</v>
      </c>
      <c r="Q1436" s="26">
        <v>27</v>
      </c>
      <c r="R1436" s="1209">
        <v>122</v>
      </c>
      <c r="S1436" s="1209">
        <f t="shared" si="75"/>
        <v>1830</v>
      </c>
      <c r="T1436" s="26" t="s">
        <v>929</v>
      </c>
      <c r="U1436" s="1871" t="s">
        <v>5683</v>
      </c>
      <c r="V1436" s="26" t="s">
        <v>931</v>
      </c>
      <c r="W1436" s="2039" t="s">
        <v>5688</v>
      </c>
      <c r="X1436" s="18"/>
      <c r="Y1436" s="4"/>
      <c r="Z1436" s="4"/>
    </row>
    <row r="1437" spans="1:26" ht="14.1" hidden="1">
      <c r="A1437" s="20">
        <v>1444</v>
      </c>
      <c r="B1437" s="1063">
        <v>41214</v>
      </c>
      <c r="C1437" s="26" t="s">
        <v>797</v>
      </c>
      <c r="D1437" s="11"/>
      <c r="E1437" s="26" t="s">
        <v>4907</v>
      </c>
      <c r="F1437" s="26" t="s">
        <v>2876</v>
      </c>
      <c r="G1437" s="26" t="s">
        <v>5689</v>
      </c>
      <c r="H1437" s="26" t="s">
        <v>799</v>
      </c>
      <c r="I1437" s="26" t="s">
        <v>5690</v>
      </c>
      <c r="J1437" s="26">
        <v>33240313</v>
      </c>
      <c r="K1437" s="26" t="s">
        <v>5691</v>
      </c>
      <c r="L1437" s="26"/>
      <c r="M1437" s="26">
        <v>4</v>
      </c>
      <c r="N1437" s="26">
        <v>1</v>
      </c>
      <c r="O1437" s="26">
        <v>3</v>
      </c>
      <c r="P1437" s="26">
        <v>1</v>
      </c>
      <c r="Q1437" s="26">
        <v>4</v>
      </c>
      <c r="R1437" s="1209">
        <v>10900</v>
      </c>
      <c r="S1437" s="1209">
        <f t="shared" si="75"/>
        <v>32700</v>
      </c>
      <c r="T1437" s="26"/>
      <c r="U1437" s="1871" t="s">
        <v>5683</v>
      </c>
      <c r="V1437" s="26" t="s">
        <v>931</v>
      </c>
      <c r="W1437" s="2037" t="s">
        <v>802</v>
      </c>
      <c r="X1437" s="26"/>
      <c r="Y1437" s="71"/>
      <c r="Z1437" s="71"/>
    </row>
    <row r="1438" spans="1:26" ht="14.1" hidden="1">
      <c r="A1438" s="20">
        <v>1445</v>
      </c>
      <c r="B1438" s="1063">
        <v>41215</v>
      </c>
      <c r="C1438" s="26" t="s">
        <v>5692</v>
      </c>
      <c r="D1438" s="11"/>
      <c r="E1438" s="26" t="s">
        <v>4907</v>
      </c>
      <c r="F1438" s="26" t="s">
        <v>2332</v>
      </c>
      <c r="G1438" s="26" t="s">
        <v>5693</v>
      </c>
      <c r="H1438" s="26" t="s">
        <v>5694</v>
      </c>
      <c r="I1438" s="26" t="s">
        <v>5690</v>
      </c>
      <c r="J1438" s="26">
        <v>6623461</v>
      </c>
      <c r="K1438" s="26" t="s">
        <v>5695</v>
      </c>
      <c r="L1438" s="26" t="s">
        <v>1</v>
      </c>
      <c r="M1438" s="26">
        <v>2</v>
      </c>
      <c r="N1438" s="26">
        <v>1</v>
      </c>
      <c r="O1438" s="26">
        <v>2</v>
      </c>
      <c r="P1438" s="26">
        <v>0</v>
      </c>
      <c r="Q1438" s="26">
        <f>P1438+O1438-M1438</f>
        <v>0</v>
      </c>
      <c r="R1438" s="1227">
        <v>1090</v>
      </c>
      <c r="S1438" s="1228">
        <f t="shared" ref="S1438:S1440" si="76">R1438*O1438</f>
        <v>2180</v>
      </c>
      <c r="T1438" s="26" t="s">
        <v>929</v>
      </c>
      <c r="U1438" s="1871" t="s">
        <v>301</v>
      </c>
      <c r="V1438" s="26" t="s">
        <v>931</v>
      </c>
      <c r="W1438" s="2008" t="s">
        <v>5696</v>
      </c>
      <c r="X1438" s="26"/>
      <c r="Y1438" s="71"/>
      <c r="Z1438" s="71"/>
    </row>
    <row r="1439" spans="1:26" ht="69.95" hidden="1">
      <c r="A1439" s="20">
        <v>1446</v>
      </c>
      <c r="B1439" s="1063">
        <v>41216</v>
      </c>
      <c r="C1439" s="26" t="s">
        <v>2594</v>
      </c>
      <c r="D1439" s="11"/>
      <c r="E1439" s="26" t="s">
        <v>4907</v>
      </c>
      <c r="F1439" s="26" t="s">
        <v>2332</v>
      </c>
      <c r="G1439" s="26" t="s">
        <v>2612</v>
      </c>
      <c r="H1439" s="26" t="s">
        <v>382</v>
      </c>
      <c r="I1439" s="26" t="s">
        <v>366</v>
      </c>
      <c r="J1439" s="26" t="s">
        <v>2612</v>
      </c>
      <c r="K1439" s="26"/>
      <c r="L1439" s="26"/>
      <c r="M1439" s="26">
        <v>96</v>
      </c>
      <c r="N1439" s="26">
        <v>10</v>
      </c>
      <c r="O1439" s="26">
        <v>10</v>
      </c>
      <c r="P1439" s="26">
        <v>86</v>
      </c>
      <c r="Q1439" s="26">
        <f>O1439+P1439-M1439</f>
        <v>0</v>
      </c>
      <c r="R1439" s="1227">
        <v>144.1</v>
      </c>
      <c r="S1439" s="1228">
        <f t="shared" si="76"/>
        <v>1441</v>
      </c>
      <c r="T1439" s="175" t="s">
        <v>929</v>
      </c>
      <c r="U1439" s="1871" t="s">
        <v>301</v>
      </c>
      <c r="V1439" s="26" t="s">
        <v>931</v>
      </c>
      <c r="W1439" s="2036" t="s">
        <v>5530</v>
      </c>
      <c r="X1439" s="18"/>
      <c r="Y1439" s="4"/>
      <c r="Z1439" s="4"/>
    </row>
    <row r="1440" spans="1:26" ht="14.1" hidden="1">
      <c r="A1440" s="20">
        <v>1447</v>
      </c>
      <c r="B1440" s="1063">
        <v>41217</v>
      </c>
      <c r="C1440" s="26" t="s">
        <v>5697</v>
      </c>
      <c r="D1440" s="11" t="s">
        <v>6</v>
      </c>
      <c r="E1440" s="26" t="s">
        <v>4907</v>
      </c>
      <c r="F1440" s="26" t="s">
        <v>2143</v>
      </c>
      <c r="G1440" s="176" t="s">
        <v>5698</v>
      </c>
      <c r="H1440" s="26" t="s">
        <v>4172</v>
      </c>
      <c r="I1440" s="26" t="s">
        <v>4172</v>
      </c>
      <c r="J1440" s="26"/>
      <c r="K1440" s="26"/>
      <c r="L1440" s="26"/>
      <c r="M1440" s="26">
        <v>3</v>
      </c>
      <c r="N1440" s="26">
        <v>1</v>
      </c>
      <c r="O1440" s="26">
        <v>5</v>
      </c>
      <c r="P1440" s="26">
        <v>0</v>
      </c>
      <c r="Q1440" s="26">
        <v>2</v>
      </c>
      <c r="R1440" s="1209">
        <v>2051</v>
      </c>
      <c r="S1440" s="1209">
        <f t="shared" si="76"/>
        <v>10255</v>
      </c>
      <c r="T1440" s="26" t="s">
        <v>929</v>
      </c>
      <c r="U1440" s="1871" t="s">
        <v>4846</v>
      </c>
      <c r="V1440" s="26" t="s">
        <v>931</v>
      </c>
      <c r="W1440" s="2037" t="s">
        <v>5699</v>
      </c>
      <c r="X1440" s="18"/>
      <c r="Y1440" s="4"/>
      <c r="Z1440" s="4"/>
    </row>
    <row r="1441" spans="1:26" ht="14.1" hidden="1">
      <c r="A1441" s="20">
        <v>1448</v>
      </c>
      <c r="B1441" s="1063">
        <v>41218</v>
      </c>
      <c r="C1441" s="923" t="s">
        <v>5700</v>
      </c>
      <c r="D1441" s="11"/>
      <c r="E1441" s="26" t="s">
        <v>62</v>
      </c>
      <c r="F1441" s="26" t="s">
        <v>4980</v>
      </c>
      <c r="G1441" s="177" t="s">
        <v>5701</v>
      </c>
      <c r="H1441" s="26" t="s">
        <v>5702</v>
      </c>
      <c r="I1441" s="631" t="s">
        <v>5703</v>
      </c>
      <c r="J1441" s="178" t="s">
        <v>5704</v>
      </c>
      <c r="K1441" s="26" t="s">
        <v>5704</v>
      </c>
      <c r="L1441" s="26"/>
      <c r="M1441" s="26">
        <v>1</v>
      </c>
      <c r="N1441" s="26">
        <v>1</v>
      </c>
      <c r="O1441" s="26">
        <v>1</v>
      </c>
      <c r="P1441" s="26" t="s">
        <v>1</v>
      </c>
      <c r="Q1441" s="26" t="s">
        <v>1</v>
      </c>
      <c r="R1441" s="1209"/>
      <c r="S1441" s="1209">
        <v>71250</v>
      </c>
      <c r="T1441" s="26" t="s">
        <v>5705</v>
      </c>
      <c r="U1441" s="1871"/>
      <c r="V1441" s="26"/>
      <c r="W1441" s="2015"/>
      <c r="X1441" s="18"/>
      <c r="Y1441" s="4"/>
      <c r="Z1441" s="4"/>
    </row>
    <row r="1442" spans="1:26" ht="14.1" hidden="1">
      <c r="A1442" s="20">
        <v>1449</v>
      </c>
      <c r="B1442" s="1063">
        <v>41219</v>
      </c>
      <c r="C1442" s="26" t="s">
        <v>5706</v>
      </c>
      <c r="D1442" s="11"/>
      <c r="E1442" s="26" t="s">
        <v>62</v>
      </c>
      <c r="F1442" s="26" t="s">
        <v>4980</v>
      </c>
      <c r="G1442" s="26" t="s">
        <v>5707</v>
      </c>
      <c r="H1442" s="26" t="s">
        <v>5708</v>
      </c>
      <c r="I1442" s="26" t="s">
        <v>5708</v>
      </c>
      <c r="J1442" s="26" t="s">
        <v>5061</v>
      </c>
      <c r="K1442" s="26" t="s">
        <v>5061</v>
      </c>
      <c r="L1442" s="26"/>
      <c r="M1442" s="26">
        <v>1</v>
      </c>
      <c r="N1442" s="26">
        <v>2</v>
      </c>
      <c r="O1442" s="26">
        <v>2</v>
      </c>
      <c r="P1442" s="26">
        <v>1</v>
      </c>
      <c r="Q1442" s="26" t="s">
        <v>1</v>
      </c>
      <c r="R1442" s="1209" t="s">
        <v>5709</v>
      </c>
      <c r="S1442" s="1209" t="s">
        <v>5710</v>
      </c>
      <c r="T1442" s="26" t="s">
        <v>5705</v>
      </c>
      <c r="U1442" s="1871"/>
      <c r="V1442" s="26"/>
      <c r="W1442" s="2015"/>
      <c r="X1442" s="18"/>
      <c r="Y1442" s="4"/>
      <c r="Z1442" s="4"/>
    </row>
    <row r="1443" spans="1:26" ht="14.1" hidden="1">
      <c r="A1443" s="20">
        <v>1450</v>
      </c>
      <c r="B1443" s="1063">
        <v>41220</v>
      </c>
      <c r="C1443" s="26" t="s">
        <v>5711</v>
      </c>
      <c r="D1443" s="11"/>
      <c r="E1443" s="26" t="s">
        <v>62</v>
      </c>
      <c r="F1443" s="26" t="s">
        <v>4980</v>
      </c>
      <c r="G1443" s="26" t="s">
        <v>5712</v>
      </c>
      <c r="H1443" s="26" t="s">
        <v>5708</v>
      </c>
      <c r="I1443" s="26" t="s">
        <v>5708</v>
      </c>
      <c r="J1443" s="26" t="s">
        <v>5713</v>
      </c>
      <c r="K1443" s="26" t="s">
        <v>5713</v>
      </c>
      <c r="L1443" s="26"/>
      <c r="M1443" s="26">
        <v>1</v>
      </c>
      <c r="N1443" s="26">
        <v>2</v>
      </c>
      <c r="O1443" s="26">
        <v>2</v>
      </c>
      <c r="P1443" s="26" t="s">
        <v>1</v>
      </c>
      <c r="Q1443" s="26" t="s">
        <v>1</v>
      </c>
      <c r="R1443" s="1209" t="s">
        <v>5714</v>
      </c>
      <c r="S1443" s="1209" t="s">
        <v>5715</v>
      </c>
      <c r="T1443" s="26" t="s">
        <v>5705</v>
      </c>
      <c r="U1443" s="2340"/>
      <c r="V1443" s="2341"/>
      <c r="W1443" s="2015"/>
      <c r="X1443" s="26"/>
      <c r="Y1443" s="71"/>
      <c r="Z1443" s="71"/>
    </row>
    <row r="1444" spans="1:26" ht="14.1" hidden="1">
      <c r="A1444" s="20">
        <v>1451</v>
      </c>
      <c r="B1444" s="1063">
        <v>41221</v>
      </c>
      <c r="C1444" s="26" t="s">
        <v>5716</v>
      </c>
      <c r="D1444" s="11"/>
      <c r="E1444" s="26" t="s">
        <v>62</v>
      </c>
      <c r="F1444" s="26" t="s">
        <v>4980</v>
      </c>
      <c r="G1444" s="26" t="s">
        <v>5717</v>
      </c>
      <c r="H1444" s="26" t="s">
        <v>5708</v>
      </c>
      <c r="I1444" s="26" t="s">
        <v>5708</v>
      </c>
      <c r="J1444" s="26" t="s">
        <v>5718</v>
      </c>
      <c r="K1444" s="26" t="s">
        <v>5718</v>
      </c>
      <c r="L1444" s="26"/>
      <c r="M1444" s="26">
        <v>1</v>
      </c>
      <c r="N1444" s="26">
        <v>2</v>
      </c>
      <c r="O1444" s="26">
        <v>2</v>
      </c>
      <c r="P1444" s="26"/>
      <c r="Q1444" s="26" t="s">
        <v>1</v>
      </c>
      <c r="R1444" s="1209" t="s">
        <v>5719</v>
      </c>
      <c r="S1444" s="1209" t="s">
        <v>5720</v>
      </c>
      <c r="T1444" s="26" t="s">
        <v>5705</v>
      </c>
      <c r="U1444" s="2336"/>
      <c r="V1444" s="2338"/>
      <c r="W1444" s="2015"/>
      <c r="X1444" s="26"/>
      <c r="Y1444" s="71"/>
      <c r="Z1444" s="71"/>
    </row>
    <row r="1445" spans="1:26" ht="24.95" hidden="1">
      <c r="A1445" s="20">
        <v>1452</v>
      </c>
      <c r="B1445" s="1063">
        <v>41222</v>
      </c>
      <c r="C1445" s="26" t="s">
        <v>5721</v>
      </c>
      <c r="D1445" s="11"/>
      <c r="E1445" s="26" t="s">
        <v>4926</v>
      </c>
      <c r="F1445" s="26" t="s">
        <v>131</v>
      </c>
      <c r="G1445" s="26" t="s">
        <v>5722</v>
      </c>
      <c r="H1445" s="26" t="s">
        <v>1318</v>
      </c>
      <c r="I1445" s="26" t="s">
        <v>5723</v>
      </c>
      <c r="J1445" s="26" t="s">
        <v>5724</v>
      </c>
      <c r="K1445" s="26" t="s">
        <v>5725</v>
      </c>
      <c r="L1445" s="26"/>
      <c r="M1445" s="26">
        <v>4</v>
      </c>
      <c r="N1445" s="26">
        <v>1</v>
      </c>
      <c r="O1445" s="26">
        <v>5</v>
      </c>
      <c r="P1445" s="26">
        <v>0</v>
      </c>
      <c r="Q1445" s="26">
        <v>1</v>
      </c>
      <c r="R1445" s="1209">
        <v>764</v>
      </c>
      <c r="S1445" s="1209">
        <f t="shared" ref="S1445:S1452" si="77">R1445*O1445</f>
        <v>3820</v>
      </c>
      <c r="T1445" s="26" t="s">
        <v>5448</v>
      </c>
      <c r="U1445" s="1871" t="s">
        <v>5726</v>
      </c>
      <c r="V1445" s="26" t="s">
        <v>3140</v>
      </c>
      <c r="W1445" s="700" t="s">
        <v>5727</v>
      </c>
      <c r="X1445" s="18"/>
      <c r="Y1445" s="4"/>
      <c r="Z1445" s="4"/>
    </row>
    <row r="1446" spans="1:26" ht="37.5" hidden="1">
      <c r="A1446" s="20">
        <v>1453</v>
      </c>
      <c r="B1446" s="1063">
        <v>41223</v>
      </c>
      <c r="C1446" s="26" t="s">
        <v>5728</v>
      </c>
      <c r="D1446" s="11"/>
      <c r="E1446" s="26" t="s">
        <v>4926</v>
      </c>
      <c r="F1446" s="26" t="s">
        <v>131</v>
      </c>
      <c r="G1446" s="26" t="s">
        <v>5729</v>
      </c>
      <c r="H1446" s="26" t="s">
        <v>5730</v>
      </c>
      <c r="I1446" s="26" t="s">
        <v>5723</v>
      </c>
      <c r="J1446" s="26" t="s">
        <v>5731</v>
      </c>
      <c r="K1446" s="26" t="s">
        <v>5732</v>
      </c>
      <c r="L1446" s="26">
        <v>805</v>
      </c>
      <c r="M1446" s="26">
        <v>4</v>
      </c>
      <c r="N1446" s="26">
        <v>1</v>
      </c>
      <c r="O1446" s="26">
        <v>10</v>
      </c>
      <c r="P1446" s="26">
        <v>0</v>
      </c>
      <c r="Q1446" s="26">
        <v>6</v>
      </c>
      <c r="R1446" s="1209">
        <v>79</v>
      </c>
      <c r="S1446" s="1209">
        <f t="shared" si="77"/>
        <v>790</v>
      </c>
      <c r="T1446" s="26" t="s">
        <v>5448</v>
      </c>
      <c r="U1446" s="1871" t="s">
        <v>5726</v>
      </c>
      <c r="V1446" s="26" t="s">
        <v>3140</v>
      </c>
      <c r="W1446" s="700" t="s">
        <v>5733</v>
      </c>
      <c r="X1446" s="18"/>
      <c r="Y1446" s="4"/>
      <c r="Z1446" s="4"/>
    </row>
    <row r="1447" spans="1:26" ht="24.95" hidden="1">
      <c r="A1447" s="20">
        <v>1454</v>
      </c>
      <c r="B1447" s="1063">
        <v>41224</v>
      </c>
      <c r="C1447" s="26" t="s">
        <v>5734</v>
      </c>
      <c r="D1447" s="11"/>
      <c r="E1447" s="26" t="s">
        <v>4926</v>
      </c>
      <c r="F1447" s="26" t="s">
        <v>131</v>
      </c>
      <c r="G1447" s="26" t="s">
        <v>5735</v>
      </c>
      <c r="H1447" s="26" t="s">
        <v>5730</v>
      </c>
      <c r="I1447" s="26" t="s">
        <v>5723</v>
      </c>
      <c r="J1447" s="26" t="s">
        <v>5736</v>
      </c>
      <c r="K1447" s="26" t="s">
        <v>5737</v>
      </c>
      <c r="L1447" s="26">
        <v>805</v>
      </c>
      <c r="M1447" s="26">
        <v>4</v>
      </c>
      <c r="N1447" s="26">
        <v>1</v>
      </c>
      <c r="O1447" s="26">
        <v>10</v>
      </c>
      <c r="P1447" s="26">
        <v>0</v>
      </c>
      <c r="Q1447" s="26">
        <v>6</v>
      </c>
      <c r="R1447" s="1209">
        <v>33</v>
      </c>
      <c r="S1447" s="1209">
        <f t="shared" si="77"/>
        <v>330</v>
      </c>
      <c r="T1447" s="26" t="s">
        <v>5448</v>
      </c>
      <c r="U1447" s="1871" t="s">
        <v>5726</v>
      </c>
      <c r="V1447" s="26" t="s">
        <v>3140</v>
      </c>
      <c r="W1447" s="700" t="s">
        <v>5738</v>
      </c>
      <c r="X1447" s="18"/>
      <c r="Y1447" s="4"/>
      <c r="Z1447" s="4"/>
    </row>
    <row r="1448" spans="1:26" ht="24.95" hidden="1">
      <c r="A1448" s="20">
        <v>1455</v>
      </c>
      <c r="B1448" s="1063">
        <v>41225</v>
      </c>
      <c r="C1448" s="26" t="s">
        <v>5739</v>
      </c>
      <c r="D1448" s="11"/>
      <c r="E1448" s="26" t="s">
        <v>4926</v>
      </c>
      <c r="F1448" s="26" t="s">
        <v>131</v>
      </c>
      <c r="G1448" s="26" t="s">
        <v>5740</v>
      </c>
      <c r="H1448" s="26" t="s">
        <v>651</v>
      </c>
      <c r="I1448" s="26" t="s">
        <v>5723</v>
      </c>
      <c r="J1448" s="26" t="s">
        <v>5741</v>
      </c>
      <c r="K1448" s="26" t="s">
        <v>5742</v>
      </c>
      <c r="L1448" s="26">
        <v>603</v>
      </c>
      <c r="M1448" s="26">
        <v>4</v>
      </c>
      <c r="N1448" s="26">
        <v>1</v>
      </c>
      <c r="O1448" s="26">
        <v>10</v>
      </c>
      <c r="P1448" s="26">
        <v>0</v>
      </c>
      <c r="Q1448" s="26">
        <v>6</v>
      </c>
      <c r="R1448" s="1209">
        <v>26</v>
      </c>
      <c r="S1448" s="1209">
        <f t="shared" si="77"/>
        <v>260</v>
      </c>
      <c r="T1448" s="26" t="s">
        <v>5448</v>
      </c>
      <c r="U1448" s="1871" t="s">
        <v>5726</v>
      </c>
      <c r="V1448" s="26" t="s">
        <v>3140</v>
      </c>
      <c r="W1448" s="700" t="s">
        <v>5743</v>
      </c>
      <c r="X1448" s="18"/>
      <c r="Y1448" s="4"/>
      <c r="Z1448" s="4"/>
    </row>
    <row r="1449" spans="1:26" ht="24.95" hidden="1">
      <c r="A1449" s="20">
        <v>1456</v>
      </c>
      <c r="B1449" s="1063">
        <v>41226</v>
      </c>
      <c r="C1449" s="26" t="s">
        <v>5744</v>
      </c>
      <c r="D1449" s="11"/>
      <c r="E1449" s="26" t="s">
        <v>4926</v>
      </c>
      <c r="F1449" s="26" t="s">
        <v>131</v>
      </c>
      <c r="G1449" s="26" t="s">
        <v>5745</v>
      </c>
      <c r="H1449" s="26" t="s">
        <v>5550</v>
      </c>
      <c r="I1449" s="26" t="s">
        <v>5723</v>
      </c>
      <c r="J1449" s="26" t="s">
        <v>5746</v>
      </c>
      <c r="K1449" s="26" t="s">
        <v>5747</v>
      </c>
      <c r="L1449" s="26">
        <v>603</v>
      </c>
      <c r="M1449" s="26">
        <v>4</v>
      </c>
      <c r="N1449" s="26">
        <v>1</v>
      </c>
      <c r="O1449" s="26">
        <v>10</v>
      </c>
      <c r="P1449" s="26">
        <v>0</v>
      </c>
      <c r="Q1449" s="26">
        <v>6</v>
      </c>
      <c r="R1449" s="1209">
        <v>16</v>
      </c>
      <c r="S1449" s="1209">
        <f t="shared" si="77"/>
        <v>160</v>
      </c>
      <c r="T1449" s="26" t="s">
        <v>5448</v>
      </c>
      <c r="U1449" s="1871" t="s">
        <v>5726</v>
      </c>
      <c r="V1449" s="26" t="s">
        <v>3140</v>
      </c>
      <c r="W1449" s="700" t="s">
        <v>5748</v>
      </c>
      <c r="X1449" s="26"/>
      <c r="Y1449" s="71"/>
      <c r="Z1449" s="71"/>
    </row>
    <row r="1450" spans="1:26" ht="24.95" hidden="1">
      <c r="A1450" s="20">
        <v>1457</v>
      </c>
      <c r="B1450" s="1063">
        <v>41227</v>
      </c>
      <c r="C1450" s="26" t="s">
        <v>5749</v>
      </c>
      <c r="D1450" s="11"/>
      <c r="E1450" s="26" t="s">
        <v>4926</v>
      </c>
      <c r="F1450" s="26" t="s">
        <v>131</v>
      </c>
      <c r="G1450" s="26" t="s">
        <v>5750</v>
      </c>
      <c r="H1450" s="26" t="s">
        <v>280</v>
      </c>
      <c r="I1450" s="26" t="s">
        <v>5723</v>
      </c>
      <c r="J1450" s="26" t="s">
        <v>5751</v>
      </c>
      <c r="K1450" s="26" t="s">
        <v>5752</v>
      </c>
      <c r="L1450" s="26"/>
      <c r="M1450" s="26">
        <v>8</v>
      </c>
      <c r="N1450" s="26">
        <v>1</v>
      </c>
      <c r="O1450" s="26">
        <v>10</v>
      </c>
      <c r="P1450" s="26">
        <v>0</v>
      </c>
      <c r="Q1450" s="26">
        <v>2</v>
      </c>
      <c r="R1450" s="1209">
        <v>634</v>
      </c>
      <c r="S1450" s="1209">
        <f t="shared" si="77"/>
        <v>6340</v>
      </c>
      <c r="T1450" s="26" t="s">
        <v>5448</v>
      </c>
      <c r="U1450" s="1871" t="s">
        <v>5726</v>
      </c>
      <c r="V1450" s="26" t="s">
        <v>3140</v>
      </c>
      <c r="W1450" s="700" t="s">
        <v>5753</v>
      </c>
      <c r="X1450" s="26"/>
      <c r="Y1450" s="71"/>
      <c r="Z1450" s="71"/>
    </row>
    <row r="1451" spans="1:26" ht="24.95" hidden="1">
      <c r="A1451" s="20">
        <v>1458</v>
      </c>
      <c r="B1451" s="1063">
        <v>41228</v>
      </c>
      <c r="C1451" s="26" t="s">
        <v>5754</v>
      </c>
      <c r="D1451" s="11"/>
      <c r="E1451" s="26" t="s">
        <v>4926</v>
      </c>
      <c r="F1451" s="26" t="s">
        <v>131</v>
      </c>
      <c r="G1451" s="26"/>
      <c r="H1451" s="26" t="s">
        <v>1104</v>
      </c>
      <c r="I1451" s="26" t="s">
        <v>5755</v>
      </c>
      <c r="J1451" s="26" t="s">
        <v>5756</v>
      </c>
      <c r="K1451" s="26" t="s">
        <v>5756</v>
      </c>
      <c r="L1451" s="26"/>
      <c r="M1451" s="26">
        <v>8</v>
      </c>
      <c r="N1451" s="26">
        <v>1</v>
      </c>
      <c r="O1451" s="26">
        <v>10</v>
      </c>
      <c r="P1451" s="26">
        <v>0</v>
      </c>
      <c r="Q1451" s="26">
        <v>2</v>
      </c>
      <c r="R1451" s="1209">
        <v>131</v>
      </c>
      <c r="S1451" s="1209">
        <f t="shared" si="77"/>
        <v>1310</v>
      </c>
      <c r="T1451" s="26" t="s">
        <v>5448</v>
      </c>
      <c r="U1451" s="1871" t="s">
        <v>5726</v>
      </c>
      <c r="V1451" s="26" t="s">
        <v>3140</v>
      </c>
      <c r="W1451" s="2292" t="s">
        <v>5757</v>
      </c>
      <c r="X1451" s="18"/>
      <c r="Y1451" s="4"/>
      <c r="Z1451" s="4"/>
    </row>
    <row r="1452" spans="1:26" ht="24.95" hidden="1">
      <c r="A1452" s="20">
        <v>1459</v>
      </c>
      <c r="B1452" s="1063">
        <v>41229</v>
      </c>
      <c r="C1452" s="26"/>
      <c r="D1452" s="11"/>
      <c r="E1452" s="26" t="s">
        <v>4926</v>
      </c>
      <c r="F1452" s="26" t="s">
        <v>131</v>
      </c>
      <c r="G1452" s="26"/>
      <c r="H1452" s="26" t="s">
        <v>1104</v>
      </c>
      <c r="I1452" s="26" t="s">
        <v>5723</v>
      </c>
      <c r="J1452" s="26" t="s">
        <v>5758</v>
      </c>
      <c r="K1452" s="26" t="s">
        <v>5759</v>
      </c>
      <c r="L1452" s="26"/>
      <c r="M1452" s="26">
        <v>8</v>
      </c>
      <c r="N1452" s="26">
        <v>1</v>
      </c>
      <c r="O1452" s="26">
        <v>10</v>
      </c>
      <c r="P1452" s="26">
        <v>0</v>
      </c>
      <c r="Q1452" s="26">
        <v>2</v>
      </c>
      <c r="R1452" s="1209">
        <v>19.3</v>
      </c>
      <c r="S1452" s="1209">
        <f t="shared" si="77"/>
        <v>193</v>
      </c>
      <c r="T1452" s="26" t="s">
        <v>5448</v>
      </c>
      <c r="U1452" s="1871" t="s">
        <v>5726</v>
      </c>
      <c r="V1452" s="26" t="s">
        <v>3140</v>
      </c>
      <c r="W1452" s="700" t="s">
        <v>5760</v>
      </c>
      <c r="X1452" s="18"/>
      <c r="Y1452" s="4"/>
      <c r="Z1452" s="4"/>
    </row>
    <row r="1453" spans="1:26" ht="24.95" hidden="1">
      <c r="A1453" s="20">
        <v>1460</v>
      </c>
      <c r="B1453" s="1063">
        <v>41230</v>
      </c>
      <c r="C1453" s="26" t="s">
        <v>5761</v>
      </c>
      <c r="D1453" s="11" t="s">
        <v>6</v>
      </c>
      <c r="E1453" s="26" t="s">
        <v>4907</v>
      </c>
      <c r="F1453" s="26" t="s">
        <v>2693</v>
      </c>
      <c r="G1453" s="26" t="s">
        <v>5762</v>
      </c>
      <c r="H1453" s="26" t="s">
        <v>5763</v>
      </c>
      <c r="I1453" s="26" t="s">
        <v>5764</v>
      </c>
      <c r="J1453" s="26" t="s">
        <v>5765</v>
      </c>
      <c r="K1453" s="26" t="s">
        <v>5766</v>
      </c>
      <c r="L1453" s="26" t="s">
        <v>5767</v>
      </c>
      <c r="M1453" s="26">
        <v>1</v>
      </c>
      <c r="N1453" s="26">
        <v>1</v>
      </c>
      <c r="O1453" s="26">
        <v>1</v>
      </c>
      <c r="P1453" s="26">
        <v>0</v>
      </c>
      <c r="Q1453" s="26">
        <v>1</v>
      </c>
      <c r="R1453" s="1209">
        <v>480</v>
      </c>
      <c r="S1453" s="1209">
        <v>480</v>
      </c>
      <c r="T1453" s="26" t="s">
        <v>929</v>
      </c>
      <c r="U1453" s="1871" t="s">
        <v>1136</v>
      </c>
      <c r="V1453" s="26" t="s">
        <v>352</v>
      </c>
      <c r="W1453" s="2064" t="s">
        <v>5768</v>
      </c>
      <c r="X1453" s="18"/>
      <c r="Y1453" s="4"/>
      <c r="Z1453" s="4"/>
    </row>
    <row r="1454" spans="1:26" ht="37.5" hidden="1">
      <c r="A1454" s="20">
        <v>1461</v>
      </c>
      <c r="B1454" s="1063">
        <v>41231</v>
      </c>
      <c r="C1454" s="26" t="s">
        <v>5769</v>
      </c>
      <c r="D1454" s="11"/>
      <c r="E1454" s="26" t="s">
        <v>4926</v>
      </c>
      <c r="F1454" s="26" t="s">
        <v>131</v>
      </c>
      <c r="G1454" s="26"/>
      <c r="H1454" s="26" t="s">
        <v>287</v>
      </c>
      <c r="I1454" s="26"/>
      <c r="J1454" s="26"/>
      <c r="K1454" s="26"/>
      <c r="L1454" s="26"/>
      <c r="M1454" s="26">
        <v>3</v>
      </c>
      <c r="N1454" s="26">
        <v>1</v>
      </c>
      <c r="O1454" s="26">
        <v>4</v>
      </c>
      <c r="P1454" s="26">
        <v>0</v>
      </c>
      <c r="Q1454" s="26">
        <v>1</v>
      </c>
      <c r="R1454" s="1209"/>
      <c r="S1454" s="1209">
        <v>21054</v>
      </c>
      <c r="T1454" s="26" t="s">
        <v>5448</v>
      </c>
      <c r="U1454" s="1871" t="s">
        <v>5770</v>
      </c>
      <c r="V1454" s="26" t="s">
        <v>3140</v>
      </c>
      <c r="W1454" s="2008" t="s">
        <v>5771</v>
      </c>
      <c r="X1454" s="18"/>
      <c r="Y1454" s="4"/>
      <c r="Z1454" s="4"/>
    </row>
    <row r="1455" spans="1:26" ht="174.95" hidden="1">
      <c r="A1455" s="20">
        <v>1462</v>
      </c>
      <c r="B1455" s="1063">
        <v>41232</v>
      </c>
      <c r="C1455" s="18" t="s">
        <v>4068</v>
      </c>
      <c r="D1455" s="11" t="s">
        <v>6</v>
      </c>
      <c r="E1455" s="18" t="s">
        <v>4907</v>
      </c>
      <c r="F1455" s="18" t="s">
        <v>2143</v>
      </c>
      <c r="G1455" s="18" t="s">
        <v>4069</v>
      </c>
      <c r="H1455" s="18" t="s">
        <v>101</v>
      </c>
      <c r="I1455" s="18" t="s">
        <v>482</v>
      </c>
      <c r="J1455" s="18">
        <v>3490874</v>
      </c>
      <c r="K1455" s="18" t="s">
        <v>4070</v>
      </c>
      <c r="L1455" s="18" t="s">
        <v>1</v>
      </c>
      <c r="M1455" s="18">
        <v>1</v>
      </c>
      <c r="N1455" s="18">
        <v>1</v>
      </c>
      <c r="O1455" s="18">
        <v>10</v>
      </c>
      <c r="P1455" s="18">
        <v>0</v>
      </c>
      <c r="Q1455" s="18">
        <v>9</v>
      </c>
      <c r="R1455" s="1215">
        <v>2169</v>
      </c>
      <c r="S1455" s="1215">
        <f t="shared" ref="S1455:S1456" si="78">R1455*O1455</f>
        <v>21690</v>
      </c>
      <c r="T1455" s="18" t="s">
        <v>3064</v>
      </c>
      <c r="U1455" s="1859" t="s">
        <v>3094</v>
      </c>
      <c r="V1455" s="18" t="s">
        <v>4071</v>
      </c>
      <c r="W1455" s="2037" t="s">
        <v>4072</v>
      </c>
      <c r="X1455" s="26"/>
      <c r="Y1455" s="71"/>
      <c r="Z1455" s="71"/>
    </row>
    <row r="1456" spans="1:26" ht="14.1" hidden="1">
      <c r="A1456" s="20">
        <v>1463</v>
      </c>
      <c r="B1456" s="1063">
        <v>41233</v>
      </c>
      <c r="C1456" s="26" t="s">
        <v>5692</v>
      </c>
      <c r="D1456" s="11"/>
      <c r="E1456" s="18" t="s">
        <v>4907</v>
      </c>
      <c r="F1456" s="26" t="s">
        <v>2332</v>
      </c>
      <c r="G1456" s="26" t="s">
        <v>5772</v>
      </c>
      <c r="H1456" s="26" t="s">
        <v>5694</v>
      </c>
      <c r="I1456" s="26" t="s">
        <v>366</v>
      </c>
      <c r="J1456" s="26" t="s">
        <v>5773</v>
      </c>
      <c r="K1456" s="26" t="s">
        <v>5773</v>
      </c>
      <c r="L1456" s="26" t="s">
        <v>1</v>
      </c>
      <c r="M1456" s="26">
        <v>2</v>
      </c>
      <c r="N1456" s="26">
        <v>1</v>
      </c>
      <c r="O1456" s="26">
        <v>2</v>
      </c>
      <c r="P1456" s="26">
        <v>0</v>
      </c>
      <c r="Q1456" s="26">
        <f>P1456+O1456-M1456</f>
        <v>0</v>
      </c>
      <c r="R1456" s="1227">
        <v>1248</v>
      </c>
      <c r="S1456" s="1228">
        <f t="shared" si="78"/>
        <v>2496</v>
      </c>
      <c r="T1456" s="26" t="s">
        <v>929</v>
      </c>
      <c r="U1456" s="1871" t="s">
        <v>301</v>
      </c>
      <c r="V1456" s="26" t="s">
        <v>931</v>
      </c>
      <c r="W1456" s="2008" t="s">
        <v>5774</v>
      </c>
      <c r="X1456" s="26"/>
      <c r="Y1456" s="71"/>
      <c r="Z1456" s="71"/>
    </row>
    <row r="1457" spans="1:26" ht="15.95" hidden="1">
      <c r="A1457" s="20">
        <v>1464</v>
      </c>
      <c r="B1457" s="1063">
        <v>41234</v>
      </c>
      <c r="C1457" s="26" t="s">
        <v>5775</v>
      </c>
      <c r="D1457" s="11" t="s">
        <v>6</v>
      </c>
      <c r="E1457" s="26" t="s">
        <v>4907</v>
      </c>
      <c r="F1457" s="26" t="s">
        <v>2876</v>
      </c>
      <c r="G1457" s="26" t="s">
        <v>5776</v>
      </c>
      <c r="H1457" s="26" t="s">
        <v>5777</v>
      </c>
      <c r="I1457" s="26" t="s">
        <v>84</v>
      </c>
      <c r="J1457" s="179">
        <v>45148442</v>
      </c>
      <c r="K1457" s="180" t="s">
        <v>5778</v>
      </c>
      <c r="L1457" s="26"/>
      <c r="M1457" s="26">
        <v>1</v>
      </c>
      <c r="N1457" s="26">
        <v>1</v>
      </c>
      <c r="O1457" s="26">
        <v>1</v>
      </c>
      <c r="P1457" s="26">
        <v>0</v>
      </c>
      <c r="Q1457" s="26">
        <v>1</v>
      </c>
      <c r="R1457" s="1209">
        <v>1590</v>
      </c>
      <c r="S1457" s="1209">
        <f>O1457*R1457</f>
        <v>1590</v>
      </c>
      <c r="T1457" s="26" t="s">
        <v>929</v>
      </c>
      <c r="U1457" s="1871" t="s">
        <v>448</v>
      </c>
      <c r="V1457" s="26" t="s">
        <v>352</v>
      </c>
      <c r="W1457" s="2065" t="s">
        <v>5779</v>
      </c>
      <c r="X1457" s="18"/>
      <c r="Y1457" s="4"/>
      <c r="Z1457" s="4"/>
    </row>
    <row r="1458" spans="1:26" ht="14.1" hidden="1">
      <c r="A1458" s="20">
        <v>1465</v>
      </c>
      <c r="B1458" s="1063">
        <v>41235</v>
      </c>
      <c r="C1458" s="139" t="s">
        <v>5780</v>
      </c>
      <c r="D1458" s="11" t="s">
        <v>6</v>
      </c>
      <c r="E1458" s="139" t="s">
        <v>4907</v>
      </c>
      <c r="F1458" s="139" t="s">
        <v>2876</v>
      </c>
      <c r="G1458" s="139" t="s">
        <v>5781</v>
      </c>
      <c r="H1458" s="139" t="s">
        <v>5782</v>
      </c>
      <c r="I1458" s="139" t="s">
        <v>39</v>
      </c>
      <c r="J1458" s="181" t="s">
        <v>5783</v>
      </c>
      <c r="K1458" s="181" t="s">
        <v>5784</v>
      </c>
      <c r="L1458" s="139"/>
      <c r="M1458" s="139">
        <v>1</v>
      </c>
      <c r="N1458" s="139">
        <v>1</v>
      </c>
      <c r="O1458" s="139">
        <v>1</v>
      </c>
      <c r="P1458" s="139">
        <v>0</v>
      </c>
      <c r="Q1458" s="139">
        <v>1</v>
      </c>
      <c r="R1458" s="1234">
        <v>3716</v>
      </c>
      <c r="S1458" s="1234">
        <v>3716</v>
      </c>
      <c r="T1458" s="139" t="s">
        <v>929</v>
      </c>
      <c r="U1458" s="1879" t="s">
        <v>448</v>
      </c>
      <c r="V1458" s="139" t="s">
        <v>352</v>
      </c>
      <c r="W1458" s="2066" t="s">
        <v>5785</v>
      </c>
      <c r="X1458" s="56"/>
      <c r="Y1458" s="57"/>
      <c r="Z1458" s="57"/>
    </row>
    <row r="1459" spans="1:26" ht="15.95" hidden="1">
      <c r="A1459" s="20">
        <v>1466</v>
      </c>
      <c r="B1459" s="1063">
        <v>41236</v>
      </c>
      <c r="C1459" s="26" t="s">
        <v>5786</v>
      </c>
      <c r="D1459" s="11"/>
      <c r="E1459" s="26" t="s">
        <v>4907</v>
      </c>
      <c r="F1459" s="26" t="s">
        <v>2839</v>
      </c>
      <c r="G1459" s="26" t="s">
        <v>5787</v>
      </c>
      <c r="H1459" s="26" t="s">
        <v>5788</v>
      </c>
      <c r="I1459" s="26" t="s">
        <v>5690</v>
      </c>
      <c r="J1459" s="182" t="s">
        <v>5789</v>
      </c>
      <c r="K1459" s="642">
        <v>50315597</v>
      </c>
      <c r="L1459" s="26" t="s">
        <v>1</v>
      </c>
      <c r="M1459" s="26">
        <v>1</v>
      </c>
      <c r="N1459" s="26">
        <v>1</v>
      </c>
      <c r="O1459" s="26">
        <v>1</v>
      </c>
      <c r="P1459" s="26">
        <v>0</v>
      </c>
      <c r="Q1459" s="26">
        <v>0</v>
      </c>
      <c r="R1459" s="1209">
        <v>39200</v>
      </c>
      <c r="S1459" s="1209">
        <v>39200</v>
      </c>
      <c r="T1459" s="26" t="s">
        <v>929</v>
      </c>
      <c r="U1459" s="1871" t="s">
        <v>5790</v>
      </c>
      <c r="V1459" s="26" t="s">
        <v>352</v>
      </c>
      <c r="W1459" s="2065" t="s">
        <v>5791</v>
      </c>
      <c r="X1459" s="18"/>
      <c r="Y1459" s="4"/>
      <c r="Z1459" s="4"/>
    </row>
    <row r="1460" spans="1:26" ht="18" hidden="1">
      <c r="A1460" s="20">
        <v>1467</v>
      </c>
      <c r="B1460" s="1063">
        <v>41237</v>
      </c>
      <c r="C1460" s="924" t="s">
        <v>5792</v>
      </c>
      <c r="D1460" s="11"/>
      <c r="E1460" s="26" t="s">
        <v>4907</v>
      </c>
      <c r="F1460" s="924" t="s">
        <v>1398</v>
      </c>
      <c r="G1460" s="183" t="s">
        <v>5793</v>
      </c>
      <c r="H1460" s="183" t="s">
        <v>1098</v>
      </c>
      <c r="I1460" s="183" t="s">
        <v>53</v>
      </c>
      <c r="J1460" s="183" t="s">
        <v>3721</v>
      </c>
      <c r="K1460" s="183" t="s">
        <v>3722</v>
      </c>
      <c r="L1460" s="183"/>
      <c r="M1460" s="183">
        <v>33</v>
      </c>
      <c r="N1460" s="183">
        <v>1</v>
      </c>
      <c r="O1460" s="183">
        <v>35</v>
      </c>
      <c r="P1460" s="183">
        <v>0</v>
      </c>
      <c r="Q1460" s="183">
        <v>35</v>
      </c>
      <c r="R1460" s="1245">
        <v>44</v>
      </c>
      <c r="S1460" s="1245">
        <v>1540</v>
      </c>
      <c r="T1460" s="183" t="s">
        <v>3064</v>
      </c>
      <c r="U1460" s="1893" t="s">
        <v>5794</v>
      </c>
      <c r="V1460" s="183" t="s">
        <v>352</v>
      </c>
      <c r="W1460" s="2067" t="s">
        <v>3724</v>
      </c>
      <c r="X1460" s="18"/>
      <c r="Y1460" s="4"/>
      <c r="Z1460" s="4"/>
    </row>
    <row r="1461" spans="1:26" ht="18" hidden="1">
      <c r="A1461" s="20">
        <v>1468</v>
      </c>
      <c r="B1461" s="1063">
        <v>41238</v>
      </c>
      <c r="C1461" s="924" t="s">
        <v>5795</v>
      </c>
      <c r="D1461" s="11"/>
      <c r="E1461" s="26" t="s">
        <v>4907</v>
      </c>
      <c r="F1461" s="924" t="s">
        <v>1398</v>
      </c>
      <c r="G1461" s="183" t="s">
        <v>5796</v>
      </c>
      <c r="H1461" s="183" t="s">
        <v>4080</v>
      </c>
      <c r="I1461" s="183" t="s">
        <v>53</v>
      </c>
      <c r="J1461" s="183" t="s">
        <v>5797</v>
      </c>
      <c r="K1461" s="183" t="s">
        <v>5798</v>
      </c>
      <c r="L1461" s="183"/>
      <c r="M1461" s="183">
        <v>1</v>
      </c>
      <c r="N1461" s="183">
        <v>1</v>
      </c>
      <c r="O1461" s="183">
        <v>3</v>
      </c>
      <c r="P1461" s="183">
        <v>0</v>
      </c>
      <c r="Q1461" s="183">
        <v>3</v>
      </c>
      <c r="R1461" s="1245">
        <v>90</v>
      </c>
      <c r="S1461" s="1245">
        <v>270</v>
      </c>
      <c r="T1461" s="183" t="s">
        <v>4669</v>
      </c>
      <c r="U1461" s="1893"/>
      <c r="V1461" s="183" t="s">
        <v>352</v>
      </c>
      <c r="W1461" s="2067" t="s">
        <v>5799</v>
      </c>
      <c r="X1461" s="26"/>
      <c r="Y1461" s="71"/>
      <c r="Z1461" s="71"/>
    </row>
    <row r="1462" spans="1:26" ht="18" hidden="1">
      <c r="A1462" s="20">
        <v>1469</v>
      </c>
      <c r="B1462" s="1063">
        <v>41239</v>
      </c>
      <c r="C1462" s="924" t="s">
        <v>5800</v>
      </c>
      <c r="D1462" s="11"/>
      <c r="E1462" s="26" t="s">
        <v>4907</v>
      </c>
      <c r="F1462" s="924" t="s">
        <v>1398</v>
      </c>
      <c r="G1462" s="183" t="s">
        <v>5801</v>
      </c>
      <c r="H1462" s="183" t="s">
        <v>5550</v>
      </c>
      <c r="I1462" s="183" t="s">
        <v>53</v>
      </c>
      <c r="J1462" s="183" t="s">
        <v>5802</v>
      </c>
      <c r="K1462" s="183" t="s">
        <v>5803</v>
      </c>
      <c r="L1462" s="183"/>
      <c r="M1462" s="183">
        <v>1</v>
      </c>
      <c r="N1462" s="183">
        <v>1</v>
      </c>
      <c r="O1462" s="183">
        <v>3</v>
      </c>
      <c r="P1462" s="183">
        <v>0</v>
      </c>
      <c r="Q1462" s="183">
        <v>3</v>
      </c>
      <c r="R1462" s="1245">
        <v>42</v>
      </c>
      <c r="S1462" s="1245">
        <v>126</v>
      </c>
      <c r="T1462" s="183" t="s">
        <v>4669</v>
      </c>
      <c r="U1462" s="1893"/>
      <c r="V1462" s="183" t="s">
        <v>352</v>
      </c>
      <c r="W1462" s="2067" t="s">
        <v>5804</v>
      </c>
      <c r="X1462" s="26"/>
      <c r="Y1462" s="71"/>
      <c r="Z1462" s="71"/>
    </row>
    <row r="1463" spans="1:26" ht="18" hidden="1">
      <c r="A1463" s="20">
        <v>1470</v>
      </c>
      <c r="B1463" s="1063">
        <v>41240</v>
      </c>
      <c r="C1463" s="924" t="s">
        <v>5805</v>
      </c>
      <c r="D1463" s="11"/>
      <c r="E1463" s="26" t="s">
        <v>4907</v>
      </c>
      <c r="F1463" s="924" t="s">
        <v>1398</v>
      </c>
      <c r="G1463" s="183" t="s">
        <v>5806</v>
      </c>
      <c r="H1463" s="183" t="s">
        <v>5550</v>
      </c>
      <c r="I1463" s="183" t="s">
        <v>53</v>
      </c>
      <c r="J1463" s="183" t="s">
        <v>5807</v>
      </c>
      <c r="K1463" s="183" t="s">
        <v>5808</v>
      </c>
      <c r="L1463" s="183"/>
      <c r="M1463" s="183">
        <v>16</v>
      </c>
      <c r="N1463" s="183">
        <v>1</v>
      </c>
      <c r="O1463" s="183">
        <v>25</v>
      </c>
      <c r="P1463" s="183">
        <v>0</v>
      </c>
      <c r="Q1463" s="183">
        <v>25</v>
      </c>
      <c r="R1463" s="1245">
        <v>42</v>
      </c>
      <c r="S1463" s="1245">
        <v>1050</v>
      </c>
      <c r="T1463" s="183" t="s">
        <v>4669</v>
      </c>
      <c r="U1463" s="1893"/>
      <c r="V1463" s="183" t="s">
        <v>352</v>
      </c>
      <c r="W1463" s="2067" t="s">
        <v>5809</v>
      </c>
      <c r="X1463" s="18"/>
      <c r="Y1463" s="4"/>
      <c r="Z1463" s="4"/>
    </row>
    <row r="1464" spans="1:26" ht="18" hidden="1">
      <c r="A1464" s="20">
        <v>1471</v>
      </c>
      <c r="B1464" s="1063">
        <v>41241</v>
      </c>
      <c r="C1464" s="924" t="s">
        <v>5810</v>
      </c>
      <c r="D1464" s="11"/>
      <c r="E1464" s="26" t="s">
        <v>4907</v>
      </c>
      <c r="F1464" s="924" t="s">
        <v>1398</v>
      </c>
      <c r="G1464" s="183" t="s">
        <v>5811</v>
      </c>
      <c r="H1464" s="183" t="s">
        <v>5550</v>
      </c>
      <c r="I1464" s="183" t="s">
        <v>53</v>
      </c>
      <c r="J1464" s="183" t="s">
        <v>5812</v>
      </c>
      <c r="K1464" s="183" t="s">
        <v>5813</v>
      </c>
      <c r="L1464" s="183"/>
      <c r="M1464" s="183">
        <v>17</v>
      </c>
      <c r="N1464" s="183">
        <v>1</v>
      </c>
      <c r="O1464" s="183">
        <v>25</v>
      </c>
      <c r="P1464" s="183">
        <v>0</v>
      </c>
      <c r="Q1464" s="183">
        <v>25</v>
      </c>
      <c r="R1464" s="1245">
        <v>42</v>
      </c>
      <c r="S1464" s="1245">
        <v>1050</v>
      </c>
      <c r="T1464" s="183" t="s">
        <v>4669</v>
      </c>
      <c r="U1464" s="1893"/>
      <c r="V1464" s="183" t="s">
        <v>352</v>
      </c>
      <c r="W1464" s="2067" t="s">
        <v>5814</v>
      </c>
      <c r="X1464" s="18"/>
      <c r="Y1464" s="4"/>
      <c r="Z1464" s="4"/>
    </row>
    <row r="1465" spans="1:26" ht="18" hidden="1">
      <c r="A1465" s="20">
        <v>1472</v>
      </c>
      <c r="B1465" s="1063">
        <v>41242</v>
      </c>
      <c r="C1465" s="924" t="s">
        <v>5815</v>
      </c>
      <c r="D1465" s="11"/>
      <c r="E1465" s="26" t="s">
        <v>4907</v>
      </c>
      <c r="F1465" s="924" t="s">
        <v>1398</v>
      </c>
      <c r="G1465" s="183" t="s">
        <v>5816</v>
      </c>
      <c r="H1465" s="183" t="s">
        <v>1098</v>
      </c>
      <c r="I1465" s="183" t="s">
        <v>53</v>
      </c>
      <c r="J1465" s="183" t="s">
        <v>5817</v>
      </c>
      <c r="K1465" s="183" t="s">
        <v>5818</v>
      </c>
      <c r="L1465" s="183"/>
      <c r="M1465" s="183">
        <v>8</v>
      </c>
      <c r="N1465" s="183">
        <v>1</v>
      </c>
      <c r="O1465" s="183">
        <v>15</v>
      </c>
      <c r="P1465" s="183">
        <v>0</v>
      </c>
      <c r="Q1465" s="183">
        <v>15</v>
      </c>
      <c r="R1465" s="1245">
        <v>13</v>
      </c>
      <c r="S1465" s="1245">
        <v>195</v>
      </c>
      <c r="T1465" s="183" t="s">
        <v>4669</v>
      </c>
      <c r="U1465" s="1893"/>
      <c r="V1465" s="183" t="s">
        <v>352</v>
      </c>
      <c r="W1465" s="2067" t="s">
        <v>5819</v>
      </c>
      <c r="X1465" s="18"/>
      <c r="Y1465" s="4"/>
      <c r="Z1465" s="4"/>
    </row>
    <row r="1466" spans="1:26" ht="18" hidden="1">
      <c r="A1466" s="20">
        <v>1473</v>
      </c>
      <c r="B1466" s="1063">
        <v>41243</v>
      </c>
      <c r="C1466" s="925" t="s">
        <v>5820</v>
      </c>
      <c r="D1466" s="11"/>
      <c r="E1466" s="26" t="s">
        <v>4907</v>
      </c>
      <c r="F1466" s="924" t="s">
        <v>1398</v>
      </c>
      <c r="G1466" s="183"/>
      <c r="H1466" s="184" t="s">
        <v>5821</v>
      </c>
      <c r="I1466" s="184" t="s">
        <v>1063</v>
      </c>
      <c r="J1466" s="185" t="s">
        <v>5822</v>
      </c>
      <c r="K1466" s="185" t="s">
        <v>5823</v>
      </c>
      <c r="L1466" s="183"/>
      <c r="M1466" s="183">
        <v>1</v>
      </c>
      <c r="N1466" s="183">
        <v>1</v>
      </c>
      <c r="O1466" s="183">
        <v>1</v>
      </c>
      <c r="P1466" s="183">
        <v>0</v>
      </c>
      <c r="Q1466" s="183">
        <v>1</v>
      </c>
      <c r="R1466" s="1245">
        <v>3450</v>
      </c>
      <c r="S1466" s="1245">
        <v>3450</v>
      </c>
      <c r="T1466" s="183" t="s">
        <v>4669</v>
      </c>
      <c r="U1466" s="1893"/>
      <c r="V1466" s="183" t="s">
        <v>352</v>
      </c>
      <c r="W1466" s="2067" t="s">
        <v>5824</v>
      </c>
      <c r="X1466" s="18"/>
      <c r="Y1466" s="4"/>
      <c r="Z1466" s="4"/>
    </row>
    <row r="1467" spans="1:26" ht="18" hidden="1">
      <c r="A1467" s="20">
        <v>1474</v>
      </c>
      <c r="B1467" s="1063">
        <v>41244</v>
      </c>
      <c r="C1467" s="925" t="s">
        <v>5825</v>
      </c>
      <c r="D1467" s="11"/>
      <c r="E1467" s="26" t="s">
        <v>4907</v>
      </c>
      <c r="F1467" s="924" t="s">
        <v>1398</v>
      </c>
      <c r="G1467" s="184" t="s">
        <v>5826</v>
      </c>
      <c r="H1467" s="184" t="s">
        <v>5827</v>
      </c>
      <c r="I1467" s="184" t="s">
        <v>1063</v>
      </c>
      <c r="J1467" s="183" t="s">
        <v>5828</v>
      </c>
      <c r="K1467" s="183" t="s">
        <v>5829</v>
      </c>
      <c r="L1467" s="183"/>
      <c r="M1467" s="183">
        <v>3</v>
      </c>
      <c r="N1467" s="183">
        <v>1</v>
      </c>
      <c r="O1467" s="183">
        <v>3</v>
      </c>
      <c r="P1467" s="183">
        <v>0</v>
      </c>
      <c r="Q1467" s="183">
        <v>3</v>
      </c>
      <c r="R1467" s="1245">
        <v>150</v>
      </c>
      <c r="S1467" s="1245">
        <v>450</v>
      </c>
      <c r="T1467" s="183" t="s">
        <v>4669</v>
      </c>
      <c r="U1467" s="1893"/>
      <c r="V1467" s="183" t="s">
        <v>352</v>
      </c>
      <c r="W1467" s="2067" t="s">
        <v>5830</v>
      </c>
      <c r="X1467" s="26"/>
      <c r="Y1467" s="71"/>
      <c r="Z1467" s="71"/>
    </row>
    <row r="1468" spans="1:26" ht="18" hidden="1">
      <c r="A1468" s="20">
        <v>1475</v>
      </c>
      <c r="B1468" s="1063">
        <v>41245</v>
      </c>
      <c r="C1468" s="924" t="s">
        <v>5831</v>
      </c>
      <c r="D1468" s="11"/>
      <c r="E1468" s="26" t="s">
        <v>4907</v>
      </c>
      <c r="F1468" s="924" t="s">
        <v>1398</v>
      </c>
      <c r="G1468" s="184" t="s">
        <v>5832</v>
      </c>
      <c r="H1468" s="184" t="s">
        <v>5833</v>
      </c>
      <c r="I1468" s="184" t="s">
        <v>1063</v>
      </c>
      <c r="J1468" s="183" t="s">
        <v>5834</v>
      </c>
      <c r="K1468" s="183" t="s">
        <v>5835</v>
      </c>
      <c r="L1468" s="183"/>
      <c r="M1468" s="183">
        <v>1</v>
      </c>
      <c r="N1468" s="183">
        <v>1</v>
      </c>
      <c r="O1468" s="183">
        <v>1</v>
      </c>
      <c r="P1468" s="183">
        <v>0</v>
      </c>
      <c r="Q1468" s="183">
        <v>1</v>
      </c>
      <c r="R1468" s="1245">
        <v>1000</v>
      </c>
      <c r="S1468" s="1245">
        <v>1000</v>
      </c>
      <c r="T1468" s="183" t="s">
        <v>4669</v>
      </c>
      <c r="U1468" s="1893"/>
      <c r="V1468" s="183" t="s">
        <v>352</v>
      </c>
      <c r="W1468" s="2067" t="s">
        <v>5836</v>
      </c>
      <c r="X1468" s="26"/>
      <c r="Y1468" s="71"/>
      <c r="Z1468" s="71"/>
    </row>
    <row r="1469" spans="1:26" ht="18" hidden="1">
      <c r="A1469" s="20">
        <v>1476</v>
      </c>
      <c r="B1469" s="1063">
        <v>41246</v>
      </c>
      <c r="C1469" s="925" t="s">
        <v>5837</v>
      </c>
      <c r="D1469" s="11"/>
      <c r="E1469" s="26" t="s">
        <v>4907</v>
      </c>
      <c r="F1469" s="924" t="s">
        <v>1398</v>
      </c>
      <c r="G1469" s="184" t="s">
        <v>5838</v>
      </c>
      <c r="H1469" s="183" t="s">
        <v>5839</v>
      </c>
      <c r="I1469" s="184" t="s">
        <v>1063</v>
      </c>
      <c r="J1469" s="183" t="s">
        <v>5840</v>
      </c>
      <c r="K1469" s="183" t="s">
        <v>5841</v>
      </c>
      <c r="L1469" s="183"/>
      <c r="M1469" s="183">
        <v>1</v>
      </c>
      <c r="N1469" s="183">
        <v>1</v>
      </c>
      <c r="O1469" s="183">
        <v>1</v>
      </c>
      <c r="P1469" s="183">
        <v>0</v>
      </c>
      <c r="Q1469" s="183">
        <v>1</v>
      </c>
      <c r="R1469" s="1245">
        <v>80</v>
      </c>
      <c r="S1469" s="1245">
        <v>80</v>
      </c>
      <c r="T1469" s="183" t="s">
        <v>4669</v>
      </c>
      <c r="U1469" s="1893"/>
      <c r="V1469" s="183" t="s">
        <v>352</v>
      </c>
      <c r="W1469" s="2067" t="s">
        <v>5842</v>
      </c>
      <c r="X1469" s="18"/>
      <c r="Y1469" s="4"/>
      <c r="Z1469" s="4"/>
    </row>
    <row r="1470" spans="1:26" ht="18" hidden="1">
      <c r="A1470" s="20">
        <v>1477</v>
      </c>
      <c r="B1470" s="1063">
        <v>41247</v>
      </c>
      <c r="C1470" s="926" t="s">
        <v>5843</v>
      </c>
      <c r="D1470" s="11"/>
      <c r="E1470" s="26" t="s">
        <v>4907</v>
      </c>
      <c r="F1470" s="924" t="s">
        <v>1398</v>
      </c>
      <c r="G1470" s="183"/>
      <c r="H1470" s="183" t="s">
        <v>220</v>
      </c>
      <c r="I1470" s="184" t="s">
        <v>1063</v>
      </c>
      <c r="J1470" s="183" t="s">
        <v>5844</v>
      </c>
      <c r="K1470" s="183" t="s">
        <v>4787</v>
      </c>
      <c r="L1470" s="183"/>
      <c r="M1470" s="183">
        <v>10</v>
      </c>
      <c r="N1470" s="183">
        <v>1</v>
      </c>
      <c r="O1470" s="183">
        <v>10</v>
      </c>
      <c r="P1470" s="183">
        <v>0</v>
      </c>
      <c r="Q1470" s="183">
        <v>10</v>
      </c>
      <c r="R1470" s="1245">
        <v>5</v>
      </c>
      <c r="S1470" s="1245">
        <v>50</v>
      </c>
      <c r="T1470" s="183" t="s">
        <v>4669</v>
      </c>
      <c r="U1470" s="1893"/>
      <c r="V1470" s="183" t="s">
        <v>352</v>
      </c>
      <c r="W1470" s="2067" t="s">
        <v>5845</v>
      </c>
      <c r="X1470" s="18"/>
      <c r="Y1470" s="4"/>
      <c r="Z1470" s="4"/>
    </row>
    <row r="1471" spans="1:26" ht="18" hidden="1">
      <c r="A1471" s="20">
        <v>1478</v>
      </c>
      <c r="B1471" s="1063">
        <v>41248</v>
      </c>
      <c r="C1471" s="926" t="s">
        <v>5846</v>
      </c>
      <c r="D1471" s="11"/>
      <c r="E1471" s="26" t="s">
        <v>4907</v>
      </c>
      <c r="F1471" s="924" t="s">
        <v>1398</v>
      </c>
      <c r="G1471" s="183"/>
      <c r="H1471" s="183" t="s">
        <v>220</v>
      </c>
      <c r="I1471" s="184" t="s">
        <v>1063</v>
      </c>
      <c r="J1471" s="183" t="s">
        <v>5847</v>
      </c>
      <c r="K1471" s="183" t="s">
        <v>5848</v>
      </c>
      <c r="L1471" s="183"/>
      <c r="M1471" s="183">
        <v>30</v>
      </c>
      <c r="N1471" s="183">
        <v>10</v>
      </c>
      <c r="O1471" s="183">
        <v>30</v>
      </c>
      <c r="P1471" s="183">
        <v>0</v>
      </c>
      <c r="Q1471" s="183">
        <v>30</v>
      </c>
      <c r="R1471" s="1245">
        <v>30</v>
      </c>
      <c r="S1471" s="1245">
        <v>90</v>
      </c>
      <c r="T1471" s="183" t="s">
        <v>4669</v>
      </c>
      <c r="U1471" s="1893"/>
      <c r="V1471" s="183" t="s">
        <v>352</v>
      </c>
      <c r="W1471" s="2067" t="s">
        <v>5849</v>
      </c>
      <c r="X1471" s="18"/>
      <c r="Y1471" s="4"/>
      <c r="Z1471" s="4"/>
    </row>
    <row r="1472" spans="1:26" ht="14.1" hidden="1">
      <c r="A1472" s="20">
        <v>1479</v>
      </c>
      <c r="B1472" s="1063">
        <v>41249</v>
      </c>
      <c r="C1472" s="924" t="s">
        <v>5850</v>
      </c>
      <c r="D1472" s="11"/>
      <c r="E1472" s="26" t="s">
        <v>4907</v>
      </c>
      <c r="F1472" s="924" t="s">
        <v>1398</v>
      </c>
      <c r="G1472" s="183"/>
      <c r="H1472" s="183" t="s">
        <v>3525</v>
      </c>
      <c r="I1472" s="183" t="s">
        <v>3525</v>
      </c>
      <c r="J1472" s="183" t="s">
        <v>5851</v>
      </c>
      <c r="K1472" s="183" t="s">
        <v>5851</v>
      </c>
      <c r="L1472" s="183"/>
      <c r="M1472" s="183">
        <v>1</v>
      </c>
      <c r="N1472" s="183">
        <v>1</v>
      </c>
      <c r="O1472" s="183">
        <v>1</v>
      </c>
      <c r="P1472" s="183">
        <v>0</v>
      </c>
      <c r="Q1472" s="183">
        <v>1</v>
      </c>
      <c r="R1472" s="1245">
        <v>42291</v>
      </c>
      <c r="S1472" s="1245">
        <v>42291</v>
      </c>
      <c r="T1472" s="183" t="s">
        <v>4669</v>
      </c>
      <c r="U1472" s="1893"/>
      <c r="V1472" s="183" t="s">
        <v>352</v>
      </c>
      <c r="W1472" s="2068"/>
      <c r="X1472" s="18"/>
      <c r="Y1472" s="4"/>
      <c r="Z1472" s="4"/>
    </row>
    <row r="1473" spans="1:26" ht="174.95" hidden="1">
      <c r="A1473" s="20">
        <v>1480</v>
      </c>
      <c r="B1473" s="1063">
        <v>41250</v>
      </c>
      <c r="C1473" s="18" t="s">
        <v>4068</v>
      </c>
      <c r="D1473" s="11" t="s">
        <v>6</v>
      </c>
      <c r="E1473" s="26" t="s">
        <v>4907</v>
      </c>
      <c r="F1473" s="18" t="s">
        <v>2143</v>
      </c>
      <c r="G1473" s="18" t="s">
        <v>4073</v>
      </c>
      <c r="H1473" s="18" t="s">
        <v>101</v>
      </c>
      <c r="I1473" s="18" t="s">
        <v>482</v>
      </c>
      <c r="J1473" s="18">
        <v>3490874</v>
      </c>
      <c r="K1473" s="18" t="s">
        <v>4070</v>
      </c>
      <c r="L1473" s="18" t="s">
        <v>1</v>
      </c>
      <c r="M1473" s="18">
        <v>1</v>
      </c>
      <c r="N1473" s="18">
        <v>1</v>
      </c>
      <c r="O1473" s="18">
        <v>10</v>
      </c>
      <c r="P1473" s="18">
        <v>0</v>
      </c>
      <c r="Q1473" s="18">
        <v>9</v>
      </c>
      <c r="R1473" s="1215">
        <v>2169</v>
      </c>
      <c r="S1473" s="1215">
        <f t="shared" ref="S1473:S1474" si="79">R1473*O1473</f>
        <v>21690</v>
      </c>
      <c r="T1473" s="18" t="s">
        <v>3064</v>
      </c>
      <c r="U1473" s="1859" t="s">
        <v>3094</v>
      </c>
      <c r="V1473" s="18" t="s">
        <v>4071</v>
      </c>
      <c r="W1473" s="2037" t="s">
        <v>4072</v>
      </c>
      <c r="X1473" s="26"/>
      <c r="Y1473" s="71"/>
      <c r="Z1473" s="71"/>
    </row>
    <row r="1474" spans="1:26" ht="174.95" hidden="1">
      <c r="A1474" s="20">
        <v>1481</v>
      </c>
      <c r="B1474" s="1063">
        <v>41251</v>
      </c>
      <c r="C1474" s="18" t="s">
        <v>4068</v>
      </c>
      <c r="D1474" s="11" t="s">
        <v>6</v>
      </c>
      <c r="E1474" s="26" t="s">
        <v>4907</v>
      </c>
      <c r="F1474" s="18" t="s">
        <v>2143</v>
      </c>
      <c r="G1474" s="18" t="s">
        <v>5852</v>
      </c>
      <c r="H1474" s="18" t="s">
        <v>101</v>
      </c>
      <c r="I1474" s="18" t="s">
        <v>482</v>
      </c>
      <c r="J1474" s="18">
        <v>3490874</v>
      </c>
      <c r="K1474" s="18" t="s">
        <v>4070</v>
      </c>
      <c r="L1474" s="18" t="s">
        <v>1</v>
      </c>
      <c r="M1474" s="18">
        <v>1</v>
      </c>
      <c r="N1474" s="18">
        <v>1</v>
      </c>
      <c r="O1474" s="18">
        <v>10</v>
      </c>
      <c r="P1474" s="18">
        <v>0</v>
      </c>
      <c r="Q1474" s="18">
        <v>9</v>
      </c>
      <c r="R1474" s="1215">
        <v>2169</v>
      </c>
      <c r="S1474" s="1215">
        <f t="shared" si="79"/>
        <v>21690</v>
      </c>
      <c r="T1474" s="18" t="s">
        <v>3064</v>
      </c>
      <c r="U1474" s="1859" t="s">
        <v>3094</v>
      </c>
      <c r="V1474" s="18" t="s">
        <v>4071</v>
      </c>
      <c r="W1474" s="2039" t="s">
        <v>4072</v>
      </c>
      <c r="X1474" s="26"/>
      <c r="Y1474" s="71"/>
      <c r="Z1474" s="71"/>
    </row>
    <row r="1475" spans="1:26" ht="24.95" hidden="1">
      <c r="A1475" s="20">
        <v>1482</v>
      </c>
      <c r="B1475" s="1063">
        <v>41252</v>
      </c>
      <c r="C1475" s="26" t="s">
        <v>5853</v>
      </c>
      <c r="D1475" s="11" t="s">
        <v>6</v>
      </c>
      <c r="E1475" s="26" t="s">
        <v>4907</v>
      </c>
      <c r="F1475" s="26" t="s">
        <v>2143</v>
      </c>
      <c r="G1475" s="26" t="s">
        <v>5854</v>
      </c>
      <c r="H1475" s="26" t="s">
        <v>5855</v>
      </c>
      <c r="I1475" s="26" t="s">
        <v>482</v>
      </c>
      <c r="J1475" s="26">
        <v>2062405</v>
      </c>
      <c r="K1475" s="26">
        <v>4901750102401</v>
      </c>
      <c r="L1475" s="26" t="s">
        <v>1</v>
      </c>
      <c r="M1475" s="26">
        <v>1</v>
      </c>
      <c r="N1475" s="26">
        <v>1</v>
      </c>
      <c r="O1475" s="26">
        <v>1</v>
      </c>
      <c r="P1475" s="26">
        <v>0</v>
      </c>
      <c r="Q1475" s="26">
        <v>0</v>
      </c>
      <c r="R1475" s="1209">
        <v>670</v>
      </c>
      <c r="S1475" s="1209">
        <v>670</v>
      </c>
      <c r="T1475" s="26" t="s">
        <v>3064</v>
      </c>
      <c r="U1475" s="1871" t="s">
        <v>3094</v>
      </c>
      <c r="V1475" s="26" t="s">
        <v>5856</v>
      </c>
      <c r="W1475" s="701" t="s">
        <v>5857</v>
      </c>
      <c r="X1475" s="18"/>
      <c r="Y1475" s="4"/>
      <c r="Z1475" s="4"/>
    </row>
    <row r="1476" spans="1:26" ht="14.1" hidden="1">
      <c r="A1476" s="20">
        <v>1483</v>
      </c>
      <c r="B1476" s="1063">
        <v>41253</v>
      </c>
      <c r="C1476" s="187" t="s">
        <v>5858</v>
      </c>
      <c r="D1476" s="11" t="s">
        <v>6</v>
      </c>
      <c r="E1476" s="26" t="s">
        <v>4907</v>
      </c>
      <c r="F1476" s="26" t="s">
        <v>1569</v>
      </c>
      <c r="G1476" s="26" t="s">
        <v>5859</v>
      </c>
      <c r="H1476" s="26" t="s">
        <v>5860</v>
      </c>
      <c r="I1476" s="631" t="s">
        <v>5861</v>
      </c>
      <c r="J1476" s="188">
        <v>191697</v>
      </c>
      <c r="K1476" s="189" t="s">
        <v>5862</v>
      </c>
      <c r="L1476" s="26" t="s">
        <v>1</v>
      </c>
      <c r="M1476" s="26">
        <v>1</v>
      </c>
      <c r="N1476" s="26">
        <v>1</v>
      </c>
      <c r="O1476" s="26">
        <v>1</v>
      </c>
      <c r="P1476" s="26">
        <v>0</v>
      </c>
      <c r="Q1476" s="26">
        <v>0</v>
      </c>
      <c r="R1476" s="1209">
        <v>6512.9</v>
      </c>
      <c r="S1476" s="1209">
        <v>6512.9</v>
      </c>
      <c r="T1476" s="26" t="s">
        <v>5863</v>
      </c>
      <c r="U1476" s="1871" t="s">
        <v>5864</v>
      </c>
      <c r="V1476" s="26" t="s">
        <v>352</v>
      </c>
      <c r="W1476" s="2065" t="s">
        <v>5865</v>
      </c>
      <c r="X1476" s="18"/>
      <c r="Y1476" s="4"/>
      <c r="Z1476" s="4"/>
    </row>
    <row r="1477" spans="1:26" ht="14.1" hidden="1">
      <c r="A1477" s="20">
        <v>1484</v>
      </c>
      <c r="B1477" s="1063">
        <v>41254</v>
      </c>
      <c r="C1477" s="26" t="s">
        <v>5866</v>
      </c>
      <c r="D1477" s="11"/>
      <c r="E1477" s="26" t="s">
        <v>62</v>
      </c>
      <c r="F1477" s="26" t="s">
        <v>131</v>
      </c>
      <c r="G1477" s="26"/>
      <c r="H1477" s="189"/>
      <c r="I1477" s="26" t="s">
        <v>5867</v>
      </c>
      <c r="J1477" s="26" t="s">
        <v>5868</v>
      </c>
      <c r="K1477" s="26" t="s">
        <v>5869</v>
      </c>
      <c r="L1477" s="26"/>
      <c r="M1477" s="26">
        <v>5</v>
      </c>
      <c r="N1477" s="26">
        <v>1</v>
      </c>
      <c r="O1477" s="26">
        <v>5</v>
      </c>
      <c r="P1477" s="26">
        <v>0</v>
      </c>
      <c r="Q1477" s="26">
        <v>0</v>
      </c>
      <c r="R1477" s="1209">
        <v>22000</v>
      </c>
      <c r="S1477" s="1209">
        <f>R1477*O1477</f>
        <v>110000</v>
      </c>
      <c r="T1477" s="26" t="s">
        <v>5448</v>
      </c>
      <c r="U1477" s="1871" t="s">
        <v>5870</v>
      </c>
      <c r="V1477" s="26" t="s">
        <v>1152</v>
      </c>
      <c r="W1477" s="2015"/>
      <c r="X1477" s="18"/>
      <c r="Y1477" s="4"/>
      <c r="Z1477" s="4"/>
    </row>
    <row r="1478" spans="1:26" ht="14.1" hidden="1">
      <c r="A1478" s="20">
        <v>1485</v>
      </c>
      <c r="B1478" s="1063">
        <v>41255</v>
      </c>
      <c r="C1478" s="26" t="s">
        <v>5871</v>
      </c>
      <c r="D1478" s="11" t="s">
        <v>6</v>
      </c>
      <c r="E1478" s="26" t="s">
        <v>4907</v>
      </c>
      <c r="F1478" s="26" t="s">
        <v>2693</v>
      </c>
      <c r="G1478" s="26" t="s">
        <v>5872</v>
      </c>
      <c r="H1478" s="26" t="s">
        <v>5873</v>
      </c>
      <c r="I1478" s="26" t="s">
        <v>5873</v>
      </c>
      <c r="J1478" s="26"/>
      <c r="K1478" s="26"/>
      <c r="L1478" s="26"/>
      <c r="M1478" s="26">
        <v>1</v>
      </c>
      <c r="N1478" s="26">
        <v>1</v>
      </c>
      <c r="O1478" s="26">
        <v>1</v>
      </c>
      <c r="P1478" s="26">
        <v>0</v>
      </c>
      <c r="Q1478" s="26">
        <v>0</v>
      </c>
      <c r="R1478" s="1209">
        <v>2565</v>
      </c>
      <c r="S1478" s="1209">
        <v>2565</v>
      </c>
      <c r="T1478" s="26" t="s">
        <v>3064</v>
      </c>
      <c r="U1478" s="1871" t="s">
        <v>1136</v>
      </c>
      <c r="V1478" s="26" t="s">
        <v>352</v>
      </c>
      <c r="W1478" s="2065" t="s">
        <v>5874</v>
      </c>
      <c r="X1478" s="18"/>
      <c r="Y1478" s="4"/>
      <c r="Z1478" s="4"/>
    </row>
    <row r="1479" spans="1:26" ht="24.95" hidden="1">
      <c r="A1479" s="20">
        <v>1486</v>
      </c>
      <c r="B1479" s="1063">
        <v>41256</v>
      </c>
      <c r="C1479" s="26" t="s">
        <v>5875</v>
      </c>
      <c r="D1479" s="11"/>
      <c r="E1479" s="26" t="s">
        <v>5876</v>
      </c>
      <c r="F1479" s="26" t="s">
        <v>131</v>
      </c>
      <c r="G1479" s="26" t="s">
        <v>5877</v>
      </c>
      <c r="H1479" s="26" t="s">
        <v>5878</v>
      </c>
      <c r="I1479" s="26" t="s">
        <v>53</v>
      </c>
      <c r="J1479" s="26" t="s">
        <v>5879</v>
      </c>
      <c r="K1479" s="26" t="s">
        <v>5880</v>
      </c>
      <c r="L1479" s="26"/>
      <c r="M1479" s="26">
        <v>4</v>
      </c>
      <c r="N1479" s="26">
        <v>10</v>
      </c>
      <c r="O1479" s="26">
        <v>10</v>
      </c>
      <c r="P1479" s="26">
        <v>0</v>
      </c>
      <c r="Q1479" s="26">
        <v>6</v>
      </c>
      <c r="R1479" s="1209">
        <v>5581</v>
      </c>
      <c r="S1479" s="1209">
        <v>55810</v>
      </c>
      <c r="T1479" s="26" t="s">
        <v>5448</v>
      </c>
      <c r="U1479" s="1871" t="s">
        <v>5881</v>
      </c>
      <c r="V1479" s="26" t="s">
        <v>150</v>
      </c>
      <c r="W1479" s="2008" t="s">
        <v>5882</v>
      </c>
      <c r="X1479" s="18"/>
      <c r="Y1479" s="4"/>
      <c r="Z1479" s="4"/>
    </row>
    <row r="1480" spans="1:26" ht="24.95" hidden="1">
      <c r="A1480" s="20">
        <v>1487</v>
      </c>
      <c r="B1480" s="1063">
        <v>41257</v>
      </c>
      <c r="C1480" s="26" t="s">
        <v>5883</v>
      </c>
      <c r="D1480" s="11"/>
      <c r="E1480" s="26" t="s">
        <v>5876</v>
      </c>
      <c r="F1480" s="26" t="s">
        <v>131</v>
      </c>
      <c r="G1480" s="26" t="s">
        <v>5884</v>
      </c>
      <c r="H1480" s="26" t="s">
        <v>5878</v>
      </c>
      <c r="I1480" s="26" t="s">
        <v>53</v>
      </c>
      <c r="J1480" s="26" t="s">
        <v>5885</v>
      </c>
      <c r="K1480" s="26" t="s">
        <v>5886</v>
      </c>
      <c r="L1480" s="26"/>
      <c r="M1480" s="26">
        <v>1</v>
      </c>
      <c r="N1480" s="26">
        <v>1</v>
      </c>
      <c r="O1480" s="26">
        <v>1</v>
      </c>
      <c r="P1480" s="26">
        <v>0</v>
      </c>
      <c r="Q1480" s="26">
        <v>0</v>
      </c>
      <c r="R1480" s="1209">
        <v>12027</v>
      </c>
      <c r="S1480" s="1209">
        <v>12027</v>
      </c>
      <c r="T1480" s="26" t="s">
        <v>5448</v>
      </c>
      <c r="U1480" s="1871" t="s">
        <v>5881</v>
      </c>
      <c r="V1480" s="26" t="s">
        <v>150</v>
      </c>
      <c r="W1480" s="2008" t="s">
        <v>5887</v>
      </c>
      <c r="X1480" s="26"/>
      <c r="Y1480" s="71"/>
      <c r="Z1480" s="71"/>
    </row>
    <row r="1481" spans="1:26" ht="24.95" hidden="1">
      <c r="A1481" s="20">
        <v>1488</v>
      </c>
      <c r="B1481" s="1063">
        <v>41258</v>
      </c>
      <c r="C1481" s="26" t="s">
        <v>5888</v>
      </c>
      <c r="D1481" s="11"/>
      <c r="E1481" s="26" t="s">
        <v>5876</v>
      </c>
      <c r="F1481" s="26" t="s">
        <v>131</v>
      </c>
      <c r="G1481" s="26" t="s">
        <v>5889</v>
      </c>
      <c r="H1481" s="26" t="s">
        <v>5878</v>
      </c>
      <c r="I1481" s="26" t="s">
        <v>53</v>
      </c>
      <c r="J1481" s="26" t="s">
        <v>5890</v>
      </c>
      <c r="K1481" s="26" t="s">
        <v>5891</v>
      </c>
      <c r="L1481" s="26"/>
      <c r="M1481" s="26">
        <v>1</v>
      </c>
      <c r="N1481" s="26">
        <v>1</v>
      </c>
      <c r="O1481" s="26">
        <v>1</v>
      </c>
      <c r="P1481" s="26">
        <v>0</v>
      </c>
      <c r="Q1481" s="26">
        <v>0</v>
      </c>
      <c r="R1481" s="1209">
        <v>9078</v>
      </c>
      <c r="S1481" s="1209">
        <v>9078</v>
      </c>
      <c r="T1481" s="26" t="s">
        <v>5448</v>
      </c>
      <c r="U1481" s="1871" t="s">
        <v>5881</v>
      </c>
      <c r="V1481" s="26" t="s">
        <v>150</v>
      </c>
      <c r="W1481" s="2008" t="s">
        <v>5892</v>
      </c>
      <c r="X1481" s="26"/>
      <c r="Y1481" s="71"/>
      <c r="Z1481" s="71"/>
    </row>
    <row r="1482" spans="1:26" ht="24.95" hidden="1">
      <c r="A1482" s="20">
        <v>1489</v>
      </c>
      <c r="B1482" s="1063">
        <v>41259</v>
      </c>
      <c r="C1482" s="26" t="s">
        <v>5893</v>
      </c>
      <c r="D1482" s="11"/>
      <c r="E1482" s="26" t="s">
        <v>4907</v>
      </c>
      <c r="F1482" s="26" t="s">
        <v>2839</v>
      </c>
      <c r="G1482" s="26" t="s">
        <v>5894</v>
      </c>
      <c r="H1482" s="26" t="s">
        <v>1111</v>
      </c>
      <c r="I1482" s="26" t="s">
        <v>574</v>
      </c>
      <c r="J1482" s="26" t="s">
        <v>5895</v>
      </c>
      <c r="K1482" s="26" t="s">
        <v>5896</v>
      </c>
      <c r="L1482" s="26" t="s">
        <v>1</v>
      </c>
      <c r="M1482" s="26">
        <v>1</v>
      </c>
      <c r="N1482" s="26">
        <v>1</v>
      </c>
      <c r="O1482" s="26">
        <v>1</v>
      </c>
      <c r="P1482" s="26">
        <v>0</v>
      </c>
      <c r="Q1482" s="26">
        <v>0</v>
      </c>
      <c r="R1482" s="1209">
        <v>1300</v>
      </c>
      <c r="S1482" s="1209">
        <v>1300</v>
      </c>
      <c r="T1482" s="26" t="s">
        <v>3064</v>
      </c>
      <c r="U1482" s="1871" t="s">
        <v>5897</v>
      </c>
      <c r="V1482" s="26" t="s">
        <v>352</v>
      </c>
      <c r="W1482" s="2008" t="s">
        <v>5898</v>
      </c>
      <c r="X1482" s="18"/>
      <c r="Y1482" s="4"/>
      <c r="Z1482" s="4"/>
    </row>
    <row r="1483" spans="1:26" ht="37.5" hidden="1">
      <c r="A1483" s="20">
        <v>1490</v>
      </c>
      <c r="B1483" s="1063">
        <v>41260</v>
      </c>
      <c r="C1483" s="26" t="s">
        <v>5467</v>
      </c>
      <c r="D1483" s="11"/>
      <c r="E1483" s="26" t="s">
        <v>4907</v>
      </c>
      <c r="F1483" s="26" t="s">
        <v>2839</v>
      </c>
      <c r="G1483" s="26" t="s">
        <v>5468</v>
      </c>
      <c r="H1483" s="26" t="s">
        <v>5469</v>
      </c>
      <c r="I1483" s="26" t="s">
        <v>1144</v>
      </c>
      <c r="J1483" s="26" t="s">
        <v>5470</v>
      </c>
      <c r="K1483" s="26" t="s">
        <v>5471</v>
      </c>
      <c r="L1483" s="26" t="s">
        <v>1</v>
      </c>
      <c r="M1483" s="26">
        <v>1</v>
      </c>
      <c r="N1483" s="26">
        <v>1</v>
      </c>
      <c r="O1483" s="26">
        <v>2</v>
      </c>
      <c r="P1483" s="26">
        <v>0</v>
      </c>
      <c r="Q1483" s="26">
        <v>0</v>
      </c>
      <c r="R1483" s="1209">
        <v>2471</v>
      </c>
      <c r="S1483" s="1209">
        <v>4942</v>
      </c>
      <c r="T1483" s="26" t="s">
        <v>3064</v>
      </c>
      <c r="U1483" s="1871" t="s">
        <v>5897</v>
      </c>
      <c r="V1483" s="26" t="s">
        <v>352</v>
      </c>
      <c r="W1483" s="2008" t="s">
        <v>5472</v>
      </c>
      <c r="X1483" s="18"/>
      <c r="Y1483" s="4"/>
      <c r="Z1483" s="4"/>
    </row>
    <row r="1484" spans="1:26" ht="14.1" hidden="1">
      <c r="A1484" s="20">
        <v>1491</v>
      </c>
      <c r="B1484" s="1063">
        <v>41261</v>
      </c>
      <c r="C1484" s="26" t="s">
        <v>5899</v>
      </c>
      <c r="D1484" s="11" t="s">
        <v>6</v>
      </c>
      <c r="E1484" s="26" t="s">
        <v>4907</v>
      </c>
      <c r="F1484" s="26" t="s">
        <v>2693</v>
      </c>
      <c r="G1484" s="26"/>
      <c r="H1484" s="26"/>
      <c r="I1484" s="26"/>
      <c r="J1484" s="26"/>
      <c r="K1484" s="26"/>
      <c r="L1484" s="26"/>
      <c r="M1484" s="26"/>
      <c r="N1484" s="26"/>
      <c r="O1484" s="26">
        <v>1</v>
      </c>
      <c r="P1484" s="26">
        <v>0</v>
      </c>
      <c r="Q1484" s="26">
        <v>0</v>
      </c>
      <c r="R1484" s="1209"/>
      <c r="S1484" s="1209">
        <v>5500</v>
      </c>
      <c r="T1484" s="26" t="s">
        <v>3064</v>
      </c>
      <c r="U1484" s="1871"/>
      <c r="V1484" s="26" t="s">
        <v>5900</v>
      </c>
      <c r="W1484" s="2015"/>
      <c r="X1484" s="18"/>
      <c r="Y1484" s="4"/>
      <c r="Z1484" s="4"/>
    </row>
    <row r="1485" spans="1:26" ht="14.1" hidden="1">
      <c r="A1485" s="20">
        <v>1492</v>
      </c>
      <c r="B1485" s="1063">
        <v>41262</v>
      </c>
      <c r="C1485" s="26" t="s">
        <v>5901</v>
      </c>
      <c r="D1485" s="11"/>
      <c r="E1485" s="26" t="s">
        <v>4907</v>
      </c>
      <c r="F1485" s="26" t="s">
        <v>2839</v>
      </c>
      <c r="G1485" s="26" t="s">
        <v>5902</v>
      </c>
      <c r="H1485" s="26" t="s">
        <v>1353</v>
      </c>
      <c r="I1485" s="26" t="s">
        <v>574</v>
      </c>
      <c r="J1485" s="26" t="s">
        <v>5903</v>
      </c>
      <c r="K1485" s="26" t="s">
        <v>5904</v>
      </c>
      <c r="L1485" s="26" t="s">
        <v>1</v>
      </c>
      <c r="M1485" s="26">
        <v>1</v>
      </c>
      <c r="N1485" s="26">
        <v>1</v>
      </c>
      <c r="O1485" s="26">
        <v>2</v>
      </c>
      <c r="P1485" s="26">
        <v>0</v>
      </c>
      <c r="Q1485" s="26">
        <v>1</v>
      </c>
      <c r="R1485" s="1209">
        <v>298</v>
      </c>
      <c r="S1485" s="1209">
        <v>596</v>
      </c>
      <c r="T1485" s="26" t="s">
        <v>3064</v>
      </c>
      <c r="U1485" s="1871" t="s">
        <v>5905</v>
      </c>
      <c r="V1485" s="26" t="s">
        <v>352</v>
      </c>
      <c r="W1485" s="2069" t="s">
        <v>5906</v>
      </c>
      <c r="X1485" s="18"/>
      <c r="Y1485" s="4"/>
      <c r="Z1485" s="4"/>
    </row>
    <row r="1486" spans="1:26" ht="14.1" hidden="1">
      <c r="A1486" s="20">
        <v>1493</v>
      </c>
      <c r="B1486" s="1063">
        <v>41263</v>
      </c>
      <c r="C1486" s="26" t="s">
        <v>5907</v>
      </c>
      <c r="D1486" s="11"/>
      <c r="E1486" s="26" t="s">
        <v>4907</v>
      </c>
      <c r="F1486" s="26" t="s">
        <v>2876</v>
      </c>
      <c r="G1486" s="26" t="s">
        <v>5908</v>
      </c>
      <c r="H1486" s="26" t="s">
        <v>1143</v>
      </c>
      <c r="I1486" s="26" t="s">
        <v>574</v>
      </c>
      <c r="J1486" s="26" t="s">
        <v>5909</v>
      </c>
      <c r="K1486" s="26">
        <v>50212100</v>
      </c>
      <c r="L1486" s="26"/>
      <c r="M1486" s="26">
        <v>18</v>
      </c>
      <c r="N1486" s="26">
        <v>1</v>
      </c>
      <c r="O1486" s="26">
        <v>50</v>
      </c>
      <c r="P1486" s="26">
        <v>2</v>
      </c>
      <c r="Q1486" s="26">
        <v>52</v>
      </c>
      <c r="R1486" s="1209">
        <v>21.5</v>
      </c>
      <c r="S1486" s="1209">
        <f>O1486*R1486</f>
        <v>1075</v>
      </c>
      <c r="T1486" s="26" t="s">
        <v>929</v>
      </c>
      <c r="U1486" s="1871" t="s">
        <v>448</v>
      </c>
      <c r="V1486" s="26" t="s">
        <v>352</v>
      </c>
      <c r="W1486" s="2065" t="s">
        <v>1146</v>
      </c>
      <c r="X1486" s="26"/>
      <c r="Y1486" s="71"/>
      <c r="Z1486" s="71"/>
    </row>
    <row r="1487" spans="1:26" ht="30" hidden="1" customHeight="1">
      <c r="A1487" s="20">
        <v>1494</v>
      </c>
      <c r="B1487" s="1063">
        <v>41264</v>
      </c>
      <c r="C1487" s="26" t="s">
        <v>5910</v>
      </c>
      <c r="D1487" s="11"/>
      <c r="E1487" s="58" t="s">
        <v>5876</v>
      </c>
      <c r="F1487" s="26" t="s">
        <v>1713</v>
      </c>
      <c r="G1487" s="26" t="s">
        <v>5911</v>
      </c>
      <c r="H1487" s="26" t="s">
        <v>366</v>
      </c>
      <c r="I1487" s="26" t="s">
        <v>366</v>
      </c>
      <c r="J1487" s="190" t="s">
        <v>5912</v>
      </c>
      <c r="K1487" s="191" t="s">
        <v>5912</v>
      </c>
      <c r="L1487" s="26" t="s">
        <v>1</v>
      </c>
      <c r="M1487" s="26">
        <v>12</v>
      </c>
      <c r="N1487" s="26">
        <v>1</v>
      </c>
      <c r="O1487" s="26">
        <v>12</v>
      </c>
      <c r="P1487" s="26">
        <v>0</v>
      </c>
      <c r="Q1487" s="26">
        <v>12</v>
      </c>
      <c r="R1487" s="1209">
        <v>597</v>
      </c>
      <c r="S1487" s="1209">
        <v>7164</v>
      </c>
      <c r="T1487" s="26" t="s">
        <v>5913</v>
      </c>
      <c r="U1487" s="1871" t="s">
        <v>1</v>
      </c>
      <c r="V1487" s="26" t="s">
        <v>5914</v>
      </c>
      <c r="W1487" s="2008" t="s">
        <v>5915</v>
      </c>
      <c r="X1487" s="26"/>
      <c r="Y1487" s="71"/>
      <c r="Z1487" s="71"/>
    </row>
    <row r="1488" spans="1:26" ht="62.45" hidden="1">
      <c r="A1488" s="20">
        <v>1495</v>
      </c>
      <c r="B1488" s="1063">
        <v>41265</v>
      </c>
      <c r="C1488" s="26" t="s">
        <v>5916</v>
      </c>
      <c r="D1488" s="11"/>
      <c r="E1488" s="58" t="s">
        <v>5876</v>
      </c>
      <c r="F1488" s="26" t="s">
        <v>1713</v>
      </c>
      <c r="G1488" s="26" t="s">
        <v>5911</v>
      </c>
      <c r="H1488" s="26" t="s">
        <v>366</v>
      </c>
      <c r="I1488" s="26" t="s">
        <v>366</v>
      </c>
      <c r="J1488" s="191" t="s">
        <v>5917</v>
      </c>
      <c r="K1488" s="26" t="s">
        <v>5918</v>
      </c>
      <c r="L1488" s="26" t="s">
        <v>1</v>
      </c>
      <c r="M1488" s="26">
        <v>24</v>
      </c>
      <c r="N1488" s="26">
        <v>1</v>
      </c>
      <c r="O1488" s="26">
        <v>24</v>
      </c>
      <c r="P1488" s="26">
        <v>0</v>
      </c>
      <c r="Q1488" s="26">
        <v>24</v>
      </c>
      <c r="R1488" s="1209">
        <v>237</v>
      </c>
      <c r="S1488" s="1209">
        <v>5688</v>
      </c>
      <c r="T1488" s="26" t="s">
        <v>5913</v>
      </c>
      <c r="U1488" s="1871" t="s">
        <v>1</v>
      </c>
      <c r="V1488" s="26" t="s">
        <v>5914</v>
      </c>
      <c r="W1488" s="2008" t="s">
        <v>5915</v>
      </c>
      <c r="X1488" s="18"/>
      <c r="Y1488" s="4"/>
      <c r="Z1488" s="4"/>
    </row>
    <row r="1489" spans="1:26" ht="50.1" hidden="1">
      <c r="A1489" s="20">
        <v>1496</v>
      </c>
      <c r="B1489" s="1063">
        <v>41266</v>
      </c>
      <c r="C1489" s="26" t="s">
        <v>5919</v>
      </c>
      <c r="D1489" s="11"/>
      <c r="E1489" s="58" t="s">
        <v>5876</v>
      </c>
      <c r="F1489" s="26" t="s">
        <v>1713</v>
      </c>
      <c r="G1489" s="26" t="s">
        <v>5920</v>
      </c>
      <c r="H1489" s="26" t="s">
        <v>366</v>
      </c>
      <c r="I1489" s="26" t="s">
        <v>366</v>
      </c>
      <c r="J1489" s="26" t="s">
        <v>5921</v>
      </c>
      <c r="K1489" s="26" t="s">
        <v>5921</v>
      </c>
      <c r="L1489" s="26" t="s">
        <v>1</v>
      </c>
      <c r="M1489" s="26">
        <v>48</v>
      </c>
      <c r="N1489" s="26">
        <v>1</v>
      </c>
      <c r="O1489" s="26">
        <v>48</v>
      </c>
      <c r="P1489" s="26">
        <v>0</v>
      </c>
      <c r="Q1489" s="26">
        <v>48</v>
      </c>
      <c r="R1489" s="1209">
        <v>119</v>
      </c>
      <c r="S1489" s="1209">
        <v>5712</v>
      </c>
      <c r="T1489" s="26" t="s">
        <v>5913</v>
      </c>
      <c r="U1489" s="1871" t="s">
        <v>1</v>
      </c>
      <c r="V1489" s="26" t="s">
        <v>5914</v>
      </c>
      <c r="W1489" s="2008" t="s">
        <v>5922</v>
      </c>
      <c r="X1489" s="18"/>
      <c r="Y1489" s="4"/>
      <c r="Z1489" s="4"/>
    </row>
    <row r="1490" spans="1:26" ht="62.45" hidden="1">
      <c r="A1490" s="20">
        <v>1497</v>
      </c>
      <c r="B1490" s="1063">
        <v>41267</v>
      </c>
      <c r="C1490" s="26" t="s">
        <v>5923</v>
      </c>
      <c r="D1490" s="11"/>
      <c r="E1490" s="58" t="s">
        <v>5876</v>
      </c>
      <c r="F1490" s="26" t="s">
        <v>1713</v>
      </c>
      <c r="G1490" s="26" t="s">
        <v>5924</v>
      </c>
      <c r="H1490" s="26" t="s">
        <v>366</v>
      </c>
      <c r="I1490" s="26" t="s">
        <v>366</v>
      </c>
      <c r="J1490" s="26" t="s">
        <v>5925</v>
      </c>
      <c r="K1490" s="26" t="s">
        <v>5925</v>
      </c>
      <c r="L1490" s="26" t="s">
        <v>1</v>
      </c>
      <c r="M1490" s="26">
        <v>8</v>
      </c>
      <c r="N1490" s="26">
        <v>1</v>
      </c>
      <c r="O1490" s="26">
        <v>8</v>
      </c>
      <c r="P1490" s="26">
        <v>0</v>
      </c>
      <c r="Q1490" s="26">
        <v>8</v>
      </c>
      <c r="R1490" s="1209">
        <v>360</v>
      </c>
      <c r="S1490" s="1209">
        <v>2880</v>
      </c>
      <c r="T1490" s="26" t="s">
        <v>5913</v>
      </c>
      <c r="U1490" s="1871" t="s">
        <v>1</v>
      </c>
      <c r="V1490" s="26" t="s">
        <v>5914</v>
      </c>
      <c r="W1490" s="2008" t="s">
        <v>5926</v>
      </c>
      <c r="X1490" s="18"/>
      <c r="Y1490" s="4"/>
      <c r="Z1490" s="4"/>
    </row>
    <row r="1491" spans="1:26" ht="14.1" hidden="1">
      <c r="A1491" s="20">
        <v>1498</v>
      </c>
      <c r="B1491" s="1063">
        <v>41268</v>
      </c>
      <c r="C1491" s="26" t="s">
        <v>5927</v>
      </c>
      <c r="D1491" s="11" t="s">
        <v>6</v>
      </c>
      <c r="E1491" s="58" t="s">
        <v>62</v>
      </c>
      <c r="F1491" s="26" t="s">
        <v>2693</v>
      </c>
      <c r="G1491" s="26" t="s">
        <v>5928</v>
      </c>
      <c r="H1491" s="26" t="s">
        <v>1202</v>
      </c>
      <c r="I1491" s="26" t="s">
        <v>1202</v>
      </c>
      <c r="J1491" s="26">
        <v>406609</v>
      </c>
      <c r="K1491" s="26">
        <v>406609</v>
      </c>
      <c r="L1491" s="26"/>
      <c r="M1491" s="26">
        <v>1</v>
      </c>
      <c r="N1491" s="26">
        <v>1</v>
      </c>
      <c r="O1491" s="26">
        <v>1</v>
      </c>
      <c r="P1491" s="26">
        <v>0</v>
      </c>
      <c r="Q1491" s="26">
        <v>1</v>
      </c>
      <c r="R1491" s="1209">
        <v>1540</v>
      </c>
      <c r="S1491" s="1209" t="s">
        <v>5929</v>
      </c>
      <c r="T1491" s="26" t="s">
        <v>929</v>
      </c>
      <c r="U1491" s="1871" t="s">
        <v>3282</v>
      </c>
      <c r="V1491" s="26" t="s">
        <v>352</v>
      </c>
      <c r="W1491" s="2008" t="s">
        <v>5930</v>
      </c>
      <c r="X1491" s="18"/>
      <c r="Y1491" s="4"/>
      <c r="Z1491" s="4"/>
    </row>
    <row r="1492" spans="1:26" ht="14.1" hidden="1">
      <c r="A1492" s="20">
        <v>1499</v>
      </c>
      <c r="B1492" s="1063">
        <v>41269</v>
      </c>
      <c r="C1492" s="18" t="s">
        <v>4105</v>
      </c>
      <c r="D1492" s="11"/>
      <c r="E1492" s="58" t="s">
        <v>5876</v>
      </c>
      <c r="F1492" s="18" t="s">
        <v>2143</v>
      </c>
      <c r="G1492" s="18" t="s">
        <v>4106</v>
      </c>
      <c r="H1492" s="18" t="s">
        <v>4101</v>
      </c>
      <c r="I1492" s="18" t="s">
        <v>1022</v>
      </c>
      <c r="J1492" s="18"/>
      <c r="K1492" s="18"/>
      <c r="L1492" s="18"/>
      <c r="M1492" s="18">
        <v>1</v>
      </c>
      <c r="N1492" s="18">
        <v>1</v>
      </c>
      <c r="O1492" s="18">
        <v>1</v>
      </c>
      <c r="P1492" s="18">
        <v>0</v>
      </c>
      <c r="Q1492" s="18">
        <v>1</v>
      </c>
      <c r="R1492" s="1215">
        <v>1599</v>
      </c>
      <c r="S1492" s="1215">
        <f>O1492*R1492</f>
        <v>1599</v>
      </c>
      <c r="T1492" s="18" t="s">
        <v>1009</v>
      </c>
      <c r="U1492" s="1859" t="s">
        <v>3094</v>
      </c>
      <c r="V1492" s="18" t="s">
        <v>1009</v>
      </c>
      <c r="W1492" s="2065" t="s">
        <v>5931</v>
      </c>
      <c r="X1492" s="18"/>
      <c r="Y1492" s="4"/>
      <c r="Z1492" s="4"/>
    </row>
    <row r="1493" spans="1:26" ht="42" hidden="1">
      <c r="A1493" s="20">
        <v>1500</v>
      </c>
      <c r="B1493" s="1063">
        <v>41270</v>
      </c>
      <c r="C1493" s="22" t="s">
        <v>655</v>
      </c>
      <c r="D1493" s="11" t="s">
        <v>6</v>
      </c>
      <c r="E1493" s="58" t="s">
        <v>4926</v>
      </c>
      <c r="F1493" s="22" t="s">
        <v>2143</v>
      </c>
      <c r="G1493" s="22" t="s">
        <v>5932</v>
      </c>
      <c r="H1493" s="22" t="s">
        <v>657</v>
      </c>
      <c r="I1493" s="22" t="s">
        <v>658</v>
      </c>
      <c r="J1493" s="22" t="s">
        <v>5933</v>
      </c>
      <c r="K1493" s="22" t="s">
        <v>5933</v>
      </c>
      <c r="L1493" s="22"/>
      <c r="M1493" s="22">
        <v>3</v>
      </c>
      <c r="N1493" s="22">
        <v>1</v>
      </c>
      <c r="O1493" s="22">
        <v>5</v>
      </c>
      <c r="P1493" s="22">
        <v>3</v>
      </c>
      <c r="Q1493" s="22">
        <v>5</v>
      </c>
      <c r="R1493" s="1201">
        <v>953</v>
      </c>
      <c r="S1493" s="1201">
        <v>4766</v>
      </c>
      <c r="T1493" s="22" t="s">
        <v>87</v>
      </c>
      <c r="U1493" s="1856" t="s">
        <v>576</v>
      </c>
      <c r="V1493" s="28" t="s">
        <v>352</v>
      </c>
      <c r="W1493" s="2006" t="s">
        <v>662</v>
      </c>
      <c r="X1493" s="643" t="s">
        <v>5934</v>
      </c>
      <c r="Y1493" s="189"/>
      <c r="Z1493" s="189"/>
    </row>
    <row r="1494" spans="1:26" ht="162.6" hidden="1">
      <c r="A1494" s="20">
        <v>1501</v>
      </c>
      <c r="B1494" s="1063">
        <v>41271</v>
      </c>
      <c r="C1494" s="26" t="s">
        <v>5935</v>
      </c>
      <c r="D1494" s="11"/>
      <c r="E1494" s="58" t="s">
        <v>4926</v>
      </c>
      <c r="F1494" s="26" t="s">
        <v>131</v>
      </c>
      <c r="G1494" s="26" t="s">
        <v>5936</v>
      </c>
      <c r="H1494" s="26" t="s">
        <v>5937</v>
      </c>
      <c r="I1494" s="26" t="s">
        <v>1022</v>
      </c>
      <c r="J1494" s="26" t="s">
        <v>5938</v>
      </c>
      <c r="K1494" s="26"/>
      <c r="L1494" s="26"/>
      <c r="M1494" s="26">
        <v>1</v>
      </c>
      <c r="N1494" s="26">
        <v>5</v>
      </c>
      <c r="O1494" s="26">
        <v>5</v>
      </c>
      <c r="P1494" s="26">
        <v>0</v>
      </c>
      <c r="Q1494" s="26">
        <v>4</v>
      </c>
      <c r="R1494" s="1209"/>
      <c r="S1494" s="1209">
        <v>1080</v>
      </c>
      <c r="T1494" s="26" t="s">
        <v>5448</v>
      </c>
      <c r="U1494" s="1871" t="s">
        <v>5939</v>
      </c>
      <c r="V1494" s="26" t="s">
        <v>118</v>
      </c>
      <c r="W1494" s="2008" t="s">
        <v>5940</v>
      </c>
      <c r="X1494" s="18"/>
      <c r="Y1494" s="4"/>
      <c r="Z1494" s="4"/>
    </row>
    <row r="1495" spans="1:26" ht="24.95" hidden="1">
      <c r="A1495" s="20">
        <v>1502</v>
      </c>
      <c r="B1495" s="1063">
        <v>41272</v>
      </c>
      <c r="C1495" s="927" t="s">
        <v>5941</v>
      </c>
      <c r="D1495" s="11"/>
      <c r="E1495" s="58" t="s">
        <v>4926</v>
      </c>
      <c r="F1495" s="26" t="s">
        <v>131</v>
      </c>
      <c r="G1495" s="26" t="s">
        <v>5942</v>
      </c>
      <c r="H1495" s="26" t="s">
        <v>5943</v>
      </c>
      <c r="I1495" s="26" t="s">
        <v>1022</v>
      </c>
      <c r="J1495" s="26"/>
      <c r="K1495" s="26"/>
      <c r="L1495" s="26"/>
      <c r="M1495" s="26">
        <v>1</v>
      </c>
      <c r="N1495" s="26">
        <v>1</v>
      </c>
      <c r="O1495" s="26">
        <v>1</v>
      </c>
      <c r="P1495" s="26">
        <v>1</v>
      </c>
      <c r="Q1495" s="26">
        <v>0</v>
      </c>
      <c r="R1495" s="1209">
        <v>1520</v>
      </c>
      <c r="S1495" s="1209">
        <v>1520</v>
      </c>
      <c r="T1495" s="26" t="s">
        <v>5448</v>
      </c>
      <c r="U1495" s="1871" t="s">
        <v>5939</v>
      </c>
      <c r="V1495" s="26" t="s">
        <v>3140</v>
      </c>
      <c r="W1495" s="2008" t="s">
        <v>5944</v>
      </c>
      <c r="X1495" s="18"/>
      <c r="Y1495" s="4"/>
      <c r="Z1495" s="4"/>
    </row>
    <row r="1496" spans="1:26" ht="14.1" hidden="1">
      <c r="A1496" s="20">
        <v>1503</v>
      </c>
      <c r="B1496" s="1063">
        <v>41273</v>
      </c>
      <c r="C1496" s="26" t="s">
        <v>5945</v>
      </c>
      <c r="D1496" s="11" t="s">
        <v>6</v>
      </c>
      <c r="E1496" s="26" t="s">
        <v>5946</v>
      </c>
      <c r="F1496" s="26" t="s">
        <v>5406</v>
      </c>
      <c r="G1496" s="26" t="s">
        <v>5947</v>
      </c>
      <c r="H1496" s="631" t="s">
        <v>5948</v>
      </c>
      <c r="I1496" s="631" t="s">
        <v>5948</v>
      </c>
      <c r="J1496" s="26"/>
      <c r="K1496" s="26"/>
      <c r="L1496" s="26"/>
      <c r="M1496" s="26">
        <v>1</v>
      </c>
      <c r="N1496" s="26">
        <v>5</v>
      </c>
      <c r="O1496" s="26">
        <v>5</v>
      </c>
      <c r="P1496" s="26">
        <v>0</v>
      </c>
      <c r="Q1496" s="26">
        <v>5</v>
      </c>
      <c r="R1496" s="1209">
        <v>17075</v>
      </c>
      <c r="S1496" s="1209">
        <v>1707</v>
      </c>
      <c r="T1496" s="26" t="s">
        <v>5949</v>
      </c>
      <c r="U1496" s="1871"/>
      <c r="V1496" s="26" t="s">
        <v>5950</v>
      </c>
      <c r="W1496" s="2008" t="s">
        <v>401</v>
      </c>
      <c r="X1496" s="18"/>
      <c r="Y1496" s="4"/>
      <c r="Z1496" s="4"/>
    </row>
    <row r="1497" spans="1:26" ht="14.1" hidden="1">
      <c r="A1497" s="20">
        <v>1504</v>
      </c>
      <c r="B1497" s="1063">
        <v>41274</v>
      </c>
      <c r="C1497" s="26" t="s">
        <v>5951</v>
      </c>
      <c r="D1497" s="11" t="s">
        <v>6</v>
      </c>
      <c r="E1497" s="26" t="s">
        <v>5946</v>
      </c>
      <c r="F1497" s="26" t="s">
        <v>5406</v>
      </c>
      <c r="G1497" s="26" t="s">
        <v>5947</v>
      </c>
      <c r="H1497" s="631" t="s">
        <v>5948</v>
      </c>
      <c r="I1497" s="631" t="s">
        <v>5948</v>
      </c>
      <c r="J1497" s="26"/>
      <c r="K1497" s="26"/>
      <c r="L1497" s="26"/>
      <c r="M1497" s="26">
        <v>1</v>
      </c>
      <c r="N1497" s="26">
        <v>5</v>
      </c>
      <c r="O1497" s="26">
        <v>5</v>
      </c>
      <c r="P1497" s="26">
        <v>0</v>
      </c>
      <c r="Q1497" s="26">
        <v>5</v>
      </c>
      <c r="R1497" s="1209">
        <v>17075</v>
      </c>
      <c r="S1497" s="1209">
        <v>1707</v>
      </c>
      <c r="T1497" s="26" t="s">
        <v>5949</v>
      </c>
      <c r="U1497" s="1871"/>
      <c r="V1497" s="26" t="s">
        <v>5950</v>
      </c>
      <c r="W1497" s="2008" t="s">
        <v>401</v>
      </c>
      <c r="X1497" s="18"/>
      <c r="Y1497" s="4"/>
      <c r="Z1497" s="4"/>
    </row>
    <row r="1498" spans="1:26" ht="14.1" hidden="1">
      <c r="A1498" s="20">
        <v>1505</v>
      </c>
      <c r="B1498" s="1063">
        <v>41275</v>
      </c>
      <c r="C1498" s="26" t="s">
        <v>5952</v>
      </c>
      <c r="D1498" s="11" t="s">
        <v>6</v>
      </c>
      <c r="E1498" s="26" t="s">
        <v>5946</v>
      </c>
      <c r="F1498" s="26" t="s">
        <v>5406</v>
      </c>
      <c r="G1498" s="26" t="s">
        <v>5947</v>
      </c>
      <c r="H1498" s="631" t="s">
        <v>5948</v>
      </c>
      <c r="I1498" s="631" t="s">
        <v>5948</v>
      </c>
      <c r="J1498" s="26"/>
      <c r="K1498" s="26"/>
      <c r="L1498" s="26"/>
      <c r="M1498" s="26">
        <v>1</v>
      </c>
      <c r="N1498" s="26">
        <v>5</v>
      </c>
      <c r="O1498" s="26">
        <v>5</v>
      </c>
      <c r="P1498" s="26">
        <v>0</v>
      </c>
      <c r="Q1498" s="26">
        <v>5</v>
      </c>
      <c r="R1498" s="1209">
        <v>17075</v>
      </c>
      <c r="S1498" s="1209">
        <v>1707</v>
      </c>
      <c r="T1498" s="26" t="s">
        <v>5949</v>
      </c>
      <c r="U1498" s="1871"/>
      <c r="V1498" s="26" t="s">
        <v>5950</v>
      </c>
      <c r="W1498" s="2008" t="s">
        <v>401</v>
      </c>
      <c r="X1498" s="26"/>
      <c r="Y1498" s="71"/>
      <c r="Z1498" s="71"/>
    </row>
    <row r="1499" spans="1:26" ht="14.1" hidden="1">
      <c r="A1499" s="20">
        <v>1506</v>
      </c>
      <c r="B1499" s="1063">
        <v>41276</v>
      </c>
      <c r="C1499" s="26" t="s">
        <v>5953</v>
      </c>
      <c r="D1499" s="11" t="s">
        <v>6</v>
      </c>
      <c r="E1499" s="26" t="s">
        <v>5946</v>
      </c>
      <c r="F1499" s="26" t="s">
        <v>5406</v>
      </c>
      <c r="G1499" s="26" t="s">
        <v>5947</v>
      </c>
      <c r="H1499" s="631" t="s">
        <v>5948</v>
      </c>
      <c r="I1499" s="631" t="s">
        <v>5948</v>
      </c>
      <c r="J1499" s="26"/>
      <c r="K1499" s="26"/>
      <c r="L1499" s="26"/>
      <c r="M1499" s="26">
        <v>1</v>
      </c>
      <c r="N1499" s="26">
        <v>5</v>
      </c>
      <c r="O1499" s="26">
        <v>5</v>
      </c>
      <c r="P1499" s="26">
        <v>0</v>
      </c>
      <c r="Q1499" s="26">
        <v>5</v>
      </c>
      <c r="R1499" s="1209">
        <v>17075</v>
      </c>
      <c r="S1499" s="1209">
        <v>1707</v>
      </c>
      <c r="T1499" s="26" t="s">
        <v>5949</v>
      </c>
      <c r="U1499" s="1871"/>
      <c r="V1499" s="26" t="s">
        <v>5950</v>
      </c>
      <c r="W1499" s="2008" t="s">
        <v>401</v>
      </c>
      <c r="X1499" s="26"/>
      <c r="Y1499" s="71"/>
      <c r="Z1499" s="71"/>
    </row>
    <row r="1500" spans="1:26" ht="24.95" hidden="1">
      <c r="A1500" s="20">
        <v>1507</v>
      </c>
      <c r="B1500" s="1063">
        <v>41277</v>
      </c>
      <c r="C1500" s="26" t="s">
        <v>5883</v>
      </c>
      <c r="D1500" s="11"/>
      <c r="E1500" s="187" t="s">
        <v>5876</v>
      </c>
      <c r="F1500" s="26" t="s">
        <v>131</v>
      </c>
      <c r="G1500" s="26" t="s">
        <v>5954</v>
      </c>
      <c r="H1500" s="26" t="s">
        <v>5878</v>
      </c>
      <c r="I1500" s="26" t="s">
        <v>53</v>
      </c>
      <c r="J1500" s="26" t="s">
        <v>5885</v>
      </c>
      <c r="K1500" s="26" t="s">
        <v>5886</v>
      </c>
      <c r="L1500" s="26"/>
      <c r="M1500" s="26">
        <v>2</v>
      </c>
      <c r="N1500" s="26">
        <v>1</v>
      </c>
      <c r="O1500" s="26">
        <v>1</v>
      </c>
      <c r="P1500" s="26">
        <v>1</v>
      </c>
      <c r="Q1500" s="26">
        <v>0</v>
      </c>
      <c r="R1500" s="1209">
        <v>12027</v>
      </c>
      <c r="S1500" s="1209">
        <v>12027</v>
      </c>
      <c r="T1500" s="26" t="s">
        <v>5448</v>
      </c>
      <c r="U1500" s="1871" t="s">
        <v>5881</v>
      </c>
      <c r="V1500" s="26" t="s">
        <v>150</v>
      </c>
      <c r="W1500" s="2008" t="s">
        <v>5887</v>
      </c>
      <c r="X1500" s="26"/>
      <c r="Y1500" s="71"/>
      <c r="Z1500" s="71"/>
    </row>
    <row r="1501" spans="1:26" ht="37.5" hidden="1">
      <c r="A1501" s="20">
        <v>1508</v>
      </c>
      <c r="B1501" s="1063">
        <v>41278</v>
      </c>
      <c r="C1501" s="26" t="s">
        <v>5156</v>
      </c>
      <c r="D1501" s="11" t="s">
        <v>6</v>
      </c>
      <c r="E1501" s="187" t="s">
        <v>5876</v>
      </c>
      <c r="F1501" s="26" t="s">
        <v>1989</v>
      </c>
      <c r="G1501" s="26" t="s">
        <v>5955</v>
      </c>
      <c r="H1501" s="26" t="s">
        <v>5956</v>
      </c>
      <c r="I1501" s="26" t="s">
        <v>53</v>
      </c>
      <c r="J1501" s="26" t="s">
        <v>5957</v>
      </c>
      <c r="K1501" s="26" t="s">
        <v>5958</v>
      </c>
      <c r="L1501" s="26" t="s">
        <v>5959</v>
      </c>
      <c r="M1501" s="26">
        <v>6</v>
      </c>
      <c r="N1501" s="26">
        <v>1</v>
      </c>
      <c r="O1501" s="26">
        <v>10</v>
      </c>
      <c r="P1501" s="26">
        <v>0</v>
      </c>
      <c r="Q1501" s="26">
        <v>0</v>
      </c>
      <c r="R1501" s="1209">
        <v>112.7</v>
      </c>
      <c r="S1501" s="1209">
        <v>1127</v>
      </c>
      <c r="T1501" s="26" t="s">
        <v>929</v>
      </c>
      <c r="U1501" s="1871" t="s">
        <v>3631</v>
      </c>
      <c r="V1501" s="28" t="s">
        <v>352</v>
      </c>
      <c r="W1501" s="2008" t="s">
        <v>5960</v>
      </c>
      <c r="X1501" s="18"/>
      <c r="Y1501" s="4"/>
      <c r="Z1501" s="4"/>
    </row>
    <row r="1502" spans="1:26" ht="14.1" hidden="1">
      <c r="A1502" s="20">
        <v>1509</v>
      </c>
      <c r="B1502" s="1063">
        <v>41279</v>
      </c>
      <c r="C1502" s="26" t="s">
        <v>5961</v>
      </c>
      <c r="D1502" s="11" t="s">
        <v>6</v>
      </c>
      <c r="E1502" s="187" t="s">
        <v>5876</v>
      </c>
      <c r="F1502" s="26" t="s">
        <v>2693</v>
      </c>
      <c r="G1502" s="26" t="s">
        <v>5962</v>
      </c>
      <c r="H1502" s="26" t="s">
        <v>5963</v>
      </c>
      <c r="I1502" s="26" t="s">
        <v>5963</v>
      </c>
      <c r="J1502" s="26"/>
      <c r="K1502" s="26"/>
      <c r="L1502" s="26"/>
      <c r="M1502" s="26">
        <v>1</v>
      </c>
      <c r="N1502" s="26">
        <v>1</v>
      </c>
      <c r="O1502" s="26">
        <v>1</v>
      </c>
      <c r="P1502" s="26">
        <v>0</v>
      </c>
      <c r="Q1502" s="26">
        <v>1</v>
      </c>
      <c r="R1502" s="1209">
        <v>136400</v>
      </c>
      <c r="S1502" s="1209">
        <v>136400</v>
      </c>
      <c r="T1502" s="26" t="s">
        <v>5949</v>
      </c>
      <c r="U1502" s="1871"/>
      <c r="V1502" s="26" t="s">
        <v>689</v>
      </c>
      <c r="W1502" s="2065" t="s">
        <v>5964</v>
      </c>
      <c r="X1502" s="18"/>
      <c r="Y1502" s="4"/>
      <c r="Z1502" s="4"/>
    </row>
    <row r="1503" spans="1:26" ht="24.95" hidden="1">
      <c r="A1503" s="20">
        <v>1510</v>
      </c>
      <c r="B1503" s="1063">
        <v>41280</v>
      </c>
      <c r="C1503" s="26" t="s">
        <v>5965</v>
      </c>
      <c r="D1503" s="11" t="s">
        <v>6</v>
      </c>
      <c r="E1503" s="187" t="s">
        <v>5876</v>
      </c>
      <c r="F1503" s="26" t="s">
        <v>2693</v>
      </c>
      <c r="G1503" s="26" t="s">
        <v>5966</v>
      </c>
      <c r="H1503" s="26" t="s">
        <v>102</v>
      </c>
      <c r="I1503" s="26" t="s">
        <v>102</v>
      </c>
      <c r="J1503" s="26" t="s">
        <v>5967</v>
      </c>
      <c r="K1503" s="26" t="s">
        <v>5967</v>
      </c>
      <c r="L1503" s="26"/>
      <c r="M1503" s="26">
        <v>2</v>
      </c>
      <c r="N1503" s="26">
        <v>1</v>
      </c>
      <c r="O1503" s="26">
        <v>2</v>
      </c>
      <c r="P1503" s="26">
        <v>0</v>
      </c>
      <c r="Q1503" s="26">
        <v>2</v>
      </c>
      <c r="R1503" s="1209">
        <v>5770</v>
      </c>
      <c r="S1503" s="1209">
        <v>11540</v>
      </c>
      <c r="T1503" s="26" t="s">
        <v>5949</v>
      </c>
      <c r="U1503" s="1871"/>
      <c r="V1503" s="26" t="s">
        <v>689</v>
      </c>
      <c r="W1503" s="700" t="s">
        <v>5968</v>
      </c>
      <c r="X1503" s="18"/>
      <c r="Y1503" s="4"/>
      <c r="Z1503" s="4"/>
    </row>
    <row r="1504" spans="1:26" ht="14.1" hidden="1">
      <c r="A1504" s="20">
        <v>1511</v>
      </c>
      <c r="B1504" s="1063">
        <v>41281</v>
      </c>
      <c r="C1504" s="26" t="s">
        <v>5969</v>
      </c>
      <c r="D1504" s="11" t="s">
        <v>6</v>
      </c>
      <c r="E1504" s="187" t="s">
        <v>5876</v>
      </c>
      <c r="F1504" s="26" t="s">
        <v>2693</v>
      </c>
      <c r="G1504" s="26" t="s">
        <v>5970</v>
      </c>
      <c r="H1504" s="26" t="s">
        <v>102</v>
      </c>
      <c r="I1504" s="26" t="s">
        <v>102</v>
      </c>
      <c r="J1504" s="26" t="s">
        <v>5971</v>
      </c>
      <c r="K1504" s="644" t="s">
        <v>5971</v>
      </c>
      <c r="L1504" s="26"/>
      <c r="M1504" s="26">
        <v>10</v>
      </c>
      <c r="N1504" s="26">
        <v>1</v>
      </c>
      <c r="O1504" s="26">
        <v>10</v>
      </c>
      <c r="P1504" s="26">
        <v>0</v>
      </c>
      <c r="Q1504" s="26">
        <v>10</v>
      </c>
      <c r="R1504" s="1209">
        <v>98</v>
      </c>
      <c r="S1504" s="1209">
        <v>980</v>
      </c>
      <c r="T1504" s="26" t="s">
        <v>5949</v>
      </c>
      <c r="U1504" s="1871"/>
      <c r="V1504" s="26" t="s">
        <v>689</v>
      </c>
      <c r="W1504" s="2065" t="s">
        <v>5972</v>
      </c>
      <c r="X1504" s="26"/>
      <c r="Y1504" s="71"/>
      <c r="Z1504" s="71"/>
    </row>
    <row r="1505" spans="1:26" ht="50.1" hidden="1">
      <c r="A1505" s="20">
        <v>1512</v>
      </c>
      <c r="B1505" s="1063">
        <v>41282</v>
      </c>
      <c r="C1505" s="26" t="s">
        <v>5973</v>
      </c>
      <c r="D1505" s="11" t="s">
        <v>6</v>
      </c>
      <c r="E1505" s="187" t="s">
        <v>5876</v>
      </c>
      <c r="F1505" s="26" t="s">
        <v>5974</v>
      </c>
      <c r="G1505" s="26" t="s">
        <v>5975</v>
      </c>
      <c r="H1505" s="26" t="s">
        <v>366</v>
      </c>
      <c r="I1505" s="26" t="s">
        <v>366</v>
      </c>
      <c r="J1505" s="189" t="s">
        <v>5976</v>
      </c>
      <c r="K1505" s="189" t="s">
        <v>5976</v>
      </c>
      <c r="L1505" s="26" t="s">
        <v>1</v>
      </c>
      <c r="M1505" s="26">
        <v>3</v>
      </c>
      <c r="N1505" s="26">
        <v>1</v>
      </c>
      <c r="O1505" s="26">
        <v>3</v>
      </c>
      <c r="P1505" s="26">
        <v>0</v>
      </c>
      <c r="Q1505" s="26">
        <v>3</v>
      </c>
      <c r="R1505" s="1209">
        <v>2560</v>
      </c>
      <c r="S1505" s="1209">
        <v>7680</v>
      </c>
      <c r="T1505" s="26" t="s">
        <v>5949</v>
      </c>
      <c r="U1505" s="1871" t="s">
        <v>1</v>
      </c>
      <c r="V1505" s="26" t="s">
        <v>5604</v>
      </c>
      <c r="W1505" s="2008" t="s">
        <v>5977</v>
      </c>
      <c r="X1505" s="26"/>
      <c r="Y1505" s="71"/>
      <c r="Z1505" s="71"/>
    </row>
    <row r="1506" spans="1:26" ht="15.95" hidden="1">
      <c r="A1506" s="20">
        <v>1513</v>
      </c>
      <c r="B1506" s="1063">
        <v>41283</v>
      </c>
      <c r="C1506" s="26" t="s">
        <v>5978</v>
      </c>
      <c r="D1506" s="11" t="s">
        <v>6</v>
      </c>
      <c r="E1506" s="187" t="s">
        <v>5876</v>
      </c>
      <c r="F1506" s="26" t="s">
        <v>1569</v>
      </c>
      <c r="G1506" s="180" t="s">
        <v>5979</v>
      </c>
      <c r="H1506" s="26" t="s">
        <v>5980</v>
      </c>
      <c r="I1506" s="26" t="s">
        <v>84</v>
      </c>
      <c r="J1506" s="645">
        <v>32735875</v>
      </c>
      <c r="K1506" s="182">
        <v>35041</v>
      </c>
      <c r="L1506" s="26"/>
      <c r="M1506" s="26">
        <v>1</v>
      </c>
      <c r="N1506" s="26">
        <v>1</v>
      </c>
      <c r="O1506" s="26">
        <v>1</v>
      </c>
      <c r="P1506" s="26">
        <v>0</v>
      </c>
      <c r="Q1506" s="26">
        <v>1</v>
      </c>
      <c r="R1506" s="1209">
        <v>839</v>
      </c>
      <c r="S1506" s="1209">
        <v>839</v>
      </c>
      <c r="T1506" s="26" t="s">
        <v>929</v>
      </c>
      <c r="U1506" s="1871" t="s">
        <v>5864</v>
      </c>
      <c r="V1506" s="26" t="s">
        <v>352</v>
      </c>
      <c r="W1506" s="2065" t="s">
        <v>5981</v>
      </c>
      <c r="X1506" s="18"/>
      <c r="Y1506" s="4"/>
      <c r="Z1506" s="4"/>
    </row>
    <row r="1507" spans="1:26" ht="15.95" hidden="1">
      <c r="A1507" s="20">
        <v>1514</v>
      </c>
      <c r="B1507" s="1063">
        <v>41284</v>
      </c>
      <c r="C1507" s="26" t="s">
        <v>5982</v>
      </c>
      <c r="D1507" s="11" t="s">
        <v>6</v>
      </c>
      <c r="E1507" s="187" t="s">
        <v>5876</v>
      </c>
      <c r="F1507" s="26" t="s">
        <v>1569</v>
      </c>
      <c r="G1507" s="26" t="s">
        <v>5983</v>
      </c>
      <c r="H1507" s="26" t="s">
        <v>5984</v>
      </c>
      <c r="I1507" s="26" t="s">
        <v>84</v>
      </c>
      <c r="J1507" s="645">
        <v>18864003</v>
      </c>
      <c r="K1507" s="180" t="s">
        <v>5985</v>
      </c>
      <c r="L1507" s="26"/>
      <c r="M1507" s="26">
        <v>1</v>
      </c>
      <c r="N1507" s="26">
        <v>1</v>
      </c>
      <c r="O1507" s="26">
        <v>1</v>
      </c>
      <c r="P1507" s="26">
        <v>0</v>
      </c>
      <c r="Q1507" s="26">
        <v>1</v>
      </c>
      <c r="R1507" s="1209">
        <v>949</v>
      </c>
      <c r="S1507" s="1209">
        <v>949</v>
      </c>
      <c r="T1507" s="26" t="s">
        <v>929</v>
      </c>
      <c r="U1507" s="1871" t="s">
        <v>5864</v>
      </c>
      <c r="V1507" s="26" t="s">
        <v>352</v>
      </c>
      <c r="W1507" s="2065" t="s">
        <v>5986</v>
      </c>
      <c r="X1507" s="18"/>
      <c r="Y1507" s="4"/>
      <c r="Z1507" s="4"/>
    </row>
    <row r="1508" spans="1:26" ht="14.45" hidden="1">
      <c r="A1508" s="20">
        <v>1515</v>
      </c>
      <c r="B1508" s="1063">
        <v>41285</v>
      </c>
      <c r="C1508" s="928" t="s">
        <v>5987</v>
      </c>
      <c r="D1508" s="11" t="s">
        <v>6</v>
      </c>
      <c r="E1508" s="187" t="s">
        <v>5876</v>
      </c>
      <c r="F1508" s="928" t="s">
        <v>2006</v>
      </c>
      <c r="G1508" s="193" t="s">
        <v>5988</v>
      </c>
      <c r="H1508" s="193" t="s">
        <v>468</v>
      </c>
      <c r="I1508" s="193" t="s">
        <v>3312</v>
      </c>
      <c r="J1508" s="193">
        <v>26344578</v>
      </c>
      <c r="K1508" s="193" t="s">
        <v>5989</v>
      </c>
      <c r="L1508" s="193" t="s">
        <v>3636</v>
      </c>
      <c r="M1508" s="193">
        <v>10</v>
      </c>
      <c r="N1508" s="193">
        <v>50</v>
      </c>
      <c r="O1508" s="193">
        <v>50</v>
      </c>
      <c r="P1508" s="193">
        <v>0</v>
      </c>
      <c r="Q1508" s="194">
        <f t="shared" ref="Q1508:Q1525" si="80">(O1508+P1508)-M1508</f>
        <v>40</v>
      </c>
      <c r="R1508" s="1246">
        <v>33.799999999999997</v>
      </c>
      <c r="S1508" s="1246">
        <f t="shared" ref="S1508:S1525" si="81">R1508*O1508</f>
        <v>1689.9999999999998</v>
      </c>
      <c r="T1508" s="193" t="s">
        <v>5448</v>
      </c>
      <c r="U1508" s="1894" t="s">
        <v>678</v>
      </c>
      <c r="V1508" s="194" t="s">
        <v>5990</v>
      </c>
      <c r="W1508" s="782" t="s">
        <v>3638</v>
      </c>
      <c r="X1508" s="18"/>
      <c r="Y1508" s="4"/>
      <c r="Z1508" s="4"/>
    </row>
    <row r="1509" spans="1:26" ht="14.45" hidden="1">
      <c r="A1509" s="20">
        <v>1516</v>
      </c>
      <c r="B1509" s="1063">
        <v>41286</v>
      </c>
      <c r="C1509" s="928" t="s">
        <v>5270</v>
      </c>
      <c r="D1509" s="11" t="s">
        <v>6</v>
      </c>
      <c r="E1509" s="187" t="s">
        <v>5876</v>
      </c>
      <c r="F1509" s="928" t="s">
        <v>2006</v>
      </c>
      <c r="G1509" s="193" t="s">
        <v>5271</v>
      </c>
      <c r="H1509" s="193" t="s">
        <v>3898</v>
      </c>
      <c r="I1509" s="193" t="s">
        <v>281</v>
      </c>
      <c r="J1509" s="193" t="s">
        <v>933</v>
      </c>
      <c r="K1509" s="193" t="s">
        <v>5991</v>
      </c>
      <c r="L1509" s="193" t="s">
        <v>3636</v>
      </c>
      <c r="M1509" s="193">
        <v>24</v>
      </c>
      <c r="N1509" s="193">
        <v>40</v>
      </c>
      <c r="O1509" s="193">
        <v>40</v>
      </c>
      <c r="P1509" s="193">
        <v>0</v>
      </c>
      <c r="Q1509" s="194">
        <f t="shared" si="80"/>
        <v>16</v>
      </c>
      <c r="R1509" s="1246">
        <v>432.32499999999999</v>
      </c>
      <c r="S1509" s="1246">
        <f t="shared" si="81"/>
        <v>17293</v>
      </c>
      <c r="T1509" s="193" t="s">
        <v>5448</v>
      </c>
      <c r="U1509" s="1894" t="s">
        <v>678</v>
      </c>
      <c r="V1509" s="194" t="s">
        <v>5990</v>
      </c>
      <c r="W1509" s="782" t="s">
        <v>5272</v>
      </c>
      <c r="X1509" s="18"/>
      <c r="Y1509" s="4"/>
      <c r="Z1509" s="4"/>
    </row>
    <row r="1510" spans="1:26" ht="14.45" hidden="1">
      <c r="A1510" s="20">
        <v>1517</v>
      </c>
      <c r="B1510" s="1063">
        <v>41287</v>
      </c>
      <c r="C1510" s="928" t="s">
        <v>5992</v>
      </c>
      <c r="D1510" s="11" t="s">
        <v>6</v>
      </c>
      <c r="E1510" s="187" t="s">
        <v>5876</v>
      </c>
      <c r="F1510" s="928" t="s">
        <v>2006</v>
      </c>
      <c r="G1510" s="193" t="s">
        <v>5993</v>
      </c>
      <c r="H1510" s="193" t="s">
        <v>3898</v>
      </c>
      <c r="I1510" s="193" t="s">
        <v>281</v>
      </c>
      <c r="J1510" s="193" t="s">
        <v>5994</v>
      </c>
      <c r="K1510" s="193" t="s">
        <v>5995</v>
      </c>
      <c r="L1510" s="193" t="s">
        <v>3636</v>
      </c>
      <c r="M1510" s="193">
        <v>24</v>
      </c>
      <c r="N1510" s="193">
        <v>40</v>
      </c>
      <c r="O1510" s="193">
        <v>40</v>
      </c>
      <c r="P1510" s="193">
        <v>0</v>
      </c>
      <c r="Q1510" s="194">
        <f t="shared" si="80"/>
        <v>16</v>
      </c>
      <c r="R1510" s="1246">
        <v>142.4</v>
      </c>
      <c r="S1510" s="1246">
        <f t="shared" si="81"/>
        <v>5696</v>
      </c>
      <c r="T1510" s="193" t="s">
        <v>5448</v>
      </c>
      <c r="U1510" s="1894" t="s">
        <v>678</v>
      </c>
      <c r="V1510" s="194" t="s">
        <v>5990</v>
      </c>
      <c r="W1510" s="782" t="s">
        <v>5996</v>
      </c>
      <c r="X1510" s="26"/>
      <c r="Y1510" s="71"/>
      <c r="Z1510" s="71"/>
    </row>
    <row r="1511" spans="1:26" ht="14.45" hidden="1">
      <c r="A1511" s="20">
        <v>1518</v>
      </c>
      <c r="B1511" s="1063">
        <v>41288</v>
      </c>
      <c r="C1511" s="928" t="s">
        <v>5145</v>
      </c>
      <c r="D1511" s="11" t="s">
        <v>6</v>
      </c>
      <c r="E1511" s="187" t="s">
        <v>5876</v>
      </c>
      <c r="F1511" s="928" t="s">
        <v>2006</v>
      </c>
      <c r="G1511" s="193" t="s">
        <v>5146</v>
      </c>
      <c r="H1511" s="193" t="s">
        <v>360</v>
      </c>
      <c r="I1511" s="193" t="s">
        <v>574</v>
      </c>
      <c r="J1511" s="193" t="s">
        <v>5147</v>
      </c>
      <c r="K1511" s="193">
        <v>61304011121</v>
      </c>
      <c r="L1511" s="193" t="s">
        <v>2063</v>
      </c>
      <c r="M1511" s="193">
        <v>2</v>
      </c>
      <c r="N1511" s="193">
        <v>1</v>
      </c>
      <c r="O1511" s="193">
        <v>3</v>
      </c>
      <c r="P1511" s="193">
        <v>0</v>
      </c>
      <c r="Q1511" s="194">
        <f t="shared" si="80"/>
        <v>1</v>
      </c>
      <c r="R1511" s="1246">
        <v>167</v>
      </c>
      <c r="S1511" s="1246">
        <f t="shared" si="81"/>
        <v>501</v>
      </c>
      <c r="T1511" s="193" t="s">
        <v>5448</v>
      </c>
      <c r="U1511" s="1894" t="s">
        <v>678</v>
      </c>
      <c r="V1511" s="194" t="s">
        <v>5990</v>
      </c>
      <c r="W1511" s="782" t="s">
        <v>5148</v>
      </c>
      <c r="X1511" s="26"/>
      <c r="Y1511" s="71"/>
      <c r="Z1511" s="71"/>
    </row>
    <row r="1512" spans="1:26" ht="14.45" hidden="1">
      <c r="A1512" s="20">
        <v>1519</v>
      </c>
      <c r="B1512" s="1063">
        <v>41289</v>
      </c>
      <c r="C1512" s="928" t="s">
        <v>5997</v>
      </c>
      <c r="D1512" s="11" t="s">
        <v>6</v>
      </c>
      <c r="E1512" s="187" t="s">
        <v>5876</v>
      </c>
      <c r="F1512" s="928" t="s">
        <v>2006</v>
      </c>
      <c r="G1512" s="193" t="s">
        <v>3639</v>
      </c>
      <c r="H1512" s="193" t="s">
        <v>1143</v>
      </c>
      <c r="I1512" s="193" t="s">
        <v>281</v>
      </c>
      <c r="J1512" s="193" t="s">
        <v>3640</v>
      </c>
      <c r="K1512" s="193">
        <v>554600272</v>
      </c>
      <c r="L1512" s="193" t="s">
        <v>5267</v>
      </c>
      <c r="M1512" s="193">
        <v>8</v>
      </c>
      <c r="N1512" s="193">
        <v>10</v>
      </c>
      <c r="O1512" s="193">
        <v>20</v>
      </c>
      <c r="P1512" s="193">
        <v>0</v>
      </c>
      <c r="Q1512" s="194">
        <f t="shared" si="80"/>
        <v>12</v>
      </c>
      <c r="R1512" s="1246">
        <v>142.9</v>
      </c>
      <c r="S1512" s="1246">
        <f t="shared" si="81"/>
        <v>2858</v>
      </c>
      <c r="T1512" s="193" t="s">
        <v>5448</v>
      </c>
      <c r="U1512" s="1894" t="s">
        <v>678</v>
      </c>
      <c r="V1512" s="194" t="s">
        <v>5990</v>
      </c>
      <c r="W1512" s="782" t="s">
        <v>5269</v>
      </c>
      <c r="X1512" s="18"/>
      <c r="Y1512" s="4"/>
      <c r="Z1512" s="4"/>
    </row>
    <row r="1513" spans="1:26" ht="14.45" hidden="1">
      <c r="A1513" s="20">
        <v>1520</v>
      </c>
      <c r="B1513" s="1063">
        <v>41290</v>
      </c>
      <c r="C1513" s="928" t="s">
        <v>5998</v>
      </c>
      <c r="D1513" s="11" t="s">
        <v>6</v>
      </c>
      <c r="E1513" s="187" t="s">
        <v>5876</v>
      </c>
      <c r="F1513" s="928" t="s">
        <v>2006</v>
      </c>
      <c r="G1513" s="193" t="s">
        <v>5999</v>
      </c>
      <c r="H1513" s="193" t="s">
        <v>3612</v>
      </c>
      <c r="I1513" s="193" t="s">
        <v>281</v>
      </c>
      <c r="J1513" s="193" t="s">
        <v>6000</v>
      </c>
      <c r="K1513" s="193" t="s">
        <v>6001</v>
      </c>
      <c r="L1513" s="193" t="s">
        <v>3362</v>
      </c>
      <c r="M1513" s="193">
        <v>8</v>
      </c>
      <c r="N1513" s="193">
        <v>25</v>
      </c>
      <c r="O1513" s="193">
        <v>25</v>
      </c>
      <c r="P1513" s="193">
        <v>0</v>
      </c>
      <c r="Q1513" s="194">
        <f t="shared" si="80"/>
        <v>17</v>
      </c>
      <c r="R1513" s="1246">
        <v>10.6</v>
      </c>
      <c r="S1513" s="1246">
        <f t="shared" si="81"/>
        <v>265</v>
      </c>
      <c r="T1513" s="193" t="s">
        <v>5448</v>
      </c>
      <c r="U1513" s="1894" t="s">
        <v>678</v>
      </c>
      <c r="V1513" s="194" t="s">
        <v>5990</v>
      </c>
      <c r="W1513" s="782" t="s">
        <v>6002</v>
      </c>
      <c r="X1513" s="18"/>
      <c r="Y1513" s="4"/>
      <c r="Z1513" s="4"/>
    </row>
    <row r="1514" spans="1:26" ht="14.45" hidden="1">
      <c r="A1514" s="20">
        <v>1521</v>
      </c>
      <c r="B1514" s="1063">
        <v>41291</v>
      </c>
      <c r="C1514" s="928" t="s">
        <v>6003</v>
      </c>
      <c r="D1514" s="11" t="s">
        <v>6</v>
      </c>
      <c r="E1514" s="187" t="s">
        <v>5876</v>
      </c>
      <c r="F1514" s="928" t="s">
        <v>2006</v>
      </c>
      <c r="G1514" s="193" t="s">
        <v>6004</v>
      </c>
      <c r="H1514" s="193" t="s">
        <v>6005</v>
      </c>
      <c r="I1514" s="193" t="s">
        <v>281</v>
      </c>
      <c r="J1514" s="193" t="s">
        <v>6006</v>
      </c>
      <c r="K1514" s="193" t="s">
        <v>6007</v>
      </c>
      <c r="L1514" s="193" t="s">
        <v>6008</v>
      </c>
      <c r="M1514" s="193">
        <v>2</v>
      </c>
      <c r="N1514" s="193">
        <v>1</v>
      </c>
      <c r="O1514" s="193">
        <v>5</v>
      </c>
      <c r="P1514" s="193">
        <v>0</v>
      </c>
      <c r="Q1514" s="194">
        <f t="shared" si="80"/>
        <v>3</v>
      </c>
      <c r="R1514" s="1246">
        <v>2028</v>
      </c>
      <c r="S1514" s="1246">
        <f t="shared" si="81"/>
        <v>10140</v>
      </c>
      <c r="T1514" s="193" t="s">
        <v>5448</v>
      </c>
      <c r="U1514" s="1894" t="s">
        <v>678</v>
      </c>
      <c r="V1514" s="194" t="s">
        <v>5990</v>
      </c>
      <c r="W1514" s="782" t="s">
        <v>6009</v>
      </c>
      <c r="X1514" s="18"/>
      <c r="Y1514" s="4"/>
      <c r="Z1514" s="4"/>
    </row>
    <row r="1515" spans="1:26" ht="14.45" hidden="1">
      <c r="A1515" s="20">
        <v>1522</v>
      </c>
      <c r="B1515" s="1063">
        <v>41292</v>
      </c>
      <c r="C1515" s="928" t="s">
        <v>6010</v>
      </c>
      <c r="D1515" s="11" t="s">
        <v>6</v>
      </c>
      <c r="E1515" s="187" t="s">
        <v>5876</v>
      </c>
      <c r="F1515" s="928" t="s">
        <v>2006</v>
      </c>
      <c r="G1515" s="193" t="s">
        <v>6011</v>
      </c>
      <c r="H1515" s="193" t="s">
        <v>452</v>
      </c>
      <c r="I1515" s="193" t="s">
        <v>281</v>
      </c>
      <c r="J1515" s="193" t="s">
        <v>6012</v>
      </c>
      <c r="K1515" s="193" t="s">
        <v>6013</v>
      </c>
      <c r="L1515" s="193" t="s">
        <v>4753</v>
      </c>
      <c r="M1515" s="193">
        <v>2</v>
      </c>
      <c r="N1515" s="193">
        <v>10</v>
      </c>
      <c r="O1515" s="193">
        <v>10</v>
      </c>
      <c r="P1515" s="193">
        <v>0</v>
      </c>
      <c r="Q1515" s="194">
        <f t="shared" si="80"/>
        <v>8</v>
      </c>
      <c r="R1515" s="1246">
        <v>72</v>
      </c>
      <c r="S1515" s="1246">
        <f t="shared" si="81"/>
        <v>720</v>
      </c>
      <c r="T1515" s="193" t="s">
        <v>5448</v>
      </c>
      <c r="U1515" s="1894" t="s">
        <v>678</v>
      </c>
      <c r="V1515" s="194" t="s">
        <v>5990</v>
      </c>
      <c r="W1515" s="782" t="s">
        <v>6014</v>
      </c>
      <c r="X1515" s="18"/>
      <c r="Y1515" s="4"/>
      <c r="Z1515" s="4"/>
    </row>
    <row r="1516" spans="1:26" ht="14.45" hidden="1">
      <c r="A1516" s="20">
        <v>1523</v>
      </c>
      <c r="B1516" s="1063">
        <v>41293</v>
      </c>
      <c r="C1516" s="928" t="s">
        <v>4622</v>
      </c>
      <c r="D1516" s="11" t="s">
        <v>6</v>
      </c>
      <c r="E1516" s="187" t="s">
        <v>5876</v>
      </c>
      <c r="F1516" s="928" t="s">
        <v>2006</v>
      </c>
      <c r="G1516" s="193" t="s">
        <v>4623</v>
      </c>
      <c r="H1516" s="193" t="s">
        <v>578</v>
      </c>
      <c r="I1516" s="193" t="s">
        <v>281</v>
      </c>
      <c r="J1516" s="193" t="s">
        <v>4624</v>
      </c>
      <c r="K1516" s="193" t="s">
        <v>4625</v>
      </c>
      <c r="L1516" s="193" t="s">
        <v>5267</v>
      </c>
      <c r="M1516" s="193">
        <v>8</v>
      </c>
      <c r="N1516" s="193">
        <v>10</v>
      </c>
      <c r="O1516" s="193">
        <v>10</v>
      </c>
      <c r="P1516" s="193">
        <v>0</v>
      </c>
      <c r="Q1516" s="194">
        <f t="shared" si="80"/>
        <v>2</v>
      </c>
      <c r="R1516" s="1246">
        <v>31.5</v>
      </c>
      <c r="S1516" s="1246">
        <f t="shared" si="81"/>
        <v>315</v>
      </c>
      <c r="T1516" s="193" t="s">
        <v>5448</v>
      </c>
      <c r="U1516" s="1894" t="s">
        <v>678</v>
      </c>
      <c r="V1516" s="194" t="s">
        <v>5990</v>
      </c>
      <c r="W1516" s="782" t="s">
        <v>6015</v>
      </c>
      <c r="X1516" s="26"/>
      <c r="Y1516" s="71"/>
      <c r="Z1516" s="71"/>
    </row>
    <row r="1517" spans="1:26" ht="14.45" hidden="1">
      <c r="A1517" s="20">
        <v>1524</v>
      </c>
      <c r="B1517" s="1063">
        <v>41294</v>
      </c>
      <c r="C1517" s="928" t="s">
        <v>329</v>
      </c>
      <c r="D1517" s="11" t="s">
        <v>6</v>
      </c>
      <c r="E1517" s="187" t="s">
        <v>5876</v>
      </c>
      <c r="F1517" s="928" t="s">
        <v>2006</v>
      </c>
      <c r="G1517" s="193" t="s">
        <v>3548</v>
      </c>
      <c r="H1517" s="193" t="s">
        <v>3243</v>
      </c>
      <c r="I1517" s="193" t="s">
        <v>281</v>
      </c>
      <c r="J1517" s="193" t="s">
        <v>3549</v>
      </c>
      <c r="K1517" s="193" t="s">
        <v>3550</v>
      </c>
      <c r="L1517" s="193" t="s">
        <v>5267</v>
      </c>
      <c r="M1517" s="193">
        <v>10</v>
      </c>
      <c r="N1517" s="193">
        <v>10</v>
      </c>
      <c r="O1517" s="193">
        <v>20</v>
      </c>
      <c r="P1517" s="193">
        <v>0</v>
      </c>
      <c r="Q1517" s="194">
        <f t="shared" si="80"/>
        <v>10</v>
      </c>
      <c r="R1517" s="1246">
        <v>22.1</v>
      </c>
      <c r="S1517" s="1246">
        <f t="shared" si="81"/>
        <v>442</v>
      </c>
      <c r="T1517" s="193" t="s">
        <v>5448</v>
      </c>
      <c r="U1517" s="1894" t="s">
        <v>678</v>
      </c>
      <c r="V1517" s="194" t="s">
        <v>5990</v>
      </c>
      <c r="W1517" s="782" t="s">
        <v>3553</v>
      </c>
      <c r="X1517" s="26"/>
      <c r="Y1517" s="71"/>
      <c r="Z1517" s="71"/>
    </row>
    <row r="1518" spans="1:26" ht="14.45" hidden="1">
      <c r="A1518" s="20">
        <v>1525</v>
      </c>
      <c r="B1518" s="1063">
        <v>41295</v>
      </c>
      <c r="C1518" s="928" t="s">
        <v>329</v>
      </c>
      <c r="D1518" s="11" t="s">
        <v>6</v>
      </c>
      <c r="E1518" s="187" t="s">
        <v>5876</v>
      </c>
      <c r="F1518" s="928" t="s">
        <v>2006</v>
      </c>
      <c r="G1518" s="193" t="s">
        <v>6016</v>
      </c>
      <c r="H1518" s="193" t="s">
        <v>641</v>
      </c>
      <c r="I1518" s="193" t="s">
        <v>281</v>
      </c>
      <c r="J1518" s="193" t="s">
        <v>6017</v>
      </c>
      <c r="K1518" s="193" t="s">
        <v>6018</v>
      </c>
      <c r="L1518" s="193" t="s">
        <v>5267</v>
      </c>
      <c r="M1518" s="193">
        <v>4</v>
      </c>
      <c r="N1518" s="193">
        <v>10</v>
      </c>
      <c r="O1518" s="193">
        <v>10</v>
      </c>
      <c r="P1518" s="193">
        <v>0</v>
      </c>
      <c r="Q1518" s="194">
        <f t="shared" si="80"/>
        <v>6</v>
      </c>
      <c r="R1518" s="1246">
        <v>42.1</v>
      </c>
      <c r="S1518" s="1246">
        <f t="shared" si="81"/>
        <v>421</v>
      </c>
      <c r="T1518" s="193" t="s">
        <v>5448</v>
      </c>
      <c r="U1518" s="1894" t="s">
        <v>678</v>
      </c>
      <c r="V1518" s="194" t="s">
        <v>5990</v>
      </c>
      <c r="W1518" s="782" t="s">
        <v>6019</v>
      </c>
      <c r="X1518" s="18"/>
      <c r="Y1518" s="4"/>
      <c r="Z1518" s="4"/>
    </row>
    <row r="1519" spans="1:26" ht="14.45" hidden="1">
      <c r="A1519" s="20">
        <v>1526</v>
      </c>
      <c r="B1519" s="1063">
        <v>41296</v>
      </c>
      <c r="C1519" s="928" t="s">
        <v>329</v>
      </c>
      <c r="D1519" s="11" t="s">
        <v>6</v>
      </c>
      <c r="E1519" s="187" t="s">
        <v>5876</v>
      </c>
      <c r="F1519" s="928" t="s">
        <v>2006</v>
      </c>
      <c r="G1519" s="193" t="s">
        <v>6020</v>
      </c>
      <c r="H1519" s="193" t="s">
        <v>5730</v>
      </c>
      <c r="I1519" s="193" t="s">
        <v>281</v>
      </c>
      <c r="J1519" s="193" t="s">
        <v>6021</v>
      </c>
      <c r="K1519" s="193" t="s">
        <v>6022</v>
      </c>
      <c r="L1519" s="193" t="s">
        <v>5267</v>
      </c>
      <c r="M1519" s="193">
        <v>4</v>
      </c>
      <c r="N1519" s="193">
        <v>10</v>
      </c>
      <c r="O1519" s="193">
        <v>10</v>
      </c>
      <c r="P1519" s="193">
        <v>0</v>
      </c>
      <c r="Q1519" s="194">
        <f t="shared" si="80"/>
        <v>6</v>
      </c>
      <c r="R1519" s="1246">
        <v>40</v>
      </c>
      <c r="S1519" s="1246">
        <f t="shared" si="81"/>
        <v>400</v>
      </c>
      <c r="T1519" s="193" t="s">
        <v>5448</v>
      </c>
      <c r="U1519" s="1894" t="s">
        <v>678</v>
      </c>
      <c r="V1519" s="194" t="s">
        <v>5990</v>
      </c>
      <c r="W1519" s="782" t="s">
        <v>6023</v>
      </c>
      <c r="X1519" s="18"/>
      <c r="Y1519" s="4"/>
      <c r="Z1519" s="4"/>
    </row>
    <row r="1520" spans="1:26" ht="14.45" hidden="1">
      <c r="A1520" s="20">
        <v>1527</v>
      </c>
      <c r="B1520" s="1063">
        <v>41297</v>
      </c>
      <c r="C1520" s="928" t="s">
        <v>188</v>
      </c>
      <c r="D1520" s="11" t="s">
        <v>6</v>
      </c>
      <c r="E1520" s="187" t="s">
        <v>5876</v>
      </c>
      <c r="F1520" s="928" t="s">
        <v>2006</v>
      </c>
      <c r="G1520" s="193" t="s">
        <v>6024</v>
      </c>
      <c r="H1520" s="193" t="s">
        <v>5730</v>
      </c>
      <c r="I1520" s="193" t="s">
        <v>281</v>
      </c>
      <c r="J1520" s="193" t="s">
        <v>6025</v>
      </c>
      <c r="K1520" s="193" t="s">
        <v>6026</v>
      </c>
      <c r="L1520" s="193" t="s">
        <v>5267</v>
      </c>
      <c r="M1520" s="193">
        <v>4</v>
      </c>
      <c r="N1520" s="193">
        <v>10</v>
      </c>
      <c r="O1520" s="193">
        <v>10</v>
      </c>
      <c r="P1520" s="193">
        <v>0</v>
      </c>
      <c r="Q1520" s="194">
        <f t="shared" si="80"/>
        <v>6</v>
      </c>
      <c r="R1520" s="1246">
        <v>9.1999999999999993</v>
      </c>
      <c r="S1520" s="1246">
        <f t="shared" si="81"/>
        <v>92</v>
      </c>
      <c r="T1520" s="193" t="s">
        <v>5448</v>
      </c>
      <c r="U1520" s="1894" t="s">
        <v>678</v>
      </c>
      <c r="V1520" s="194" t="s">
        <v>5990</v>
      </c>
      <c r="W1520" s="782" t="s">
        <v>6027</v>
      </c>
      <c r="X1520" s="18"/>
      <c r="Y1520" s="4"/>
      <c r="Z1520" s="4"/>
    </row>
    <row r="1521" spans="1:26" ht="14.45" hidden="1">
      <c r="A1521" s="20">
        <v>1528</v>
      </c>
      <c r="B1521" s="1063">
        <v>41298</v>
      </c>
      <c r="C1521" s="928" t="s">
        <v>1072</v>
      </c>
      <c r="D1521" s="11" t="s">
        <v>6</v>
      </c>
      <c r="E1521" s="187" t="s">
        <v>5876</v>
      </c>
      <c r="F1521" s="928" t="s">
        <v>2006</v>
      </c>
      <c r="G1521" s="193" t="s">
        <v>5188</v>
      </c>
      <c r="H1521" s="193" t="s">
        <v>460</v>
      </c>
      <c r="I1521" s="193" t="s">
        <v>281</v>
      </c>
      <c r="J1521" s="193" t="s">
        <v>461</v>
      </c>
      <c r="K1521" s="193" t="s">
        <v>462</v>
      </c>
      <c r="L1521" s="193" t="s">
        <v>587</v>
      </c>
      <c r="M1521" s="193">
        <v>2</v>
      </c>
      <c r="N1521" s="193">
        <v>10</v>
      </c>
      <c r="O1521" s="193">
        <v>10</v>
      </c>
      <c r="P1521" s="193">
        <v>0</v>
      </c>
      <c r="Q1521" s="194">
        <f t="shared" si="80"/>
        <v>8</v>
      </c>
      <c r="R1521" s="1246">
        <v>106</v>
      </c>
      <c r="S1521" s="1246">
        <f t="shared" si="81"/>
        <v>1060</v>
      </c>
      <c r="T1521" s="193" t="s">
        <v>5448</v>
      </c>
      <c r="U1521" s="1894" t="s">
        <v>678</v>
      </c>
      <c r="V1521" s="194" t="s">
        <v>5990</v>
      </c>
      <c r="W1521" s="782" t="s">
        <v>465</v>
      </c>
      <c r="X1521" s="18"/>
      <c r="Y1521" s="4"/>
      <c r="Z1521" s="4"/>
    </row>
    <row r="1522" spans="1:26" ht="14.45" hidden="1">
      <c r="A1522" s="20">
        <v>1529</v>
      </c>
      <c r="B1522" s="1063">
        <v>41299</v>
      </c>
      <c r="C1522" s="928" t="s">
        <v>4560</v>
      </c>
      <c r="D1522" s="11" t="s">
        <v>6</v>
      </c>
      <c r="E1522" s="187" t="s">
        <v>5876</v>
      </c>
      <c r="F1522" s="928" t="s">
        <v>2006</v>
      </c>
      <c r="G1522" s="193" t="s">
        <v>4561</v>
      </c>
      <c r="H1522" s="193" t="s">
        <v>2920</v>
      </c>
      <c r="I1522" s="193" t="s">
        <v>574</v>
      </c>
      <c r="J1522" s="193" t="s">
        <v>4562</v>
      </c>
      <c r="K1522" s="193">
        <v>1950</v>
      </c>
      <c r="L1522" s="193" t="s">
        <v>3362</v>
      </c>
      <c r="M1522" s="193">
        <v>2</v>
      </c>
      <c r="N1522" s="193">
        <v>1</v>
      </c>
      <c r="O1522" s="193">
        <v>2</v>
      </c>
      <c r="P1522" s="193">
        <v>0</v>
      </c>
      <c r="Q1522" s="194">
        <f t="shared" si="80"/>
        <v>0</v>
      </c>
      <c r="R1522" s="1246">
        <v>227</v>
      </c>
      <c r="S1522" s="1246">
        <f t="shared" si="81"/>
        <v>454</v>
      </c>
      <c r="T1522" s="193" t="s">
        <v>5448</v>
      </c>
      <c r="U1522" s="1894" t="s">
        <v>678</v>
      </c>
      <c r="V1522" s="194" t="s">
        <v>5990</v>
      </c>
      <c r="W1522" s="782" t="s">
        <v>4564</v>
      </c>
      <c r="X1522" s="26"/>
      <c r="Y1522" s="71"/>
      <c r="Z1522" s="71"/>
    </row>
    <row r="1523" spans="1:26" ht="14.45" hidden="1">
      <c r="A1523" s="20">
        <v>1530</v>
      </c>
      <c r="B1523" s="1063">
        <v>41300</v>
      </c>
      <c r="C1523" s="928" t="s">
        <v>4565</v>
      </c>
      <c r="D1523" s="11" t="s">
        <v>6</v>
      </c>
      <c r="E1523" s="187" t="s">
        <v>5876</v>
      </c>
      <c r="F1523" s="928" t="s">
        <v>2006</v>
      </c>
      <c r="G1523" s="193" t="s">
        <v>4566</v>
      </c>
      <c r="H1523" s="193" t="s">
        <v>2920</v>
      </c>
      <c r="I1523" s="193" t="s">
        <v>574</v>
      </c>
      <c r="J1523" s="193" t="s">
        <v>4567</v>
      </c>
      <c r="K1523" s="193">
        <v>1957</v>
      </c>
      <c r="L1523" s="193" t="s">
        <v>3362</v>
      </c>
      <c r="M1523" s="193">
        <v>2</v>
      </c>
      <c r="N1523" s="193">
        <v>1</v>
      </c>
      <c r="O1523" s="193">
        <v>2</v>
      </c>
      <c r="P1523" s="193">
        <v>0</v>
      </c>
      <c r="Q1523" s="194">
        <f t="shared" si="80"/>
        <v>0</v>
      </c>
      <c r="R1523" s="1246">
        <v>227</v>
      </c>
      <c r="S1523" s="1246">
        <f t="shared" si="81"/>
        <v>454</v>
      </c>
      <c r="T1523" s="193" t="s">
        <v>5448</v>
      </c>
      <c r="U1523" s="1894" t="s">
        <v>678</v>
      </c>
      <c r="V1523" s="194" t="s">
        <v>5990</v>
      </c>
      <c r="W1523" s="782" t="s">
        <v>4568</v>
      </c>
      <c r="X1523" s="26"/>
      <c r="Y1523" s="71"/>
      <c r="Z1523" s="71"/>
    </row>
    <row r="1524" spans="1:26" ht="14.45" hidden="1">
      <c r="A1524" s="20">
        <v>1531</v>
      </c>
      <c r="B1524" s="1063">
        <v>41301</v>
      </c>
      <c r="C1524" s="928" t="s">
        <v>4569</v>
      </c>
      <c r="D1524" s="11" t="s">
        <v>6</v>
      </c>
      <c r="E1524" s="187" t="s">
        <v>5876</v>
      </c>
      <c r="F1524" s="928" t="s">
        <v>2006</v>
      </c>
      <c r="G1524" s="193" t="s">
        <v>4570</v>
      </c>
      <c r="H1524" s="193" t="s">
        <v>2920</v>
      </c>
      <c r="I1524" s="193" t="s">
        <v>574</v>
      </c>
      <c r="J1524" s="193" t="s">
        <v>4571</v>
      </c>
      <c r="K1524" s="193">
        <v>1954</v>
      </c>
      <c r="L1524" s="193" t="s">
        <v>3362</v>
      </c>
      <c r="M1524" s="193">
        <v>2</v>
      </c>
      <c r="N1524" s="193">
        <v>1</v>
      </c>
      <c r="O1524" s="193">
        <v>2</v>
      </c>
      <c r="P1524" s="193">
        <v>0</v>
      </c>
      <c r="Q1524" s="194">
        <f t="shared" si="80"/>
        <v>0</v>
      </c>
      <c r="R1524" s="1246">
        <v>227</v>
      </c>
      <c r="S1524" s="1246">
        <f t="shared" si="81"/>
        <v>454</v>
      </c>
      <c r="T1524" s="193" t="s">
        <v>5448</v>
      </c>
      <c r="U1524" s="1894" t="s">
        <v>678</v>
      </c>
      <c r="V1524" s="194" t="s">
        <v>5990</v>
      </c>
      <c r="W1524" s="782" t="s">
        <v>4572</v>
      </c>
      <c r="X1524" s="18"/>
      <c r="Y1524" s="4"/>
      <c r="Z1524" s="4"/>
    </row>
    <row r="1525" spans="1:26" ht="14.45" hidden="1">
      <c r="A1525" s="20">
        <v>1532</v>
      </c>
      <c r="B1525" s="1063">
        <v>41302</v>
      </c>
      <c r="C1525" s="928" t="s">
        <v>6028</v>
      </c>
      <c r="D1525" s="11" t="s">
        <v>6</v>
      </c>
      <c r="E1525" s="187" t="s">
        <v>5876</v>
      </c>
      <c r="F1525" s="928" t="s">
        <v>2006</v>
      </c>
      <c r="G1525" s="193" t="s">
        <v>6029</v>
      </c>
      <c r="H1525" s="193" t="s">
        <v>2862</v>
      </c>
      <c r="I1525" s="193" t="s">
        <v>574</v>
      </c>
      <c r="J1525" s="193" t="s">
        <v>2863</v>
      </c>
      <c r="K1525" s="193" t="s">
        <v>2864</v>
      </c>
      <c r="L1525" s="193" t="s">
        <v>3362</v>
      </c>
      <c r="M1525" s="193">
        <v>1</v>
      </c>
      <c r="N1525" s="193">
        <v>1</v>
      </c>
      <c r="O1525" s="193">
        <v>1</v>
      </c>
      <c r="P1525" s="193">
        <v>0</v>
      </c>
      <c r="Q1525" s="194">
        <f t="shared" si="80"/>
        <v>0</v>
      </c>
      <c r="R1525" s="1246">
        <v>813</v>
      </c>
      <c r="S1525" s="1246">
        <f t="shared" si="81"/>
        <v>813</v>
      </c>
      <c r="T1525" s="193" t="s">
        <v>5448</v>
      </c>
      <c r="U1525" s="1894" t="s">
        <v>678</v>
      </c>
      <c r="V1525" s="194" t="s">
        <v>5990</v>
      </c>
      <c r="W1525" s="782" t="s">
        <v>2865</v>
      </c>
      <c r="X1525" s="18"/>
      <c r="Y1525" s="4"/>
      <c r="Z1525" s="4"/>
    </row>
    <row r="1526" spans="1:26" ht="14.45" hidden="1">
      <c r="A1526" s="20">
        <v>1533</v>
      </c>
      <c r="B1526" s="1063">
        <v>41303</v>
      </c>
      <c r="C1526" s="26" t="s">
        <v>6030</v>
      </c>
      <c r="D1526" s="11"/>
      <c r="E1526" s="26" t="s">
        <v>6031</v>
      </c>
      <c r="F1526" s="26" t="s">
        <v>99</v>
      </c>
      <c r="G1526" s="26" t="s">
        <v>6032</v>
      </c>
      <c r="H1526" s="26" t="s">
        <v>6033</v>
      </c>
      <c r="I1526" s="26" t="s">
        <v>366</v>
      </c>
      <c r="J1526" s="26">
        <v>5345</v>
      </c>
      <c r="K1526" s="26"/>
      <c r="L1526" s="26" t="s">
        <v>3362</v>
      </c>
      <c r="M1526" s="26">
        <v>1</v>
      </c>
      <c r="N1526" s="26">
        <v>1</v>
      </c>
      <c r="O1526" s="26">
        <v>2</v>
      </c>
      <c r="P1526" s="26">
        <v>0</v>
      </c>
      <c r="Q1526" s="26">
        <v>1</v>
      </c>
      <c r="R1526" s="1209">
        <v>3892</v>
      </c>
      <c r="S1526" s="1209">
        <v>3892</v>
      </c>
      <c r="T1526" s="26" t="s">
        <v>5949</v>
      </c>
      <c r="U1526" s="1871" t="s">
        <v>1139</v>
      </c>
      <c r="V1526" s="194" t="s">
        <v>5990</v>
      </c>
      <c r="W1526" s="2015"/>
      <c r="X1526" s="18"/>
      <c r="Y1526" s="4"/>
      <c r="Z1526" s="4"/>
    </row>
    <row r="1527" spans="1:26" ht="18" hidden="1">
      <c r="A1527" s="20">
        <v>1534</v>
      </c>
      <c r="B1527" s="1063">
        <v>41304</v>
      </c>
      <c r="C1527" s="925" t="s">
        <v>6034</v>
      </c>
      <c r="D1527" s="11" t="s">
        <v>6</v>
      </c>
      <c r="E1527" s="183" t="s">
        <v>5448</v>
      </c>
      <c r="F1527" s="924" t="s">
        <v>970</v>
      </c>
      <c r="G1527" s="183" t="s">
        <v>6035</v>
      </c>
      <c r="H1527" s="183" t="s">
        <v>1</v>
      </c>
      <c r="I1527" s="183" t="s">
        <v>1022</v>
      </c>
      <c r="J1527" s="183" t="s">
        <v>6036</v>
      </c>
      <c r="K1527" s="183" t="s">
        <v>6035</v>
      </c>
      <c r="L1527" s="183"/>
      <c r="M1527" s="183">
        <v>1</v>
      </c>
      <c r="N1527" s="183">
        <v>1</v>
      </c>
      <c r="O1527" s="183">
        <v>1</v>
      </c>
      <c r="P1527" s="183">
        <v>0</v>
      </c>
      <c r="Q1527" s="183">
        <v>1</v>
      </c>
      <c r="R1527" s="1245">
        <v>1100</v>
      </c>
      <c r="S1527" s="1245">
        <v>1100</v>
      </c>
      <c r="T1527" s="195" t="s">
        <v>6037</v>
      </c>
      <c r="U1527" s="1893"/>
      <c r="V1527" s="195" t="s">
        <v>2962</v>
      </c>
      <c r="W1527" s="2067" t="s">
        <v>6038</v>
      </c>
      <c r="X1527" s="18"/>
      <c r="Y1527" s="4"/>
      <c r="Z1527" s="4"/>
    </row>
    <row r="1528" spans="1:26" ht="18" hidden="1">
      <c r="A1528" s="20">
        <v>1535</v>
      </c>
      <c r="B1528" s="1063">
        <v>41305</v>
      </c>
      <c r="C1528" s="925" t="s">
        <v>6039</v>
      </c>
      <c r="D1528" s="11" t="s">
        <v>6</v>
      </c>
      <c r="E1528" s="183" t="s">
        <v>5448</v>
      </c>
      <c r="F1528" s="924" t="s">
        <v>970</v>
      </c>
      <c r="G1528" s="196" t="s">
        <v>6040</v>
      </c>
      <c r="H1528" s="196" t="s">
        <v>6041</v>
      </c>
      <c r="I1528" s="183" t="s">
        <v>1022</v>
      </c>
      <c r="J1528" s="196" t="s">
        <v>6042</v>
      </c>
      <c r="K1528" s="183" t="s">
        <v>1</v>
      </c>
      <c r="L1528" s="183"/>
      <c r="M1528" s="196">
        <v>1</v>
      </c>
      <c r="N1528" s="196">
        <v>1</v>
      </c>
      <c r="O1528" s="196">
        <v>2</v>
      </c>
      <c r="P1528" s="196">
        <v>0</v>
      </c>
      <c r="Q1528" s="196">
        <v>2</v>
      </c>
      <c r="R1528" s="1247">
        <v>1480</v>
      </c>
      <c r="S1528" s="1247">
        <v>2960</v>
      </c>
      <c r="T1528" s="195" t="s">
        <v>6037</v>
      </c>
      <c r="U1528" s="375"/>
      <c r="V1528" s="195" t="s">
        <v>2962</v>
      </c>
      <c r="W1528" s="2067" t="s">
        <v>6043</v>
      </c>
      <c r="X1528" s="26"/>
      <c r="Y1528" s="71"/>
      <c r="Z1528" s="71"/>
    </row>
    <row r="1529" spans="1:26" ht="18" hidden="1">
      <c r="A1529" s="20">
        <v>1536</v>
      </c>
      <c r="B1529" s="1063">
        <v>41306</v>
      </c>
      <c r="C1529" s="925" t="s">
        <v>6044</v>
      </c>
      <c r="D1529" s="11" t="s">
        <v>6</v>
      </c>
      <c r="E1529" s="183" t="s">
        <v>5448</v>
      </c>
      <c r="F1529" s="924" t="s">
        <v>970</v>
      </c>
      <c r="G1529" s="196" t="s">
        <v>6045</v>
      </c>
      <c r="H1529" s="196" t="s">
        <v>6046</v>
      </c>
      <c r="I1529" s="183" t="s">
        <v>1022</v>
      </c>
      <c r="J1529" s="196" t="s">
        <v>6047</v>
      </c>
      <c r="K1529" s="196" t="s">
        <v>6045</v>
      </c>
      <c r="L1529" s="196" t="s">
        <v>149</v>
      </c>
      <c r="M1529" s="196">
        <v>2</v>
      </c>
      <c r="N1529" s="196">
        <v>1</v>
      </c>
      <c r="O1529" s="196">
        <v>2</v>
      </c>
      <c r="P1529" s="196">
        <v>0</v>
      </c>
      <c r="Q1529" s="196">
        <v>2</v>
      </c>
      <c r="R1529" s="1247">
        <v>1099</v>
      </c>
      <c r="S1529" s="1247">
        <v>2198</v>
      </c>
      <c r="T1529" s="195" t="s">
        <v>6037</v>
      </c>
      <c r="U1529" s="1893"/>
      <c r="V1529" s="195" t="s">
        <v>2962</v>
      </c>
      <c r="W1529" s="2067" t="s">
        <v>6048</v>
      </c>
      <c r="X1529" s="26"/>
      <c r="Y1529" s="71"/>
      <c r="Z1529" s="71"/>
    </row>
    <row r="1530" spans="1:26" ht="18" hidden="1">
      <c r="A1530" s="20">
        <v>1537</v>
      </c>
      <c r="B1530" s="1063">
        <v>41307</v>
      </c>
      <c r="C1530" s="925" t="s">
        <v>6049</v>
      </c>
      <c r="D1530" s="11" t="s">
        <v>6</v>
      </c>
      <c r="E1530" s="183" t="s">
        <v>5448</v>
      </c>
      <c r="F1530" s="924" t="s">
        <v>970</v>
      </c>
      <c r="G1530" s="195" t="s">
        <v>6050</v>
      </c>
      <c r="H1530" s="195" t="s">
        <v>1</v>
      </c>
      <c r="I1530" s="183" t="s">
        <v>1022</v>
      </c>
      <c r="J1530" s="195" t="s">
        <v>6051</v>
      </c>
      <c r="K1530" s="195" t="s">
        <v>1</v>
      </c>
      <c r="L1530" s="195"/>
      <c r="M1530" s="195">
        <v>2</v>
      </c>
      <c r="N1530" s="195">
        <v>1</v>
      </c>
      <c r="O1530" s="195">
        <v>2</v>
      </c>
      <c r="P1530" s="195">
        <v>0</v>
      </c>
      <c r="Q1530" s="195">
        <v>2</v>
      </c>
      <c r="R1530" s="1248">
        <v>1499</v>
      </c>
      <c r="S1530" s="1248">
        <v>2878</v>
      </c>
      <c r="T1530" s="195" t="s">
        <v>6037</v>
      </c>
      <c r="U1530" s="1895"/>
      <c r="V1530" s="195" t="s">
        <v>2962</v>
      </c>
      <c r="W1530" s="2067" t="s">
        <v>6052</v>
      </c>
      <c r="X1530" s="18"/>
      <c r="Y1530" s="4"/>
      <c r="Z1530" s="4"/>
    </row>
    <row r="1531" spans="1:26" ht="18" hidden="1">
      <c r="A1531" s="20">
        <v>1538</v>
      </c>
      <c r="B1531" s="1063">
        <v>41308</v>
      </c>
      <c r="C1531" s="925" t="s">
        <v>6053</v>
      </c>
      <c r="D1531" s="11" t="s">
        <v>6</v>
      </c>
      <c r="E1531" s="183" t="s">
        <v>5448</v>
      </c>
      <c r="F1531" s="924" t="s">
        <v>970</v>
      </c>
      <c r="G1531" s="195" t="s">
        <v>6054</v>
      </c>
      <c r="H1531" s="195" t="s">
        <v>2681</v>
      </c>
      <c r="I1531" s="183" t="s">
        <v>1022</v>
      </c>
      <c r="J1531" s="195" t="s">
        <v>6055</v>
      </c>
      <c r="K1531" s="195" t="s">
        <v>1</v>
      </c>
      <c r="L1531" s="195"/>
      <c r="M1531" s="195">
        <v>2</v>
      </c>
      <c r="N1531" s="195">
        <v>1</v>
      </c>
      <c r="O1531" s="195">
        <v>3</v>
      </c>
      <c r="P1531" s="195">
        <v>0</v>
      </c>
      <c r="Q1531" s="195">
        <v>3</v>
      </c>
      <c r="R1531" s="1248">
        <v>685</v>
      </c>
      <c r="S1531" s="1248">
        <v>2055</v>
      </c>
      <c r="T1531" s="195" t="s">
        <v>6037</v>
      </c>
      <c r="U1531" s="1895"/>
      <c r="V1531" s="195" t="s">
        <v>2962</v>
      </c>
      <c r="W1531" s="2067" t="s">
        <v>6056</v>
      </c>
      <c r="X1531" s="18"/>
      <c r="Y1531" s="4"/>
      <c r="Z1531" s="4"/>
    </row>
    <row r="1532" spans="1:26" ht="18" hidden="1">
      <c r="A1532" s="20">
        <v>1539</v>
      </c>
      <c r="B1532" s="1063">
        <v>41309</v>
      </c>
      <c r="C1532" s="925" t="s">
        <v>6057</v>
      </c>
      <c r="D1532" s="11" t="s">
        <v>6</v>
      </c>
      <c r="E1532" s="183" t="s">
        <v>5448</v>
      </c>
      <c r="F1532" s="924" t="s">
        <v>970</v>
      </c>
      <c r="G1532" s="195" t="s">
        <v>6058</v>
      </c>
      <c r="H1532" s="195" t="s">
        <v>2681</v>
      </c>
      <c r="I1532" s="183" t="s">
        <v>1022</v>
      </c>
      <c r="J1532" s="195" t="s">
        <v>6059</v>
      </c>
      <c r="K1532" s="195" t="s">
        <v>1</v>
      </c>
      <c r="L1532" s="195"/>
      <c r="M1532" s="195">
        <v>4</v>
      </c>
      <c r="N1532" s="195">
        <v>1</v>
      </c>
      <c r="O1532" s="195">
        <v>4</v>
      </c>
      <c r="P1532" s="195">
        <v>0</v>
      </c>
      <c r="Q1532" s="195">
        <v>4</v>
      </c>
      <c r="R1532" s="1248">
        <v>1392</v>
      </c>
      <c r="S1532" s="1248">
        <v>5568</v>
      </c>
      <c r="T1532" s="195" t="s">
        <v>6037</v>
      </c>
      <c r="U1532" s="1895"/>
      <c r="V1532" s="195" t="s">
        <v>2962</v>
      </c>
      <c r="W1532" s="2067" t="s">
        <v>6060</v>
      </c>
      <c r="X1532" s="18"/>
      <c r="Y1532" s="4"/>
      <c r="Z1532" s="4"/>
    </row>
    <row r="1533" spans="1:26" ht="18" hidden="1">
      <c r="A1533" s="20">
        <v>1540</v>
      </c>
      <c r="B1533" s="1063">
        <v>41310</v>
      </c>
      <c r="C1533" s="925" t="s">
        <v>6061</v>
      </c>
      <c r="D1533" s="11" t="s">
        <v>6</v>
      </c>
      <c r="E1533" s="183" t="s">
        <v>5448</v>
      </c>
      <c r="F1533" s="924" t="s">
        <v>970</v>
      </c>
      <c r="G1533" s="195" t="s">
        <v>6062</v>
      </c>
      <c r="H1533" s="195" t="s">
        <v>1</v>
      </c>
      <c r="I1533" s="183" t="s">
        <v>1022</v>
      </c>
      <c r="J1533" s="195" t="s">
        <v>6063</v>
      </c>
      <c r="K1533" s="195" t="s">
        <v>1</v>
      </c>
      <c r="L1533" s="195"/>
      <c r="M1533" s="195">
        <v>4</v>
      </c>
      <c r="N1533" s="195">
        <v>1</v>
      </c>
      <c r="O1533" s="195">
        <v>4</v>
      </c>
      <c r="P1533" s="195">
        <v>0</v>
      </c>
      <c r="Q1533" s="195">
        <v>4</v>
      </c>
      <c r="R1533" s="1248">
        <v>969</v>
      </c>
      <c r="S1533" s="1248">
        <v>3876</v>
      </c>
      <c r="T1533" s="195" t="s">
        <v>6037</v>
      </c>
      <c r="U1533" s="1895"/>
      <c r="V1533" s="195" t="s">
        <v>2962</v>
      </c>
      <c r="W1533" s="2067" t="s">
        <v>6064</v>
      </c>
      <c r="X1533" s="18"/>
      <c r="Y1533" s="4"/>
      <c r="Z1533" s="4"/>
    </row>
    <row r="1534" spans="1:26" ht="18" hidden="1">
      <c r="A1534" s="20">
        <v>1541</v>
      </c>
      <c r="B1534" s="1063">
        <v>41311</v>
      </c>
      <c r="C1534" s="925" t="s">
        <v>6065</v>
      </c>
      <c r="D1534" s="11" t="s">
        <v>6</v>
      </c>
      <c r="E1534" s="183" t="s">
        <v>5448</v>
      </c>
      <c r="F1534" s="924" t="s">
        <v>970</v>
      </c>
      <c r="G1534" s="195" t="s">
        <v>6066</v>
      </c>
      <c r="H1534" s="195" t="s">
        <v>6067</v>
      </c>
      <c r="I1534" s="183" t="s">
        <v>1022</v>
      </c>
      <c r="J1534" s="195" t="s">
        <v>6068</v>
      </c>
      <c r="K1534" s="195" t="s">
        <v>1</v>
      </c>
      <c r="L1534" s="195"/>
      <c r="M1534" s="195">
        <v>2</v>
      </c>
      <c r="N1534" s="195">
        <v>1</v>
      </c>
      <c r="O1534" s="195">
        <v>2</v>
      </c>
      <c r="P1534" s="195">
        <v>0</v>
      </c>
      <c r="Q1534" s="195">
        <v>2</v>
      </c>
      <c r="R1534" s="1248">
        <v>1180</v>
      </c>
      <c r="S1534" s="1248">
        <v>2360</v>
      </c>
      <c r="T1534" s="195" t="s">
        <v>6037</v>
      </c>
      <c r="U1534" s="1895"/>
      <c r="V1534" s="195" t="s">
        <v>2962</v>
      </c>
      <c r="W1534" s="2067" t="s">
        <v>6069</v>
      </c>
      <c r="X1534" s="26"/>
      <c r="Y1534" s="71"/>
      <c r="Z1534" s="71"/>
    </row>
    <row r="1535" spans="1:26" ht="18" hidden="1">
      <c r="A1535" s="20">
        <v>1542</v>
      </c>
      <c r="B1535" s="1063">
        <v>41312</v>
      </c>
      <c r="C1535" s="925" t="s">
        <v>6070</v>
      </c>
      <c r="D1535" s="11" t="s">
        <v>6</v>
      </c>
      <c r="E1535" s="183" t="s">
        <v>5448</v>
      </c>
      <c r="F1535" s="924" t="s">
        <v>970</v>
      </c>
      <c r="G1535" s="195" t="s">
        <v>6071</v>
      </c>
      <c r="H1535" s="195" t="s">
        <v>6067</v>
      </c>
      <c r="I1535" s="183" t="s">
        <v>1022</v>
      </c>
      <c r="J1535" s="195" t="s">
        <v>6072</v>
      </c>
      <c r="K1535" s="195" t="s">
        <v>6071</v>
      </c>
      <c r="L1535" s="195"/>
      <c r="M1535" s="195">
        <v>1</v>
      </c>
      <c r="N1535" s="195">
        <v>1</v>
      </c>
      <c r="O1535" s="195">
        <v>1</v>
      </c>
      <c r="P1535" s="195">
        <v>0</v>
      </c>
      <c r="Q1535" s="195">
        <v>1</v>
      </c>
      <c r="R1535" s="1248">
        <v>790</v>
      </c>
      <c r="S1535" s="1248">
        <v>790</v>
      </c>
      <c r="T1535" s="195" t="s">
        <v>6037</v>
      </c>
      <c r="U1535" s="1895"/>
      <c r="V1535" s="195" t="s">
        <v>2962</v>
      </c>
      <c r="W1535" s="2067" t="s">
        <v>6073</v>
      </c>
      <c r="X1535" s="26"/>
      <c r="Y1535" s="71"/>
      <c r="Z1535" s="71"/>
    </row>
    <row r="1536" spans="1:26" ht="18" hidden="1">
      <c r="A1536" s="20">
        <v>1543</v>
      </c>
      <c r="B1536" s="1063">
        <v>41313</v>
      </c>
      <c r="C1536" s="925" t="s">
        <v>6074</v>
      </c>
      <c r="D1536" s="11" t="s">
        <v>6</v>
      </c>
      <c r="E1536" s="183" t="s">
        <v>5448</v>
      </c>
      <c r="F1536" s="924" t="s">
        <v>970</v>
      </c>
      <c r="G1536" s="195" t="s">
        <v>6075</v>
      </c>
      <c r="H1536" s="195" t="s">
        <v>6076</v>
      </c>
      <c r="I1536" s="183" t="s">
        <v>1022</v>
      </c>
      <c r="J1536" s="195" t="s">
        <v>6077</v>
      </c>
      <c r="K1536" s="195" t="s">
        <v>1</v>
      </c>
      <c r="L1536" s="195"/>
      <c r="M1536" s="195">
        <v>1</v>
      </c>
      <c r="N1536" s="195">
        <v>1</v>
      </c>
      <c r="O1536" s="195">
        <v>1</v>
      </c>
      <c r="P1536" s="195">
        <v>0</v>
      </c>
      <c r="Q1536" s="195">
        <v>1</v>
      </c>
      <c r="R1536" s="1248">
        <v>1198</v>
      </c>
      <c r="S1536" s="1248">
        <v>1198</v>
      </c>
      <c r="T1536" s="195" t="s">
        <v>6037</v>
      </c>
      <c r="U1536" s="1895"/>
      <c r="V1536" s="195" t="s">
        <v>2962</v>
      </c>
      <c r="W1536" s="2067" t="s">
        <v>6078</v>
      </c>
      <c r="X1536" s="18"/>
      <c r="Y1536" s="4"/>
      <c r="Z1536" s="4"/>
    </row>
    <row r="1537" spans="1:26" ht="18" hidden="1">
      <c r="A1537" s="20">
        <v>1544</v>
      </c>
      <c r="B1537" s="1063">
        <v>41314</v>
      </c>
      <c r="C1537" s="925" t="s">
        <v>6079</v>
      </c>
      <c r="D1537" s="11" t="s">
        <v>6</v>
      </c>
      <c r="E1537" s="183" t="s">
        <v>5448</v>
      </c>
      <c r="F1537" s="924" t="s">
        <v>970</v>
      </c>
      <c r="G1537" s="195" t="s">
        <v>6080</v>
      </c>
      <c r="H1537" s="195" t="s">
        <v>2681</v>
      </c>
      <c r="I1537" s="183" t="s">
        <v>1022</v>
      </c>
      <c r="J1537" s="195" t="s">
        <v>6081</v>
      </c>
      <c r="K1537" s="195" t="s">
        <v>1</v>
      </c>
      <c r="L1537" s="195" t="s">
        <v>6082</v>
      </c>
      <c r="M1537" s="195">
        <v>1</v>
      </c>
      <c r="N1537" s="195">
        <v>1</v>
      </c>
      <c r="O1537" s="195">
        <v>1</v>
      </c>
      <c r="P1537" s="195">
        <v>0</v>
      </c>
      <c r="Q1537" s="195">
        <v>1</v>
      </c>
      <c r="R1537" s="1248">
        <v>809</v>
      </c>
      <c r="S1537" s="1248">
        <v>809</v>
      </c>
      <c r="T1537" s="195" t="s">
        <v>6037</v>
      </c>
      <c r="U1537" s="1895"/>
      <c r="V1537" s="195" t="s">
        <v>2962</v>
      </c>
      <c r="W1537" s="2067" t="s">
        <v>6083</v>
      </c>
      <c r="X1537" s="18"/>
      <c r="Y1537" s="4"/>
      <c r="Z1537" s="4"/>
    </row>
    <row r="1538" spans="1:26" ht="18" hidden="1">
      <c r="A1538" s="20">
        <v>1545</v>
      </c>
      <c r="B1538" s="1063">
        <v>41315</v>
      </c>
      <c r="C1538" s="925" t="s">
        <v>6084</v>
      </c>
      <c r="D1538" s="11" t="s">
        <v>6</v>
      </c>
      <c r="E1538" s="183" t="s">
        <v>5448</v>
      </c>
      <c r="F1538" s="924" t="s">
        <v>970</v>
      </c>
      <c r="G1538" s="195" t="s">
        <v>6085</v>
      </c>
      <c r="H1538" s="195" t="s">
        <v>2681</v>
      </c>
      <c r="I1538" s="183" t="s">
        <v>1022</v>
      </c>
      <c r="J1538" s="195" t="s">
        <v>6086</v>
      </c>
      <c r="K1538" s="195" t="s">
        <v>1</v>
      </c>
      <c r="L1538" s="195" t="s">
        <v>6082</v>
      </c>
      <c r="M1538" s="195">
        <v>2</v>
      </c>
      <c r="N1538" s="195">
        <v>1</v>
      </c>
      <c r="O1538" s="195">
        <v>2</v>
      </c>
      <c r="P1538" s="195">
        <v>0</v>
      </c>
      <c r="Q1538" s="195">
        <v>2</v>
      </c>
      <c r="R1538" s="1248">
        <v>602</v>
      </c>
      <c r="S1538" s="1248">
        <v>1204</v>
      </c>
      <c r="T1538" s="195" t="s">
        <v>6037</v>
      </c>
      <c r="U1538" s="1895"/>
      <c r="V1538" s="195" t="s">
        <v>2962</v>
      </c>
      <c r="W1538" s="2067" t="s">
        <v>6087</v>
      </c>
      <c r="X1538" s="18"/>
      <c r="Y1538" s="4"/>
      <c r="Z1538" s="4"/>
    </row>
    <row r="1539" spans="1:26" ht="14.1" hidden="1">
      <c r="A1539" s="20">
        <v>1546</v>
      </c>
      <c r="B1539" s="1063">
        <v>41316</v>
      </c>
      <c r="C1539" s="929" t="s">
        <v>6088</v>
      </c>
      <c r="D1539" s="11" t="s">
        <v>6</v>
      </c>
      <c r="E1539" s="646" t="s">
        <v>5448</v>
      </c>
      <c r="F1539" s="1043" t="s">
        <v>970</v>
      </c>
      <c r="G1539" s="197" t="s">
        <v>6089</v>
      </c>
      <c r="H1539" s="198" t="s">
        <v>6090</v>
      </c>
      <c r="I1539" s="199" t="s">
        <v>117</v>
      </c>
      <c r="J1539" s="197"/>
      <c r="K1539" s="197" t="s">
        <v>1</v>
      </c>
      <c r="L1539" s="197"/>
      <c r="M1539" s="197">
        <v>1</v>
      </c>
      <c r="N1539" s="197">
        <v>1</v>
      </c>
      <c r="O1539" s="197">
        <v>1</v>
      </c>
      <c r="P1539" s="197">
        <v>0</v>
      </c>
      <c r="Q1539" s="197">
        <v>1</v>
      </c>
      <c r="R1539" s="1249">
        <v>2100</v>
      </c>
      <c r="S1539" s="1249">
        <v>2100</v>
      </c>
      <c r="T1539" s="197" t="s">
        <v>6037</v>
      </c>
      <c r="U1539" s="1896"/>
      <c r="V1539" s="197" t="s">
        <v>2962</v>
      </c>
      <c r="W1539" s="2047"/>
      <c r="X1539" s="56"/>
      <c r="Y1539" s="57"/>
      <c r="Z1539" s="57"/>
    </row>
    <row r="1540" spans="1:26" ht="24.95" hidden="1">
      <c r="A1540" s="200">
        <v>1547</v>
      </c>
      <c r="B1540" s="1063">
        <v>41317</v>
      </c>
      <c r="C1540" s="139" t="s">
        <v>6091</v>
      </c>
      <c r="D1540" s="11"/>
      <c r="E1540" s="139"/>
      <c r="F1540" s="139" t="s">
        <v>1989</v>
      </c>
      <c r="G1540" s="139" t="s">
        <v>6092</v>
      </c>
      <c r="H1540" s="139" t="s">
        <v>1715</v>
      </c>
      <c r="I1540" s="139" t="s">
        <v>281</v>
      </c>
      <c r="J1540" s="201" t="s">
        <v>6093</v>
      </c>
      <c r="K1540" s="139" t="s">
        <v>6094</v>
      </c>
      <c r="L1540" s="139"/>
      <c r="M1540" s="139">
        <v>1</v>
      </c>
      <c r="N1540" s="139">
        <v>1</v>
      </c>
      <c r="O1540" s="139">
        <v>1</v>
      </c>
      <c r="P1540" s="139">
        <v>0</v>
      </c>
      <c r="Q1540" s="139">
        <v>0</v>
      </c>
      <c r="R1540" s="1234">
        <v>8138</v>
      </c>
      <c r="S1540" s="1234">
        <v>8138</v>
      </c>
      <c r="T1540" s="139" t="s">
        <v>311</v>
      </c>
      <c r="U1540" s="1879"/>
      <c r="V1540" s="139" t="s">
        <v>931</v>
      </c>
      <c r="W1540" s="2033" t="s">
        <v>6095</v>
      </c>
      <c r="X1540" s="56"/>
      <c r="Y1540" s="57"/>
      <c r="Z1540" s="57"/>
    </row>
    <row r="1541" spans="1:26" ht="24.95" hidden="1">
      <c r="A1541" s="20">
        <v>1548</v>
      </c>
      <c r="B1541" s="1063">
        <v>41318</v>
      </c>
      <c r="C1541" s="26" t="s">
        <v>6096</v>
      </c>
      <c r="D1541" s="11"/>
      <c r="E1541" s="183" t="s">
        <v>5448</v>
      </c>
      <c r="F1541" s="26" t="s">
        <v>6097</v>
      </c>
      <c r="G1541" s="26" t="s">
        <v>6098</v>
      </c>
      <c r="H1541" s="26" t="s">
        <v>6099</v>
      </c>
      <c r="I1541" s="26" t="s">
        <v>6100</v>
      </c>
      <c r="J1541" s="26" t="s">
        <v>6101</v>
      </c>
      <c r="K1541" s="26" t="s">
        <v>6101</v>
      </c>
      <c r="L1541" s="26"/>
      <c r="M1541" s="26">
        <v>3</v>
      </c>
      <c r="N1541" s="26">
        <v>1</v>
      </c>
      <c r="O1541" s="26">
        <v>3</v>
      </c>
      <c r="P1541" s="26">
        <v>0</v>
      </c>
      <c r="Q1541" s="26">
        <v>0</v>
      </c>
      <c r="R1541" s="1209">
        <v>44500</v>
      </c>
      <c r="S1541" s="1209">
        <f>R1541*O1541</f>
        <v>133500</v>
      </c>
      <c r="T1541" s="26" t="s">
        <v>5448</v>
      </c>
      <c r="U1541" s="1871" t="s">
        <v>138</v>
      </c>
      <c r="V1541" s="26" t="s">
        <v>150</v>
      </c>
      <c r="W1541" s="2015"/>
      <c r="X1541" s="26"/>
      <c r="Y1541" s="71"/>
      <c r="Z1541" s="71"/>
    </row>
    <row r="1542" spans="1:26" ht="37.5" hidden="1">
      <c r="A1542" s="20">
        <v>1549</v>
      </c>
      <c r="B1542" s="1063">
        <v>41319</v>
      </c>
      <c r="C1542" s="26" t="s">
        <v>6102</v>
      </c>
      <c r="D1542" s="11"/>
      <c r="E1542" s="183" t="s">
        <v>5448</v>
      </c>
      <c r="F1542" s="26" t="s">
        <v>6097</v>
      </c>
      <c r="G1542" s="26" t="s">
        <v>6103</v>
      </c>
      <c r="H1542" s="26" t="s">
        <v>6104</v>
      </c>
      <c r="I1542" s="26" t="s">
        <v>1022</v>
      </c>
      <c r="J1542" s="26"/>
      <c r="K1542" s="26" t="s">
        <v>6105</v>
      </c>
      <c r="L1542" s="26"/>
      <c r="M1542" s="26">
        <v>1</v>
      </c>
      <c r="N1542" s="26">
        <v>1</v>
      </c>
      <c r="O1542" s="26">
        <v>1</v>
      </c>
      <c r="P1542" s="26">
        <v>0</v>
      </c>
      <c r="Q1542" s="26">
        <v>0</v>
      </c>
      <c r="R1542" s="1209">
        <v>2033</v>
      </c>
      <c r="S1542" s="1209">
        <v>2033</v>
      </c>
      <c r="T1542" s="26" t="s">
        <v>5448</v>
      </c>
      <c r="U1542" s="1871" t="s">
        <v>6106</v>
      </c>
      <c r="V1542" s="26" t="s">
        <v>150</v>
      </c>
      <c r="W1542" s="2065" t="s">
        <v>6107</v>
      </c>
      <c r="X1542" s="26"/>
      <c r="Y1542" s="71"/>
      <c r="Z1542" s="71"/>
    </row>
    <row r="1543" spans="1:26" ht="37.5" hidden="1">
      <c r="A1543" s="20">
        <v>1550</v>
      </c>
      <c r="B1543" s="1063">
        <v>41320</v>
      </c>
      <c r="C1543" s="26" t="s">
        <v>6108</v>
      </c>
      <c r="D1543" s="11"/>
      <c r="E1543" s="183" t="s">
        <v>5448</v>
      </c>
      <c r="F1543" s="26" t="s">
        <v>6097</v>
      </c>
      <c r="G1543" s="26"/>
      <c r="H1543" s="26" t="s">
        <v>1073</v>
      </c>
      <c r="I1543" s="26" t="s">
        <v>574</v>
      </c>
      <c r="J1543" s="26" t="s">
        <v>6109</v>
      </c>
      <c r="K1543" s="26" t="s">
        <v>6110</v>
      </c>
      <c r="L1543" s="26"/>
      <c r="M1543" s="26">
        <v>1</v>
      </c>
      <c r="N1543" s="26">
        <v>1</v>
      </c>
      <c r="O1543" s="26">
        <v>1</v>
      </c>
      <c r="P1543" s="26">
        <v>0</v>
      </c>
      <c r="Q1543" s="26">
        <v>0</v>
      </c>
      <c r="R1543" s="1209">
        <v>6625</v>
      </c>
      <c r="S1543" s="1209">
        <v>6625</v>
      </c>
      <c r="T1543" s="26" t="s">
        <v>5448</v>
      </c>
      <c r="U1543" s="1871" t="s">
        <v>6106</v>
      </c>
      <c r="V1543" s="26" t="s">
        <v>150</v>
      </c>
      <c r="W1543" s="2008" t="s">
        <v>6111</v>
      </c>
      <c r="X1543" s="18"/>
      <c r="Y1543" s="4"/>
      <c r="Z1543" s="4"/>
    </row>
    <row r="1544" spans="1:26" ht="24.95" hidden="1">
      <c r="A1544" s="20">
        <v>1551</v>
      </c>
      <c r="B1544" s="1063">
        <v>41321</v>
      </c>
      <c r="C1544" s="26" t="s">
        <v>4297</v>
      </c>
      <c r="D1544" s="11" t="s">
        <v>6</v>
      </c>
      <c r="E1544" s="183" t="s">
        <v>5448</v>
      </c>
      <c r="F1544" s="26" t="s">
        <v>6112</v>
      </c>
      <c r="G1544" s="26" t="s">
        <v>4298</v>
      </c>
      <c r="H1544" s="26" t="s">
        <v>452</v>
      </c>
      <c r="I1544" s="26" t="s">
        <v>574</v>
      </c>
      <c r="J1544" s="26" t="s">
        <v>4299</v>
      </c>
      <c r="K1544" s="26" t="s">
        <v>4300</v>
      </c>
      <c r="L1544" s="26" t="s">
        <v>4301</v>
      </c>
      <c r="M1544" s="26">
        <v>3</v>
      </c>
      <c r="N1544" s="26">
        <v>1</v>
      </c>
      <c r="O1544" s="26">
        <v>4</v>
      </c>
      <c r="P1544" s="26">
        <v>0</v>
      </c>
      <c r="Q1544" s="26">
        <v>4</v>
      </c>
      <c r="R1544" s="1209">
        <v>94</v>
      </c>
      <c r="S1544" s="1209">
        <f>4*94</f>
        <v>376</v>
      </c>
      <c r="T1544" s="26" t="s">
        <v>4220</v>
      </c>
      <c r="U1544" s="1871" t="s">
        <v>6113</v>
      </c>
      <c r="V1544" s="26" t="s">
        <v>150</v>
      </c>
      <c r="W1544" s="2065" t="s">
        <v>6114</v>
      </c>
      <c r="X1544" s="18" t="s">
        <v>6115</v>
      </c>
      <c r="Y1544" s="4"/>
      <c r="Z1544" s="4"/>
    </row>
    <row r="1545" spans="1:26" ht="14.1" hidden="1">
      <c r="A1545" s="20">
        <v>1552</v>
      </c>
      <c r="B1545" s="1063">
        <v>41322</v>
      </c>
      <c r="C1545" s="26" t="s">
        <v>1806</v>
      </c>
      <c r="D1545" s="11" t="s">
        <v>6</v>
      </c>
      <c r="E1545" s="183" t="s">
        <v>5448</v>
      </c>
      <c r="F1545" s="26" t="s">
        <v>2876</v>
      </c>
      <c r="G1545" s="22" t="s">
        <v>6116</v>
      </c>
      <c r="H1545" s="22" t="s">
        <v>305</v>
      </c>
      <c r="I1545" s="22" t="s">
        <v>39</v>
      </c>
      <c r="J1545" s="22" t="s">
        <v>306</v>
      </c>
      <c r="K1545" s="22" t="s">
        <v>307</v>
      </c>
      <c r="L1545" s="22"/>
      <c r="M1545" s="22">
        <v>9</v>
      </c>
      <c r="N1545" s="22">
        <v>10</v>
      </c>
      <c r="O1545" s="22">
        <v>15</v>
      </c>
      <c r="P1545" s="22">
        <v>0</v>
      </c>
      <c r="Q1545" s="22">
        <v>15</v>
      </c>
      <c r="R1545" s="1201">
        <v>32.299999999999997</v>
      </c>
      <c r="S1545" s="1201">
        <f>O1545*R1545</f>
        <v>484.49999999999994</v>
      </c>
      <c r="T1545" s="22" t="s">
        <v>929</v>
      </c>
      <c r="U1545" s="1854" t="s">
        <v>448</v>
      </c>
      <c r="V1545" s="22" t="s">
        <v>302</v>
      </c>
      <c r="W1545" s="2065" t="s">
        <v>5684</v>
      </c>
      <c r="X1545" s="18"/>
      <c r="Y1545" s="4"/>
      <c r="Z1545" s="4"/>
    </row>
    <row r="1546" spans="1:26" ht="15.6" hidden="1">
      <c r="A1546" s="20">
        <v>1553</v>
      </c>
      <c r="B1546" s="1063">
        <v>41323</v>
      </c>
      <c r="C1546" s="930" t="s">
        <v>6117</v>
      </c>
      <c r="D1546" s="11"/>
      <c r="E1546" s="183" t="s">
        <v>5448</v>
      </c>
      <c r="F1546" s="931" t="s">
        <v>73</v>
      </c>
      <c r="G1546" s="202" t="s">
        <v>6118</v>
      </c>
      <c r="H1546" s="202" t="s">
        <v>366</v>
      </c>
      <c r="I1546" s="202" t="s">
        <v>366</v>
      </c>
      <c r="J1546" s="202" t="s">
        <v>6119</v>
      </c>
      <c r="K1546" s="202" t="s">
        <v>6119</v>
      </c>
      <c r="L1546" s="202" t="s">
        <v>1</v>
      </c>
      <c r="M1546" s="202">
        <v>2</v>
      </c>
      <c r="N1546" s="202">
        <v>1</v>
      </c>
      <c r="O1546" s="202">
        <v>2</v>
      </c>
      <c r="P1546" s="202">
        <v>0</v>
      </c>
      <c r="Q1546" s="202">
        <v>2</v>
      </c>
      <c r="R1546" s="1250">
        <v>940</v>
      </c>
      <c r="S1546" s="1250">
        <v>1880</v>
      </c>
      <c r="T1546" s="202" t="s">
        <v>6120</v>
      </c>
      <c r="U1546" s="1897" t="s">
        <v>684</v>
      </c>
      <c r="V1546" s="202" t="s">
        <v>689</v>
      </c>
      <c r="W1546" s="2070" t="s">
        <v>6121</v>
      </c>
      <c r="X1546" s="202"/>
      <c r="Y1546" s="203"/>
      <c r="Z1546" s="203"/>
    </row>
    <row r="1547" spans="1:26" ht="15.6" hidden="1">
      <c r="A1547" s="20">
        <v>1554</v>
      </c>
      <c r="B1547" s="1063">
        <v>41324</v>
      </c>
      <c r="C1547" s="930" t="s">
        <v>6117</v>
      </c>
      <c r="D1547" s="11"/>
      <c r="E1547" s="183" t="s">
        <v>5448</v>
      </c>
      <c r="F1547" s="931" t="s">
        <v>73</v>
      </c>
      <c r="G1547" s="202" t="s">
        <v>6122</v>
      </c>
      <c r="H1547" s="202" t="s">
        <v>366</v>
      </c>
      <c r="I1547" s="202" t="s">
        <v>366</v>
      </c>
      <c r="J1547" s="202" t="s">
        <v>6123</v>
      </c>
      <c r="K1547" s="202" t="s">
        <v>6123</v>
      </c>
      <c r="L1547" s="202" t="s">
        <v>1</v>
      </c>
      <c r="M1547" s="202">
        <v>14</v>
      </c>
      <c r="N1547" s="202">
        <v>1</v>
      </c>
      <c r="O1547" s="202">
        <v>14</v>
      </c>
      <c r="P1547" s="202">
        <v>0</v>
      </c>
      <c r="Q1547" s="202">
        <v>14</v>
      </c>
      <c r="R1547" s="1250">
        <v>450</v>
      </c>
      <c r="S1547" s="1250">
        <v>6300</v>
      </c>
      <c r="T1547" s="202" t="s">
        <v>6120</v>
      </c>
      <c r="U1547" s="1897" t="s">
        <v>684</v>
      </c>
      <c r="V1547" s="202" t="s">
        <v>689</v>
      </c>
      <c r="W1547" s="2070" t="s">
        <v>6121</v>
      </c>
      <c r="X1547" s="202"/>
      <c r="Y1547" s="203"/>
      <c r="Z1547" s="203"/>
    </row>
    <row r="1548" spans="1:26" ht="15.6" hidden="1">
      <c r="A1548" s="20">
        <v>1555</v>
      </c>
      <c r="B1548" s="1063">
        <v>41325</v>
      </c>
      <c r="C1548" s="930" t="s">
        <v>6117</v>
      </c>
      <c r="D1548" s="11"/>
      <c r="E1548" s="183" t="s">
        <v>5448</v>
      </c>
      <c r="F1548" s="931" t="s">
        <v>73</v>
      </c>
      <c r="G1548" s="202" t="s">
        <v>6124</v>
      </c>
      <c r="H1548" s="202" t="s">
        <v>366</v>
      </c>
      <c r="I1548" s="202" t="s">
        <v>366</v>
      </c>
      <c r="J1548" s="202" t="s">
        <v>6125</v>
      </c>
      <c r="K1548" s="202" t="s">
        <v>6125</v>
      </c>
      <c r="L1548" s="202" t="s">
        <v>1</v>
      </c>
      <c r="M1548" s="202">
        <v>28</v>
      </c>
      <c r="N1548" s="202">
        <v>1</v>
      </c>
      <c r="O1548" s="202">
        <v>28</v>
      </c>
      <c r="P1548" s="202">
        <v>0</v>
      </c>
      <c r="Q1548" s="202">
        <v>28</v>
      </c>
      <c r="R1548" s="1250">
        <v>210</v>
      </c>
      <c r="S1548" s="1250">
        <v>5880</v>
      </c>
      <c r="T1548" s="202" t="s">
        <v>6120</v>
      </c>
      <c r="U1548" s="1897" t="s">
        <v>684</v>
      </c>
      <c r="V1548" s="202" t="s">
        <v>689</v>
      </c>
      <c r="W1548" s="2070" t="s">
        <v>6121</v>
      </c>
      <c r="X1548" s="202"/>
      <c r="Y1548" s="203"/>
      <c r="Z1548" s="203"/>
    </row>
    <row r="1549" spans="1:26" ht="15.6" hidden="1">
      <c r="A1549" s="20">
        <v>1556</v>
      </c>
      <c r="B1549" s="1063">
        <v>41326</v>
      </c>
      <c r="C1549" s="931" t="s">
        <v>6126</v>
      </c>
      <c r="D1549" s="11"/>
      <c r="E1549" s="183" t="s">
        <v>5448</v>
      </c>
      <c r="F1549" s="931" t="s">
        <v>73</v>
      </c>
      <c r="G1549" s="202" t="s">
        <v>6127</v>
      </c>
      <c r="H1549" s="202" t="s">
        <v>366</v>
      </c>
      <c r="I1549" s="202" t="s">
        <v>366</v>
      </c>
      <c r="J1549" s="202" t="s">
        <v>6128</v>
      </c>
      <c r="K1549" s="202" t="s">
        <v>6128</v>
      </c>
      <c r="L1549" s="202" t="s">
        <v>1</v>
      </c>
      <c r="M1549" s="202">
        <v>28</v>
      </c>
      <c r="N1549" s="202">
        <v>1</v>
      </c>
      <c r="O1549" s="202">
        <v>28</v>
      </c>
      <c r="P1549" s="202">
        <v>0</v>
      </c>
      <c r="Q1549" s="202">
        <v>28</v>
      </c>
      <c r="R1549" s="1250">
        <v>250</v>
      </c>
      <c r="S1549" s="1250">
        <v>7000</v>
      </c>
      <c r="T1549" s="202" t="s">
        <v>6120</v>
      </c>
      <c r="U1549" s="1897" t="s">
        <v>684</v>
      </c>
      <c r="V1549" s="202" t="s">
        <v>689</v>
      </c>
      <c r="W1549" s="2070" t="s">
        <v>6129</v>
      </c>
      <c r="X1549" s="202"/>
      <c r="Y1549" s="203"/>
      <c r="Z1549" s="203"/>
    </row>
    <row r="1550" spans="1:26" ht="15.6" hidden="1">
      <c r="A1550" s="20">
        <v>1557</v>
      </c>
      <c r="B1550" s="1063">
        <v>41327</v>
      </c>
      <c r="C1550" s="931" t="s">
        <v>6130</v>
      </c>
      <c r="D1550" s="11"/>
      <c r="E1550" s="183" t="s">
        <v>5448</v>
      </c>
      <c r="F1550" s="931" t="s">
        <v>73</v>
      </c>
      <c r="G1550" s="202" t="s">
        <v>6131</v>
      </c>
      <c r="H1550" s="202" t="s">
        <v>366</v>
      </c>
      <c r="I1550" s="202" t="s">
        <v>366</v>
      </c>
      <c r="J1550" s="202" t="s">
        <v>6132</v>
      </c>
      <c r="K1550" s="202" t="s">
        <v>6132</v>
      </c>
      <c r="L1550" s="202" t="s">
        <v>1</v>
      </c>
      <c r="M1550" s="202">
        <v>28</v>
      </c>
      <c r="N1550" s="202">
        <v>1</v>
      </c>
      <c r="O1550" s="202">
        <v>28</v>
      </c>
      <c r="P1550" s="202">
        <v>0</v>
      </c>
      <c r="Q1550" s="202">
        <v>28</v>
      </c>
      <c r="R1550" s="1250">
        <v>419</v>
      </c>
      <c r="S1550" s="1250">
        <v>11732</v>
      </c>
      <c r="T1550" s="202" t="s">
        <v>6120</v>
      </c>
      <c r="U1550" s="1897" t="s">
        <v>684</v>
      </c>
      <c r="V1550" s="202" t="s">
        <v>689</v>
      </c>
      <c r="W1550" s="2070" t="s">
        <v>6133</v>
      </c>
      <c r="X1550" s="202"/>
      <c r="Y1550" s="203"/>
      <c r="Z1550" s="203"/>
    </row>
    <row r="1551" spans="1:26" ht="15.6" hidden="1">
      <c r="A1551" s="20">
        <v>1558</v>
      </c>
      <c r="B1551" s="1063">
        <v>41328</v>
      </c>
      <c r="C1551" s="930" t="s">
        <v>6134</v>
      </c>
      <c r="D1551" s="11"/>
      <c r="E1551" s="183" t="s">
        <v>5448</v>
      </c>
      <c r="F1551" s="931" t="s">
        <v>73</v>
      </c>
      <c r="G1551" s="202" t="s">
        <v>6135</v>
      </c>
      <c r="H1551" s="202" t="s">
        <v>366</v>
      </c>
      <c r="I1551" s="202" t="s">
        <v>366</v>
      </c>
      <c r="J1551" s="202" t="s">
        <v>6136</v>
      </c>
      <c r="K1551" s="202" t="s">
        <v>6136</v>
      </c>
      <c r="L1551" s="202" t="s">
        <v>1</v>
      </c>
      <c r="M1551" s="202">
        <v>4</v>
      </c>
      <c r="N1551" s="202">
        <v>1</v>
      </c>
      <c r="O1551" s="202">
        <v>4</v>
      </c>
      <c r="P1551" s="202">
        <v>0</v>
      </c>
      <c r="Q1551" s="202">
        <v>4</v>
      </c>
      <c r="R1551" s="1250">
        <v>460</v>
      </c>
      <c r="S1551" s="1250">
        <v>1840</v>
      </c>
      <c r="T1551" s="202" t="s">
        <v>6120</v>
      </c>
      <c r="U1551" s="1897" t="s">
        <v>684</v>
      </c>
      <c r="V1551" s="202" t="s">
        <v>689</v>
      </c>
      <c r="W1551" s="2070" t="s">
        <v>6137</v>
      </c>
      <c r="X1551" s="202"/>
      <c r="Y1551" s="203"/>
      <c r="Z1551" s="203"/>
    </row>
    <row r="1552" spans="1:26" ht="15.6" hidden="1">
      <c r="A1552" s="20">
        <v>1559</v>
      </c>
      <c r="B1552" s="1063">
        <v>41329</v>
      </c>
      <c r="C1552" s="930" t="s">
        <v>6134</v>
      </c>
      <c r="D1552" s="11"/>
      <c r="E1552" s="183" t="s">
        <v>5448</v>
      </c>
      <c r="F1552" s="931" t="s">
        <v>73</v>
      </c>
      <c r="G1552" s="202" t="s">
        <v>6138</v>
      </c>
      <c r="H1552" s="202" t="s">
        <v>366</v>
      </c>
      <c r="I1552" s="202" t="s">
        <v>366</v>
      </c>
      <c r="J1552" s="202" t="s">
        <v>6139</v>
      </c>
      <c r="K1552" s="202" t="s">
        <v>6139</v>
      </c>
      <c r="L1552" s="202" t="s">
        <v>1</v>
      </c>
      <c r="M1552" s="202">
        <v>6</v>
      </c>
      <c r="N1552" s="202">
        <v>1</v>
      </c>
      <c r="O1552" s="202">
        <v>6</v>
      </c>
      <c r="P1552" s="202">
        <v>0</v>
      </c>
      <c r="Q1552" s="202">
        <v>6</v>
      </c>
      <c r="R1552" s="1250">
        <v>410</v>
      </c>
      <c r="S1552" s="1250">
        <v>2460</v>
      </c>
      <c r="T1552" s="202" t="s">
        <v>6120</v>
      </c>
      <c r="U1552" s="1897" t="s">
        <v>684</v>
      </c>
      <c r="V1552" s="202" t="s">
        <v>689</v>
      </c>
      <c r="W1552" s="2070" t="s">
        <v>6137</v>
      </c>
      <c r="X1552" s="202"/>
      <c r="Y1552" s="203"/>
      <c r="Z1552" s="203"/>
    </row>
    <row r="1553" spans="1:26" ht="15.6" hidden="1">
      <c r="A1553" s="20">
        <v>1560</v>
      </c>
      <c r="B1553" s="1063">
        <v>41330</v>
      </c>
      <c r="C1553" s="930" t="s">
        <v>6134</v>
      </c>
      <c r="D1553" s="11"/>
      <c r="E1553" s="183" t="s">
        <v>5448</v>
      </c>
      <c r="F1553" s="931" t="s">
        <v>73</v>
      </c>
      <c r="G1553" s="202" t="s">
        <v>6140</v>
      </c>
      <c r="H1553" s="202" t="s">
        <v>366</v>
      </c>
      <c r="I1553" s="202" t="s">
        <v>366</v>
      </c>
      <c r="J1553" s="202" t="s">
        <v>6141</v>
      </c>
      <c r="K1553" s="202" t="s">
        <v>6141</v>
      </c>
      <c r="L1553" s="202" t="s">
        <v>1</v>
      </c>
      <c r="M1553" s="202">
        <v>33</v>
      </c>
      <c r="N1553" s="202">
        <v>1</v>
      </c>
      <c r="O1553" s="202">
        <v>33</v>
      </c>
      <c r="P1553" s="202">
        <v>0</v>
      </c>
      <c r="Q1553" s="202">
        <v>33</v>
      </c>
      <c r="R1553" s="1250">
        <v>410</v>
      </c>
      <c r="S1553" s="1250">
        <v>13530</v>
      </c>
      <c r="T1553" s="202" t="s">
        <v>6120</v>
      </c>
      <c r="U1553" s="1897" t="s">
        <v>684</v>
      </c>
      <c r="V1553" s="202" t="s">
        <v>689</v>
      </c>
      <c r="W1553" s="2070" t="s">
        <v>6137</v>
      </c>
      <c r="X1553" s="202"/>
      <c r="Y1553" s="203"/>
      <c r="Z1553" s="203"/>
    </row>
    <row r="1554" spans="1:26" ht="15.6" hidden="1">
      <c r="A1554" s="20">
        <v>1561</v>
      </c>
      <c r="B1554" s="1063">
        <v>41331</v>
      </c>
      <c r="C1554" s="930" t="s">
        <v>6134</v>
      </c>
      <c r="D1554" s="11"/>
      <c r="E1554" s="183" t="s">
        <v>5448</v>
      </c>
      <c r="F1554" s="931" t="s">
        <v>73</v>
      </c>
      <c r="G1554" s="202" t="s">
        <v>6142</v>
      </c>
      <c r="H1554" s="202" t="s">
        <v>366</v>
      </c>
      <c r="I1554" s="202" t="s">
        <v>366</v>
      </c>
      <c r="J1554" s="202" t="s">
        <v>6143</v>
      </c>
      <c r="K1554" s="202" t="s">
        <v>6143</v>
      </c>
      <c r="L1554" s="202" t="s">
        <v>1</v>
      </c>
      <c r="M1554" s="202">
        <v>4</v>
      </c>
      <c r="N1554" s="202">
        <v>1</v>
      </c>
      <c r="O1554" s="202">
        <v>4</v>
      </c>
      <c r="P1554" s="202">
        <v>0</v>
      </c>
      <c r="Q1554" s="202">
        <v>4</v>
      </c>
      <c r="R1554" s="1250">
        <v>410</v>
      </c>
      <c r="S1554" s="1250">
        <v>1640</v>
      </c>
      <c r="T1554" s="202" t="s">
        <v>6120</v>
      </c>
      <c r="U1554" s="1897" t="s">
        <v>684</v>
      </c>
      <c r="V1554" s="202" t="s">
        <v>689</v>
      </c>
      <c r="W1554" s="2070" t="s">
        <v>6137</v>
      </c>
      <c r="X1554" s="202"/>
      <c r="Y1554" s="203"/>
      <c r="Z1554" s="203"/>
    </row>
    <row r="1555" spans="1:26" ht="15.6" hidden="1">
      <c r="A1555" s="20">
        <v>1562</v>
      </c>
      <c r="B1555" s="1063">
        <v>41332</v>
      </c>
      <c r="C1555" s="931" t="s">
        <v>6144</v>
      </c>
      <c r="D1555" s="11"/>
      <c r="E1555" s="183" t="s">
        <v>5448</v>
      </c>
      <c r="F1555" s="931" t="s">
        <v>73</v>
      </c>
      <c r="G1555" s="202" t="s">
        <v>6145</v>
      </c>
      <c r="H1555" s="202" t="s">
        <v>366</v>
      </c>
      <c r="I1555" s="202" t="s">
        <v>366</v>
      </c>
      <c r="J1555" s="202" t="s">
        <v>6146</v>
      </c>
      <c r="K1555" s="202" t="s">
        <v>6146</v>
      </c>
      <c r="L1555" s="202" t="s">
        <v>1</v>
      </c>
      <c r="M1555" s="202">
        <v>24</v>
      </c>
      <c r="N1555" s="202">
        <v>1</v>
      </c>
      <c r="O1555" s="202">
        <v>24</v>
      </c>
      <c r="P1555" s="202">
        <v>0</v>
      </c>
      <c r="Q1555" s="202">
        <v>24</v>
      </c>
      <c r="R1555" s="1250">
        <v>160</v>
      </c>
      <c r="S1555" s="1250">
        <v>3840</v>
      </c>
      <c r="T1555" s="202" t="s">
        <v>6120</v>
      </c>
      <c r="U1555" s="1897" t="s">
        <v>684</v>
      </c>
      <c r="V1555" s="202" t="s">
        <v>689</v>
      </c>
      <c r="W1555" s="2070" t="s">
        <v>6147</v>
      </c>
      <c r="X1555" s="202"/>
      <c r="Y1555" s="203"/>
      <c r="Z1555" s="203"/>
    </row>
    <row r="1556" spans="1:26" ht="15.6" hidden="1">
      <c r="A1556" s="20">
        <v>1563</v>
      </c>
      <c r="B1556" s="1063">
        <v>41333</v>
      </c>
      <c r="C1556" s="931" t="s">
        <v>6126</v>
      </c>
      <c r="D1556" s="11"/>
      <c r="E1556" s="183" t="s">
        <v>5448</v>
      </c>
      <c r="F1556" s="931" t="s">
        <v>73</v>
      </c>
      <c r="G1556" s="202" t="s">
        <v>6127</v>
      </c>
      <c r="H1556" s="202" t="s">
        <v>366</v>
      </c>
      <c r="I1556" s="202" t="s">
        <v>366</v>
      </c>
      <c r="J1556" s="202" t="s">
        <v>6148</v>
      </c>
      <c r="K1556" s="202" t="s">
        <v>6148</v>
      </c>
      <c r="L1556" s="202" t="s">
        <v>1</v>
      </c>
      <c r="M1556" s="202">
        <v>12</v>
      </c>
      <c r="N1556" s="202">
        <v>1</v>
      </c>
      <c r="O1556" s="202">
        <v>12</v>
      </c>
      <c r="P1556" s="202">
        <v>0</v>
      </c>
      <c r="Q1556" s="202">
        <v>12</v>
      </c>
      <c r="R1556" s="1250">
        <v>227</v>
      </c>
      <c r="S1556" s="1250">
        <v>2724</v>
      </c>
      <c r="T1556" s="202" t="s">
        <v>6120</v>
      </c>
      <c r="U1556" s="1897" t="s">
        <v>684</v>
      </c>
      <c r="V1556" s="202" t="s">
        <v>689</v>
      </c>
      <c r="W1556" s="2070" t="s">
        <v>6149</v>
      </c>
      <c r="X1556" s="202"/>
      <c r="Y1556" s="203"/>
      <c r="Z1556" s="203"/>
    </row>
    <row r="1557" spans="1:26" ht="15.6" hidden="1">
      <c r="A1557" s="20">
        <v>1564</v>
      </c>
      <c r="B1557" s="1063">
        <v>41334</v>
      </c>
      <c r="C1557" s="931" t="s">
        <v>6130</v>
      </c>
      <c r="D1557" s="11"/>
      <c r="E1557" s="183" t="s">
        <v>5448</v>
      </c>
      <c r="F1557" s="931" t="s">
        <v>73</v>
      </c>
      <c r="G1557" s="202" t="s">
        <v>6131</v>
      </c>
      <c r="H1557" s="202" t="s">
        <v>366</v>
      </c>
      <c r="J1557" s="202" t="s">
        <v>6150</v>
      </c>
      <c r="K1557" s="202" t="s">
        <v>6150</v>
      </c>
      <c r="L1557" s="202" t="s">
        <v>1</v>
      </c>
      <c r="M1557" s="202">
        <v>144</v>
      </c>
      <c r="N1557" s="202">
        <v>1</v>
      </c>
      <c r="O1557" s="202">
        <v>144</v>
      </c>
      <c r="P1557" s="202">
        <v>0</v>
      </c>
      <c r="Q1557" s="202">
        <v>144</v>
      </c>
      <c r="R1557" s="1250">
        <v>409</v>
      </c>
      <c r="S1557" s="1250">
        <v>58896</v>
      </c>
      <c r="T1557" s="202" t="s">
        <v>6120</v>
      </c>
      <c r="U1557" s="1897" t="s">
        <v>684</v>
      </c>
      <c r="V1557" s="202" t="s">
        <v>689</v>
      </c>
      <c r="W1557" s="2070" t="s">
        <v>6151</v>
      </c>
      <c r="X1557" s="202"/>
      <c r="Y1557" s="203"/>
      <c r="Z1557" s="203"/>
    </row>
    <row r="1558" spans="1:26" ht="15.6" hidden="1">
      <c r="A1558" s="20">
        <v>1565</v>
      </c>
      <c r="B1558" s="1063">
        <v>41335</v>
      </c>
      <c r="C1558" s="930" t="s">
        <v>6134</v>
      </c>
      <c r="D1558" s="11"/>
      <c r="E1558" s="183" t="s">
        <v>5448</v>
      </c>
      <c r="F1558" s="931" t="s">
        <v>73</v>
      </c>
      <c r="G1558" s="202" t="s">
        <v>6152</v>
      </c>
      <c r="H1558" s="202" t="s">
        <v>366</v>
      </c>
      <c r="I1558" s="202" t="s">
        <v>366</v>
      </c>
      <c r="J1558" s="202" t="s">
        <v>6153</v>
      </c>
      <c r="K1558" s="202" t="s">
        <v>6153</v>
      </c>
      <c r="L1558" s="202" t="s">
        <v>1</v>
      </c>
      <c r="M1558" s="202">
        <v>4</v>
      </c>
      <c r="N1558" s="202">
        <v>1</v>
      </c>
      <c r="O1558" s="202">
        <v>4</v>
      </c>
      <c r="P1558" s="202">
        <v>0</v>
      </c>
      <c r="Q1558" s="202">
        <v>4</v>
      </c>
      <c r="R1558" s="1250">
        <v>410</v>
      </c>
      <c r="S1558" s="1250">
        <v>1640</v>
      </c>
      <c r="T1558" s="202" t="s">
        <v>6120</v>
      </c>
      <c r="U1558" s="1897" t="s">
        <v>684</v>
      </c>
      <c r="V1558" s="202" t="s">
        <v>689</v>
      </c>
      <c r="W1558" s="2070" t="s">
        <v>6137</v>
      </c>
      <c r="X1558" s="202"/>
      <c r="Y1558" s="203"/>
      <c r="Z1558" s="203"/>
    </row>
    <row r="1559" spans="1:26" ht="15.6" hidden="1">
      <c r="A1559" s="20">
        <v>1566</v>
      </c>
      <c r="B1559" s="1063">
        <v>41336</v>
      </c>
      <c r="C1559" s="930" t="s">
        <v>6134</v>
      </c>
      <c r="D1559" s="11"/>
      <c r="E1559" s="183" t="s">
        <v>5448</v>
      </c>
      <c r="F1559" s="931" t="s">
        <v>73</v>
      </c>
      <c r="G1559" s="202" t="s">
        <v>6154</v>
      </c>
      <c r="H1559" s="202" t="s">
        <v>366</v>
      </c>
      <c r="I1559" s="202" t="s">
        <v>366</v>
      </c>
      <c r="J1559" s="202" t="s">
        <v>6155</v>
      </c>
      <c r="K1559" s="202" t="s">
        <v>6155</v>
      </c>
      <c r="L1559" s="202" t="s">
        <v>1</v>
      </c>
      <c r="M1559" s="202">
        <v>4</v>
      </c>
      <c r="N1559" s="202">
        <v>1</v>
      </c>
      <c r="O1559" s="202">
        <v>4</v>
      </c>
      <c r="P1559" s="202">
        <v>0</v>
      </c>
      <c r="Q1559" s="202">
        <v>4</v>
      </c>
      <c r="R1559" s="1250">
        <v>410</v>
      </c>
      <c r="S1559" s="1250">
        <v>1640</v>
      </c>
      <c r="T1559" s="202" t="s">
        <v>6120</v>
      </c>
      <c r="U1559" s="1897" t="s">
        <v>684</v>
      </c>
      <c r="V1559" s="202" t="s">
        <v>689</v>
      </c>
      <c r="W1559" s="2070" t="s">
        <v>6137</v>
      </c>
      <c r="X1559" s="202"/>
      <c r="Y1559" s="203"/>
      <c r="Z1559" s="203"/>
    </row>
    <row r="1560" spans="1:26" ht="15.6" hidden="1">
      <c r="A1560" s="20">
        <v>1567</v>
      </c>
      <c r="B1560" s="1063">
        <v>41337</v>
      </c>
      <c r="C1560" s="931" t="s">
        <v>1183</v>
      </c>
      <c r="D1560" s="11"/>
      <c r="E1560" s="183" t="s">
        <v>5448</v>
      </c>
      <c r="F1560" s="931" t="s">
        <v>73</v>
      </c>
      <c r="G1560" s="202" t="s">
        <v>6156</v>
      </c>
      <c r="H1560" s="202" t="s">
        <v>366</v>
      </c>
      <c r="I1560" s="202" t="s">
        <v>366</v>
      </c>
      <c r="J1560" s="202" t="s">
        <v>6157</v>
      </c>
      <c r="K1560" s="202" t="s">
        <v>6157</v>
      </c>
      <c r="L1560" s="202" t="s">
        <v>1</v>
      </c>
      <c r="M1560" s="202">
        <v>1</v>
      </c>
      <c r="N1560" s="202">
        <v>1</v>
      </c>
      <c r="O1560" s="202">
        <v>1</v>
      </c>
      <c r="P1560" s="202">
        <v>0</v>
      </c>
      <c r="Q1560" s="202">
        <v>1</v>
      </c>
      <c r="R1560" s="1250">
        <v>3823</v>
      </c>
      <c r="S1560" s="1250">
        <v>3823</v>
      </c>
      <c r="T1560" s="202" t="s">
        <v>6120</v>
      </c>
      <c r="U1560" s="1897" t="s">
        <v>684</v>
      </c>
      <c r="V1560" s="202" t="s">
        <v>689</v>
      </c>
      <c r="W1560" s="2070" t="s">
        <v>6158</v>
      </c>
      <c r="X1560" s="202"/>
      <c r="Y1560" s="203"/>
      <c r="Z1560" s="203"/>
    </row>
    <row r="1561" spans="1:26" ht="15.6" hidden="1">
      <c r="A1561" s="20">
        <v>1568</v>
      </c>
      <c r="B1561" s="1063">
        <v>41338</v>
      </c>
      <c r="C1561" s="931" t="s">
        <v>1183</v>
      </c>
      <c r="D1561" s="11"/>
      <c r="E1561" s="183" t="s">
        <v>5448</v>
      </c>
      <c r="F1561" s="931" t="s">
        <v>73</v>
      </c>
      <c r="G1561" s="202" t="s">
        <v>6159</v>
      </c>
      <c r="H1561" s="202" t="s">
        <v>366</v>
      </c>
      <c r="I1561" s="202" t="s">
        <v>366</v>
      </c>
      <c r="J1561" s="202" t="s">
        <v>6160</v>
      </c>
      <c r="K1561" s="202" t="s">
        <v>6160</v>
      </c>
      <c r="L1561" s="202" t="s">
        <v>1</v>
      </c>
      <c r="M1561" s="202">
        <v>1</v>
      </c>
      <c r="N1561" s="202">
        <v>1</v>
      </c>
      <c r="O1561" s="202">
        <v>1</v>
      </c>
      <c r="P1561" s="202">
        <v>0</v>
      </c>
      <c r="Q1561" s="202">
        <v>1</v>
      </c>
      <c r="R1561" s="1250">
        <v>1702</v>
      </c>
      <c r="S1561" s="1250">
        <v>1702</v>
      </c>
      <c r="T1561" s="202" t="s">
        <v>6120</v>
      </c>
      <c r="U1561" s="1897" t="s">
        <v>684</v>
      </c>
      <c r="V1561" s="202" t="s">
        <v>689</v>
      </c>
      <c r="W1561" s="2070" t="s">
        <v>6161</v>
      </c>
      <c r="X1561" s="202"/>
      <c r="Y1561" s="203"/>
      <c r="Z1561" s="203"/>
    </row>
    <row r="1562" spans="1:26" ht="14.1" hidden="1">
      <c r="A1562" s="20">
        <v>1569</v>
      </c>
      <c r="B1562" s="1063">
        <v>41339</v>
      </c>
      <c r="C1562" s="26" t="s">
        <v>6162</v>
      </c>
      <c r="D1562" s="11" t="s">
        <v>6</v>
      </c>
      <c r="E1562" s="26" t="s">
        <v>6163</v>
      </c>
      <c r="F1562" s="18" t="s">
        <v>6164</v>
      </c>
      <c r="G1562" s="18" t="s">
        <v>6165</v>
      </c>
      <c r="H1562" s="18" t="s">
        <v>6166</v>
      </c>
      <c r="I1562" s="18" t="s">
        <v>1063</v>
      </c>
      <c r="J1562" s="18" t="s">
        <v>6167</v>
      </c>
      <c r="K1562" s="18" t="s">
        <v>6168</v>
      </c>
      <c r="L1562" s="18"/>
      <c r="M1562" s="18">
        <v>3</v>
      </c>
      <c r="N1562" s="18">
        <v>1</v>
      </c>
      <c r="O1562" s="18">
        <v>3</v>
      </c>
      <c r="P1562" s="18">
        <v>0</v>
      </c>
      <c r="Q1562" s="18">
        <v>3</v>
      </c>
      <c r="R1562" s="1215">
        <v>2780</v>
      </c>
      <c r="S1562" s="1215">
        <f t="shared" ref="S1562:S1563" si="82">R1562*Q1562</f>
        <v>8340</v>
      </c>
      <c r="T1562" s="18" t="s">
        <v>6169</v>
      </c>
      <c r="U1562" s="1859" t="s">
        <v>6164</v>
      </c>
      <c r="V1562" s="18" t="s">
        <v>6170</v>
      </c>
      <c r="W1562" s="2021" t="s">
        <v>6171</v>
      </c>
      <c r="X1562" s="18"/>
      <c r="Y1562" s="4"/>
      <c r="Z1562" s="4"/>
    </row>
    <row r="1563" spans="1:26" ht="26.1" hidden="1">
      <c r="A1563" s="20">
        <v>1570</v>
      </c>
      <c r="B1563" s="1063">
        <v>41340</v>
      </c>
      <c r="C1563" s="26" t="s">
        <v>6172</v>
      </c>
      <c r="D1563" s="11" t="s">
        <v>6</v>
      </c>
      <c r="E1563" s="26" t="s">
        <v>6163</v>
      </c>
      <c r="F1563" s="18" t="s">
        <v>6164</v>
      </c>
      <c r="G1563" s="18" t="s">
        <v>6173</v>
      </c>
      <c r="H1563" s="18" t="s">
        <v>6174</v>
      </c>
      <c r="I1563" s="18" t="s">
        <v>1063</v>
      </c>
      <c r="J1563" s="18" t="s">
        <v>6175</v>
      </c>
      <c r="K1563" s="18" t="s">
        <v>6176</v>
      </c>
      <c r="L1563" s="18"/>
      <c r="M1563" s="18">
        <v>3</v>
      </c>
      <c r="N1563" s="18">
        <v>1</v>
      </c>
      <c r="O1563" s="18">
        <v>5</v>
      </c>
      <c r="P1563" s="18">
        <v>0</v>
      </c>
      <c r="Q1563" s="18">
        <v>5</v>
      </c>
      <c r="R1563" s="1215">
        <v>1980</v>
      </c>
      <c r="S1563" s="1215">
        <f t="shared" si="82"/>
        <v>9900</v>
      </c>
      <c r="T1563" s="18" t="s">
        <v>6169</v>
      </c>
      <c r="U1563" s="1859" t="s">
        <v>6164</v>
      </c>
      <c r="V1563" s="18" t="s">
        <v>6170</v>
      </c>
      <c r="W1563" s="2021" t="s">
        <v>6177</v>
      </c>
      <c r="X1563" s="18"/>
      <c r="Y1563" s="4"/>
      <c r="Z1563" s="4"/>
    </row>
    <row r="1564" spans="1:26" ht="51.95" hidden="1">
      <c r="A1564" s="20">
        <v>1571</v>
      </c>
      <c r="B1564" s="1063">
        <v>41341</v>
      </c>
      <c r="C1564" s="26" t="s">
        <v>6178</v>
      </c>
      <c r="D1564" s="11" t="s">
        <v>6</v>
      </c>
      <c r="E1564" s="26" t="s">
        <v>6163</v>
      </c>
      <c r="F1564" s="18" t="s">
        <v>6164</v>
      </c>
      <c r="G1564" s="18" t="s">
        <v>6179</v>
      </c>
      <c r="H1564" s="18" t="s">
        <v>6180</v>
      </c>
      <c r="I1564" s="18" t="s">
        <v>1063</v>
      </c>
      <c r="J1564" s="18" t="s">
        <v>6181</v>
      </c>
      <c r="K1564" s="18" t="s">
        <v>6182</v>
      </c>
      <c r="L1564" s="18"/>
      <c r="M1564" s="18">
        <v>1</v>
      </c>
      <c r="N1564" s="18">
        <v>1</v>
      </c>
      <c r="O1564" s="18">
        <v>1</v>
      </c>
      <c r="P1564" s="18">
        <v>0</v>
      </c>
      <c r="Q1564" s="18">
        <v>1</v>
      </c>
      <c r="R1564" s="1215">
        <v>220</v>
      </c>
      <c r="S1564" s="1215">
        <v>220</v>
      </c>
      <c r="T1564" s="18" t="s">
        <v>6169</v>
      </c>
      <c r="U1564" s="1859" t="s">
        <v>6164</v>
      </c>
      <c r="V1564" s="18" t="s">
        <v>6170</v>
      </c>
      <c r="W1564" s="2021" t="s">
        <v>6183</v>
      </c>
      <c r="X1564" s="18"/>
      <c r="Y1564" s="4"/>
      <c r="Z1564" s="4"/>
    </row>
    <row r="1565" spans="1:26" ht="24.95" hidden="1">
      <c r="A1565" s="20">
        <v>1572</v>
      </c>
      <c r="B1565" s="1063">
        <v>41342</v>
      </c>
      <c r="C1565" s="26" t="s">
        <v>6184</v>
      </c>
      <c r="D1565" s="11" t="s">
        <v>6</v>
      </c>
      <c r="E1565" s="26" t="s">
        <v>6163</v>
      </c>
      <c r="F1565" s="18" t="s">
        <v>6164</v>
      </c>
      <c r="G1565" s="18" t="s">
        <v>6185</v>
      </c>
      <c r="H1565" s="18" t="s">
        <v>1063</v>
      </c>
      <c r="I1565" s="18" t="s">
        <v>1063</v>
      </c>
      <c r="J1565" s="18" t="s">
        <v>6186</v>
      </c>
      <c r="K1565" s="18" t="s">
        <v>5602</v>
      </c>
      <c r="L1565" s="18"/>
      <c r="M1565" s="18">
        <v>3</v>
      </c>
      <c r="N1565" s="18">
        <v>1</v>
      </c>
      <c r="O1565" s="18">
        <v>3</v>
      </c>
      <c r="P1565" s="18">
        <v>0</v>
      </c>
      <c r="Q1565" s="18">
        <v>3</v>
      </c>
      <c r="R1565" s="1215">
        <v>1080</v>
      </c>
      <c r="S1565" s="1215">
        <f>R1565*Q1565</f>
        <v>3240</v>
      </c>
      <c r="T1565" s="18" t="s">
        <v>6169</v>
      </c>
      <c r="U1565" s="1859" t="s">
        <v>6164</v>
      </c>
      <c r="V1565" s="18" t="s">
        <v>6170</v>
      </c>
      <c r="W1565" s="2021" t="s">
        <v>5605</v>
      </c>
      <c r="X1565" s="26"/>
      <c r="Y1565" s="71"/>
      <c r="Z1565" s="71"/>
    </row>
    <row r="1566" spans="1:26" ht="26.1" hidden="1">
      <c r="A1566" s="20">
        <v>1573</v>
      </c>
      <c r="B1566" s="1063">
        <v>41343</v>
      </c>
      <c r="C1566" s="26" t="s">
        <v>6187</v>
      </c>
      <c r="D1566" s="11" t="s">
        <v>6</v>
      </c>
      <c r="E1566" s="26" t="s">
        <v>6163</v>
      </c>
      <c r="F1566" s="18" t="s">
        <v>6164</v>
      </c>
      <c r="G1566" s="18" t="s">
        <v>6188</v>
      </c>
      <c r="H1566" s="18" t="s">
        <v>6174</v>
      </c>
      <c r="I1566" s="18" t="s">
        <v>1063</v>
      </c>
      <c r="J1566" s="18" t="s">
        <v>6189</v>
      </c>
      <c r="K1566" s="18" t="s">
        <v>6190</v>
      </c>
      <c r="L1566" s="18"/>
      <c r="M1566" s="18">
        <v>1</v>
      </c>
      <c r="N1566" s="18">
        <v>1</v>
      </c>
      <c r="O1566" s="18">
        <v>1</v>
      </c>
      <c r="P1566" s="18">
        <v>0</v>
      </c>
      <c r="Q1566" s="18">
        <v>1</v>
      </c>
      <c r="R1566" s="1215">
        <v>2470</v>
      </c>
      <c r="S1566" s="1215">
        <v>2470</v>
      </c>
      <c r="T1566" s="18" t="s">
        <v>6169</v>
      </c>
      <c r="U1566" s="1859" t="s">
        <v>6164</v>
      </c>
      <c r="V1566" s="18" t="s">
        <v>6170</v>
      </c>
      <c r="W1566" s="2021" t="s">
        <v>6191</v>
      </c>
      <c r="X1566" s="26"/>
      <c r="Y1566" s="71"/>
      <c r="Z1566" s="71"/>
    </row>
    <row r="1567" spans="1:26" ht="26.1" hidden="1">
      <c r="A1567" s="20">
        <v>1574</v>
      </c>
      <c r="B1567" s="1063">
        <v>41344</v>
      </c>
      <c r="C1567" s="26" t="s">
        <v>6192</v>
      </c>
      <c r="D1567" s="11" t="s">
        <v>6</v>
      </c>
      <c r="E1567" s="26" t="s">
        <v>6163</v>
      </c>
      <c r="F1567" s="18" t="s">
        <v>6164</v>
      </c>
      <c r="G1567" s="18" t="s">
        <v>6193</v>
      </c>
      <c r="H1567" s="18" t="s">
        <v>6194</v>
      </c>
      <c r="I1567" s="18" t="s">
        <v>1063</v>
      </c>
      <c r="J1567" s="18" t="s">
        <v>6195</v>
      </c>
      <c r="K1567" s="18" t="s">
        <v>6196</v>
      </c>
      <c r="L1567" s="18"/>
      <c r="M1567" s="18">
        <v>3</v>
      </c>
      <c r="N1567" s="18">
        <v>1</v>
      </c>
      <c r="O1567" s="18">
        <v>3</v>
      </c>
      <c r="P1567" s="18">
        <v>0</v>
      </c>
      <c r="Q1567" s="18">
        <v>3</v>
      </c>
      <c r="R1567" s="1215">
        <v>110</v>
      </c>
      <c r="S1567" s="1215">
        <v>330</v>
      </c>
      <c r="T1567" s="18" t="s">
        <v>6169</v>
      </c>
      <c r="U1567" s="1859" t="s">
        <v>6164</v>
      </c>
      <c r="V1567" s="18" t="s">
        <v>6170</v>
      </c>
      <c r="W1567" s="2021" t="s">
        <v>6197</v>
      </c>
      <c r="X1567" s="18"/>
      <c r="Y1567" s="4"/>
      <c r="Z1567" s="4"/>
    </row>
    <row r="1568" spans="1:26" ht="39" hidden="1">
      <c r="A1568" s="20">
        <v>1575</v>
      </c>
      <c r="B1568" s="1063">
        <v>41345</v>
      </c>
      <c r="C1568" s="26" t="s">
        <v>6198</v>
      </c>
      <c r="D1568" s="11" t="s">
        <v>6</v>
      </c>
      <c r="E1568" s="26" t="s">
        <v>6163</v>
      </c>
      <c r="F1568" s="18" t="s">
        <v>6164</v>
      </c>
      <c r="G1568" s="18" t="s">
        <v>6199</v>
      </c>
      <c r="H1568" s="18" t="s">
        <v>6200</v>
      </c>
      <c r="I1568" s="18" t="s">
        <v>1063</v>
      </c>
      <c r="J1568" s="18" t="s">
        <v>6201</v>
      </c>
      <c r="K1568" s="18" t="s">
        <v>6202</v>
      </c>
      <c r="L1568" s="18"/>
      <c r="M1568" s="18">
        <v>3</v>
      </c>
      <c r="N1568" s="18">
        <v>1</v>
      </c>
      <c r="O1568" s="18">
        <v>3</v>
      </c>
      <c r="P1568" s="18">
        <v>0</v>
      </c>
      <c r="Q1568" s="18">
        <v>3</v>
      </c>
      <c r="R1568" s="1215">
        <v>110</v>
      </c>
      <c r="S1568" s="1215">
        <v>330</v>
      </c>
      <c r="T1568" s="18" t="s">
        <v>6169</v>
      </c>
      <c r="U1568" s="1859" t="s">
        <v>6164</v>
      </c>
      <c r="V1568" s="18" t="s">
        <v>6170</v>
      </c>
      <c r="W1568" s="2021" t="s">
        <v>6203</v>
      </c>
      <c r="X1568" s="18"/>
      <c r="Y1568" s="4"/>
      <c r="Z1568" s="4"/>
    </row>
    <row r="1569" spans="1:26" ht="24.95" hidden="1">
      <c r="A1569" s="20">
        <v>1576</v>
      </c>
      <c r="B1569" s="1063">
        <v>41346</v>
      </c>
      <c r="C1569" s="26" t="s">
        <v>6096</v>
      </c>
      <c r="D1569" s="11"/>
      <c r="E1569" s="204" t="s">
        <v>5448</v>
      </c>
      <c r="F1569" s="26" t="s">
        <v>6097</v>
      </c>
      <c r="G1569" s="26" t="s">
        <v>6098</v>
      </c>
      <c r="H1569" s="26" t="s">
        <v>6099</v>
      </c>
      <c r="I1569" s="26" t="s">
        <v>6100</v>
      </c>
      <c r="J1569" s="26" t="s">
        <v>6101</v>
      </c>
      <c r="K1569" s="26" t="s">
        <v>6101</v>
      </c>
      <c r="L1569" s="26"/>
      <c r="M1569" s="26">
        <v>2</v>
      </c>
      <c r="N1569" s="26">
        <v>1</v>
      </c>
      <c r="O1569" s="26">
        <v>2</v>
      </c>
      <c r="P1569" s="26">
        <v>0</v>
      </c>
      <c r="Q1569" s="26">
        <v>0</v>
      </c>
      <c r="R1569" s="1209">
        <v>44500</v>
      </c>
      <c r="S1569" s="1209">
        <f>R1569*2</f>
        <v>89000</v>
      </c>
      <c r="T1569" s="26" t="s">
        <v>5448</v>
      </c>
      <c r="U1569" s="1871" t="s">
        <v>138</v>
      </c>
      <c r="V1569" s="26" t="s">
        <v>150</v>
      </c>
      <c r="W1569" s="2015"/>
      <c r="X1569" s="26"/>
      <c r="Y1569" s="71"/>
      <c r="Z1569" s="71"/>
    </row>
    <row r="1570" spans="1:26" ht="24.95" hidden="1">
      <c r="A1570" s="20">
        <v>1577</v>
      </c>
      <c r="B1570" s="1063">
        <v>41347</v>
      </c>
      <c r="C1570" s="191" t="s">
        <v>6204</v>
      </c>
      <c r="D1570" s="11"/>
      <c r="E1570" s="26" t="s">
        <v>6163</v>
      </c>
      <c r="F1570" s="26" t="s">
        <v>6205</v>
      </c>
      <c r="G1570" s="26" t="s">
        <v>6206</v>
      </c>
      <c r="H1570" s="26" t="s">
        <v>6166</v>
      </c>
      <c r="I1570" s="26" t="s">
        <v>1063</v>
      </c>
      <c r="J1570" s="26" t="s">
        <v>6167</v>
      </c>
      <c r="K1570" s="26" t="s">
        <v>6168</v>
      </c>
      <c r="L1570" s="26"/>
      <c r="M1570" s="26">
        <v>2</v>
      </c>
      <c r="N1570" s="26">
        <v>1</v>
      </c>
      <c r="O1570" s="26">
        <v>2</v>
      </c>
      <c r="P1570" s="26">
        <v>3</v>
      </c>
      <c r="Q1570" s="26">
        <v>5</v>
      </c>
      <c r="R1570" s="1209">
        <v>2780</v>
      </c>
      <c r="S1570" s="1209">
        <v>5560</v>
      </c>
      <c r="T1570" s="26" t="s">
        <v>6207</v>
      </c>
      <c r="U1570" s="1898" t="s">
        <v>6205</v>
      </c>
      <c r="V1570" s="26" t="s">
        <v>6170</v>
      </c>
      <c r="W1570" s="2008" t="s">
        <v>6171</v>
      </c>
      <c r="X1570" s="18"/>
      <c r="Y1570" s="4"/>
      <c r="Z1570" s="4"/>
    </row>
    <row r="1571" spans="1:26" ht="37.5" hidden="1">
      <c r="A1571" s="20">
        <v>1578</v>
      </c>
      <c r="B1571" s="1063">
        <v>41348</v>
      </c>
      <c r="C1571" s="26" t="s">
        <v>6208</v>
      </c>
      <c r="D1571" s="11"/>
      <c r="E1571" s="26" t="s">
        <v>6163</v>
      </c>
      <c r="F1571" s="26" t="s">
        <v>6205</v>
      </c>
      <c r="G1571" s="26" t="s">
        <v>6209</v>
      </c>
      <c r="H1571" s="26" t="s">
        <v>713</v>
      </c>
      <c r="I1571" s="26" t="s">
        <v>1063</v>
      </c>
      <c r="J1571" s="26" t="s">
        <v>6210</v>
      </c>
      <c r="K1571" s="26" t="s">
        <v>6211</v>
      </c>
      <c r="L1571" s="26"/>
      <c r="M1571" s="26">
        <v>3</v>
      </c>
      <c r="N1571" s="26">
        <v>1</v>
      </c>
      <c r="O1571" s="26">
        <v>3</v>
      </c>
      <c r="P1571" s="26">
        <v>0</v>
      </c>
      <c r="Q1571" s="26">
        <v>3</v>
      </c>
      <c r="R1571" s="1209">
        <v>3120</v>
      </c>
      <c r="S1571" s="1209">
        <v>9360</v>
      </c>
      <c r="T1571" s="26" t="s">
        <v>6207</v>
      </c>
      <c r="U1571" s="1898" t="s">
        <v>6205</v>
      </c>
      <c r="V1571" s="26" t="s">
        <v>6170</v>
      </c>
      <c r="W1571" s="2008" t="s">
        <v>6212</v>
      </c>
      <c r="X1571" s="26"/>
      <c r="Y1571" s="71"/>
      <c r="Z1571" s="71"/>
    </row>
    <row r="1572" spans="1:26" ht="50.1" hidden="1">
      <c r="A1572" s="20">
        <v>1579</v>
      </c>
      <c r="B1572" s="1063">
        <v>41349</v>
      </c>
      <c r="C1572" s="26" t="s">
        <v>6213</v>
      </c>
      <c r="D1572" s="11"/>
      <c r="E1572" s="26" t="s">
        <v>6163</v>
      </c>
      <c r="F1572" s="26" t="s">
        <v>6205</v>
      </c>
      <c r="G1572" s="26" t="s">
        <v>6214</v>
      </c>
      <c r="H1572" s="26"/>
      <c r="I1572" s="26" t="s">
        <v>1022</v>
      </c>
      <c r="J1572" s="26"/>
      <c r="K1572" s="26"/>
      <c r="L1572" s="26"/>
      <c r="M1572" s="26">
        <v>2</v>
      </c>
      <c r="N1572" s="26">
        <v>1</v>
      </c>
      <c r="O1572" s="26">
        <v>2</v>
      </c>
      <c r="P1572" s="26">
        <v>0</v>
      </c>
      <c r="Q1572" s="26">
        <v>2</v>
      </c>
      <c r="R1572" s="1209">
        <v>3388</v>
      </c>
      <c r="S1572" s="1209">
        <v>6776</v>
      </c>
      <c r="T1572" s="26" t="s">
        <v>6207</v>
      </c>
      <c r="U1572" s="1898" t="s">
        <v>6205</v>
      </c>
      <c r="V1572" s="26" t="s">
        <v>6170</v>
      </c>
      <c r="W1572" s="2015" t="s">
        <v>6215</v>
      </c>
      <c r="X1572" s="26"/>
      <c r="Y1572" s="71"/>
      <c r="Z1572" s="71"/>
    </row>
    <row r="1573" spans="1:26" ht="14.1" hidden="1">
      <c r="A1573" s="20">
        <v>1580</v>
      </c>
      <c r="B1573" s="1063">
        <v>41350</v>
      </c>
      <c r="C1573" s="26" t="s">
        <v>6216</v>
      </c>
      <c r="D1573" s="11"/>
      <c r="E1573" s="26" t="s">
        <v>62</v>
      </c>
      <c r="F1573" s="26" t="s">
        <v>6217</v>
      </c>
      <c r="G1573" s="192" t="s">
        <v>6218</v>
      </c>
      <c r="H1573" s="26" t="s">
        <v>6219</v>
      </c>
      <c r="I1573" s="26" t="s">
        <v>1022</v>
      </c>
      <c r="J1573" s="26"/>
      <c r="K1573" s="26"/>
      <c r="L1573" s="26"/>
      <c r="M1573" s="26">
        <v>3</v>
      </c>
      <c r="N1573" s="26">
        <v>2</v>
      </c>
      <c r="O1573" s="26">
        <v>4</v>
      </c>
      <c r="P1573" s="26">
        <v>0</v>
      </c>
      <c r="Q1573" s="26">
        <v>4</v>
      </c>
      <c r="R1573" s="1209">
        <v>873</v>
      </c>
      <c r="S1573" s="1209">
        <f>873*2</f>
        <v>1746</v>
      </c>
      <c r="T1573" s="26" t="s">
        <v>6220</v>
      </c>
      <c r="U1573" s="1871" t="s">
        <v>6217</v>
      </c>
      <c r="V1573" s="26" t="s">
        <v>6221</v>
      </c>
      <c r="W1573" s="2008" t="s">
        <v>6222</v>
      </c>
      <c r="X1573" s="18"/>
      <c r="Y1573" s="4"/>
      <c r="Z1573" s="4"/>
    </row>
    <row r="1574" spans="1:26" ht="14.1" hidden="1">
      <c r="A1574" s="20">
        <v>1581</v>
      </c>
      <c r="B1574" s="1063">
        <v>41351</v>
      </c>
      <c r="C1574" s="26" t="s">
        <v>6223</v>
      </c>
      <c r="D1574" s="11" t="s">
        <v>6</v>
      </c>
      <c r="E1574" s="204" t="s">
        <v>5448</v>
      </c>
      <c r="F1574" s="26" t="s">
        <v>823</v>
      </c>
      <c r="G1574" s="26"/>
      <c r="H1574" s="26"/>
      <c r="I1574" s="26" t="s">
        <v>310</v>
      </c>
      <c r="J1574" s="26"/>
      <c r="K1574" s="26"/>
      <c r="L1574" s="26"/>
      <c r="M1574" s="26">
        <v>2</v>
      </c>
      <c r="N1574" s="26">
        <v>2</v>
      </c>
      <c r="O1574" s="26">
        <v>2</v>
      </c>
      <c r="P1574" s="26"/>
      <c r="Q1574" s="26">
        <v>2</v>
      </c>
      <c r="R1574" s="1209">
        <v>950</v>
      </c>
      <c r="S1574" s="1209">
        <v>1900</v>
      </c>
      <c r="T1574" s="26" t="s">
        <v>311</v>
      </c>
      <c r="U1574" s="1871"/>
      <c r="V1574" s="26" t="s">
        <v>6224</v>
      </c>
      <c r="W1574" s="2015" t="s">
        <v>310</v>
      </c>
      <c r="X1574" s="18"/>
      <c r="Y1574" s="4"/>
      <c r="Z1574" s="4"/>
    </row>
    <row r="1575" spans="1:26" ht="18" hidden="1">
      <c r="A1575" s="20">
        <v>1582</v>
      </c>
      <c r="B1575" s="1063">
        <v>41352</v>
      </c>
      <c r="C1575" s="925" t="s">
        <v>6225</v>
      </c>
      <c r="D1575" s="11" t="s">
        <v>6</v>
      </c>
      <c r="E1575" s="204" t="s">
        <v>5448</v>
      </c>
      <c r="F1575" s="924" t="s">
        <v>970</v>
      </c>
      <c r="G1575" s="195" t="s">
        <v>6226</v>
      </c>
      <c r="H1575" s="206" t="s">
        <v>6227</v>
      </c>
      <c r="I1575" s="184" t="s">
        <v>84</v>
      </c>
      <c r="J1575" s="195">
        <v>36610201</v>
      </c>
      <c r="K1575" s="195" t="s">
        <v>1</v>
      </c>
      <c r="L1575" s="195"/>
      <c r="M1575" s="195">
        <v>2</v>
      </c>
      <c r="N1575" s="195">
        <v>1</v>
      </c>
      <c r="O1575" s="195">
        <v>3</v>
      </c>
      <c r="P1575" s="195">
        <v>0</v>
      </c>
      <c r="Q1575" s="195">
        <v>3</v>
      </c>
      <c r="R1575" s="1248">
        <v>1590</v>
      </c>
      <c r="S1575" s="1248">
        <v>4770</v>
      </c>
      <c r="T1575" s="195" t="s">
        <v>6037</v>
      </c>
      <c r="U1575" s="1895"/>
      <c r="V1575" s="195" t="s">
        <v>2962</v>
      </c>
      <c r="W1575" s="2067" t="s">
        <v>6228</v>
      </c>
      <c r="X1575" s="18"/>
      <c r="Y1575" s="4"/>
      <c r="Z1575" s="4"/>
    </row>
    <row r="1576" spans="1:26" ht="18" hidden="1">
      <c r="A1576" s="20">
        <v>1583</v>
      </c>
      <c r="B1576" s="1063">
        <v>41353</v>
      </c>
      <c r="C1576" s="925" t="s">
        <v>6229</v>
      </c>
      <c r="D1576" s="11" t="s">
        <v>6</v>
      </c>
      <c r="E1576" s="204" t="s">
        <v>5448</v>
      </c>
      <c r="F1576" s="924" t="s">
        <v>970</v>
      </c>
      <c r="G1576" s="195" t="s">
        <v>6230</v>
      </c>
      <c r="H1576" s="206" t="s">
        <v>113</v>
      </c>
      <c r="I1576" s="184" t="s">
        <v>84</v>
      </c>
      <c r="J1576" s="195">
        <v>60697972</v>
      </c>
      <c r="K1576" s="195" t="s">
        <v>6231</v>
      </c>
      <c r="L1576" s="195"/>
      <c r="M1576" s="195">
        <v>1</v>
      </c>
      <c r="N1576" s="195">
        <v>1</v>
      </c>
      <c r="O1576" s="195">
        <v>1</v>
      </c>
      <c r="P1576" s="195">
        <v>0</v>
      </c>
      <c r="Q1576" s="195">
        <v>1</v>
      </c>
      <c r="R1576" s="1248">
        <v>359</v>
      </c>
      <c r="S1576" s="1248">
        <v>359</v>
      </c>
      <c r="T1576" s="195" t="s">
        <v>6037</v>
      </c>
      <c r="U1576" s="1895"/>
      <c r="V1576" s="195" t="s">
        <v>2962</v>
      </c>
      <c r="W1576" s="2067" t="s">
        <v>6232</v>
      </c>
      <c r="X1576" s="26"/>
      <c r="Y1576" s="71"/>
      <c r="Z1576" s="71"/>
    </row>
    <row r="1577" spans="1:26" ht="18" hidden="1">
      <c r="A1577" s="20">
        <v>1584</v>
      </c>
      <c r="B1577" s="1063">
        <v>41354</v>
      </c>
      <c r="C1577" s="925" t="s">
        <v>6233</v>
      </c>
      <c r="D1577" s="11" t="s">
        <v>6</v>
      </c>
      <c r="E1577" s="204" t="s">
        <v>5448</v>
      </c>
      <c r="F1577" s="924" t="s">
        <v>970</v>
      </c>
      <c r="G1577" s="195" t="s">
        <v>6234</v>
      </c>
      <c r="H1577" s="206" t="s">
        <v>6235</v>
      </c>
      <c r="I1577" s="184" t="s">
        <v>84</v>
      </c>
      <c r="J1577" s="195">
        <v>34730674</v>
      </c>
      <c r="K1577" s="195" t="s">
        <v>6236</v>
      </c>
      <c r="L1577" s="195"/>
      <c r="M1577" s="195">
        <v>1</v>
      </c>
      <c r="N1577" s="195">
        <v>1</v>
      </c>
      <c r="O1577" s="195">
        <v>2</v>
      </c>
      <c r="P1577" s="195">
        <v>0</v>
      </c>
      <c r="Q1577" s="195">
        <v>2</v>
      </c>
      <c r="R1577" s="1248">
        <v>569</v>
      </c>
      <c r="S1577" s="1248">
        <v>1138</v>
      </c>
      <c r="T1577" s="195" t="s">
        <v>6037</v>
      </c>
      <c r="U1577" s="1895"/>
      <c r="V1577" s="195" t="s">
        <v>2962</v>
      </c>
      <c r="W1577" s="2067" t="s">
        <v>6237</v>
      </c>
      <c r="X1577" s="26"/>
      <c r="Y1577" s="71"/>
      <c r="Z1577" s="71"/>
    </row>
    <row r="1578" spans="1:26" ht="18" hidden="1">
      <c r="A1578" s="20">
        <v>1585</v>
      </c>
      <c r="B1578" s="1063">
        <v>41355</v>
      </c>
      <c r="C1578" s="925" t="s">
        <v>6238</v>
      </c>
      <c r="D1578" s="11" t="s">
        <v>6</v>
      </c>
      <c r="E1578" s="204" t="s">
        <v>5448</v>
      </c>
      <c r="F1578" s="924" t="s">
        <v>970</v>
      </c>
      <c r="G1578" s="195" t="s">
        <v>6239</v>
      </c>
      <c r="H1578" s="206"/>
      <c r="I1578" s="184" t="s">
        <v>84</v>
      </c>
      <c r="J1578" s="195">
        <v>41215343</v>
      </c>
      <c r="K1578" s="195" t="s">
        <v>6240</v>
      </c>
      <c r="L1578" s="195"/>
      <c r="M1578" s="195">
        <v>1</v>
      </c>
      <c r="N1578" s="195">
        <v>1</v>
      </c>
      <c r="O1578" s="195">
        <v>2</v>
      </c>
      <c r="P1578" s="195">
        <v>0</v>
      </c>
      <c r="Q1578" s="195">
        <v>2</v>
      </c>
      <c r="R1578" s="1248">
        <v>389</v>
      </c>
      <c r="S1578" s="1248">
        <v>778</v>
      </c>
      <c r="T1578" s="195" t="s">
        <v>6037</v>
      </c>
      <c r="U1578" s="1895"/>
      <c r="V1578" s="195" t="s">
        <v>2962</v>
      </c>
      <c r="W1578" s="2067" t="s">
        <v>6241</v>
      </c>
      <c r="X1578" s="18"/>
      <c r="Y1578" s="4"/>
      <c r="Z1578" s="4"/>
    </row>
    <row r="1579" spans="1:26" ht="18" hidden="1">
      <c r="A1579" s="20">
        <v>1586</v>
      </c>
      <c r="B1579" s="1063">
        <v>41356</v>
      </c>
      <c r="C1579" s="925" t="s">
        <v>6242</v>
      </c>
      <c r="D1579" s="11" t="s">
        <v>6</v>
      </c>
      <c r="E1579" s="204" t="s">
        <v>5448</v>
      </c>
      <c r="F1579" s="924" t="s">
        <v>970</v>
      </c>
      <c r="G1579" s="206" t="s">
        <v>6243</v>
      </c>
      <c r="H1579" s="206" t="s">
        <v>6242</v>
      </c>
      <c r="I1579" s="184" t="s">
        <v>84</v>
      </c>
      <c r="J1579" s="195">
        <v>34665565</v>
      </c>
      <c r="K1579" s="195" t="s">
        <v>6244</v>
      </c>
      <c r="L1579" s="195"/>
      <c r="M1579" s="195">
        <v>2</v>
      </c>
      <c r="N1579" s="195">
        <v>1</v>
      </c>
      <c r="O1579" s="195">
        <v>2</v>
      </c>
      <c r="P1579" s="195">
        <v>0</v>
      </c>
      <c r="Q1579" s="195">
        <v>2</v>
      </c>
      <c r="R1579" s="1248">
        <v>719</v>
      </c>
      <c r="S1579" s="1248">
        <v>1438</v>
      </c>
      <c r="T1579" s="195" t="s">
        <v>6037</v>
      </c>
      <c r="U1579" s="1895"/>
      <c r="V1579" s="195" t="s">
        <v>2962</v>
      </c>
      <c r="W1579" s="2067" t="s">
        <v>6245</v>
      </c>
      <c r="X1579" s="18"/>
      <c r="Y1579" s="4"/>
      <c r="Z1579" s="4"/>
    </row>
    <row r="1580" spans="1:26" ht="18" hidden="1">
      <c r="A1580" s="20">
        <v>1587</v>
      </c>
      <c r="B1580" s="1063">
        <v>41357</v>
      </c>
      <c r="C1580" s="925" t="s">
        <v>6246</v>
      </c>
      <c r="D1580" s="11" t="s">
        <v>6</v>
      </c>
      <c r="E1580" s="204" t="s">
        <v>5448</v>
      </c>
      <c r="F1580" s="924" t="s">
        <v>970</v>
      </c>
      <c r="G1580" s="195"/>
      <c r="H1580" s="206" t="s">
        <v>5855</v>
      </c>
      <c r="I1580" s="184" t="s">
        <v>84</v>
      </c>
      <c r="J1580" s="195">
        <v>32575794</v>
      </c>
      <c r="K1580" s="195">
        <v>61040</v>
      </c>
      <c r="L1580" s="195"/>
      <c r="M1580" s="195">
        <v>1</v>
      </c>
      <c r="N1580" s="195">
        <v>1</v>
      </c>
      <c r="O1580" s="195">
        <v>1</v>
      </c>
      <c r="P1580" s="195">
        <v>0</v>
      </c>
      <c r="Q1580" s="195">
        <v>1</v>
      </c>
      <c r="R1580" s="1248">
        <v>439</v>
      </c>
      <c r="S1580" s="1248">
        <v>439</v>
      </c>
      <c r="T1580" s="195" t="s">
        <v>6037</v>
      </c>
      <c r="U1580" s="1895"/>
      <c r="V1580" s="195" t="s">
        <v>2962</v>
      </c>
      <c r="W1580" s="2067" t="s">
        <v>6247</v>
      </c>
      <c r="X1580" s="18"/>
      <c r="Y1580" s="4"/>
      <c r="Z1580" s="4"/>
    </row>
    <row r="1581" spans="1:26" ht="18" hidden="1">
      <c r="A1581" s="20">
        <v>1588</v>
      </c>
      <c r="B1581" s="1063">
        <v>41358</v>
      </c>
      <c r="C1581" s="925" t="s">
        <v>6248</v>
      </c>
      <c r="D1581" s="11" t="s">
        <v>6</v>
      </c>
      <c r="E1581" s="204" t="s">
        <v>5448</v>
      </c>
      <c r="F1581" s="924" t="s">
        <v>970</v>
      </c>
      <c r="G1581" s="195" t="s">
        <v>6249</v>
      </c>
      <c r="H1581" s="206"/>
      <c r="I1581" s="184" t="s">
        <v>1063</v>
      </c>
      <c r="J1581" s="195" t="s">
        <v>6250</v>
      </c>
      <c r="K1581" s="195" t="s">
        <v>6251</v>
      </c>
      <c r="L1581" s="195"/>
      <c r="M1581" s="195">
        <v>4</v>
      </c>
      <c r="N1581" s="195">
        <v>1</v>
      </c>
      <c r="O1581" s="195">
        <v>4</v>
      </c>
      <c r="P1581" s="195">
        <v>0</v>
      </c>
      <c r="Q1581" s="195">
        <v>4</v>
      </c>
      <c r="R1581" s="1248">
        <v>100</v>
      </c>
      <c r="S1581" s="1248">
        <v>400</v>
      </c>
      <c r="T1581" s="195" t="s">
        <v>6037</v>
      </c>
      <c r="U1581" s="1895"/>
      <c r="V1581" s="195" t="s">
        <v>2962</v>
      </c>
      <c r="W1581" s="2067" t="s">
        <v>6252</v>
      </c>
      <c r="X1581" s="18"/>
      <c r="Y1581" s="4"/>
      <c r="Z1581" s="4"/>
    </row>
    <row r="1582" spans="1:26" ht="18" hidden="1">
      <c r="A1582" s="20">
        <v>1589</v>
      </c>
      <c r="B1582" s="1063">
        <v>41359</v>
      </c>
      <c r="C1582" s="925" t="s">
        <v>6253</v>
      </c>
      <c r="D1582" s="11" t="s">
        <v>6</v>
      </c>
      <c r="E1582" s="204" t="s">
        <v>5448</v>
      </c>
      <c r="F1582" s="924" t="s">
        <v>970</v>
      </c>
      <c r="G1582" s="206" t="s">
        <v>6254</v>
      </c>
      <c r="H1582" s="206" t="s">
        <v>6255</v>
      </c>
      <c r="I1582" s="184" t="s">
        <v>1063</v>
      </c>
      <c r="J1582" s="195" t="s">
        <v>6256</v>
      </c>
      <c r="K1582" s="195" t="s">
        <v>6257</v>
      </c>
      <c r="L1582" s="195"/>
      <c r="M1582" s="195">
        <v>1</v>
      </c>
      <c r="N1582" s="195">
        <v>1</v>
      </c>
      <c r="O1582" s="195">
        <v>1</v>
      </c>
      <c r="P1582" s="195">
        <v>0</v>
      </c>
      <c r="Q1582" s="195">
        <v>1</v>
      </c>
      <c r="R1582" s="1248">
        <v>330</v>
      </c>
      <c r="S1582" s="1248">
        <v>330</v>
      </c>
      <c r="T1582" s="195" t="s">
        <v>6037</v>
      </c>
      <c r="U1582" s="1895"/>
      <c r="V1582" s="195" t="s">
        <v>2962</v>
      </c>
      <c r="W1582" s="2067" t="s">
        <v>6258</v>
      </c>
      <c r="X1582" s="26"/>
      <c r="Y1582" s="71"/>
      <c r="Z1582" s="71"/>
    </row>
    <row r="1583" spans="1:26" ht="18" hidden="1">
      <c r="A1583" s="20">
        <v>1590</v>
      </c>
      <c r="B1583" s="1063">
        <v>41360</v>
      </c>
      <c r="C1583" s="925" t="s">
        <v>6253</v>
      </c>
      <c r="D1583" s="11" t="s">
        <v>6</v>
      </c>
      <c r="E1583" s="204" t="s">
        <v>5448</v>
      </c>
      <c r="F1583" s="924" t="s">
        <v>970</v>
      </c>
      <c r="G1583" s="206" t="s">
        <v>6259</v>
      </c>
      <c r="H1583" s="206" t="s">
        <v>6255</v>
      </c>
      <c r="I1583" s="184" t="s">
        <v>1063</v>
      </c>
      <c r="J1583" s="195" t="s">
        <v>6260</v>
      </c>
      <c r="K1583" s="195" t="s">
        <v>6261</v>
      </c>
      <c r="L1583" s="195"/>
      <c r="M1583" s="195">
        <v>1</v>
      </c>
      <c r="N1583" s="195">
        <v>1</v>
      </c>
      <c r="O1583" s="195">
        <v>1</v>
      </c>
      <c r="P1583" s="195">
        <v>0</v>
      </c>
      <c r="Q1583" s="195">
        <v>1</v>
      </c>
      <c r="R1583" s="1248">
        <v>330</v>
      </c>
      <c r="S1583" s="1248">
        <v>330</v>
      </c>
      <c r="T1583" s="195" t="s">
        <v>6037</v>
      </c>
      <c r="U1583" s="1895"/>
      <c r="V1583" s="195" t="s">
        <v>2962</v>
      </c>
      <c r="W1583" s="2067" t="s">
        <v>6262</v>
      </c>
      <c r="X1583" s="26"/>
      <c r="Y1583" s="71"/>
      <c r="Z1583" s="71"/>
    </row>
    <row r="1584" spans="1:26" ht="18" hidden="1">
      <c r="A1584" s="20">
        <v>1591</v>
      </c>
      <c r="B1584" s="1063">
        <v>41361</v>
      </c>
      <c r="C1584" s="925" t="s">
        <v>6253</v>
      </c>
      <c r="D1584" s="11" t="s">
        <v>6</v>
      </c>
      <c r="E1584" s="204" t="s">
        <v>5448</v>
      </c>
      <c r="F1584" s="924" t="s">
        <v>970</v>
      </c>
      <c r="G1584" s="206" t="s">
        <v>6263</v>
      </c>
      <c r="H1584" s="206" t="s">
        <v>6255</v>
      </c>
      <c r="I1584" s="184" t="s">
        <v>1063</v>
      </c>
      <c r="J1584" s="195" t="s">
        <v>6264</v>
      </c>
      <c r="K1584" s="195" t="s">
        <v>6265</v>
      </c>
      <c r="L1584" s="195"/>
      <c r="M1584" s="195">
        <v>1</v>
      </c>
      <c r="N1584" s="195">
        <v>1</v>
      </c>
      <c r="O1584" s="195">
        <v>1</v>
      </c>
      <c r="P1584" s="195">
        <v>0</v>
      </c>
      <c r="Q1584" s="195">
        <v>1</v>
      </c>
      <c r="R1584" s="1248">
        <v>330</v>
      </c>
      <c r="S1584" s="1248">
        <v>330</v>
      </c>
      <c r="T1584" s="195" t="s">
        <v>6037</v>
      </c>
      <c r="U1584" s="1895"/>
      <c r="V1584" s="195" t="s">
        <v>2962</v>
      </c>
      <c r="W1584" s="2067" t="s">
        <v>6266</v>
      </c>
      <c r="X1584" s="18"/>
      <c r="Y1584" s="4"/>
      <c r="Z1584" s="4"/>
    </row>
    <row r="1585" spans="1:26" ht="18" hidden="1">
      <c r="A1585" s="20">
        <v>1592</v>
      </c>
      <c r="B1585" s="1063">
        <v>41362</v>
      </c>
      <c r="C1585" s="925" t="s">
        <v>6253</v>
      </c>
      <c r="D1585" s="11" t="s">
        <v>6</v>
      </c>
      <c r="E1585" s="204" t="s">
        <v>5448</v>
      </c>
      <c r="F1585" s="924" t="s">
        <v>970</v>
      </c>
      <c r="G1585" s="206" t="s">
        <v>6267</v>
      </c>
      <c r="H1585" s="206" t="s">
        <v>6255</v>
      </c>
      <c r="I1585" s="184" t="s">
        <v>1063</v>
      </c>
      <c r="J1585" s="195" t="s">
        <v>6268</v>
      </c>
      <c r="K1585" s="195" t="s">
        <v>6269</v>
      </c>
      <c r="L1585" s="195"/>
      <c r="M1585" s="195">
        <v>1</v>
      </c>
      <c r="N1585" s="195">
        <v>1</v>
      </c>
      <c r="O1585" s="195">
        <v>1</v>
      </c>
      <c r="P1585" s="195">
        <v>0</v>
      </c>
      <c r="Q1585" s="195">
        <v>1</v>
      </c>
      <c r="R1585" s="1248">
        <v>330</v>
      </c>
      <c r="S1585" s="1248">
        <v>330</v>
      </c>
      <c r="T1585" s="195" t="s">
        <v>6037</v>
      </c>
      <c r="U1585" s="1895"/>
      <c r="V1585" s="195" t="s">
        <v>2962</v>
      </c>
      <c r="W1585" s="2067" t="s">
        <v>6270</v>
      </c>
      <c r="X1585" s="18"/>
      <c r="Y1585" s="4"/>
      <c r="Z1585" s="4"/>
    </row>
    <row r="1586" spans="1:26" ht="18" hidden="1">
      <c r="A1586" s="20">
        <v>1593</v>
      </c>
      <c r="B1586" s="1063">
        <v>41363</v>
      </c>
      <c r="C1586" s="925" t="s">
        <v>6271</v>
      </c>
      <c r="D1586" s="11" t="s">
        <v>6</v>
      </c>
      <c r="E1586" s="204" t="s">
        <v>5448</v>
      </c>
      <c r="F1586" s="924" t="s">
        <v>970</v>
      </c>
      <c r="G1586" s="195" t="s">
        <v>6272</v>
      </c>
      <c r="H1586" s="206" t="s">
        <v>6273</v>
      </c>
      <c r="I1586" s="184" t="s">
        <v>1063</v>
      </c>
      <c r="J1586" s="195" t="s">
        <v>6274</v>
      </c>
      <c r="K1586" s="195" t="s">
        <v>6275</v>
      </c>
      <c r="L1586" s="195"/>
      <c r="M1586" s="195">
        <v>1</v>
      </c>
      <c r="N1586" s="195">
        <v>1</v>
      </c>
      <c r="O1586" s="195">
        <v>2</v>
      </c>
      <c r="P1586" s="195">
        <v>0</v>
      </c>
      <c r="Q1586" s="195">
        <v>2</v>
      </c>
      <c r="R1586" s="1248">
        <v>2200</v>
      </c>
      <c r="S1586" s="1248">
        <v>4400</v>
      </c>
      <c r="T1586" s="195" t="s">
        <v>6037</v>
      </c>
      <c r="U1586" s="1895"/>
      <c r="V1586" s="195" t="s">
        <v>2962</v>
      </c>
      <c r="W1586" s="2067" t="s">
        <v>6276</v>
      </c>
      <c r="X1586" s="18"/>
      <c r="Y1586" s="4"/>
      <c r="Z1586" s="4"/>
    </row>
    <row r="1587" spans="1:26" ht="18" hidden="1">
      <c r="A1587" s="20">
        <v>1594</v>
      </c>
      <c r="B1587" s="1063">
        <v>41364</v>
      </c>
      <c r="C1587" s="925" t="s">
        <v>6057</v>
      </c>
      <c r="D1587" s="11" t="s">
        <v>6</v>
      </c>
      <c r="E1587" s="204" t="s">
        <v>5448</v>
      </c>
      <c r="F1587" s="924" t="s">
        <v>970</v>
      </c>
      <c r="G1587" s="195" t="s">
        <v>6058</v>
      </c>
      <c r="H1587" s="195" t="s">
        <v>2681</v>
      </c>
      <c r="I1587" s="183" t="s">
        <v>1022</v>
      </c>
      <c r="J1587" s="195" t="s">
        <v>6059</v>
      </c>
      <c r="K1587" s="195" t="s">
        <v>1</v>
      </c>
      <c r="L1587" s="195"/>
      <c r="M1587" s="195">
        <v>4</v>
      </c>
      <c r="N1587" s="195">
        <v>1</v>
      </c>
      <c r="O1587" s="195">
        <v>4</v>
      </c>
      <c r="P1587" s="195">
        <v>0</v>
      </c>
      <c r="Q1587" s="195">
        <v>4</v>
      </c>
      <c r="R1587" s="1248">
        <v>1392</v>
      </c>
      <c r="S1587" s="1248">
        <v>5568</v>
      </c>
      <c r="T1587" s="195" t="s">
        <v>6037</v>
      </c>
      <c r="U1587" s="1895"/>
      <c r="V1587" s="195" t="s">
        <v>2962</v>
      </c>
      <c r="W1587" s="2067" t="s">
        <v>6060</v>
      </c>
      <c r="X1587" s="18"/>
      <c r="Y1587" s="4"/>
      <c r="Z1587" s="4"/>
    </row>
    <row r="1588" spans="1:26" ht="18" hidden="1">
      <c r="A1588" s="20">
        <v>1595</v>
      </c>
      <c r="B1588" s="1063">
        <v>41365</v>
      </c>
      <c r="C1588" s="925" t="s">
        <v>6049</v>
      </c>
      <c r="D1588" s="11" t="s">
        <v>6</v>
      </c>
      <c r="E1588" s="204" t="s">
        <v>5448</v>
      </c>
      <c r="F1588" s="924" t="s">
        <v>970</v>
      </c>
      <c r="G1588" s="195" t="s">
        <v>6050</v>
      </c>
      <c r="H1588" s="195" t="s">
        <v>1</v>
      </c>
      <c r="I1588" s="183" t="s">
        <v>1022</v>
      </c>
      <c r="J1588" s="195" t="s">
        <v>6051</v>
      </c>
      <c r="K1588" s="195" t="s">
        <v>1</v>
      </c>
      <c r="L1588" s="195"/>
      <c r="M1588" s="26"/>
      <c r="N1588" s="195">
        <v>1</v>
      </c>
      <c r="O1588" s="195">
        <v>2</v>
      </c>
      <c r="P1588" s="195">
        <v>4</v>
      </c>
      <c r="Q1588" s="195">
        <v>6</v>
      </c>
      <c r="R1588" s="1248">
        <v>1499</v>
      </c>
      <c r="S1588" s="1248">
        <v>2878</v>
      </c>
      <c r="T1588" s="195" t="s">
        <v>6037</v>
      </c>
      <c r="U1588" s="1895"/>
      <c r="V1588" s="195" t="s">
        <v>2962</v>
      </c>
      <c r="W1588" s="2067" t="s">
        <v>6052</v>
      </c>
      <c r="X1588" s="26"/>
      <c r="Y1588" s="71"/>
      <c r="Z1588" s="71"/>
    </row>
    <row r="1589" spans="1:26" ht="15.6" hidden="1">
      <c r="A1589" s="20">
        <v>1596</v>
      </c>
      <c r="B1589" s="1063">
        <v>41366</v>
      </c>
      <c r="C1589" s="26" t="s">
        <v>329</v>
      </c>
      <c r="D1589" s="11" t="s">
        <v>6</v>
      </c>
      <c r="E1589" s="204" t="s">
        <v>5448</v>
      </c>
      <c r="F1589" s="26" t="s">
        <v>404</v>
      </c>
      <c r="G1589" s="207" t="s">
        <v>650</v>
      </c>
      <c r="H1589" s="202" t="s">
        <v>184</v>
      </c>
      <c r="I1589" s="647" t="s">
        <v>574</v>
      </c>
      <c r="J1589" s="647" t="s">
        <v>6277</v>
      </c>
      <c r="K1589" s="647" t="s">
        <v>6278</v>
      </c>
      <c r="L1589" s="647">
        <v>805</v>
      </c>
      <c r="M1589" s="189">
        <v>70</v>
      </c>
      <c r="N1589" s="26">
        <v>1</v>
      </c>
      <c r="O1589" s="26">
        <v>110</v>
      </c>
      <c r="P1589" s="26">
        <v>0</v>
      </c>
      <c r="Q1589" s="26">
        <v>40</v>
      </c>
      <c r="R1589" s="1209">
        <v>54.3</v>
      </c>
      <c r="S1589" s="1209">
        <v>5973</v>
      </c>
      <c r="T1589" s="26" t="s">
        <v>5448</v>
      </c>
      <c r="U1589" s="1871" t="s">
        <v>6279</v>
      </c>
      <c r="V1589" s="26" t="s">
        <v>6280</v>
      </c>
      <c r="W1589" s="2065" t="s">
        <v>6281</v>
      </c>
      <c r="X1589" s="26"/>
      <c r="Y1589" s="71"/>
      <c r="Z1589" s="71"/>
    </row>
    <row r="1590" spans="1:26" ht="15.6" hidden="1">
      <c r="A1590" s="20">
        <v>1597</v>
      </c>
      <c r="B1590" s="1063">
        <v>41367</v>
      </c>
      <c r="C1590" s="26" t="s">
        <v>329</v>
      </c>
      <c r="D1590" s="11" t="s">
        <v>6</v>
      </c>
      <c r="E1590" s="204" t="s">
        <v>5448</v>
      </c>
      <c r="F1590" s="26" t="s">
        <v>404</v>
      </c>
      <c r="G1590" s="207" t="s">
        <v>6282</v>
      </c>
      <c r="H1590" s="207" t="s">
        <v>184</v>
      </c>
      <c r="I1590" s="207" t="s">
        <v>574</v>
      </c>
      <c r="J1590" s="647" t="s">
        <v>6277</v>
      </c>
      <c r="K1590" s="207" t="s">
        <v>6278</v>
      </c>
      <c r="L1590" s="207">
        <v>805</v>
      </c>
      <c r="M1590" s="207">
        <v>8</v>
      </c>
      <c r="N1590" s="207">
        <v>1</v>
      </c>
      <c r="O1590" s="207">
        <v>15</v>
      </c>
      <c r="P1590" s="207">
        <v>0</v>
      </c>
      <c r="Q1590" s="207">
        <v>7</v>
      </c>
      <c r="R1590" s="1251">
        <v>54.3</v>
      </c>
      <c r="S1590" s="1251">
        <v>814.5</v>
      </c>
      <c r="T1590" s="26" t="s">
        <v>5448</v>
      </c>
      <c r="U1590" s="1871" t="s">
        <v>6279</v>
      </c>
      <c r="V1590" s="26" t="s">
        <v>6280</v>
      </c>
      <c r="W1590" s="2065" t="s">
        <v>6281</v>
      </c>
      <c r="X1590" s="18"/>
      <c r="Y1590" s="4"/>
      <c r="Z1590" s="4"/>
    </row>
    <row r="1591" spans="1:26" ht="15.6" hidden="1">
      <c r="A1591" s="20">
        <v>1598</v>
      </c>
      <c r="B1591" s="1063">
        <v>41368</v>
      </c>
      <c r="C1591" s="26" t="s">
        <v>329</v>
      </c>
      <c r="D1591" s="11" t="s">
        <v>6</v>
      </c>
      <c r="E1591" s="204" t="s">
        <v>5448</v>
      </c>
      <c r="F1591" s="26" t="s">
        <v>404</v>
      </c>
      <c r="G1591" s="207" t="s">
        <v>646</v>
      </c>
      <c r="H1591" s="207" t="s">
        <v>144</v>
      </c>
      <c r="I1591" s="207" t="s">
        <v>574</v>
      </c>
      <c r="J1591" s="207" t="s">
        <v>3974</v>
      </c>
      <c r="K1591" s="207" t="s">
        <v>3975</v>
      </c>
      <c r="L1591" s="207">
        <v>805</v>
      </c>
      <c r="M1591" s="207">
        <v>4</v>
      </c>
      <c r="N1591" s="207">
        <v>1</v>
      </c>
      <c r="O1591" s="207">
        <v>10</v>
      </c>
      <c r="P1591" s="207">
        <v>0</v>
      </c>
      <c r="Q1591" s="207">
        <v>6</v>
      </c>
      <c r="R1591" s="1251">
        <v>191.4</v>
      </c>
      <c r="S1591" s="1251">
        <v>1914</v>
      </c>
      <c r="T1591" s="26" t="s">
        <v>5448</v>
      </c>
      <c r="U1591" s="1871" t="s">
        <v>5124</v>
      </c>
      <c r="V1591" s="26" t="s">
        <v>6280</v>
      </c>
      <c r="W1591" s="2065" t="s">
        <v>6283</v>
      </c>
      <c r="X1591" s="18"/>
      <c r="Y1591" s="4"/>
      <c r="Z1591" s="4"/>
    </row>
    <row r="1592" spans="1:26" ht="15.6" hidden="1">
      <c r="A1592" s="20">
        <v>1599</v>
      </c>
      <c r="B1592" s="1063">
        <v>41369</v>
      </c>
      <c r="C1592" s="26" t="s">
        <v>329</v>
      </c>
      <c r="D1592" s="11" t="s">
        <v>6</v>
      </c>
      <c r="E1592" s="204" t="s">
        <v>5448</v>
      </c>
      <c r="F1592" s="26" t="s">
        <v>404</v>
      </c>
      <c r="G1592" s="207" t="s">
        <v>2896</v>
      </c>
      <c r="H1592" s="207" t="s">
        <v>332</v>
      </c>
      <c r="I1592" s="207" t="s">
        <v>574</v>
      </c>
      <c r="J1592" s="207" t="s">
        <v>6284</v>
      </c>
      <c r="K1592" s="207" t="s">
        <v>6285</v>
      </c>
      <c r="L1592" s="207">
        <v>805</v>
      </c>
      <c r="M1592" s="207">
        <v>27</v>
      </c>
      <c r="N1592" s="207">
        <v>1</v>
      </c>
      <c r="O1592" s="207">
        <v>50</v>
      </c>
      <c r="P1592" s="207">
        <v>0</v>
      </c>
      <c r="Q1592" s="207">
        <v>23</v>
      </c>
      <c r="R1592" s="1251">
        <v>29.79</v>
      </c>
      <c r="S1592" s="1251">
        <v>1489.5</v>
      </c>
      <c r="T1592" s="26" t="s">
        <v>5448</v>
      </c>
      <c r="U1592" s="1871" t="s">
        <v>5124</v>
      </c>
      <c r="V1592" s="26" t="s">
        <v>6280</v>
      </c>
      <c r="W1592" s="2065" t="s">
        <v>6286</v>
      </c>
      <c r="X1592" s="18"/>
      <c r="Y1592" s="4"/>
      <c r="Z1592" s="4"/>
    </row>
    <row r="1593" spans="1:26" ht="15.6" hidden="1">
      <c r="A1593" s="20">
        <v>1600</v>
      </c>
      <c r="B1593" s="1063">
        <v>41370</v>
      </c>
      <c r="C1593" s="26" t="s">
        <v>329</v>
      </c>
      <c r="D1593" s="11" t="s">
        <v>6</v>
      </c>
      <c r="E1593" s="204" t="s">
        <v>5448</v>
      </c>
      <c r="F1593" s="26" t="s">
        <v>404</v>
      </c>
      <c r="G1593" s="207" t="s">
        <v>6287</v>
      </c>
      <c r="H1593" s="207" t="s">
        <v>332</v>
      </c>
      <c r="I1593" s="207" t="s">
        <v>574</v>
      </c>
      <c r="J1593" s="207" t="s">
        <v>6288</v>
      </c>
      <c r="K1593" s="207" t="s">
        <v>6289</v>
      </c>
      <c r="L1593" s="207">
        <v>805</v>
      </c>
      <c r="M1593" s="207">
        <v>14</v>
      </c>
      <c r="N1593" s="207">
        <v>1</v>
      </c>
      <c r="O1593" s="207">
        <v>30</v>
      </c>
      <c r="P1593" s="207">
        <v>0</v>
      </c>
      <c r="Q1593" s="207">
        <v>16</v>
      </c>
      <c r="R1593" s="1251">
        <v>20.11</v>
      </c>
      <c r="S1593" s="1251">
        <v>603.29999999999995</v>
      </c>
      <c r="T1593" s="26" t="s">
        <v>5448</v>
      </c>
      <c r="U1593" s="1871" t="s">
        <v>6279</v>
      </c>
      <c r="V1593" s="26" t="s">
        <v>6280</v>
      </c>
      <c r="W1593" s="2071" t="s">
        <v>6290</v>
      </c>
      <c r="X1593" s="18"/>
      <c r="Y1593" s="4"/>
      <c r="Z1593" s="4"/>
    </row>
    <row r="1594" spans="1:26" ht="15.6" hidden="1">
      <c r="A1594" s="20">
        <v>1601</v>
      </c>
      <c r="B1594" s="1063">
        <v>41371</v>
      </c>
      <c r="C1594" s="26" t="s">
        <v>329</v>
      </c>
      <c r="D1594" s="11" t="s">
        <v>6</v>
      </c>
      <c r="E1594" s="204" t="s">
        <v>5448</v>
      </c>
      <c r="F1594" s="26" t="s">
        <v>404</v>
      </c>
      <c r="G1594" s="207" t="s">
        <v>6291</v>
      </c>
      <c r="H1594" s="207" t="s">
        <v>332</v>
      </c>
      <c r="I1594" s="207" t="s">
        <v>574</v>
      </c>
      <c r="J1594" s="207" t="s">
        <v>6292</v>
      </c>
      <c r="K1594" s="207" t="s">
        <v>6293</v>
      </c>
      <c r="L1594" s="207">
        <v>805</v>
      </c>
      <c r="M1594" s="207">
        <v>1</v>
      </c>
      <c r="N1594" s="207">
        <v>1</v>
      </c>
      <c r="O1594" s="207">
        <v>5</v>
      </c>
      <c r="P1594" s="207">
        <v>0</v>
      </c>
      <c r="Q1594" s="207">
        <v>4</v>
      </c>
      <c r="R1594" s="1251">
        <v>15</v>
      </c>
      <c r="S1594" s="1251">
        <v>75</v>
      </c>
      <c r="T1594" s="26" t="s">
        <v>5448</v>
      </c>
      <c r="U1594" s="1871" t="s">
        <v>5124</v>
      </c>
      <c r="V1594" s="26" t="s">
        <v>6280</v>
      </c>
      <c r="W1594" s="2071" t="s">
        <v>6294</v>
      </c>
      <c r="X1594" s="26"/>
      <c r="Y1594" s="71"/>
      <c r="Z1594" s="71"/>
    </row>
    <row r="1595" spans="1:26" ht="15.6" hidden="1">
      <c r="A1595" s="20">
        <v>1602</v>
      </c>
      <c r="B1595" s="1063">
        <v>41372</v>
      </c>
      <c r="C1595" s="26" t="s">
        <v>329</v>
      </c>
      <c r="D1595" s="11" t="s">
        <v>6</v>
      </c>
      <c r="E1595" s="204" t="s">
        <v>5448</v>
      </c>
      <c r="F1595" s="26" t="s">
        <v>404</v>
      </c>
      <c r="G1595" s="207" t="s">
        <v>6295</v>
      </c>
      <c r="H1595" s="207" t="s">
        <v>3243</v>
      </c>
      <c r="I1595" s="207" t="s">
        <v>574</v>
      </c>
      <c r="J1595" s="207" t="s">
        <v>6296</v>
      </c>
      <c r="K1595" s="207" t="s">
        <v>6297</v>
      </c>
      <c r="L1595" s="207">
        <v>805</v>
      </c>
      <c r="M1595" s="207">
        <v>1</v>
      </c>
      <c r="N1595" s="207">
        <v>1</v>
      </c>
      <c r="O1595" s="207">
        <v>5</v>
      </c>
      <c r="P1595" s="207">
        <v>0</v>
      </c>
      <c r="Q1595" s="207">
        <v>4</v>
      </c>
      <c r="R1595" s="1251">
        <v>90</v>
      </c>
      <c r="S1595" s="1251">
        <v>450</v>
      </c>
      <c r="T1595" s="26" t="s">
        <v>5448</v>
      </c>
      <c r="U1595" s="1871" t="s">
        <v>5124</v>
      </c>
      <c r="V1595" s="26" t="s">
        <v>6280</v>
      </c>
      <c r="W1595" s="2065" t="s">
        <v>6298</v>
      </c>
      <c r="X1595" s="26"/>
      <c r="Y1595" s="71"/>
      <c r="Z1595" s="71"/>
    </row>
    <row r="1596" spans="1:26" ht="15.6" hidden="1">
      <c r="A1596" s="20">
        <v>1603</v>
      </c>
      <c r="B1596" s="1063">
        <v>41373</v>
      </c>
      <c r="C1596" s="26" t="s">
        <v>329</v>
      </c>
      <c r="D1596" s="11" t="s">
        <v>6</v>
      </c>
      <c r="E1596" s="204" t="s">
        <v>5448</v>
      </c>
      <c r="F1596" s="26" t="s">
        <v>404</v>
      </c>
      <c r="G1596" s="207" t="s">
        <v>640</v>
      </c>
      <c r="H1596" s="207" t="s">
        <v>184</v>
      </c>
      <c r="I1596" s="207" t="s">
        <v>574</v>
      </c>
      <c r="J1596" s="207" t="s">
        <v>6299</v>
      </c>
      <c r="K1596" s="207" t="s">
        <v>6300</v>
      </c>
      <c r="L1596" s="207">
        <v>805</v>
      </c>
      <c r="M1596" s="207">
        <v>1</v>
      </c>
      <c r="N1596" s="207">
        <v>1</v>
      </c>
      <c r="O1596" s="207">
        <v>5</v>
      </c>
      <c r="P1596" s="207">
        <v>0</v>
      </c>
      <c r="Q1596" s="207">
        <v>4</v>
      </c>
      <c r="R1596" s="1251">
        <v>30</v>
      </c>
      <c r="S1596" s="1251">
        <v>150</v>
      </c>
      <c r="T1596" s="26" t="s">
        <v>5448</v>
      </c>
      <c r="U1596" s="1871" t="s">
        <v>5124</v>
      </c>
      <c r="V1596" s="26" t="s">
        <v>6280</v>
      </c>
      <c r="W1596" s="2071" t="s">
        <v>6301</v>
      </c>
      <c r="X1596" s="18"/>
      <c r="Y1596" s="4"/>
      <c r="Z1596" s="4"/>
    </row>
    <row r="1597" spans="1:26" ht="15.6" hidden="1">
      <c r="A1597" s="20">
        <v>1604</v>
      </c>
      <c r="B1597" s="1063">
        <v>41374</v>
      </c>
      <c r="C1597" s="26" t="s">
        <v>329</v>
      </c>
      <c r="D1597" s="11" t="s">
        <v>6</v>
      </c>
      <c r="E1597" s="204" t="s">
        <v>5448</v>
      </c>
      <c r="F1597" s="26" t="s">
        <v>404</v>
      </c>
      <c r="G1597" s="207" t="s">
        <v>6302</v>
      </c>
      <c r="H1597" s="207" t="s">
        <v>144</v>
      </c>
      <c r="I1597" s="207" t="s">
        <v>574</v>
      </c>
      <c r="J1597" s="207" t="s">
        <v>6303</v>
      </c>
      <c r="K1597" s="207" t="s">
        <v>6304</v>
      </c>
      <c r="L1597" s="207">
        <v>805</v>
      </c>
      <c r="M1597" s="207">
        <v>10</v>
      </c>
      <c r="N1597" s="207">
        <v>1</v>
      </c>
      <c r="O1597" s="207">
        <v>15</v>
      </c>
      <c r="P1597" s="207">
        <v>0</v>
      </c>
      <c r="Q1597" s="207">
        <v>5</v>
      </c>
      <c r="R1597" s="1251">
        <v>39.200000000000003</v>
      </c>
      <c r="S1597" s="1251">
        <v>588</v>
      </c>
      <c r="T1597" s="26" t="s">
        <v>5448</v>
      </c>
      <c r="U1597" s="1871" t="s">
        <v>5124</v>
      </c>
      <c r="V1597" s="26" t="s">
        <v>6280</v>
      </c>
      <c r="W1597" s="689" t="s">
        <v>6305</v>
      </c>
      <c r="X1597" s="18"/>
      <c r="Y1597" s="4"/>
      <c r="Z1597" s="4"/>
    </row>
    <row r="1598" spans="1:26" ht="15.6" hidden="1">
      <c r="A1598" s="20">
        <v>1605</v>
      </c>
      <c r="B1598" s="1063">
        <v>41375</v>
      </c>
      <c r="C1598" s="26" t="s">
        <v>329</v>
      </c>
      <c r="D1598" s="11" t="s">
        <v>6</v>
      </c>
      <c r="E1598" s="204" t="s">
        <v>5448</v>
      </c>
      <c r="F1598" s="26" t="s">
        <v>404</v>
      </c>
      <c r="G1598" s="207" t="s">
        <v>6306</v>
      </c>
      <c r="H1598" s="207" t="s">
        <v>184</v>
      </c>
      <c r="I1598" s="207" t="s">
        <v>574</v>
      </c>
      <c r="J1598" s="207" t="s">
        <v>6307</v>
      </c>
      <c r="K1598" s="207" t="s">
        <v>6308</v>
      </c>
      <c r="L1598" s="207">
        <v>805</v>
      </c>
      <c r="M1598" s="207">
        <v>4</v>
      </c>
      <c r="N1598" s="207">
        <v>1</v>
      </c>
      <c r="O1598" s="207">
        <v>10</v>
      </c>
      <c r="P1598" s="207">
        <v>0</v>
      </c>
      <c r="Q1598" s="207">
        <v>6</v>
      </c>
      <c r="R1598" s="1251">
        <v>23</v>
      </c>
      <c r="S1598" s="1251">
        <v>230</v>
      </c>
      <c r="T1598" s="26" t="s">
        <v>5448</v>
      </c>
      <c r="U1598" s="1871" t="s">
        <v>5124</v>
      </c>
      <c r="V1598" s="26" t="s">
        <v>6280</v>
      </c>
      <c r="W1598" s="2071" t="s">
        <v>6309</v>
      </c>
      <c r="X1598" s="18"/>
      <c r="Y1598" s="4"/>
      <c r="Z1598" s="4"/>
    </row>
    <row r="1599" spans="1:26" ht="15.6" hidden="1">
      <c r="A1599" s="20">
        <v>1606</v>
      </c>
      <c r="B1599" s="1063">
        <v>41376</v>
      </c>
      <c r="C1599" s="26" t="s">
        <v>329</v>
      </c>
      <c r="D1599" s="11" t="s">
        <v>6</v>
      </c>
      <c r="E1599" s="204" t="s">
        <v>5448</v>
      </c>
      <c r="F1599" s="26" t="s">
        <v>404</v>
      </c>
      <c r="G1599" s="207" t="s">
        <v>6310</v>
      </c>
      <c r="H1599" s="207" t="s">
        <v>184</v>
      </c>
      <c r="I1599" s="207" t="s">
        <v>574</v>
      </c>
      <c r="J1599" s="207" t="s">
        <v>6311</v>
      </c>
      <c r="K1599" s="207" t="s">
        <v>6312</v>
      </c>
      <c r="L1599" s="207">
        <v>805</v>
      </c>
      <c r="M1599" s="207">
        <v>6</v>
      </c>
      <c r="N1599" s="207">
        <v>1</v>
      </c>
      <c r="O1599" s="207">
        <v>15</v>
      </c>
      <c r="P1599" s="207">
        <v>0</v>
      </c>
      <c r="Q1599" s="207">
        <v>9</v>
      </c>
      <c r="R1599" s="1251">
        <v>25</v>
      </c>
      <c r="S1599" s="1251">
        <v>375</v>
      </c>
      <c r="T1599" s="26" t="s">
        <v>5448</v>
      </c>
      <c r="U1599" s="1871" t="s">
        <v>6279</v>
      </c>
      <c r="V1599" s="26" t="s">
        <v>6280</v>
      </c>
      <c r="W1599" s="2071" t="s">
        <v>6313</v>
      </c>
      <c r="X1599" s="18"/>
      <c r="Y1599" s="4"/>
      <c r="Z1599" s="4"/>
    </row>
    <row r="1600" spans="1:26" ht="15.6" hidden="1">
      <c r="A1600" s="20">
        <v>1607</v>
      </c>
      <c r="B1600" s="1063">
        <v>41377</v>
      </c>
      <c r="C1600" s="26" t="s">
        <v>329</v>
      </c>
      <c r="D1600" s="11" t="s">
        <v>6</v>
      </c>
      <c r="E1600" s="204" t="s">
        <v>5448</v>
      </c>
      <c r="F1600" s="26" t="s">
        <v>404</v>
      </c>
      <c r="G1600" s="207" t="s">
        <v>6314</v>
      </c>
      <c r="H1600" s="207" t="s">
        <v>184</v>
      </c>
      <c r="I1600" s="207" t="s">
        <v>574</v>
      </c>
      <c r="J1600" s="207" t="s">
        <v>6315</v>
      </c>
      <c r="K1600" s="207" t="s">
        <v>6316</v>
      </c>
      <c r="L1600" s="207">
        <v>805</v>
      </c>
      <c r="M1600" s="207">
        <v>3</v>
      </c>
      <c r="N1600" s="207">
        <v>1</v>
      </c>
      <c r="O1600" s="207">
        <v>6</v>
      </c>
      <c r="P1600" s="207">
        <v>0</v>
      </c>
      <c r="Q1600" s="207">
        <v>3</v>
      </c>
      <c r="R1600" s="1251">
        <v>17</v>
      </c>
      <c r="S1600" s="1251">
        <v>102</v>
      </c>
      <c r="T1600" s="26" t="s">
        <v>5448</v>
      </c>
      <c r="U1600" s="1871" t="s">
        <v>5124</v>
      </c>
      <c r="V1600" s="26" t="s">
        <v>6280</v>
      </c>
      <c r="W1600" s="2071" t="s">
        <v>6317</v>
      </c>
      <c r="X1600" s="18"/>
      <c r="Y1600" s="4"/>
      <c r="Z1600" s="4"/>
    </row>
    <row r="1601" spans="1:26" ht="15.6" hidden="1">
      <c r="A1601" s="20">
        <v>1608</v>
      </c>
      <c r="B1601" s="1063">
        <v>41378</v>
      </c>
      <c r="C1601" s="26" t="s">
        <v>329</v>
      </c>
      <c r="D1601" s="11" t="s">
        <v>6</v>
      </c>
      <c r="E1601" s="204" t="s">
        <v>5448</v>
      </c>
      <c r="F1601" s="26" t="s">
        <v>404</v>
      </c>
      <c r="G1601" s="207" t="s">
        <v>2903</v>
      </c>
      <c r="H1601" s="207" t="s">
        <v>144</v>
      </c>
      <c r="I1601" s="207" t="s">
        <v>574</v>
      </c>
      <c r="J1601" s="207" t="s">
        <v>6318</v>
      </c>
      <c r="K1601" s="207" t="s">
        <v>6319</v>
      </c>
      <c r="L1601" s="207">
        <v>805</v>
      </c>
      <c r="M1601" s="207">
        <v>14</v>
      </c>
      <c r="N1601" s="207">
        <v>1</v>
      </c>
      <c r="O1601" s="207">
        <v>35</v>
      </c>
      <c r="P1601" s="207">
        <v>0</v>
      </c>
      <c r="Q1601" s="207">
        <v>21</v>
      </c>
      <c r="R1601" s="1251">
        <v>24</v>
      </c>
      <c r="S1601" s="1251">
        <v>840</v>
      </c>
      <c r="T1601" s="26" t="s">
        <v>5448</v>
      </c>
      <c r="U1601" s="1871" t="s">
        <v>6279</v>
      </c>
      <c r="V1601" s="26" t="s">
        <v>6280</v>
      </c>
      <c r="W1601" s="2071" t="s">
        <v>6320</v>
      </c>
      <c r="X1601" s="26"/>
      <c r="Y1601" s="71"/>
      <c r="Z1601" s="71"/>
    </row>
    <row r="1602" spans="1:26" ht="15.6" hidden="1">
      <c r="A1602" s="20">
        <v>1609</v>
      </c>
      <c r="B1602" s="1063">
        <v>41379</v>
      </c>
      <c r="C1602" s="26" t="s">
        <v>329</v>
      </c>
      <c r="D1602" s="11" t="s">
        <v>6</v>
      </c>
      <c r="E1602" s="204" t="s">
        <v>5448</v>
      </c>
      <c r="F1602" s="26" t="s">
        <v>404</v>
      </c>
      <c r="G1602" s="207" t="s">
        <v>6321</v>
      </c>
      <c r="H1602" s="207" t="s">
        <v>184</v>
      </c>
      <c r="I1602" s="207" t="s">
        <v>574</v>
      </c>
      <c r="J1602" s="207" t="s">
        <v>6322</v>
      </c>
      <c r="K1602" s="207" t="s">
        <v>6323</v>
      </c>
      <c r="L1602" s="207">
        <v>805</v>
      </c>
      <c r="M1602" s="207">
        <v>1</v>
      </c>
      <c r="N1602" s="207">
        <v>1</v>
      </c>
      <c r="O1602" s="207">
        <v>5</v>
      </c>
      <c r="P1602" s="207">
        <v>0</v>
      </c>
      <c r="Q1602" s="207">
        <v>4</v>
      </c>
      <c r="R1602" s="1251">
        <v>37</v>
      </c>
      <c r="S1602" s="1251">
        <v>185</v>
      </c>
      <c r="T1602" s="26" t="s">
        <v>5448</v>
      </c>
      <c r="U1602" s="1871" t="s">
        <v>5124</v>
      </c>
      <c r="V1602" s="26" t="s">
        <v>6280</v>
      </c>
      <c r="W1602" s="2071" t="s">
        <v>6324</v>
      </c>
      <c r="X1602" s="26"/>
      <c r="Y1602" s="71"/>
      <c r="Z1602" s="71"/>
    </row>
    <row r="1603" spans="1:26" ht="15.6" hidden="1">
      <c r="A1603" s="20">
        <v>1610</v>
      </c>
      <c r="B1603" s="1063">
        <v>41380</v>
      </c>
      <c r="C1603" s="26" t="s">
        <v>329</v>
      </c>
      <c r="D1603" s="11" t="s">
        <v>6</v>
      </c>
      <c r="E1603" s="204" t="s">
        <v>5448</v>
      </c>
      <c r="F1603" s="26" t="s">
        <v>404</v>
      </c>
      <c r="G1603" s="207" t="s">
        <v>6325</v>
      </c>
      <c r="H1603" s="207" t="s">
        <v>184</v>
      </c>
      <c r="I1603" s="207" t="s">
        <v>574</v>
      </c>
      <c r="J1603" s="207" t="s">
        <v>6326</v>
      </c>
      <c r="K1603" s="207" t="s">
        <v>6327</v>
      </c>
      <c r="L1603" s="207">
        <v>805</v>
      </c>
      <c r="M1603" s="207">
        <v>4</v>
      </c>
      <c r="N1603" s="207">
        <v>1</v>
      </c>
      <c r="O1603" s="207">
        <v>8</v>
      </c>
      <c r="P1603" s="207">
        <v>0</v>
      </c>
      <c r="Q1603" s="207">
        <v>4</v>
      </c>
      <c r="R1603" s="1251">
        <v>30</v>
      </c>
      <c r="S1603" s="1251">
        <v>240</v>
      </c>
      <c r="T1603" s="26" t="s">
        <v>5448</v>
      </c>
      <c r="U1603" s="1871" t="s">
        <v>5124</v>
      </c>
      <c r="V1603" s="26" t="s">
        <v>6280</v>
      </c>
      <c r="W1603" s="2071" t="s">
        <v>6328</v>
      </c>
      <c r="X1603" s="18"/>
      <c r="Y1603" s="4"/>
      <c r="Z1603" s="4"/>
    </row>
    <row r="1604" spans="1:26" ht="15.6" hidden="1">
      <c r="A1604" s="20">
        <v>1611</v>
      </c>
      <c r="B1604" s="1063">
        <v>41381</v>
      </c>
      <c r="C1604" s="26" t="s">
        <v>329</v>
      </c>
      <c r="D1604" s="11" t="s">
        <v>6</v>
      </c>
      <c r="E1604" s="204" t="s">
        <v>5448</v>
      </c>
      <c r="F1604" s="26" t="s">
        <v>404</v>
      </c>
      <c r="G1604" s="207" t="s">
        <v>6329</v>
      </c>
      <c r="H1604" s="207" t="s">
        <v>184</v>
      </c>
      <c r="I1604" s="207" t="s">
        <v>574</v>
      </c>
      <c r="J1604" s="207" t="s">
        <v>6330</v>
      </c>
      <c r="K1604" s="207" t="s">
        <v>6331</v>
      </c>
      <c r="L1604" s="207">
        <v>805</v>
      </c>
      <c r="M1604" s="207">
        <v>1</v>
      </c>
      <c r="N1604" s="207">
        <v>1</v>
      </c>
      <c r="O1604" s="207">
        <v>5</v>
      </c>
      <c r="P1604" s="207">
        <v>0</v>
      </c>
      <c r="Q1604" s="207">
        <v>4</v>
      </c>
      <c r="R1604" s="1251">
        <v>41</v>
      </c>
      <c r="S1604" s="1251">
        <v>205</v>
      </c>
      <c r="T1604" s="26" t="s">
        <v>5448</v>
      </c>
      <c r="U1604" s="1871" t="s">
        <v>5124</v>
      </c>
      <c r="V1604" s="26" t="s">
        <v>6280</v>
      </c>
      <c r="W1604" s="2071" t="s">
        <v>6332</v>
      </c>
      <c r="X1604" s="18"/>
      <c r="Y1604" s="4"/>
      <c r="Z1604" s="4"/>
    </row>
    <row r="1605" spans="1:26" ht="15.6" hidden="1">
      <c r="A1605" s="20">
        <v>1612</v>
      </c>
      <c r="B1605" s="1063">
        <v>41382</v>
      </c>
      <c r="C1605" s="26" t="s">
        <v>329</v>
      </c>
      <c r="D1605" s="11" t="s">
        <v>6</v>
      </c>
      <c r="E1605" s="204" t="s">
        <v>5448</v>
      </c>
      <c r="F1605" s="26" t="s">
        <v>404</v>
      </c>
      <c r="G1605" s="207" t="s">
        <v>2908</v>
      </c>
      <c r="H1605" s="207" t="s">
        <v>184</v>
      </c>
      <c r="I1605" s="207" t="s">
        <v>574</v>
      </c>
      <c r="J1605" s="207" t="s">
        <v>6333</v>
      </c>
      <c r="K1605" s="207" t="s">
        <v>6334</v>
      </c>
      <c r="L1605" s="207">
        <v>805</v>
      </c>
      <c r="M1605" s="207">
        <v>3</v>
      </c>
      <c r="N1605" s="207">
        <v>1</v>
      </c>
      <c r="O1605" s="207">
        <v>5</v>
      </c>
      <c r="P1605" s="207">
        <v>0</v>
      </c>
      <c r="Q1605" s="207">
        <v>2</v>
      </c>
      <c r="R1605" s="1251">
        <v>43</v>
      </c>
      <c r="S1605" s="1251">
        <v>215</v>
      </c>
      <c r="T1605" s="26" t="s">
        <v>5448</v>
      </c>
      <c r="U1605" s="1871" t="s">
        <v>5124</v>
      </c>
      <c r="V1605" s="26" t="s">
        <v>6280</v>
      </c>
      <c r="W1605" s="2071" t="s">
        <v>6335</v>
      </c>
      <c r="X1605" s="18"/>
      <c r="Y1605" s="4"/>
      <c r="Z1605" s="4"/>
    </row>
    <row r="1606" spans="1:26" ht="15.6" hidden="1">
      <c r="A1606" s="20">
        <v>1613</v>
      </c>
      <c r="B1606" s="1063">
        <v>41383</v>
      </c>
      <c r="C1606" s="26" t="s">
        <v>329</v>
      </c>
      <c r="D1606" s="11" t="s">
        <v>6</v>
      </c>
      <c r="E1606" s="204" t="s">
        <v>5448</v>
      </c>
      <c r="F1606" s="26" t="s">
        <v>404</v>
      </c>
      <c r="G1606" s="207" t="s">
        <v>6336</v>
      </c>
      <c r="H1606" s="207" t="s">
        <v>6337</v>
      </c>
      <c r="I1606" s="207" t="s">
        <v>574</v>
      </c>
      <c r="J1606" s="207" t="s">
        <v>6338</v>
      </c>
      <c r="K1606" s="207">
        <v>885012000000</v>
      </c>
      <c r="L1606" s="207">
        <v>805</v>
      </c>
      <c r="M1606" s="207">
        <v>1</v>
      </c>
      <c r="N1606" s="207">
        <v>1</v>
      </c>
      <c r="O1606" s="207">
        <v>5</v>
      </c>
      <c r="P1606" s="207">
        <v>0</v>
      </c>
      <c r="Q1606" s="207">
        <v>4</v>
      </c>
      <c r="R1606" s="1251">
        <v>12</v>
      </c>
      <c r="S1606" s="1251">
        <v>60</v>
      </c>
      <c r="T1606" s="26" t="s">
        <v>5448</v>
      </c>
      <c r="U1606" s="1871" t="s">
        <v>5124</v>
      </c>
      <c r="V1606" s="26" t="s">
        <v>6280</v>
      </c>
      <c r="W1606" s="2071" t="s">
        <v>6339</v>
      </c>
      <c r="X1606" s="18"/>
      <c r="Y1606" s="4"/>
      <c r="Z1606" s="4"/>
    </row>
    <row r="1607" spans="1:26" ht="15.6" hidden="1">
      <c r="A1607" s="20">
        <v>1614</v>
      </c>
      <c r="B1607" s="1063">
        <v>41384</v>
      </c>
      <c r="C1607" s="26" t="s">
        <v>329</v>
      </c>
      <c r="D1607" s="11" t="s">
        <v>6</v>
      </c>
      <c r="E1607" s="204" t="s">
        <v>5448</v>
      </c>
      <c r="F1607" s="26" t="s">
        <v>404</v>
      </c>
      <c r="G1607" s="207" t="s">
        <v>6340</v>
      </c>
      <c r="H1607" s="207" t="s">
        <v>184</v>
      </c>
      <c r="I1607" s="207" t="s">
        <v>574</v>
      </c>
      <c r="J1607" s="207" t="s">
        <v>6341</v>
      </c>
      <c r="K1607" s="207" t="s">
        <v>6342</v>
      </c>
      <c r="L1607" s="207">
        <v>805</v>
      </c>
      <c r="M1607" s="207">
        <v>1</v>
      </c>
      <c r="N1607" s="207">
        <v>1</v>
      </c>
      <c r="O1607" s="207">
        <v>5</v>
      </c>
      <c r="P1607" s="207">
        <v>0</v>
      </c>
      <c r="Q1607" s="207">
        <v>4</v>
      </c>
      <c r="R1607" s="1251">
        <v>14</v>
      </c>
      <c r="S1607" s="1251">
        <v>70</v>
      </c>
      <c r="T1607" s="26" t="s">
        <v>5448</v>
      </c>
      <c r="U1607" s="1871" t="s">
        <v>5124</v>
      </c>
      <c r="V1607" s="26" t="s">
        <v>6280</v>
      </c>
      <c r="W1607" s="2071" t="s">
        <v>6343</v>
      </c>
      <c r="X1607" s="26"/>
      <c r="Y1607" s="71"/>
      <c r="Z1607" s="71"/>
    </row>
    <row r="1608" spans="1:26" ht="15.6" hidden="1">
      <c r="A1608" s="20">
        <v>1615</v>
      </c>
      <c r="B1608" s="1063">
        <v>41385</v>
      </c>
      <c r="C1608" s="26" t="s">
        <v>152</v>
      </c>
      <c r="D1608" s="11" t="s">
        <v>6</v>
      </c>
      <c r="E1608" s="204" t="s">
        <v>5448</v>
      </c>
      <c r="F1608" s="26" t="s">
        <v>404</v>
      </c>
      <c r="G1608" s="207" t="s">
        <v>6344</v>
      </c>
      <c r="H1608" s="207" t="s">
        <v>166</v>
      </c>
      <c r="I1608" s="207" t="s">
        <v>574</v>
      </c>
      <c r="J1608" s="207" t="s">
        <v>3055</v>
      </c>
      <c r="K1608" s="207" t="s">
        <v>3056</v>
      </c>
      <c r="L1608" s="207">
        <v>805</v>
      </c>
      <c r="M1608" s="207">
        <v>39</v>
      </c>
      <c r="N1608" s="207">
        <v>1</v>
      </c>
      <c r="O1608" s="207">
        <v>70</v>
      </c>
      <c r="P1608" s="207">
        <v>0</v>
      </c>
      <c r="Q1608" s="207">
        <v>31</v>
      </c>
      <c r="R1608" s="1251">
        <v>33.5</v>
      </c>
      <c r="S1608" s="1251">
        <v>2345</v>
      </c>
      <c r="T1608" s="26" t="s">
        <v>5448</v>
      </c>
      <c r="U1608" s="1871" t="s">
        <v>6279</v>
      </c>
      <c r="V1608" s="26" t="s">
        <v>6280</v>
      </c>
      <c r="W1608" s="2071" t="s">
        <v>6345</v>
      </c>
      <c r="X1608" s="26"/>
      <c r="Y1608" s="71"/>
      <c r="Z1608" s="71"/>
    </row>
    <row r="1609" spans="1:26" ht="15.6" hidden="1">
      <c r="A1609" s="20">
        <v>1616</v>
      </c>
      <c r="B1609" s="1063">
        <v>41386</v>
      </c>
      <c r="C1609" s="26" t="s">
        <v>152</v>
      </c>
      <c r="D1609" s="11" t="s">
        <v>6</v>
      </c>
      <c r="E1609" s="204" t="s">
        <v>5448</v>
      </c>
      <c r="F1609" s="26" t="s">
        <v>404</v>
      </c>
      <c r="G1609" s="207">
        <v>100</v>
      </c>
      <c r="H1609" s="207" t="s">
        <v>3676</v>
      </c>
      <c r="I1609" s="207" t="s">
        <v>574</v>
      </c>
      <c r="J1609" s="207" t="s">
        <v>6346</v>
      </c>
      <c r="K1609" s="207" t="s">
        <v>6347</v>
      </c>
      <c r="L1609" s="207">
        <v>805</v>
      </c>
      <c r="M1609" s="207">
        <v>62</v>
      </c>
      <c r="N1609" s="207">
        <v>1</v>
      </c>
      <c r="O1609" s="207">
        <v>80</v>
      </c>
      <c r="P1609" s="207">
        <v>0</v>
      </c>
      <c r="Q1609" s="207">
        <v>18</v>
      </c>
      <c r="R1609" s="1251">
        <v>7.2</v>
      </c>
      <c r="S1609" s="1251">
        <v>576</v>
      </c>
      <c r="T1609" s="26" t="s">
        <v>5448</v>
      </c>
      <c r="U1609" s="1871" t="s">
        <v>6279</v>
      </c>
      <c r="V1609" s="26" t="s">
        <v>6280</v>
      </c>
      <c r="W1609" s="2071" t="s">
        <v>6348</v>
      </c>
      <c r="X1609" s="18"/>
      <c r="Y1609" s="4"/>
      <c r="Z1609" s="4"/>
    </row>
    <row r="1610" spans="1:26" ht="15.6" hidden="1">
      <c r="A1610" s="20">
        <v>1617</v>
      </c>
      <c r="B1610" s="1063">
        <v>41387</v>
      </c>
      <c r="C1610" s="26" t="s">
        <v>152</v>
      </c>
      <c r="D1610" s="11" t="s">
        <v>6</v>
      </c>
      <c r="E1610" s="204" t="s">
        <v>5448</v>
      </c>
      <c r="F1610" s="26" t="s">
        <v>404</v>
      </c>
      <c r="G1610" s="207" t="s">
        <v>6349</v>
      </c>
      <c r="H1610" s="207" t="s">
        <v>3676</v>
      </c>
      <c r="I1610" s="207" t="s">
        <v>574</v>
      </c>
      <c r="J1610" s="207" t="s">
        <v>6350</v>
      </c>
      <c r="K1610" s="207" t="s">
        <v>6351</v>
      </c>
      <c r="L1610" s="207">
        <v>805</v>
      </c>
      <c r="M1610" s="207">
        <v>58</v>
      </c>
      <c r="N1610" s="207">
        <v>1</v>
      </c>
      <c r="O1610" s="207">
        <v>85</v>
      </c>
      <c r="P1610" s="207">
        <v>0</v>
      </c>
      <c r="Q1610" s="207">
        <v>27</v>
      </c>
      <c r="R1610" s="1251">
        <v>7.2</v>
      </c>
      <c r="S1610" s="1251">
        <v>612</v>
      </c>
      <c r="T1610" s="26" t="s">
        <v>5448</v>
      </c>
      <c r="U1610" s="1871" t="s">
        <v>6279</v>
      </c>
      <c r="V1610" s="26" t="s">
        <v>6280</v>
      </c>
      <c r="W1610" s="2071" t="s">
        <v>6352</v>
      </c>
      <c r="X1610" s="18"/>
      <c r="Y1610" s="4"/>
      <c r="Z1610" s="4"/>
    </row>
    <row r="1611" spans="1:26" ht="15.6" hidden="1">
      <c r="A1611" s="20">
        <v>1618</v>
      </c>
      <c r="B1611" s="1063">
        <v>41388</v>
      </c>
      <c r="C1611" s="26" t="s">
        <v>152</v>
      </c>
      <c r="D1611" s="11" t="s">
        <v>6</v>
      </c>
      <c r="E1611" s="204" t="s">
        <v>5448</v>
      </c>
      <c r="F1611" s="26" t="s">
        <v>404</v>
      </c>
      <c r="G1611" s="207">
        <v>2.5000000000000001E-2</v>
      </c>
      <c r="H1611" s="207" t="s">
        <v>2786</v>
      </c>
      <c r="I1611" s="207" t="s">
        <v>574</v>
      </c>
      <c r="J1611" s="207" t="s">
        <v>6353</v>
      </c>
      <c r="K1611" s="207" t="s">
        <v>6354</v>
      </c>
      <c r="L1611" s="207">
        <v>805</v>
      </c>
      <c r="M1611" s="207">
        <v>26</v>
      </c>
      <c r="N1611" s="207">
        <v>1</v>
      </c>
      <c r="O1611" s="207">
        <v>40</v>
      </c>
      <c r="P1611" s="207">
        <v>0</v>
      </c>
      <c r="Q1611" s="207">
        <v>14</v>
      </c>
      <c r="R1611" s="1251">
        <v>50.96</v>
      </c>
      <c r="S1611" s="1251">
        <f t="shared" ref="S1611:S1614" si="83">R1611*O1611</f>
        <v>2038.4</v>
      </c>
      <c r="T1611" s="26" t="s">
        <v>5448</v>
      </c>
      <c r="U1611" s="1871" t="s">
        <v>6279</v>
      </c>
      <c r="V1611" s="26" t="s">
        <v>6280</v>
      </c>
      <c r="W1611" s="2071" t="s">
        <v>6355</v>
      </c>
      <c r="X1611" s="18"/>
      <c r="Y1611" s="4"/>
      <c r="Z1611" s="4"/>
    </row>
    <row r="1612" spans="1:26" ht="15.6" hidden="1">
      <c r="A1612" s="20">
        <v>1619</v>
      </c>
      <c r="B1612" s="1063">
        <v>41389</v>
      </c>
      <c r="C1612" s="26" t="s">
        <v>152</v>
      </c>
      <c r="D1612" s="11" t="s">
        <v>6</v>
      </c>
      <c r="E1612" s="204" t="s">
        <v>5448</v>
      </c>
      <c r="F1612" s="26" t="s">
        <v>404</v>
      </c>
      <c r="G1612" s="207">
        <v>0.01</v>
      </c>
      <c r="H1612" s="207" t="s">
        <v>3676</v>
      </c>
      <c r="I1612" s="207" t="s">
        <v>574</v>
      </c>
      <c r="J1612" s="207" t="s">
        <v>6356</v>
      </c>
      <c r="K1612" s="207" t="s">
        <v>6357</v>
      </c>
      <c r="L1612" s="207">
        <v>805</v>
      </c>
      <c r="M1612" s="207">
        <v>4</v>
      </c>
      <c r="N1612" s="207">
        <v>1</v>
      </c>
      <c r="O1612" s="207">
        <v>8</v>
      </c>
      <c r="P1612" s="207">
        <v>0</v>
      </c>
      <c r="Q1612" s="207">
        <v>4</v>
      </c>
      <c r="R1612" s="1251">
        <v>116</v>
      </c>
      <c r="S1612" s="1251">
        <f t="shared" si="83"/>
        <v>928</v>
      </c>
      <c r="T1612" s="26" t="s">
        <v>5448</v>
      </c>
      <c r="U1612" s="1871" t="s">
        <v>5124</v>
      </c>
      <c r="V1612" s="26" t="s">
        <v>6280</v>
      </c>
      <c r="W1612" s="2071" t="s">
        <v>6358</v>
      </c>
      <c r="X1612" s="18"/>
      <c r="Y1612" s="4"/>
      <c r="Z1612" s="4"/>
    </row>
    <row r="1613" spans="1:26" ht="15.6" hidden="1">
      <c r="A1613" s="20">
        <v>1620</v>
      </c>
      <c r="B1613" s="1063">
        <v>41390</v>
      </c>
      <c r="C1613" s="26" t="s">
        <v>152</v>
      </c>
      <c r="D1613" s="11" t="s">
        <v>6</v>
      </c>
      <c r="E1613" s="204" t="s">
        <v>5448</v>
      </c>
      <c r="F1613" s="26" t="s">
        <v>404</v>
      </c>
      <c r="G1613" s="207">
        <v>0.15</v>
      </c>
      <c r="H1613" s="207" t="s">
        <v>3676</v>
      </c>
      <c r="I1613" s="207" t="s">
        <v>574</v>
      </c>
      <c r="J1613" s="207" t="s">
        <v>6359</v>
      </c>
      <c r="K1613" s="207" t="s">
        <v>6360</v>
      </c>
      <c r="L1613" s="207">
        <v>805</v>
      </c>
      <c r="M1613" s="207">
        <v>1</v>
      </c>
      <c r="N1613" s="207">
        <v>1</v>
      </c>
      <c r="O1613" s="207">
        <v>5</v>
      </c>
      <c r="P1613" s="207">
        <v>0</v>
      </c>
      <c r="Q1613" s="207">
        <v>4</v>
      </c>
      <c r="R1613" s="1251">
        <v>79</v>
      </c>
      <c r="S1613" s="1251">
        <f t="shared" si="83"/>
        <v>395</v>
      </c>
      <c r="T1613" s="26" t="s">
        <v>5448</v>
      </c>
      <c r="U1613" s="1871" t="s">
        <v>5124</v>
      </c>
      <c r="V1613" s="26" t="s">
        <v>6280</v>
      </c>
      <c r="W1613" s="2071" t="s">
        <v>6361</v>
      </c>
      <c r="X1613" s="26"/>
      <c r="Y1613" s="71"/>
      <c r="Z1613" s="71"/>
    </row>
    <row r="1614" spans="1:26" ht="15.6" hidden="1">
      <c r="A1614" s="20">
        <v>1621</v>
      </c>
      <c r="B1614" s="1063">
        <v>41391</v>
      </c>
      <c r="C1614" s="26" t="s">
        <v>152</v>
      </c>
      <c r="D1614" s="11" t="s">
        <v>6</v>
      </c>
      <c r="E1614" s="204" t="s">
        <v>5448</v>
      </c>
      <c r="F1614" s="26" t="s">
        <v>404</v>
      </c>
      <c r="G1614" s="207">
        <v>0.5</v>
      </c>
      <c r="H1614" s="207" t="s">
        <v>1653</v>
      </c>
      <c r="I1614" s="207" t="s">
        <v>574</v>
      </c>
      <c r="J1614" s="207" t="s">
        <v>6362</v>
      </c>
      <c r="K1614" s="207" t="s">
        <v>6363</v>
      </c>
      <c r="L1614" s="207">
        <v>805</v>
      </c>
      <c r="M1614" s="207">
        <v>1</v>
      </c>
      <c r="N1614" s="207">
        <v>1</v>
      </c>
      <c r="O1614" s="207">
        <v>5</v>
      </c>
      <c r="P1614" s="207">
        <v>0</v>
      </c>
      <c r="Q1614" s="207">
        <v>4</v>
      </c>
      <c r="R1614" s="1251">
        <v>55</v>
      </c>
      <c r="S1614" s="1251">
        <f t="shared" si="83"/>
        <v>275</v>
      </c>
      <c r="T1614" s="26" t="s">
        <v>5448</v>
      </c>
      <c r="U1614" s="1871" t="s">
        <v>5124</v>
      </c>
      <c r="V1614" s="26" t="s">
        <v>6280</v>
      </c>
      <c r="W1614" s="2071" t="s">
        <v>6364</v>
      </c>
      <c r="X1614" s="26"/>
      <c r="Y1614" s="71"/>
      <c r="Z1614" s="71"/>
    </row>
    <row r="1615" spans="1:26" ht="15.6" hidden="1">
      <c r="A1615" s="20">
        <v>1622</v>
      </c>
      <c r="B1615" s="1063">
        <v>41392</v>
      </c>
      <c r="C1615" s="26" t="s">
        <v>152</v>
      </c>
      <c r="D1615" s="11" t="s">
        <v>6</v>
      </c>
      <c r="E1615" s="204" t="s">
        <v>5448</v>
      </c>
      <c r="F1615" s="26" t="s">
        <v>404</v>
      </c>
      <c r="G1615" s="207">
        <v>1</v>
      </c>
      <c r="H1615" s="207" t="s">
        <v>2786</v>
      </c>
      <c r="I1615" s="207" t="s">
        <v>574</v>
      </c>
      <c r="J1615" s="207" t="s">
        <v>6365</v>
      </c>
      <c r="K1615" s="207" t="s">
        <v>6366</v>
      </c>
      <c r="L1615" s="207">
        <v>805</v>
      </c>
      <c r="M1615" s="207">
        <v>1</v>
      </c>
      <c r="N1615" s="207">
        <v>1</v>
      </c>
      <c r="O1615" s="207">
        <v>5</v>
      </c>
      <c r="P1615" s="207">
        <v>0</v>
      </c>
      <c r="Q1615" s="207">
        <v>4</v>
      </c>
      <c r="R1615" s="1251">
        <v>21</v>
      </c>
      <c r="S1615" s="1251">
        <v>105</v>
      </c>
      <c r="T1615" s="26" t="s">
        <v>5448</v>
      </c>
      <c r="U1615" s="1871" t="s">
        <v>5124</v>
      </c>
      <c r="V1615" s="26" t="s">
        <v>6280</v>
      </c>
      <c r="W1615" s="2071" t="s">
        <v>6367</v>
      </c>
      <c r="X1615" s="18"/>
      <c r="Y1615" s="4"/>
      <c r="Z1615" s="4"/>
    </row>
    <row r="1616" spans="1:26" ht="15.6" hidden="1">
      <c r="A1616" s="20">
        <v>1623</v>
      </c>
      <c r="B1616" s="1063">
        <v>41393</v>
      </c>
      <c r="C1616" s="26" t="s">
        <v>152</v>
      </c>
      <c r="D1616" s="11" t="s">
        <v>6</v>
      </c>
      <c r="E1616" s="204" t="s">
        <v>5448</v>
      </c>
      <c r="F1616" s="26" t="s">
        <v>404</v>
      </c>
      <c r="G1616" s="207">
        <v>10</v>
      </c>
      <c r="H1616" s="207" t="s">
        <v>2786</v>
      </c>
      <c r="I1616" s="207" t="s">
        <v>574</v>
      </c>
      <c r="J1616" s="207" t="s">
        <v>6368</v>
      </c>
      <c r="K1616" s="207" t="s">
        <v>6369</v>
      </c>
      <c r="L1616" s="207">
        <v>805</v>
      </c>
      <c r="M1616" s="207">
        <v>4</v>
      </c>
      <c r="N1616" s="207">
        <v>1</v>
      </c>
      <c r="O1616" s="207">
        <v>7</v>
      </c>
      <c r="P1616" s="207">
        <v>0</v>
      </c>
      <c r="Q1616" s="207">
        <v>3</v>
      </c>
      <c r="R1616" s="1251">
        <v>12</v>
      </c>
      <c r="S1616" s="1251">
        <v>84</v>
      </c>
      <c r="T1616" s="26" t="s">
        <v>5448</v>
      </c>
      <c r="U1616" s="1871" t="s">
        <v>5124</v>
      </c>
      <c r="V1616" s="26" t="s">
        <v>6280</v>
      </c>
      <c r="W1616" s="2071" t="s">
        <v>6370</v>
      </c>
      <c r="X1616" s="18"/>
      <c r="Y1616" s="4"/>
      <c r="Z1616" s="4"/>
    </row>
    <row r="1617" spans="1:26" ht="15.6" hidden="1">
      <c r="A1617" s="20">
        <v>1624</v>
      </c>
      <c r="B1617" s="1063">
        <v>41394</v>
      </c>
      <c r="C1617" s="26" t="s">
        <v>152</v>
      </c>
      <c r="D1617" s="11" t="s">
        <v>6</v>
      </c>
      <c r="E1617" s="204" t="s">
        <v>5448</v>
      </c>
      <c r="F1617" s="26" t="s">
        <v>404</v>
      </c>
      <c r="G1617" s="207" t="s">
        <v>6371</v>
      </c>
      <c r="H1617" s="207" t="s">
        <v>3676</v>
      </c>
      <c r="I1617" s="207" t="s">
        <v>574</v>
      </c>
      <c r="J1617" s="207" t="s">
        <v>6372</v>
      </c>
      <c r="K1617" s="207" t="s">
        <v>6373</v>
      </c>
      <c r="L1617" s="207">
        <v>805</v>
      </c>
      <c r="M1617" s="207">
        <v>1</v>
      </c>
      <c r="N1617" s="207">
        <v>1</v>
      </c>
      <c r="O1617" s="207">
        <v>5</v>
      </c>
      <c r="P1617" s="207">
        <v>0</v>
      </c>
      <c r="Q1617" s="207">
        <v>4</v>
      </c>
      <c r="R1617" s="1251">
        <v>12</v>
      </c>
      <c r="S1617" s="1251">
        <v>60</v>
      </c>
      <c r="T1617" s="26" t="s">
        <v>5448</v>
      </c>
      <c r="U1617" s="1871" t="s">
        <v>5124</v>
      </c>
      <c r="V1617" s="26" t="s">
        <v>6280</v>
      </c>
      <c r="W1617" s="2071" t="s">
        <v>6374</v>
      </c>
      <c r="X1617" s="18"/>
      <c r="Y1617" s="4"/>
      <c r="Z1617" s="4"/>
    </row>
    <row r="1618" spans="1:26" ht="15.6" hidden="1">
      <c r="A1618" s="20">
        <v>1625</v>
      </c>
      <c r="B1618" s="1063">
        <v>41395</v>
      </c>
      <c r="C1618" s="26" t="s">
        <v>152</v>
      </c>
      <c r="D1618" s="11" t="s">
        <v>6</v>
      </c>
      <c r="E1618" s="204" t="s">
        <v>5448</v>
      </c>
      <c r="F1618" s="26" t="s">
        <v>404</v>
      </c>
      <c r="G1618" s="207" t="s">
        <v>6375</v>
      </c>
      <c r="H1618" s="207" t="s">
        <v>3676</v>
      </c>
      <c r="I1618" s="207" t="s">
        <v>574</v>
      </c>
      <c r="J1618" s="207" t="s">
        <v>6376</v>
      </c>
      <c r="K1618" s="207" t="s">
        <v>6377</v>
      </c>
      <c r="L1618" s="207">
        <v>805</v>
      </c>
      <c r="M1618" s="207">
        <v>4</v>
      </c>
      <c r="N1618" s="207">
        <v>1</v>
      </c>
      <c r="O1618" s="207">
        <v>8</v>
      </c>
      <c r="P1618" s="207">
        <v>0</v>
      </c>
      <c r="Q1618" s="207">
        <v>4</v>
      </c>
      <c r="R1618" s="1251">
        <v>12</v>
      </c>
      <c r="S1618" s="1251">
        <v>96</v>
      </c>
      <c r="T1618" s="26" t="s">
        <v>5448</v>
      </c>
      <c r="U1618" s="1871" t="s">
        <v>5124</v>
      </c>
      <c r="V1618" s="26" t="s">
        <v>6280</v>
      </c>
      <c r="W1618" s="2071" t="s">
        <v>6378</v>
      </c>
      <c r="X1618" s="18"/>
      <c r="Y1618" s="4"/>
      <c r="Z1618" s="4"/>
    </row>
    <row r="1619" spans="1:26" ht="15.6" hidden="1">
      <c r="A1619" s="20">
        <v>1626</v>
      </c>
      <c r="B1619" s="1063">
        <v>41396</v>
      </c>
      <c r="C1619" s="26" t="s">
        <v>152</v>
      </c>
      <c r="D1619" s="11" t="s">
        <v>6</v>
      </c>
      <c r="E1619" s="204" t="s">
        <v>5448</v>
      </c>
      <c r="F1619" s="26" t="s">
        <v>404</v>
      </c>
      <c r="G1619" s="207" t="s">
        <v>6379</v>
      </c>
      <c r="H1619" s="207" t="s">
        <v>3676</v>
      </c>
      <c r="I1619" s="207" t="s">
        <v>574</v>
      </c>
      <c r="J1619" s="207" t="s">
        <v>6380</v>
      </c>
      <c r="K1619" s="207" t="s">
        <v>6381</v>
      </c>
      <c r="L1619" s="207">
        <v>805</v>
      </c>
      <c r="M1619" s="207">
        <v>1</v>
      </c>
      <c r="N1619" s="207">
        <v>1</v>
      </c>
      <c r="O1619" s="207">
        <v>5</v>
      </c>
      <c r="P1619" s="207">
        <v>0</v>
      </c>
      <c r="Q1619" s="207">
        <v>4</v>
      </c>
      <c r="R1619" s="1251">
        <v>12</v>
      </c>
      <c r="S1619" s="1251">
        <v>60</v>
      </c>
      <c r="T1619" s="26" t="s">
        <v>5448</v>
      </c>
      <c r="U1619" s="1871" t="s">
        <v>5124</v>
      </c>
      <c r="V1619" s="26" t="s">
        <v>6280</v>
      </c>
      <c r="W1619" s="2071" t="s">
        <v>6382</v>
      </c>
      <c r="X1619" s="26"/>
      <c r="Y1619" s="71"/>
      <c r="Z1619" s="71"/>
    </row>
    <row r="1620" spans="1:26" ht="15.6" hidden="1">
      <c r="A1620" s="20">
        <v>1627</v>
      </c>
      <c r="B1620" s="1063">
        <v>41397</v>
      </c>
      <c r="C1620" s="26" t="s">
        <v>152</v>
      </c>
      <c r="D1620" s="11" t="s">
        <v>6</v>
      </c>
      <c r="E1620" s="204" t="s">
        <v>5448</v>
      </c>
      <c r="F1620" s="26" t="s">
        <v>404</v>
      </c>
      <c r="G1620" s="207" t="s">
        <v>6383</v>
      </c>
      <c r="H1620" s="207" t="s">
        <v>3676</v>
      </c>
      <c r="I1620" s="207" t="s">
        <v>574</v>
      </c>
      <c r="J1620" s="207" t="s">
        <v>6384</v>
      </c>
      <c r="K1620" s="207" t="s">
        <v>6385</v>
      </c>
      <c r="L1620" s="207">
        <v>805</v>
      </c>
      <c r="M1620" s="207">
        <v>6</v>
      </c>
      <c r="N1620" s="207">
        <v>1</v>
      </c>
      <c r="O1620" s="207">
        <v>10</v>
      </c>
      <c r="P1620" s="207">
        <v>0</v>
      </c>
      <c r="Q1620" s="207">
        <v>4</v>
      </c>
      <c r="R1620" s="1251">
        <v>7.2</v>
      </c>
      <c r="S1620" s="1251">
        <v>72</v>
      </c>
      <c r="T1620" s="26" t="s">
        <v>5448</v>
      </c>
      <c r="U1620" s="1871" t="s">
        <v>5124</v>
      </c>
      <c r="V1620" s="26" t="s">
        <v>6280</v>
      </c>
      <c r="W1620" s="2071" t="s">
        <v>6386</v>
      </c>
      <c r="X1620" s="26"/>
      <c r="Y1620" s="71"/>
      <c r="Z1620" s="71"/>
    </row>
    <row r="1621" spans="1:26" ht="15.6" hidden="1">
      <c r="A1621" s="20">
        <v>1628</v>
      </c>
      <c r="B1621" s="1063">
        <v>41398</v>
      </c>
      <c r="C1621" s="26" t="s">
        <v>152</v>
      </c>
      <c r="D1621" s="11" t="s">
        <v>6</v>
      </c>
      <c r="E1621" s="204" t="s">
        <v>5448</v>
      </c>
      <c r="F1621" s="26" t="s">
        <v>404</v>
      </c>
      <c r="G1621" s="207" t="s">
        <v>6387</v>
      </c>
      <c r="H1621" s="207" t="s">
        <v>3676</v>
      </c>
      <c r="I1621" s="207" t="s">
        <v>574</v>
      </c>
      <c r="J1621" s="207" t="s">
        <v>6388</v>
      </c>
      <c r="K1621" s="207" t="s">
        <v>6389</v>
      </c>
      <c r="L1621" s="207">
        <v>805</v>
      </c>
      <c r="M1621" s="207">
        <v>15</v>
      </c>
      <c r="N1621" s="207">
        <v>1</v>
      </c>
      <c r="O1621" s="207">
        <v>20</v>
      </c>
      <c r="P1621" s="207">
        <v>0</v>
      </c>
      <c r="Q1621" s="207">
        <v>5</v>
      </c>
      <c r="R1621" s="1251">
        <v>7.2</v>
      </c>
      <c r="S1621" s="1251">
        <v>144</v>
      </c>
      <c r="T1621" s="26" t="s">
        <v>5448</v>
      </c>
      <c r="U1621" s="1871" t="s">
        <v>5124</v>
      </c>
      <c r="V1621" s="26" t="s">
        <v>6280</v>
      </c>
      <c r="W1621" s="2071" t="s">
        <v>6390</v>
      </c>
      <c r="X1621" s="18"/>
      <c r="Y1621" s="4"/>
      <c r="Z1621" s="4"/>
    </row>
    <row r="1622" spans="1:26" ht="15.6" hidden="1">
      <c r="A1622" s="20">
        <v>1629</v>
      </c>
      <c r="B1622" s="1063">
        <v>41399</v>
      </c>
      <c r="C1622" s="26" t="s">
        <v>152</v>
      </c>
      <c r="D1622" s="11" t="s">
        <v>6</v>
      </c>
      <c r="E1622" s="204" t="s">
        <v>5448</v>
      </c>
      <c r="F1622" s="26" t="s">
        <v>404</v>
      </c>
      <c r="G1622" s="207">
        <v>200</v>
      </c>
      <c r="H1622" s="207" t="s">
        <v>3676</v>
      </c>
      <c r="I1622" s="207" t="s">
        <v>574</v>
      </c>
      <c r="J1622" s="207" t="s">
        <v>6391</v>
      </c>
      <c r="K1622" s="207" t="s">
        <v>6392</v>
      </c>
      <c r="L1622" s="207">
        <v>805</v>
      </c>
      <c r="M1622" s="207">
        <v>3</v>
      </c>
      <c r="N1622" s="207">
        <v>1</v>
      </c>
      <c r="O1622" s="207">
        <v>5</v>
      </c>
      <c r="P1622" s="207">
        <v>0</v>
      </c>
      <c r="Q1622" s="207">
        <v>2</v>
      </c>
      <c r="R1622" s="1251">
        <v>12</v>
      </c>
      <c r="S1622" s="1251">
        <v>60</v>
      </c>
      <c r="T1622" s="26" t="s">
        <v>5448</v>
      </c>
      <c r="U1622" s="1871" t="s">
        <v>5124</v>
      </c>
      <c r="V1622" s="26" t="s">
        <v>6280</v>
      </c>
      <c r="W1622" s="2071" t="s">
        <v>6393</v>
      </c>
      <c r="X1622" s="18"/>
      <c r="Y1622" s="4"/>
      <c r="Z1622" s="4"/>
    </row>
    <row r="1623" spans="1:26" ht="15.6" hidden="1">
      <c r="A1623" s="20">
        <v>1630</v>
      </c>
      <c r="B1623" s="1063">
        <v>41400</v>
      </c>
      <c r="C1623" s="26" t="s">
        <v>152</v>
      </c>
      <c r="D1623" s="11" t="s">
        <v>6</v>
      </c>
      <c r="E1623" s="204" t="s">
        <v>5448</v>
      </c>
      <c r="F1623" s="26" t="s">
        <v>404</v>
      </c>
      <c r="G1623" s="207" t="s">
        <v>6394</v>
      </c>
      <c r="H1623" s="207" t="s">
        <v>3676</v>
      </c>
      <c r="I1623" s="207" t="s">
        <v>574</v>
      </c>
      <c r="J1623" s="207" t="s">
        <v>6395</v>
      </c>
      <c r="K1623" s="207" t="s">
        <v>6396</v>
      </c>
      <c r="L1623" s="207">
        <v>805</v>
      </c>
      <c r="M1623" s="207">
        <v>1</v>
      </c>
      <c r="N1623" s="207">
        <v>1</v>
      </c>
      <c r="O1623" s="207">
        <v>5</v>
      </c>
      <c r="P1623" s="207">
        <v>0</v>
      </c>
      <c r="Q1623" s="207">
        <v>4</v>
      </c>
      <c r="R1623" s="1251">
        <v>12</v>
      </c>
      <c r="S1623" s="1251">
        <v>60</v>
      </c>
      <c r="T1623" s="26" t="s">
        <v>5448</v>
      </c>
      <c r="U1623" s="1871" t="s">
        <v>5124</v>
      </c>
      <c r="V1623" s="26" t="s">
        <v>6280</v>
      </c>
      <c r="W1623" s="2071" t="s">
        <v>6397</v>
      </c>
      <c r="X1623" s="18"/>
      <c r="Y1623" s="4"/>
      <c r="Z1623" s="4"/>
    </row>
    <row r="1624" spans="1:26" ht="15.6" hidden="1">
      <c r="A1624" s="20">
        <v>1631</v>
      </c>
      <c r="B1624" s="1063">
        <v>41401</v>
      </c>
      <c r="C1624" s="26" t="s">
        <v>152</v>
      </c>
      <c r="D1624" s="11" t="s">
        <v>6</v>
      </c>
      <c r="E1624" s="204" t="s">
        <v>5448</v>
      </c>
      <c r="F1624" s="26" t="s">
        <v>404</v>
      </c>
      <c r="G1624" s="207">
        <v>33</v>
      </c>
      <c r="H1624" s="207" t="s">
        <v>3676</v>
      </c>
      <c r="I1624" s="207" t="s">
        <v>574</v>
      </c>
      <c r="J1624" s="207" t="s">
        <v>6398</v>
      </c>
      <c r="K1624" s="207" t="s">
        <v>6399</v>
      </c>
      <c r="L1624" s="207">
        <v>805</v>
      </c>
      <c r="M1624" s="207">
        <v>4</v>
      </c>
      <c r="N1624" s="207">
        <v>1</v>
      </c>
      <c r="O1624" s="207">
        <v>10</v>
      </c>
      <c r="P1624" s="207">
        <v>0</v>
      </c>
      <c r="Q1624" s="207">
        <v>6</v>
      </c>
      <c r="R1624" s="1251">
        <v>7.2</v>
      </c>
      <c r="S1624" s="1251">
        <v>72</v>
      </c>
      <c r="T1624" s="26" t="s">
        <v>5448</v>
      </c>
      <c r="U1624" s="1871" t="s">
        <v>6279</v>
      </c>
      <c r="V1624" s="26" t="s">
        <v>6280</v>
      </c>
      <c r="W1624" s="2071" t="s">
        <v>6400</v>
      </c>
      <c r="X1624" s="18"/>
      <c r="Y1624" s="4"/>
      <c r="Z1624" s="4"/>
    </row>
    <row r="1625" spans="1:26" ht="15.6" hidden="1">
      <c r="A1625" s="20">
        <v>1632</v>
      </c>
      <c r="B1625" s="1063">
        <v>41402</v>
      </c>
      <c r="C1625" s="26" t="s">
        <v>152</v>
      </c>
      <c r="D1625" s="11" t="s">
        <v>6</v>
      </c>
      <c r="E1625" s="204" t="s">
        <v>5448</v>
      </c>
      <c r="F1625" s="26" t="s">
        <v>404</v>
      </c>
      <c r="G1625" s="207" t="s">
        <v>6401</v>
      </c>
      <c r="H1625" s="207" t="s">
        <v>3676</v>
      </c>
      <c r="I1625" s="207" t="s">
        <v>574</v>
      </c>
      <c r="J1625" s="207" t="s">
        <v>6402</v>
      </c>
      <c r="K1625" s="207" t="s">
        <v>6403</v>
      </c>
      <c r="L1625" s="207">
        <v>805</v>
      </c>
      <c r="M1625" s="207">
        <v>6</v>
      </c>
      <c r="N1625" s="207">
        <v>1</v>
      </c>
      <c r="O1625" s="207">
        <v>20</v>
      </c>
      <c r="P1625" s="207">
        <v>0</v>
      </c>
      <c r="Q1625" s="207">
        <v>14</v>
      </c>
      <c r="R1625" s="1251">
        <v>7.2</v>
      </c>
      <c r="S1625" s="1251">
        <v>144</v>
      </c>
      <c r="T1625" s="26" t="s">
        <v>5448</v>
      </c>
      <c r="U1625" s="1871" t="s">
        <v>5124</v>
      </c>
      <c r="V1625" s="26" t="s">
        <v>6280</v>
      </c>
      <c r="W1625" s="2071" t="s">
        <v>6404</v>
      </c>
      <c r="X1625" s="26"/>
      <c r="Y1625" s="71"/>
      <c r="Z1625" s="71"/>
    </row>
    <row r="1626" spans="1:26" ht="15.6" hidden="1">
      <c r="A1626" s="20">
        <v>1633</v>
      </c>
      <c r="B1626" s="1063">
        <v>41403</v>
      </c>
      <c r="C1626" s="26" t="s">
        <v>152</v>
      </c>
      <c r="D1626" s="11" t="s">
        <v>6</v>
      </c>
      <c r="E1626" s="204" t="s">
        <v>5448</v>
      </c>
      <c r="F1626" s="26" t="s">
        <v>404</v>
      </c>
      <c r="G1626" s="207" t="s">
        <v>6405</v>
      </c>
      <c r="H1626" s="207" t="s">
        <v>3676</v>
      </c>
      <c r="I1626" s="207" t="s">
        <v>574</v>
      </c>
      <c r="J1626" s="207" t="s">
        <v>6406</v>
      </c>
      <c r="K1626" s="207" t="s">
        <v>6407</v>
      </c>
      <c r="L1626" s="207">
        <v>805</v>
      </c>
      <c r="M1626" s="207">
        <v>10</v>
      </c>
      <c r="N1626" s="207">
        <v>1</v>
      </c>
      <c r="O1626" s="207">
        <v>15</v>
      </c>
      <c r="P1626" s="207">
        <v>0</v>
      </c>
      <c r="Q1626" s="207">
        <v>5</v>
      </c>
      <c r="R1626" s="1251">
        <v>7.2</v>
      </c>
      <c r="S1626" s="1251">
        <v>108</v>
      </c>
      <c r="T1626" s="26" t="s">
        <v>5448</v>
      </c>
      <c r="U1626" s="1871" t="s">
        <v>5124</v>
      </c>
      <c r="V1626" s="26" t="s">
        <v>6280</v>
      </c>
      <c r="W1626" s="2071" t="s">
        <v>6408</v>
      </c>
      <c r="X1626" s="26"/>
      <c r="Y1626" s="71"/>
      <c r="Z1626" s="71"/>
    </row>
    <row r="1627" spans="1:26" ht="15.6" hidden="1">
      <c r="A1627" s="20">
        <v>1634</v>
      </c>
      <c r="B1627" s="1063">
        <v>41404</v>
      </c>
      <c r="C1627" s="26" t="s">
        <v>152</v>
      </c>
      <c r="D1627" s="11" t="s">
        <v>6</v>
      </c>
      <c r="E1627" s="204" t="s">
        <v>5448</v>
      </c>
      <c r="F1627" s="26" t="s">
        <v>404</v>
      </c>
      <c r="G1627" s="207" t="s">
        <v>6409</v>
      </c>
      <c r="H1627" s="207" t="s">
        <v>3676</v>
      </c>
      <c r="I1627" s="207" t="s">
        <v>574</v>
      </c>
      <c r="J1627" s="207" t="s">
        <v>6410</v>
      </c>
      <c r="K1627" s="207" t="s">
        <v>6411</v>
      </c>
      <c r="L1627" s="207">
        <v>805</v>
      </c>
      <c r="M1627" s="207">
        <v>1</v>
      </c>
      <c r="N1627" s="207">
        <v>1</v>
      </c>
      <c r="O1627" s="207">
        <v>5</v>
      </c>
      <c r="P1627" s="207">
        <v>0</v>
      </c>
      <c r="Q1627" s="207">
        <v>4</v>
      </c>
      <c r="R1627" s="1251">
        <v>12</v>
      </c>
      <c r="S1627" s="1251">
        <v>60</v>
      </c>
      <c r="T1627" s="26" t="s">
        <v>5448</v>
      </c>
      <c r="U1627" s="1871" t="s">
        <v>5124</v>
      </c>
      <c r="V1627" s="26" t="s">
        <v>6280</v>
      </c>
      <c r="W1627" s="2071" t="s">
        <v>6412</v>
      </c>
      <c r="X1627" s="18"/>
      <c r="Y1627" s="4"/>
      <c r="Z1627" s="4"/>
    </row>
    <row r="1628" spans="1:26" ht="15.6" hidden="1">
      <c r="A1628" s="20">
        <v>1635</v>
      </c>
      <c r="B1628" s="1063">
        <v>41405</v>
      </c>
      <c r="C1628" s="26" t="s">
        <v>152</v>
      </c>
      <c r="D1628" s="11" t="s">
        <v>6</v>
      </c>
      <c r="E1628" s="204" t="s">
        <v>5448</v>
      </c>
      <c r="F1628" s="26" t="s">
        <v>404</v>
      </c>
      <c r="G1628" s="207" t="s">
        <v>6413</v>
      </c>
      <c r="H1628" s="207" t="s">
        <v>3676</v>
      </c>
      <c r="I1628" s="207" t="s">
        <v>574</v>
      </c>
      <c r="J1628" s="207" t="s">
        <v>6414</v>
      </c>
      <c r="K1628" s="207" t="s">
        <v>6415</v>
      </c>
      <c r="L1628" s="207">
        <v>805</v>
      </c>
      <c r="M1628" s="207">
        <v>1</v>
      </c>
      <c r="N1628" s="207">
        <v>1</v>
      </c>
      <c r="O1628" s="207">
        <v>5</v>
      </c>
      <c r="P1628" s="207">
        <v>0</v>
      </c>
      <c r="Q1628" s="207">
        <v>4</v>
      </c>
      <c r="R1628" s="1251">
        <v>12</v>
      </c>
      <c r="S1628" s="1251">
        <v>60</v>
      </c>
      <c r="T1628" s="26" t="s">
        <v>5448</v>
      </c>
      <c r="U1628" s="1871" t="s">
        <v>5124</v>
      </c>
      <c r="V1628" s="26" t="s">
        <v>6280</v>
      </c>
      <c r="W1628" s="2071" t="s">
        <v>6416</v>
      </c>
      <c r="X1628" s="18"/>
      <c r="Y1628" s="4"/>
      <c r="Z1628" s="4"/>
    </row>
    <row r="1629" spans="1:26" ht="15.6" hidden="1">
      <c r="A1629" s="20">
        <v>1636</v>
      </c>
      <c r="B1629" s="1063">
        <v>41406</v>
      </c>
      <c r="C1629" s="26" t="s">
        <v>152</v>
      </c>
      <c r="D1629" s="11" t="s">
        <v>6</v>
      </c>
      <c r="E1629" s="204" t="s">
        <v>5448</v>
      </c>
      <c r="F1629" s="26" t="s">
        <v>404</v>
      </c>
      <c r="G1629" s="207" t="s">
        <v>6417</v>
      </c>
      <c r="H1629" s="207" t="s">
        <v>3676</v>
      </c>
      <c r="I1629" s="207" t="s">
        <v>574</v>
      </c>
      <c r="J1629" s="207" t="s">
        <v>6418</v>
      </c>
      <c r="K1629" s="207" t="s">
        <v>6419</v>
      </c>
      <c r="L1629" s="207">
        <v>805</v>
      </c>
      <c r="M1629" s="207">
        <v>1</v>
      </c>
      <c r="N1629" s="207">
        <v>1</v>
      </c>
      <c r="O1629" s="207">
        <v>5</v>
      </c>
      <c r="P1629" s="207">
        <v>0</v>
      </c>
      <c r="Q1629" s="207">
        <v>4</v>
      </c>
      <c r="R1629" s="1251">
        <v>12</v>
      </c>
      <c r="S1629" s="1251">
        <v>60</v>
      </c>
      <c r="T1629" s="26" t="s">
        <v>5448</v>
      </c>
      <c r="U1629" s="1871" t="s">
        <v>5124</v>
      </c>
      <c r="V1629" s="26" t="s">
        <v>6280</v>
      </c>
      <c r="W1629" s="2071" t="s">
        <v>6420</v>
      </c>
      <c r="X1629" s="18"/>
      <c r="Y1629" s="4"/>
      <c r="Z1629" s="4"/>
    </row>
    <row r="1630" spans="1:26" ht="15.6" hidden="1">
      <c r="A1630" s="20">
        <v>1637</v>
      </c>
      <c r="B1630" s="1063">
        <v>41407</v>
      </c>
      <c r="C1630" s="26" t="s">
        <v>152</v>
      </c>
      <c r="D1630" s="11" t="s">
        <v>6</v>
      </c>
      <c r="E1630" s="204" t="s">
        <v>5448</v>
      </c>
      <c r="F1630" s="26" t="s">
        <v>404</v>
      </c>
      <c r="G1630" s="207" t="s">
        <v>6421</v>
      </c>
      <c r="H1630" s="207" t="s">
        <v>3676</v>
      </c>
      <c r="I1630" s="207" t="s">
        <v>574</v>
      </c>
      <c r="J1630" s="207" t="s">
        <v>6422</v>
      </c>
      <c r="K1630" s="207" t="s">
        <v>6423</v>
      </c>
      <c r="L1630" s="207">
        <v>805</v>
      </c>
      <c r="M1630" s="207">
        <v>4</v>
      </c>
      <c r="N1630" s="207">
        <v>1</v>
      </c>
      <c r="O1630" s="207">
        <v>10</v>
      </c>
      <c r="P1630" s="207">
        <v>0</v>
      </c>
      <c r="Q1630" s="207">
        <v>6</v>
      </c>
      <c r="R1630" s="1251">
        <v>7.2</v>
      </c>
      <c r="S1630" s="1251">
        <v>72</v>
      </c>
      <c r="T1630" s="26" t="s">
        <v>5448</v>
      </c>
      <c r="U1630" s="1871" t="s">
        <v>5124</v>
      </c>
      <c r="V1630" s="26" t="s">
        <v>6280</v>
      </c>
      <c r="W1630" s="2071" t="s">
        <v>6424</v>
      </c>
      <c r="X1630" s="18"/>
      <c r="Y1630" s="4"/>
      <c r="Z1630" s="4"/>
    </row>
    <row r="1631" spans="1:26" ht="15.6" hidden="1">
      <c r="A1631" s="20">
        <v>1638</v>
      </c>
      <c r="B1631" s="1063">
        <v>41408</v>
      </c>
      <c r="C1631" s="26" t="s">
        <v>152</v>
      </c>
      <c r="D1631" s="11" t="s">
        <v>6</v>
      </c>
      <c r="E1631" s="204" t="s">
        <v>5448</v>
      </c>
      <c r="F1631" s="26" t="s">
        <v>404</v>
      </c>
      <c r="G1631" s="207" t="s">
        <v>6425</v>
      </c>
      <c r="H1631" s="207" t="s">
        <v>3676</v>
      </c>
      <c r="I1631" s="207" t="s">
        <v>574</v>
      </c>
      <c r="J1631" s="207" t="s">
        <v>6426</v>
      </c>
      <c r="K1631" s="207" t="s">
        <v>6427</v>
      </c>
      <c r="L1631" s="207">
        <v>806</v>
      </c>
      <c r="M1631" s="207">
        <v>1</v>
      </c>
      <c r="N1631" s="207">
        <v>1</v>
      </c>
      <c r="O1631" s="207">
        <v>5</v>
      </c>
      <c r="P1631" s="207">
        <v>0</v>
      </c>
      <c r="Q1631" s="207">
        <v>4</v>
      </c>
      <c r="R1631" s="1251">
        <v>12</v>
      </c>
      <c r="S1631" s="1251">
        <v>60</v>
      </c>
      <c r="T1631" s="26" t="s">
        <v>5448</v>
      </c>
      <c r="U1631" s="1871" t="s">
        <v>5124</v>
      </c>
      <c r="V1631" s="26" t="s">
        <v>6280</v>
      </c>
      <c r="W1631" s="689" t="s">
        <v>6428</v>
      </c>
      <c r="X1631" s="26"/>
      <c r="Y1631" s="71"/>
      <c r="Z1631" s="71"/>
    </row>
    <row r="1632" spans="1:26" ht="15.6" hidden="1">
      <c r="A1632" s="20">
        <v>1639</v>
      </c>
      <c r="B1632" s="1063">
        <v>41409</v>
      </c>
      <c r="C1632" s="26" t="s">
        <v>152</v>
      </c>
      <c r="D1632" s="11" t="s">
        <v>6</v>
      </c>
      <c r="E1632" s="204" t="s">
        <v>5448</v>
      </c>
      <c r="F1632" s="26" t="s">
        <v>404</v>
      </c>
      <c r="G1632" s="207" t="s">
        <v>6429</v>
      </c>
      <c r="H1632" s="207" t="s">
        <v>3676</v>
      </c>
      <c r="I1632" s="207" t="s">
        <v>574</v>
      </c>
      <c r="J1632" s="207" t="s">
        <v>6430</v>
      </c>
      <c r="K1632" s="207" t="s">
        <v>6431</v>
      </c>
      <c r="L1632" s="207">
        <v>805</v>
      </c>
      <c r="M1632" s="207">
        <v>2</v>
      </c>
      <c r="N1632" s="207">
        <v>1</v>
      </c>
      <c r="O1632" s="207">
        <v>5</v>
      </c>
      <c r="P1632" s="207">
        <v>0</v>
      </c>
      <c r="Q1632" s="207">
        <v>3</v>
      </c>
      <c r="R1632" s="1251">
        <v>12</v>
      </c>
      <c r="S1632" s="1251">
        <v>60</v>
      </c>
      <c r="T1632" s="26" t="s">
        <v>5448</v>
      </c>
      <c r="U1632" s="1871" t="s">
        <v>5124</v>
      </c>
      <c r="V1632" s="26" t="s">
        <v>6280</v>
      </c>
      <c r="W1632" s="2071" t="s">
        <v>6432</v>
      </c>
      <c r="X1632" s="26"/>
      <c r="Y1632" s="71"/>
      <c r="Z1632" s="71"/>
    </row>
    <row r="1633" spans="1:26" ht="15.6" hidden="1">
      <c r="A1633" s="20">
        <v>1640</v>
      </c>
      <c r="B1633" s="1063">
        <v>41410</v>
      </c>
      <c r="C1633" s="26" t="s">
        <v>152</v>
      </c>
      <c r="D1633" s="11" t="s">
        <v>6</v>
      </c>
      <c r="E1633" s="204" t="s">
        <v>5448</v>
      </c>
      <c r="F1633" s="26" t="s">
        <v>404</v>
      </c>
      <c r="G1633" s="207" t="s">
        <v>6433</v>
      </c>
      <c r="H1633" s="207" t="s">
        <v>3676</v>
      </c>
      <c r="I1633" s="207" t="s">
        <v>574</v>
      </c>
      <c r="J1633" s="207" t="s">
        <v>6434</v>
      </c>
      <c r="K1633" s="207" t="s">
        <v>6435</v>
      </c>
      <c r="L1633" s="207">
        <v>805</v>
      </c>
      <c r="M1633" s="207">
        <v>1</v>
      </c>
      <c r="N1633" s="207">
        <v>1</v>
      </c>
      <c r="O1633" s="207">
        <v>5</v>
      </c>
      <c r="P1633" s="207">
        <v>0</v>
      </c>
      <c r="Q1633" s="207">
        <v>4</v>
      </c>
      <c r="R1633" s="1251">
        <v>12</v>
      </c>
      <c r="S1633" s="1251">
        <v>60</v>
      </c>
      <c r="T1633" s="26" t="s">
        <v>5448</v>
      </c>
      <c r="U1633" s="1871" t="s">
        <v>5124</v>
      </c>
      <c r="V1633" s="26" t="s">
        <v>6280</v>
      </c>
      <c r="W1633" s="689" t="s">
        <v>6436</v>
      </c>
      <c r="X1633" s="18"/>
      <c r="Y1633" s="4"/>
      <c r="Z1633" s="4"/>
    </row>
    <row r="1634" spans="1:26" ht="15.6" hidden="1">
      <c r="A1634" s="20">
        <v>1641</v>
      </c>
      <c r="B1634" s="1063">
        <v>41411</v>
      </c>
      <c r="C1634" s="26" t="s">
        <v>152</v>
      </c>
      <c r="D1634" s="11" t="s">
        <v>6</v>
      </c>
      <c r="E1634" s="204" t="s">
        <v>5448</v>
      </c>
      <c r="F1634" s="26" t="s">
        <v>404</v>
      </c>
      <c r="G1634" s="207" t="s">
        <v>6437</v>
      </c>
      <c r="H1634" s="207" t="s">
        <v>3676</v>
      </c>
      <c r="I1634" s="207" t="s">
        <v>574</v>
      </c>
      <c r="J1634" s="207" t="s">
        <v>6438</v>
      </c>
      <c r="K1634" s="207" t="s">
        <v>6439</v>
      </c>
      <c r="L1634" s="207">
        <v>805</v>
      </c>
      <c r="M1634" s="207">
        <v>1</v>
      </c>
      <c r="N1634" s="207">
        <v>1</v>
      </c>
      <c r="O1634" s="207">
        <v>5</v>
      </c>
      <c r="P1634" s="207">
        <v>0</v>
      </c>
      <c r="Q1634" s="207">
        <v>4</v>
      </c>
      <c r="R1634" s="1251">
        <v>12</v>
      </c>
      <c r="S1634" s="1251">
        <v>60</v>
      </c>
      <c r="T1634" s="26" t="s">
        <v>5448</v>
      </c>
      <c r="U1634" s="1871" t="s">
        <v>5124</v>
      </c>
      <c r="V1634" s="26" t="s">
        <v>6280</v>
      </c>
      <c r="W1634" s="2071" t="s">
        <v>6440</v>
      </c>
      <c r="X1634" s="18"/>
      <c r="Y1634" s="4"/>
      <c r="Z1634" s="4"/>
    </row>
    <row r="1635" spans="1:26" ht="15.6" hidden="1">
      <c r="A1635" s="20">
        <v>1642</v>
      </c>
      <c r="B1635" s="1063">
        <v>41412</v>
      </c>
      <c r="C1635" s="26" t="s">
        <v>152</v>
      </c>
      <c r="D1635" s="11" t="s">
        <v>6</v>
      </c>
      <c r="E1635" s="204" t="s">
        <v>5448</v>
      </c>
      <c r="F1635" s="26" t="s">
        <v>404</v>
      </c>
      <c r="G1635" s="207" t="s">
        <v>6441</v>
      </c>
      <c r="H1635" s="207" t="s">
        <v>3676</v>
      </c>
      <c r="I1635" s="207" t="s">
        <v>574</v>
      </c>
      <c r="J1635" s="207" t="s">
        <v>6442</v>
      </c>
      <c r="K1635" s="207" t="s">
        <v>6443</v>
      </c>
      <c r="L1635" s="207">
        <v>805</v>
      </c>
      <c r="M1635" s="207">
        <v>1</v>
      </c>
      <c r="N1635" s="207">
        <v>1</v>
      </c>
      <c r="O1635" s="207">
        <v>5</v>
      </c>
      <c r="P1635" s="207">
        <v>0</v>
      </c>
      <c r="Q1635" s="207">
        <v>4</v>
      </c>
      <c r="R1635" s="1251">
        <v>12</v>
      </c>
      <c r="S1635" s="1251">
        <v>60</v>
      </c>
      <c r="T1635" s="26" t="s">
        <v>5448</v>
      </c>
      <c r="U1635" s="1871" t="s">
        <v>5124</v>
      </c>
      <c r="V1635" s="26" t="s">
        <v>6280</v>
      </c>
      <c r="W1635" s="2071" t="s">
        <v>6444</v>
      </c>
      <c r="X1635" s="18"/>
      <c r="Y1635" s="4"/>
      <c r="Z1635" s="4"/>
    </row>
    <row r="1636" spans="1:26" ht="15.6" hidden="1">
      <c r="A1636" s="20">
        <v>1643</v>
      </c>
      <c r="B1636" s="1063">
        <v>41413</v>
      </c>
      <c r="C1636" s="26" t="s">
        <v>152</v>
      </c>
      <c r="D1636" s="11" t="s">
        <v>6</v>
      </c>
      <c r="E1636" s="204" t="s">
        <v>5448</v>
      </c>
      <c r="F1636" s="26" t="s">
        <v>404</v>
      </c>
      <c r="G1636" s="207" t="s">
        <v>6445</v>
      </c>
      <c r="H1636" s="207" t="s">
        <v>3676</v>
      </c>
      <c r="I1636" s="207" t="s">
        <v>574</v>
      </c>
      <c r="J1636" s="207" t="s">
        <v>6446</v>
      </c>
      <c r="K1636" s="207" t="s">
        <v>6447</v>
      </c>
      <c r="L1636" s="207">
        <v>805</v>
      </c>
      <c r="M1636" s="207">
        <v>2</v>
      </c>
      <c r="N1636" s="207">
        <v>1</v>
      </c>
      <c r="O1636" s="207">
        <v>5</v>
      </c>
      <c r="P1636" s="207">
        <v>0</v>
      </c>
      <c r="Q1636" s="207">
        <v>3</v>
      </c>
      <c r="R1636" s="1251">
        <v>12</v>
      </c>
      <c r="S1636" s="1251">
        <v>60</v>
      </c>
      <c r="T1636" s="26" t="s">
        <v>5448</v>
      </c>
      <c r="U1636" s="1871" t="s">
        <v>5124</v>
      </c>
      <c r="V1636" s="26" t="s">
        <v>6280</v>
      </c>
      <c r="W1636" s="2071" t="s">
        <v>6448</v>
      </c>
      <c r="X1636" s="18"/>
      <c r="Y1636" s="4"/>
      <c r="Z1636" s="4"/>
    </row>
    <row r="1637" spans="1:26" ht="15.6" hidden="1">
      <c r="A1637" s="20">
        <v>1644</v>
      </c>
      <c r="B1637" s="1063">
        <v>41414</v>
      </c>
      <c r="C1637" s="26" t="s">
        <v>152</v>
      </c>
      <c r="D1637" s="11" t="s">
        <v>6</v>
      </c>
      <c r="E1637" s="204" t="s">
        <v>5448</v>
      </c>
      <c r="F1637" s="26" t="s">
        <v>404</v>
      </c>
      <c r="G1637" s="207" t="s">
        <v>6449</v>
      </c>
      <c r="H1637" s="207" t="s">
        <v>3676</v>
      </c>
      <c r="I1637" s="207" t="s">
        <v>574</v>
      </c>
      <c r="J1637" s="207" t="s">
        <v>6450</v>
      </c>
      <c r="K1637" s="207" t="s">
        <v>6451</v>
      </c>
      <c r="L1637" s="207">
        <v>805</v>
      </c>
      <c r="M1637" s="207">
        <v>1</v>
      </c>
      <c r="N1637" s="207">
        <v>1</v>
      </c>
      <c r="O1637" s="207">
        <v>5</v>
      </c>
      <c r="P1637" s="207">
        <v>0</v>
      </c>
      <c r="Q1637" s="207">
        <v>4</v>
      </c>
      <c r="R1637" s="1251">
        <v>12</v>
      </c>
      <c r="S1637" s="1251">
        <v>60</v>
      </c>
      <c r="T1637" s="26" t="s">
        <v>5448</v>
      </c>
      <c r="U1637" s="1871" t="s">
        <v>5124</v>
      </c>
      <c r="V1637" s="26" t="s">
        <v>6280</v>
      </c>
      <c r="W1637" s="2071" t="s">
        <v>6452</v>
      </c>
      <c r="X1637" s="26"/>
      <c r="Y1637" s="71"/>
      <c r="Z1637" s="71"/>
    </row>
    <row r="1638" spans="1:26" ht="15.6" hidden="1">
      <c r="A1638" s="20">
        <v>1645</v>
      </c>
      <c r="B1638" s="1063">
        <v>41415</v>
      </c>
      <c r="C1638" s="26" t="s">
        <v>1988</v>
      </c>
      <c r="D1638" s="11" t="s">
        <v>6</v>
      </c>
      <c r="E1638" s="204" t="s">
        <v>5448</v>
      </c>
      <c r="F1638" s="26" t="s">
        <v>404</v>
      </c>
      <c r="G1638" s="207" t="s">
        <v>6453</v>
      </c>
      <c r="H1638" s="207" t="s">
        <v>452</v>
      </c>
      <c r="I1638" s="207" t="s">
        <v>574</v>
      </c>
      <c r="J1638" s="207" t="s">
        <v>6454</v>
      </c>
      <c r="K1638" s="207" t="s">
        <v>6455</v>
      </c>
      <c r="L1638" s="207" t="s">
        <v>6456</v>
      </c>
      <c r="M1638" s="207">
        <v>14</v>
      </c>
      <c r="N1638" s="207">
        <v>1</v>
      </c>
      <c r="O1638" s="207">
        <v>30</v>
      </c>
      <c r="P1638" s="207">
        <v>0</v>
      </c>
      <c r="Q1638" s="207">
        <v>16</v>
      </c>
      <c r="R1638" s="1251">
        <v>0.15</v>
      </c>
      <c r="S1638" s="1251">
        <v>4.5</v>
      </c>
      <c r="T1638" s="26" t="s">
        <v>5448</v>
      </c>
      <c r="U1638" s="1871" t="s">
        <v>6279</v>
      </c>
      <c r="V1638" s="26" t="s">
        <v>6280</v>
      </c>
      <c r="W1638" s="2071" t="s">
        <v>6457</v>
      </c>
      <c r="X1638" s="26"/>
      <c r="Y1638" s="71"/>
      <c r="Z1638" s="71"/>
    </row>
    <row r="1639" spans="1:26" ht="15.6" hidden="1">
      <c r="A1639" s="20">
        <v>1646</v>
      </c>
      <c r="B1639" s="1063">
        <v>41416</v>
      </c>
      <c r="C1639" s="26" t="s">
        <v>3441</v>
      </c>
      <c r="D1639" s="11" t="s">
        <v>6</v>
      </c>
      <c r="E1639" s="204" t="s">
        <v>5448</v>
      </c>
      <c r="F1639" s="26" t="s">
        <v>404</v>
      </c>
      <c r="G1639" s="207" t="s">
        <v>6458</v>
      </c>
      <c r="H1639" s="207" t="s">
        <v>1740</v>
      </c>
      <c r="I1639" s="207" t="s">
        <v>574</v>
      </c>
      <c r="J1639" s="207" t="s">
        <v>6459</v>
      </c>
      <c r="K1639" s="207" t="s">
        <v>6460</v>
      </c>
      <c r="L1639" s="207" t="s">
        <v>526</v>
      </c>
      <c r="M1639" s="207">
        <v>7</v>
      </c>
      <c r="N1639" s="207">
        <v>1</v>
      </c>
      <c r="O1639" s="207">
        <v>13</v>
      </c>
      <c r="P1639" s="207">
        <v>0</v>
      </c>
      <c r="Q1639" s="207">
        <v>6</v>
      </c>
      <c r="R1639" s="1251">
        <v>114.8</v>
      </c>
      <c r="S1639" s="1251">
        <v>1492.4</v>
      </c>
      <c r="T1639" s="26" t="s">
        <v>5448</v>
      </c>
      <c r="U1639" s="1871" t="s">
        <v>6279</v>
      </c>
      <c r="V1639" s="26" t="s">
        <v>6280</v>
      </c>
      <c r="W1639" s="689" t="s">
        <v>6461</v>
      </c>
      <c r="X1639" s="18"/>
      <c r="Y1639" s="4"/>
      <c r="Z1639" s="4"/>
    </row>
    <row r="1640" spans="1:26" ht="15.6" hidden="1">
      <c r="A1640" s="20">
        <v>1647</v>
      </c>
      <c r="B1640" s="1063">
        <v>41417</v>
      </c>
      <c r="C1640" s="26" t="s">
        <v>6462</v>
      </c>
      <c r="D1640" s="11" t="s">
        <v>6</v>
      </c>
      <c r="E1640" s="204" t="s">
        <v>5448</v>
      </c>
      <c r="F1640" s="26" t="s">
        <v>404</v>
      </c>
      <c r="G1640" s="207" t="s">
        <v>6463</v>
      </c>
      <c r="H1640" s="207" t="s">
        <v>1498</v>
      </c>
      <c r="I1640" s="207" t="s">
        <v>574</v>
      </c>
      <c r="J1640" s="207" t="s">
        <v>4800</v>
      </c>
      <c r="K1640" s="207" t="s">
        <v>4798</v>
      </c>
      <c r="L1640" s="207" t="s">
        <v>520</v>
      </c>
      <c r="M1640" s="207">
        <v>8</v>
      </c>
      <c r="N1640" s="207">
        <v>1</v>
      </c>
      <c r="O1640" s="207">
        <v>10</v>
      </c>
      <c r="P1640" s="207">
        <v>0</v>
      </c>
      <c r="Q1640" s="207">
        <v>2</v>
      </c>
      <c r="R1640" s="1251">
        <v>287</v>
      </c>
      <c r="S1640" s="1251">
        <v>2870</v>
      </c>
      <c r="T1640" s="26" t="s">
        <v>5448</v>
      </c>
      <c r="U1640" s="1871" t="s">
        <v>5124</v>
      </c>
      <c r="V1640" s="26" t="s">
        <v>6280</v>
      </c>
      <c r="W1640" s="2071" t="s">
        <v>6464</v>
      </c>
      <c r="X1640" s="18"/>
      <c r="Y1640" s="4"/>
      <c r="Z1640" s="4"/>
    </row>
    <row r="1641" spans="1:26" ht="15.6" hidden="1">
      <c r="A1641" s="20">
        <v>1648</v>
      </c>
      <c r="B1641" s="1063">
        <v>41418</v>
      </c>
      <c r="C1641" s="26" t="s">
        <v>6465</v>
      </c>
      <c r="D1641" s="11" t="s">
        <v>6</v>
      </c>
      <c r="E1641" s="204" t="s">
        <v>5448</v>
      </c>
      <c r="F1641" s="26" t="s">
        <v>404</v>
      </c>
      <c r="G1641" s="207" t="s">
        <v>6466</v>
      </c>
      <c r="H1641" s="207" t="s">
        <v>1498</v>
      </c>
      <c r="I1641" s="207" t="s">
        <v>574</v>
      </c>
      <c r="J1641" s="207" t="s">
        <v>6467</v>
      </c>
      <c r="K1641" s="207" t="s">
        <v>6468</v>
      </c>
      <c r="L1641" s="207" t="s">
        <v>6469</v>
      </c>
      <c r="M1641" s="207">
        <v>1</v>
      </c>
      <c r="N1641" s="207">
        <v>1</v>
      </c>
      <c r="O1641" s="207">
        <v>2</v>
      </c>
      <c r="P1641" s="207">
        <v>0</v>
      </c>
      <c r="Q1641" s="207">
        <v>1</v>
      </c>
      <c r="R1641" s="1251">
        <v>2013</v>
      </c>
      <c r="S1641" s="1251">
        <v>4026</v>
      </c>
      <c r="T1641" s="26" t="s">
        <v>5448</v>
      </c>
      <c r="U1641" s="1871" t="s">
        <v>5124</v>
      </c>
      <c r="V1641" s="26" t="s">
        <v>6280</v>
      </c>
      <c r="W1641" s="2071" t="s">
        <v>6470</v>
      </c>
      <c r="X1641" s="18"/>
      <c r="Y1641" s="4"/>
      <c r="Z1641" s="4"/>
    </row>
    <row r="1642" spans="1:26" ht="15.6">
      <c r="A1642" s="20"/>
      <c r="B1642" s="1063">
        <v>44960</v>
      </c>
      <c r="C1642" s="26"/>
      <c r="D1642" s="22"/>
      <c r="E1642" s="204"/>
      <c r="F1642" s="26"/>
      <c r="G1642" s="207"/>
      <c r="H1642" s="207"/>
      <c r="I1642" s="207"/>
      <c r="J1642" s="207"/>
      <c r="K1642" s="207"/>
      <c r="L1642" s="207"/>
      <c r="M1642" s="207"/>
      <c r="N1642" s="207"/>
      <c r="O1642" s="207"/>
      <c r="P1642" s="207"/>
      <c r="Q1642" s="207"/>
      <c r="R1642" s="1251"/>
      <c r="S1642" s="1251"/>
      <c r="T1642" s="26"/>
      <c r="U1642" s="1871"/>
      <c r="V1642" s="26"/>
      <c r="W1642" s="2298"/>
      <c r="X1642" s="18"/>
      <c r="Y1642" s="4"/>
      <c r="Z1642" s="4"/>
    </row>
    <row r="1643" spans="1:26" ht="15.6">
      <c r="A1643" s="20"/>
      <c r="B1643" s="1063">
        <v>44960</v>
      </c>
      <c r="C1643" s="26"/>
      <c r="D1643" s="22"/>
      <c r="E1643" s="204"/>
      <c r="F1643" s="26"/>
      <c r="G1643" s="207"/>
      <c r="H1643" s="207"/>
      <c r="I1643" s="207"/>
      <c r="J1643" s="207"/>
      <c r="K1643" s="207"/>
      <c r="L1643" s="207"/>
      <c r="M1643" s="207"/>
      <c r="N1643" s="207"/>
      <c r="O1643" s="207"/>
      <c r="P1643" s="207"/>
      <c r="Q1643" s="207"/>
      <c r="R1643" s="1251"/>
      <c r="S1643" s="1251"/>
      <c r="T1643" s="26"/>
      <c r="U1643" s="1871"/>
      <c r="V1643" s="26"/>
      <c r="W1643" s="2071"/>
      <c r="X1643" s="26"/>
      <c r="Y1643" s="71"/>
      <c r="Z1643" s="71"/>
    </row>
    <row r="1644" spans="1:26" ht="15.6" hidden="1">
      <c r="A1644" s="20">
        <v>1651</v>
      </c>
      <c r="B1644" s="1063">
        <v>41421</v>
      </c>
      <c r="C1644" s="26" t="s">
        <v>2517</v>
      </c>
      <c r="D1644" s="11" t="s">
        <v>6</v>
      </c>
      <c r="E1644" s="204" t="s">
        <v>5448</v>
      </c>
      <c r="F1644" s="26" t="s">
        <v>404</v>
      </c>
      <c r="G1644" s="207" t="s">
        <v>4789</v>
      </c>
      <c r="H1644" s="207" t="s">
        <v>1751</v>
      </c>
      <c r="I1644" s="207" t="s">
        <v>574</v>
      </c>
      <c r="J1644" s="207" t="s">
        <v>1752</v>
      </c>
      <c r="K1644" s="207" t="s">
        <v>6471</v>
      </c>
      <c r="L1644" s="207" t="s">
        <v>6472</v>
      </c>
      <c r="M1644" s="207">
        <v>6</v>
      </c>
      <c r="N1644" s="207">
        <v>1</v>
      </c>
      <c r="O1644" s="207">
        <v>10</v>
      </c>
      <c r="P1644" s="207">
        <v>0</v>
      </c>
      <c r="Q1644" s="207">
        <v>4</v>
      </c>
      <c r="R1644" s="1251">
        <v>1224</v>
      </c>
      <c r="S1644" s="1251">
        <v>12240</v>
      </c>
      <c r="T1644" s="26" t="s">
        <v>5448</v>
      </c>
      <c r="U1644" s="1871" t="s">
        <v>6279</v>
      </c>
      <c r="V1644" s="26" t="s">
        <v>6280</v>
      </c>
      <c r="W1644" s="689" t="s">
        <v>1754</v>
      </c>
      <c r="X1644" s="26"/>
      <c r="Y1644" s="71"/>
      <c r="Z1644" s="71"/>
    </row>
    <row r="1645" spans="1:26" ht="15.6" hidden="1">
      <c r="A1645" s="20">
        <v>1652</v>
      </c>
      <c r="B1645" s="1063">
        <v>41422</v>
      </c>
      <c r="C1645" s="26" t="s">
        <v>2043</v>
      </c>
      <c r="D1645" s="11" t="s">
        <v>6</v>
      </c>
      <c r="E1645" s="204" t="s">
        <v>5448</v>
      </c>
      <c r="F1645" s="26" t="s">
        <v>404</v>
      </c>
      <c r="G1645" s="207" t="s">
        <v>6473</v>
      </c>
      <c r="H1645" s="207" t="s">
        <v>6474</v>
      </c>
      <c r="I1645" s="207" t="s">
        <v>574</v>
      </c>
      <c r="J1645" s="207" t="s">
        <v>6475</v>
      </c>
      <c r="K1645" s="207" t="s">
        <v>6476</v>
      </c>
      <c r="L1645" s="207" t="s">
        <v>2258</v>
      </c>
      <c r="M1645" s="207">
        <v>1</v>
      </c>
      <c r="N1645" s="207">
        <v>1</v>
      </c>
      <c r="O1645" s="207">
        <v>3</v>
      </c>
      <c r="P1645" s="207">
        <v>0</v>
      </c>
      <c r="Q1645" s="207">
        <v>2</v>
      </c>
      <c r="R1645" s="1251">
        <v>170</v>
      </c>
      <c r="S1645" s="1251">
        <v>510</v>
      </c>
      <c r="T1645" s="26" t="s">
        <v>5448</v>
      </c>
      <c r="U1645" s="1871" t="s">
        <v>5124</v>
      </c>
      <c r="V1645" s="26" t="s">
        <v>6280</v>
      </c>
      <c r="W1645" s="2071" t="s">
        <v>6477</v>
      </c>
      <c r="X1645" s="18"/>
      <c r="Y1645" s="4"/>
      <c r="Z1645" s="4"/>
    </row>
    <row r="1646" spans="1:26" ht="15.6" hidden="1">
      <c r="A1646" s="20">
        <v>1653</v>
      </c>
      <c r="B1646" s="1063">
        <v>41423</v>
      </c>
      <c r="C1646" s="26" t="s">
        <v>6478</v>
      </c>
      <c r="D1646" s="11" t="s">
        <v>6</v>
      </c>
      <c r="E1646" s="204" t="s">
        <v>5448</v>
      </c>
      <c r="F1646" s="26" t="s">
        <v>404</v>
      </c>
      <c r="G1646" s="207" t="s">
        <v>6479</v>
      </c>
      <c r="H1646" s="207" t="s">
        <v>1715</v>
      </c>
      <c r="I1646" s="207" t="s">
        <v>574</v>
      </c>
      <c r="J1646" s="207" t="s">
        <v>2354</v>
      </c>
      <c r="K1646" s="207" t="s">
        <v>2355</v>
      </c>
      <c r="L1646" s="207" t="s">
        <v>6480</v>
      </c>
      <c r="M1646" s="207">
        <v>2</v>
      </c>
      <c r="N1646" s="207">
        <v>1</v>
      </c>
      <c r="O1646" s="207">
        <v>4</v>
      </c>
      <c r="P1646" s="207">
        <v>0</v>
      </c>
      <c r="Q1646" s="207">
        <v>2</v>
      </c>
      <c r="R1646" s="1251">
        <v>269</v>
      </c>
      <c r="S1646" s="1251">
        <v>1076</v>
      </c>
      <c r="T1646" s="26" t="s">
        <v>5448</v>
      </c>
      <c r="U1646" s="1871" t="s">
        <v>5124</v>
      </c>
      <c r="V1646" s="26" t="s">
        <v>6280</v>
      </c>
      <c r="W1646" s="689" t="s">
        <v>6481</v>
      </c>
      <c r="X1646" s="18"/>
      <c r="Y1646" s="4"/>
      <c r="Z1646" s="4"/>
    </row>
    <row r="1647" spans="1:26" ht="15.6" hidden="1">
      <c r="A1647" s="20">
        <v>1654</v>
      </c>
      <c r="B1647" s="1063">
        <v>41424</v>
      </c>
      <c r="C1647" s="26" t="s">
        <v>6482</v>
      </c>
      <c r="D1647" s="11" t="s">
        <v>6</v>
      </c>
      <c r="E1647" s="204" t="s">
        <v>5448</v>
      </c>
      <c r="F1647" s="26" t="s">
        <v>404</v>
      </c>
      <c r="G1647" s="207" t="s">
        <v>6483</v>
      </c>
      <c r="H1647" s="207" t="s">
        <v>1715</v>
      </c>
      <c r="I1647" s="207" t="s">
        <v>574</v>
      </c>
      <c r="J1647" s="207" t="s">
        <v>3805</v>
      </c>
      <c r="K1647" s="207" t="s">
        <v>3806</v>
      </c>
      <c r="L1647" s="207" t="s">
        <v>6484</v>
      </c>
      <c r="M1647" s="207">
        <v>5</v>
      </c>
      <c r="N1647" s="207">
        <v>1</v>
      </c>
      <c r="O1647" s="207">
        <v>12</v>
      </c>
      <c r="P1647" s="207">
        <v>0</v>
      </c>
      <c r="Q1647" s="207">
        <v>7</v>
      </c>
      <c r="R1647" s="1251">
        <v>481</v>
      </c>
      <c r="S1647" s="1251">
        <v>5772</v>
      </c>
      <c r="T1647" s="26" t="s">
        <v>5448</v>
      </c>
      <c r="U1647" s="1871" t="s">
        <v>6279</v>
      </c>
      <c r="V1647" s="26" t="s">
        <v>6280</v>
      </c>
      <c r="W1647" s="689" t="s">
        <v>6485</v>
      </c>
      <c r="X1647" s="18"/>
      <c r="Y1647" s="4"/>
      <c r="Z1647" s="4"/>
    </row>
    <row r="1648" spans="1:26" ht="15.6" hidden="1">
      <c r="A1648" s="20">
        <v>1655</v>
      </c>
      <c r="B1648" s="1063">
        <v>41425</v>
      </c>
      <c r="C1648" s="26" t="s">
        <v>3402</v>
      </c>
      <c r="D1648" s="11" t="s">
        <v>6</v>
      </c>
      <c r="E1648" s="204" t="s">
        <v>5448</v>
      </c>
      <c r="F1648" s="26" t="s">
        <v>404</v>
      </c>
      <c r="G1648" s="207" t="s">
        <v>6486</v>
      </c>
      <c r="H1648" s="207" t="s">
        <v>460</v>
      </c>
      <c r="I1648" s="207" t="s">
        <v>574</v>
      </c>
      <c r="J1648" s="207" t="s">
        <v>6487</v>
      </c>
      <c r="K1648" s="207" t="s">
        <v>6488</v>
      </c>
      <c r="L1648" s="207" t="s">
        <v>5959</v>
      </c>
      <c r="M1648" s="207">
        <v>2</v>
      </c>
      <c r="N1648" s="207">
        <v>1</v>
      </c>
      <c r="O1648" s="207">
        <v>6</v>
      </c>
      <c r="P1648" s="207">
        <v>0</v>
      </c>
      <c r="Q1648" s="207">
        <v>4</v>
      </c>
      <c r="R1648" s="1251">
        <v>126</v>
      </c>
      <c r="S1648" s="1251">
        <v>756</v>
      </c>
      <c r="T1648" s="26" t="s">
        <v>5448</v>
      </c>
      <c r="U1648" s="1871" t="s">
        <v>5124</v>
      </c>
      <c r="V1648" s="26" t="s">
        <v>6280</v>
      </c>
      <c r="W1648" s="2071" t="s">
        <v>5960</v>
      </c>
      <c r="X1648" s="18"/>
      <c r="Y1648" s="4"/>
      <c r="Z1648" s="4"/>
    </row>
    <row r="1649" spans="1:26" ht="15.6" hidden="1">
      <c r="A1649" s="20">
        <v>1656</v>
      </c>
      <c r="B1649" s="1063">
        <v>41426</v>
      </c>
      <c r="C1649" s="26" t="s">
        <v>3402</v>
      </c>
      <c r="D1649" s="11" t="s">
        <v>6</v>
      </c>
      <c r="E1649" s="204" t="s">
        <v>5448</v>
      </c>
      <c r="F1649" s="26" t="s">
        <v>404</v>
      </c>
      <c r="G1649" s="207" t="s">
        <v>6489</v>
      </c>
      <c r="H1649" s="207" t="s">
        <v>460</v>
      </c>
      <c r="I1649" s="207" t="s">
        <v>574</v>
      </c>
      <c r="J1649" s="207" t="s">
        <v>6490</v>
      </c>
      <c r="K1649" s="207" t="s">
        <v>6491</v>
      </c>
      <c r="L1649" s="207" t="s">
        <v>1868</v>
      </c>
      <c r="M1649" s="207">
        <v>7</v>
      </c>
      <c r="N1649" s="207">
        <v>1</v>
      </c>
      <c r="O1649" s="207">
        <v>18</v>
      </c>
      <c r="P1649" s="207">
        <v>0</v>
      </c>
      <c r="Q1649" s="207">
        <v>11</v>
      </c>
      <c r="R1649" s="1251">
        <v>102</v>
      </c>
      <c r="S1649" s="1251">
        <v>1836</v>
      </c>
      <c r="T1649" s="26" t="s">
        <v>5448</v>
      </c>
      <c r="U1649" s="1871" t="s">
        <v>6279</v>
      </c>
      <c r="V1649" s="26" t="s">
        <v>6280</v>
      </c>
      <c r="W1649" s="2071" t="s">
        <v>6492</v>
      </c>
      <c r="X1649" s="26"/>
      <c r="Y1649" s="71"/>
      <c r="Z1649" s="71"/>
    </row>
    <row r="1650" spans="1:26" ht="15.6" hidden="1">
      <c r="A1650" s="20">
        <v>1657</v>
      </c>
      <c r="B1650" s="1063">
        <v>41427</v>
      </c>
      <c r="C1650" s="26" t="s">
        <v>339</v>
      </c>
      <c r="D1650" s="11" t="s">
        <v>6</v>
      </c>
      <c r="E1650" s="204" t="s">
        <v>5448</v>
      </c>
      <c r="F1650" s="26" t="s">
        <v>404</v>
      </c>
      <c r="G1650" s="207" t="s">
        <v>6493</v>
      </c>
      <c r="H1650" s="207" t="s">
        <v>460</v>
      </c>
      <c r="I1650" s="207" t="s">
        <v>574</v>
      </c>
      <c r="J1650" s="207" t="s">
        <v>6494</v>
      </c>
      <c r="K1650" s="207" t="s">
        <v>6495</v>
      </c>
      <c r="L1650" s="207" t="s">
        <v>6496</v>
      </c>
      <c r="M1650" s="207">
        <v>14</v>
      </c>
      <c r="N1650" s="207">
        <v>1</v>
      </c>
      <c r="O1650" s="207">
        <v>35</v>
      </c>
      <c r="P1650" s="207">
        <v>0</v>
      </c>
      <c r="Q1650" s="207">
        <v>21</v>
      </c>
      <c r="R1650" s="1251">
        <v>40</v>
      </c>
      <c r="S1650" s="1251">
        <v>1400</v>
      </c>
      <c r="T1650" s="26" t="s">
        <v>5448</v>
      </c>
      <c r="U1650" s="1871" t="s">
        <v>6279</v>
      </c>
      <c r="V1650" s="26" t="s">
        <v>6280</v>
      </c>
      <c r="W1650" s="2071" t="s">
        <v>6497</v>
      </c>
      <c r="X1650" s="26"/>
      <c r="Y1650" s="71"/>
      <c r="Z1650" s="71"/>
    </row>
    <row r="1651" spans="1:26" ht="15.6" hidden="1">
      <c r="A1651" s="20">
        <v>1658</v>
      </c>
      <c r="B1651" s="1063">
        <v>41428</v>
      </c>
      <c r="C1651" s="26" t="s">
        <v>6498</v>
      </c>
      <c r="D1651" s="11" t="s">
        <v>6</v>
      </c>
      <c r="E1651" s="204" t="s">
        <v>5448</v>
      </c>
      <c r="F1651" s="26" t="s">
        <v>404</v>
      </c>
      <c r="G1651" s="207" t="s">
        <v>6499</v>
      </c>
      <c r="H1651" s="207" t="s">
        <v>511</v>
      </c>
      <c r="I1651" s="207" t="s">
        <v>574</v>
      </c>
      <c r="J1651" s="207" t="s">
        <v>6500</v>
      </c>
      <c r="K1651" s="207" t="s">
        <v>2281</v>
      </c>
      <c r="L1651" s="207" t="s">
        <v>6501</v>
      </c>
      <c r="M1651" s="207">
        <v>27</v>
      </c>
      <c r="N1651" s="207">
        <v>1</v>
      </c>
      <c r="O1651" s="207">
        <v>60</v>
      </c>
      <c r="P1651" s="207">
        <v>0</v>
      </c>
      <c r="Q1651" s="207">
        <v>33</v>
      </c>
      <c r="R1651" s="1251">
        <v>63</v>
      </c>
      <c r="S1651" s="1251">
        <v>3780</v>
      </c>
      <c r="T1651" s="26" t="s">
        <v>5448</v>
      </c>
      <c r="U1651" s="1871" t="s">
        <v>6279</v>
      </c>
      <c r="V1651" s="26" t="s">
        <v>6280</v>
      </c>
      <c r="W1651" s="2071" t="s">
        <v>2283</v>
      </c>
      <c r="X1651" s="18"/>
      <c r="Y1651" s="4"/>
      <c r="Z1651" s="4"/>
    </row>
    <row r="1652" spans="1:26" ht="15.6" hidden="1">
      <c r="A1652" s="20">
        <v>1659</v>
      </c>
      <c r="B1652" s="1063">
        <v>41429</v>
      </c>
      <c r="C1652" s="26" t="s">
        <v>6502</v>
      </c>
      <c r="D1652" s="11" t="s">
        <v>6</v>
      </c>
      <c r="E1652" s="204" t="s">
        <v>5448</v>
      </c>
      <c r="F1652" s="26" t="s">
        <v>404</v>
      </c>
      <c r="G1652" s="207" t="s">
        <v>6503</v>
      </c>
      <c r="H1652" s="207" t="s">
        <v>752</v>
      </c>
      <c r="I1652" s="207" t="s">
        <v>574</v>
      </c>
      <c r="J1652" s="207" t="s">
        <v>6504</v>
      </c>
      <c r="K1652" s="207" t="s">
        <v>6505</v>
      </c>
      <c r="L1652" s="207" t="s">
        <v>6506</v>
      </c>
      <c r="M1652" s="207">
        <v>1</v>
      </c>
      <c r="N1652" s="207">
        <v>1</v>
      </c>
      <c r="O1652" s="207">
        <v>3</v>
      </c>
      <c r="P1652" s="207">
        <v>0</v>
      </c>
      <c r="Q1652" s="207">
        <v>2</v>
      </c>
      <c r="R1652" s="1251">
        <v>99</v>
      </c>
      <c r="S1652" s="1251">
        <v>297</v>
      </c>
      <c r="T1652" s="26" t="s">
        <v>5448</v>
      </c>
      <c r="U1652" s="1871" t="s">
        <v>5124</v>
      </c>
      <c r="V1652" s="26" t="s">
        <v>6280</v>
      </c>
      <c r="W1652" s="2071" t="s">
        <v>6507</v>
      </c>
      <c r="X1652" s="18"/>
      <c r="Y1652" s="4"/>
      <c r="Z1652" s="4"/>
    </row>
    <row r="1653" spans="1:26" ht="15.6" hidden="1">
      <c r="A1653" s="20">
        <v>1660</v>
      </c>
      <c r="B1653" s="1063">
        <v>41430</v>
      </c>
      <c r="C1653" s="26" t="s">
        <v>6465</v>
      </c>
      <c r="D1653" s="11" t="s">
        <v>6</v>
      </c>
      <c r="E1653" s="204" t="s">
        <v>5448</v>
      </c>
      <c r="F1653" s="26" t="s">
        <v>404</v>
      </c>
      <c r="G1653" s="207" t="s">
        <v>6508</v>
      </c>
      <c r="H1653" s="207" t="s">
        <v>460</v>
      </c>
      <c r="I1653" s="207" t="s">
        <v>574</v>
      </c>
      <c r="J1653" s="207" t="s">
        <v>6509</v>
      </c>
      <c r="K1653" s="207" t="s">
        <v>6510</v>
      </c>
      <c r="L1653" s="207" t="s">
        <v>6511</v>
      </c>
      <c r="M1653" s="207">
        <v>1</v>
      </c>
      <c r="N1653" s="207">
        <v>1</v>
      </c>
      <c r="O1653" s="207">
        <v>3</v>
      </c>
      <c r="P1653" s="207">
        <v>0</v>
      </c>
      <c r="Q1653" s="207">
        <v>2</v>
      </c>
      <c r="R1653" s="1251">
        <v>514</v>
      </c>
      <c r="S1653" s="1251">
        <v>1542</v>
      </c>
      <c r="T1653" s="26" t="s">
        <v>5448</v>
      </c>
      <c r="U1653" s="1871" t="s">
        <v>5124</v>
      </c>
      <c r="V1653" s="26" t="s">
        <v>6280</v>
      </c>
      <c r="W1653" s="2071" t="s">
        <v>6512</v>
      </c>
      <c r="X1653" s="18"/>
      <c r="Y1653" s="4"/>
      <c r="Z1653" s="4"/>
    </row>
    <row r="1654" spans="1:26" ht="15.6" hidden="1">
      <c r="A1654" s="20">
        <v>1661</v>
      </c>
      <c r="B1654" s="1063">
        <v>41431</v>
      </c>
      <c r="C1654" s="26" t="s">
        <v>6465</v>
      </c>
      <c r="D1654" s="11" t="s">
        <v>6</v>
      </c>
      <c r="E1654" s="204" t="s">
        <v>5448</v>
      </c>
      <c r="F1654" s="26" t="s">
        <v>404</v>
      </c>
      <c r="G1654" s="207" t="s">
        <v>6513</v>
      </c>
      <c r="H1654" s="207" t="s">
        <v>460</v>
      </c>
      <c r="I1654" s="207" t="s">
        <v>574</v>
      </c>
      <c r="J1654" s="207" t="s">
        <v>6514</v>
      </c>
      <c r="K1654" s="207" t="s">
        <v>6515</v>
      </c>
      <c r="L1654" s="207" t="s">
        <v>6516</v>
      </c>
      <c r="M1654" s="207">
        <v>6</v>
      </c>
      <c r="N1654" s="207">
        <v>1</v>
      </c>
      <c r="O1654" s="207">
        <v>10</v>
      </c>
      <c r="P1654" s="207">
        <v>0</v>
      </c>
      <c r="Q1654" s="207">
        <v>4</v>
      </c>
      <c r="R1654" s="1251">
        <v>258</v>
      </c>
      <c r="S1654" s="1251">
        <v>2580</v>
      </c>
      <c r="T1654" s="26" t="s">
        <v>5448</v>
      </c>
      <c r="U1654" s="1871" t="s">
        <v>5124</v>
      </c>
      <c r="V1654" s="26" t="s">
        <v>6280</v>
      </c>
      <c r="W1654" s="2071" t="s">
        <v>6517</v>
      </c>
      <c r="X1654" s="18"/>
      <c r="Y1654" s="4"/>
      <c r="Z1654" s="4"/>
    </row>
    <row r="1655" spans="1:26" ht="15.6" hidden="1">
      <c r="A1655" s="20">
        <v>1662</v>
      </c>
      <c r="B1655" s="1063">
        <v>41432</v>
      </c>
      <c r="C1655" s="191" t="s">
        <v>1988</v>
      </c>
      <c r="D1655" s="11" t="s">
        <v>6</v>
      </c>
      <c r="E1655" s="204" t="s">
        <v>5448</v>
      </c>
      <c r="F1655" s="26" t="s">
        <v>404</v>
      </c>
      <c r="G1655" s="189" t="s">
        <v>6518</v>
      </c>
      <c r="H1655" s="207" t="s">
        <v>1853</v>
      </c>
      <c r="I1655" s="207" t="s">
        <v>574</v>
      </c>
      <c r="J1655" s="207" t="s">
        <v>1854</v>
      </c>
      <c r="K1655" s="207" t="s">
        <v>6519</v>
      </c>
      <c r="L1655" s="207" t="s">
        <v>6520</v>
      </c>
      <c r="M1655" s="207">
        <v>1</v>
      </c>
      <c r="N1655" s="207">
        <v>1</v>
      </c>
      <c r="O1655" s="207">
        <v>3</v>
      </c>
      <c r="P1655" s="207">
        <v>0</v>
      </c>
      <c r="Q1655" s="207">
        <v>2</v>
      </c>
      <c r="R1655" s="1251">
        <v>43</v>
      </c>
      <c r="S1655" s="1251">
        <v>129</v>
      </c>
      <c r="T1655" s="26" t="s">
        <v>5448</v>
      </c>
      <c r="U1655" s="1871" t="s">
        <v>5124</v>
      </c>
      <c r="V1655" s="26" t="s">
        <v>6280</v>
      </c>
      <c r="W1655" s="2071" t="s">
        <v>6521</v>
      </c>
      <c r="X1655" s="26"/>
      <c r="Y1655" s="71"/>
      <c r="Z1655" s="71"/>
    </row>
    <row r="1656" spans="1:26" ht="15.6" hidden="1">
      <c r="A1656" s="20">
        <v>1663</v>
      </c>
      <c r="B1656" s="1063">
        <v>41433</v>
      </c>
      <c r="C1656" s="26" t="s">
        <v>188</v>
      </c>
      <c r="D1656" s="11" t="s">
        <v>6</v>
      </c>
      <c r="E1656" s="204" t="s">
        <v>5448</v>
      </c>
      <c r="F1656" s="26" t="s">
        <v>404</v>
      </c>
      <c r="G1656" s="207" t="s">
        <v>6522</v>
      </c>
      <c r="H1656" s="207" t="s">
        <v>3243</v>
      </c>
      <c r="I1656" s="207" t="s">
        <v>574</v>
      </c>
      <c r="J1656" s="207" t="s">
        <v>6523</v>
      </c>
      <c r="K1656" s="207" t="s">
        <v>6524</v>
      </c>
      <c r="L1656" s="207" t="s">
        <v>6525</v>
      </c>
      <c r="M1656" s="207">
        <v>7</v>
      </c>
      <c r="N1656" s="207">
        <v>1</v>
      </c>
      <c r="O1656" s="207">
        <v>10</v>
      </c>
      <c r="P1656" s="207">
        <v>0</v>
      </c>
      <c r="Q1656" s="207">
        <v>3</v>
      </c>
      <c r="R1656" s="1251">
        <v>205</v>
      </c>
      <c r="S1656" s="1251">
        <v>2050</v>
      </c>
      <c r="T1656" s="26" t="s">
        <v>5448</v>
      </c>
      <c r="U1656" s="1871" t="s">
        <v>5124</v>
      </c>
      <c r="V1656" s="26" t="s">
        <v>6280</v>
      </c>
      <c r="W1656" s="2071" t="s">
        <v>6526</v>
      </c>
      <c r="X1656" s="26"/>
      <c r="Y1656" s="71"/>
      <c r="Z1656" s="71"/>
    </row>
    <row r="1657" spans="1:26" ht="15.6" hidden="1">
      <c r="A1657" s="20">
        <v>1664</v>
      </c>
      <c r="B1657" s="1063">
        <v>41434</v>
      </c>
      <c r="C1657" s="26" t="s">
        <v>188</v>
      </c>
      <c r="D1657" s="11" t="s">
        <v>6</v>
      </c>
      <c r="E1657" s="204" t="s">
        <v>5448</v>
      </c>
      <c r="F1657" s="26" t="s">
        <v>404</v>
      </c>
      <c r="G1657" s="207" t="s">
        <v>6527</v>
      </c>
      <c r="H1657" s="207" t="s">
        <v>3243</v>
      </c>
      <c r="I1657" s="207" t="s">
        <v>574</v>
      </c>
      <c r="J1657" s="207" t="s">
        <v>6528</v>
      </c>
      <c r="K1657" s="207" t="s">
        <v>6529</v>
      </c>
      <c r="L1657" s="207" t="s">
        <v>6530</v>
      </c>
      <c r="M1657" s="207">
        <v>1</v>
      </c>
      <c r="N1657" s="207">
        <v>1</v>
      </c>
      <c r="O1657" s="207">
        <v>3</v>
      </c>
      <c r="P1657" s="207">
        <v>0</v>
      </c>
      <c r="Q1657" s="207">
        <v>2</v>
      </c>
      <c r="R1657" s="1251">
        <v>205</v>
      </c>
      <c r="S1657" s="1251">
        <v>615</v>
      </c>
      <c r="T1657" s="26" t="s">
        <v>5448</v>
      </c>
      <c r="U1657" s="1871" t="s">
        <v>5124</v>
      </c>
      <c r="V1657" s="26" t="s">
        <v>6280</v>
      </c>
      <c r="W1657" s="2071" t="s">
        <v>6531</v>
      </c>
      <c r="X1657" s="18"/>
      <c r="Y1657" s="4"/>
      <c r="Z1657" s="4"/>
    </row>
    <row r="1658" spans="1:26" ht="14.1" hidden="1">
      <c r="A1658" s="20">
        <v>1665</v>
      </c>
      <c r="B1658" s="1063">
        <v>41435</v>
      </c>
      <c r="C1658" s="190" t="s">
        <v>152</v>
      </c>
      <c r="D1658" s="11" t="s">
        <v>6</v>
      </c>
      <c r="E1658" s="204" t="s">
        <v>5448</v>
      </c>
      <c r="F1658" s="26" t="s">
        <v>404</v>
      </c>
      <c r="G1658" s="26" t="s">
        <v>6532</v>
      </c>
      <c r="H1658" s="26" t="s">
        <v>3676</v>
      </c>
      <c r="I1658" s="26" t="s">
        <v>574</v>
      </c>
      <c r="J1658" s="26" t="s">
        <v>6533</v>
      </c>
      <c r="K1658" s="26" t="s">
        <v>6534</v>
      </c>
      <c r="L1658" s="26">
        <v>805</v>
      </c>
      <c r="M1658" s="26">
        <v>9</v>
      </c>
      <c r="N1658" s="20">
        <v>1</v>
      </c>
      <c r="O1658" s="20">
        <v>20</v>
      </c>
      <c r="P1658" s="20">
        <v>0</v>
      </c>
      <c r="Q1658" s="20">
        <v>11</v>
      </c>
      <c r="R1658" s="1252">
        <v>22.6</v>
      </c>
      <c r="S1658" s="1252">
        <v>452</v>
      </c>
      <c r="T1658" s="26" t="s">
        <v>5448</v>
      </c>
      <c r="U1658" s="1871" t="s">
        <v>5124</v>
      </c>
      <c r="V1658" s="26" t="s">
        <v>6280</v>
      </c>
      <c r="W1658" s="2072" t="s">
        <v>6535</v>
      </c>
      <c r="X1658" s="189"/>
      <c r="Y1658" s="189"/>
      <c r="Z1658" s="189"/>
    </row>
    <row r="1659" spans="1:26" ht="14.1" hidden="1">
      <c r="A1659" s="20">
        <v>1666</v>
      </c>
      <c r="B1659" s="1063">
        <v>41436</v>
      </c>
      <c r="C1659" s="26" t="s">
        <v>6536</v>
      </c>
      <c r="D1659" s="10"/>
      <c r="E1659" s="204" t="s">
        <v>5448</v>
      </c>
      <c r="F1659" s="26" t="s">
        <v>1118</v>
      </c>
      <c r="G1659" s="26" t="s">
        <v>6537</v>
      </c>
      <c r="H1659" s="26" t="s">
        <v>6538</v>
      </c>
      <c r="I1659" s="26" t="s">
        <v>1022</v>
      </c>
      <c r="J1659" s="26" t="s">
        <v>6539</v>
      </c>
      <c r="K1659" s="26" t="s">
        <v>6539</v>
      </c>
      <c r="L1659" s="26"/>
      <c r="M1659" s="26">
        <v>4</v>
      </c>
      <c r="N1659" s="26">
        <v>4</v>
      </c>
      <c r="O1659" s="26">
        <v>4</v>
      </c>
      <c r="P1659" s="26">
        <v>0</v>
      </c>
      <c r="Q1659" s="26">
        <v>0</v>
      </c>
      <c r="R1659" s="1209">
        <v>3070</v>
      </c>
      <c r="S1659" s="1209">
        <v>12280</v>
      </c>
      <c r="T1659" s="26" t="s">
        <v>3133</v>
      </c>
      <c r="U1659" s="1871" t="s">
        <v>318</v>
      </c>
      <c r="V1659" s="26" t="s">
        <v>3147</v>
      </c>
      <c r="W1659" s="2065" t="s">
        <v>6540</v>
      </c>
      <c r="X1659" s="18"/>
      <c r="Y1659" s="4"/>
      <c r="Z1659" s="4"/>
    </row>
    <row r="1660" spans="1:26" ht="14.1" hidden="1">
      <c r="A1660" s="20">
        <v>1667</v>
      </c>
      <c r="B1660" s="1063">
        <v>41437</v>
      </c>
      <c r="C1660" s="932" t="s">
        <v>6541</v>
      </c>
      <c r="D1660" s="10"/>
      <c r="E1660" s="204" t="s">
        <v>5448</v>
      </c>
      <c r="F1660" s="26" t="s">
        <v>1118</v>
      </c>
      <c r="G1660" s="26" t="s">
        <v>6542</v>
      </c>
      <c r="H1660" s="26" t="s">
        <v>6538</v>
      </c>
      <c r="I1660" s="26" t="s">
        <v>1022</v>
      </c>
      <c r="J1660" s="26" t="s">
        <v>6543</v>
      </c>
      <c r="K1660" s="26"/>
      <c r="L1660" s="26"/>
      <c r="M1660" s="26">
        <v>1</v>
      </c>
      <c r="N1660" s="26">
        <v>1</v>
      </c>
      <c r="O1660" s="26">
        <v>4</v>
      </c>
      <c r="P1660" s="26">
        <v>0</v>
      </c>
      <c r="Q1660" s="26">
        <v>0</v>
      </c>
      <c r="R1660" s="1209">
        <v>3210</v>
      </c>
      <c r="S1660" s="1209">
        <v>3210</v>
      </c>
      <c r="T1660" s="26" t="s">
        <v>3133</v>
      </c>
      <c r="U1660" s="1871" t="s">
        <v>318</v>
      </c>
      <c r="V1660" s="26" t="s">
        <v>3147</v>
      </c>
      <c r="W1660" s="2065" t="s">
        <v>6544</v>
      </c>
      <c r="X1660" s="18"/>
      <c r="Y1660" s="4"/>
      <c r="Z1660" s="4"/>
    </row>
    <row r="1661" spans="1:26" ht="15.6" hidden="1">
      <c r="A1661" s="20">
        <v>1668</v>
      </c>
      <c r="B1661" s="1063">
        <v>41438</v>
      </c>
      <c r="C1661" s="933" t="s">
        <v>6545</v>
      </c>
      <c r="D1661" s="11" t="s">
        <v>6</v>
      </c>
      <c r="E1661" s="26" t="s">
        <v>5448</v>
      </c>
      <c r="F1661" s="26" t="s">
        <v>412</v>
      </c>
      <c r="G1661" s="209" t="s">
        <v>6546</v>
      </c>
      <c r="H1661" s="209" t="s">
        <v>2944</v>
      </c>
      <c r="I1661" s="207" t="s">
        <v>574</v>
      </c>
      <c r="J1661" s="209" t="s">
        <v>6547</v>
      </c>
      <c r="K1661" s="209" t="s">
        <v>6546</v>
      </c>
      <c r="L1661" s="209" t="s">
        <v>1088</v>
      </c>
      <c r="M1661" s="209">
        <v>4</v>
      </c>
      <c r="N1661" s="26"/>
      <c r="O1661" s="209">
        <v>6</v>
      </c>
      <c r="P1661" s="26">
        <v>0</v>
      </c>
      <c r="Q1661" s="26">
        <v>2</v>
      </c>
      <c r="R1661" s="1253">
        <v>72</v>
      </c>
      <c r="S1661" s="1253">
        <v>432</v>
      </c>
      <c r="T1661" s="26" t="s">
        <v>5448</v>
      </c>
      <c r="U1661" s="1871" t="s">
        <v>6548</v>
      </c>
      <c r="V1661" s="26" t="s">
        <v>6280</v>
      </c>
      <c r="W1661" s="782" t="s">
        <v>6549</v>
      </c>
      <c r="X1661" s="18"/>
      <c r="Y1661" s="4"/>
      <c r="Z1661" s="4"/>
    </row>
    <row r="1662" spans="1:26" ht="15.6" hidden="1">
      <c r="A1662" s="20">
        <v>1669</v>
      </c>
      <c r="B1662" s="1063">
        <v>41439</v>
      </c>
      <c r="C1662" s="928" t="s">
        <v>6550</v>
      </c>
      <c r="D1662" s="11" t="s">
        <v>6</v>
      </c>
      <c r="E1662" s="26" t="s">
        <v>5448</v>
      </c>
      <c r="F1662" s="26" t="s">
        <v>412</v>
      </c>
      <c r="G1662" s="193" t="s">
        <v>2250</v>
      </c>
      <c r="H1662" s="193" t="s">
        <v>1715</v>
      </c>
      <c r="I1662" s="207" t="s">
        <v>574</v>
      </c>
      <c r="J1662" s="193" t="s">
        <v>2249</v>
      </c>
      <c r="K1662" s="193" t="s">
        <v>2250</v>
      </c>
      <c r="L1662" s="193" t="s">
        <v>1088</v>
      </c>
      <c r="M1662" s="193">
        <v>36</v>
      </c>
      <c r="N1662" s="26"/>
      <c r="O1662" s="193">
        <v>40</v>
      </c>
      <c r="P1662" s="26">
        <v>0</v>
      </c>
      <c r="Q1662" s="26">
        <v>4</v>
      </c>
      <c r="R1662" s="1246">
        <v>476</v>
      </c>
      <c r="S1662" s="1253">
        <v>19040</v>
      </c>
      <c r="T1662" s="26" t="s">
        <v>5448</v>
      </c>
      <c r="U1662" s="1871" t="s">
        <v>6548</v>
      </c>
      <c r="V1662" s="26" t="s">
        <v>6280</v>
      </c>
      <c r="W1662" s="782" t="s">
        <v>2252</v>
      </c>
      <c r="X1662" s="18"/>
      <c r="Y1662" s="4"/>
      <c r="Z1662" s="4"/>
    </row>
    <row r="1663" spans="1:26" ht="15.6" hidden="1">
      <c r="A1663" s="20">
        <v>1670</v>
      </c>
      <c r="B1663" s="1063">
        <v>41440</v>
      </c>
      <c r="C1663" s="928" t="s">
        <v>6551</v>
      </c>
      <c r="D1663" s="11" t="s">
        <v>6</v>
      </c>
      <c r="E1663" s="26" t="s">
        <v>5448</v>
      </c>
      <c r="F1663" s="26" t="s">
        <v>412</v>
      </c>
      <c r="G1663" s="193" t="s">
        <v>2243</v>
      </c>
      <c r="H1663" s="193" t="s">
        <v>3890</v>
      </c>
      <c r="I1663" s="207" t="s">
        <v>574</v>
      </c>
      <c r="J1663" s="193" t="s">
        <v>2242</v>
      </c>
      <c r="K1663" s="193" t="s">
        <v>2243</v>
      </c>
      <c r="L1663" s="193" t="s">
        <v>1088</v>
      </c>
      <c r="M1663" s="193">
        <v>32</v>
      </c>
      <c r="N1663" s="26"/>
      <c r="O1663" s="193">
        <v>36</v>
      </c>
      <c r="P1663" s="26">
        <v>0</v>
      </c>
      <c r="Q1663" s="26">
        <v>4</v>
      </c>
      <c r="R1663" s="1246">
        <v>687</v>
      </c>
      <c r="S1663" s="1253">
        <v>24732</v>
      </c>
      <c r="T1663" s="26" t="s">
        <v>5448</v>
      </c>
      <c r="U1663" s="1871" t="s">
        <v>6548</v>
      </c>
      <c r="V1663" s="26" t="s">
        <v>6280</v>
      </c>
      <c r="W1663" s="782" t="s">
        <v>6552</v>
      </c>
      <c r="X1663" s="26"/>
      <c r="Y1663" s="71"/>
      <c r="Z1663" s="71"/>
    </row>
    <row r="1664" spans="1:26" ht="15.6" hidden="1">
      <c r="A1664" s="20">
        <v>1671</v>
      </c>
      <c r="B1664" s="1063">
        <v>41441</v>
      </c>
      <c r="C1664" s="928" t="s">
        <v>534</v>
      </c>
      <c r="D1664" s="11" t="s">
        <v>6</v>
      </c>
      <c r="E1664" s="26" t="s">
        <v>5448</v>
      </c>
      <c r="F1664" s="26" t="s">
        <v>412</v>
      </c>
      <c r="G1664" s="193" t="s">
        <v>2264</v>
      </c>
      <c r="H1664" s="193" t="s">
        <v>6553</v>
      </c>
      <c r="I1664" s="207" t="s">
        <v>574</v>
      </c>
      <c r="J1664" s="193" t="s">
        <v>2263</v>
      </c>
      <c r="K1664" s="193" t="s">
        <v>2264</v>
      </c>
      <c r="L1664" s="193" t="s">
        <v>1088</v>
      </c>
      <c r="M1664" s="193">
        <v>36</v>
      </c>
      <c r="N1664" s="26"/>
      <c r="O1664" s="193">
        <v>40</v>
      </c>
      <c r="P1664" s="26">
        <v>0</v>
      </c>
      <c r="Q1664" s="26">
        <v>4</v>
      </c>
      <c r="R1664" s="1246">
        <v>73.599999999999994</v>
      </c>
      <c r="S1664" s="1253">
        <v>2944</v>
      </c>
      <c r="T1664" s="26" t="s">
        <v>5448</v>
      </c>
      <c r="U1664" s="1871" t="s">
        <v>6548</v>
      </c>
      <c r="V1664" s="26" t="s">
        <v>6280</v>
      </c>
      <c r="W1664" s="2073" t="s">
        <v>2266</v>
      </c>
      <c r="X1664" s="26"/>
      <c r="Y1664" s="71"/>
      <c r="Z1664" s="71"/>
    </row>
    <row r="1665" spans="1:26" ht="15.6" hidden="1">
      <c r="A1665" s="20">
        <v>1672</v>
      </c>
      <c r="B1665" s="1063">
        <v>41442</v>
      </c>
      <c r="C1665" s="928" t="s">
        <v>6554</v>
      </c>
      <c r="D1665" s="11" t="s">
        <v>6</v>
      </c>
      <c r="E1665" s="26" t="s">
        <v>5448</v>
      </c>
      <c r="F1665" s="26" t="s">
        <v>412</v>
      </c>
      <c r="G1665" s="193" t="s">
        <v>2257</v>
      </c>
      <c r="H1665" s="193" t="s">
        <v>2255</v>
      </c>
      <c r="I1665" s="207" t="s">
        <v>574</v>
      </c>
      <c r="J1665" s="193" t="s">
        <v>2256</v>
      </c>
      <c r="K1665" s="193" t="s">
        <v>2257</v>
      </c>
      <c r="L1665" s="193" t="s">
        <v>1088</v>
      </c>
      <c r="M1665" s="193">
        <v>32</v>
      </c>
      <c r="N1665" s="26"/>
      <c r="O1665" s="193">
        <v>36</v>
      </c>
      <c r="P1665" s="26">
        <v>0</v>
      </c>
      <c r="Q1665" s="26">
        <v>4</v>
      </c>
      <c r="R1665" s="1246">
        <v>117.7</v>
      </c>
      <c r="S1665" s="1253">
        <v>4237.2</v>
      </c>
      <c r="T1665" s="26" t="s">
        <v>5448</v>
      </c>
      <c r="U1665" s="1871" t="s">
        <v>6548</v>
      </c>
      <c r="V1665" s="26" t="s">
        <v>6280</v>
      </c>
      <c r="W1665" s="782" t="s">
        <v>2259</v>
      </c>
      <c r="X1665" s="18"/>
      <c r="Y1665" s="4"/>
      <c r="Z1665" s="4"/>
    </row>
    <row r="1666" spans="1:26" ht="15.6" hidden="1">
      <c r="A1666" s="20">
        <v>1673</v>
      </c>
      <c r="B1666" s="1063">
        <v>41443</v>
      </c>
      <c r="C1666" s="928" t="s">
        <v>6555</v>
      </c>
      <c r="D1666" s="11" t="s">
        <v>6</v>
      </c>
      <c r="E1666" s="26" t="s">
        <v>5448</v>
      </c>
      <c r="F1666" s="26" t="s">
        <v>412</v>
      </c>
      <c r="G1666" s="193" t="s">
        <v>6556</v>
      </c>
      <c r="H1666" s="193" t="s">
        <v>1498</v>
      </c>
      <c r="I1666" s="207" t="s">
        <v>574</v>
      </c>
      <c r="J1666" s="193" t="s">
        <v>3910</v>
      </c>
      <c r="K1666" s="193" t="s">
        <v>3908</v>
      </c>
      <c r="L1666" s="193" t="s">
        <v>1088</v>
      </c>
      <c r="M1666" s="193">
        <v>4</v>
      </c>
      <c r="N1666" s="26"/>
      <c r="O1666" s="193">
        <v>6</v>
      </c>
      <c r="P1666" s="26">
        <v>0</v>
      </c>
      <c r="Q1666" s="26">
        <v>2</v>
      </c>
      <c r="R1666" s="1246">
        <v>462</v>
      </c>
      <c r="S1666" s="1253">
        <v>2772</v>
      </c>
      <c r="T1666" s="26" t="s">
        <v>5448</v>
      </c>
      <c r="U1666" s="1871" t="s">
        <v>6548</v>
      </c>
      <c r="V1666" s="26" t="s">
        <v>6280</v>
      </c>
      <c r="W1666" s="782" t="s">
        <v>6557</v>
      </c>
      <c r="X1666" s="18"/>
      <c r="Y1666" s="4"/>
      <c r="Z1666" s="4"/>
    </row>
    <row r="1667" spans="1:26" ht="15.6" hidden="1">
      <c r="A1667" s="20">
        <v>1674</v>
      </c>
      <c r="B1667" s="1063">
        <v>41444</v>
      </c>
      <c r="C1667" s="928" t="s">
        <v>1991</v>
      </c>
      <c r="D1667" s="11" t="s">
        <v>6</v>
      </c>
      <c r="E1667" s="26" t="s">
        <v>5448</v>
      </c>
      <c r="F1667" s="26" t="s">
        <v>412</v>
      </c>
      <c r="G1667" s="193" t="s">
        <v>6558</v>
      </c>
      <c r="H1667" s="193" t="s">
        <v>1853</v>
      </c>
      <c r="I1667" s="207" t="s">
        <v>574</v>
      </c>
      <c r="J1667" s="193" t="s">
        <v>599</v>
      </c>
      <c r="K1667" s="193" t="s">
        <v>1991</v>
      </c>
      <c r="L1667" s="193" t="s">
        <v>6559</v>
      </c>
      <c r="M1667" s="193">
        <v>4</v>
      </c>
      <c r="N1667" s="26"/>
      <c r="O1667" s="193">
        <v>10</v>
      </c>
      <c r="P1667" s="26">
        <v>0</v>
      </c>
      <c r="Q1667" s="26">
        <v>6</v>
      </c>
      <c r="R1667" s="1246">
        <v>22</v>
      </c>
      <c r="S1667" s="1253">
        <v>220</v>
      </c>
      <c r="T1667" s="26" t="s">
        <v>5448</v>
      </c>
      <c r="U1667" s="1871" t="s">
        <v>6548</v>
      </c>
      <c r="V1667" s="26" t="s">
        <v>6280</v>
      </c>
      <c r="W1667" s="782" t="s">
        <v>1994</v>
      </c>
      <c r="X1667" s="18"/>
      <c r="Y1667" s="4"/>
      <c r="Z1667" s="4"/>
    </row>
    <row r="1668" spans="1:26" ht="15.6" hidden="1">
      <c r="A1668" s="20">
        <v>1675</v>
      </c>
      <c r="B1668" s="1063">
        <v>41445</v>
      </c>
      <c r="C1668" s="928" t="s">
        <v>6560</v>
      </c>
      <c r="D1668" s="11" t="s">
        <v>6</v>
      </c>
      <c r="E1668" s="26" t="s">
        <v>5448</v>
      </c>
      <c r="F1668" s="26" t="s">
        <v>412</v>
      </c>
      <c r="G1668" s="193" t="s">
        <v>6561</v>
      </c>
      <c r="H1668" s="193" t="s">
        <v>2280</v>
      </c>
      <c r="I1668" s="207" t="s">
        <v>574</v>
      </c>
      <c r="J1668" s="193" t="s">
        <v>512</v>
      </c>
      <c r="K1668" s="193" t="s">
        <v>2281</v>
      </c>
      <c r="L1668" s="193" t="s">
        <v>6562</v>
      </c>
      <c r="M1668" s="193">
        <v>4</v>
      </c>
      <c r="N1668" s="26"/>
      <c r="O1668" s="193">
        <v>10</v>
      </c>
      <c r="P1668" s="26">
        <v>0</v>
      </c>
      <c r="Q1668" s="26">
        <v>6</v>
      </c>
      <c r="R1668" s="1246">
        <v>63</v>
      </c>
      <c r="S1668" s="1253">
        <v>630</v>
      </c>
      <c r="T1668" s="26" t="s">
        <v>5448</v>
      </c>
      <c r="U1668" s="1871" t="s">
        <v>6548</v>
      </c>
      <c r="V1668" s="26" t="s">
        <v>6280</v>
      </c>
      <c r="W1668" s="782" t="s">
        <v>2283</v>
      </c>
      <c r="X1668" s="18"/>
      <c r="Y1668" s="4"/>
      <c r="Z1668" s="4"/>
    </row>
    <row r="1669" spans="1:26" ht="15.6" hidden="1">
      <c r="A1669" s="20">
        <v>1676</v>
      </c>
      <c r="B1669" s="1063">
        <v>41446</v>
      </c>
      <c r="C1669" s="928" t="s">
        <v>6471</v>
      </c>
      <c r="D1669" s="11" t="s">
        <v>6</v>
      </c>
      <c r="E1669" s="26" t="s">
        <v>5448</v>
      </c>
      <c r="F1669" s="26" t="s">
        <v>412</v>
      </c>
      <c r="G1669" s="193" t="s">
        <v>6563</v>
      </c>
      <c r="H1669" s="193" t="s">
        <v>1751</v>
      </c>
      <c r="I1669" s="207" t="s">
        <v>574</v>
      </c>
      <c r="J1669" s="193" t="s">
        <v>1752</v>
      </c>
      <c r="K1669" s="193" t="s">
        <v>6471</v>
      </c>
      <c r="L1669" s="193" t="s">
        <v>6564</v>
      </c>
      <c r="M1669" s="193">
        <v>4</v>
      </c>
      <c r="N1669" s="26"/>
      <c r="O1669" s="193">
        <v>6</v>
      </c>
      <c r="P1669" s="26">
        <v>0</v>
      </c>
      <c r="Q1669" s="26">
        <v>6</v>
      </c>
      <c r="R1669" s="1246">
        <v>1224</v>
      </c>
      <c r="S1669" s="1253">
        <v>7344</v>
      </c>
      <c r="T1669" s="26" t="s">
        <v>5448</v>
      </c>
      <c r="U1669" s="1871" t="s">
        <v>6548</v>
      </c>
      <c r="V1669" s="26" t="s">
        <v>6280</v>
      </c>
      <c r="W1669" s="782" t="s">
        <v>1754</v>
      </c>
      <c r="X1669" s="26"/>
      <c r="Y1669" s="71"/>
      <c r="Z1669" s="71"/>
    </row>
    <row r="1670" spans="1:26" ht="15.6" hidden="1">
      <c r="A1670" s="20">
        <v>1677</v>
      </c>
      <c r="B1670" s="1063">
        <v>41447</v>
      </c>
      <c r="C1670" s="928" t="s">
        <v>6565</v>
      </c>
      <c r="D1670" s="11" t="s">
        <v>6</v>
      </c>
      <c r="E1670" s="26" t="s">
        <v>5448</v>
      </c>
      <c r="F1670" s="26" t="s">
        <v>412</v>
      </c>
      <c r="G1670" s="193" t="s">
        <v>6566</v>
      </c>
      <c r="H1670" s="193" t="s">
        <v>6567</v>
      </c>
      <c r="I1670" s="207" t="s">
        <v>574</v>
      </c>
      <c r="J1670" s="193" t="s">
        <v>6568</v>
      </c>
      <c r="K1670" s="193" t="s">
        <v>6569</v>
      </c>
      <c r="L1670" s="193" t="s">
        <v>1088</v>
      </c>
      <c r="M1670" s="193">
        <v>36</v>
      </c>
      <c r="N1670" s="26"/>
      <c r="O1670" s="193">
        <v>40</v>
      </c>
      <c r="P1670" s="26">
        <v>0</v>
      </c>
      <c r="Q1670" s="26">
        <v>4</v>
      </c>
      <c r="R1670" s="1246">
        <v>164.1</v>
      </c>
      <c r="S1670" s="1253">
        <v>6564</v>
      </c>
      <c r="T1670" s="26" t="s">
        <v>5448</v>
      </c>
      <c r="U1670" s="1871" t="s">
        <v>6570</v>
      </c>
      <c r="V1670" s="26" t="s">
        <v>6280</v>
      </c>
      <c r="W1670" s="782" t="s">
        <v>6571</v>
      </c>
      <c r="X1670" s="26"/>
      <c r="Y1670" s="71"/>
      <c r="Z1670" s="71"/>
    </row>
    <row r="1671" spans="1:26" ht="15.6" hidden="1">
      <c r="A1671" s="20">
        <v>1678</v>
      </c>
      <c r="B1671" s="1063">
        <v>41448</v>
      </c>
      <c r="C1671" s="928" t="s">
        <v>6572</v>
      </c>
      <c r="D1671" s="11" t="s">
        <v>6</v>
      </c>
      <c r="E1671" s="26" t="s">
        <v>5448</v>
      </c>
      <c r="F1671" s="26" t="s">
        <v>412</v>
      </c>
      <c r="G1671" s="193" t="s">
        <v>6573</v>
      </c>
      <c r="H1671" s="193" t="s">
        <v>6567</v>
      </c>
      <c r="I1671" s="207" t="s">
        <v>574</v>
      </c>
      <c r="J1671" s="193" t="s">
        <v>6574</v>
      </c>
      <c r="K1671" s="193" t="s">
        <v>6575</v>
      </c>
      <c r="L1671" s="193" t="s">
        <v>1088</v>
      </c>
      <c r="M1671" s="193">
        <v>36</v>
      </c>
      <c r="N1671" s="26"/>
      <c r="O1671" s="193">
        <v>40</v>
      </c>
      <c r="P1671" s="26">
        <v>0</v>
      </c>
      <c r="Q1671" s="26">
        <v>4</v>
      </c>
      <c r="R1671" s="1246">
        <v>126.3</v>
      </c>
      <c r="S1671" s="1253">
        <v>5052</v>
      </c>
      <c r="T1671" s="26" t="s">
        <v>5448</v>
      </c>
      <c r="U1671" s="1871" t="s">
        <v>6570</v>
      </c>
      <c r="V1671" s="26" t="s">
        <v>6280</v>
      </c>
      <c r="W1671" s="782" t="s">
        <v>6576</v>
      </c>
      <c r="X1671" s="18"/>
      <c r="Y1671" s="4"/>
      <c r="Z1671" s="4"/>
    </row>
    <row r="1672" spans="1:26" ht="15.6" hidden="1">
      <c r="A1672" s="20">
        <v>1679</v>
      </c>
      <c r="B1672" s="1063">
        <v>41449</v>
      </c>
      <c r="C1672" s="928" t="s">
        <v>6577</v>
      </c>
      <c r="D1672" s="11" t="s">
        <v>6</v>
      </c>
      <c r="E1672" s="26" t="s">
        <v>5448</v>
      </c>
      <c r="F1672" s="26" t="s">
        <v>412</v>
      </c>
      <c r="G1672" s="193" t="s">
        <v>5659</v>
      </c>
      <c r="H1672" s="193" t="s">
        <v>6567</v>
      </c>
      <c r="I1672" s="207" t="s">
        <v>574</v>
      </c>
      <c r="J1672" s="193" t="s">
        <v>5661</v>
      </c>
      <c r="K1672" s="193" t="s">
        <v>5662</v>
      </c>
      <c r="L1672" s="193" t="s">
        <v>1088</v>
      </c>
      <c r="M1672" s="193">
        <v>4</v>
      </c>
      <c r="N1672" s="26"/>
      <c r="O1672" s="193">
        <v>6</v>
      </c>
      <c r="P1672" s="26">
        <v>0</v>
      </c>
      <c r="Q1672" s="26">
        <v>2</v>
      </c>
      <c r="R1672" s="1246">
        <v>152</v>
      </c>
      <c r="S1672" s="1253">
        <v>912</v>
      </c>
      <c r="T1672" s="26" t="s">
        <v>5448</v>
      </c>
      <c r="U1672" s="1871" t="s">
        <v>6570</v>
      </c>
      <c r="V1672" s="26" t="s">
        <v>6280</v>
      </c>
      <c r="W1672" s="782" t="s">
        <v>6578</v>
      </c>
      <c r="X1672" s="18"/>
      <c r="Y1672" s="4"/>
      <c r="Z1672" s="4"/>
    </row>
    <row r="1673" spans="1:26" ht="15.6" hidden="1">
      <c r="A1673" s="20">
        <v>1680</v>
      </c>
      <c r="B1673" s="1063">
        <v>41450</v>
      </c>
      <c r="C1673" s="928" t="s">
        <v>2300</v>
      </c>
      <c r="D1673" s="11" t="s">
        <v>6</v>
      </c>
      <c r="E1673" s="26" t="s">
        <v>5448</v>
      </c>
      <c r="F1673" s="26" t="s">
        <v>412</v>
      </c>
      <c r="G1673" s="193" t="s">
        <v>6579</v>
      </c>
      <c r="H1673" s="193" t="s">
        <v>1092</v>
      </c>
      <c r="I1673" s="207" t="s">
        <v>574</v>
      </c>
      <c r="J1673" s="193" t="s">
        <v>2299</v>
      </c>
      <c r="K1673" s="193" t="s">
        <v>2300</v>
      </c>
      <c r="L1673" s="193" t="s">
        <v>6580</v>
      </c>
      <c r="M1673" s="193">
        <v>32</v>
      </c>
      <c r="N1673" s="26"/>
      <c r="O1673" s="193">
        <v>50</v>
      </c>
      <c r="P1673" s="26">
        <v>0</v>
      </c>
      <c r="Q1673" s="26">
        <v>18</v>
      </c>
      <c r="R1673" s="1246">
        <v>5.5</v>
      </c>
      <c r="S1673" s="1253">
        <v>275</v>
      </c>
      <c r="T1673" s="26" t="s">
        <v>5448</v>
      </c>
      <c r="U1673" s="1871" t="s">
        <v>6548</v>
      </c>
      <c r="V1673" s="26" t="s">
        <v>6280</v>
      </c>
      <c r="W1673" s="782" t="s">
        <v>2301</v>
      </c>
      <c r="X1673" s="18"/>
      <c r="Y1673" s="4"/>
      <c r="Z1673" s="4"/>
    </row>
    <row r="1674" spans="1:26" ht="15.6" hidden="1">
      <c r="A1674" s="20">
        <v>1681</v>
      </c>
      <c r="B1674" s="1063">
        <v>41451</v>
      </c>
      <c r="C1674" s="928" t="s">
        <v>3845</v>
      </c>
      <c r="D1674" s="11" t="s">
        <v>6</v>
      </c>
      <c r="E1674" s="26" t="s">
        <v>5448</v>
      </c>
      <c r="F1674" s="26" t="s">
        <v>412</v>
      </c>
      <c r="G1674" s="193" t="s">
        <v>6581</v>
      </c>
      <c r="H1674" s="193" t="s">
        <v>5730</v>
      </c>
      <c r="I1674" s="207" t="s">
        <v>574</v>
      </c>
      <c r="J1674" s="193" t="s">
        <v>3844</v>
      </c>
      <c r="K1674" s="193" t="s">
        <v>3845</v>
      </c>
      <c r="L1674" s="193" t="s">
        <v>6580</v>
      </c>
      <c r="M1674" s="193">
        <v>32</v>
      </c>
      <c r="N1674" s="26"/>
      <c r="O1674" s="193">
        <v>50</v>
      </c>
      <c r="P1674" s="26">
        <v>0</v>
      </c>
      <c r="Q1674" s="26">
        <v>18</v>
      </c>
      <c r="R1674" s="1246">
        <v>20.7</v>
      </c>
      <c r="S1674" s="1253">
        <v>1035</v>
      </c>
      <c r="T1674" s="26" t="s">
        <v>5448</v>
      </c>
      <c r="U1674" s="1871" t="s">
        <v>6548</v>
      </c>
      <c r="V1674" s="26" t="s">
        <v>6280</v>
      </c>
      <c r="W1674" s="782" t="s">
        <v>6582</v>
      </c>
      <c r="X1674" s="18"/>
      <c r="Y1674" s="4"/>
      <c r="Z1674" s="4"/>
    </row>
    <row r="1675" spans="1:26" ht="15.6" hidden="1">
      <c r="A1675" s="20">
        <v>1682</v>
      </c>
      <c r="B1675" s="1063">
        <v>41452</v>
      </c>
      <c r="C1675" s="928" t="s">
        <v>3840</v>
      </c>
      <c r="D1675" s="11" t="s">
        <v>6</v>
      </c>
      <c r="E1675" s="26" t="s">
        <v>5448</v>
      </c>
      <c r="F1675" s="26" t="s">
        <v>412</v>
      </c>
      <c r="G1675" s="193" t="s">
        <v>6583</v>
      </c>
      <c r="H1675" s="193" t="s">
        <v>5730</v>
      </c>
      <c r="I1675" s="207" t="s">
        <v>574</v>
      </c>
      <c r="J1675" s="193" t="s">
        <v>3839</v>
      </c>
      <c r="K1675" s="193" t="s">
        <v>3840</v>
      </c>
      <c r="L1675" s="193" t="s">
        <v>6580</v>
      </c>
      <c r="M1675" s="193">
        <v>32</v>
      </c>
      <c r="N1675" s="26"/>
      <c r="O1675" s="193">
        <v>50</v>
      </c>
      <c r="P1675" s="26">
        <v>0</v>
      </c>
      <c r="Q1675" s="26">
        <v>18</v>
      </c>
      <c r="R1675" s="1246">
        <v>9.5</v>
      </c>
      <c r="S1675" s="1246">
        <v>475</v>
      </c>
      <c r="T1675" s="26" t="s">
        <v>5448</v>
      </c>
      <c r="U1675" s="1871" t="s">
        <v>6548</v>
      </c>
      <c r="V1675" s="26" t="s">
        <v>6280</v>
      </c>
      <c r="W1675" s="782" t="s">
        <v>6584</v>
      </c>
      <c r="X1675" s="26"/>
      <c r="Y1675" s="71"/>
      <c r="Z1675" s="71"/>
    </row>
    <row r="1676" spans="1:26" ht="15.6" hidden="1">
      <c r="A1676" s="20">
        <v>1683</v>
      </c>
      <c r="B1676" s="1063">
        <v>41453</v>
      </c>
      <c r="C1676" s="928" t="s">
        <v>6585</v>
      </c>
      <c r="D1676" s="11" t="s">
        <v>6</v>
      </c>
      <c r="E1676" s="26" t="s">
        <v>5448</v>
      </c>
      <c r="F1676" s="26" t="s">
        <v>412</v>
      </c>
      <c r="G1676" s="193" t="s">
        <v>6586</v>
      </c>
      <c r="H1676" s="193" t="s">
        <v>1704</v>
      </c>
      <c r="I1676" s="207" t="s">
        <v>574</v>
      </c>
      <c r="J1676" s="193" t="s">
        <v>6587</v>
      </c>
      <c r="K1676" s="193" t="s">
        <v>6585</v>
      </c>
      <c r="L1676" s="193" t="s">
        <v>6588</v>
      </c>
      <c r="M1676" s="193">
        <v>8</v>
      </c>
      <c r="N1676" s="26"/>
      <c r="O1676" s="193">
        <v>12</v>
      </c>
      <c r="P1676" s="26">
        <v>0</v>
      </c>
      <c r="Q1676" s="26">
        <v>4</v>
      </c>
      <c r="R1676" s="1246">
        <v>45</v>
      </c>
      <c r="S1676" s="1246">
        <v>540</v>
      </c>
      <c r="T1676" s="26" t="s">
        <v>5448</v>
      </c>
      <c r="U1676" s="1871" t="s">
        <v>6548</v>
      </c>
      <c r="V1676" s="26" t="s">
        <v>6280</v>
      </c>
      <c r="W1676" s="782" t="s">
        <v>6589</v>
      </c>
      <c r="X1676" s="26"/>
      <c r="Y1676" s="71"/>
      <c r="Z1676" s="71"/>
    </row>
    <row r="1677" spans="1:26" ht="15.6" hidden="1">
      <c r="A1677" s="20">
        <v>1684</v>
      </c>
      <c r="B1677" s="1063">
        <v>41454</v>
      </c>
      <c r="C1677" s="928" t="s">
        <v>6590</v>
      </c>
      <c r="D1677" s="11" t="s">
        <v>6</v>
      </c>
      <c r="E1677" s="26" t="s">
        <v>5448</v>
      </c>
      <c r="F1677" s="26" t="s">
        <v>412</v>
      </c>
      <c r="G1677" s="193" t="s">
        <v>6591</v>
      </c>
      <c r="H1677" s="193" t="s">
        <v>6592</v>
      </c>
      <c r="I1677" s="207" t="s">
        <v>574</v>
      </c>
      <c r="J1677" s="193" t="s">
        <v>6593</v>
      </c>
      <c r="K1677" s="193" t="s">
        <v>6590</v>
      </c>
      <c r="L1677" s="193" t="s">
        <v>6580</v>
      </c>
      <c r="M1677" s="193">
        <v>32</v>
      </c>
      <c r="N1677" s="26"/>
      <c r="O1677" s="193">
        <v>40</v>
      </c>
      <c r="P1677" s="26">
        <v>0</v>
      </c>
      <c r="Q1677" s="26">
        <v>8</v>
      </c>
      <c r="R1677" s="1246">
        <v>31.7</v>
      </c>
      <c r="S1677" s="1246">
        <v>1268</v>
      </c>
      <c r="T1677" s="26" t="s">
        <v>5448</v>
      </c>
      <c r="U1677" s="1871" t="s">
        <v>6548</v>
      </c>
      <c r="V1677" s="26" t="s">
        <v>6280</v>
      </c>
      <c r="W1677" s="782" t="s">
        <v>6594</v>
      </c>
      <c r="X1677" s="18"/>
      <c r="Y1677" s="4"/>
      <c r="Z1677" s="4"/>
    </row>
    <row r="1678" spans="1:26" ht="15.6" hidden="1">
      <c r="A1678" s="20">
        <v>1685</v>
      </c>
      <c r="B1678" s="1063">
        <v>41455</v>
      </c>
      <c r="C1678" s="934" t="s">
        <v>6595</v>
      </c>
      <c r="D1678" s="11" t="s">
        <v>6</v>
      </c>
      <c r="E1678" s="26" t="s">
        <v>5448</v>
      </c>
      <c r="F1678" s="26" t="s">
        <v>412</v>
      </c>
      <c r="G1678" s="204" t="s">
        <v>6596</v>
      </c>
      <c r="H1678" s="204" t="s">
        <v>1653</v>
      </c>
      <c r="I1678" s="207" t="s">
        <v>574</v>
      </c>
      <c r="J1678" s="193" t="s">
        <v>6597</v>
      </c>
      <c r="K1678" s="193" t="s">
        <v>6595</v>
      </c>
      <c r="L1678" s="193" t="s">
        <v>6580</v>
      </c>
      <c r="M1678" s="193">
        <v>72</v>
      </c>
      <c r="N1678" s="26"/>
      <c r="O1678" s="193">
        <v>100</v>
      </c>
      <c r="P1678" s="26">
        <v>0</v>
      </c>
      <c r="Q1678" s="26">
        <v>28</v>
      </c>
      <c r="R1678" s="1246">
        <v>0.74</v>
      </c>
      <c r="S1678" s="1246">
        <v>74</v>
      </c>
      <c r="T1678" s="26" t="s">
        <v>5448</v>
      </c>
      <c r="U1678" s="1871" t="s">
        <v>6548</v>
      </c>
      <c r="V1678" s="26" t="s">
        <v>6280</v>
      </c>
      <c r="W1678" s="782" t="s">
        <v>6598</v>
      </c>
      <c r="X1678" s="18"/>
      <c r="Y1678" s="4"/>
      <c r="Z1678" s="4"/>
    </row>
    <row r="1679" spans="1:26" ht="15.6" hidden="1">
      <c r="A1679" s="20">
        <v>1686</v>
      </c>
      <c r="B1679" s="1063">
        <v>41456</v>
      </c>
      <c r="C1679" s="934" t="s">
        <v>6599</v>
      </c>
      <c r="D1679" s="11" t="s">
        <v>6</v>
      </c>
      <c r="E1679" s="26" t="s">
        <v>5448</v>
      </c>
      <c r="F1679" s="26" t="s">
        <v>412</v>
      </c>
      <c r="G1679" s="204" t="s">
        <v>6600</v>
      </c>
      <c r="H1679" s="204" t="s">
        <v>1653</v>
      </c>
      <c r="I1679" s="207" t="s">
        <v>574</v>
      </c>
      <c r="J1679" s="193" t="s">
        <v>6601</v>
      </c>
      <c r="K1679" s="193" t="s">
        <v>6599</v>
      </c>
      <c r="L1679" s="193" t="s">
        <v>6580</v>
      </c>
      <c r="M1679" s="193">
        <v>64</v>
      </c>
      <c r="N1679" s="26"/>
      <c r="O1679" s="193">
        <v>100</v>
      </c>
      <c r="P1679" s="26">
        <v>0</v>
      </c>
      <c r="Q1679" s="26">
        <v>36</v>
      </c>
      <c r="R1679" s="1246">
        <v>0.74</v>
      </c>
      <c r="S1679" s="1246">
        <v>74</v>
      </c>
      <c r="T1679" s="26" t="s">
        <v>5448</v>
      </c>
      <c r="U1679" s="1871" t="s">
        <v>6548</v>
      </c>
      <c r="V1679" s="26" t="s">
        <v>6280</v>
      </c>
      <c r="W1679" s="782" t="s">
        <v>6602</v>
      </c>
      <c r="X1679" s="18"/>
      <c r="Y1679" s="4"/>
      <c r="Z1679" s="4"/>
    </row>
    <row r="1680" spans="1:26" ht="15.6" hidden="1">
      <c r="A1680" s="20">
        <v>1687</v>
      </c>
      <c r="B1680" s="1063">
        <v>41457</v>
      </c>
      <c r="C1680" s="934" t="s">
        <v>6603</v>
      </c>
      <c r="D1680" s="11" t="s">
        <v>6</v>
      </c>
      <c r="E1680" s="26" t="s">
        <v>5448</v>
      </c>
      <c r="F1680" s="26" t="s">
        <v>412</v>
      </c>
      <c r="G1680" s="204" t="s">
        <v>6604</v>
      </c>
      <c r="H1680" s="204" t="s">
        <v>1653</v>
      </c>
      <c r="I1680" s="207" t="s">
        <v>574</v>
      </c>
      <c r="J1680" s="193" t="s">
        <v>6605</v>
      </c>
      <c r="K1680" s="193" t="s">
        <v>6603</v>
      </c>
      <c r="L1680" s="193" t="s">
        <v>6580</v>
      </c>
      <c r="M1680" s="193">
        <v>104</v>
      </c>
      <c r="N1680" s="26"/>
      <c r="O1680" s="193">
        <v>150</v>
      </c>
      <c r="P1680" s="26">
        <v>0</v>
      </c>
      <c r="Q1680" s="26">
        <v>46</v>
      </c>
      <c r="R1680" s="1246">
        <v>0.74</v>
      </c>
      <c r="S1680" s="1246">
        <v>111</v>
      </c>
      <c r="T1680" s="26" t="s">
        <v>5448</v>
      </c>
      <c r="U1680" s="1871" t="s">
        <v>6548</v>
      </c>
      <c r="V1680" s="26" t="s">
        <v>6280</v>
      </c>
      <c r="W1680" s="782" t="s">
        <v>6606</v>
      </c>
      <c r="X1680" s="18"/>
      <c r="Y1680" s="4"/>
      <c r="Z1680" s="4"/>
    </row>
    <row r="1681" spans="1:26" ht="15.6" hidden="1">
      <c r="A1681" s="20">
        <v>1688</v>
      </c>
      <c r="B1681" s="1063">
        <v>41458</v>
      </c>
      <c r="C1681" s="934" t="s">
        <v>6607</v>
      </c>
      <c r="D1681" s="11" t="s">
        <v>6</v>
      </c>
      <c r="E1681" s="26" t="s">
        <v>5448</v>
      </c>
      <c r="F1681" s="26" t="s">
        <v>412</v>
      </c>
      <c r="G1681" s="204" t="s">
        <v>6608</v>
      </c>
      <c r="H1681" s="204" t="s">
        <v>2151</v>
      </c>
      <c r="I1681" s="207" t="s">
        <v>574</v>
      </c>
      <c r="J1681" s="193" t="s">
        <v>2152</v>
      </c>
      <c r="K1681" s="193">
        <v>109990165</v>
      </c>
      <c r="L1681" s="193" t="s">
        <v>1088</v>
      </c>
      <c r="M1681" s="193">
        <v>10</v>
      </c>
      <c r="N1681" s="26"/>
      <c r="O1681" s="193">
        <v>10</v>
      </c>
      <c r="P1681" s="26">
        <v>0</v>
      </c>
      <c r="Q1681" s="26">
        <v>0</v>
      </c>
      <c r="R1681" s="1246">
        <v>824</v>
      </c>
      <c r="S1681" s="1246">
        <v>8240</v>
      </c>
      <c r="T1681" s="26" t="s">
        <v>5448</v>
      </c>
      <c r="U1681" s="1871" t="s">
        <v>6548</v>
      </c>
      <c r="V1681" s="26" t="s">
        <v>6280</v>
      </c>
      <c r="W1681" s="782" t="s">
        <v>6609</v>
      </c>
      <c r="X1681" s="26"/>
      <c r="Y1681" s="71"/>
      <c r="Z1681" s="71"/>
    </row>
    <row r="1682" spans="1:26" ht="24.95" hidden="1">
      <c r="A1682" s="20">
        <v>1689</v>
      </c>
      <c r="B1682" s="1063">
        <v>41459</v>
      </c>
      <c r="C1682" s="190" t="s">
        <v>6610</v>
      </c>
      <c r="D1682" s="11"/>
      <c r="E1682" s="26" t="s">
        <v>5448</v>
      </c>
      <c r="F1682" s="26" t="s">
        <v>6097</v>
      </c>
      <c r="G1682" s="26" t="s">
        <v>6611</v>
      </c>
      <c r="H1682" s="26" t="s">
        <v>6612</v>
      </c>
      <c r="I1682" s="26" t="s">
        <v>6612</v>
      </c>
      <c r="J1682" s="26" t="s">
        <v>6613</v>
      </c>
      <c r="K1682" s="26" t="s">
        <v>6613</v>
      </c>
      <c r="L1682" s="26"/>
      <c r="M1682" s="26">
        <v>6</v>
      </c>
      <c r="N1682" s="26">
        <v>1</v>
      </c>
      <c r="O1682" s="26">
        <v>10</v>
      </c>
      <c r="P1682" s="26">
        <v>0</v>
      </c>
      <c r="Q1682" s="26">
        <f t="shared" ref="Q1682:Q1688" si="84">O1682-M1682</f>
        <v>4</v>
      </c>
      <c r="R1682" s="1209">
        <v>1150</v>
      </c>
      <c r="S1682" s="1209">
        <f t="shared" ref="S1682:S1688" si="85">R1682*M1682</f>
        <v>6900</v>
      </c>
      <c r="T1682" s="26" t="s">
        <v>5448</v>
      </c>
      <c r="U1682" s="1871" t="s">
        <v>6548</v>
      </c>
      <c r="V1682" s="26" t="s">
        <v>6280</v>
      </c>
      <c r="W1682" s="2008" t="s">
        <v>6614</v>
      </c>
      <c r="X1682" s="26"/>
      <c r="Y1682" s="71"/>
      <c r="Z1682" s="71"/>
    </row>
    <row r="1683" spans="1:26" ht="24.95" hidden="1">
      <c r="A1683" s="20">
        <v>1690</v>
      </c>
      <c r="B1683" s="1063">
        <v>41460</v>
      </c>
      <c r="C1683" s="190" t="s">
        <v>6610</v>
      </c>
      <c r="D1683" s="11"/>
      <c r="E1683" s="26" t="s">
        <v>5448</v>
      </c>
      <c r="F1683" s="26" t="s">
        <v>6097</v>
      </c>
      <c r="G1683" s="26" t="s">
        <v>6615</v>
      </c>
      <c r="H1683" s="26" t="s">
        <v>6612</v>
      </c>
      <c r="I1683" s="26" t="s">
        <v>6612</v>
      </c>
      <c r="J1683" s="26" t="s">
        <v>6616</v>
      </c>
      <c r="K1683" s="26" t="s">
        <v>6616</v>
      </c>
      <c r="L1683" s="26"/>
      <c r="M1683" s="26">
        <v>10</v>
      </c>
      <c r="N1683" s="26">
        <v>1</v>
      </c>
      <c r="O1683" s="26">
        <v>10</v>
      </c>
      <c r="P1683" s="26">
        <v>0</v>
      </c>
      <c r="Q1683" s="26">
        <f t="shared" si="84"/>
        <v>0</v>
      </c>
      <c r="R1683" s="1209">
        <v>2350</v>
      </c>
      <c r="S1683" s="1209">
        <f t="shared" si="85"/>
        <v>23500</v>
      </c>
      <c r="T1683" s="26" t="s">
        <v>5448</v>
      </c>
      <c r="U1683" s="1871" t="s">
        <v>6548</v>
      </c>
      <c r="V1683" s="26" t="s">
        <v>6280</v>
      </c>
      <c r="W1683" s="2008" t="s">
        <v>6617</v>
      </c>
      <c r="X1683" s="18"/>
      <c r="Y1683" s="4"/>
      <c r="Z1683" s="4"/>
    </row>
    <row r="1684" spans="1:26" ht="24.95" hidden="1">
      <c r="A1684" s="20">
        <v>1691</v>
      </c>
      <c r="B1684" s="1063">
        <v>41461</v>
      </c>
      <c r="C1684" s="190" t="s">
        <v>6618</v>
      </c>
      <c r="D1684" s="11"/>
      <c r="E1684" s="26" t="s">
        <v>5448</v>
      </c>
      <c r="F1684" s="26" t="s">
        <v>6097</v>
      </c>
      <c r="G1684" s="26" t="s">
        <v>6619</v>
      </c>
      <c r="H1684" s="26" t="s">
        <v>6612</v>
      </c>
      <c r="I1684" s="26" t="s">
        <v>6612</v>
      </c>
      <c r="J1684" s="26" t="s">
        <v>6620</v>
      </c>
      <c r="K1684" s="26" t="s">
        <v>6620</v>
      </c>
      <c r="L1684" s="26"/>
      <c r="M1684" s="26">
        <v>20</v>
      </c>
      <c r="N1684" s="26">
        <v>1</v>
      </c>
      <c r="O1684" s="26">
        <v>20</v>
      </c>
      <c r="P1684" s="26">
        <v>0</v>
      </c>
      <c r="Q1684" s="26">
        <f t="shared" si="84"/>
        <v>0</v>
      </c>
      <c r="R1684" s="1209">
        <v>250</v>
      </c>
      <c r="S1684" s="1209">
        <f t="shared" si="85"/>
        <v>5000</v>
      </c>
      <c r="T1684" s="26" t="s">
        <v>5448</v>
      </c>
      <c r="U1684" s="1871" t="s">
        <v>6548</v>
      </c>
      <c r="V1684" s="26" t="s">
        <v>6280</v>
      </c>
      <c r="W1684" s="2008" t="s">
        <v>6621</v>
      </c>
      <c r="X1684" s="18"/>
      <c r="Y1684" s="4"/>
      <c r="Z1684" s="4"/>
    </row>
    <row r="1685" spans="1:26" ht="24.95" hidden="1">
      <c r="A1685" s="20">
        <v>1692</v>
      </c>
      <c r="B1685" s="1063">
        <v>41462</v>
      </c>
      <c r="C1685" s="190" t="s">
        <v>6622</v>
      </c>
      <c r="D1685" s="11"/>
      <c r="E1685" s="26" t="s">
        <v>5448</v>
      </c>
      <c r="F1685" s="26" t="s">
        <v>6097</v>
      </c>
      <c r="G1685" s="26" t="s">
        <v>6623</v>
      </c>
      <c r="H1685" s="26" t="s">
        <v>6612</v>
      </c>
      <c r="I1685" s="26" t="s">
        <v>6612</v>
      </c>
      <c r="J1685" s="26" t="s">
        <v>6624</v>
      </c>
      <c r="K1685" s="26" t="s">
        <v>6624</v>
      </c>
      <c r="L1685" s="26"/>
      <c r="M1685" s="26">
        <v>20</v>
      </c>
      <c r="N1685" s="26">
        <v>1</v>
      </c>
      <c r="O1685" s="26">
        <v>20</v>
      </c>
      <c r="P1685" s="26">
        <v>0</v>
      </c>
      <c r="Q1685" s="26">
        <f t="shared" si="84"/>
        <v>0</v>
      </c>
      <c r="R1685" s="1209">
        <v>600</v>
      </c>
      <c r="S1685" s="1209">
        <f t="shared" si="85"/>
        <v>12000</v>
      </c>
      <c r="T1685" s="26" t="s">
        <v>5448</v>
      </c>
      <c r="U1685" s="1871" t="s">
        <v>6548</v>
      </c>
      <c r="V1685" s="26" t="s">
        <v>6280</v>
      </c>
      <c r="W1685" s="2008" t="s">
        <v>6625</v>
      </c>
      <c r="X1685" s="18"/>
      <c r="Y1685" s="4"/>
      <c r="Z1685" s="4"/>
    </row>
    <row r="1686" spans="1:26" ht="24.95" hidden="1">
      <c r="A1686" s="20">
        <v>1693</v>
      </c>
      <c r="B1686" s="1063">
        <v>41463</v>
      </c>
      <c r="C1686" s="190" t="s">
        <v>6626</v>
      </c>
      <c r="D1686" s="11"/>
      <c r="E1686" s="26" t="s">
        <v>5448</v>
      </c>
      <c r="F1686" s="26" t="s">
        <v>6097</v>
      </c>
      <c r="G1686" s="26" t="s">
        <v>6627</v>
      </c>
      <c r="H1686" s="26" t="s">
        <v>6612</v>
      </c>
      <c r="I1686" s="26" t="s">
        <v>6612</v>
      </c>
      <c r="J1686" s="26" t="s">
        <v>6628</v>
      </c>
      <c r="K1686" s="26" t="s">
        <v>6628</v>
      </c>
      <c r="L1686" s="26"/>
      <c r="M1686" s="26">
        <v>10</v>
      </c>
      <c r="N1686" s="26">
        <v>1</v>
      </c>
      <c r="O1686" s="26">
        <v>20</v>
      </c>
      <c r="P1686" s="26">
        <v>0</v>
      </c>
      <c r="Q1686" s="26">
        <f t="shared" si="84"/>
        <v>10</v>
      </c>
      <c r="R1686" s="1209">
        <v>500</v>
      </c>
      <c r="S1686" s="1209">
        <f t="shared" si="85"/>
        <v>5000</v>
      </c>
      <c r="T1686" s="26" t="s">
        <v>5448</v>
      </c>
      <c r="U1686" s="1871" t="s">
        <v>6629</v>
      </c>
      <c r="V1686" s="26" t="s">
        <v>6280</v>
      </c>
      <c r="W1686" s="2008" t="s">
        <v>6630</v>
      </c>
      <c r="X1686" s="18"/>
      <c r="Y1686" s="4"/>
      <c r="Z1686" s="4"/>
    </row>
    <row r="1687" spans="1:26" ht="24.95" hidden="1">
      <c r="A1687" s="20">
        <v>1694</v>
      </c>
      <c r="B1687" s="1063">
        <v>41464</v>
      </c>
      <c r="C1687" s="190" t="s">
        <v>6626</v>
      </c>
      <c r="D1687" s="11"/>
      <c r="E1687" s="26" t="s">
        <v>5448</v>
      </c>
      <c r="F1687" s="26" t="s">
        <v>6097</v>
      </c>
      <c r="G1687" s="26" t="s">
        <v>5260</v>
      </c>
      <c r="H1687" s="26" t="s">
        <v>6612</v>
      </c>
      <c r="I1687" s="26" t="s">
        <v>6612</v>
      </c>
      <c r="J1687" s="26" t="s">
        <v>355</v>
      </c>
      <c r="K1687" s="26" t="s">
        <v>355</v>
      </c>
      <c r="L1687" s="26"/>
      <c r="M1687" s="26">
        <v>10</v>
      </c>
      <c r="N1687" s="26">
        <v>1</v>
      </c>
      <c r="O1687" s="26">
        <v>20</v>
      </c>
      <c r="P1687" s="26">
        <v>0</v>
      </c>
      <c r="Q1687" s="26">
        <f t="shared" si="84"/>
        <v>10</v>
      </c>
      <c r="R1687" s="1209">
        <v>200</v>
      </c>
      <c r="S1687" s="1209">
        <f t="shared" si="85"/>
        <v>2000</v>
      </c>
      <c r="T1687" s="26" t="s">
        <v>5448</v>
      </c>
      <c r="U1687" s="1871" t="s">
        <v>138</v>
      </c>
      <c r="V1687" s="26" t="s">
        <v>6280</v>
      </c>
      <c r="W1687" s="2008" t="s">
        <v>358</v>
      </c>
      <c r="X1687" s="26"/>
      <c r="Y1687" s="71"/>
      <c r="Z1687" s="71"/>
    </row>
    <row r="1688" spans="1:26" ht="24.95" hidden="1">
      <c r="A1688" s="20">
        <v>1695</v>
      </c>
      <c r="B1688" s="1063">
        <v>41465</v>
      </c>
      <c r="C1688" s="190" t="s">
        <v>6626</v>
      </c>
      <c r="D1688" s="11"/>
      <c r="E1688" s="26" t="s">
        <v>5448</v>
      </c>
      <c r="F1688" s="26" t="s">
        <v>6097</v>
      </c>
      <c r="G1688" s="26" t="s">
        <v>6631</v>
      </c>
      <c r="H1688" s="26" t="s">
        <v>6612</v>
      </c>
      <c r="I1688" s="26" t="s">
        <v>6612</v>
      </c>
      <c r="J1688" s="26" t="s">
        <v>6632</v>
      </c>
      <c r="K1688" s="26" t="s">
        <v>6632</v>
      </c>
      <c r="L1688" s="26"/>
      <c r="M1688" s="26">
        <v>10</v>
      </c>
      <c r="N1688" s="26">
        <v>1</v>
      </c>
      <c r="O1688" s="26">
        <v>20</v>
      </c>
      <c r="P1688" s="26">
        <v>0</v>
      </c>
      <c r="Q1688" s="26">
        <f t="shared" si="84"/>
        <v>10</v>
      </c>
      <c r="R1688" s="1209">
        <v>700</v>
      </c>
      <c r="S1688" s="1209">
        <f t="shared" si="85"/>
        <v>7000</v>
      </c>
      <c r="T1688" s="26" t="s">
        <v>5448</v>
      </c>
      <c r="U1688" s="1871" t="s">
        <v>138</v>
      </c>
      <c r="V1688" s="26" t="s">
        <v>6280</v>
      </c>
      <c r="W1688" s="2008" t="s">
        <v>6633</v>
      </c>
      <c r="X1688" s="26"/>
      <c r="Y1688" s="71"/>
      <c r="Z1688" s="71"/>
    </row>
    <row r="1689" spans="1:26" ht="14.1" hidden="1">
      <c r="A1689" s="20">
        <v>1696</v>
      </c>
      <c r="B1689" s="1063">
        <v>41466</v>
      </c>
      <c r="C1689" s="26" t="s">
        <v>1083</v>
      </c>
      <c r="D1689" s="11" t="s">
        <v>6</v>
      </c>
      <c r="E1689" s="26" t="s">
        <v>6634</v>
      </c>
      <c r="F1689" s="1044" t="s">
        <v>2143</v>
      </c>
      <c r="G1689" s="20" t="s">
        <v>6635</v>
      </c>
      <c r="H1689" s="20" t="s">
        <v>1143</v>
      </c>
      <c r="I1689" s="210" t="s">
        <v>574</v>
      </c>
      <c r="J1689" s="643" t="s">
        <v>6636</v>
      </c>
      <c r="K1689" s="648">
        <v>732511150</v>
      </c>
      <c r="L1689" s="648" t="s">
        <v>6637</v>
      </c>
      <c r="M1689" s="20">
        <v>20</v>
      </c>
      <c r="N1689" s="20"/>
      <c r="O1689" s="648">
        <v>25</v>
      </c>
      <c r="P1689" s="648">
        <v>0</v>
      </c>
      <c r="Q1689" s="648">
        <v>5</v>
      </c>
      <c r="R1689" s="1254">
        <v>357.4</v>
      </c>
      <c r="S1689" s="1252">
        <f t="shared" ref="S1689:S1691" si="86">R1689*O1689</f>
        <v>8935</v>
      </c>
      <c r="T1689" s="26" t="s">
        <v>5448</v>
      </c>
      <c r="U1689" s="1871" t="s">
        <v>138</v>
      </c>
      <c r="V1689" s="26" t="s">
        <v>6280</v>
      </c>
      <c r="W1689" s="649" t="s">
        <v>6638</v>
      </c>
      <c r="X1689" s="18"/>
      <c r="Y1689" s="4"/>
      <c r="Z1689" s="4"/>
    </row>
    <row r="1690" spans="1:26" ht="14.1" hidden="1">
      <c r="A1690" s="20">
        <v>1697</v>
      </c>
      <c r="B1690" s="1063">
        <v>41467</v>
      </c>
      <c r="C1690" s="26" t="s">
        <v>6639</v>
      </c>
      <c r="D1690" s="11" t="s">
        <v>6</v>
      </c>
      <c r="E1690" s="26" t="s">
        <v>6634</v>
      </c>
      <c r="F1690" s="1044" t="s">
        <v>2143</v>
      </c>
      <c r="G1690" s="20" t="s">
        <v>1061</v>
      </c>
      <c r="H1690" s="20" t="s">
        <v>1143</v>
      </c>
      <c r="I1690" s="210" t="s">
        <v>574</v>
      </c>
      <c r="J1690" s="211" t="s">
        <v>6640</v>
      </c>
      <c r="K1690" s="211">
        <v>733910680</v>
      </c>
      <c r="L1690" s="211" t="s">
        <v>1061</v>
      </c>
      <c r="M1690" s="20">
        <v>4</v>
      </c>
      <c r="N1690" s="20"/>
      <c r="O1690" s="211">
        <v>10</v>
      </c>
      <c r="P1690" s="211">
        <v>0</v>
      </c>
      <c r="Q1690" s="211">
        <v>4</v>
      </c>
      <c r="R1690" s="1255">
        <v>541.4</v>
      </c>
      <c r="S1690" s="1252">
        <f t="shared" si="86"/>
        <v>5414</v>
      </c>
      <c r="T1690" s="26" t="s">
        <v>5448</v>
      </c>
      <c r="U1690" s="1871" t="s">
        <v>138</v>
      </c>
      <c r="V1690" s="26" t="s">
        <v>6280</v>
      </c>
      <c r="W1690" s="650" t="s">
        <v>6641</v>
      </c>
      <c r="X1690" s="18"/>
      <c r="Y1690" s="4"/>
      <c r="Z1690" s="4"/>
    </row>
    <row r="1691" spans="1:26" ht="14.1" hidden="1">
      <c r="A1691" s="20">
        <v>1698</v>
      </c>
      <c r="B1691" s="1063">
        <v>41468</v>
      </c>
      <c r="C1691" s="26" t="s">
        <v>6642</v>
      </c>
      <c r="D1691" s="11" t="s">
        <v>6</v>
      </c>
      <c r="E1691" s="26" t="s">
        <v>6634</v>
      </c>
      <c r="F1691" s="26" t="s">
        <v>2143</v>
      </c>
      <c r="G1691" s="210" t="s">
        <v>6643</v>
      </c>
      <c r="H1691" s="26" t="s">
        <v>6644</v>
      </c>
      <c r="I1691" s="26" t="s">
        <v>6645</v>
      </c>
      <c r="J1691" s="26" t="s">
        <v>6646</v>
      </c>
      <c r="K1691" s="26"/>
      <c r="L1691" s="26"/>
      <c r="M1691" s="26">
        <v>2</v>
      </c>
      <c r="N1691" s="26"/>
      <c r="O1691" s="26">
        <v>5</v>
      </c>
      <c r="P1691" s="26">
        <v>0</v>
      </c>
      <c r="Q1691" s="26">
        <f t="shared" ref="Q1691:Q1692" si="87">O1691-M1691</f>
        <v>3</v>
      </c>
      <c r="R1691" s="1209">
        <v>100</v>
      </c>
      <c r="S1691" s="1252">
        <f t="shared" si="86"/>
        <v>500</v>
      </c>
      <c r="T1691" s="26" t="s">
        <v>5448</v>
      </c>
      <c r="U1691" s="1871" t="s">
        <v>138</v>
      </c>
      <c r="V1691" s="26" t="s">
        <v>6280</v>
      </c>
      <c r="W1691" s="2074" t="s">
        <v>6647</v>
      </c>
      <c r="X1691" s="18"/>
      <c r="Y1691" s="4"/>
      <c r="Z1691" s="4"/>
    </row>
    <row r="1692" spans="1:26" ht="14.1" hidden="1">
      <c r="A1692" s="20">
        <v>1699</v>
      </c>
      <c r="B1692" s="1063">
        <v>41469</v>
      </c>
      <c r="C1692" s="26" t="s">
        <v>6648</v>
      </c>
      <c r="D1692" s="11" t="s">
        <v>6</v>
      </c>
      <c r="E1692" s="26" t="s">
        <v>6634</v>
      </c>
      <c r="F1692" s="26" t="s">
        <v>2143</v>
      </c>
      <c r="G1692" s="26" t="s">
        <v>6649</v>
      </c>
      <c r="H1692" s="26" t="s">
        <v>6650</v>
      </c>
      <c r="I1692" s="26" t="s">
        <v>6651</v>
      </c>
      <c r="J1692" s="26" t="s">
        <v>6211</v>
      </c>
      <c r="K1692" s="26"/>
      <c r="L1692" s="26"/>
      <c r="M1692" s="26">
        <v>3</v>
      </c>
      <c r="N1692" s="26"/>
      <c r="O1692" s="26">
        <v>5</v>
      </c>
      <c r="P1692" s="26">
        <v>0</v>
      </c>
      <c r="Q1692" s="26">
        <f t="shared" si="87"/>
        <v>2</v>
      </c>
      <c r="R1692" s="1209">
        <f>S1692/5</f>
        <v>3485.8</v>
      </c>
      <c r="S1692" s="1252">
        <v>17429</v>
      </c>
      <c r="T1692" s="26" t="s">
        <v>5448</v>
      </c>
      <c r="U1692" s="1871" t="s">
        <v>6652</v>
      </c>
      <c r="V1692" s="26" t="s">
        <v>6280</v>
      </c>
      <c r="W1692" s="2065" t="s">
        <v>6212</v>
      </c>
      <c r="X1692" s="18"/>
      <c r="Y1692" s="4"/>
      <c r="Z1692" s="4"/>
    </row>
    <row r="1693" spans="1:26" ht="24.95" hidden="1">
      <c r="A1693" s="20">
        <v>1700</v>
      </c>
      <c r="B1693" s="1063">
        <v>41470</v>
      </c>
      <c r="C1693" s="26" t="s">
        <v>6653</v>
      </c>
      <c r="D1693" s="11"/>
      <c r="E1693" s="26" t="s">
        <v>5607</v>
      </c>
      <c r="F1693" s="26" t="s">
        <v>684</v>
      </c>
      <c r="G1693" s="26" t="s">
        <v>6654</v>
      </c>
      <c r="H1693" s="26" t="s">
        <v>569</v>
      </c>
      <c r="I1693" s="26" t="s">
        <v>569</v>
      </c>
      <c r="J1693" s="26"/>
      <c r="K1693" s="26"/>
      <c r="L1693" s="26"/>
      <c r="M1693" s="26">
        <v>1</v>
      </c>
      <c r="N1693" s="26">
        <v>1</v>
      </c>
      <c r="O1693" s="26">
        <v>1</v>
      </c>
      <c r="P1693" s="26">
        <v>0</v>
      </c>
      <c r="Q1693" s="26">
        <v>1</v>
      </c>
      <c r="R1693" s="1209">
        <v>210100</v>
      </c>
      <c r="S1693" s="1209">
        <v>210100</v>
      </c>
      <c r="T1693" s="26" t="s">
        <v>4220</v>
      </c>
      <c r="U1693" s="1871" t="s">
        <v>684</v>
      </c>
      <c r="V1693" s="26" t="s">
        <v>689</v>
      </c>
      <c r="W1693" s="2015"/>
      <c r="X1693" s="26"/>
      <c r="Y1693" s="71"/>
      <c r="Z1693" s="71"/>
    </row>
    <row r="1694" spans="1:26" ht="24.95" hidden="1">
      <c r="A1694" s="20">
        <v>1701</v>
      </c>
      <c r="B1694" s="1063">
        <v>41471</v>
      </c>
      <c r="C1694" s="26" t="s">
        <v>6655</v>
      </c>
      <c r="D1694" s="11" t="s">
        <v>6</v>
      </c>
      <c r="E1694" s="26" t="s">
        <v>6634</v>
      </c>
      <c r="F1694" s="26" t="s">
        <v>412</v>
      </c>
      <c r="G1694" s="26" t="s">
        <v>6656</v>
      </c>
      <c r="H1694" s="26" t="s">
        <v>4480</v>
      </c>
      <c r="I1694" s="26" t="s">
        <v>4480</v>
      </c>
      <c r="J1694" s="26"/>
      <c r="K1694" s="26"/>
      <c r="L1694" s="26"/>
      <c r="M1694" s="26">
        <v>2</v>
      </c>
      <c r="N1694" s="26">
        <v>2</v>
      </c>
      <c r="O1694" s="26">
        <v>2</v>
      </c>
      <c r="P1694" s="26">
        <v>0</v>
      </c>
      <c r="Q1694" s="26">
        <v>0</v>
      </c>
      <c r="R1694" s="1209"/>
      <c r="S1694" s="1209"/>
      <c r="T1694" s="26"/>
      <c r="U1694" s="1871"/>
      <c r="V1694" s="26"/>
      <c r="W1694" s="2015"/>
      <c r="X1694" s="26"/>
      <c r="Y1694" s="71"/>
      <c r="Z1694" s="71"/>
    </row>
    <row r="1695" spans="1:26" ht="14.1" hidden="1">
      <c r="A1695" s="20">
        <v>1702</v>
      </c>
      <c r="B1695" s="1063">
        <v>41472</v>
      </c>
      <c r="C1695" s="26" t="s">
        <v>6657</v>
      </c>
      <c r="D1695" s="11" t="s">
        <v>6</v>
      </c>
      <c r="E1695" s="26" t="s">
        <v>6634</v>
      </c>
      <c r="F1695" s="26" t="s">
        <v>439</v>
      </c>
      <c r="G1695" s="26" t="s">
        <v>6658</v>
      </c>
      <c r="H1695" s="187" t="s">
        <v>6659</v>
      </c>
      <c r="I1695" s="187" t="s">
        <v>5723</v>
      </c>
      <c r="J1695" s="212" t="s">
        <v>6660</v>
      </c>
      <c r="K1695" s="26"/>
      <c r="L1695" s="26" t="s">
        <v>6661</v>
      </c>
      <c r="M1695" s="26">
        <v>8</v>
      </c>
      <c r="N1695" s="26">
        <v>1</v>
      </c>
      <c r="O1695" s="26">
        <v>20</v>
      </c>
      <c r="P1695" s="26">
        <v>0</v>
      </c>
      <c r="Q1695" s="26">
        <v>12</v>
      </c>
      <c r="R1695" s="1209">
        <v>580.79999999999995</v>
      </c>
      <c r="S1695" s="1209">
        <v>11616</v>
      </c>
      <c r="T1695" s="26" t="s">
        <v>5448</v>
      </c>
      <c r="U1695" s="1871" t="s">
        <v>6662</v>
      </c>
      <c r="V1695" s="26" t="s">
        <v>6663</v>
      </c>
      <c r="W1695" s="2065" t="s">
        <v>3270</v>
      </c>
      <c r="X1695" s="18"/>
      <c r="Y1695" s="4"/>
      <c r="Z1695" s="4"/>
    </row>
    <row r="1696" spans="1:26" ht="14.1" hidden="1">
      <c r="A1696" s="20">
        <v>1703</v>
      </c>
      <c r="B1696" s="1063">
        <v>41473</v>
      </c>
      <c r="C1696" s="26" t="s">
        <v>6664</v>
      </c>
      <c r="D1696" s="11" t="s">
        <v>6</v>
      </c>
      <c r="E1696" s="26" t="s">
        <v>6634</v>
      </c>
      <c r="F1696" s="26" t="s">
        <v>439</v>
      </c>
      <c r="G1696" s="26" t="s">
        <v>6665</v>
      </c>
      <c r="H1696" s="26" t="s">
        <v>4110</v>
      </c>
      <c r="I1696" s="26" t="s">
        <v>574</v>
      </c>
      <c r="J1696" s="26" t="s">
        <v>6666</v>
      </c>
      <c r="K1696" s="213" t="s">
        <v>6667</v>
      </c>
      <c r="L1696" s="26" t="s">
        <v>6668</v>
      </c>
      <c r="M1696" s="26">
        <v>5</v>
      </c>
      <c r="N1696" s="26">
        <v>1</v>
      </c>
      <c r="O1696" s="26">
        <v>10</v>
      </c>
      <c r="P1696" s="26">
        <v>0</v>
      </c>
      <c r="Q1696" s="26">
        <v>5</v>
      </c>
      <c r="R1696" s="1209">
        <v>1240.2</v>
      </c>
      <c r="S1696" s="1209">
        <v>12402</v>
      </c>
      <c r="T1696" s="26" t="s">
        <v>5448</v>
      </c>
      <c r="U1696" s="1871" t="s">
        <v>6669</v>
      </c>
      <c r="V1696" s="26" t="s">
        <v>6663</v>
      </c>
      <c r="W1696" s="701" t="s">
        <v>6670</v>
      </c>
      <c r="X1696" s="18"/>
      <c r="Y1696" s="4"/>
      <c r="Z1696" s="4"/>
    </row>
    <row r="1697" spans="1:26" ht="14.1" hidden="1">
      <c r="A1697" s="20">
        <v>1704</v>
      </c>
      <c r="B1697" s="1063">
        <v>41474</v>
      </c>
      <c r="C1697" s="26" t="s">
        <v>6671</v>
      </c>
      <c r="D1697" s="11" t="s">
        <v>6</v>
      </c>
      <c r="E1697" s="26" t="s">
        <v>6634</v>
      </c>
      <c r="F1697" s="26" t="s">
        <v>439</v>
      </c>
      <c r="G1697" s="26" t="s">
        <v>6672</v>
      </c>
      <c r="H1697" s="26" t="s">
        <v>4110</v>
      </c>
      <c r="I1697" s="26" t="s">
        <v>574</v>
      </c>
      <c r="J1697" s="26" t="s">
        <v>6673</v>
      </c>
      <c r="K1697" s="213" t="s">
        <v>6674</v>
      </c>
      <c r="L1697" s="26" t="s">
        <v>1</v>
      </c>
      <c r="M1697" s="26">
        <v>3</v>
      </c>
      <c r="N1697" s="26">
        <v>1</v>
      </c>
      <c r="O1697" s="26">
        <v>3</v>
      </c>
      <c r="P1697" s="26">
        <v>0</v>
      </c>
      <c r="Q1697" s="26">
        <v>0</v>
      </c>
      <c r="R1697" s="1209">
        <v>15571</v>
      </c>
      <c r="S1697" s="1209">
        <v>46713</v>
      </c>
      <c r="T1697" s="26" t="s">
        <v>5448</v>
      </c>
      <c r="U1697" s="1871" t="s">
        <v>6675</v>
      </c>
      <c r="V1697" s="26" t="s">
        <v>6663</v>
      </c>
      <c r="W1697" s="2065" t="s">
        <v>6676</v>
      </c>
      <c r="X1697" s="18"/>
      <c r="Y1697" s="4"/>
      <c r="Z1697" s="4"/>
    </row>
    <row r="1698" spans="1:26" ht="14.1" hidden="1">
      <c r="A1698" s="20">
        <v>1705</v>
      </c>
      <c r="B1698" s="1063">
        <v>41475</v>
      </c>
      <c r="C1698" s="26" t="s">
        <v>6677</v>
      </c>
      <c r="D1698" s="11" t="s">
        <v>6</v>
      </c>
      <c r="E1698" s="26" t="s">
        <v>6634</v>
      </c>
      <c r="F1698" s="26" t="s">
        <v>439</v>
      </c>
      <c r="G1698" s="26" t="s">
        <v>6678</v>
      </c>
      <c r="H1698" s="26" t="s">
        <v>6679</v>
      </c>
      <c r="I1698" s="26" t="s">
        <v>6680</v>
      </c>
      <c r="J1698" s="26" t="s">
        <v>1</v>
      </c>
      <c r="K1698" s="26" t="s">
        <v>1</v>
      </c>
      <c r="L1698" s="26" t="s">
        <v>6668</v>
      </c>
      <c r="M1698" s="26">
        <v>1</v>
      </c>
      <c r="N1698" s="26">
        <v>1</v>
      </c>
      <c r="O1698" s="26">
        <v>2</v>
      </c>
      <c r="P1698" s="26">
        <v>0</v>
      </c>
      <c r="Q1698" s="26">
        <v>1</v>
      </c>
      <c r="R1698" s="1209">
        <v>35</v>
      </c>
      <c r="S1698" s="1209">
        <v>70</v>
      </c>
      <c r="T1698" s="26" t="s">
        <v>5448</v>
      </c>
      <c r="U1698" s="1871" t="s">
        <v>6681</v>
      </c>
      <c r="V1698" s="26" t="s">
        <v>6663</v>
      </c>
      <c r="W1698" s="2042" t="s">
        <v>1481</v>
      </c>
      <c r="X1698" s="18"/>
      <c r="Y1698" s="4"/>
      <c r="Z1698" s="4"/>
    </row>
    <row r="1699" spans="1:26" ht="14.1" hidden="1">
      <c r="A1699" s="20">
        <v>1706</v>
      </c>
      <c r="B1699" s="1063">
        <v>41476</v>
      </c>
      <c r="C1699" s="26" t="s">
        <v>6682</v>
      </c>
      <c r="D1699" s="11" t="s">
        <v>6</v>
      </c>
      <c r="E1699" s="26" t="s">
        <v>6634</v>
      </c>
      <c r="F1699" s="26" t="s">
        <v>439</v>
      </c>
      <c r="G1699" s="189" t="s">
        <v>6683</v>
      </c>
      <c r="H1699" s="26" t="s">
        <v>6684</v>
      </c>
      <c r="I1699" s="26" t="s">
        <v>574</v>
      </c>
      <c r="J1699" s="214" t="s">
        <v>6685</v>
      </c>
      <c r="K1699" s="215" t="s">
        <v>6686</v>
      </c>
      <c r="L1699" s="26" t="s">
        <v>6668</v>
      </c>
      <c r="M1699" s="26">
        <v>2</v>
      </c>
      <c r="N1699" s="26">
        <v>1</v>
      </c>
      <c r="O1699" s="26">
        <v>4</v>
      </c>
      <c r="P1699" s="26">
        <v>0</v>
      </c>
      <c r="Q1699" s="26">
        <v>2</v>
      </c>
      <c r="R1699" s="1209">
        <v>84</v>
      </c>
      <c r="S1699" s="1209">
        <v>336</v>
      </c>
      <c r="T1699" s="26" t="s">
        <v>5448</v>
      </c>
      <c r="U1699" s="1871" t="s">
        <v>6681</v>
      </c>
      <c r="V1699" s="26" t="s">
        <v>6663</v>
      </c>
      <c r="W1699" s="2065" t="s">
        <v>6687</v>
      </c>
      <c r="X1699" s="26"/>
      <c r="Y1699" s="71"/>
      <c r="Z1699" s="71"/>
    </row>
    <row r="1700" spans="1:26" ht="14.1" hidden="1">
      <c r="A1700" s="20">
        <v>1707</v>
      </c>
      <c r="B1700" s="1063">
        <v>41477</v>
      </c>
      <c r="C1700" s="26" t="s">
        <v>6688</v>
      </c>
      <c r="D1700" s="11" t="s">
        <v>6</v>
      </c>
      <c r="E1700" s="26" t="s">
        <v>6634</v>
      </c>
      <c r="F1700" s="26" t="s">
        <v>439</v>
      </c>
      <c r="G1700" s="26" t="s">
        <v>6689</v>
      </c>
      <c r="H1700" s="26" t="s">
        <v>6567</v>
      </c>
      <c r="I1700" s="26" t="s">
        <v>574</v>
      </c>
      <c r="J1700" s="216" t="s">
        <v>6690</v>
      </c>
      <c r="K1700" s="216" t="s">
        <v>6691</v>
      </c>
      <c r="L1700" s="26" t="s">
        <v>5267</v>
      </c>
      <c r="M1700" s="26">
        <v>3</v>
      </c>
      <c r="N1700" s="26">
        <v>1</v>
      </c>
      <c r="O1700" s="26">
        <v>5</v>
      </c>
      <c r="P1700" s="26">
        <v>0</v>
      </c>
      <c r="Q1700" s="26">
        <v>2</v>
      </c>
      <c r="R1700" s="1209">
        <v>220</v>
      </c>
      <c r="S1700" s="1209">
        <v>1100</v>
      </c>
      <c r="T1700" s="26" t="s">
        <v>5448</v>
      </c>
      <c r="U1700" s="1871" t="s">
        <v>5124</v>
      </c>
      <c r="V1700" s="26" t="s">
        <v>6663</v>
      </c>
      <c r="W1700" s="2075" t="s">
        <v>6692</v>
      </c>
      <c r="X1700" s="26"/>
      <c r="Y1700" s="71"/>
      <c r="Z1700" s="71"/>
    </row>
    <row r="1701" spans="1:26" ht="14.1" hidden="1">
      <c r="A1701" s="20">
        <v>1708</v>
      </c>
      <c r="B1701" s="1063">
        <v>41478</v>
      </c>
      <c r="C1701" s="26" t="s">
        <v>6693</v>
      </c>
      <c r="D1701" s="11"/>
      <c r="E1701" s="26" t="s">
        <v>6634</v>
      </c>
      <c r="F1701" s="26" t="s">
        <v>6097</v>
      </c>
      <c r="G1701" s="26" t="s">
        <v>6694</v>
      </c>
      <c r="H1701" s="26" t="s">
        <v>1002</v>
      </c>
      <c r="I1701" s="26" t="s">
        <v>1002</v>
      </c>
      <c r="J1701" s="26"/>
      <c r="K1701" s="26"/>
      <c r="L1701" s="26"/>
      <c r="M1701" s="26">
        <v>4</v>
      </c>
      <c r="N1701" s="26">
        <v>1</v>
      </c>
      <c r="O1701" s="26">
        <v>4</v>
      </c>
      <c r="P1701" s="26">
        <v>0</v>
      </c>
      <c r="Q1701" s="26">
        <v>0</v>
      </c>
      <c r="R1701" s="1209"/>
      <c r="S1701" s="1209">
        <v>32872</v>
      </c>
      <c r="T1701" s="26" t="s">
        <v>5448</v>
      </c>
      <c r="U1701" s="1871" t="s">
        <v>6695</v>
      </c>
      <c r="V1701" s="26"/>
      <c r="W1701" s="2015"/>
      <c r="X1701" s="18"/>
      <c r="Y1701" s="4"/>
      <c r="Z1701" s="4"/>
    </row>
    <row r="1702" spans="1:26" ht="14.1" hidden="1">
      <c r="A1702" s="20">
        <v>1709</v>
      </c>
      <c r="B1702" s="1063">
        <v>41479</v>
      </c>
      <c r="C1702" s="26" t="s">
        <v>6696</v>
      </c>
      <c r="D1702" s="11" t="s">
        <v>6</v>
      </c>
      <c r="E1702" s="26" t="s">
        <v>6634</v>
      </c>
      <c r="F1702" s="26" t="s">
        <v>2652</v>
      </c>
      <c r="G1702" s="26" t="s">
        <v>285</v>
      </c>
      <c r="H1702" s="26" t="s">
        <v>1002</v>
      </c>
      <c r="I1702" s="26" t="s">
        <v>1002</v>
      </c>
      <c r="J1702" s="26"/>
      <c r="K1702" s="26"/>
      <c r="L1702" s="26"/>
      <c r="M1702" s="26">
        <v>4</v>
      </c>
      <c r="N1702" s="26">
        <v>1</v>
      </c>
      <c r="O1702" s="26">
        <v>4</v>
      </c>
      <c r="P1702" s="26">
        <v>0</v>
      </c>
      <c r="Q1702" s="26">
        <v>0</v>
      </c>
      <c r="R1702" s="1209"/>
      <c r="S1702" s="1209">
        <v>152192</v>
      </c>
      <c r="T1702" s="26" t="s">
        <v>6697</v>
      </c>
      <c r="U1702" s="1871" t="s">
        <v>5124</v>
      </c>
      <c r="V1702" s="26" t="s">
        <v>6663</v>
      </c>
      <c r="W1702" s="2015"/>
      <c r="X1702" s="18"/>
      <c r="Y1702" s="4"/>
      <c r="Z1702" s="4"/>
    </row>
    <row r="1703" spans="1:26" ht="37.5" hidden="1">
      <c r="A1703" s="20">
        <v>1710</v>
      </c>
      <c r="B1703" s="1063">
        <v>41480</v>
      </c>
      <c r="C1703" s="26" t="s">
        <v>6698</v>
      </c>
      <c r="D1703" s="8" t="s">
        <v>6</v>
      </c>
      <c r="E1703" s="26" t="s">
        <v>6634</v>
      </c>
      <c r="F1703" s="26" t="s">
        <v>6699</v>
      </c>
      <c r="G1703" s="651" t="s">
        <v>6700</v>
      </c>
      <c r="H1703" s="26" t="s">
        <v>6701</v>
      </c>
      <c r="I1703" s="26" t="s">
        <v>6702</v>
      </c>
      <c r="J1703" s="217" t="s">
        <v>6703</v>
      </c>
      <c r="K1703" s="189" t="s">
        <v>6703</v>
      </c>
      <c r="L1703" s="26" t="s">
        <v>6704</v>
      </c>
      <c r="M1703" s="26">
        <v>2</v>
      </c>
      <c r="N1703" s="26">
        <v>1</v>
      </c>
      <c r="O1703" s="26">
        <v>2</v>
      </c>
      <c r="P1703" s="26">
        <v>0</v>
      </c>
      <c r="Q1703" s="26">
        <v>0</v>
      </c>
      <c r="R1703" s="1209">
        <v>4000</v>
      </c>
      <c r="S1703" s="1209">
        <v>8000</v>
      </c>
      <c r="T1703" s="26" t="s">
        <v>5448</v>
      </c>
      <c r="U1703" s="1871" t="s">
        <v>6705</v>
      </c>
      <c r="V1703" s="26" t="s">
        <v>6663</v>
      </c>
      <c r="W1703" s="2008" t="s">
        <v>6706</v>
      </c>
      <c r="X1703" s="18"/>
      <c r="Y1703" s="4"/>
      <c r="Z1703" s="4"/>
    </row>
    <row r="1704" spans="1:26" ht="18" hidden="1" customHeight="1">
      <c r="A1704" s="20">
        <v>1711</v>
      </c>
      <c r="B1704" s="1063">
        <v>41481</v>
      </c>
      <c r="C1704" s="26" t="s">
        <v>6707</v>
      </c>
      <c r="D1704" s="8" t="s">
        <v>6</v>
      </c>
      <c r="E1704" s="26" t="s">
        <v>6634</v>
      </c>
      <c r="F1704" s="26" t="s">
        <v>6699</v>
      </c>
      <c r="G1704" s="218" t="s">
        <v>6708</v>
      </c>
      <c r="H1704" s="26" t="s">
        <v>6701</v>
      </c>
      <c r="I1704" s="26" t="s">
        <v>6702</v>
      </c>
      <c r="J1704" s="219" t="s">
        <v>6709</v>
      </c>
      <c r="K1704" s="220" t="s">
        <v>6709</v>
      </c>
      <c r="L1704" s="26"/>
      <c r="M1704" s="26">
        <v>2</v>
      </c>
      <c r="N1704" s="26">
        <v>1</v>
      </c>
      <c r="O1704" s="26">
        <v>2</v>
      </c>
      <c r="P1704" s="26">
        <v>0</v>
      </c>
      <c r="Q1704" s="26">
        <v>0</v>
      </c>
      <c r="R1704" s="1209">
        <v>799</v>
      </c>
      <c r="S1704" s="1209">
        <v>1598</v>
      </c>
      <c r="T1704" s="26" t="s">
        <v>5448</v>
      </c>
      <c r="U1704" s="1871" t="s">
        <v>6705</v>
      </c>
      <c r="V1704" s="26" t="s">
        <v>6663</v>
      </c>
      <c r="W1704" s="2008" t="e">
        <f>HYPERLINK("https://www.amazon.co.jp/dp/B074Z55ZCK/ref=pd_aw_sbs_328_8?_encoding=UTF8&amp;pd_rd_i=B074Z55ZCK&amp;pd_rd_r=24cbada3-acb1-4432-95d6-cb07a195810e&amp;pd_rd_w=vJjuH&amp;pd_rd_wg=dgu8a&amp;pf_rd_p=aeee4cf9-9af8-43b4-b05c-0ae7c82d9d5e&amp;pf_rd_r=K1JY3X1CWV2J3XN53KGW&amp;psc=1&amp;refRID=K"&amp;"1JY3X1CWV2J3XN53KGW","Amazon Japan Link")</f>
        <v>#VALUE!</v>
      </c>
      <c r="X1704" s="18"/>
      <c r="Y1704" s="4"/>
      <c r="Z1704" s="4"/>
    </row>
    <row r="1705" spans="1:26" ht="37.5" hidden="1">
      <c r="A1705" s="20">
        <v>1712</v>
      </c>
      <c r="B1705" s="1063">
        <v>41482</v>
      </c>
      <c r="C1705" s="26" t="s">
        <v>6710</v>
      </c>
      <c r="D1705" s="8" t="s">
        <v>6</v>
      </c>
      <c r="E1705" s="26" t="s">
        <v>6634</v>
      </c>
      <c r="F1705" s="26" t="s">
        <v>6699</v>
      </c>
      <c r="G1705" s="652" t="s">
        <v>6711</v>
      </c>
      <c r="H1705" s="26" t="s">
        <v>6701</v>
      </c>
      <c r="I1705" s="26" t="s">
        <v>6702</v>
      </c>
      <c r="J1705" s="221" t="s">
        <v>6712</v>
      </c>
      <c r="K1705" s="220" t="s">
        <v>6712</v>
      </c>
      <c r="L1705" s="26"/>
      <c r="M1705" s="26">
        <v>2</v>
      </c>
      <c r="N1705" s="26">
        <v>1</v>
      </c>
      <c r="O1705" s="26">
        <v>2</v>
      </c>
      <c r="P1705" s="26">
        <v>0</v>
      </c>
      <c r="Q1705" s="26">
        <v>0</v>
      </c>
      <c r="R1705" s="1209">
        <v>4599</v>
      </c>
      <c r="S1705" s="1209">
        <v>9198</v>
      </c>
      <c r="T1705" s="26" t="s">
        <v>5448</v>
      </c>
      <c r="U1705" s="1871" t="s">
        <v>6705</v>
      </c>
      <c r="V1705" s="26" t="s">
        <v>6663</v>
      </c>
      <c r="W1705" s="2008" t="s">
        <v>6713</v>
      </c>
      <c r="X1705" s="26"/>
      <c r="Y1705" s="71"/>
      <c r="Z1705" s="71"/>
    </row>
    <row r="1706" spans="1:26" ht="16.5" hidden="1" customHeight="1">
      <c r="A1706" s="20">
        <v>1713</v>
      </c>
      <c r="B1706" s="1063">
        <v>41483</v>
      </c>
      <c r="C1706" s="26" t="s">
        <v>6714</v>
      </c>
      <c r="D1706" s="8" t="s">
        <v>6</v>
      </c>
      <c r="E1706" s="26" t="s">
        <v>6634</v>
      </c>
      <c r="F1706" s="26" t="s">
        <v>6699</v>
      </c>
      <c r="G1706" s="26" t="s">
        <v>6715</v>
      </c>
      <c r="H1706" s="26"/>
      <c r="I1706" s="26" t="s">
        <v>6702</v>
      </c>
      <c r="J1706" s="26"/>
      <c r="K1706" s="26"/>
      <c r="L1706" s="26"/>
      <c r="M1706" s="26">
        <v>1</v>
      </c>
      <c r="N1706" s="26">
        <v>1</v>
      </c>
      <c r="O1706" s="26">
        <v>1</v>
      </c>
      <c r="P1706" s="26">
        <v>0</v>
      </c>
      <c r="Q1706" s="26"/>
      <c r="R1706" s="1209">
        <v>2951</v>
      </c>
      <c r="S1706" s="1209">
        <v>2951</v>
      </c>
      <c r="T1706" s="26" t="s">
        <v>5448</v>
      </c>
      <c r="U1706" s="1871" t="s">
        <v>6705</v>
      </c>
      <c r="V1706" s="26" t="s">
        <v>6663</v>
      </c>
      <c r="W1706" s="2008" t="e">
        <f>HYPERLINK("https://www.amazon.co.jp/dp/B07CZ89RXF/ref=sspa_dk_detail_8?pd_rd_i=B07CZ8QMQQ&amp;pd_rd_w=jyGG2&amp;pf_rd_p=aadbaebd-99fa-42cf-90e0-095e5b21f501&amp;pd_rd_wg=VXNgc&amp;pf_rd_r=H0WT3WP3BWT70R1BEHMD&amp;pd_rd_r=54ec1405-730b-42f6-80bd-bfb13160dd6f&amp;spLa=ZW5jcnlwdGVkUXVhbGlmaWV"&amp;"yPUFWTjQ1WTE5MlVQSFUmZW5jcnlwdGVkSWQ9QTA1OTI5MTgySEFDWUVDVlFKOU00JmVuY3J5cHRlZEFkSWQ9QTFKQlQ3QVVWU1JTOEgmd2lkZ2V0TmFtZT1zcF9kZXRhaWwmYWN0aW9uPWNsaWNrUmVkaXJlY3QmZG9Ob3RMb2dDbGljaz10cnVl&amp;th=1","Amazon Japan Link")</f>
        <v>#VALUE!</v>
      </c>
      <c r="X1706" s="26"/>
      <c r="Y1706" s="71"/>
      <c r="Z1706" s="71"/>
    </row>
    <row r="1707" spans="1:26" ht="17.25" hidden="1" customHeight="1">
      <c r="A1707" s="20">
        <v>1714</v>
      </c>
      <c r="B1707" s="1063">
        <v>41484</v>
      </c>
      <c r="C1707" s="26" t="s">
        <v>6716</v>
      </c>
      <c r="D1707" s="11" t="s">
        <v>6</v>
      </c>
      <c r="E1707" s="26" t="s">
        <v>6634</v>
      </c>
      <c r="F1707" s="26" t="s">
        <v>6699</v>
      </c>
      <c r="G1707" s="26" t="s">
        <v>6717</v>
      </c>
      <c r="H1707" s="26" t="s">
        <v>6718</v>
      </c>
      <c r="I1707" s="26" t="s">
        <v>6680</v>
      </c>
      <c r="J1707" s="189" t="s">
        <v>6719</v>
      </c>
      <c r="K1707" s="26"/>
      <c r="L1707" s="26"/>
      <c r="M1707" s="26">
        <v>1</v>
      </c>
      <c r="N1707" s="26">
        <v>1</v>
      </c>
      <c r="O1707" s="26">
        <v>1</v>
      </c>
      <c r="P1707" s="26">
        <v>0</v>
      </c>
      <c r="Q1707" s="26">
        <v>0</v>
      </c>
      <c r="R1707" s="1209">
        <v>6600</v>
      </c>
      <c r="S1707" s="1209">
        <v>6600</v>
      </c>
      <c r="T1707" s="26" t="s">
        <v>5448</v>
      </c>
      <c r="U1707" s="1871" t="s">
        <v>6705</v>
      </c>
      <c r="V1707" s="26" t="s">
        <v>6663</v>
      </c>
      <c r="W1707" s="2008" t="s">
        <v>6720</v>
      </c>
      <c r="X1707" s="18"/>
      <c r="Y1707" s="4"/>
      <c r="Z1707" s="4"/>
    </row>
    <row r="1708" spans="1:26" ht="15.75" hidden="1" customHeight="1">
      <c r="A1708" s="20">
        <v>1715</v>
      </c>
      <c r="B1708" s="1063">
        <v>41485</v>
      </c>
      <c r="C1708" s="26" t="s">
        <v>6721</v>
      </c>
      <c r="D1708" s="11" t="s">
        <v>6</v>
      </c>
      <c r="E1708" s="26" t="s">
        <v>6634</v>
      </c>
      <c r="F1708" s="26" t="s">
        <v>6699</v>
      </c>
      <c r="G1708" s="26" t="s">
        <v>6722</v>
      </c>
      <c r="H1708" s="26"/>
      <c r="I1708" s="26" t="s">
        <v>6680</v>
      </c>
      <c r="J1708" s="189" t="s">
        <v>6723</v>
      </c>
      <c r="K1708" s="26"/>
      <c r="L1708" s="26"/>
      <c r="M1708" s="26">
        <v>1</v>
      </c>
      <c r="N1708" s="26">
        <v>1</v>
      </c>
      <c r="O1708" s="26">
        <v>1</v>
      </c>
      <c r="P1708" s="26">
        <v>0</v>
      </c>
      <c r="Q1708" s="26">
        <v>0</v>
      </c>
      <c r="R1708" s="1209">
        <v>900</v>
      </c>
      <c r="S1708" s="1209">
        <v>900</v>
      </c>
      <c r="T1708" s="26" t="s">
        <v>5448</v>
      </c>
      <c r="U1708" s="1871" t="s">
        <v>6705</v>
      </c>
      <c r="V1708" s="26" t="s">
        <v>6663</v>
      </c>
      <c r="W1708" s="2008" t="s">
        <v>6724</v>
      </c>
      <c r="X1708" s="18"/>
      <c r="Y1708" s="4"/>
      <c r="Z1708" s="4"/>
    </row>
    <row r="1709" spans="1:26" ht="15.75" hidden="1" customHeight="1">
      <c r="A1709" s="20">
        <v>1716</v>
      </c>
      <c r="B1709" s="1063">
        <v>41486</v>
      </c>
      <c r="C1709" s="26" t="s">
        <v>6725</v>
      </c>
      <c r="D1709" s="8" t="s">
        <v>6</v>
      </c>
      <c r="E1709" s="26" t="s">
        <v>6634</v>
      </c>
      <c r="F1709" s="26" t="s">
        <v>6699</v>
      </c>
      <c r="G1709" s="26" t="s">
        <v>6726</v>
      </c>
      <c r="H1709" s="26" t="s">
        <v>6727</v>
      </c>
      <c r="I1709" s="26" t="s">
        <v>6702</v>
      </c>
      <c r="J1709" s="26"/>
      <c r="K1709" s="26"/>
      <c r="L1709" s="26"/>
      <c r="M1709" s="26">
        <v>1</v>
      </c>
      <c r="N1709" s="26">
        <v>1</v>
      </c>
      <c r="O1709" s="26">
        <v>1</v>
      </c>
      <c r="P1709" s="26">
        <v>0</v>
      </c>
      <c r="Q1709" s="26">
        <v>0</v>
      </c>
      <c r="R1709" s="1209">
        <v>1788</v>
      </c>
      <c r="S1709" s="1209">
        <v>1788</v>
      </c>
      <c r="T1709" s="26" t="s">
        <v>5448</v>
      </c>
      <c r="U1709" s="1871" t="s">
        <v>6705</v>
      </c>
      <c r="V1709" s="26" t="s">
        <v>6663</v>
      </c>
      <c r="W1709" s="2008" t="str">
        <f>HYPERLINK("https://www.amazon.co.jp/dp/B07G5CZMTF/ref=sr_1_3?keywords=24+v+to+5+v+dc%E9%9B%BB%E6%BA%90&amp;qid=1578661435&amp;sr=8-3","Amazon Japan Link")</f>
        <v>Amazon Japan Link</v>
      </c>
      <c r="X1709" s="18"/>
      <c r="Y1709" s="4"/>
      <c r="Z1709" s="4"/>
    </row>
    <row r="1710" spans="1:26" ht="17.25" hidden="1" customHeight="1">
      <c r="A1710" s="20">
        <v>1717</v>
      </c>
      <c r="B1710" s="1063">
        <v>41487</v>
      </c>
      <c r="C1710" s="26" t="s">
        <v>6728</v>
      </c>
      <c r="D1710" s="8" t="s">
        <v>6</v>
      </c>
      <c r="E1710" s="26" t="s">
        <v>6634</v>
      </c>
      <c r="F1710" s="26" t="s">
        <v>6699</v>
      </c>
      <c r="G1710" s="222" t="s">
        <v>6729</v>
      </c>
      <c r="H1710" s="26"/>
      <c r="I1710" s="26" t="s">
        <v>6702</v>
      </c>
      <c r="J1710" s="26"/>
      <c r="K1710" s="26"/>
      <c r="L1710" s="26"/>
      <c r="M1710" s="26">
        <v>2</v>
      </c>
      <c r="N1710" s="26">
        <v>1</v>
      </c>
      <c r="O1710" s="26">
        <v>6</v>
      </c>
      <c r="P1710" s="26">
        <v>0</v>
      </c>
      <c r="Q1710" s="26">
        <v>4</v>
      </c>
      <c r="R1710" s="1209">
        <v>833</v>
      </c>
      <c r="S1710" s="1209">
        <v>833</v>
      </c>
      <c r="T1710" s="26" t="s">
        <v>5448</v>
      </c>
      <c r="U1710" s="1871" t="s">
        <v>6705</v>
      </c>
      <c r="V1710" s="26" t="s">
        <v>6663</v>
      </c>
      <c r="W1710" s="2008" t="e">
        <f>HYPERLINK("https://www.amazon.co.jp/dp/B07MFYMGX5/ref=pd_day0_hl_421_3/358-5491680-9085102?_encoding=UTF8&amp;pd_rd_i=B07MFYMGX5&amp;pd_rd_r=ac615da4-514b-4edb-8f14-20f13499f666&amp;pd_rd_w=tFIyn&amp;pd_rd_wg=LzWD0&amp;pf_rd_p=ec08f2a3-f9fb-4fdc-ac63-b64f3976e962&amp;pf_rd_r=FPTYX6FWPFS91X"&amp;"9QWMT2&amp;psc=1&amp;refRID=FPTYX6FWPFS91X9QWMT2","Amazon Japan Link")</f>
        <v>#VALUE!</v>
      </c>
      <c r="X1710" s="18"/>
      <c r="Y1710" s="4"/>
      <c r="Z1710" s="4"/>
    </row>
    <row r="1711" spans="1:26" ht="16.5" hidden="1" customHeight="1">
      <c r="A1711" s="20">
        <v>1718</v>
      </c>
      <c r="B1711" s="1063">
        <v>41488</v>
      </c>
      <c r="C1711" s="26" t="s">
        <v>6730</v>
      </c>
      <c r="D1711" s="8" t="s">
        <v>6</v>
      </c>
      <c r="E1711" s="26" t="s">
        <v>6634</v>
      </c>
      <c r="F1711" s="26" t="s">
        <v>6699</v>
      </c>
      <c r="G1711" s="26" t="s">
        <v>6731</v>
      </c>
      <c r="H1711" s="26" t="s">
        <v>6732</v>
      </c>
      <c r="I1711" s="26" t="s">
        <v>1022</v>
      </c>
      <c r="J1711" s="223">
        <v>8542129523</v>
      </c>
      <c r="K1711" s="189" t="s">
        <v>6733</v>
      </c>
      <c r="L1711" s="26"/>
      <c r="M1711" s="26">
        <v>1</v>
      </c>
      <c r="N1711" s="26">
        <v>1</v>
      </c>
      <c r="O1711" s="26">
        <v>1</v>
      </c>
      <c r="P1711" s="26">
        <v>0</v>
      </c>
      <c r="Q1711" s="26">
        <v>0</v>
      </c>
      <c r="R1711" s="1209">
        <v>5850</v>
      </c>
      <c r="S1711" s="1209">
        <v>5850</v>
      </c>
      <c r="T1711" s="26" t="s">
        <v>5448</v>
      </c>
      <c r="U1711" s="1871" t="s">
        <v>6705</v>
      </c>
      <c r="V1711" s="26" t="s">
        <v>6663</v>
      </c>
      <c r="W1711" s="2008" t="s">
        <v>6734</v>
      </c>
      <c r="X1711" s="26"/>
      <c r="Y1711" s="71"/>
      <c r="Z1711" s="71"/>
    </row>
    <row r="1712" spans="1:26" ht="16.5" hidden="1" customHeight="1">
      <c r="A1712" s="20">
        <v>1719</v>
      </c>
      <c r="B1712" s="1063">
        <v>41489</v>
      </c>
      <c r="C1712" s="26" t="s">
        <v>4639</v>
      </c>
      <c r="D1712" s="8" t="s">
        <v>6</v>
      </c>
      <c r="E1712" s="26" t="s">
        <v>6634</v>
      </c>
      <c r="F1712" s="26" t="s">
        <v>6699</v>
      </c>
      <c r="G1712" s="20" t="s">
        <v>6735</v>
      </c>
      <c r="H1712" s="26" t="s">
        <v>6732</v>
      </c>
      <c r="I1712" s="26" t="s">
        <v>1022</v>
      </c>
      <c r="J1712" s="224">
        <v>4333154780</v>
      </c>
      <c r="K1712" s="26"/>
      <c r="L1712" s="26"/>
      <c r="M1712" s="26">
        <v>1</v>
      </c>
      <c r="N1712" s="26">
        <v>1</v>
      </c>
      <c r="O1712" s="26">
        <v>1</v>
      </c>
      <c r="P1712" s="26">
        <v>0</v>
      </c>
      <c r="Q1712" s="26">
        <v>0</v>
      </c>
      <c r="R1712" s="1209">
        <v>1260</v>
      </c>
      <c r="S1712" s="1209">
        <v>1260</v>
      </c>
      <c r="T1712" s="26" t="s">
        <v>5448</v>
      </c>
      <c r="U1712" s="1871" t="s">
        <v>6705</v>
      </c>
      <c r="V1712" s="26" t="s">
        <v>6663</v>
      </c>
      <c r="W1712" s="2008" t="e">
        <f>HYPERLINK("https://www.amazon.com/Antenna-BerryGPS-BerryGPS-IMU-Connector-Adapter/dp/B0769FRT6X/ref=pd_bxgy_2/141-0508589-4605647?_encoding=UTF8&amp;pd_rd_i=B0769FRT6X&amp;pd_rd_r=a55eaeb1-3026-417f-b6c7-225b2aa42c7b&amp;pd_rd_w=GOiGw&amp;pd_rd_wg=rK3N6&amp;pf_rd_p=fd08095f-55ff-4a15-9"&amp;"b49-4a1a719225a9&amp;pf_rd_r=K5KJ3B4C9YMZNJ10EB5E&amp;psc=1&amp;refRID=K5KJ3B4C9YMZNJ10EB5E","Amazon Japan Link")</f>
        <v>#VALUE!</v>
      </c>
      <c r="X1712" s="26"/>
      <c r="Y1712" s="71"/>
      <c r="Z1712" s="71"/>
    </row>
    <row r="1713" spans="1:26" ht="14.25" hidden="1" customHeight="1">
      <c r="A1713" s="20">
        <v>1720</v>
      </c>
      <c r="B1713" s="1063">
        <v>41490</v>
      </c>
      <c r="C1713" s="26" t="s">
        <v>6736</v>
      </c>
      <c r="D1713" s="11" t="s">
        <v>6</v>
      </c>
      <c r="E1713" s="26" t="s">
        <v>6634</v>
      </c>
      <c r="F1713" s="26" t="s">
        <v>6699</v>
      </c>
      <c r="G1713" s="222" t="s">
        <v>6737</v>
      </c>
      <c r="H1713" s="26"/>
      <c r="I1713" s="26" t="s">
        <v>6680</v>
      </c>
      <c r="J1713" s="189" t="s">
        <v>6738</v>
      </c>
      <c r="K1713" s="26"/>
      <c r="L1713" s="26"/>
      <c r="M1713" s="26">
        <v>1</v>
      </c>
      <c r="N1713" s="26">
        <v>1</v>
      </c>
      <c r="O1713" s="26">
        <v>1</v>
      </c>
      <c r="P1713" s="26">
        <v>0</v>
      </c>
      <c r="Q1713" s="26">
        <v>0</v>
      </c>
      <c r="R1713" s="1209">
        <v>780</v>
      </c>
      <c r="S1713" s="1209">
        <v>780</v>
      </c>
      <c r="T1713" s="26" t="s">
        <v>5448</v>
      </c>
      <c r="U1713" s="1871" t="s">
        <v>6705</v>
      </c>
      <c r="V1713" s="26" t="s">
        <v>6663</v>
      </c>
      <c r="W1713" s="2008" t="s">
        <v>6739</v>
      </c>
      <c r="X1713" s="18"/>
      <c r="Y1713" s="4"/>
      <c r="Z1713" s="4"/>
    </row>
    <row r="1714" spans="1:26" ht="12.75" hidden="1" customHeight="1">
      <c r="A1714" s="20">
        <v>1721</v>
      </c>
      <c r="B1714" s="1063">
        <v>41491</v>
      </c>
      <c r="C1714" s="26" t="s">
        <v>6740</v>
      </c>
      <c r="D1714" s="8" t="s">
        <v>6</v>
      </c>
      <c r="E1714" s="26" t="s">
        <v>6634</v>
      </c>
      <c r="F1714" s="26" t="s">
        <v>6699</v>
      </c>
      <c r="G1714" s="20" t="s">
        <v>6741</v>
      </c>
      <c r="H1714" s="26" t="s">
        <v>6742</v>
      </c>
      <c r="I1714" s="26" t="s">
        <v>6702</v>
      </c>
      <c r="J1714" s="26"/>
      <c r="K1714" s="26"/>
      <c r="L1714" s="26"/>
      <c r="M1714" s="26">
        <v>1</v>
      </c>
      <c r="N1714" s="26">
        <v>1</v>
      </c>
      <c r="O1714" s="26">
        <v>1</v>
      </c>
      <c r="P1714" s="26">
        <v>0</v>
      </c>
      <c r="Q1714" s="26">
        <v>0</v>
      </c>
      <c r="R1714" s="1209">
        <v>1248</v>
      </c>
      <c r="S1714" s="1209">
        <v>1248</v>
      </c>
      <c r="T1714" s="26" t="s">
        <v>5448</v>
      </c>
      <c r="U1714" s="1871" t="s">
        <v>6705</v>
      </c>
      <c r="V1714" s="26" t="s">
        <v>6663</v>
      </c>
      <c r="W1714" s="2008" t="e">
        <f>HYPERLINK("https://www.amazon.co.jp/dp/B00762994I/ref=pd_sbs_201_4/358-5491680-9085102?_encoding=UTF8&amp;pd_rd_i=B00762994I&amp;pd_rd_r=84d934c4-ef4c-4647-8371-939ab5cef6ea&amp;pd_rd_w=4n6n8&amp;pd_rd_wg=3lpJv&amp;pf_rd_p=1585d594-d9d0-474b-8a4e-69eca1566911&amp;pf_rd_r=80NHCDH9ATNRW7NXEK"&amp;"3Q&amp;psc=1&amp;refRID=80NHCDH9ATNRW7NXEK3Q","Amazon Japan Link")</f>
        <v>#VALUE!</v>
      </c>
      <c r="X1714" s="18"/>
      <c r="Y1714" s="4"/>
      <c r="Z1714" s="4"/>
    </row>
    <row r="1715" spans="1:26" ht="16.5" hidden="1" customHeight="1">
      <c r="A1715" s="20">
        <v>1722</v>
      </c>
      <c r="B1715" s="1063">
        <v>41492</v>
      </c>
      <c r="C1715" s="26" t="s">
        <v>6743</v>
      </c>
      <c r="D1715" s="8" t="s">
        <v>6</v>
      </c>
      <c r="E1715" s="26" t="s">
        <v>6634</v>
      </c>
      <c r="F1715" s="26" t="s">
        <v>6699</v>
      </c>
      <c r="G1715" s="20" t="s">
        <v>6744</v>
      </c>
      <c r="H1715" s="26" t="s">
        <v>366</v>
      </c>
      <c r="I1715" s="26" t="s">
        <v>366</v>
      </c>
      <c r="J1715" s="26" t="s">
        <v>6745</v>
      </c>
      <c r="K1715" s="26"/>
      <c r="L1715" s="26"/>
      <c r="M1715" s="26">
        <v>1</v>
      </c>
      <c r="N1715" s="26">
        <v>1</v>
      </c>
      <c r="O1715" s="26">
        <v>1</v>
      </c>
      <c r="P1715" s="26">
        <v>0</v>
      </c>
      <c r="Q1715" s="26">
        <v>0</v>
      </c>
      <c r="R1715" s="1209">
        <v>1870</v>
      </c>
      <c r="S1715" s="1209">
        <v>1870</v>
      </c>
      <c r="T1715" s="26" t="s">
        <v>5448</v>
      </c>
      <c r="U1715" s="1871" t="s">
        <v>6705</v>
      </c>
      <c r="V1715" s="26" t="s">
        <v>6663</v>
      </c>
      <c r="W1715" s="2008" t="str">
        <f>HYPERLINK("https://jp.misumi-ec.com/vona2/detail/110302568510/?PNSearch=CHE25-200&amp;HissuCode=CHE25-200&amp;searchFlow=suggest2products&amp;Keyword=CHE25-200","Misumi Japan Link")</f>
        <v>Misumi Japan Link</v>
      </c>
      <c r="X1715" s="18"/>
      <c r="Y1715" s="4"/>
      <c r="Z1715" s="4"/>
    </row>
    <row r="1716" spans="1:26" ht="24.75" hidden="1" customHeight="1">
      <c r="A1716" s="20">
        <v>1723</v>
      </c>
      <c r="B1716" s="1063">
        <v>41493</v>
      </c>
      <c r="C1716" s="26" t="s">
        <v>6746</v>
      </c>
      <c r="D1716" s="8" t="s">
        <v>6</v>
      </c>
      <c r="E1716" s="26" t="s">
        <v>6634</v>
      </c>
      <c r="F1716" s="26" t="s">
        <v>6699</v>
      </c>
      <c r="G1716" s="110" t="s">
        <v>6747</v>
      </c>
      <c r="H1716" s="26"/>
      <c r="I1716" s="26" t="s">
        <v>6702</v>
      </c>
      <c r="J1716" s="26"/>
      <c r="K1716" s="26"/>
      <c r="L1716" s="26"/>
      <c r="M1716" s="26">
        <v>1</v>
      </c>
      <c r="N1716" s="26">
        <v>1</v>
      </c>
      <c r="O1716" s="26">
        <v>1</v>
      </c>
      <c r="P1716" s="26">
        <v>0</v>
      </c>
      <c r="Q1716" s="26">
        <v>0</v>
      </c>
      <c r="R1716" s="1209">
        <v>2099</v>
      </c>
      <c r="S1716" s="1209">
        <v>2099</v>
      </c>
      <c r="T1716" s="26" t="s">
        <v>5448</v>
      </c>
      <c r="U1716" s="1871" t="s">
        <v>6705</v>
      </c>
      <c r="V1716" s="26" t="s">
        <v>6663</v>
      </c>
      <c r="W1716" s="2008" t="str">
        <f>HYPERLINK("https://www.amazon.co.jp/dp/B07PNL49FY/ref=sr_1_9?dchild=1&amp;keywords=%E3%83%81%E3%82%A7%E3%83%BC%E3%83%B3%E3%82%AB%E3%83%83%E3%82%BF%E3%83%BC25&amp;qid=1575882312&amp;sr=8-9","Misumi Japan Link")</f>
        <v>Misumi Japan Link</v>
      </c>
      <c r="X1716" s="18"/>
      <c r="Y1716" s="4"/>
      <c r="Z1716" s="4"/>
    </row>
    <row r="1717" spans="1:26" ht="15" hidden="1" customHeight="1">
      <c r="A1717" s="20">
        <v>1724</v>
      </c>
      <c r="B1717" s="1063">
        <v>41494</v>
      </c>
      <c r="C1717" s="26" t="s">
        <v>6748</v>
      </c>
      <c r="D1717" s="8" t="s">
        <v>6</v>
      </c>
      <c r="E1717" s="26" t="s">
        <v>6634</v>
      </c>
      <c r="F1717" s="26" t="s">
        <v>6699</v>
      </c>
      <c r="G1717" s="133" t="s">
        <v>6749</v>
      </c>
      <c r="H1717" s="26" t="s">
        <v>6750</v>
      </c>
      <c r="I1717" s="26" t="s">
        <v>366</v>
      </c>
      <c r="J1717" s="26" t="s">
        <v>6751</v>
      </c>
      <c r="K1717" s="26"/>
      <c r="L1717" s="26"/>
      <c r="M1717" s="26">
        <v>2</v>
      </c>
      <c r="N1717" s="26">
        <v>1</v>
      </c>
      <c r="O1717" s="26">
        <v>2</v>
      </c>
      <c r="P1717" s="26">
        <v>0</v>
      </c>
      <c r="Q1717" s="26">
        <v>0</v>
      </c>
      <c r="R1717" s="1209">
        <v>2424</v>
      </c>
      <c r="S1717" s="1209">
        <v>4848</v>
      </c>
      <c r="T1717" s="26" t="s">
        <v>5448</v>
      </c>
      <c r="U1717" s="1871" t="s">
        <v>6705</v>
      </c>
      <c r="V1717" s="26" t="s">
        <v>6663</v>
      </c>
      <c r="W1717" s="2008" t="str">
        <f>HYPERLINK("https://jp.misumi-ec.com/vona2/detail/221005172730/?PNSearch=HA1546&amp;HissuCode=HA1546&amp;searchFlow=suggest2products&amp;Keyword=HA1546","Misumi Japan Link")</f>
        <v>Misumi Japan Link</v>
      </c>
      <c r="X1717" s="26"/>
      <c r="Y1717" s="71"/>
      <c r="Z1717" s="71"/>
    </row>
    <row r="1718" spans="1:26" ht="15" hidden="1" customHeight="1">
      <c r="A1718" s="20">
        <v>1725</v>
      </c>
      <c r="B1718" s="1063">
        <v>41495</v>
      </c>
      <c r="C1718" s="26" t="s">
        <v>6748</v>
      </c>
      <c r="D1718" s="8" t="s">
        <v>6</v>
      </c>
      <c r="E1718" s="26" t="s">
        <v>6634</v>
      </c>
      <c r="F1718" s="26" t="s">
        <v>6699</v>
      </c>
      <c r="G1718" s="133" t="s">
        <v>6752</v>
      </c>
      <c r="H1718" s="26" t="s">
        <v>6750</v>
      </c>
      <c r="I1718" s="26" t="s">
        <v>366</v>
      </c>
      <c r="J1718" s="26" t="s">
        <v>6753</v>
      </c>
      <c r="K1718" s="26"/>
      <c r="L1718" s="26"/>
      <c r="M1718" s="26">
        <v>2</v>
      </c>
      <c r="N1718" s="26">
        <v>1</v>
      </c>
      <c r="O1718" s="26">
        <v>2</v>
      </c>
      <c r="P1718" s="26">
        <v>0</v>
      </c>
      <c r="Q1718" s="26">
        <v>0</v>
      </c>
      <c r="R1718" s="1209">
        <v>1408</v>
      </c>
      <c r="S1718" s="1209">
        <v>2816</v>
      </c>
      <c r="T1718" s="26" t="s">
        <v>5448</v>
      </c>
      <c r="U1718" s="1871" t="s">
        <v>6705</v>
      </c>
      <c r="V1718" s="26" t="s">
        <v>6663</v>
      </c>
      <c r="W1718" s="2008" t="str">
        <f>HYPERLINK("https://jp.misumi-ec.com/vona2/detail/221005172730/?PNSearch=HA2034&amp;HissuCode=HA2034&amp;searchFlow=suggest2products&amp;Keyword=HA2034","Misumi Japan Link")</f>
        <v>Misumi Japan Link</v>
      </c>
      <c r="X1718" s="26"/>
      <c r="Y1718" s="71"/>
      <c r="Z1718" s="71"/>
    </row>
    <row r="1719" spans="1:26" ht="15" hidden="1" customHeight="1">
      <c r="A1719" s="20">
        <v>1726</v>
      </c>
      <c r="B1719" s="1063">
        <v>41496</v>
      </c>
      <c r="C1719" s="26" t="s">
        <v>6748</v>
      </c>
      <c r="D1719" s="8" t="s">
        <v>6</v>
      </c>
      <c r="E1719" s="26" t="s">
        <v>6634</v>
      </c>
      <c r="F1719" s="26" t="s">
        <v>6699</v>
      </c>
      <c r="G1719" s="20" t="s">
        <v>6754</v>
      </c>
      <c r="H1719" s="26" t="s">
        <v>6750</v>
      </c>
      <c r="I1719" s="26" t="s">
        <v>366</v>
      </c>
      <c r="J1719" s="26" t="s">
        <v>6755</v>
      </c>
      <c r="K1719" s="26"/>
      <c r="L1719" s="26"/>
      <c r="M1719" s="26">
        <v>3</v>
      </c>
      <c r="N1719" s="26">
        <v>1</v>
      </c>
      <c r="O1719" s="26">
        <v>3</v>
      </c>
      <c r="P1719" s="26">
        <v>0</v>
      </c>
      <c r="Q1719" s="26">
        <v>0</v>
      </c>
      <c r="R1719" s="1209">
        <v>594</v>
      </c>
      <c r="S1719" s="1209">
        <v>1782</v>
      </c>
      <c r="T1719" s="26" t="s">
        <v>5448</v>
      </c>
      <c r="U1719" s="1871" t="s">
        <v>6705</v>
      </c>
      <c r="V1719" s="26" t="s">
        <v>6663</v>
      </c>
      <c r="W1719" s="2008" t="str">
        <f>HYPERLINK("https://jp.misumi-ec.com/vona2/detail/221005172730/?PNSearch=HA1523&amp;HissuCode=HA1523&amp;searchFlow=suggest2products&amp;Keyword=HA1523","Misumi Japan Link")</f>
        <v>Misumi Japan Link</v>
      </c>
      <c r="X1719" s="18"/>
      <c r="Y1719" s="4"/>
      <c r="Z1719" s="4"/>
    </row>
    <row r="1720" spans="1:26" ht="12" hidden="1" customHeight="1">
      <c r="A1720" s="20">
        <v>1727</v>
      </c>
      <c r="B1720" s="1063">
        <v>41497</v>
      </c>
      <c r="C1720" s="26" t="s">
        <v>6756</v>
      </c>
      <c r="D1720" s="8" t="s">
        <v>6</v>
      </c>
      <c r="E1720" s="26" t="s">
        <v>6634</v>
      </c>
      <c r="F1720" s="26" t="s">
        <v>6699</v>
      </c>
      <c r="G1720" s="20" t="s">
        <v>6757</v>
      </c>
      <c r="H1720" s="26" t="s">
        <v>366</v>
      </c>
      <c r="I1720" s="26" t="s">
        <v>366</v>
      </c>
      <c r="J1720" s="26" t="s">
        <v>6758</v>
      </c>
      <c r="K1720" s="26"/>
      <c r="L1720" s="26"/>
      <c r="M1720" s="26">
        <v>2</v>
      </c>
      <c r="N1720" s="26">
        <v>1</v>
      </c>
      <c r="O1720" s="26">
        <v>2</v>
      </c>
      <c r="P1720" s="26">
        <v>0</v>
      </c>
      <c r="Q1720" s="26">
        <v>0</v>
      </c>
      <c r="R1720" s="1209">
        <v>2950</v>
      </c>
      <c r="S1720" s="1209">
        <v>5900</v>
      </c>
      <c r="T1720" s="26" t="s">
        <v>5448</v>
      </c>
      <c r="U1720" s="1871" t="s">
        <v>6705</v>
      </c>
      <c r="V1720" s="26" t="s">
        <v>6663</v>
      </c>
      <c r="W1720" s="2008" t="str">
        <f>HYPERLINK("https://jp.misumi-ec.com/vona2/detail/110302552140/?HissuCode=S50C-CUT-500-20-20&amp;PNSearch=S50C-CUT-500-20-20&amp;KWSearch=S50C-CUT-500-20-20&amp;searchFlow=results2products","Misumi Japan Link")</f>
        <v>Misumi Japan Link</v>
      </c>
      <c r="X1720" s="18"/>
      <c r="Y1720" s="4"/>
      <c r="Z1720" s="4"/>
    </row>
    <row r="1721" spans="1:26" ht="15" hidden="1" customHeight="1">
      <c r="A1721" s="20">
        <v>1728</v>
      </c>
      <c r="B1721" s="1063">
        <v>41498</v>
      </c>
      <c r="C1721" s="26" t="s">
        <v>6756</v>
      </c>
      <c r="D1721" s="8" t="s">
        <v>6</v>
      </c>
      <c r="E1721" s="26" t="s">
        <v>6634</v>
      </c>
      <c r="F1721" s="26" t="s">
        <v>6699</v>
      </c>
      <c r="G1721" s="222" t="s">
        <v>6759</v>
      </c>
      <c r="H1721" s="26" t="s">
        <v>366</v>
      </c>
      <c r="I1721" s="26" t="s">
        <v>366</v>
      </c>
      <c r="J1721" s="26" t="s">
        <v>6760</v>
      </c>
      <c r="K1721" s="26"/>
      <c r="L1721" s="26"/>
      <c r="M1721" s="26">
        <v>1</v>
      </c>
      <c r="N1721" s="26">
        <v>1</v>
      </c>
      <c r="O1721" s="26">
        <v>1</v>
      </c>
      <c r="P1721" s="26">
        <v>0</v>
      </c>
      <c r="Q1721" s="26">
        <v>0</v>
      </c>
      <c r="R1721" s="1209">
        <v>2470</v>
      </c>
      <c r="S1721" s="1209">
        <v>2470</v>
      </c>
      <c r="T1721" s="26" t="s">
        <v>5448</v>
      </c>
      <c r="U1721" s="1871" t="s">
        <v>6705</v>
      </c>
      <c r="V1721" s="26" t="s">
        <v>6663</v>
      </c>
      <c r="W1721" s="2008" t="str">
        <f>HYPERLINK("https://jp.misumi-ec.com/vona2/detail/110300538670/?PNSearch=PNLNP-150-70-20&amp;HissuCode=PNLNP-150-70-20&amp;searchFlow=suggest2products&amp;Keyword=PNLNP-150-70-20","Misumi Japan Link")</f>
        <v>Misumi Japan Link</v>
      </c>
      <c r="X1721" s="18"/>
      <c r="Y1721" s="4"/>
      <c r="Z1721" s="4"/>
    </row>
    <row r="1722" spans="1:26" ht="13.5" hidden="1" customHeight="1">
      <c r="A1722" s="20">
        <v>1729</v>
      </c>
      <c r="B1722" s="1063">
        <v>41499</v>
      </c>
      <c r="C1722" s="26" t="s">
        <v>6761</v>
      </c>
      <c r="D1722" s="8" t="s">
        <v>6</v>
      </c>
      <c r="E1722" s="26" t="s">
        <v>6634</v>
      </c>
      <c r="F1722" s="26" t="s">
        <v>6699</v>
      </c>
      <c r="G1722" s="20" t="s">
        <v>6762</v>
      </c>
      <c r="H1722" s="26" t="s">
        <v>366</v>
      </c>
      <c r="I1722" s="26" t="s">
        <v>366</v>
      </c>
      <c r="J1722" s="26" t="s">
        <v>6763</v>
      </c>
      <c r="K1722" s="26"/>
      <c r="L1722" s="26"/>
      <c r="M1722" s="26">
        <v>1</v>
      </c>
      <c r="N1722" s="26">
        <v>1</v>
      </c>
      <c r="O1722" s="26">
        <v>1</v>
      </c>
      <c r="P1722" s="26">
        <v>0</v>
      </c>
      <c r="Q1722" s="26">
        <v>0</v>
      </c>
      <c r="R1722" s="1209">
        <v>2030</v>
      </c>
      <c r="S1722" s="1209">
        <v>2030</v>
      </c>
      <c r="T1722" s="26" t="s">
        <v>5448</v>
      </c>
      <c r="U1722" s="1871" t="s">
        <v>6705</v>
      </c>
      <c r="V1722" s="26" t="s">
        <v>6663</v>
      </c>
      <c r="W1722" s="2008" t="str">
        <f>HYPERLINK("https://jp.misumi-ec.com/vona2/detail/110300544970/?PNSearch=CASA2.5-5025-1000&amp;HissuCode=CASA2.5-5025-1000&amp;searchFlow=suggest2products&amp;Keyword=CASA2.5-5025-1000","Misumi Japan Link")</f>
        <v>Misumi Japan Link</v>
      </c>
      <c r="X1722" s="18"/>
      <c r="Y1722" s="4"/>
      <c r="Z1722" s="4"/>
    </row>
    <row r="1723" spans="1:26" ht="12.75" hidden="1" customHeight="1">
      <c r="A1723" s="20">
        <v>1730</v>
      </c>
      <c r="B1723" s="1063">
        <v>41500</v>
      </c>
      <c r="C1723" s="26" t="s">
        <v>6761</v>
      </c>
      <c r="D1723" s="8" t="s">
        <v>6</v>
      </c>
      <c r="E1723" s="26" t="s">
        <v>6634</v>
      </c>
      <c r="F1723" s="26" t="s">
        <v>6699</v>
      </c>
      <c r="G1723" s="20" t="s">
        <v>6764</v>
      </c>
      <c r="H1723" s="26" t="s">
        <v>366</v>
      </c>
      <c r="I1723" s="26" t="s">
        <v>366</v>
      </c>
      <c r="J1723" s="26" t="s">
        <v>6765</v>
      </c>
      <c r="K1723" s="26"/>
      <c r="L1723" s="26"/>
      <c r="M1723" s="26">
        <v>1</v>
      </c>
      <c r="N1723" s="26">
        <v>1</v>
      </c>
      <c r="O1723" s="26">
        <v>1</v>
      </c>
      <c r="P1723" s="26">
        <v>0</v>
      </c>
      <c r="Q1723" s="26">
        <v>0</v>
      </c>
      <c r="R1723" s="1209">
        <v>1450</v>
      </c>
      <c r="S1723" s="1209">
        <v>1450</v>
      </c>
      <c r="T1723" s="26" t="s">
        <v>5448</v>
      </c>
      <c r="U1723" s="1871" t="s">
        <v>6705</v>
      </c>
      <c r="V1723" s="26" t="s">
        <v>6663</v>
      </c>
      <c r="W1723" s="2008" t="str">
        <f>HYPERLINK("https://jp.misumi-ec.com/vona2/detail/110300544970/?PNSearch=CASA2.5-5025-500&amp;HissuCode=CASA2.5-5025-500&amp;searchFlow=suggest2products&amp;Keyword=CASA2.5-5025-500","Misumi Japan Link")</f>
        <v>Misumi Japan Link</v>
      </c>
      <c r="X1723" s="18"/>
      <c r="Y1723" s="4"/>
      <c r="Z1723" s="4"/>
    </row>
    <row r="1724" spans="1:26" ht="17.25" hidden="1" customHeight="1">
      <c r="A1724" s="20">
        <v>1731</v>
      </c>
      <c r="B1724" s="1063">
        <v>41501</v>
      </c>
      <c r="C1724" s="26" t="s">
        <v>6766</v>
      </c>
      <c r="D1724" s="8" t="s">
        <v>6</v>
      </c>
      <c r="E1724" s="26" t="s">
        <v>6634</v>
      </c>
      <c r="F1724" s="26" t="s">
        <v>6699</v>
      </c>
      <c r="G1724" s="133" t="s">
        <v>6767</v>
      </c>
      <c r="H1724" s="26"/>
      <c r="I1724" s="26" t="s">
        <v>1022</v>
      </c>
      <c r="J1724" s="189" t="s">
        <v>6768</v>
      </c>
      <c r="K1724" s="26"/>
      <c r="L1724" s="26"/>
      <c r="M1724" s="26">
        <v>1</v>
      </c>
      <c r="N1724" s="26">
        <v>1</v>
      </c>
      <c r="O1724" s="26">
        <v>1</v>
      </c>
      <c r="P1724" s="26">
        <v>0</v>
      </c>
      <c r="Q1724" s="26">
        <v>0</v>
      </c>
      <c r="R1724" s="1252">
        <v>1020</v>
      </c>
      <c r="S1724" s="1252">
        <v>1020</v>
      </c>
      <c r="T1724" s="26" t="s">
        <v>5448</v>
      </c>
      <c r="U1724" s="1871" t="s">
        <v>6705</v>
      </c>
      <c r="V1724" s="26" t="s">
        <v>6663</v>
      </c>
      <c r="W1724" s="2008" t="e">
        <f>HYPERLINK("https://www.amazon.com/25BS11-5-Tooth-Sprocket-Roller-Chain/dp/B01FV5QWUK/ref=pd_di_sccai_7?_encoding=UTF8&amp;pd_rd_i=B01FV5QWUK&amp;pd_rd_r=5be754a5-2803-47f7-b7d2-ab3d5e45bb20&amp;pd_rd_w=2kl8Z&amp;pd_rd_wg=UAaVD&amp;pf_rd_p=91969358-e80f-4d1e-9cd9-073577930a16&amp;pf_rd_r=N4"&amp;"AJ5421Y79960FWZ9EZ&amp;psc=1&amp;refRID=N4AJ5421Y79960FWZ9EZ","Amazon Link")</f>
        <v>#VALUE!</v>
      </c>
      <c r="X1724" s="26"/>
      <c r="Y1724" s="71"/>
      <c r="Z1724" s="71"/>
    </row>
    <row r="1725" spans="1:26" ht="15.75" hidden="1" customHeight="1">
      <c r="A1725" s="20">
        <v>1732</v>
      </c>
      <c r="B1725" s="1063">
        <v>41502</v>
      </c>
      <c r="C1725" s="935" t="s">
        <v>6769</v>
      </c>
      <c r="D1725" s="8" t="s">
        <v>6</v>
      </c>
      <c r="E1725" s="26" t="s">
        <v>6634</v>
      </c>
      <c r="F1725" s="26" t="s">
        <v>6699</v>
      </c>
      <c r="G1725" s="653" t="s">
        <v>6770</v>
      </c>
      <c r="H1725" s="26" t="s">
        <v>6771</v>
      </c>
      <c r="I1725" s="26" t="s">
        <v>366</v>
      </c>
      <c r="J1725" s="183" t="s">
        <v>6772</v>
      </c>
      <c r="K1725" s="26"/>
      <c r="L1725" s="26"/>
      <c r="M1725" s="26">
        <v>2</v>
      </c>
      <c r="N1725" s="26">
        <v>1</v>
      </c>
      <c r="O1725" s="26">
        <v>2</v>
      </c>
      <c r="P1725" s="26">
        <v>0</v>
      </c>
      <c r="Q1725" s="26">
        <v>0</v>
      </c>
      <c r="R1725" s="1256">
        <v>1836</v>
      </c>
      <c r="S1725" s="1256">
        <v>3672</v>
      </c>
      <c r="T1725" s="26" t="s">
        <v>5448</v>
      </c>
      <c r="U1725" s="1871" t="s">
        <v>6705</v>
      </c>
      <c r="V1725" s="26" t="s">
        <v>6663</v>
      </c>
      <c r="W1725" s="2008" t="str">
        <f>HYPERLINK("https://jp.misumi-ec.com/vona2/detail/221000515556/?PNSearch=K25B11D8F&amp;HissuCode=K25B11D8F&amp;searchFlow=suggest2products&amp;Keyword=K25B11D8F","Misumi Japan Link")</f>
        <v>Misumi Japan Link</v>
      </c>
      <c r="X1725" s="26"/>
      <c r="Y1725" s="71"/>
      <c r="Z1725" s="71"/>
    </row>
    <row r="1726" spans="1:26" ht="15" hidden="1" customHeight="1">
      <c r="A1726" s="20">
        <v>1733</v>
      </c>
      <c r="B1726" s="1063">
        <v>41503</v>
      </c>
      <c r="C1726" s="935" t="s">
        <v>6773</v>
      </c>
      <c r="D1726" s="8" t="s">
        <v>6</v>
      </c>
      <c r="E1726" s="26" t="s">
        <v>6634</v>
      </c>
      <c r="F1726" s="26" t="s">
        <v>6699</v>
      </c>
      <c r="G1726" s="653" t="s">
        <v>6774</v>
      </c>
      <c r="H1726" s="26" t="s">
        <v>366</v>
      </c>
      <c r="I1726" s="26" t="s">
        <v>366</v>
      </c>
      <c r="J1726" s="225" t="s">
        <v>6775</v>
      </c>
      <c r="K1726" s="26"/>
      <c r="L1726" s="26"/>
      <c r="M1726" s="26">
        <v>1</v>
      </c>
      <c r="N1726" s="26">
        <v>1</v>
      </c>
      <c r="O1726" s="26">
        <v>1</v>
      </c>
      <c r="P1726" s="26">
        <v>0</v>
      </c>
      <c r="Q1726" s="26">
        <v>0</v>
      </c>
      <c r="R1726" s="1256">
        <v>1310</v>
      </c>
      <c r="S1726" s="1256">
        <v>1310</v>
      </c>
      <c r="T1726" s="26" t="s">
        <v>5448</v>
      </c>
      <c r="U1726" s="1871" t="s">
        <v>6705</v>
      </c>
      <c r="V1726" s="26" t="s">
        <v>6663</v>
      </c>
      <c r="W1726" s="2008" t="str">
        <f>HYPERLINK("https://jp.misumi-ec.com/vona2/detail/110300086920/?PNSearch=SSFHR15-300&amp;HissuCode=SSFHR15-300&amp;searchFlow=suggest2products&amp;Keyword=SSFHR15-300","Misumi Japan Link")</f>
        <v>Misumi Japan Link</v>
      </c>
      <c r="X1726" s="18"/>
      <c r="Y1726" s="4"/>
      <c r="Z1726" s="4"/>
    </row>
    <row r="1727" spans="1:26" ht="14.25" hidden="1" customHeight="1">
      <c r="A1727" s="20">
        <v>1734</v>
      </c>
      <c r="B1727" s="1063">
        <v>41504</v>
      </c>
      <c r="C1727" s="935" t="s">
        <v>6776</v>
      </c>
      <c r="D1727" s="8" t="s">
        <v>6</v>
      </c>
      <c r="E1727" s="26" t="s">
        <v>6634</v>
      </c>
      <c r="F1727" s="26" t="s">
        <v>6699</v>
      </c>
      <c r="G1727" s="653" t="s">
        <v>6777</v>
      </c>
      <c r="H1727" s="26" t="s">
        <v>366</v>
      </c>
      <c r="I1727" s="26" t="s">
        <v>366</v>
      </c>
      <c r="J1727" s="226" t="s">
        <v>6778</v>
      </c>
      <c r="K1727" s="26"/>
      <c r="L1727" s="26"/>
      <c r="M1727" s="26">
        <v>1</v>
      </c>
      <c r="N1727" s="26">
        <v>1</v>
      </c>
      <c r="O1727" s="26">
        <v>1</v>
      </c>
      <c r="P1727" s="26">
        <v>0</v>
      </c>
      <c r="Q1727" s="26">
        <v>0</v>
      </c>
      <c r="R1727" s="1256">
        <v>1640</v>
      </c>
      <c r="S1727" s="1256">
        <v>1640</v>
      </c>
      <c r="T1727" s="26" t="s">
        <v>5448</v>
      </c>
      <c r="U1727" s="1871" t="s">
        <v>6705</v>
      </c>
      <c r="V1727" s="26" t="s">
        <v>6663</v>
      </c>
      <c r="W1727" s="2008" t="str">
        <f>HYPERLINK("https://jp.misumi-ec.com/vona2/detail/110302022510/?HissuCode=PSFHKRW15-300-M6-N6-KA5-A50-KB125-B70&amp;PNSearch=PSFHKRW15-300-M6-N6-KA5-A50-KB125-B70&amp;KWSearch=PSFHKRW15-300-M6-N6-KA5-A50-KB125-B70&amp;searchFlow=results2products","Misumi Japan Link")</f>
        <v>Misumi Japan Link</v>
      </c>
      <c r="X1727" s="18"/>
      <c r="Y1727" s="4"/>
      <c r="Z1727" s="4"/>
    </row>
    <row r="1728" spans="1:26" ht="13.5" hidden="1" customHeight="1">
      <c r="A1728" s="20">
        <v>1735</v>
      </c>
      <c r="B1728" s="1063">
        <v>41505</v>
      </c>
      <c r="C1728" s="1735" t="s">
        <v>6779</v>
      </c>
      <c r="D1728" s="8" t="s">
        <v>6</v>
      </c>
      <c r="E1728" s="26" t="s">
        <v>6634</v>
      </c>
      <c r="F1728" s="26" t="s">
        <v>6699</v>
      </c>
      <c r="G1728" s="653" t="s">
        <v>6780</v>
      </c>
      <c r="H1728" s="26" t="s">
        <v>366</v>
      </c>
      <c r="I1728" s="26" t="s">
        <v>366</v>
      </c>
      <c r="J1728" s="225" t="s">
        <v>6781</v>
      </c>
      <c r="K1728" s="26"/>
      <c r="L1728" s="26"/>
      <c r="M1728" s="26">
        <v>1</v>
      </c>
      <c r="N1728" s="26">
        <v>1</v>
      </c>
      <c r="O1728" s="26">
        <v>1</v>
      </c>
      <c r="P1728" s="26">
        <v>0</v>
      </c>
      <c r="Q1728" s="26">
        <v>0</v>
      </c>
      <c r="R1728" s="1256">
        <v>1060</v>
      </c>
      <c r="S1728" s="1256">
        <v>1060</v>
      </c>
      <c r="T1728" s="26" t="s">
        <v>5448</v>
      </c>
      <c r="U1728" s="1871" t="s">
        <v>6705</v>
      </c>
      <c r="V1728" s="26" t="s">
        <v>6663</v>
      </c>
      <c r="W1728" s="2008" t="str">
        <f>HYPERLINK("https://jp.misumi-ec.com/vona2/detail/110300431050/?PNSearch=SP25B30-N-15&amp;HissuCode=SP25B30-N-15&amp;searchFlow=suggest2products&amp;Keyword=SP25B30-N-15","Misumi Japan Link")</f>
        <v>Misumi Japan Link</v>
      </c>
      <c r="X1728" s="18"/>
      <c r="Y1728" s="4"/>
      <c r="Z1728" s="4"/>
    </row>
    <row r="1729" spans="1:26" ht="12.75" hidden="1" customHeight="1">
      <c r="A1729" s="20">
        <v>1736</v>
      </c>
      <c r="B1729" s="1063">
        <v>41506</v>
      </c>
      <c r="C1729" s="190" t="s">
        <v>6782</v>
      </c>
      <c r="D1729" s="8" t="s">
        <v>6</v>
      </c>
      <c r="E1729" s="26" t="s">
        <v>6634</v>
      </c>
      <c r="F1729" s="26" t="s">
        <v>6699</v>
      </c>
      <c r="G1729" s="129" t="s">
        <v>6783</v>
      </c>
      <c r="H1729" s="26" t="s">
        <v>6771</v>
      </c>
      <c r="I1729" s="26" t="s">
        <v>366</v>
      </c>
      <c r="J1729" s="26" t="s">
        <v>6784</v>
      </c>
      <c r="K1729" s="26"/>
      <c r="L1729" s="26"/>
      <c r="M1729" s="20">
        <v>1</v>
      </c>
      <c r="N1729" s="26">
        <v>1</v>
      </c>
      <c r="O1729" s="20">
        <v>1</v>
      </c>
      <c r="P1729" s="26">
        <v>0</v>
      </c>
      <c r="Q1729" s="26">
        <v>0</v>
      </c>
      <c r="R1729" s="1252">
        <v>2689</v>
      </c>
      <c r="S1729" s="1209">
        <v>2689</v>
      </c>
      <c r="T1729" s="26" t="s">
        <v>5448</v>
      </c>
      <c r="U1729" s="1871" t="s">
        <v>6705</v>
      </c>
      <c r="V1729" s="26" t="s">
        <v>6663</v>
      </c>
      <c r="W1729" s="2008" t="str">
        <f>HYPERLINK("https://jp.misumi-ec.com/vona2/detail/221000515556/?HissuCode=K25B42D28F&amp;PNSearch=K25B42D28F&amp;KWSearch=K25B42D28F&amp;searchFlow=results2products","Misumi Japan Link")</f>
        <v>Misumi Japan Link</v>
      </c>
      <c r="X1729" s="18"/>
      <c r="Y1729" s="4"/>
      <c r="Z1729" s="4"/>
    </row>
    <row r="1730" spans="1:26" ht="14.25" hidden="1" customHeight="1">
      <c r="A1730" s="20">
        <v>1737</v>
      </c>
      <c r="B1730" s="1063">
        <v>41507</v>
      </c>
      <c r="C1730" s="1735" t="s">
        <v>6785</v>
      </c>
      <c r="D1730" s="8" t="s">
        <v>6</v>
      </c>
      <c r="E1730" s="26" t="s">
        <v>6634</v>
      </c>
      <c r="F1730" s="26" t="s">
        <v>6699</v>
      </c>
      <c r="G1730" s="653" t="s">
        <v>6786</v>
      </c>
      <c r="H1730" s="26" t="s">
        <v>6787</v>
      </c>
      <c r="I1730" s="26" t="s">
        <v>366</v>
      </c>
      <c r="J1730" s="26" t="s">
        <v>6788</v>
      </c>
      <c r="K1730" s="26"/>
      <c r="L1730" s="26"/>
      <c r="M1730" s="1734">
        <v>2</v>
      </c>
      <c r="N1730" s="26">
        <v>1</v>
      </c>
      <c r="O1730" s="1734">
        <v>2</v>
      </c>
      <c r="P1730" s="26">
        <v>0</v>
      </c>
      <c r="Q1730" s="26">
        <v>0</v>
      </c>
      <c r="R1730" s="1256">
        <v>1189</v>
      </c>
      <c r="S1730" s="1209">
        <v>2378</v>
      </c>
      <c r="T1730" s="26" t="s">
        <v>5448</v>
      </c>
      <c r="U1730" s="1871" t="s">
        <v>6705</v>
      </c>
      <c r="V1730" s="26" t="s">
        <v>6663</v>
      </c>
      <c r="W1730" s="2008" t="str">
        <f>HYPERLINK("https://jp.misumi-ec.com/vona2/detail/221000346468/?PNSearch=UFL002&amp;HissuCode=UFL002&amp;searchFlow=suggest2products&amp;Keyword=UFL002","Misumi Japan Link")</f>
        <v>Misumi Japan Link</v>
      </c>
      <c r="X1730" s="26"/>
      <c r="Y1730" s="71"/>
      <c r="Z1730" s="71"/>
    </row>
    <row r="1731" spans="1:26" ht="14.25" hidden="1" customHeight="1">
      <c r="A1731" s="20">
        <v>1738</v>
      </c>
      <c r="B1731" s="1063">
        <v>41508</v>
      </c>
      <c r="C1731" s="1735" t="s">
        <v>6789</v>
      </c>
      <c r="D1731" s="8" t="s">
        <v>6</v>
      </c>
      <c r="E1731" s="26" t="s">
        <v>6634</v>
      </c>
      <c r="F1731" s="26" t="s">
        <v>6699</v>
      </c>
      <c r="G1731" s="653" t="s">
        <v>6790</v>
      </c>
      <c r="H1731" s="26" t="s">
        <v>366</v>
      </c>
      <c r="I1731" s="26" t="s">
        <v>366</v>
      </c>
      <c r="J1731" s="26" t="s">
        <v>6791</v>
      </c>
      <c r="K1731" s="26"/>
      <c r="L1731" s="26"/>
      <c r="M1731" s="1734">
        <v>2</v>
      </c>
      <c r="N1731" s="26">
        <v>1</v>
      </c>
      <c r="O1731" s="1734">
        <v>2</v>
      </c>
      <c r="P1731" s="26">
        <v>0</v>
      </c>
      <c r="Q1731" s="26">
        <v>0</v>
      </c>
      <c r="R1731" s="1256">
        <v>1600</v>
      </c>
      <c r="S1731" s="1209">
        <v>3200</v>
      </c>
      <c r="T1731" s="26" t="s">
        <v>5448</v>
      </c>
      <c r="U1731" s="1871" t="s">
        <v>6705</v>
      </c>
      <c r="V1731" s="26" t="s">
        <v>6663</v>
      </c>
      <c r="W1731" s="2008" t="str">
        <f>HYPERLINK("https://jp.misumi-ec.com/vona2/detail/110302643660/?PNSearch=PBT30&amp;HissuCode=PBT30&amp;searchFlow=suggest2products&amp;Keyword=PBT30","Misumi Japan Link")</f>
        <v>Misumi Japan Link</v>
      </c>
      <c r="X1731" s="26"/>
      <c r="Y1731" s="71"/>
      <c r="Z1731" s="71"/>
    </row>
    <row r="1732" spans="1:26" ht="16.5" hidden="1" customHeight="1">
      <c r="A1732" s="20">
        <v>1739</v>
      </c>
      <c r="B1732" s="1063">
        <v>41509</v>
      </c>
      <c r="C1732" s="1735" t="s">
        <v>6792</v>
      </c>
      <c r="D1732" s="8" t="s">
        <v>6</v>
      </c>
      <c r="E1732" s="26" t="s">
        <v>6634</v>
      </c>
      <c r="F1732" s="26" t="s">
        <v>6699</v>
      </c>
      <c r="G1732" s="653" t="s">
        <v>6793</v>
      </c>
      <c r="H1732" s="26" t="s">
        <v>366</v>
      </c>
      <c r="I1732" s="26" t="s">
        <v>366</v>
      </c>
      <c r="J1732" s="26" t="s">
        <v>6794</v>
      </c>
      <c r="K1732" s="26"/>
      <c r="L1732" s="26"/>
      <c r="M1732" s="1734">
        <v>1</v>
      </c>
      <c r="N1732" s="26">
        <v>1</v>
      </c>
      <c r="O1732" s="1734">
        <v>1</v>
      </c>
      <c r="P1732" s="26">
        <v>0</v>
      </c>
      <c r="Q1732" s="26">
        <v>0</v>
      </c>
      <c r="R1732" s="1256">
        <v>400</v>
      </c>
      <c r="S1732" s="1209">
        <v>400</v>
      </c>
      <c r="T1732" s="26" t="s">
        <v>5448</v>
      </c>
      <c r="U1732" s="1871" t="s">
        <v>6705</v>
      </c>
      <c r="V1732" s="26" t="s">
        <v>6663</v>
      </c>
      <c r="W1732" s="2008" t="str">
        <f>HYPERLINK("https://jp.misumi-ec.com/vona2/detail/110302376710/?PNSearch=PFAS28-A-600&amp;HissuCode=PFAS28-A-600&amp;searchFlow=suggesthistory&amp;Keyword=PFAS28-A-600","Misumi Japan Link")</f>
        <v>Misumi Japan Link</v>
      </c>
      <c r="X1732" s="18"/>
      <c r="Y1732" s="4"/>
      <c r="Z1732" s="4"/>
    </row>
    <row r="1733" spans="1:26" ht="15.75" hidden="1" customHeight="1">
      <c r="A1733" s="20">
        <v>1740</v>
      </c>
      <c r="B1733" s="1063">
        <v>41510</v>
      </c>
      <c r="C1733" s="935" t="s">
        <v>6795</v>
      </c>
      <c r="D1733" s="8" t="s">
        <v>6</v>
      </c>
      <c r="E1733" s="26" t="s">
        <v>6634</v>
      </c>
      <c r="F1733" s="26" t="s">
        <v>6699</v>
      </c>
      <c r="G1733" s="653" t="s">
        <v>6796</v>
      </c>
      <c r="H1733" s="26" t="s">
        <v>366</v>
      </c>
      <c r="I1733" s="26" t="s">
        <v>366</v>
      </c>
      <c r="J1733" s="26" t="s">
        <v>6797</v>
      </c>
      <c r="K1733" s="26"/>
      <c r="L1733" s="26"/>
      <c r="M1733" s="1734">
        <v>4</v>
      </c>
      <c r="N1733" s="26">
        <v>1</v>
      </c>
      <c r="O1733" s="1734">
        <v>4</v>
      </c>
      <c r="P1733" s="26">
        <v>0</v>
      </c>
      <c r="Q1733" s="26">
        <v>0</v>
      </c>
      <c r="R1733" s="1256">
        <v>310</v>
      </c>
      <c r="S1733" s="1209">
        <v>1240</v>
      </c>
      <c r="T1733" s="26" t="s">
        <v>5448</v>
      </c>
      <c r="U1733" s="1871" t="s">
        <v>6705</v>
      </c>
      <c r="V1733" s="26" t="s">
        <v>6663</v>
      </c>
      <c r="W1733" s="2008" t="str">
        <f>HYPERLINK("https://jp.misumi-ec.com/vona2/detail/110302681730/?PNSearch=KEGF4-40&amp;HissuCode=KEGF4-40&amp;searchFlow=suggest2products&amp;Keyword=KEGF4-40","Misumi Japan Link")</f>
        <v>Misumi Japan Link</v>
      </c>
      <c r="X1733" s="18"/>
      <c r="Y1733" s="4"/>
      <c r="Z1733" s="4"/>
    </row>
    <row r="1734" spans="1:26" ht="15" hidden="1" customHeight="1">
      <c r="A1734" s="20">
        <v>1741</v>
      </c>
      <c r="B1734" s="1063">
        <v>41511</v>
      </c>
      <c r="C1734" s="935" t="s">
        <v>6798</v>
      </c>
      <c r="D1734" s="8" t="s">
        <v>6</v>
      </c>
      <c r="E1734" s="26" t="s">
        <v>6634</v>
      </c>
      <c r="F1734" s="26" t="s">
        <v>6699</v>
      </c>
      <c r="G1734" s="653" t="s">
        <v>6799</v>
      </c>
      <c r="H1734" s="26" t="s">
        <v>366</v>
      </c>
      <c r="I1734" s="26" t="s">
        <v>366</v>
      </c>
      <c r="J1734" s="26" t="s">
        <v>6800</v>
      </c>
      <c r="K1734" s="26"/>
      <c r="L1734" s="26"/>
      <c r="M1734" s="1734">
        <v>2</v>
      </c>
      <c r="N1734" s="26">
        <v>1</v>
      </c>
      <c r="O1734" s="1734">
        <v>2</v>
      </c>
      <c r="P1734" s="26">
        <v>0</v>
      </c>
      <c r="Q1734" s="26">
        <v>0</v>
      </c>
      <c r="R1734" s="1256">
        <v>350</v>
      </c>
      <c r="S1734" s="1209">
        <v>700</v>
      </c>
      <c r="T1734" s="26" t="s">
        <v>5448</v>
      </c>
      <c r="U1734" s="1871" t="s">
        <v>6705</v>
      </c>
      <c r="V1734" s="26" t="s">
        <v>6663</v>
      </c>
      <c r="W1734" s="2008" t="str">
        <f>HYPERLINK("https://jp.misumi-ec.com/vona2/detail/110302681730/?PNSearch=KEGF8-50&amp;HissuCode=KEGF8-50&amp;searchFlow=suggest2products&amp;Keyword=KEGF8-50","Misumi Japan Link")</f>
        <v>Misumi Japan Link</v>
      </c>
      <c r="X1734" s="18"/>
      <c r="Y1734" s="4"/>
      <c r="Z1734" s="4"/>
    </row>
    <row r="1735" spans="1:26" ht="15" hidden="1" customHeight="1">
      <c r="A1735" s="20">
        <v>1742</v>
      </c>
      <c r="B1735" s="1063">
        <v>41512</v>
      </c>
      <c r="C1735" s="935" t="s">
        <v>6801</v>
      </c>
      <c r="D1735" s="8" t="s">
        <v>6</v>
      </c>
      <c r="E1735" s="26" t="s">
        <v>6634</v>
      </c>
      <c r="F1735" s="26" t="s">
        <v>6699</v>
      </c>
      <c r="G1735" s="653" t="s">
        <v>6802</v>
      </c>
      <c r="H1735" s="26" t="s">
        <v>366</v>
      </c>
      <c r="I1735" s="26" t="s">
        <v>366</v>
      </c>
      <c r="J1735" s="26" t="s">
        <v>6803</v>
      </c>
      <c r="K1735" s="26"/>
      <c r="L1735" s="26"/>
      <c r="M1735" s="1734">
        <v>2</v>
      </c>
      <c r="N1735" s="26">
        <v>1</v>
      </c>
      <c r="O1735" s="1734">
        <v>2</v>
      </c>
      <c r="P1735" s="26">
        <v>0</v>
      </c>
      <c r="Q1735" s="26">
        <v>0</v>
      </c>
      <c r="R1735" s="1256">
        <v>310</v>
      </c>
      <c r="S1735" s="1209">
        <v>620</v>
      </c>
      <c r="T1735" s="26" t="s">
        <v>5448</v>
      </c>
      <c r="U1735" s="1871" t="s">
        <v>6705</v>
      </c>
      <c r="V1735" s="26" t="s">
        <v>6663</v>
      </c>
      <c r="W1735" s="2008" t="str">
        <f>HYPERLINK("https://jp.misumi-ec.com/vona2/detail/110302681730/?PNSearch=KEGF4-15&amp;HissuCode=KEGF4-15&amp;searchFlow=suggest2products&amp;Keyword=KEGF4-15","Misumi Japan Link")</f>
        <v>Misumi Japan Link</v>
      </c>
      <c r="X1735" s="18"/>
      <c r="Y1735" s="4"/>
      <c r="Z1735" s="4"/>
    </row>
    <row r="1736" spans="1:26" ht="15.75" hidden="1" customHeight="1">
      <c r="A1736" s="20">
        <v>1743</v>
      </c>
      <c r="B1736" s="1063">
        <v>41513</v>
      </c>
      <c r="C1736" s="190" t="s">
        <v>6804</v>
      </c>
      <c r="D1736" s="8" t="s">
        <v>6</v>
      </c>
      <c r="E1736" s="26" t="s">
        <v>6634</v>
      </c>
      <c r="F1736" s="26" t="s">
        <v>6699</v>
      </c>
      <c r="G1736" s="20" t="s">
        <v>6805</v>
      </c>
      <c r="H1736" s="26" t="s">
        <v>366</v>
      </c>
      <c r="I1736" s="26" t="s">
        <v>366</v>
      </c>
      <c r="J1736" s="26" t="s">
        <v>6806</v>
      </c>
      <c r="K1736" s="26"/>
      <c r="L1736" s="26"/>
      <c r="M1736" s="20">
        <v>4</v>
      </c>
      <c r="N1736" s="26">
        <v>1</v>
      </c>
      <c r="O1736" s="20">
        <v>4</v>
      </c>
      <c r="P1736" s="26">
        <v>0</v>
      </c>
      <c r="Q1736" s="26">
        <v>0</v>
      </c>
      <c r="R1736" s="1252">
        <v>144</v>
      </c>
      <c r="S1736" s="1209">
        <v>576</v>
      </c>
      <c r="T1736" s="26" t="s">
        <v>5448</v>
      </c>
      <c r="U1736" s="1871" t="s">
        <v>6705</v>
      </c>
      <c r="V1736" s="26" t="s">
        <v>6663</v>
      </c>
      <c r="W1736" s="2008" t="str">
        <f>HYPERLINK("https://jp.misumi-ec.com/vona2/detail/110302679970/?PNSearch=MSSFS8-16&amp;HissuCode=MSSFS8-16&amp;searchFlow=suggest2products&amp;Keyword=MSSFS8-16","Misumi Japan Link")</f>
        <v>Misumi Japan Link</v>
      </c>
      <c r="X1736" s="26"/>
      <c r="Y1736" s="71"/>
      <c r="Z1736" s="71"/>
    </row>
    <row r="1737" spans="1:26" ht="16.5" hidden="1" customHeight="1">
      <c r="A1737" s="20">
        <v>1744</v>
      </c>
      <c r="B1737" s="1063">
        <v>41514</v>
      </c>
      <c r="C1737" s="1735" t="s">
        <v>6804</v>
      </c>
      <c r="D1737" s="8" t="s">
        <v>6</v>
      </c>
      <c r="E1737" s="26" t="s">
        <v>6634</v>
      </c>
      <c r="F1737" s="26" t="s">
        <v>6699</v>
      </c>
      <c r="G1737" s="1734" t="s">
        <v>6807</v>
      </c>
      <c r="H1737" s="26" t="s">
        <v>366</v>
      </c>
      <c r="I1737" s="26" t="s">
        <v>366</v>
      </c>
      <c r="J1737" s="654" t="s">
        <v>6808</v>
      </c>
      <c r="K1737" s="26"/>
      <c r="L1737" s="26"/>
      <c r="M1737" s="1734">
        <v>4</v>
      </c>
      <c r="N1737" s="26">
        <v>1</v>
      </c>
      <c r="O1737" s="1734">
        <v>4</v>
      </c>
      <c r="P1737" s="26">
        <v>0</v>
      </c>
      <c r="Q1737" s="26">
        <v>0</v>
      </c>
      <c r="R1737" s="1256">
        <v>126</v>
      </c>
      <c r="S1737" s="1209">
        <v>504</v>
      </c>
      <c r="T1737" s="26" t="s">
        <v>5448</v>
      </c>
      <c r="U1737" s="1871" t="s">
        <v>6705</v>
      </c>
      <c r="V1737" s="26" t="s">
        <v>6663</v>
      </c>
      <c r="W1737" s="2008" t="str">
        <f>HYPERLINK("https://jp.misumi-ec.com/vona2/detail/110302679970/?PNSearch=MSSFS6-12&amp;HissuCode=MSSFS6-12&amp;searchFlow=suggest2products&amp;Keyword=MSSFS6-12","Misumi Japan Link")</f>
        <v>Misumi Japan Link</v>
      </c>
      <c r="X1737" s="26"/>
      <c r="Y1737" s="71"/>
      <c r="Z1737" s="71"/>
    </row>
    <row r="1738" spans="1:26" ht="13.5" hidden="1" customHeight="1">
      <c r="A1738" s="20">
        <v>1745</v>
      </c>
      <c r="B1738" s="1063">
        <v>41515</v>
      </c>
      <c r="C1738" s="1735" t="s">
        <v>6804</v>
      </c>
      <c r="D1738" s="8" t="s">
        <v>6</v>
      </c>
      <c r="E1738" s="26" t="s">
        <v>6634</v>
      </c>
      <c r="F1738" s="26" t="s">
        <v>6699</v>
      </c>
      <c r="G1738" s="1734" t="s">
        <v>6809</v>
      </c>
      <c r="H1738" s="26" t="s">
        <v>366</v>
      </c>
      <c r="I1738" s="26" t="s">
        <v>366</v>
      </c>
      <c r="J1738" s="655" t="s">
        <v>6810</v>
      </c>
      <c r="K1738" s="26"/>
      <c r="L1738" s="26"/>
      <c r="M1738" s="1734">
        <v>3</v>
      </c>
      <c r="N1738" s="26">
        <v>1</v>
      </c>
      <c r="O1738" s="1734">
        <v>3</v>
      </c>
      <c r="P1738" s="26">
        <v>0</v>
      </c>
      <c r="Q1738" s="26">
        <v>0</v>
      </c>
      <c r="R1738" s="1256">
        <v>126</v>
      </c>
      <c r="S1738" s="1209">
        <v>378</v>
      </c>
      <c r="T1738" s="26" t="s">
        <v>5448</v>
      </c>
      <c r="U1738" s="1871" t="s">
        <v>6705</v>
      </c>
      <c r="V1738" s="26" t="s">
        <v>6663</v>
      </c>
      <c r="W1738" s="2008" t="str">
        <f>HYPERLINK("https://jp.misumi-ec.com/vona2/detail/110302679970/?PNSearch=MSSFS6-16&amp;HissuCode=MSSFS6-16&amp;searchFlow=suggest2products&amp;Keyword=MSSFS6-16","Misumi Japan Link")</f>
        <v>Misumi Japan Link</v>
      </c>
      <c r="X1738" s="18"/>
      <c r="Y1738" s="4"/>
      <c r="Z1738" s="4"/>
    </row>
    <row r="1739" spans="1:26" ht="15" hidden="1" customHeight="1">
      <c r="A1739" s="20">
        <v>1746</v>
      </c>
      <c r="B1739" s="1063">
        <v>41516</v>
      </c>
      <c r="C1739" s="1735" t="s">
        <v>6804</v>
      </c>
      <c r="D1739" s="8" t="s">
        <v>6</v>
      </c>
      <c r="E1739" s="26" t="s">
        <v>6634</v>
      </c>
      <c r="F1739" s="26" t="s">
        <v>6699</v>
      </c>
      <c r="G1739" s="1734" t="s">
        <v>6811</v>
      </c>
      <c r="H1739" s="26" t="s">
        <v>366</v>
      </c>
      <c r="I1739" s="26" t="s">
        <v>366</v>
      </c>
      <c r="J1739" s="224" t="s">
        <v>6812</v>
      </c>
      <c r="K1739" s="26"/>
      <c r="L1739" s="26"/>
      <c r="M1739" s="1734">
        <v>3</v>
      </c>
      <c r="N1739" s="26">
        <v>1</v>
      </c>
      <c r="O1739" s="1734">
        <v>3</v>
      </c>
      <c r="P1739" s="26">
        <v>0</v>
      </c>
      <c r="Q1739" s="26">
        <v>0</v>
      </c>
      <c r="R1739" s="1256">
        <v>109</v>
      </c>
      <c r="S1739" s="1209">
        <v>327</v>
      </c>
      <c r="T1739" s="26" t="s">
        <v>5448</v>
      </c>
      <c r="U1739" s="1871" t="s">
        <v>6705</v>
      </c>
      <c r="V1739" s="26" t="s">
        <v>6663</v>
      </c>
      <c r="W1739" s="2008" t="str">
        <f>HYPERLINK("https://jp.misumi-ec.com/vona2/detail/110302679970/?HissuCode=MSSFS4-12&amp;PNSearch=MSSFS4-12&amp;KWSearch=MSSFS4-12&amp;searchFlow=results2products","Misumi Japan Link")</f>
        <v>Misumi Japan Link</v>
      </c>
      <c r="X1739" s="18"/>
      <c r="Y1739" s="4"/>
      <c r="Z1739" s="4"/>
    </row>
    <row r="1740" spans="1:26" ht="16.5" hidden="1" customHeight="1">
      <c r="A1740" s="20">
        <v>1747</v>
      </c>
      <c r="B1740" s="1063">
        <v>41517</v>
      </c>
      <c r="C1740" s="1735" t="s">
        <v>6804</v>
      </c>
      <c r="D1740" s="8" t="s">
        <v>6</v>
      </c>
      <c r="E1740" s="26" t="s">
        <v>6634</v>
      </c>
      <c r="F1740" s="26" t="s">
        <v>6699</v>
      </c>
      <c r="G1740" s="1734" t="s">
        <v>6813</v>
      </c>
      <c r="H1740" s="26" t="s">
        <v>686</v>
      </c>
      <c r="I1740" s="26" t="s">
        <v>366</v>
      </c>
      <c r="J1740" s="26" t="s">
        <v>6814</v>
      </c>
      <c r="K1740" s="26"/>
      <c r="L1740" s="26"/>
      <c r="M1740" s="1734">
        <v>4</v>
      </c>
      <c r="N1740" s="26">
        <v>1</v>
      </c>
      <c r="O1740" s="1734">
        <v>4</v>
      </c>
      <c r="P1740" s="26">
        <v>0</v>
      </c>
      <c r="Q1740" s="26">
        <v>0</v>
      </c>
      <c r="R1740" s="1256">
        <v>224</v>
      </c>
      <c r="S1740" s="1209">
        <v>896</v>
      </c>
      <c r="T1740" s="26" t="s">
        <v>5448</v>
      </c>
      <c r="U1740" s="1871" t="s">
        <v>6705</v>
      </c>
      <c r="V1740" s="26" t="s">
        <v>6663</v>
      </c>
      <c r="W1740" s="2008" t="str">
        <f>HYPERLINK("https://jp.misumi-ec.com/vona2/detail/221000551578/?PNSearch=SSH-ST-MS8-10&amp;HissuCode=SSH-ST-MS8-10&amp;searchFlow=suggest2products&amp;Keyword=SSH-ST-MS8-10","Misumi Japan Link")</f>
        <v>Misumi Japan Link</v>
      </c>
      <c r="X1740" s="18"/>
      <c r="Y1740" s="4"/>
      <c r="Z1740" s="4"/>
    </row>
    <row r="1741" spans="1:26" ht="14.25" hidden="1" customHeight="1">
      <c r="A1741" s="20">
        <v>1748</v>
      </c>
      <c r="B1741" s="1063">
        <v>41518</v>
      </c>
      <c r="C1741" s="1735" t="s">
        <v>6815</v>
      </c>
      <c r="D1741" s="8" t="s">
        <v>6</v>
      </c>
      <c r="E1741" s="26" t="s">
        <v>6634</v>
      </c>
      <c r="F1741" s="26" t="s">
        <v>6699</v>
      </c>
      <c r="G1741" s="1734" t="s">
        <v>6816</v>
      </c>
      <c r="H1741" s="26" t="s">
        <v>366</v>
      </c>
      <c r="I1741" s="26" t="s">
        <v>366</v>
      </c>
      <c r="J1741" s="26" t="s">
        <v>6817</v>
      </c>
      <c r="K1741" s="26"/>
      <c r="L1741" s="26"/>
      <c r="M1741" s="1734">
        <v>2</v>
      </c>
      <c r="N1741" s="26">
        <v>1</v>
      </c>
      <c r="O1741" s="1734">
        <v>2</v>
      </c>
      <c r="P1741" s="26">
        <v>0</v>
      </c>
      <c r="Q1741" s="26">
        <v>0</v>
      </c>
      <c r="R1741" s="1256">
        <v>1020</v>
      </c>
      <c r="S1741" s="1209">
        <v>2040</v>
      </c>
      <c r="T1741" s="26" t="s">
        <v>5448</v>
      </c>
      <c r="U1741" s="1871" t="s">
        <v>6705</v>
      </c>
      <c r="V1741" s="26" t="s">
        <v>6663</v>
      </c>
      <c r="W1741" s="2008" t="str">
        <f>HYPERLINK("https://jp.misumi-ec.com/vona2/detail/110302637270/?PNSearch=SCBRJ30-35&amp;HissuCode=SCBRJ30-35&amp;searchFlow=suggest2products&amp;Keyword=SCBRJ30-35","Misumi Japan Link")</f>
        <v>Misumi Japan Link</v>
      </c>
      <c r="X1741" s="18"/>
      <c r="Y1741" s="4"/>
      <c r="Z1741" s="4"/>
    </row>
    <row r="1742" spans="1:26" ht="16.5" hidden="1" customHeight="1">
      <c r="A1742" s="20">
        <v>1749</v>
      </c>
      <c r="B1742" s="1063">
        <v>41519</v>
      </c>
      <c r="C1742" s="1735" t="s">
        <v>6818</v>
      </c>
      <c r="D1742" s="8" t="s">
        <v>6</v>
      </c>
      <c r="E1742" s="26" t="s">
        <v>6634</v>
      </c>
      <c r="F1742" s="26" t="s">
        <v>6699</v>
      </c>
      <c r="G1742" s="1734" t="s">
        <v>6819</v>
      </c>
      <c r="H1742" s="26" t="s">
        <v>366</v>
      </c>
      <c r="I1742" s="26" t="s">
        <v>366</v>
      </c>
      <c r="J1742" s="26" t="s">
        <v>6820</v>
      </c>
      <c r="K1742" s="26"/>
      <c r="L1742" s="26"/>
      <c r="M1742" s="1734">
        <v>2</v>
      </c>
      <c r="N1742" s="26">
        <v>1</v>
      </c>
      <c r="O1742" s="1734">
        <v>2</v>
      </c>
      <c r="P1742" s="26">
        <v>0</v>
      </c>
      <c r="Q1742" s="26">
        <v>0</v>
      </c>
      <c r="R1742" s="1256">
        <v>500</v>
      </c>
      <c r="S1742" s="1209">
        <v>1000</v>
      </c>
      <c r="T1742" s="26" t="s">
        <v>5448</v>
      </c>
      <c r="U1742" s="1871" t="s">
        <v>6705</v>
      </c>
      <c r="V1742" s="26" t="s">
        <v>6663</v>
      </c>
      <c r="W1742" s="2008" t="str">
        <f>HYPERLINK("https://jp.misumi-ec.com/vona2/detail/110302637270/?PNSearch=SCBRJ15-19&amp;HissuCode=SCBRJ15-19&amp;searchFlow=suggest2products&amp;Keyword=SCBRJ15-19","Misumi Japan Link")</f>
        <v>Misumi Japan Link</v>
      </c>
      <c r="X1742" s="26"/>
      <c r="Y1742" s="71"/>
      <c r="Z1742" s="71"/>
    </row>
    <row r="1743" spans="1:26" ht="18" hidden="1" customHeight="1">
      <c r="A1743" s="20">
        <v>1750</v>
      </c>
      <c r="B1743" s="1063">
        <v>41520</v>
      </c>
      <c r="C1743" s="1735" t="s">
        <v>6821</v>
      </c>
      <c r="D1743" s="8" t="s">
        <v>6</v>
      </c>
      <c r="E1743" s="26" t="s">
        <v>6634</v>
      </c>
      <c r="F1743" s="26" t="s">
        <v>6699</v>
      </c>
      <c r="G1743" s="1734" t="s">
        <v>6822</v>
      </c>
      <c r="H1743" s="26" t="s">
        <v>686</v>
      </c>
      <c r="I1743" s="26" t="s">
        <v>366</v>
      </c>
      <c r="J1743" s="26" t="s">
        <v>6823</v>
      </c>
      <c r="K1743" s="26"/>
      <c r="L1743" s="26"/>
      <c r="M1743" s="1734">
        <v>10</v>
      </c>
      <c r="N1743" s="26">
        <v>1</v>
      </c>
      <c r="O1743" s="1734">
        <v>10</v>
      </c>
      <c r="P1743" s="26">
        <v>0</v>
      </c>
      <c r="Q1743" s="26">
        <v>0</v>
      </c>
      <c r="R1743" s="1256">
        <v>26</v>
      </c>
      <c r="S1743" s="1209">
        <v>260</v>
      </c>
      <c r="T1743" s="26" t="s">
        <v>5448</v>
      </c>
      <c r="U1743" s="1871" t="s">
        <v>6705</v>
      </c>
      <c r="V1743" s="26" t="s">
        <v>6663</v>
      </c>
      <c r="W1743" s="2008" t="str">
        <f>HYPERLINK("https://jp.misumi-ec.com/vona2/detail/221000550533/?PNSearch=HXN-ST-M4-18&amp;HissuCode=HXN-ST-M4-18&amp;searchFlow=suggest2products&amp;Keyword=HXN-ST-M4-18","Misumi Japan Link")</f>
        <v>Misumi Japan Link</v>
      </c>
      <c r="X1743" s="26"/>
      <c r="Y1743" s="71"/>
      <c r="Z1743" s="71"/>
    </row>
    <row r="1744" spans="1:26" ht="15.75" hidden="1" customHeight="1">
      <c r="A1744" s="20">
        <v>1751</v>
      </c>
      <c r="B1744" s="1063">
        <v>41521</v>
      </c>
      <c r="C1744" s="1735" t="s">
        <v>6824</v>
      </c>
      <c r="D1744" s="8" t="s">
        <v>6</v>
      </c>
      <c r="E1744" s="26" t="s">
        <v>6634</v>
      </c>
      <c r="F1744" s="26" t="s">
        <v>6699</v>
      </c>
      <c r="G1744" s="1734" t="s">
        <v>6825</v>
      </c>
      <c r="H1744" s="26" t="s">
        <v>366</v>
      </c>
      <c r="I1744" s="26" t="s">
        <v>366</v>
      </c>
      <c r="J1744" s="26" t="s">
        <v>6826</v>
      </c>
      <c r="K1744" s="26"/>
      <c r="L1744" s="26"/>
      <c r="M1744" s="1734">
        <v>4</v>
      </c>
      <c r="N1744" s="26">
        <v>1</v>
      </c>
      <c r="O1744" s="1734">
        <v>4</v>
      </c>
      <c r="P1744" s="26">
        <v>0</v>
      </c>
      <c r="Q1744" s="26">
        <v>0</v>
      </c>
      <c r="R1744" s="1256">
        <v>200</v>
      </c>
      <c r="S1744" s="1209">
        <v>800</v>
      </c>
      <c r="T1744" s="26" t="s">
        <v>5448</v>
      </c>
      <c r="U1744" s="1871" t="s">
        <v>6705</v>
      </c>
      <c r="V1744" s="26" t="s">
        <v>6663</v>
      </c>
      <c r="W1744" s="2008" t="str">
        <f>HYPERLINK("https://jp.misumi-ec.com/vona2/detail/110301997310/?PNSearch=SNTRCS4&amp;HissuCode=SNTRCS4&amp;searchFlow=suggest2products&amp;Keyword=SNTRCS4","Misumi Japan Link")</f>
        <v>Misumi Japan Link</v>
      </c>
      <c r="X1744" s="18"/>
      <c r="Y1744" s="4"/>
      <c r="Z1744" s="4"/>
    </row>
    <row r="1745" spans="1:26" ht="16.5" hidden="1" customHeight="1">
      <c r="A1745" s="20">
        <v>1752</v>
      </c>
      <c r="B1745" s="1063">
        <v>41522</v>
      </c>
      <c r="C1745" s="1735" t="s">
        <v>6824</v>
      </c>
      <c r="D1745" s="8" t="s">
        <v>6</v>
      </c>
      <c r="E1745" s="26" t="s">
        <v>6634</v>
      </c>
      <c r="F1745" s="26" t="s">
        <v>6699</v>
      </c>
      <c r="G1745" s="1734" t="s">
        <v>6827</v>
      </c>
      <c r="H1745" s="26" t="s">
        <v>366</v>
      </c>
      <c r="I1745" s="26" t="s">
        <v>366</v>
      </c>
      <c r="J1745" s="26" t="s">
        <v>6828</v>
      </c>
      <c r="K1745" s="26"/>
      <c r="L1745" s="26"/>
      <c r="M1745" s="1734">
        <v>10</v>
      </c>
      <c r="N1745" s="26">
        <v>1</v>
      </c>
      <c r="O1745" s="1734">
        <v>10</v>
      </c>
      <c r="P1745" s="26">
        <v>0</v>
      </c>
      <c r="Q1745" s="26">
        <v>0</v>
      </c>
      <c r="R1745" s="1256">
        <v>35</v>
      </c>
      <c r="S1745" s="1209">
        <v>350</v>
      </c>
      <c r="T1745" s="26" t="s">
        <v>5448</v>
      </c>
      <c r="U1745" s="1871" t="s">
        <v>6705</v>
      </c>
      <c r="V1745" s="26" t="s">
        <v>6663</v>
      </c>
      <c r="W1745" s="2008" t="str">
        <f>HYPERLINK("https://jp.misumi-ec.com/vona2/detail/110300250540/?PNSearch=KNTR4&amp;HissuCode=KNTR4&amp;searchFlow=suggest2products&amp;Keyword=KNTR4","Misumi Japan Link")</f>
        <v>Misumi Japan Link</v>
      </c>
      <c r="X1745" s="18"/>
      <c r="Y1745" s="4"/>
      <c r="Z1745" s="4"/>
    </row>
    <row r="1746" spans="1:26" ht="16.5" hidden="1" customHeight="1">
      <c r="A1746" s="20">
        <v>1753</v>
      </c>
      <c r="B1746" s="1063">
        <v>41523</v>
      </c>
      <c r="C1746" s="1735" t="s">
        <v>6829</v>
      </c>
      <c r="D1746" s="8" t="s">
        <v>6</v>
      </c>
      <c r="E1746" s="26" t="s">
        <v>6634</v>
      </c>
      <c r="F1746" s="26" t="s">
        <v>6699</v>
      </c>
      <c r="G1746" s="1734" t="s">
        <v>6830</v>
      </c>
      <c r="H1746" s="26" t="s">
        <v>6831</v>
      </c>
      <c r="I1746" s="26" t="s">
        <v>366</v>
      </c>
      <c r="J1746" s="26" t="s">
        <v>6832</v>
      </c>
      <c r="K1746" s="26"/>
      <c r="L1746" s="26"/>
      <c r="M1746" s="1734">
        <v>10</v>
      </c>
      <c r="N1746" s="26">
        <v>1</v>
      </c>
      <c r="O1746" s="1734">
        <v>10</v>
      </c>
      <c r="P1746" s="26">
        <v>0</v>
      </c>
      <c r="Q1746" s="26">
        <v>0</v>
      </c>
      <c r="R1746" s="1256">
        <v>25</v>
      </c>
      <c r="S1746" s="1209">
        <v>250</v>
      </c>
      <c r="T1746" s="26" t="s">
        <v>5448</v>
      </c>
      <c r="U1746" s="1871" t="s">
        <v>6705</v>
      </c>
      <c r="V1746" s="26" t="s">
        <v>6663</v>
      </c>
      <c r="W1746" s="2008" t="str">
        <f>HYPERLINK("https://jp.misumi-ec.com/vona2/detail/221004999141/?PNSearch=WSJISST-SUS-M5&amp;HissuCode=WSJISST-SUS-M5&amp;searchFlow=suggesthistory&amp;Keyword=WSJISST-SUS-M5","Misumi Japan Link")</f>
        <v>Misumi Japan Link</v>
      </c>
      <c r="X1746" s="18"/>
      <c r="Y1746" s="4"/>
      <c r="Z1746" s="4"/>
    </row>
    <row r="1747" spans="1:26" ht="17.25" hidden="1" customHeight="1">
      <c r="A1747" s="20">
        <v>1754</v>
      </c>
      <c r="B1747" s="1063">
        <v>41524</v>
      </c>
      <c r="C1747" s="1735" t="s">
        <v>6833</v>
      </c>
      <c r="D1747" s="8" t="s">
        <v>6</v>
      </c>
      <c r="E1747" s="26" t="s">
        <v>6634</v>
      </c>
      <c r="F1747" s="26" t="s">
        <v>6699</v>
      </c>
      <c r="G1747" s="1734" t="s">
        <v>6834</v>
      </c>
      <c r="H1747" s="26" t="s">
        <v>366</v>
      </c>
      <c r="I1747" s="26" t="s">
        <v>366</v>
      </c>
      <c r="J1747" s="26" t="s">
        <v>6835</v>
      </c>
      <c r="K1747" s="26"/>
      <c r="L1747" s="26"/>
      <c r="M1747" s="1734">
        <v>2</v>
      </c>
      <c r="N1747" s="26">
        <v>1</v>
      </c>
      <c r="O1747" s="1734">
        <v>2</v>
      </c>
      <c r="P1747" s="26">
        <v>0</v>
      </c>
      <c r="Q1747" s="26">
        <v>0</v>
      </c>
      <c r="R1747" s="1256">
        <v>980</v>
      </c>
      <c r="S1747" s="1209">
        <v>1960</v>
      </c>
      <c r="T1747" s="26" t="s">
        <v>5448</v>
      </c>
      <c r="U1747" s="1871" t="s">
        <v>6705</v>
      </c>
      <c r="V1747" s="26" t="s">
        <v>6663</v>
      </c>
      <c r="W1747" s="2008" t="str">
        <f>HYPERLINK("https://jp.misumi-ec.com/vona2/detail/110300013850/?PNSearch=SHF15&amp;HissuCode=SHF15&amp;searchFlow=suggesthistory&amp;Keyword=SHF15","Misumi Japan Link")</f>
        <v>Misumi Japan Link</v>
      </c>
      <c r="X1747" s="18"/>
      <c r="Y1747" s="4"/>
      <c r="Z1747" s="4"/>
    </row>
    <row r="1748" spans="1:26" ht="14.25" hidden="1" customHeight="1">
      <c r="A1748" s="20">
        <v>1755</v>
      </c>
      <c r="B1748" s="1063">
        <v>41525</v>
      </c>
      <c r="C1748" s="1735" t="s">
        <v>6836</v>
      </c>
      <c r="D1748" s="8" t="s">
        <v>6</v>
      </c>
      <c r="E1748" s="26" t="s">
        <v>6634</v>
      </c>
      <c r="F1748" s="26" t="s">
        <v>6699</v>
      </c>
      <c r="G1748" s="1734" t="s">
        <v>6837</v>
      </c>
      <c r="H1748" s="26" t="s">
        <v>366</v>
      </c>
      <c r="I1748" s="26" t="s">
        <v>366</v>
      </c>
      <c r="J1748" s="26" t="s">
        <v>6838</v>
      </c>
      <c r="K1748" s="26"/>
      <c r="L1748" s="26"/>
      <c r="M1748" s="1734">
        <v>1</v>
      </c>
      <c r="N1748" s="26">
        <v>1</v>
      </c>
      <c r="O1748" s="1734">
        <v>1</v>
      </c>
      <c r="P1748" s="26">
        <v>0</v>
      </c>
      <c r="Q1748" s="26">
        <v>0</v>
      </c>
      <c r="R1748" s="1256">
        <v>1810</v>
      </c>
      <c r="S1748" s="1209">
        <v>1810</v>
      </c>
      <c r="T1748" s="26" t="s">
        <v>5448</v>
      </c>
      <c r="U1748" s="1871" t="s">
        <v>6705</v>
      </c>
      <c r="V1748" s="26" t="s">
        <v>6663</v>
      </c>
      <c r="W1748" s="2008" t="str">
        <f>HYPERLINK("https://jp.misumi-ec.com/vona2/detail/110300008520/?PNSearch=SHYA15-40&amp;HissuCode=SHYA15-40&amp;searchFlow=suggesthistory&amp;Keyword=SHYA15-40","Misumi Japan Link")</f>
        <v>Misumi Japan Link</v>
      </c>
      <c r="X1748" s="26"/>
      <c r="Y1748" s="71"/>
      <c r="Z1748" s="71"/>
    </row>
    <row r="1749" spans="1:26" ht="15" hidden="1" customHeight="1">
      <c r="A1749" s="20">
        <v>1756</v>
      </c>
      <c r="B1749" s="1063">
        <v>41526</v>
      </c>
      <c r="C1749" s="1735" t="s">
        <v>6839</v>
      </c>
      <c r="D1749" s="8" t="s">
        <v>6</v>
      </c>
      <c r="E1749" s="26" t="s">
        <v>6634</v>
      </c>
      <c r="F1749" s="26" t="s">
        <v>6699</v>
      </c>
      <c r="G1749" s="1734" t="s">
        <v>6840</v>
      </c>
      <c r="H1749" s="26" t="s">
        <v>686</v>
      </c>
      <c r="I1749" s="26" t="s">
        <v>366</v>
      </c>
      <c r="J1749" s="26" t="s">
        <v>6841</v>
      </c>
      <c r="K1749" s="26"/>
      <c r="L1749" s="26"/>
      <c r="M1749" s="1734">
        <v>2</v>
      </c>
      <c r="N1749" s="26">
        <v>1</v>
      </c>
      <c r="O1749" s="1734">
        <v>2</v>
      </c>
      <c r="P1749" s="26">
        <v>0</v>
      </c>
      <c r="Q1749" s="26">
        <v>0</v>
      </c>
      <c r="R1749" s="1256">
        <v>202</v>
      </c>
      <c r="S1749" s="1209">
        <v>404</v>
      </c>
      <c r="T1749" s="26" t="s">
        <v>5448</v>
      </c>
      <c r="U1749" s="1871" t="s">
        <v>6705</v>
      </c>
      <c r="V1749" s="26" t="s">
        <v>6663</v>
      </c>
      <c r="W1749" s="2008" t="str">
        <f>HYPERLINK("https://jp.misumi-ec.com/vona2/detail/221000550533/?PNSearch=HXN-AL-M12-35&amp;HissuCode=HXN-AL-M12-35&amp;searchFlow=suggest2products&amp;Keyword=HXN-AL-M12-35","Misumi Japan Link")</f>
        <v>Misumi Japan Link</v>
      </c>
      <c r="X1749" s="26"/>
      <c r="Y1749" s="71"/>
      <c r="Z1749" s="71"/>
    </row>
    <row r="1750" spans="1:26" ht="15.75" hidden="1" customHeight="1">
      <c r="A1750" s="20">
        <v>1757</v>
      </c>
      <c r="B1750" s="1063">
        <v>41527</v>
      </c>
      <c r="C1750" s="1735" t="s">
        <v>6842</v>
      </c>
      <c r="D1750" s="8" t="s">
        <v>6</v>
      </c>
      <c r="E1750" s="26" t="s">
        <v>6634</v>
      </c>
      <c r="F1750" s="26" t="s">
        <v>6699</v>
      </c>
      <c r="G1750" s="1734" t="s">
        <v>6843</v>
      </c>
      <c r="H1750" s="26" t="s">
        <v>686</v>
      </c>
      <c r="I1750" s="26" t="s">
        <v>366</v>
      </c>
      <c r="J1750" s="26" t="s">
        <v>6844</v>
      </c>
      <c r="K1750" s="26"/>
      <c r="L1750" s="26"/>
      <c r="M1750" s="1734">
        <v>2</v>
      </c>
      <c r="N1750" s="26">
        <v>1</v>
      </c>
      <c r="O1750" s="1734">
        <v>2</v>
      </c>
      <c r="P1750" s="26">
        <v>0</v>
      </c>
      <c r="Q1750" s="26">
        <v>0</v>
      </c>
      <c r="R1750" s="1256">
        <v>87</v>
      </c>
      <c r="S1750" s="1209">
        <v>174</v>
      </c>
      <c r="T1750" s="26" t="s">
        <v>5448</v>
      </c>
      <c r="U1750" s="1871" t="s">
        <v>6705</v>
      </c>
      <c r="V1750" s="26" t="s">
        <v>6663</v>
      </c>
      <c r="W1750" s="2008" t="str">
        <f>HYPERLINK("https://jp.misumi-ec.com/vona2/detail/221000544334/?PNSearch=HNT1-SCM-M12&amp;HissuCode=HNT1-SCM-M12&amp;searchFlow=suggest2products&amp;Keyword=HNT1-SCM-M12","Misumi Japan Link")</f>
        <v>Misumi Japan Link</v>
      </c>
      <c r="X1750" s="18"/>
      <c r="Y1750" s="4"/>
      <c r="Z1750" s="4"/>
    </row>
    <row r="1751" spans="1:26" ht="15.75" hidden="1" customHeight="1">
      <c r="A1751" s="20">
        <v>1758</v>
      </c>
      <c r="B1751" s="1063">
        <v>41528</v>
      </c>
      <c r="C1751" s="1735" t="s">
        <v>6845</v>
      </c>
      <c r="D1751" s="8" t="s">
        <v>6</v>
      </c>
      <c r="E1751" s="26" t="s">
        <v>6634</v>
      </c>
      <c r="F1751" s="26" t="s">
        <v>6699</v>
      </c>
      <c r="G1751" s="1734" t="s">
        <v>6846</v>
      </c>
      <c r="H1751" s="26" t="s">
        <v>686</v>
      </c>
      <c r="I1751" s="26" t="s">
        <v>366</v>
      </c>
      <c r="J1751" s="26" t="s">
        <v>6847</v>
      </c>
      <c r="K1751" s="26"/>
      <c r="L1751" s="26"/>
      <c r="M1751" s="1734">
        <v>10</v>
      </c>
      <c r="N1751" s="26">
        <v>1</v>
      </c>
      <c r="O1751" s="1734">
        <v>10</v>
      </c>
      <c r="P1751" s="26">
        <v>0</v>
      </c>
      <c r="Q1751" s="26">
        <v>0</v>
      </c>
      <c r="R1751" s="1256">
        <v>50</v>
      </c>
      <c r="S1751" s="1209">
        <v>500</v>
      </c>
      <c r="T1751" s="26" t="s">
        <v>5448</v>
      </c>
      <c r="U1751" s="1871" t="s">
        <v>6705</v>
      </c>
      <c r="V1751" s="26" t="s">
        <v>6663</v>
      </c>
      <c r="W1751" s="2008" t="str">
        <f>HYPERLINK("https://jp.misumi-ec.com/vona2/detail/221000550533/?PNSearch=HXN-AL-M6-30&amp;HissuCode=HXN-AL-M6-30&amp;searchFlow=suggest2products&amp;Keyword=HXN-AL-M6-30","Misumi Japan Link")</f>
        <v>Misumi Japan Link</v>
      </c>
      <c r="X1751" s="18"/>
      <c r="Y1751" s="4"/>
      <c r="Z1751" s="4"/>
    </row>
    <row r="1752" spans="1:26" ht="15.75" hidden="1" customHeight="1">
      <c r="A1752" s="20">
        <v>1759</v>
      </c>
      <c r="B1752" s="1063">
        <v>41529</v>
      </c>
      <c r="C1752" s="1735" t="s">
        <v>6848</v>
      </c>
      <c r="D1752" s="8" t="s">
        <v>6</v>
      </c>
      <c r="E1752" s="26" t="s">
        <v>6634</v>
      </c>
      <c r="F1752" s="26" t="s">
        <v>6699</v>
      </c>
      <c r="G1752" s="1734" t="s">
        <v>6849</v>
      </c>
      <c r="H1752" s="26" t="s">
        <v>686</v>
      </c>
      <c r="I1752" s="26" t="s">
        <v>366</v>
      </c>
      <c r="J1752" s="26" t="s">
        <v>6850</v>
      </c>
      <c r="K1752" s="26"/>
      <c r="L1752" s="26"/>
      <c r="M1752" s="1734">
        <v>10</v>
      </c>
      <c r="N1752" s="26">
        <v>1</v>
      </c>
      <c r="O1752" s="1734">
        <v>10</v>
      </c>
      <c r="P1752" s="26">
        <v>0</v>
      </c>
      <c r="Q1752" s="26">
        <v>0</v>
      </c>
      <c r="R1752" s="1256">
        <v>9</v>
      </c>
      <c r="S1752" s="1209">
        <v>90</v>
      </c>
      <c r="T1752" s="26" t="s">
        <v>5448</v>
      </c>
      <c r="U1752" s="1871" t="s">
        <v>6705</v>
      </c>
      <c r="V1752" s="26" t="s">
        <v>6663</v>
      </c>
      <c r="W1752" s="2008" t="str">
        <f>HYPERLINK("https://jp.misumi-ec.com/vona2/detail/221000544334/?PNSearch=HNT1-AL-M6&amp;HissuCode=HNT1-AL-M6&amp;searchFlow=suggest2products&amp;Keyword=HNT1-AL-M6","Misumi Japan Link")</f>
        <v>Misumi Japan Link</v>
      </c>
      <c r="X1752" s="18"/>
      <c r="Y1752" s="4"/>
      <c r="Z1752" s="4"/>
    </row>
    <row r="1753" spans="1:26" ht="18" hidden="1" customHeight="1">
      <c r="A1753" s="20">
        <v>1760</v>
      </c>
      <c r="B1753" s="1063">
        <v>41530</v>
      </c>
      <c r="C1753" s="1735" t="s">
        <v>6851</v>
      </c>
      <c r="D1753" s="8" t="s">
        <v>6</v>
      </c>
      <c r="E1753" s="26" t="s">
        <v>6634</v>
      </c>
      <c r="F1753" s="26" t="s">
        <v>6699</v>
      </c>
      <c r="G1753" s="1734" t="s">
        <v>6852</v>
      </c>
      <c r="H1753" s="26" t="s">
        <v>366</v>
      </c>
      <c r="I1753" s="26" t="s">
        <v>366</v>
      </c>
      <c r="J1753" s="26" t="s">
        <v>6853</v>
      </c>
      <c r="K1753" s="26"/>
      <c r="L1753" s="26"/>
      <c r="M1753" s="1734">
        <v>5</v>
      </c>
      <c r="N1753" s="26">
        <v>1</v>
      </c>
      <c r="O1753" s="1734">
        <v>5</v>
      </c>
      <c r="P1753" s="26">
        <v>0</v>
      </c>
      <c r="Q1753" s="26">
        <v>0</v>
      </c>
      <c r="R1753" s="1256">
        <v>150</v>
      </c>
      <c r="S1753" s="1209">
        <v>750</v>
      </c>
      <c r="T1753" s="26" t="s">
        <v>5448</v>
      </c>
      <c r="U1753" s="1871" t="s">
        <v>6705</v>
      </c>
      <c r="V1753" s="26" t="s">
        <v>6663</v>
      </c>
      <c r="W1753" s="2008" t="str">
        <f>HYPERLINK("https://jp.misumi-ec.com/vona2/detail/110300241350/?PNSearch=RSCB8-70&amp;HissuCode=RSCB8-70&amp;searchFlow=suggest2products&amp;Keyword=RSCB8-70","Misumi Japan Link")</f>
        <v>Misumi Japan Link</v>
      </c>
      <c r="X1753" s="18"/>
      <c r="Y1753" s="4"/>
      <c r="Z1753" s="4"/>
    </row>
    <row r="1754" spans="1:26" ht="14.25" hidden="1" customHeight="1">
      <c r="A1754" s="20">
        <v>1761</v>
      </c>
      <c r="B1754" s="1063">
        <v>41531</v>
      </c>
      <c r="C1754" s="1735" t="s">
        <v>6854</v>
      </c>
      <c r="D1754" s="8" t="s">
        <v>6</v>
      </c>
      <c r="E1754" s="26" t="s">
        <v>6634</v>
      </c>
      <c r="F1754" s="26" t="s">
        <v>6699</v>
      </c>
      <c r="G1754" s="1734" t="s">
        <v>6855</v>
      </c>
      <c r="H1754" s="26" t="s">
        <v>686</v>
      </c>
      <c r="I1754" s="26" t="s">
        <v>366</v>
      </c>
      <c r="J1754" s="26" t="s">
        <v>6856</v>
      </c>
      <c r="K1754" s="26"/>
      <c r="L1754" s="26"/>
      <c r="M1754" s="1734">
        <v>10</v>
      </c>
      <c r="N1754" s="26">
        <v>1</v>
      </c>
      <c r="O1754" s="1734">
        <v>10</v>
      </c>
      <c r="P1754" s="26">
        <v>0</v>
      </c>
      <c r="Q1754" s="26">
        <v>0</v>
      </c>
      <c r="R1754" s="1256">
        <v>101</v>
      </c>
      <c r="S1754" s="1209">
        <v>1010</v>
      </c>
      <c r="T1754" s="26" t="s">
        <v>5448</v>
      </c>
      <c r="U1754" s="1871" t="s">
        <v>6705</v>
      </c>
      <c r="V1754" s="26" t="s">
        <v>6663</v>
      </c>
      <c r="W1754" s="2008" t="str">
        <f>HYPERLINK("https://jp.misumi-ec.com/vona2/detail/221000550533/?PNSearch=HXN-AL-M8-40&amp;HissuCode=HXN-AL-M8-40&amp;searchFlow=suggest2products&amp;Keyword=HXN-AL-M8-40","Misumi Japan Link")</f>
        <v>Misumi Japan Link</v>
      </c>
      <c r="X1754" s="26"/>
      <c r="Y1754" s="71"/>
      <c r="Z1754" s="71"/>
    </row>
    <row r="1755" spans="1:26" ht="15" hidden="1" customHeight="1">
      <c r="A1755" s="20">
        <v>1762</v>
      </c>
      <c r="B1755" s="1063">
        <v>41532</v>
      </c>
      <c r="C1755" s="1735" t="s">
        <v>6854</v>
      </c>
      <c r="D1755" s="8" t="s">
        <v>6</v>
      </c>
      <c r="E1755" s="26" t="s">
        <v>6634</v>
      </c>
      <c r="F1755" s="26" t="s">
        <v>6699</v>
      </c>
      <c r="G1755" s="1734" t="s">
        <v>6857</v>
      </c>
      <c r="H1755" s="26" t="s">
        <v>686</v>
      </c>
      <c r="I1755" s="26" t="s">
        <v>366</v>
      </c>
      <c r="J1755" s="26" t="s">
        <v>6858</v>
      </c>
      <c r="K1755" s="26"/>
      <c r="L1755" s="26"/>
      <c r="M1755" s="1734">
        <v>30</v>
      </c>
      <c r="N1755" s="26">
        <v>1</v>
      </c>
      <c r="O1755" s="1734">
        <v>30</v>
      </c>
      <c r="P1755" s="26">
        <v>0</v>
      </c>
      <c r="Q1755" s="26">
        <v>0</v>
      </c>
      <c r="R1755" s="1256">
        <v>98</v>
      </c>
      <c r="S1755" s="1209">
        <v>2940</v>
      </c>
      <c r="T1755" s="26" t="s">
        <v>5448</v>
      </c>
      <c r="U1755" s="1871" t="s">
        <v>6705</v>
      </c>
      <c r="V1755" s="26" t="s">
        <v>6663</v>
      </c>
      <c r="W1755" s="2008" t="str">
        <f>HYPERLINK("https://jp.misumi-ec.com/vona2/detail/221000550533/?PNSearch=HXN-AL-M8-35&amp;HissuCode=HXN-AL-M8-35&amp;searchFlow=suggest2products&amp;Keyword=HXN-AL-M8-35","Misumi Japan Link")</f>
        <v>Misumi Japan Link</v>
      </c>
      <c r="X1755" s="26"/>
      <c r="Y1755" s="71"/>
      <c r="Z1755" s="71"/>
    </row>
    <row r="1756" spans="1:26" ht="14.25" hidden="1" customHeight="1">
      <c r="A1756" s="20">
        <v>1763</v>
      </c>
      <c r="B1756" s="1063">
        <v>41533</v>
      </c>
      <c r="C1756" s="1735" t="s">
        <v>6854</v>
      </c>
      <c r="D1756" s="8" t="s">
        <v>6</v>
      </c>
      <c r="E1756" s="26" t="s">
        <v>6634</v>
      </c>
      <c r="F1756" s="26" t="s">
        <v>6699</v>
      </c>
      <c r="G1756" s="1734" t="s">
        <v>6859</v>
      </c>
      <c r="H1756" s="26" t="s">
        <v>686</v>
      </c>
      <c r="I1756" s="26" t="s">
        <v>366</v>
      </c>
      <c r="J1756" s="26" t="s">
        <v>6860</v>
      </c>
      <c r="K1756" s="26"/>
      <c r="L1756" s="26"/>
      <c r="M1756" s="1734">
        <v>20</v>
      </c>
      <c r="N1756" s="26">
        <v>1</v>
      </c>
      <c r="O1756" s="1734">
        <v>20</v>
      </c>
      <c r="P1756" s="26">
        <v>0</v>
      </c>
      <c r="Q1756" s="26">
        <v>0</v>
      </c>
      <c r="R1756" s="1256">
        <v>73</v>
      </c>
      <c r="S1756" s="1209">
        <v>1460</v>
      </c>
      <c r="T1756" s="26" t="s">
        <v>5448</v>
      </c>
      <c r="U1756" s="1871" t="s">
        <v>6705</v>
      </c>
      <c r="V1756" s="26" t="s">
        <v>6663</v>
      </c>
      <c r="W1756" s="2008" t="str">
        <f>HYPERLINK("https://jp.misumi-ec.com/vona2/detail/221000550533/?PNSearch=HXN-AL-M8-20&amp;HissuCode=HXN-AL-M8-20&amp;searchFlow=suggest2products&amp;Keyword=HXN-AL-M8-20","Misumi Japan Link")</f>
        <v>Misumi Japan Link</v>
      </c>
      <c r="X1756" s="18"/>
      <c r="Y1756" s="4"/>
      <c r="Z1756" s="4"/>
    </row>
    <row r="1757" spans="1:26" ht="16.5" hidden="1" customHeight="1">
      <c r="A1757" s="20">
        <v>1764</v>
      </c>
      <c r="B1757" s="1063">
        <v>41534</v>
      </c>
      <c r="C1757" s="1735" t="s">
        <v>6861</v>
      </c>
      <c r="D1757" s="8" t="s">
        <v>6</v>
      </c>
      <c r="E1757" s="26" t="s">
        <v>6634</v>
      </c>
      <c r="F1757" s="26" t="s">
        <v>6699</v>
      </c>
      <c r="G1757" s="1734" t="s">
        <v>6862</v>
      </c>
      <c r="H1757" s="26" t="s">
        <v>686</v>
      </c>
      <c r="I1757" s="26" t="s">
        <v>366</v>
      </c>
      <c r="J1757" s="26" t="s">
        <v>6863</v>
      </c>
      <c r="K1757" s="26"/>
      <c r="L1757" s="26"/>
      <c r="M1757" s="1734">
        <v>60</v>
      </c>
      <c r="N1757" s="26">
        <v>1</v>
      </c>
      <c r="O1757" s="1734">
        <v>60</v>
      </c>
      <c r="P1757" s="26">
        <v>0</v>
      </c>
      <c r="Q1757" s="26">
        <v>0</v>
      </c>
      <c r="R1757" s="1256">
        <v>21</v>
      </c>
      <c r="S1757" s="1209">
        <v>1260</v>
      </c>
      <c r="T1757" s="26" t="s">
        <v>5448</v>
      </c>
      <c r="U1757" s="1871" t="s">
        <v>6705</v>
      </c>
      <c r="V1757" s="26" t="s">
        <v>6663</v>
      </c>
      <c r="W1757" s="2008" t="str">
        <f>HYPERLINK("https://jp.misumi-ec.com/vona2/detail/221000544334/?PNSearch=HNT1-AL-M8&amp;HissuCode=HNT1-AL-M8&amp;searchFlow=suggest2products&amp;Keyword=HNT1-AL-M8","Misumi Japan Link")</f>
        <v>Misumi Japan Link</v>
      </c>
      <c r="X1757" s="18"/>
      <c r="Y1757" s="4"/>
      <c r="Z1757" s="4"/>
    </row>
    <row r="1758" spans="1:26" ht="18" hidden="1" customHeight="1">
      <c r="A1758" s="20">
        <v>1765</v>
      </c>
      <c r="B1758" s="1063">
        <v>41535</v>
      </c>
      <c r="C1758" s="1735" t="s">
        <v>6864</v>
      </c>
      <c r="D1758" s="8" t="s">
        <v>6865</v>
      </c>
      <c r="E1758" s="26" t="s">
        <v>6634</v>
      </c>
      <c r="F1758" s="26" t="s">
        <v>6699</v>
      </c>
      <c r="G1758" s="1734" t="s">
        <v>6866</v>
      </c>
      <c r="H1758" s="26" t="s">
        <v>686</v>
      </c>
      <c r="I1758" s="26" t="s">
        <v>366</v>
      </c>
      <c r="J1758" s="26" t="s">
        <v>6867</v>
      </c>
      <c r="K1758" s="26"/>
      <c r="L1758" s="26"/>
      <c r="M1758" s="1734">
        <v>60</v>
      </c>
      <c r="N1758" s="26">
        <v>1</v>
      </c>
      <c r="O1758" s="1734">
        <v>60</v>
      </c>
      <c r="P1758" s="26">
        <v>0</v>
      </c>
      <c r="Q1758" s="26">
        <v>0</v>
      </c>
      <c r="R1758" s="1256">
        <v>9</v>
      </c>
      <c r="S1758" s="1209">
        <v>540</v>
      </c>
      <c r="T1758" s="26" t="s">
        <v>5448</v>
      </c>
      <c r="U1758" s="1871" t="s">
        <v>6705</v>
      </c>
      <c r="V1758" s="26" t="s">
        <v>6663</v>
      </c>
      <c r="W1758" s="2008" t="str">
        <f>HYPERLINK("https://jp.misumi-ec.com/vona2/detail/221004999084/?PNSearch=WSX-SUS-M8X16-1.5&amp;HissuCode=WSX-SUS-M8X16-1.5&amp;searchFlow=suggest2products&amp;Keyword=WSX-SUS-M8X16-1.5","Misumi Japan Link")</f>
        <v>Misumi Japan Link</v>
      </c>
      <c r="X1758" s="18"/>
      <c r="Y1758" s="4"/>
      <c r="Z1758" s="4"/>
    </row>
    <row r="1759" spans="1:26" ht="13.5" hidden="1" customHeight="1">
      <c r="A1759" s="20">
        <v>1766</v>
      </c>
      <c r="B1759" s="1063">
        <v>41536</v>
      </c>
      <c r="C1759" s="26" t="s">
        <v>6868</v>
      </c>
      <c r="D1759" s="8" t="s">
        <v>6</v>
      </c>
      <c r="E1759" s="26" t="s">
        <v>6634</v>
      </c>
      <c r="F1759" s="26" t="s">
        <v>6699</v>
      </c>
      <c r="G1759" s="1734" t="s">
        <v>6869</v>
      </c>
      <c r="H1759" s="26" t="s">
        <v>686</v>
      </c>
      <c r="I1759" s="26" t="s">
        <v>6870</v>
      </c>
      <c r="J1759" s="26" t="s">
        <v>6871</v>
      </c>
      <c r="K1759" s="26"/>
      <c r="L1759" s="26"/>
      <c r="M1759" s="26">
        <v>10</v>
      </c>
      <c r="N1759" s="26">
        <v>1</v>
      </c>
      <c r="O1759" s="26">
        <v>15</v>
      </c>
      <c r="P1759" s="26">
        <v>0</v>
      </c>
      <c r="Q1759" s="26">
        <v>5</v>
      </c>
      <c r="R1759" s="1209">
        <v>8</v>
      </c>
      <c r="S1759" s="1209">
        <v>120</v>
      </c>
      <c r="T1759" s="26" t="s">
        <v>5448</v>
      </c>
      <c r="U1759" s="1871" t="s">
        <v>6705</v>
      </c>
      <c r="V1759" s="26" t="s">
        <v>6663</v>
      </c>
      <c r="W1759" s="2008" t="str">
        <f>HYPERLINK("https://jp.misumi-ec.com/vona2/detail/221004999084/?HissuCode=WSX-SUS-M6X16-1.5&amp;PNSearch=WSX-SUS-M6X16-1.5&amp;KWSearch=WSX-SUS-M6X16-1.5&amp;searchFlow=results2products","Misumi Japan Link")</f>
        <v>Misumi Japan Link</v>
      </c>
      <c r="X1759" s="18"/>
      <c r="Y1759" s="4"/>
      <c r="Z1759" s="4"/>
    </row>
    <row r="1760" spans="1:26" ht="14.1" hidden="1">
      <c r="A1760" s="20">
        <v>1767</v>
      </c>
      <c r="B1760" s="1063">
        <v>41537</v>
      </c>
      <c r="C1760" s="26" t="s">
        <v>6872</v>
      </c>
      <c r="D1760" s="11"/>
      <c r="E1760" s="26" t="s">
        <v>6634</v>
      </c>
      <c r="F1760" s="26" t="s">
        <v>131</v>
      </c>
      <c r="G1760" s="26"/>
      <c r="H1760" s="26"/>
      <c r="I1760" s="26" t="s">
        <v>117</v>
      </c>
      <c r="J1760" s="26">
        <v>20029722</v>
      </c>
      <c r="K1760" s="26"/>
      <c r="L1760" s="26"/>
      <c r="M1760" s="26">
        <v>1</v>
      </c>
      <c r="N1760" s="26">
        <v>1</v>
      </c>
      <c r="O1760" s="26">
        <v>1</v>
      </c>
      <c r="P1760" s="26">
        <v>0</v>
      </c>
      <c r="Q1760" s="26">
        <v>0</v>
      </c>
      <c r="R1760" s="1209">
        <v>249</v>
      </c>
      <c r="S1760" s="1209">
        <f t="shared" ref="S1760:S1778" si="88">R1760*O1760</f>
        <v>249</v>
      </c>
      <c r="T1760" s="26" t="s">
        <v>1009</v>
      </c>
      <c r="U1760" s="1871" t="s">
        <v>118</v>
      </c>
      <c r="V1760" s="26" t="s">
        <v>1987</v>
      </c>
      <c r="W1760" s="2015"/>
      <c r="X1760" s="26"/>
      <c r="Y1760" s="71"/>
      <c r="Z1760" s="71"/>
    </row>
    <row r="1761" spans="1:26" ht="14.1" hidden="1">
      <c r="A1761" s="20">
        <v>1768</v>
      </c>
      <c r="B1761" s="1063">
        <v>41538</v>
      </c>
      <c r="C1761" s="26" t="s">
        <v>6873</v>
      </c>
      <c r="D1761" s="11"/>
      <c r="E1761" s="26" t="s">
        <v>6634</v>
      </c>
      <c r="F1761" s="26" t="s">
        <v>131</v>
      </c>
      <c r="G1761" s="26"/>
      <c r="H1761" s="26"/>
      <c r="I1761" s="26" t="s">
        <v>117</v>
      </c>
      <c r="J1761" s="26">
        <v>20839963</v>
      </c>
      <c r="K1761" s="26"/>
      <c r="L1761" s="26"/>
      <c r="M1761" s="26">
        <v>1</v>
      </c>
      <c r="N1761" s="26">
        <v>1</v>
      </c>
      <c r="O1761" s="26">
        <v>1</v>
      </c>
      <c r="P1761" s="26">
        <v>0</v>
      </c>
      <c r="Q1761" s="26">
        <v>0</v>
      </c>
      <c r="R1761" s="1209">
        <v>171</v>
      </c>
      <c r="S1761" s="1209">
        <f t="shared" si="88"/>
        <v>171</v>
      </c>
      <c r="T1761" s="26" t="s">
        <v>1009</v>
      </c>
      <c r="U1761" s="1871" t="s">
        <v>118</v>
      </c>
      <c r="V1761" s="26" t="s">
        <v>1987</v>
      </c>
      <c r="W1761" s="2015"/>
      <c r="X1761" s="26"/>
      <c r="Y1761" s="71"/>
      <c r="Z1761" s="71"/>
    </row>
    <row r="1762" spans="1:26" ht="14.1" hidden="1">
      <c r="A1762" s="20">
        <v>1769</v>
      </c>
      <c r="B1762" s="1063">
        <v>41539</v>
      </c>
      <c r="C1762" s="26" t="s">
        <v>6874</v>
      </c>
      <c r="D1762" s="11"/>
      <c r="E1762" s="26" t="s">
        <v>6634</v>
      </c>
      <c r="F1762" s="26" t="s">
        <v>131</v>
      </c>
      <c r="G1762" s="26"/>
      <c r="H1762" s="26"/>
      <c r="I1762" s="26" t="s">
        <v>117</v>
      </c>
      <c r="J1762" s="26">
        <v>20839963</v>
      </c>
      <c r="K1762" s="26"/>
      <c r="L1762" s="26"/>
      <c r="M1762" s="26">
        <v>1</v>
      </c>
      <c r="N1762" s="26">
        <v>1</v>
      </c>
      <c r="O1762" s="26">
        <v>1</v>
      </c>
      <c r="P1762" s="26">
        <v>0</v>
      </c>
      <c r="Q1762" s="26">
        <v>0</v>
      </c>
      <c r="R1762" s="1209">
        <v>283</v>
      </c>
      <c r="S1762" s="1209">
        <f t="shared" si="88"/>
        <v>283</v>
      </c>
      <c r="T1762" s="26" t="s">
        <v>1009</v>
      </c>
      <c r="U1762" s="1871" t="s">
        <v>118</v>
      </c>
      <c r="V1762" s="26" t="s">
        <v>1987</v>
      </c>
      <c r="W1762" s="2015"/>
      <c r="X1762" s="18"/>
      <c r="Y1762" s="4"/>
      <c r="Z1762" s="4"/>
    </row>
    <row r="1763" spans="1:26" ht="14.1" hidden="1">
      <c r="A1763" s="20">
        <v>1770</v>
      </c>
      <c r="B1763" s="1063">
        <v>41540</v>
      </c>
      <c r="C1763" s="26" t="s">
        <v>6875</v>
      </c>
      <c r="D1763" s="11"/>
      <c r="E1763" s="26" t="s">
        <v>6634</v>
      </c>
      <c r="F1763" s="26" t="s">
        <v>131</v>
      </c>
      <c r="G1763" s="26"/>
      <c r="H1763" s="26"/>
      <c r="I1763" s="26" t="s">
        <v>117</v>
      </c>
      <c r="J1763" s="26">
        <v>20852054</v>
      </c>
      <c r="K1763" s="26"/>
      <c r="L1763" s="26"/>
      <c r="M1763" s="26">
        <v>1</v>
      </c>
      <c r="N1763" s="26">
        <v>1</v>
      </c>
      <c r="O1763" s="26">
        <v>1</v>
      </c>
      <c r="P1763" s="26">
        <v>0</v>
      </c>
      <c r="Q1763" s="26">
        <v>0</v>
      </c>
      <c r="R1763" s="1209">
        <v>671</v>
      </c>
      <c r="S1763" s="1209">
        <f t="shared" si="88"/>
        <v>671</v>
      </c>
      <c r="T1763" s="26" t="s">
        <v>1009</v>
      </c>
      <c r="U1763" s="1871" t="s">
        <v>118</v>
      </c>
      <c r="V1763" s="26" t="s">
        <v>1987</v>
      </c>
      <c r="W1763" s="2015"/>
      <c r="X1763" s="18"/>
      <c r="Y1763" s="4"/>
      <c r="Z1763" s="4"/>
    </row>
    <row r="1764" spans="1:26" ht="14.1" hidden="1">
      <c r="A1764" s="20">
        <v>1771</v>
      </c>
      <c r="B1764" s="1063">
        <v>41541</v>
      </c>
      <c r="C1764" s="26" t="s">
        <v>6876</v>
      </c>
      <c r="D1764" s="11"/>
      <c r="E1764" s="26" t="s">
        <v>6634</v>
      </c>
      <c r="F1764" s="26" t="s">
        <v>131</v>
      </c>
      <c r="G1764" s="26"/>
      <c r="H1764" s="26"/>
      <c r="I1764" s="26" t="s">
        <v>117</v>
      </c>
      <c r="J1764" s="26">
        <v>20852337</v>
      </c>
      <c r="K1764" s="26"/>
      <c r="L1764" s="26"/>
      <c r="M1764" s="26">
        <v>1</v>
      </c>
      <c r="N1764" s="26">
        <v>1</v>
      </c>
      <c r="O1764" s="26">
        <v>1</v>
      </c>
      <c r="P1764" s="26">
        <v>0</v>
      </c>
      <c r="Q1764" s="26">
        <v>0</v>
      </c>
      <c r="R1764" s="1209">
        <v>84</v>
      </c>
      <c r="S1764" s="1209">
        <f t="shared" si="88"/>
        <v>84</v>
      </c>
      <c r="T1764" s="26" t="s">
        <v>1009</v>
      </c>
      <c r="U1764" s="1871" t="s">
        <v>118</v>
      </c>
      <c r="V1764" s="26" t="s">
        <v>1987</v>
      </c>
      <c r="W1764" s="2015"/>
      <c r="X1764" s="18"/>
      <c r="Y1764" s="4"/>
      <c r="Z1764" s="4"/>
    </row>
    <row r="1765" spans="1:26" ht="14.1" hidden="1">
      <c r="A1765" s="20">
        <v>1772</v>
      </c>
      <c r="B1765" s="1063">
        <v>41542</v>
      </c>
      <c r="C1765" s="26" t="s">
        <v>6877</v>
      </c>
      <c r="D1765" s="11"/>
      <c r="E1765" s="26" t="s">
        <v>6634</v>
      </c>
      <c r="F1765" s="26" t="s">
        <v>131</v>
      </c>
      <c r="G1765" s="26"/>
      <c r="H1765" s="26"/>
      <c r="I1765" s="26" t="s">
        <v>117</v>
      </c>
      <c r="J1765" s="26">
        <v>20852405</v>
      </c>
      <c r="K1765" s="26"/>
      <c r="L1765" s="26"/>
      <c r="M1765" s="26">
        <v>1</v>
      </c>
      <c r="N1765" s="26">
        <v>1</v>
      </c>
      <c r="O1765" s="26">
        <v>1</v>
      </c>
      <c r="P1765" s="26">
        <v>0</v>
      </c>
      <c r="Q1765" s="26">
        <v>0</v>
      </c>
      <c r="R1765" s="1209">
        <v>132</v>
      </c>
      <c r="S1765" s="1209">
        <f t="shared" si="88"/>
        <v>132</v>
      </c>
      <c r="T1765" s="26" t="s">
        <v>1009</v>
      </c>
      <c r="U1765" s="1871" t="s">
        <v>118</v>
      </c>
      <c r="V1765" s="26" t="s">
        <v>1987</v>
      </c>
      <c r="W1765" s="2015"/>
      <c r="X1765" s="18"/>
      <c r="Y1765" s="4"/>
      <c r="Z1765" s="4"/>
    </row>
    <row r="1766" spans="1:26" ht="14.1" hidden="1">
      <c r="A1766" s="20">
        <v>1773</v>
      </c>
      <c r="B1766" s="1063">
        <v>41543</v>
      </c>
      <c r="C1766" s="26" t="s">
        <v>6878</v>
      </c>
      <c r="D1766" s="11"/>
      <c r="E1766" s="26" t="s">
        <v>6634</v>
      </c>
      <c r="F1766" s="26" t="s">
        <v>131</v>
      </c>
      <c r="G1766" s="26"/>
      <c r="H1766" s="26"/>
      <c r="I1766" s="26" t="s">
        <v>117</v>
      </c>
      <c r="J1766" s="26">
        <v>20504564</v>
      </c>
      <c r="K1766" s="26"/>
      <c r="L1766" s="26"/>
      <c r="M1766" s="26">
        <v>1</v>
      </c>
      <c r="N1766" s="26">
        <v>1</v>
      </c>
      <c r="O1766" s="26">
        <v>1</v>
      </c>
      <c r="P1766" s="26">
        <v>0</v>
      </c>
      <c r="Q1766" s="26">
        <v>0</v>
      </c>
      <c r="R1766" s="1209">
        <v>998</v>
      </c>
      <c r="S1766" s="1209">
        <f t="shared" si="88"/>
        <v>998</v>
      </c>
      <c r="T1766" s="26" t="s">
        <v>1009</v>
      </c>
      <c r="U1766" s="1871" t="s">
        <v>118</v>
      </c>
      <c r="V1766" s="26" t="s">
        <v>1987</v>
      </c>
      <c r="W1766" s="2015"/>
      <c r="X1766" s="26"/>
      <c r="Y1766" s="71"/>
      <c r="Z1766" s="71"/>
    </row>
    <row r="1767" spans="1:26" ht="14.1" hidden="1">
      <c r="A1767" s="20">
        <v>1774</v>
      </c>
      <c r="B1767" s="1063">
        <v>41544</v>
      </c>
      <c r="C1767" s="26" t="s">
        <v>6879</v>
      </c>
      <c r="D1767" s="11"/>
      <c r="E1767" s="26" t="s">
        <v>6634</v>
      </c>
      <c r="F1767" s="26" t="s">
        <v>131</v>
      </c>
      <c r="G1767" s="26"/>
      <c r="H1767" s="26"/>
      <c r="I1767" s="26" t="s">
        <v>117</v>
      </c>
      <c r="J1767" s="26">
        <v>50200009</v>
      </c>
      <c r="K1767" s="26"/>
      <c r="L1767" s="26"/>
      <c r="M1767" s="26">
        <v>3</v>
      </c>
      <c r="N1767" s="26">
        <v>1</v>
      </c>
      <c r="O1767" s="26">
        <v>3</v>
      </c>
      <c r="P1767" s="26">
        <v>0</v>
      </c>
      <c r="Q1767" s="26">
        <v>0</v>
      </c>
      <c r="R1767" s="1209">
        <v>275</v>
      </c>
      <c r="S1767" s="1209">
        <f t="shared" si="88"/>
        <v>825</v>
      </c>
      <c r="T1767" s="26" t="s">
        <v>1009</v>
      </c>
      <c r="U1767" s="1871" t="s">
        <v>118</v>
      </c>
      <c r="V1767" s="26" t="s">
        <v>1987</v>
      </c>
      <c r="W1767" s="2015"/>
      <c r="X1767" s="26"/>
      <c r="Y1767" s="71"/>
      <c r="Z1767" s="71"/>
    </row>
    <row r="1768" spans="1:26" ht="14.1" hidden="1">
      <c r="A1768" s="20">
        <v>1775</v>
      </c>
      <c r="B1768" s="1063">
        <v>41545</v>
      </c>
      <c r="C1768" s="26" t="s">
        <v>6880</v>
      </c>
      <c r="D1768" s="11"/>
      <c r="E1768" s="26" t="s">
        <v>6634</v>
      </c>
      <c r="F1768" s="26" t="s">
        <v>131</v>
      </c>
      <c r="G1768" s="26"/>
      <c r="H1768" s="26"/>
      <c r="I1768" s="26" t="s">
        <v>6881</v>
      </c>
      <c r="J1768" s="26"/>
      <c r="K1768" s="26"/>
      <c r="L1768" s="26"/>
      <c r="M1768" s="26">
        <v>1</v>
      </c>
      <c r="N1768" s="26">
        <v>1</v>
      </c>
      <c r="O1768" s="26">
        <v>2</v>
      </c>
      <c r="P1768" s="26">
        <v>0</v>
      </c>
      <c r="Q1768" s="26">
        <v>1</v>
      </c>
      <c r="R1768" s="1209">
        <v>275</v>
      </c>
      <c r="S1768" s="1209">
        <f t="shared" si="88"/>
        <v>550</v>
      </c>
      <c r="T1768" s="26" t="s">
        <v>5448</v>
      </c>
      <c r="U1768" s="1871" t="s">
        <v>6106</v>
      </c>
      <c r="V1768" s="26" t="s">
        <v>6663</v>
      </c>
      <c r="W1768" s="2015"/>
      <c r="X1768" s="18"/>
      <c r="Y1768" s="4"/>
      <c r="Z1768" s="4"/>
    </row>
    <row r="1769" spans="1:26" ht="14.1" hidden="1">
      <c r="A1769" s="20">
        <v>1776</v>
      </c>
      <c r="B1769" s="1063">
        <v>41546</v>
      </c>
      <c r="C1769" s="26" t="s">
        <v>6882</v>
      </c>
      <c r="D1769" s="11"/>
      <c r="E1769" s="26" t="s">
        <v>6634</v>
      </c>
      <c r="F1769" s="26" t="s">
        <v>131</v>
      </c>
      <c r="G1769" s="26"/>
      <c r="H1769" s="26"/>
      <c r="I1769" s="26" t="s">
        <v>6881</v>
      </c>
      <c r="J1769" s="26"/>
      <c r="K1769" s="26"/>
      <c r="L1769" s="26"/>
      <c r="M1769" s="26">
        <v>1</v>
      </c>
      <c r="N1769" s="26">
        <v>1</v>
      </c>
      <c r="O1769" s="26">
        <v>1</v>
      </c>
      <c r="P1769" s="26">
        <v>0</v>
      </c>
      <c r="Q1769" s="26">
        <v>0</v>
      </c>
      <c r="R1769" s="1209">
        <v>330</v>
      </c>
      <c r="S1769" s="1209">
        <f t="shared" si="88"/>
        <v>330</v>
      </c>
      <c r="T1769" s="26" t="s">
        <v>5448</v>
      </c>
      <c r="U1769" s="1871" t="s">
        <v>6106</v>
      </c>
      <c r="V1769" s="26" t="s">
        <v>6663</v>
      </c>
      <c r="W1769" s="2015"/>
      <c r="X1769" s="18"/>
      <c r="Y1769" s="4"/>
      <c r="Z1769" s="4"/>
    </row>
    <row r="1770" spans="1:26" ht="14.1" hidden="1">
      <c r="A1770" s="20">
        <v>1777</v>
      </c>
      <c r="B1770" s="1063">
        <v>41547</v>
      </c>
      <c r="C1770" s="26" t="s">
        <v>6883</v>
      </c>
      <c r="D1770" s="11"/>
      <c r="E1770" s="26" t="s">
        <v>6634</v>
      </c>
      <c r="F1770" s="26" t="s">
        <v>131</v>
      </c>
      <c r="G1770" s="26"/>
      <c r="H1770" s="26"/>
      <c r="I1770" s="26" t="s">
        <v>6881</v>
      </c>
      <c r="J1770" s="26"/>
      <c r="K1770" s="26"/>
      <c r="L1770" s="26"/>
      <c r="M1770" s="26">
        <v>1</v>
      </c>
      <c r="N1770" s="26">
        <v>1</v>
      </c>
      <c r="O1770" s="26">
        <v>2</v>
      </c>
      <c r="P1770" s="26">
        <v>0</v>
      </c>
      <c r="Q1770" s="26">
        <v>1</v>
      </c>
      <c r="R1770" s="1209">
        <v>871</v>
      </c>
      <c r="S1770" s="1209">
        <f t="shared" si="88"/>
        <v>1742</v>
      </c>
      <c r="T1770" s="26" t="s">
        <v>5448</v>
      </c>
      <c r="U1770" s="1871" t="s">
        <v>6106</v>
      </c>
      <c r="V1770" s="26" t="s">
        <v>6663</v>
      </c>
      <c r="W1770" s="2015"/>
      <c r="X1770" s="18"/>
      <c r="Y1770" s="4"/>
      <c r="Z1770" s="4"/>
    </row>
    <row r="1771" spans="1:26" ht="14.1" hidden="1">
      <c r="A1771" s="20">
        <v>1778</v>
      </c>
      <c r="B1771" s="1063">
        <v>41548</v>
      </c>
      <c r="C1771" s="26" t="s">
        <v>6884</v>
      </c>
      <c r="D1771" s="11" t="s">
        <v>6</v>
      </c>
      <c r="E1771" s="26" t="s">
        <v>6634</v>
      </c>
      <c r="F1771" s="26" t="s">
        <v>131</v>
      </c>
      <c r="G1771" s="26" t="s">
        <v>6885</v>
      </c>
      <c r="H1771" s="26" t="s">
        <v>3898</v>
      </c>
      <c r="I1771" s="26" t="s">
        <v>574</v>
      </c>
      <c r="J1771" s="26" t="s">
        <v>6886</v>
      </c>
      <c r="K1771" s="26" t="s">
        <v>6887</v>
      </c>
      <c r="L1771" s="26"/>
      <c r="M1771" s="26">
        <v>2</v>
      </c>
      <c r="N1771" s="26">
        <v>1</v>
      </c>
      <c r="O1771" s="26">
        <v>4</v>
      </c>
      <c r="P1771" s="26">
        <v>0</v>
      </c>
      <c r="Q1771" s="26">
        <v>2</v>
      </c>
      <c r="R1771" s="1209">
        <v>829</v>
      </c>
      <c r="S1771" s="1209">
        <f t="shared" si="88"/>
        <v>3316</v>
      </c>
      <c r="T1771" s="26" t="s">
        <v>5448</v>
      </c>
      <c r="U1771" s="1871" t="s">
        <v>6106</v>
      </c>
      <c r="V1771" s="26" t="s">
        <v>6663</v>
      </c>
      <c r="W1771" s="649"/>
      <c r="X1771" s="26"/>
      <c r="Y1771" s="71"/>
      <c r="Z1771" s="71"/>
    </row>
    <row r="1772" spans="1:26" ht="24.95" hidden="1">
      <c r="A1772" s="20">
        <v>1779</v>
      </c>
      <c r="B1772" s="1063">
        <v>41549</v>
      </c>
      <c r="C1772" s="26" t="s">
        <v>6888</v>
      </c>
      <c r="D1772" s="11" t="s">
        <v>6</v>
      </c>
      <c r="E1772" s="26" t="s">
        <v>6634</v>
      </c>
      <c r="F1772" s="26" t="s">
        <v>131</v>
      </c>
      <c r="G1772" s="26" t="s">
        <v>6889</v>
      </c>
      <c r="H1772" s="26" t="s">
        <v>3898</v>
      </c>
      <c r="I1772" s="26" t="s">
        <v>574</v>
      </c>
      <c r="J1772" s="26" t="s">
        <v>6890</v>
      </c>
      <c r="K1772" s="26" t="s">
        <v>6891</v>
      </c>
      <c r="L1772" s="26"/>
      <c r="M1772" s="26">
        <v>2</v>
      </c>
      <c r="N1772" s="26">
        <v>1</v>
      </c>
      <c r="O1772" s="26">
        <v>4</v>
      </c>
      <c r="P1772" s="26">
        <v>0</v>
      </c>
      <c r="Q1772" s="26">
        <v>2</v>
      </c>
      <c r="R1772" s="1209">
        <v>490</v>
      </c>
      <c r="S1772" s="1209">
        <f t="shared" si="88"/>
        <v>1960</v>
      </c>
      <c r="T1772" s="26" t="s">
        <v>5448</v>
      </c>
      <c r="U1772" s="1871" t="s">
        <v>6106</v>
      </c>
      <c r="V1772" s="26" t="s">
        <v>6663</v>
      </c>
      <c r="W1772" s="649" t="s">
        <v>6892</v>
      </c>
      <c r="X1772" s="26"/>
      <c r="Y1772" s="71"/>
      <c r="Z1772" s="71"/>
    </row>
    <row r="1773" spans="1:26" ht="14.1" hidden="1">
      <c r="A1773" s="20">
        <v>1780</v>
      </c>
      <c r="B1773" s="1063">
        <v>41550</v>
      </c>
      <c r="C1773" s="26" t="s">
        <v>6893</v>
      </c>
      <c r="D1773" s="11" t="s">
        <v>6</v>
      </c>
      <c r="E1773" s="26" t="s">
        <v>6634</v>
      </c>
      <c r="F1773" s="26" t="s">
        <v>131</v>
      </c>
      <c r="G1773" s="26" t="s">
        <v>6894</v>
      </c>
      <c r="H1773" s="26" t="s">
        <v>6567</v>
      </c>
      <c r="I1773" s="26" t="s">
        <v>574</v>
      </c>
      <c r="J1773" s="26" t="s">
        <v>6895</v>
      </c>
      <c r="K1773" s="26" t="s">
        <v>6896</v>
      </c>
      <c r="L1773" s="26"/>
      <c r="M1773" s="26">
        <v>2</v>
      </c>
      <c r="N1773" s="26">
        <v>1</v>
      </c>
      <c r="O1773" s="26">
        <v>4</v>
      </c>
      <c r="P1773" s="26">
        <v>0</v>
      </c>
      <c r="Q1773" s="26">
        <v>2</v>
      </c>
      <c r="R1773" s="1209">
        <v>471</v>
      </c>
      <c r="S1773" s="1209">
        <f t="shared" si="88"/>
        <v>1884</v>
      </c>
      <c r="T1773" s="26" t="s">
        <v>5448</v>
      </c>
      <c r="U1773" s="1871" t="s">
        <v>6106</v>
      </c>
      <c r="V1773" s="26" t="s">
        <v>6663</v>
      </c>
      <c r="W1773" s="649" t="s">
        <v>6897</v>
      </c>
      <c r="X1773" s="18"/>
      <c r="Y1773" s="4"/>
      <c r="Z1773" s="4"/>
    </row>
    <row r="1774" spans="1:26" ht="14.1" hidden="1">
      <c r="A1774" s="20">
        <v>1781</v>
      </c>
      <c r="B1774" s="1063">
        <v>41551</v>
      </c>
      <c r="C1774" s="26" t="s">
        <v>6898</v>
      </c>
      <c r="D1774" s="11" t="s">
        <v>6</v>
      </c>
      <c r="E1774" s="26" t="s">
        <v>6634</v>
      </c>
      <c r="F1774" s="26" t="s">
        <v>131</v>
      </c>
      <c r="G1774" s="26" t="s">
        <v>6899</v>
      </c>
      <c r="H1774" s="26" t="s">
        <v>6567</v>
      </c>
      <c r="I1774" s="26" t="s">
        <v>574</v>
      </c>
      <c r="J1774" s="26" t="s">
        <v>6900</v>
      </c>
      <c r="K1774" s="26" t="s">
        <v>6901</v>
      </c>
      <c r="L1774" s="26"/>
      <c r="M1774" s="26">
        <v>2</v>
      </c>
      <c r="N1774" s="26">
        <v>1</v>
      </c>
      <c r="O1774" s="26">
        <v>4</v>
      </c>
      <c r="P1774" s="26">
        <v>0</v>
      </c>
      <c r="Q1774" s="26">
        <v>2</v>
      </c>
      <c r="R1774" s="1209">
        <v>831</v>
      </c>
      <c r="S1774" s="1209">
        <f t="shared" si="88"/>
        <v>3324</v>
      </c>
      <c r="T1774" s="26" t="s">
        <v>5448</v>
      </c>
      <c r="U1774" s="1871" t="s">
        <v>6106</v>
      </c>
      <c r="V1774" s="26" t="s">
        <v>6663</v>
      </c>
      <c r="W1774" s="649" t="s">
        <v>6902</v>
      </c>
      <c r="X1774" s="18"/>
      <c r="Y1774" s="4"/>
      <c r="Z1774" s="4"/>
    </row>
    <row r="1775" spans="1:26" ht="24.95" hidden="1">
      <c r="A1775" s="20">
        <v>1782</v>
      </c>
      <c r="B1775" s="1063">
        <v>41552</v>
      </c>
      <c r="C1775" s="26" t="s">
        <v>6903</v>
      </c>
      <c r="D1775" s="11"/>
      <c r="E1775" s="26" t="s">
        <v>6634</v>
      </c>
      <c r="F1775" s="26" t="s">
        <v>131</v>
      </c>
      <c r="G1775" s="26" t="s">
        <v>5749</v>
      </c>
      <c r="H1775" s="26" t="s">
        <v>280</v>
      </c>
      <c r="I1775" s="26" t="s">
        <v>574</v>
      </c>
      <c r="J1775" s="26" t="s">
        <v>5751</v>
      </c>
      <c r="K1775" s="26" t="s">
        <v>5752</v>
      </c>
      <c r="L1775" s="26"/>
      <c r="M1775" s="26">
        <v>16</v>
      </c>
      <c r="N1775" s="26">
        <v>1</v>
      </c>
      <c r="O1775" s="26">
        <v>10</v>
      </c>
      <c r="P1775" s="26">
        <v>8</v>
      </c>
      <c r="Q1775" s="26">
        <v>4</v>
      </c>
      <c r="R1775" s="1209">
        <v>436</v>
      </c>
      <c r="S1775" s="1209">
        <f t="shared" si="88"/>
        <v>4360</v>
      </c>
      <c r="T1775" s="26" t="s">
        <v>5448</v>
      </c>
      <c r="U1775" s="1871" t="s">
        <v>6904</v>
      </c>
      <c r="V1775" s="26" t="s">
        <v>6663</v>
      </c>
      <c r="W1775" s="2076" t="s">
        <v>5753</v>
      </c>
      <c r="X1775" s="18"/>
      <c r="Y1775" s="4"/>
      <c r="Z1775" s="4"/>
    </row>
    <row r="1776" spans="1:26" ht="42" hidden="1">
      <c r="A1776" s="20">
        <v>1783</v>
      </c>
      <c r="B1776" s="1063">
        <v>41553</v>
      </c>
      <c r="C1776" s="26" t="s">
        <v>1525</v>
      </c>
      <c r="D1776" s="11" t="s">
        <v>6</v>
      </c>
      <c r="E1776" s="26" t="s">
        <v>6634</v>
      </c>
      <c r="F1776" s="26" t="s">
        <v>131</v>
      </c>
      <c r="G1776" s="26" t="s">
        <v>6905</v>
      </c>
      <c r="H1776" s="26" t="s">
        <v>1104</v>
      </c>
      <c r="I1776" s="26" t="s">
        <v>574</v>
      </c>
      <c r="J1776" s="26" t="s">
        <v>6906</v>
      </c>
      <c r="K1776" s="26" t="s">
        <v>6907</v>
      </c>
      <c r="L1776" s="26" t="s">
        <v>6908</v>
      </c>
      <c r="M1776" s="26">
        <v>30</v>
      </c>
      <c r="N1776" s="26">
        <v>1</v>
      </c>
      <c r="O1776" s="26">
        <v>50</v>
      </c>
      <c r="P1776" s="26">
        <v>0</v>
      </c>
      <c r="Q1776" s="26">
        <v>20</v>
      </c>
      <c r="R1776" s="1209">
        <v>7.8</v>
      </c>
      <c r="S1776" s="1209">
        <f t="shared" si="88"/>
        <v>390</v>
      </c>
      <c r="T1776" s="26" t="s">
        <v>5448</v>
      </c>
      <c r="U1776" s="1871" t="s">
        <v>6904</v>
      </c>
      <c r="V1776" s="26" t="s">
        <v>6663</v>
      </c>
      <c r="W1776" s="2077" t="s">
        <v>6909</v>
      </c>
      <c r="X1776" s="18"/>
      <c r="Y1776" s="4"/>
      <c r="Z1776" s="4"/>
    </row>
    <row r="1777" spans="1:26" ht="24.95" hidden="1">
      <c r="A1777" s="20">
        <v>1784</v>
      </c>
      <c r="B1777" s="1063">
        <v>41554</v>
      </c>
      <c r="C1777" s="26" t="s">
        <v>1525</v>
      </c>
      <c r="D1777" s="11" t="s">
        <v>6</v>
      </c>
      <c r="E1777" s="26" t="s">
        <v>6634</v>
      </c>
      <c r="F1777" s="26" t="s">
        <v>131</v>
      </c>
      <c r="G1777" s="26" t="s">
        <v>5759</v>
      </c>
      <c r="H1777" s="26" t="s">
        <v>1104</v>
      </c>
      <c r="I1777" s="26" t="s">
        <v>574</v>
      </c>
      <c r="J1777" s="26" t="s">
        <v>5758</v>
      </c>
      <c r="K1777" s="26" t="s">
        <v>6910</v>
      </c>
      <c r="L1777" s="26" t="s">
        <v>6911</v>
      </c>
      <c r="M1777" s="26">
        <v>16</v>
      </c>
      <c r="N1777" s="26">
        <v>1</v>
      </c>
      <c r="O1777" s="26">
        <v>10</v>
      </c>
      <c r="P1777" s="26">
        <v>10</v>
      </c>
      <c r="Q1777" s="26">
        <v>4</v>
      </c>
      <c r="R1777" s="1209">
        <v>19.399999999999999</v>
      </c>
      <c r="S1777" s="1209">
        <f t="shared" si="88"/>
        <v>194</v>
      </c>
      <c r="T1777" s="26" t="s">
        <v>5448</v>
      </c>
      <c r="U1777" s="1871" t="s">
        <v>6904</v>
      </c>
      <c r="V1777" s="26" t="s">
        <v>6663</v>
      </c>
      <c r="W1777" s="2078" t="s">
        <v>6912</v>
      </c>
      <c r="X1777" s="26"/>
      <c r="Y1777" s="71"/>
      <c r="Z1777" s="71"/>
    </row>
    <row r="1778" spans="1:26" ht="42" hidden="1">
      <c r="A1778" s="20">
        <v>1785</v>
      </c>
      <c r="B1778" s="1063">
        <v>41555</v>
      </c>
      <c r="C1778" s="26" t="s">
        <v>1525</v>
      </c>
      <c r="D1778" s="11" t="s">
        <v>6</v>
      </c>
      <c r="E1778" s="26" t="s">
        <v>6634</v>
      </c>
      <c r="F1778" s="26" t="s">
        <v>131</v>
      </c>
      <c r="G1778" s="26" t="s">
        <v>6913</v>
      </c>
      <c r="H1778" s="26" t="s">
        <v>1104</v>
      </c>
      <c r="I1778" s="26" t="s">
        <v>574</v>
      </c>
      <c r="J1778" s="26" t="s">
        <v>6914</v>
      </c>
      <c r="K1778" s="26" t="s">
        <v>6915</v>
      </c>
      <c r="L1778" s="26"/>
      <c r="M1778" s="26">
        <v>16</v>
      </c>
      <c r="N1778" s="26">
        <v>1</v>
      </c>
      <c r="O1778" s="26">
        <v>10</v>
      </c>
      <c r="P1778" s="26">
        <v>10</v>
      </c>
      <c r="Q1778" s="26">
        <v>4</v>
      </c>
      <c r="R1778" s="1209">
        <v>63.7</v>
      </c>
      <c r="S1778" s="1209">
        <f t="shared" si="88"/>
        <v>637</v>
      </c>
      <c r="T1778" s="26" t="s">
        <v>5448</v>
      </c>
      <c r="U1778" s="1871" t="s">
        <v>6904</v>
      </c>
      <c r="V1778" s="26" t="s">
        <v>6663</v>
      </c>
      <c r="W1778" s="2077" t="s">
        <v>6916</v>
      </c>
      <c r="X1778" s="26"/>
      <c r="Y1778" s="71"/>
      <c r="Z1778" s="71"/>
    </row>
    <row r="1779" spans="1:26" ht="37.5" hidden="1">
      <c r="A1779" s="20">
        <v>1786</v>
      </c>
      <c r="B1779" s="1063">
        <v>41556</v>
      </c>
      <c r="C1779" s="26" t="s">
        <v>6917</v>
      </c>
      <c r="D1779" s="11" t="s">
        <v>6</v>
      </c>
      <c r="E1779" s="26" t="s">
        <v>6634</v>
      </c>
      <c r="F1779" s="26" t="s">
        <v>1587</v>
      </c>
      <c r="G1779" s="26" t="s">
        <v>6918</v>
      </c>
      <c r="H1779" s="26" t="s">
        <v>6919</v>
      </c>
      <c r="I1779" s="26" t="s">
        <v>574</v>
      </c>
      <c r="J1779" s="26" t="s">
        <v>6920</v>
      </c>
      <c r="K1779" s="26" t="s">
        <v>6921</v>
      </c>
      <c r="L1779" s="26" t="s">
        <v>6922</v>
      </c>
      <c r="M1779" s="26">
        <v>2</v>
      </c>
      <c r="N1779" s="26">
        <v>1</v>
      </c>
      <c r="O1779" s="26">
        <v>4</v>
      </c>
      <c r="P1779" s="26">
        <v>0</v>
      </c>
      <c r="Q1779" s="26">
        <f t="shared" ref="Q1779:Q1789" si="89">O1779-M1779</f>
        <v>2</v>
      </c>
      <c r="R1779" s="1209">
        <v>207</v>
      </c>
      <c r="S1779" s="1209">
        <f t="shared" ref="S1779:S1789" si="90">O1779*R1779</f>
        <v>828</v>
      </c>
      <c r="T1779" s="26" t="s">
        <v>5448</v>
      </c>
      <c r="U1779" s="1871" t="s">
        <v>1886</v>
      </c>
      <c r="V1779" s="26" t="s">
        <v>6663</v>
      </c>
      <c r="W1779" s="2008" t="s">
        <v>6923</v>
      </c>
      <c r="X1779" s="18"/>
      <c r="Y1779" s="4"/>
      <c r="Z1779" s="4"/>
    </row>
    <row r="1780" spans="1:26" ht="14.1" hidden="1">
      <c r="A1780" s="20">
        <v>1787</v>
      </c>
      <c r="B1780" s="1063">
        <v>41557</v>
      </c>
      <c r="C1780" s="26" t="s">
        <v>3644</v>
      </c>
      <c r="D1780" s="11" t="s">
        <v>6</v>
      </c>
      <c r="E1780" s="26" t="s">
        <v>6634</v>
      </c>
      <c r="F1780" s="26" t="s">
        <v>1587</v>
      </c>
      <c r="G1780" s="26" t="s">
        <v>6924</v>
      </c>
      <c r="H1780" s="26" t="s">
        <v>1478</v>
      </c>
      <c r="I1780" s="26" t="s">
        <v>6925</v>
      </c>
      <c r="J1780" s="26" t="s">
        <v>1480</v>
      </c>
      <c r="K1780" s="26" t="s">
        <v>1479</v>
      </c>
      <c r="L1780" s="26" t="s">
        <v>6668</v>
      </c>
      <c r="M1780" s="26">
        <v>2</v>
      </c>
      <c r="N1780" s="26">
        <v>1</v>
      </c>
      <c r="O1780" s="26">
        <v>10</v>
      </c>
      <c r="P1780" s="26">
        <v>0</v>
      </c>
      <c r="Q1780" s="26">
        <f t="shared" si="89"/>
        <v>8</v>
      </c>
      <c r="R1780" s="1209">
        <v>35</v>
      </c>
      <c r="S1780" s="1209">
        <f t="shared" si="90"/>
        <v>350</v>
      </c>
      <c r="T1780" s="26" t="s">
        <v>5448</v>
      </c>
      <c r="U1780" s="1871" t="s">
        <v>1886</v>
      </c>
      <c r="V1780" s="26" t="s">
        <v>6663</v>
      </c>
      <c r="W1780" s="2008" t="s">
        <v>1481</v>
      </c>
      <c r="X1780" s="18"/>
      <c r="Y1780" s="4"/>
      <c r="Z1780" s="4"/>
    </row>
    <row r="1781" spans="1:26" ht="24.95" hidden="1">
      <c r="A1781" s="20">
        <v>1788</v>
      </c>
      <c r="B1781" s="1063">
        <v>41558</v>
      </c>
      <c r="C1781" s="26" t="s">
        <v>1806</v>
      </c>
      <c r="D1781" s="11" t="s">
        <v>6</v>
      </c>
      <c r="E1781" s="26" t="s">
        <v>6634</v>
      </c>
      <c r="F1781" s="26" t="s">
        <v>1587</v>
      </c>
      <c r="G1781" s="26" t="s">
        <v>6926</v>
      </c>
      <c r="H1781" s="26" t="s">
        <v>4817</v>
      </c>
      <c r="I1781" s="26" t="s">
        <v>6925</v>
      </c>
      <c r="J1781" s="26" t="s">
        <v>6927</v>
      </c>
      <c r="K1781" s="26"/>
      <c r="L1781" s="26" t="s">
        <v>1479</v>
      </c>
      <c r="M1781" s="26">
        <v>2</v>
      </c>
      <c r="N1781" s="26">
        <v>1</v>
      </c>
      <c r="O1781" s="26">
        <v>4</v>
      </c>
      <c r="P1781" s="26">
        <v>0</v>
      </c>
      <c r="Q1781" s="26">
        <f t="shared" si="89"/>
        <v>2</v>
      </c>
      <c r="R1781" s="1209">
        <v>30</v>
      </c>
      <c r="S1781" s="1209">
        <f t="shared" si="90"/>
        <v>120</v>
      </c>
      <c r="T1781" s="26" t="s">
        <v>5448</v>
      </c>
      <c r="U1781" s="1871" t="s">
        <v>1886</v>
      </c>
      <c r="V1781" s="26" t="s">
        <v>6663</v>
      </c>
      <c r="W1781" s="2008" t="s">
        <v>6928</v>
      </c>
      <c r="X1781" s="18"/>
      <c r="Y1781" s="4"/>
      <c r="Z1781" s="4"/>
    </row>
    <row r="1782" spans="1:26" ht="24.95" hidden="1">
      <c r="A1782" s="20">
        <v>1789</v>
      </c>
      <c r="B1782" s="1063">
        <v>41559</v>
      </c>
      <c r="C1782" s="26" t="s">
        <v>1806</v>
      </c>
      <c r="D1782" s="11" t="s">
        <v>6</v>
      </c>
      <c r="E1782" s="26" t="s">
        <v>6634</v>
      </c>
      <c r="F1782" s="26" t="s">
        <v>1587</v>
      </c>
      <c r="G1782" s="26" t="s">
        <v>6929</v>
      </c>
      <c r="H1782" s="26" t="s">
        <v>1111</v>
      </c>
      <c r="I1782" s="26" t="s">
        <v>574</v>
      </c>
      <c r="J1782" s="26" t="s">
        <v>6930</v>
      </c>
      <c r="K1782" s="26" t="s">
        <v>6931</v>
      </c>
      <c r="L1782" s="26" t="s">
        <v>6668</v>
      </c>
      <c r="M1782" s="26">
        <v>4</v>
      </c>
      <c r="N1782" s="26">
        <v>1</v>
      </c>
      <c r="O1782" s="26">
        <v>10</v>
      </c>
      <c r="P1782" s="26">
        <v>0</v>
      </c>
      <c r="Q1782" s="26">
        <f t="shared" si="89"/>
        <v>6</v>
      </c>
      <c r="R1782" s="1209">
        <v>655</v>
      </c>
      <c r="S1782" s="1209">
        <f t="shared" si="90"/>
        <v>6550</v>
      </c>
      <c r="T1782" s="26" t="s">
        <v>5448</v>
      </c>
      <c r="U1782" s="1871" t="s">
        <v>1886</v>
      </c>
      <c r="V1782" s="26" t="s">
        <v>6663</v>
      </c>
      <c r="W1782" s="2008" t="s">
        <v>6932</v>
      </c>
      <c r="X1782" s="18"/>
      <c r="Y1782" s="4"/>
      <c r="Z1782" s="4"/>
    </row>
    <row r="1783" spans="1:26" ht="24.95" hidden="1">
      <c r="A1783" s="20">
        <v>1790</v>
      </c>
      <c r="B1783" s="1063">
        <v>41560</v>
      </c>
      <c r="C1783" s="26" t="s">
        <v>6933</v>
      </c>
      <c r="D1783" s="11" t="s">
        <v>6</v>
      </c>
      <c r="E1783" s="26" t="s">
        <v>6634</v>
      </c>
      <c r="F1783" s="26" t="s">
        <v>1587</v>
      </c>
      <c r="G1783" s="26" t="s">
        <v>6934</v>
      </c>
      <c r="H1783" s="26" t="s">
        <v>2920</v>
      </c>
      <c r="I1783" s="26" t="s">
        <v>574</v>
      </c>
      <c r="J1783" s="26" t="s">
        <v>6935</v>
      </c>
      <c r="K1783" s="26">
        <v>366</v>
      </c>
      <c r="L1783" s="26" t="s">
        <v>6936</v>
      </c>
      <c r="M1783" s="26">
        <v>2</v>
      </c>
      <c r="N1783" s="26">
        <v>1</v>
      </c>
      <c r="O1783" s="26">
        <v>4</v>
      </c>
      <c r="P1783" s="26">
        <v>0</v>
      </c>
      <c r="Q1783" s="26">
        <f t="shared" si="89"/>
        <v>2</v>
      </c>
      <c r="R1783" s="1209">
        <v>110</v>
      </c>
      <c r="S1783" s="1209">
        <f t="shared" si="90"/>
        <v>440</v>
      </c>
      <c r="T1783" s="26" t="s">
        <v>5448</v>
      </c>
      <c r="U1783" s="1871" t="s">
        <v>1886</v>
      </c>
      <c r="V1783" s="26" t="s">
        <v>6663</v>
      </c>
      <c r="W1783" s="2008" t="s">
        <v>6937</v>
      </c>
      <c r="X1783" s="18"/>
      <c r="Y1783" s="4"/>
      <c r="Z1783" s="4"/>
    </row>
    <row r="1784" spans="1:26" ht="24.95" hidden="1">
      <c r="A1784" s="20">
        <v>1791</v>
      </c>
      <c r="B1784" s="1063">
        <v>41561</v>
      </c>
      <c r="C1784" s="26" t="s">
        <v>1729</v>
      </c>
      <c r="D1784" s="11" t="s">
        <v>6</v>
      </c>
      <c r="E1784" s="26" t="s">
        <v>6634</v>
      </c>
      <c r="F1784" s="26" t="s">
        <v>1587</v>
      </c>
      <c r="G1784" s="26" t="s">
        <v>6938</v>
      </c>
      <c r="H1784" s="26" t="s">
        <v>1729</v>
      </c>
      <c r="I1784" s="26" t="s">
        <v>574</v>
      </c>
      <c r="J1784" s="26" t="s">
        <v>1730</v>
      </c>
      <c r="K1784" s="26" t="s">
        <v>1731</v>
      </c>
      <c r="L1784" s="26"/>
      <c r="M1784" s="26">
        <v>1</v>
      </c>
      <c r="N1784" s="26">
        <v>1</v>
      </c>
      <c r="O1784" s="26">
        <v>1</v>
      </c>
      <c r="P1784" s="26">
        <v>0</v>
      </c>
      <c r="Q1784" s="26">
        <f t="shared" si="89"/>
        <v>0</v>
      </c>
      <c r="R1784" s="1209">
        <v>4477</v>
      </c>
      <c r="S1784" s="1209">
        <f t="shared" si="90"/>
        <v>4477</v>
      </c>
      <c r="T1784" s="26" t="s">
        <v>5448</v>
      </c>
      <c r="U1784" s="1871" t="s">
        <v>1886</v>
      </c>
      <c r="V1784" s="26" t="s">
        <v>6663</v>
      </c>
      <c r="W1784" s="2008" t="s">
        <v>6939</v>
      </c>
      <c r="X1784" s="26"/>
      <c r="Y1784" s="71"/>
      <c r="Z1784" s="71"/>
    </row>
    <row r="1785" spans="1:26" ht="37.5" hidden="1">
      <c r="A1785" s="20">
        <v>1792</v>
      </c>
      <c r="B1785" s="1063">
        <v>41562</v>
      </c>
      <c r="C1785" s="26" t="s">
        <v>6940</v>
      </c>
      <c r="D1785" s="11" t="s">
        <v>6</v>
      </c>
      <c r="E1785" s="26" t="s">
        <v>6634</v>
      </c>
      <c r="F1785" s="26" t="s">
        <v>1587</v>
      </c>
      <c r="G1785" s="26" t="s">
        <v>6941</v>
      </c>
      <c r="H1785" s="26" t="s">
        <v>6942</v>
      </c>
      <c r="I1785" s="26" t="s">
        <v>574</v>
      </c>
      <c r="J1785" s="26" t="s">
        <v>6943</v>
      </c>
      <c r="K1785" s="26" t="s">
        <v>6944</v>
      </c>
      <c r="L1785" s="26"/>
      <c r="M1785" s="26">
        <v>1</v>
      </c>
      <c r="N1785" s="26">
        <v>1</v>
      </c>
      <c r="O1785" s="26">
        <v>2</v>
      </c>
      <c r="P1785" s="26">
        <v>0</v>
      </c>
      <c r="Q1785" s="26">
        <f t="shared" si="89"/>
        <v>1</v>
      </c>
      <c r="R1785" s="1209">
        <v>3356</v>
      </c>
      <c r="S1785" s="1209">
        <f t="shared" si="90"/>
        <v>6712</v>
      </c>
      <c r="T1785" s="26" t="s">
        <v>5448</v>
      </c>
      <c r="U1785" s="1871" t="s">
        <v>1886</v>
      </c>
      <c r="V1785" s="26" t="s">
        <v>6663</v>
      </c>
      <c r="W1785" s="2008" t="s">
        <v>6945</v>
      </c>
      <c r="X1785" s="26"/>
      <c r="Y1785" s="71"/>
      <c r="Z1785" s="71"/>
    </row>
    <row r="1786" spans="1:26" ht="37.5" hidden="1">
      <c r="A1786" s="20">
        <v>1793</v>
      </c>
      <c r="B1786" s="1063">
        <v>41563</v>
      </c>
      <c r="C1786" s="26" t="s">
        <v>6946</v>
      </c>
      <c r="D1786" s="11" t="s">
        <v>6</v>
      </c>
      <c r="E1786" s="26" t="s">
        <v>6634</v>
      </c>
      <c r="F1786" s="26" t="s">
        <v>1587</v>
      </c>
      <c r="G1786" s="26" t="s">
        <v>6947</v>
      </c>
      <c r="H1786" s="26" t="s">
        <v>6948</v>
      </c>
      <c r="I1786" s="26" t="s">
        <v>574</v>
      </c>
      <c r="J1786" s="26" t="s">
        <v>6949</v>
      </c>
      <c r="K1786" s="26" t="s">
        <v>6950</v>
      </c>
      <c r="L1786" s="26"/>
      <c r="M1786" s="26">
        <v>2</v>
      </c>
      <c r="N1786" s="26">
        <v>1</v>
      </c>
      <c r="O1786" s="26">
        <v>4</v>
      </c>
      <c r="P1786" s="26">
        <v>0</v>
      </c>
      <c r="Q1786" s="26">
        <f t="shared" si="89"/>
        <v>2</v>
      </c>
      <c r="R1786" s="1209">
        <v>2659</v>
      </c>
      <c r="S1786" s="1209">
        <f t="shared" si="90"/>
        <v>10636</v>
      </c>
      <c r="T1786" s="26" t="s">
        <v>5448</v>
      </c>
      <c r="U1786" s="1871" t="s">
        <v>1886</v>
      </c>
      <c r="V1786" s="26" t="s">
        <v>6663</v>
      </c>
      <c r="W1786" s="2008" t="s">
        <v>6951</v>
      </c>
      <c r="X1786" s="18"/>
      <c r="Y1786" s="4"/>
      <c r="Z1786" s="4"/>
    </row>
    <row r="1787" spans="1:26" ht="14.1" hidden="1">
      <c r="A1787" s="20">
        <v>1794</v>
      </c>
      <c r="B1787" s="1063">
        <v>41564</v>
      </c>
      <c r="C1787" s="26" t="s">
        <v>6952</v>
      </c>
      <c r="D1787" s="11" t="s">
        <v>6</v>
      </c>
      <c r="E1787" s="26" t="s">
        <v>6634</v>
      </c>
      <c r="F1787" s="26" t="s">
        <v>1587</v>
      </c>
      <c r="G1787" s="26" t="s">
        <v>6953</v>
      </c>
      <c r="H1787" s="26" t="s">
        <v>6948</v>
      </c>
      <c r="I1787" s="26" t="s">
        <v>39</v>
      </c>
      <c r="J1787" s="26" t="s">
        <v>6954</v>
      </c>
      <c r="K1787" s="26" t="s">
        <v>6955</v>
      </c>
      <c r="L1787" s="26"/>
      <c r="M1787" s="26">
        <v>2</v>
      </c>
      <c r="N1787" s="26">
        <v>1</v>
      </c>
      <c r="O1787" s="26">
        <v>4</v>
      </c>
      <c r="P1787" s="26">
        <v>0</v>
      </c>
      <c r="Q1787" s="26">
        <f t="shared" si="89"/>
        <v>2</v>
      </c>
      <c r="R1787" s="1209">
        <v>5038</v>
      </c>
      <c r="S1787" s="1209">
        <f t="shared" si="90"/>
        <v>20152</v>
      </c>
      <c r="T1787" s="26" t="s">
        <v>5448</v>
      </c>
      <c r="U1787" s="1871" t="s">
        <v>1886</v>
      </c>
      <c r="V1787" s="26" t="s">
        <v>6663</v>
      </c>
      <c r="W1787" s="2065" t="s">
        <v>6956</v>
      </c>
      <c r="X1787" s="18"/>
      <c r="Y1787" s="4"/>
      <c r="Z1787" s="4"/>
    </row>
    <row r="1788" spans="1:26" ht="37.5" hidden="1">
      <c r="A1788" s="20">
        <v>1795</v>
      </c>
      <c r="B1788" s="1063">
        <v>41565</v>
      </c>
      <c r="C1788" s="936" t="s">
        <v>6957</v>
      </c>
      <c r="D1788" s="11" t="s">
        <v>6</v>
      </c>
      <c r="E1788" s="26" t="s">
        <v>6634</v>
      </c>
      <c r="F1788" s="26" t="s">
        <v>1587</v>
      </c>
      <c r="G1788" s="26" t="s">
        <v>6958</v>
      </c>
      <c r="H1788" s="26" t="s">
        <v>6959</v>
      </c>
      <c r="I1788" s="26" t="s">
        <v>574</v>
      </c>
      <c r="J1788" s="26" t="s">
        <v>6960</v>
      </c>
      <c r="K1788" s="26" t="s">
        <v>6961</v>
      </c>
      <c r="L1788" s="26"/>
      <c r="M1788" s="26">
        <v>1</v>
      </c>
      <c r="N1788" s="26">
        <v>1</v>
      </c>
      <c r="O1788" s="26">
        <v>2</v>
      </c>
      <c r="P1788" s="26">
        <v>0</v>
      </c>
      <c r="Q1788" s="26">
        <f t="shared" si="89"/>
        <v>1</v>
      </c>
      <c r="R1788" s="1209">
        <v>2471</v>
      </c>
      <c r="S1788" s="1209">
        <f t="shared" si="90"/>
        <v>4942</v>
      </c>
      <c r="T1788" s="26" t="s">
        <v>5448</v>
      </c>
      <c r="U1788" s="1871" t="s">
        <v>1886</v>
      </c>
      <c r="V1788" s="26" t="s">
        <v>6663</v>
      </c>
      <c r="W1788" s="2008" t="s">
        <v>5472</v>
      </c>
      <c r="X1788" s="18"/>
      <c r="Y1788" s="4"/>
      <c r="Z1788" s="4"/>
    </row>
    <row r="1789" spans="1:26" ht="14.1" hidden="1">
      <c r="A1789" s="20">
        <v>1796</v>
      </c>
      <c r="B1789" s="1063">
        <v>41566</v>
      </c>
      <c r="C1789" s="934" t="s">
        <v>6962</v>
      </c>
      <c r="D1789" s="11" t="s">
        <v>6</v>
      </c>
      <c r="E1789" s="26" t="s">
        <v>6634</v>
      </c>
      <c r="F1789" s="26" t="s">
        <v>1587</v>
      </c>
      <c r="G1789" s="26" t="s">
        <v>6963</v>
      </c>
      <c r="H1789" s="26" t="s">
        <v>6964</v>
      </c>
      <c r="I1789" s="26" t="s">
        <v>6680</v>
      </c>
      <c r="J1789" s="26" t="s">
        <v>6965</v>
      </c>
      <c r="K1789" s="26" t="s">
        <v>6966</v>
      </c>
      <c r="L1789" s="26"/>
      <c r="M1789" s="26">
        <v>1</v>
      </c>
      <c r="N1789" s="26">
        <v>1</v>
      </c>
      <c r="O1789" s="26">
        <v>2</v>
      </c>
      <c r="P1789" s="26">
        <v>0</v>
      </c>
      <c r="Q1789" s="26">
        <f t="shared" si="89"/>
        <v>1</v>
      </c>
      <c r="R1789" s="1209">
        <v>5600</v>
      </c>
      <c r="S1789" s="1209">
        <f t="shared" si="90"/>
        <v>11200</v>
      </c>
      <c r="T1789" s="26" t="s">
        <v>5448</v>
      </c>
      <c r="U1789" s="1871" t="s">
        <v>1886</v>
      </c>
      <c r="V1789" s="26" t="s">
        <v>6663</v>
      </c>
      <c r="W1789" s="2065" t="s">
        <v>6967</v>
      </c>
      <c r="X1789" s="18"/>
      <c r="Y1789" s="4"/>
      <c r="Z1789" s="4"/>
    </row>
    <row r="1790" spans="1:26" ht="15.95" hidden="1">
      <c r="A1790" s="20">
        <v>1797</v>
      </c>
      <c r="B1790" s="1063">
        <v>41567</v>
      </c>
      <c r="C1790" s="26" t="s">
        <v>6968</v>
      </c>
      <c r="D1790" s="11" t="s">
        <v>6</v>
      </c>
      <c r="E1790" s="26" t="s">
        <v>6634</v>
      </c>
      <c r="F1790" s="26" t="s">
        <v>5400</v>
      </c>
      <c r="G1790" s="26" t="s">
        <v>6969</v>
      </c>
      <c r="H1790" s="26" t="s">
        <v>6970</v>
      </c>
      <c r="I1790" s="26" t="s">
        <v>5690</v>
      </c>
      <c r="J1790" s="227">
        <v>48924337</v>
      </c>
      <c r="K1790" s="228" t="s">
        <v>6971</v>
      </c>
      <c r="L1790" s="26"/>
      <c r="M1790" s="26">
        <v>1</v>
      </c>
      <c r="N1790" s="26">
        <v>1</v>
      </c>
      <c r="O1790" s="26">
        <v>1</v>
      </c>
      <c r="P1790" s="26">
        <v>0</v>
      </c>
      <c r="Q1790" s="26">
        <v>0</v>
      </c>
      <c r="R1790" s="1209">
        <v>1509</v>
      </c>
      <c r="S1790" s="1209">
        <v>1509</v>
      </c>
      <c r="T1790" s="26" t="s">
        <v>3064</v>
      </c>
      <c r="U1790" s="1871" t="s">
        <v>5864</v>
      </c>
      <c r="V1790" s="26" t="s">
        <v>6972</v>
      </c>
      <c r="W1790" s="2065" t="s">
        <v>6973</v>
      </c>
      <c r="X1790" s="26"/>
      <c r="Y1790" s="71"/>
      <c r="Z1790" s="71"/>
    </row>
    <row r="1791" spans="1:26" ht="16.5" hidden="1" customHeight="1">
      <c r="A1791" s="20">
        <v>1798</v>
      </c>
      <c r="B1791" s="1063">
        <v>41568</v>
      </c>
      <c r="C1791" s="937" t="s">
        <v>6974</v>
      </c>
      <c r="D1791" s="11"/>
      <c r="E1791" s="229" t="s">
        <v>6634</v>
      </c>
      <c r="F1791" s="937" t="s">
        <v>2652</v>
      </c>
      <c r="G1791" s="26" t="s">
        <v>6975</v>
      </c>
      <c r="H1791" s="656" t="s">
        <v>6976</v>
      </c>
      <c r="I1791" s="229" t="s">
        <v>4634</v>
      </c>
      <c r="J1791" s="229" t="s">
        <v>6977</v>
      </c>
      <c r="K1791" s="229" t="s">
        <v>6978</v>
      </c>
      <c r="L1791" s="229"/>
      <c r="M1791" s="26">
        <v>1</v>
      </c>
      <c r="N1791" s="26">
        <v>1</v>
      </c>
      <c r="O1791" s="26">
        <v>1</v>
      </c>
      <c r="P1791" s="26">
        <v>0</v>
      </c>
      <c r="Q1791" s="26">
        <v>0</v>
      </c>
      <c r="R1791" s="1209">
        <v>12482</v>
      </c>
      <c r="S1791" s="1209">
        <f t="shared" ref="S1791:S1807" si="91">R1791*O1791</f>
        <v>12482</v>
      </c>
      <c r="T1791" s="229" t="s">
        <v>6634</v>
      </c>
      <c r="U1791" s="1899" t="s">
        <v>6979</v>
      </c>
      <c r="V1791" s="229" t="s">
        <v>6980</v>
      </c>
      <c r="W1791" s="2008" t="s">
        <v>6981</v>
      </c>
      <c r="X1791" s="229"/>
      <c r="Y1791" s="230"/>
      <c r="Z1791" s="230"/>
    </row>
    <row r="1792" spans="1:26" ht="16.5" hidden="1" customHeight="1">
      <c r="A1792" s="20">
        <v>1799</v>
      </c>
      <c r="B1792" s="1063">
        <v>41569</v>
      </c>
      <c r="C1792" s="937" t="s">
        <v>6982</v>
      </c>
      <c r="D1792" s="11"/>
      <c r="E1792" s="229" t="s">
        <v>6634</v>
      </c>
      <c r="F1792" s="937" t="s">
        <v>2652</v>
      </c>
      <c r="G1792" s="26" t="s">
        <v>6983</v>
      </c>
      <c r="H1792" s="656" t="s">
        <v>6984</v>
      </c>
      <c r="I1792" s="229" t="s">
        <v>4634</v>
      </c>
      <c r="J1792" s="229" t="s">
        <v>6985</v>
      </c>
      <c r="K1792" s="229" t="s">
        <v>6986</v>
      </c>
      <c r="L1792" s="229"/>
      <c r="M1792" s="26">
        <v>1</v>
      </c>
      <c r="N1792" s="26">
        <v>1</v>
      </c>
      <c r="O1792" s="26">
        <v>1</v>
      </c>
      <c r="P1792" s="26">
        <v>0</v>
      </c>
      <c r="Q1792" s="26">
        <v>0</v>
      </c>
      <c r="R1792" s="1209">
        <v>1697</v>
      </c>
      <c r="S1792" s="1209">
        <f t="shared" si="91"/>
        <v>1697</v>
      </c>
      <c r="T1792" s="229" t="s">
        <v>6634</v>
      </c>
      <c r="U1792" s="1899" t="s">
        <v>6979</v>
      </c>
      <c r="V1792" s="229" t="s">
        <v>6980</v>
      </c>
      <c r="W1792" s="2008" t="s">
        <v>6987</v>
      </c>
      <c r="X1792" s="229"/>
      <c r="Y1792" s="230"/>
      <c r="Z1792" s="230"/>
    </row>
    <row r="1793" spans="1:26" ht="16.5" hidden="1" customHeight="1">
      <c r="A1793" s="20">
        <v>1800</v>
      </c>
      <c r="B1793" s="1063">
        <v>41570</v>
      </c>
      <c r="C1793" s="937" t="s">
        <v>5500</v>
      </c>
      <c r="D1793" s="11"/>
      <c r="E1793" s="229" t="s">
        <v>6634</v>
      </c>
      <c r="F1793" s="937" t="s">
        <v>2652</v>
      </c>
      <c r="G1793" s="26" t="s">
        <v>6988</v>
      </c>
      <c r="H1793" s="656" t="s">
        <v>6989</v>
      </c>
      <c r="I1793" s="229" t="s">
        <v>4634</v>
      </c>
      <c r="J1793" s="229" t="s">
        <v>6990</v>
      </c>
      <c r="K1793" s="229">
        <v>1403933</v>
      </c>
      <c r="L1793" s="229"/>
      <c r="M1793" s="26">
        <v>1</v>
      </c>
      <c r="N1793" s="26">
        <v>1</v>
      </c>
      <c r="O1793" s="26">
        <v>1</v>
      </c>
      <c r="P1793" s="26">
        <v>0</v>
      </c>
      <c r="Q1793" s="26">
        <v>0</v>
      </c>
      <c r="R1793" s="1209">
        <v>2652</v>
      </c>
      <c r="S1793" s="1209">
        <f t="shared" si="91"/>
        <v>2652</v>
      </c>
      <c r="T1793" s="229" t="s">
        <v>6634</v>
      </c>
      <c r="U1793" s="1899" t="s">
        <v>6979</v>
      </c>
      <c r="V1793" s="229" t="s">
        <v>6980</v>
      </c>
      <c r="W1793" s="2008" t="s">
        <v>6991</v>
      </c>
      <c r="X1793" s="229"/>
      <c r="Y1793" s="230"/>
      <c r="Z1793" s="230"/>
    </row>
    <row r="1794" spans="1:26" ht="16.5" hidden="1" customHeight="1">
      <c r="A1794" s="200">
        <v>1801</v>
      </c>
      <c r="B1794" s="1063">
        <v>41571</v>
      </c>
      <c r="C1794" s="938" t="s">
        <v>6992</v>
      </c>
      <c r="D1794" s="231" t="s">
        <v>6</v>
      </c>
      <c r="E1794" s="657" t="s">
        <v>6634</v>
      </c>
      <c r="F1794" s="938" t="s">
        <v>2652</v>
      </c>
      <c r="G1794" s="139" t="s">
        <v>6992</v>
      </c>
      <c r="H1794" s="657" t="s">
        <v>2668</v>
      </c>
      <c r="I1794" s="657" t="s">
        <v>4634</v>
      </c>
      <c r="J1794" s="657" t="s">
        <v>5459</v>
      </c>
      <c r="K1794" s="657">
        <v>1101000000000</v>
      </c>
      <c r="L1794" s="657"/>
      <c r="M1794" s="139">
        <v>7</v>
      </c>
      <c r="N1794" s="139">
        <v>7</v>
      </c>
      <c r="O1794" s="139">
        <v>7</v>
      </c>
      <c r="P1794" s="139">
        <v>0</v>
      </c>
      <c r="Q1794" s="139">
        <v>0</v>
      </c>
      <c r="R1794" s="1234">
        <v>1067</v>
      </c>
      <c r="S1794" s="1234">
        <f t="shared" si="91"/>
        <v>7469</v>
      </c>
      <c r="T1794" s="657" t="s">
        <v>6634</v>
      </c>
      <c r="U1794" s="1900" t="s">
        <v>6993</v>
      </c>
      <c r="V1794" s="657" t="s">
        <v>6980</v>
      </c>
      <c r="W1794" s="2033" t="s">
        <v>5461</v>
      </c>
      <c r="X1794" s="229"/>
      <c r="Y1794" s="230"/>
      <c r="Z1794" s="230"/>
    </row>
    <row r="1795" spans="1:26" ht="16.5" hidden="1" customHeight="1">
      <c r="A1795" s="20">
        <v>1802</v>
      </c>
      <c r="B1795" s="1063">
        <v>41572</v>
      </c>
      <c r="C1795" s="937" t="s">
        <v>6994</v>
      </c>
      <c r="D1795" s="11" t="s">
        <v>6</v>
      </c>
      <c r="E1795" s="229" t="s">
        <v>6634</v>
      </c>
      <c r="F1795" s="937" t="s">
        <v>2652</v>
      </c>
      <c r="G1795" s="26" t="s">
        <v>6995</v>
      </c>
      <c r="H1795" s="656" t="s">
        <v>1921</v>
      </c>
      <c r="I1795" s="229" t="s">
        <v>53</v>
      </c>
      <c r="J1795" s="229" t="s">
        <v>6996</v>
      </c>
      <c r="K1795" s="229" t="s">
        <v>6997</v>
      </c>
      <c r="L1795" s="229"/>
      <c r="M1795" s="26">
        <v>2</v>
      </c>
      <c r="N1795" s="26">
        <v>2</v>
      </c>
      <c r="O1795" s="26">
        <v>2</v>
      </c>
      <c r="P1795" s="26">
        <v>0</v>
      </c>
      <c r="Q1795" s="26">
        <v>0</v>
      </c>
      <c r="R1795" s="1209">
        <v>533</v>
      </c>
      <c r="S1795" s="1209">
        <f t="shared" si="91"/>
        <v>1066</v>
      </c>
      <c r="T1795" s="229" t="s">
        <v>6634</v>
      </c>
      <c r="U1795" s="1899" t="s">
        <v>6979</v>
      </c>
      <c r="V1795" s="229" t="s">
        <v>6980</v>
      </c>
      <c r="W1795" s="2008" t="s">
        <v>6998</v>
      </c>
      <c r="X1795" s="229"/>
      <c r="Y1795" s="230"/>
      <c r="Z1795" s="230"/>
    </row>
    <row r="1796" spans="1:26" ht="16.5" hidden="1" customHeight="1">
      <c r="A1796" s="20">
        <v>1803</v>
      </c>
      <c r="B1796" s="1063">
        <v>41573</v>
      </c>
      <c r="C1796" s="937" t="s">
        <v>1282</v>
      </c>
      <c r="D1796" s="11" t="s">
        <v>6</v>
      </c>
      <c r="E1796" s="229" t="s">
        <v>6634</v>
      </c>
      <c r="F1796" s="937" t="s">
        <v>2652</v>
      </c>
      <c r="G1796" s="26" t="s">
        <v>6999</v>
      </c>
      <c r="H1796" s="229" t="s">
        <v>4110</v>
      </c>
      <c r="I1796" s="229" t="s">
        <v>53</v>
      </c>
      <c r="J1796" s="229" t="s">
        <v>7000</v>
      </c>
      <c r="K1796" s="229" t="s">
        <v>7001</v>
      </c>
      <c r="L1796" s="229" t="s">
        <v>7002</v>
      </c>
      <c r="M1796" s="26">
        <v>4</v>
      </c>
      <c r="N1796" s="26">
        <v>4</v>
      </c>
      <c r="O1796" s="26">
        <v>4</v>
      </c>
      <c r="P1796" s="26">
        <v>0</v>
      </c>
      <c r="Q1796" s="26">
        <v>0</v>
      </c>
      <c r="R1796" s="1209">
        <v>486</v>
      </c>
      <c r="S1796" s="1209">
        <f t="shared" si="91"/>
        <v>1944</v>
      </c>
      <c r="T1796" s="229" t="s">
        <v>6634</v>
      </c>
      <c r="U1796" s="1899" t="s">
        <v>6979</v>
      </c>
      <c r="V1796" s="229" t="s">
        <v>6980</v>
      </c>
      <c r="W1796" s="2008" t="s">
        <v>7003</v>
      </c>
      <c r="X1796" s="229"/>
      <c r="Y1796" s="230"/>
      <c r="Z1796" s="230"/>
    </row>
    <row r="1797" spans="1:26" ht="16.5" hidden="1" customHeight="1">
      <c r="A1797" s="20">
        <v>1804</v>
      </c>
      <c r="B1797" s="1063">
        <v>41574</v>
      </c>
      <c r="C1797" s="937" t="s">
        <v>5494</v>
      </c>
      <c r="D1797" s="11" t="s">
        <v>6</v>
      </c>
      <c r="E1797" s="229" t="s">
        <v>6634</v>
      </c>
      <c r="F1797" s="937" t="s">
        <v>2652</v>
      </c>
      <c r="G1797" s="26" t="s">
        <v>7004</v>
      </c>
      <c r="H1797" s="229" t="s">
        <v>5496</v>
      </c>
      <c r="I1797" s="229" t="s">
        <v>53</v>
      </c>
      <c r="J1797" s="229" t="s">
        <v>5497</v>
      </c>
      <c r="K1797" s="229" t="s">
        <v>5498</v>
      </c>
      <c r="L1797" s="229"/>
      <c r="M1797" s="26">
        <v>1</v>
      </c>
      <c r="N1797" s="26">
        <v>1</v>
      </c>
      <c r="O1797" s="26">
        <v>1</v>
      </c>
      <c r="P1797" s="26">
        <v>0</v>
      </c>
      <c r="Q1797" s="26">
        <v>0</v>
      </c>
      <c r="R1797" s="1209">
        <v>5535</v>
      </c>
      <c r="S1797" s="1209">
        <f t="shared" si="91"/>
        <v>5535</v>
      </c>
      <c r="T1797" s="229" t="s">
        <v>6634</v>
      </c>
      <c r="U1797" s="1899" t="s">
        <v>6979</v>
      </c>
      <c r="V1797" s="229" t="s">
        <v>6980</v>
      </c>
      <c r="W1797" s="2008" t="s">
        <v>5499</v>
      </c>
      <c r="X1797" s="229"/>
      <c r="Y1797" s="230"/>
      <c r="Z1797" s="230"/>
    </row>
    <row r="1798" spans="1:26" ht="16.5" hidden="1" customHeight="1">
      <c r="A1798" s="20">
        <v>1805</v>
      </c>
      <c r="B1798" s="1063">
        <v>41575</v>
      </c>
      <c r="C1798" s="937" t="s">
        <v>6028</v>
      </c>
      <c r="D1798" s="11" t="s">
        <v>6</v>
      </c>
      <c r="E1798" s="229" t="s">
        <v>6634</v>
      </c>
      <c r="F1798" s="937" t="s">
        <v>2652</v>
      </c>
      <c r="G1798" s="26" t="s">
        <v>6029</v>
      </c>
      <c r="H1798" s="229" t="s">
        <v>4700</v>
      </c>
      <c r="I1798" s="229" t="s">
        <v>53</v>
      </c>
      <c r="J1798" s="229" t="s">
        <v>7005</v>
      </c>
      <c r="K1798" s="229" t="s">
        <v>7006</v>
      </c>
      <c r="L1798" s="229"/>
      <c r="M1798" s="26">
        <v>1</v>
      </c>
      <c r="N1798" s="26">
        <v>1</v>
      </c>
      <c r="O1798" s="26">
        <v>1</v>
      </c>
      <c r="P1798" s="26">
        <v>0</v>
      </c>
      <c r="Q1798" s="26">
        <v>0</v>
      </c>
      <c r="R1798" s="1209">
        <v>1070</v>
      </c>
      <c r="S1798" s="1209">
        <f t="shared" si="91"/>
        <v>1070</v>
      </c>
      <c r="T1798" s="229" t="s">
        <v>6634</v>
      </c>
      <c r="U1798" s="1899" t="s">
        <v>6979</v>
      </c>
      <c r="V1798" s="229" t="s">
        <v>6980</v>
      </c>
      <c r="W1798" s="2008" t="s">
        <v>7007</v>
      </c>
      <c r="X1798" s="229"/>
      <c r="Y1798" s="230"/>
      <c r="Z1798" s="230"/>
    </row>
    <row r="1799" spans="1:26" ht="16.5" hidden="1" customHeight="1">
      <c r="A1799" s="20">
        <v>1806</v>
      </c>
      <c r="B1799" s="1063">
        <v>41576</v>
      </c>
      <c r="C1799" s="937" t="s">
        <v>6994</v>
      </c>
      <c r="D1799" s="11" t="s">
        <v>6</v>
      </c>
      <c r="E1799" s="229" t="s">
        <v>6634</v>
      </c>
      <c r="F1799" s="937" t="s">
        <v>2652</v>
      </c>
      <c r="G1799" s="26" t="s">
        <v>7008</v>
      </c>
      <c r="H1799" s="229" t="s">
        <v>1921</v>
      </c>
      <c r="I1799" s="229" t="s">
        <v>53</v>
      </c>
      <c r="J1799" s="229" t="s">
        <v>7009</v>
      </c>
      <c r="K1799" s="229" t="s">
        <v>7010</v>
      </c>
      <c r="L1799" s="229"/>
      <c r="M1799" s="26">
        <v>2</v>
      </c>
      <c r="N1799" s="26">
        <v>2</v>
      </c>
      <c r="O1799" s="26">
        <v>2</v>
      </c>
      <c r="P1799" s="26">
        <v>0</v>
      </c>
      <c r="Q1799" s="26">
        <v>0</v>
      </c>
      <c r="R1799" s="1209">
        <v>533</v>
      </c>
      <c r="S1799" s="1209">
        <f t="shared" si="91"/>
        <v>1066</v>
      </c>
      <c r="T1799" s="229" t="s">
        <v>6634</v>
      </c>
      <c r="U1799" s="1899" t="s">
        <v>6979</v>
      </c>
      <c r="V1799" s="229" t="s">
        <v>6980</v>
      </c>
      <c r="W1799" s="2008" t="s">
        <v>7011</v>
      </c>
      <c r="X1799" s="229"/>
      <c r="Y1799" s="230"/>
      <c r="Z1799" s="230"/>
    </row>
    <row r="1800" spans="1:26" ht="16.5" hidden="1" customHeight="1">
      <c r="A1800" s="20">
        <v>1807</v>
      </c>
      <c r="B1800" s="1063">
        <v>41577</v>
      </c>
      <c r="C1800" s="937" t="s">
        <v>6994</v>
      </c>
      <c r="D1800" s="11" t="s">
        <v>6</v>
      </c>
      <c r="E1800" s="229" t="s">
        <v>6634</v>
      </c>
      <c r="F1800" s="937" t="s">
        <v>2652</v>
      </c>
      <c r="G1800" s="26" t="s">
        <v>7012</v>
      </c>
      <c r="H1800" s="229" t="s">
        <v>1921</v>
      </c>
      <c r="I1800" s="229" t="s">
        <v>53</v>
      </c>
      <c r="J1800" s="229" t="s">
        <v>7013</v>
      </c>
      <c r="K1800" s="229" t="s">
        <v>7014</v>
      </c>
      <c r="L1800" s="229"/>
      <c r="M1800" s="26">
        <v>2</v>
      </c>
      <c r="N1800" s="26">
        <v>2</v>
      </c>
      <c r="O1800" s="26">
        <v>2</v>
      </c>
      <c r="P1800" s="26">
        <v>0</v>
      </c>
      <c r="Q1800" s="26">
        <v>0</v>
      </c>
      <c r="R1800" s="1209">
        <v>533</v>
      </c>
      <c r="S1800" s="1209">
        <f t="shared" si="91"/>
        <v>1066</v>
      </c>
      <c r="T1800" s="229" t="s">
        <v>6634</v>
      </c>
      <c r="U1800" s="1899" t="s">
        <v>6979</v>
      </c>
      <c r="V1800" s="229" t="s">
        <v>6980</v>
      </c>
      <c r="W1800" s="2008" t="s">
        <v>7015</v>
      </c>
      <c r="X1800" s="229"/>
      <c r="Y1800" s="230"/>
      <c r="Z1800" s="230"/>
    </row>
    <row r="1801" spans="1:26" ht="16.5" hidden="1" customHeight="1">
      <c r="A1801" s="200">
        <v>1808</v>
      </c>
      <c r="B1801" s="1063">
        <v>41578</v>
      </c>
      <c r="C1801" s="938" t="s">
        <v>7016</v>
      </c>
      <c r="D1801" s="232"/>
      <c r="E1801" s="657" t="s">
        <v>6634</v>
      </c>
      <c r="F1801" s="938" t="s">
        <v>2652</v>
      </c>
      <c r="G1801" s="139" t="s">
        <v>7016</v>
      </c>
      <c r="H1801" s="657" t="s">
        <v>2668</v>
      </c>
      <c r="I1801" s="657" t="s">
        <v>53</v>
      </c>
      <c r="J1801" s="657" t="s">
        <v>5180</v>
      </c>
      <c r="K1801" s="657" t="s">
        <v>6966</v>
      </c>
      <c r="L1801" s="657"/>
      <c r="M1801" s="139">
        <v>7</v>
      </c>
      <c r="N1801" s="139">
        <v>7</v>
      </c>
      <c r="O1801" s="139">
        <v>7</v>
      </c>
      <c r="P1801" s="139">
        <v>0</v>
      </c>
      <c r="Q1801" s="139">
        <v>0</v>
      </c>
      <c r="R1801" s="1234">
        <v>4832</v>
      </c>
      <c r="S1801" s="1234">
        <f t="shared" si="91"/>
        <v>33824</v>
      </c>
      <c r="T1801" s="657" t="s">
        <v>6634</v>
      </c>
      <c r="U1801" s="1900" t="s">
        <v>6993</v>
      </c>
      <c r="V1801" s="657" t="s">
        <v>6980</v>
      </c>
      <c r="W1801" s="2033" t="s">
        <v>7017</v>
      </c>
      <c r="X1801" s="229"/>
      <c r="Y1801" s="230"/>
      <c r="Z1801" s="230"/>
    </row>
    <row r="1802" spans="1:26" ht="16.5" hidden="1" customHeight="1">
      <c r="A1802" s="200">
        <v>1809</v>
      </c>
      <c r="B1802" s="1063">
        <v>41579</v>
      </c>
      <c r="C1802" s="938" t="s">
        <v>6940</v>
      </c>
      <c r="D1802" s="233"/>
      <c r="E1802" s="657" t="s">
        <v>6634</v>
      </c>
      <c r="F1802" s="938" t="s">
        <v>2652</v>
      </c>
      <c r="G1802" s="139" t="s">
        <v>6940</v>
      </c>
      <c r="H1802" s="657" t="s">
        <v>6942</v>
      </c>
      <c r="I1802" s="657" t="s">
        <v>53</v>
      </c>
      <c r="J1802" s="657" t="s">
        <v>6943</v>
      </c>
      <c r="K1802" s="657" t="s">
        <v>6944</v>
      </c>
      <c r="L1802" s="657"/>
      <c r="M1802" s="139">
        <v>10</v>
      </c>
      <c r="N1802" s="139">
        <v>10</v>
      </c>
      <c r="O1802" s="139">
        <v>10</v>
      </c>
      <c r="P1802" s="139">
        <v>0</v>
      </c>
      <c r="Q1802" s="139">
        <v>0</v>
      </c>
      <c r="R1802" s="1234">
        <v>3356</v>
      </c>
      <c r="S1802" s="1234">
        <f t="shared" si="91"/>
        <v>33560</v>
      </c>
      <c r="T1802" s="657" t="s">
        <v>6634</v>
      </c>
      <c r="U1802" s="1900" t="s">
        <v>6993</v>
      </c>
      <c r="V1802" s="657" t="s">
        <v>6980</v>
      </c>
      <c r="W1802" s="2033" t="s">
        <v>6945</v>
      </c>
      <c r="X1802" s="229"/>
      <c r="Y1802" s="230"/>
      <c r="Z1802" s="230"/>
    </row>
    <row r="1803" spans="1:26" ht="16.5" hidden="1" customHeight="1">
      <c r="A1803" s="200">
        <v>1810</v>
      </c>
      <c r="B1803" s="1063">
        <v>41580</v>
      </c>
      <c r="C1803" s="938" t="s">
        <v>5500</v>
      </c>
      <c r="D1803" s="233"/>
      <c r="E1803" s="657" t="s">
        <v>6634</v>
      </c>
      <c r="F1803" s="938" t="s">
        <v>2652</v>
      </c>
      <c r="G1803" s="139" t="s">
        <v>5500</v>
      </c>
      <c r="H1803" s="657" t="s">
        <v>1353</v>
      </c>
      <c r="I1803" s="657" t="s">
        <v>53</v>
      </c>
      <c r="J1803" s="657" t="s">
        <v>5502</v>
      </c>
      <c r="K1803" s="657" t="s">
        <v>5503</v>
      </c>
      <c r="L1803" s="657"/>
      <c r="M1803" s="139">
        <v>10</v>
      </c>
      <c r="N1803" s="139">
        <v>10</v>
      </c>
      <c r="O1803" s="139">
        <v>10</v>
      </c>
      <c r="P1803" s="139">
        <v>0</v>
      </c>
      <c r="Q1803" s="139">
        <v>0</v>
      </c>
      <c r="R1803" s="1234">
        <v>251</v>
      </c>
      <c r="S1803" s="1234">
        <f t="shared" si="91"/>
        <v>2510</v>
      </c>
      <c r="T1803" s="657" t="s">
        <v>6634</v>
      </c>
      <c r="U1803" s="1900" t="s">
        <v>6993</v>
      </c>
      <c r="V1803" s="657" t="s">
        <v>6980</v>
      </c>
      <c r="W1803" s="2033" t="s">
        <v>5504</v>
      </c>
      <c r="X1803" s="229"/>
      <c r="Y1803" s="230"/>
      <c r="Z1803" s="230"/>
    </row>
    <row r="1804" spans="1:26" ht="16.5" hidden="1" customHeight="1">
      <c r="A1804" s="20">
        <v>1811</v>
      </c>
      <c r="B1804" s="1063">
        <v>41581</v>
      </c>
      <c r="C1804" s="937" t="s">
        <v>7018</v>
      </c>
      <c r="D1804" s="11"/>
      <c r="E1804" s="229" t="s">
        <v>6634</v>
      </c>
      <c r="F1804" s="937" t="s">
        <v>2652</v>
      </c>
      <c r="G1804" s="26" t="s">
        <v>7019</v>
      </c>
      <c r="H1804" s="229" t="s">
        <v>7020</v>
      </c>
      <c r="I1804" s="229" t="s">
        <v>1022</v>
      </c>
      <c r="J1804" s="229" t="s">
        <v>7021</v>
      </c>
      <c r="K1804" s="229" t="s">
        <v>7022</v>
      </c>
      <c r="L1804" s="229"/>
      <c r="M1804" s="26">
        <v>1</v>
      </c>
      <c r="N1804" s="26">
        <v>1</v>
      </c>
      <c r="O1804" s="26">
        <v>1</v>
      </c>
      <c r="P1804" s="26">
        <v>0</v>
      </c>
      <c r="Q1804" s="26">
        <v>0</v>
      </c>
      <c r="R1804" s="1209">
        <v>1620</v>
      </c>
      <c r="S1804" s="1209">
        <f t="shared" si="91"/>
        <v>1620</v>
      </c>
      <c r="T1804" s="229" t="s">
        <v>6634</v>
      </c>
      <c r="U1804" s="1899" t="s">
        <v>6979</v>
      </c>
      <c r="V1804" s="229" t="s">
        <v>6980</v>
      </c>
      <c r="W1804" s="2008" t="s">
        <v>7023</v>
      </c>
      <c r="X1804" s="229"/>
      <c r="Y1804" s="230"/>
      <c r="Z1804" s="230"/>
    </row>
    <row r="1805" spans="1:26" ht="16.5" hidden="1" customHeight="1">
      <c r="A1805" s="20">
        <v>1812</v>
      </c>
      <c r="B1805" s="1063">
        <v>41582</v>
      </c>
      <c r="C1805" s="937" t="s">
        <v>7024</v>
      </c>
      <c r="D1805" s="11"/>
      <c r="E1805" s="229" t="s">
        <v>6634</v>
      </c>
      <c r="F1805" s="937" t="s">
        <v>2652</v>
      </c>
      <c r="G1805" s="26" t="s">
        <v>7024</v>
      </c>
      <c r="H1805" s="229" t="s">
        <v>7025</v>
      </c>
      <c r="I1805" s="229" t="s">
        <v>1022</v>
      </c>
      <c r="J1805" s="229" t="s">
        <v>7026</v>
      </c>
      <c r="K1805" s="229" t="s">
        <v>1</v>
      </c>
      <c r="L1805" s="229"/>
      <c r="M1805" s="26">
        <v>1</v>
      </c>
      <c r="N1805" s="26">
        <v>1</v>
      </c>
      <c r="O1805" s="26">
        <v>1</v>
      </c>
      <c r="P1805" s="26">
        <v>0</v>
      </c>
      <c r="Q1805" s="26">
        <v>0</v>
      </c>
      <c r="R1805" s="1209">
        <v>2000</v>
      </c>
      <c r="S1805" s="1209">
        <f t="shared" si="91"/>
        <v>2000</v>
      </c>
      <c r="T1805" s="229" t="s">
        <v>6634</v>
      </c>
      <c r="U1805" s="1899" t="s">
        <v>6979</v>
      </c>
      <c r="V1805" s="229" t="s">
        <v>6980</v>
      </c>
      <c r="W1805" s="2008" t="s">
        <v>7027</v>
      </c>
      <c r="X1805" s="229"/>
      <c r="Y1805" s="230"/>
      <c r="Z1805" s="230"/>
    </row>
    <row r="1806" spans="1:26" ht="16.5" hidden="1" customHeight="1">
      <c r="A1806" s="20">
        <v>1813</v>
      </c>
      <c r="B1806" s="1063">
        <v>41583</v>
      </c>
      <c r="C1806" s="937" t="s">
        <v>7028</v>
      </c>
      <c r="D1806" s="11"/>
      <c r="E1806" s="229" t="s">
        <v>6634</v>
      </c>
      <c r="F1806" s="937" t="s">
        <v>2652</v>
      </c>
      <c r="G1806" s="26" t="s">
        <v>7028</v>
      </c>
      <c r="H1806" s="229" t="s">
        <v>7029</v>
      </c>
      <c r="I1806" s="229" t="s">
        <v>1022</v>
      </c>
      <c r="J1806" s="229" t="s">
        <v>7030</v>
      </c>
      <c r="K1806" s="229" t="s">
        <v>7031</v>
      </c>
      <c r="L1806" s="229"/>
      <c r="M1806" s="26">
        <v>1</v>
      </c>
      <c r="N1806" s="26">
        <v>1</v>
      </c>
      <c r="O1806" s="26">
        <v>1</v>
      </c>
      <c r="P1806" s="26">
        <v>0</v>
      </c>
      <c r="Q1806" s="26">
        <v>0</v>
      </c>
      <c r="R1806" s="1209">
        <v>558</v>
      </c>
      <c r="S1806" s="1209">
        <f t="shared" si="91"/>
        <v>558</v>
      </c>
      <c r="T1806" s="229" t="s">
        <v>6634</v>
      </c>
      <c r="U1806" s="1899" t="s">
        <v>6979</v>
      </c>
      <c r="V1806" s="229" t="s">
        <v>6980</v>
      </c>
      <c r="W1806" s="2008" t="s">
        <v>7032</v>
      </c>
      <c r="X1806" s="229"/>
      <c r="Y1806" s="230"/>
      <c r="Z1806" s="230"/>
    </row>
    <row r="1807" spans="1:26" ht="16.5" hidden="1" customHeight="1">
      <c r="A1807" s="20">
        <v>1814</v>
      </c>
      <c r="B1807" s="1063">
        <v>41584</v>
      </c>
      <c r="C1807" s="937" t="s">
        <v>7033</v>
      </c>
      <c r="D1807" s="11"/>
      <c r="E1807" s="229" t="s">
        <v>6634</v>
      </c>
      <c r="F1807" s="937" t="s">
        <v>2652</v>
      </c>
      <c r="G1807" s="26" t="s">
        <v>7033</v>
      </c>
      <c r="H1807" s="229" t="s">
        <v>4110</v>
      </c>
      <c r="I1807" s="229" t="s">
        <v>1022</v>
      </c>
      <c r="J1807" s="229" t="s">
        <v>7034</v>
      </c>
      <c r="K1807" s="229" t="s">
        <v>1</v>
      </c>
      <c r="L1807" s="229"/>
      <c r="M1807" s="26">
        <v>1</v>
      </c>
      <c r="N1807" s="26">
        <v>1</v>
      </c>
      <c r="O1807" s="26">
        <v>1</v>
      </c>
      <c r="P1807" s="26">
        <v>0</v>
      </c>
      <c r="Q1807" s="26">
        <v>0</v>
      </c>
      <c r="R1807" s="1209">
        <v>915</v>
      </c>
      <c r="S1807" s="1209">
        <f t="shared" si="91"/>
        <v>915</v>
      </c>
      <c r="T1807" s="229" t="s">
        <v>6634</v>
      </c>
      <c r="U1807" s="1899" t="s">
        <v>6979</v>
      </c>
      <c r="V1807" s="229" t="s">
        <v>6980</v>
      </c>
      <c r="W1807" s="2008" t="s">
        <v>7035</v>
      </c>
      <c r="X1807" s="229"/>
      <c r="Y1807" s="230"/>
      <c r="Z1807" s="230"/>
    </row>
    <row r="1808" spans="1:26" ht="14.1" hidden="1">
      <c r="A1808" s="20">
        <v>1815</v>
      </c>
      <c r="B1808" s="1063">
        <v>41585</v>
      </c>
      <c r="C1808" s="26" t="s">
        <v>7036</v>
      </c>
      <c r="D1808" s="11" t="s">
        <v>6</v>
      </c>
      <c r="E1808" s="229" t="s">
        <v>6634</v>
      </c>
      <c r="F1808" s="26" t="s">
        <v>5400</v>
      </c>
      <c r="G1808" s="26" t="s">
        <v>7037</v>
      </c>
      <c r="H1808" s="26" t="s">
        <v>1111</v>
      </c>
      <c r="I1808" s="26" t="s">
        <v>574</v>
      </c>
      <c r="J1808" s="216" t="s">
        <v>7038</v>
      </c>
      <c r="K1808" s="216" t="s">
        <v>7039</v>
      </c>
      <c r="L1808" s="26"/>
      <c r="M1808" s="26">
        <v>6</v>
      </c>
      <c r="N1808" s="26">
        <v>1</v>
      </c>
      <c r="O1808" s="26">
        <v>10</v>
      </c>
      <c r="P1808" s="26">
        <v>0</v>
      </c>
      <c r="Q1808" s="26">
        <v>4</v>
      </c>
      <c r="R1808" s="1209">
        <v>30</v>
      </c>
      <c r="S1808" s="1209">
        <v>278</v>
      </c>
      <c r="T1808" s="26" t="s">
        <v>3064</v>
      </c>
      <c r="U1808" s="1871" t="s">
        <v>5864</v>
      </c>
      <c r="V1808" s="26" t="s">
        <v>7040</v>
      </c>
      <c r="W1808" s="2065" t="s">
        <v>7041</v>
      </c>
      <c r="X1808" s="26"/>
      <c r="Y1808" s="71"/>
      <c r="Z1808" s="71"/>
    </row>
    <row r="1809" spans="1:26" ht="14.1" hidden="1">
      <c r="A1809" s="20">
        <v>1816</v>
      </c>
      <c r="B1809" s="1063">
        <v>41586</v>
      </c>
      <c r="C1809" s="26" t="s">
        <v>7036</v>
      </c>
      <c r="D1809" s="11" t="s">
        <v>6</v>
      </c>
      <c r="E1809" s="229" t="s">
        <v>6634</v>
      </c>
      <c r="F1809" s="26" t="s">
        <v>5400</v>
      </c>
      <c r="G1809" s="26" t="s">
        <v>7037</v>
      </c>
      <c r="H1809" s="26" t="s">
        <v>1111</v>
      </c>
      <c r="I1809" s="26" t="s">
        <v>574</v>
      </c>
      <c r="J1809" s="216" t="s">
        <v>7042</v>
      </c>
      <c r="K1809" s="216" t="s">
        <v>7043</v>
      </c>
      <c r="L1809" s="26"/>
      <c r="M1809" s="26">
        <v>6</v>
      </c>
      <c r="N1809" s="26">
        <v>1</v>
      </c>
      <c r="O1809" s="26">
        <v>10</v>
      </c>
      <c r="P1809" s="26">
        <v>0</v>
      </c>
      <c r="Q1809" s="26">
        <v>4</v>
      </c>
      <c r="R1809" s="1209">
        <v>31</v>
      </c>
      <c r="S1809" s="1209">
        <v>295</v>
      </c>
      <c r="T1809" s="26" t="s">
        <v>3064</v>
      </c>
      <c r="U1809" s="1871" t="s">
        <v>5864</v>
      </c>
      <c r="V1809" s="26" t="s">
        <v>7040</v>
      </c>
      <c r="W1809" s="2065" t="s">
        <v>7044</v>
      </c>
      <c r="X1809" s="26"/>
      <c r="Y1809" s="71"/>
      <c r="Z1809" s="71"/>
    </row>
    <row r="1810" spans="1:26" ht="24.95" hidden="1">
      <c r="A1810" s="20">
        <v>1817</v>
      </c>
      <c r="B1810" s="1063">
        <v>41587</v>
      </c>
      <c r="C1810" s="26" t="s">
        <v>7045</v>
      </c>
      <c r="D1810" s="11" t="s">
        <v>6</v>
      </c>
      <c r="E1810" s="26" t="s">
        <v>6634</v>
      </c>
      <c r="F1810" s="26" t="s">
        <v>7046</v>
      </c>
      <c r="G1810" s="26" t="s">
        <v>7047</v>
      </c>
      <c r="H1810" s="26" t="s">
        <v>5102</v>
      </c>
      <c r="I1810" s="26" t="s">
        <v>5102</v>
      </c>
      <c r="J1810" s="26" t="s">
        <v>7048</v>
      </c>
      <c r="K1810" s="26" t="s">
        <v>7048</v>
      </c>
      <c r="L1810" s="26"/>
      <c r="M1810" s="26">
        <v>12</v>
      </c>
      <c r="N1810" s="26">
        <v>20</v>
      </c>
      <c r="O1810" s="26">
        <v>20</v>
      </c>
      <c r="P1810" s="26">
        <v>0</v>
      </c>
      <c r="Q1810" s="26">
        <v>8</v>
      </c>
      <c r="R1810" s="1209">
        <v>250</v>
      </c>
      <c r="S1810" s="1209">
        <v>5000</v>
      </c>
      <c r="T1810" s="229" t="s">
        <v>6634</v>
      </c>
      <c r="U1810" s="1871" t="s">
        <v>1886</v>
      </c>
      <c r="V1810" s="229" t="s">
        <v>6980</v>
      </c>
      <c r="W1810" s="2008" t="s">
        <v>7049</v>
      </c>
      <c r="X1810" s="18"/>
      <c r="Y1810" s="4"/>
      <c r="Z1810" s="4"/>
    </row>
    <row r="1811" spans="1:26" ht="14.1" hidden="1">
      <c r="A1811" s="20">
        <v>1818</v>
      </c>
      <c r="B1811" s="1063">
        <v>41588</v>
      </c>
      <c r="C1811" s="26" t="s">
        <v>7050</v>
      </c>
      <c r="D1811" s="11" t="s">
        <v>6</v>
      </c>
      <c r="E1811" s="26" t="s">
        <v>6634</v>
      </c>
      <c r="F1811" s="26" t="s">
        <v>131</v>
      </c>
      <c r="G1811" s="18"/>
      <c r="H1811" s="26"/>
      <c r="I1811" s="26" t="s">
        <v>113</v>
      </c>
      <c r="J1811" s="26">
        <v>48936763</v>
      </c>
      <c r="K1811" s="26"/>
      <c r="L1811" s="26"/>
      <c r="M1811" s="26">
        <v>1</v>
      </c>
      <c r="N1811" s="26">
        <v>1</v>
      </c>
      <c r="O1811" s="26">
        <v>1</v>
      </c>
      <c r="P1811" s="26">
        <v>0</v>
      </c>
      <c r="Q1811" s="26">
        <v>0</v>
      </c>
      <c r="R1811" s="1209">
        <v>675</v>
      </c>
      <c r="S1811" s="1240">
        <v>675</v>
      </c>
      <c r="T1811" s="26" t="s">
        <v>1009</v>
      </c>
      <c r="U1811" s="1871" t="s">
        <v>118</v>
      </c>
      <c r="V1811" s="171" t="s">
        <v>1987</v>
      </c>
      <c r="W1811" s="2008" t="s">
        <v>7051</v>
      </c>
      <c r="X1811" s="110"/>
      <c r="Y1811" s="110"/>
      <c r="Z1811" s="110"/>
    </row>
    <row r="1812" spans="1:26" ht="14.1" hidden="1">
      <c r="A1812" s="20">
        <v>1819</v>
      </c>
      <c r="B1812" s="1063">
        <v>41589</v>
      </c>
      <c r="C1812" s="26" t="s">
        <v>7052</v>
      </c>
      <c r="D1812" s="11"/>
      <c r="E1812" s="26" t="s">
        <v>6634</v>
      </c>
      <c r="F1812" s="26" t="s">
        <v>404</v>
      </c>
      <c r="G1812" s="26" t="s">
        <v>7053</v>
      </c>
      <c r="H1812" s="26" t="s">
        <v>4999</v>
      </c>
      <c r="I1812" s="26" t="s">
        <v>2513</v>
      </c>
      <c r="J1812" s="234" t="s">
        <v>7054</v>
      </c>
      <c r="K1812" s="20" t="s">
        <v>7055</v>
      </c>
      <c r="L1812" s="26" t="s">
        <v>7056</v>
      </c>
      <c r="M1812" s="26">
        <v>1</v>
      </c>
      <c r="N1812" s="26">
        <v>1</v>
      </c>
      <c r="O1812" s="26">
        <v>2</v>
      </c>
      <c r="P1812" s="26">
        <v>0</v>
      </c>
      <c r="Q1812" s="26">
        <v>1</v>
      </c>
      <c r="R1812" s="1209">
        <v>2160</v>
      </c>
      <c r="S1812" s="1209">
        <v>4320</v>
      </c>
      <c r="T1812" s="26" t="s">
        <v>5448</v>
      </c>
      <c r="U1812" s="1871" t="s">
        <v>7057</v>
      </c>
      <c r="V1812" s="26" t="s">
        <v>6663</v>
      </c>
      <c r="W1812" s="2065" t="s">
        <v>7058</v>
      </c>
      <c r="X1812" s="18"/>
      <c r="Y1812" s="4"/>
      <c r="Z1812" s="4"/>
    </row>
    <row r="1813" spans="1:26" ht="14.1" hidden="1">
      <c r="A1813" s="20">
        <v>1820</v>
      </c>
      <c r="B1813" s="1063">
        <v>41590</v>
      </c>
      <c r="C1813" s="26" t="s">
        <v>7059</v>
      </c>
      <c r="D1813" s="11" t="s">
        <v>6</v>
      </c>
      <c r="E1813" s="26" t="s">
        <v>6634</v>
      </c>
      <c r="F1813" s="26" t="s">
        <v>404</v>
      </c>
      <c r="G1813" s="26" t="s">
        <v>7060</v>
      </c>
      <c r="H1813" s="26" t="s">
        <v>4999</v>
      </c>
      <c r="I1813" s="26" t="s">
        <v>574</v>
      </c>
      <c r="J1813" s="20" t="s">
        <v>7061</v>
      </c>
      <c r="K1813" s="20" t="s">
        <v>7062</v>
      </c>
      <c r="L1813" s="26" t="s">
        <v>7056</v>
      </c>
      <c r="M1813" s="26">
        <v>1</v>
      </c>
      <c r="N1813" s="26">
        <v>1</v>
      </c>
      <c r="O1813" s="26">
        <v>1</v>
      </c>
      <c r="P1813" s="26">
        <v>1</v>
      </c>
      <c r="Q1813" s="26">
        <v>0</v>
      </c>
      <c r="R1813" s="1209">
        <v>1157</v>
      </c>
      <c r="S1813" s="1209">
        <v>1157</v>
      </c>
      <c r="T1813" s="26" t="s">
        <v>5448</v>
      </c>
      <c r="U1813" s="1871" t="s">
        <v>7057</v>
      </c>
      <c r="V1813" s="26" t="s">
        <v>6663</v>
      </c>
      <c r="W1813" s="2065" t="s">
        <v>7063</v>
      </c>
      <c r="X1813" s="18"/>
      <c r="Y1813" s="4"/>
      <c r="Z1813" s="4"/>
    </row>
    <row r="1814" spans="1:26" ht="14.1" hidden="1">
      <c r="A1814" s="20">
        <v>1821</v>
      </c>
      <c r="B1814" s="1063">
        <v>41591</v>
      </c>
      <c r="C1814" s="934" t="s">
        <v>1083</v>
      </c>
      <c r="D1814" s="11" t="s">
        <v>6</v>
      </c>
      <c r="E1814" s="26" t="s">
        <v>6634</v>
      </c>
      <c r="F1814" s="26" t="s">
        <v>7064</v>
      </c>
      <c r="G1814" s="133" t="s">
        <v>7065</v>
      </c>
      <c r="H1814" s="110" t="s">
        <v>7066</v>
      </c>
      <c r="I1814" s="26" t="s">
        <v>574</v>
      </c>
      <c r="J1814" s="133" t="s">
        <v>7067</v>
      </c>
      <c r="K1814" s="133" t="s">
        <v>7068</v>
      </c>
      <c r="L1814" s="26" t="s">
        <v>7069</v>
      </c>
      <c r="M1814" s="26">
        <v>2</v>
      </c>
      <c r="N1814" s="26">
        <v>1</v>
      </c>
      <c r="O1814" s="26">
        <v>2</v>
      </c>
      <c r="P1814" s="26">
        <v>0</v>
      </c>
      <c r="Q1814" s="26">
        <v>0</v>
      </c>
      <c r="R1814" s="1257">
        <v>1907</v>
      </c>
      <c r="S1814" s="1257">
        <f>1907*2</f>
        <v>3814</v>
      </c>
      <c r="T1814" s="26" t="s">
        <v>5448</v>
      </c>
      <c r="U1814" s="1871" t="s">
        <v>7070</v>
      </c>
      <c r="V1814" s="26" t="s">
        <v>6663</v>
      </c>
      <c r="W1814" s="2065" t="s">
        <v>7071</v>
      </c>
      <c r="X1814" s="26"/>
      <c r="Y1814" s="71"/>
      <c r="Z1814" s="71"/>
    </row>
    <row r="1815" spans="1:26" ht="14.1" hidden="1">
      <c r="A1815" s="20">
        <v>1822</v>
      </c>
      <c r="B1815" s="1063">
        <v>41592</v>
      </c>
      <c r="C1815" s="190" t="s">
        <v>7072</v>
      </c>
      <c r="D1815" s="11" t="s">
        <v>6</v>
      </c>
      <c r="E1815" s="26" t="s">
        <v>6634</v>
      </c>
      <c r="F1815" s="190" t="s">
        <v>7064</v>
      </c>
      <c r="G1815" s="235" t="s">
        <v>5444</v>
      </c>
      <c r="H1815" s="20" t="s">
        <v>7073</v>
      </c>
      <c r="I1815" s="20" t="s">
        <v>4634</v>
      </c>
      <c r="J1815" s="235" t="s">
        <v>5446</v>
      </c>
      <c r="K1815" s="235" t="s">
        <v>5447</v>
      </c>
      <c r="L1815" s="20" t="s">
        <v>7074</v>
      </c>
      <c r="M1815" s="20">
        <v>3</v>
      </c>
      <c r="N1815" s="20">
        <v>1</v>
      </c>
      <c r="O1815" s="20">
        <v>5</v>
      </c>
      <c r="P1815" s="20">
        <v>0</v>
      </c>
      <c r="Q1815" s="20">
        <v>2</v>
      </c>
      <c r="R1815" s="1258">
        <v>5390</v>
      </c>
      <c r="S1815" s="1252">
        <f>R1815*O1815</f>
        <v>26950</v>
      </c>
      <c r="T1815" s="26" t="s">
        <v>5448</v>
      </c>
      <c r="U1815" s="852" t="s">
        <v>7075</v>
      </c>
      <c r="V1815" s="26" t="s">
        <v>6663</v>
      </c>
      <c r="W1815" s="2065" t="s">
        <v>7076</v>
      </c>
      <c r="X1815" s="18"/>
      <c r="Y1815" s="4"/>
      <c r="Z1815" s="4"/>
    </row>
    <row r="1816" spans="1:26" ht="14.45" hidden="1">
      <c r="A1816" s="20">
        <v>1823</v>
      </c>
      <c r="B1816" s="1063">
        <v>41593</v>
      </c>
      <c r="C1816" s="933" t="s">
        <v>7077</v>
      </c>
      <c r="D1816" s="11" t="s">
        <v>6</v>
      </c>
      <c r="E1816" s="26" t="s">
        <v>6634</v>
      </c>
      <c r="F1816" s="190" t="s">
        <v>7064</v>
      </c>
      <c r="G1816" s="20" t="s">
        <v>7078</v>
      </c>
      <c r="H1816" s="20" t="s">
        <v>7079</v>
      </c>
      <c r="I1816" s="26" t="s">
        <v>574</v>
      </c>
      <c r="J1816" s="20" t="s">
        <v>7080</v>
      </c>
      <c r="K1816" s="20" t="s">
        <v>7081</v>
      </c>
      <c r="L1816" s="20" t="s">
        <v>1806</v>
      </c>
      <c r="M1816" s="20">
        <v>8</v>
      </c>
      <c r="N1816" s="20">
        <v>1</v>
      </c>
      <c r="O1816" s="20">
        <v>10</v>
      </c>
      <c r="P1816" s="20">
        <v>0</v>
      </c>
      <c r="Q1816" s="20">
        <v>2</v>
      </c>
      <c r="R1816" s="1259">
        <v>492</v>
      </c>
      <c r="S1816" s="1260">
        <v>4727</v>
      </c>
      <c r="T1816" s="26" t="s">
        <v>5448</v>
      </c>
      <c r="U1816" s="852" t="s">
        <v>7082</v>
      </c>
      <c r="V1816" s="26" t="s">
        <v>6663</v>
      </c>
      <c r="W1816" s="2065" t="s">
        <v>7083</v>
      </c>
      <c r="X1816" s="18"/>
      <c r="Y1816" s="4"/>
      <c r="Z1816" s="4"/>
    </row>
    <row r="1817" spans="1:26" ht="14.1" hidden="1">
      <c r="A1817" s="20">
        <v>1824</v>
      </c>
      <c r="B1817" s="1063">
        <v>41594</v>
      </c>
      <c r="C1817" s="26" t="s">
        <v>7084</v>
      </c>
      <c r="D1817" s="11" t="s">
        <v>6</v>
      </c>
      <c r="E1817" s="26" t="s">
        <v>6634</v>
      </c>
      <c r="F1817" s="190" t="s">
        <v>7064</v>
      </c>
      <c r="G1817" s="20" t="s">
        <v>7085</v>
      </c>
      <c r="H1817" s="20" t="s">
        <v>7086</v>
      </c>
      <c r="I1817" s="26" t="s">
        <v>574</v>
      </c>
      <c r="J1817" s="20" t="s">
        <v>7087</v>
      </c>
      <c r="K1817" s="20" t="s">
        <v>7086</v>
      </c>
      <c r="L1817" s="236" t="s">
        <v>7088</v>
      </c>
      <c r="M1817" s="20">
        <v>8</v>
      </c>
      <c r="N1817" s="20">
        <v>1</v>
      </c>
      <c r="O1817" s="20">
        <v>10</v>
      </c>
      <c r="P1817" s="20">
        <v>0</v>
      </c>
      <c r="Q1817" s="20">
        <v>2</v>
      </c>
      <c r="R1817" s="1259">
        <v>86</v>
      </c>
      <c r="S1817" s="1260">
        <v>758</v>
      </c>
      <c r="T1817" s="26" t="s">
        <v>5448</v>
      </c>
      <c r="U1817" s="852" t="s">
        <v>7082</v>
      </c>
      <c r="V1817" s="26" t="s">
        <v>6663</v>
      </c>
      <c r="W1817" s="2065" t="s">
        <v>7089</v>
      </c>
      <c r="X1817" s="20"/>
      <c r="Y1817" s="189"/>
      <c r="Z1817" s="189"/>
    </row>
    <row r="1818" spans="1:26" ht="14.1" hidden="1">
      <c r="A1818" s="20">
        <v>1825</v>
      </c>
      <c r="B1818" s="1063">
        <v>41595</v>
      </c>
      <c r="C1818" s="26" t="s">
        <v>7090</v>
      </c>
      <c r="D1818" s="11" t="s">
        <v>6</v>
      </c>
      <c r="E1818" s="26" t="s">
        <v>6634</v>
      </c>
      <c r="F1818" s="190" t="s">
        <v>7064</v>
      </c>
      <c r="G1818" s="26" t="s">
        <v>7091</v>
      </c>
      <c r="H1818" s="26" t="s">
        <v>3097</v>
      </c>
      <c r="I1818" s="26" t="s">
        <v>574</v>
      </c>
      <c r="J1818" s="26" t="s">
        <v>7092</v>
      </c>
      <c r="K1818" s="26" t="s">
        <v>7093</v>
      </c>
      <c r="L1818" s="237" t="s">
        <v>7094</v>
      </c>
      <c r="M1818" s="26">
        <v>8</v>
      </c>
      <c r="N1818" s="26">
        <v>1</v>
      </c>
      <c r="O1818" s="26">
        <v>10</v>
      </c>
      <c r="P1818" s="26">
        <v>0</v>
      </c>
      <c r="Q1818" s="26">
        <v>2</v>
      </c>
      <c r="R1818" s="1259">
        <v>45</v>
      </c>
      <c r="S1818" s="1260">
        <v>370</v>
      </c>
      <c r="T1818" s="26" t="s">
        <v>5448</v>
      </c>
      <c r="U1818" s="852" t="s">
        <v>7082</v>
      </c>
      <c r="V1818" s="26" t="s">
        <v>6663</v>
      </c>
      <c r="W1818" s="2065" t="s">
        <v>7095</v>
      </c>
      <c r="X1818" s="18"/>
      <c r="Y1818" s="4"/>
      <c r="Z1818" s="4"/>
    </row>
    <row r="1819" spans="1:26" ht="14.1" hidden="1">
      <c r="A1819" s="20">
        <v>1826</v>
      </c>
      <c r="B1819" s="1063">
        <v>41596</v>
      </c>
      <c r="C1819" s="26" t="s">
        <v>7096</v>
      </c>
      <c r="D1819" s="11" t="s">
        <v>6</v>
      </c>
      <c r="E1819" s="26" t="s">
        <v>6634</v>
      </c>
      <c r="F1819" s="190" t="s">
        <v>7064</v>
      </c>
      <c r="G1819" s="26" t="s">
        <v>7097</v>
      </c>
      <c r="H1819" s="26" t="s">
        <v>452</v>
      </c>
      <c r="I1819" s="26" t="s">
        <v>574</v>
      </c>
      <c r="J1819" s="26" t="s">
        <v>7098</v>
      </c>
      <c r="K1819" s="26" t="s">
        <v>7099</v>
      </c>
      <c r="L1819" s="237" t="s">
        <v>7100</v>
      </c>
      <c r="M1819" s="26">
        <v>8</v>
      </c>
      <c r="N1819" s="26">
        <v>1</v>
      </c>
      <c r="O1819" s="26">
        <v>10</v>
      </c>
      <c r="P1819" s="26">
        <v>0</v>
      </c>
      <c r="Q1819" s="26">
        <v>2</v>
      </c>
      <c r="R1819" s="1259">
        <v>69</v>
      </c>
      <c r="S1819" s="1260">
        <v>584</v>
      </c>
      <c r="T1819" s="26" t="s">
        <v>5448</v>
      </c>
      <c r="U1819" s="852" t="s">
        <v>7082</v>
      </c>
      <c r="V1819" s="26" t="s">
        <v>6663</v>
      </c>
      <c r="W1819" s="2065" t="s">
        <v>7101</v>
      </c>
      <c r="X1819" s="18"/>
      <c r="Y1819" s="4"/>
      <c r="Z1819" s="4"/>
    </row>
    <row r="1820" spans="1:26" ht="14.1" hidden="1">
      <c r="A1820" s="20">
        <v>1827</v>
      </c>
      <c r="B1820" s="1063">
        <v>41597</v>
      </c>
      <c r="C1820" s="26" t="s">
        <v>7102</v>
      </c>
      <c r="D1820" s="11" t="s">
        <v>6</v>
      </c>
      <c r="E1820" s="26" t="s">
        <v>6634</v>
      </c>
      <c r="F1820" s="190" t="s">
        <v>7064</v>
      </c>
      <c r="G1820" s="26" t="s">
        <v>7103</v>
      </c>
      <c r="H1820" s="26" t="s">
        <v>3097</v>
      </c>
      <c r="I1820" s="26" t="s">
        <v>574</v>
      </c>
      <c r="J1820" s="26" t="s">
        <v>7104</v>
      </c>
      <c r="K1820" s="26" t="s">
        <v>7105</v>
      </c>
      <c r="L1820" s="237" t="s">
        <v>7106</v>
      </c>
      <c r="M1820" s="26">
        <v>24</v>
      </c>
      <c r="N1820" s="26">
        <v>1</v>
      </c>
      <c r="O1820" s="26">
        <v>30</v>
      </c>
      <c r="P1820" s="26">
        <v>0</v>
      </c>
      <c r="Q1820" s="26">
        <v>6</v>
      </c>
      <c r="R1820" s="1259">
        <v>35</v>
      </c>
      <c r="S1820" s="1209">
        <f>286*3</f>
        <v>858</v>
      </c>
      <c r="T1820" s="26" t="s">
        <v>5448</v>
      </c>
      <c r="U1820" s="852" t="s">
        <v>7082</v>
      </c>
      <c r="V1820" s="26" t="s">
        <v>6663</v>
      </c>
      <c r="W1820" s="2065" t="s">
        <v>7107</v>
      </c>
      <c r="X1820" s="26"/>
      <c r="Y1820" s="71"/>
      <c r="Z1820" s="71"/>
    </row>
    <row r="1821" spans="1:26" ht="14.1" hidden="1">
      <c r="A1821" s="20">
        <v>1828</v>
      </c>
      <c r="B1821" s="1063">
        <v>41598</v>
      </c>
      <c r="C1821" s="26" t="s">
        <v>7108</v>
      </c>
      <c r="D1821" s="11" t="s">
        <v>6</v>
      </c>
      <c r="E1821" s="26" t="s">
        <v>6634</v>
      </c>
      <c r="F1821" s="190" t="s">
        <v>7064</v>
      </c>
      <c r="G1821" s="26" t="s">
        <v>7109</v>
      </c>
      <c r="H1821" s="26" t="s">
        <v>2008</v>
      </c>
      <c r="I1821" s="26" t="s">
        <v>574</v>
      </c>
      <c r="J1821" s="26" t="s">
        <v>7110</v>
      </c>
      <c r="K1821" s="26" t="s">
        <v>7111</v>
      </c>
      <c r="L1821" s="237" t="s">
        <v>7112</v>
      </c>
      <c r="M1821" s="26">
        <v>8</v>
      </c>
      <c r="N1821" s="26">
        <v>1</v>
      </c>
      <c r="O1821" s="26">
        <v>10</v>
      </c>
      <c r="P1821" s="26">
        <v>0</v>
      </c>
      <c r="Q1821" s="26">
        <v>2</v>
      </c>
      <c r="R1821" s="1259">
        <v>86</v>
      </c>
      <c r="S1821" s="1259">
        <v>805</v>
      </c>
      <c r="T1821" s="26" t="s">
        <v>5448</v>
      </c>
      <c r="U1821" s="852" t="s">
        <v>7082</v>
      </c>
      <c r="V1821" s="26" t="s">
        <v>6663</v>
      </c>
      <c r="W1821" s="2065" t="s">
        <v>7113</v>
      </c>
      <c r="X1821" s="26"/>
      <c r="Y1821" s="71"/>
      <c r="Z1821" s="71"/>
    </row>
    <row r="1822" spans="1:26" ht="14.1" hidden="1">
      <c r="A1822" s="20">
        <v>1829</v>
      </c>
      <c r="B1822" s="1063">
        <v>41599</v>
      </c>
      <c r="C1822" s="26" t="s">
        <v>7114</v>
      </c>
      <c r="D1822" s="11" t="s">
        <v>6</v>
      </c>
      <c r="E1822" s="26" t="s">
        <v>6634</v>
      </c>
      <c r="F1822" s="190" t="s">
        <v>7064</v>
      </c>
      <c r="G1822" s="26" t="s">
        <v>7115</v>
      </c>
      <c r="H1822" s="26" t="s">
        <v>1853</v>
      </c>
      <c r="I1822" s="26" t="s">
        <v>574</v>
      </c>
      <c r="J1822" s="26" t="s">
        <v>7116</v>
      </c>
      <c r="K1822" s="26" t="s">
        <v>7117</v>
      </c>
      <c r="L1822" s="236" t="s">
        <v>7118</v>
      </c>
      <c r="M1822" s="26">
        <v>16</v>
      </c>
      <c r="N1822" s="26">
        <v>1</v>
      </c>
      <c r="O1822" s="26">
        <v>20</v>
      </c>
      <c r="P1822" s="26">
        <v>0</v>
      </c>
      <c r="Q1822" s="26">
        <v>4</v>
      </c>
      <c r="R1822" s="1259">
        <v>62</v>
      </c>
      <c r="S1822" s="1209">
        <f>440*2</f>
        <v>880</v>
      </c>
      <c r="T1822" s="26" t="s">
        <v>5448</v>
      </c>
      <c r="U1822" s="852" t="s">
        <v>7082</v>
      </c>
      <c r="V1822" s="26" t="s">
        <v>6663</v>
      </c>
      <c r="W1822" s="2065" t="s">
        <v>7119</v>
      </c>
      <c r="X1822" s="18"/>
      <c r="Y1822" s="4"/>
      <c r="Z1822" s="4"/>
    </row>
    <row r="1823" spans="1:26" ht="14.1" hidden="1">
      <c r="A1823" s="20">
        <v>1830</v>
      </c>
      <c r="B1823" s="1063">
        <v>41600</v>
      </c>
      <c r="C1823" s="26" t="s">
        <v>7120</v>
      </c>
      <c r="D1823" s="11" t="s">
        <v>6</v>
      </c>
      <c r="E1823" s="26" t="s">
        <v>6634</v>
      </c>
      <c r="F1823" s="190" t="s">
        <v>7064</v>
      </c>
      <c r="G1823" s="26" t="s">
        <v>7121</v>
      </c>
      <c r="H1823" s="26" t="s">
        <v>641</v>
      </c>
      <c r="I1823" s="26" t="s">
        <v>7122</v>
      </c>
      <c r="J1823" s="26" t="s">
        <v>7123</v>
      </c>
      <c r="K1823" s="26" t="s">
        <v>7124</v>
      </c>
      <c r="L1823" s="236" t="s">
        <v>7125</v>
      </c>
      <c r="M1823" s="26">
        <v>16</v>
      </c>
      <c r="N1823" s="26">
        <v>1</v>
      </c>
      <c r="O1823" s="26">
        <v>20</v>
      </c>
      <c r="P1823" s="26">
        <v>0</v>
      </c>
      <c r="Q1823" s="26">
        <v>4</v>
      </c>
      <c r="R1823" s="1259">
        <v>40</v>
      </c>
      <c r="S1823" s="1209">
        <f>355*2</f>
        <v>710</v>
      </c>
      <c r="T1823" s="26" t="s">
        <v>5448</v>
      </c>
      <c r="U1823" s="852" t="s">
        <v>7082</v>
      </c>
      <c r="V1823" s="26" t="s">
        <v>6663</v>
      </c>
      <c r="W1823" s="2065" t="s">
        <v>7126</v>
      </c>
      <c r="X1823" s="18"/>
      <c r="Y1823" s="4"/>
      <c r="Z1823" s="4"/>
    </row>
    <row r="1824" spans="1:26" ht="24.95" hidden="1">
      <c r="A1824" s="20">
        <v>1831</v>
      </c>
      <c r="B1824" s="1063">
        <v>41601</v>
      </c>
      <c r="C1824" s="26" t="s">
        <v>7127</v>
      </c>
      <c r="D1824" s="11" t="s">
        <v>6</v>
      </c>
      <c r="E1824" s="26" t="s">
        <v>6634</v>
      </c>
      <c r="F1824" s="190" t="s">
        <v>7064</v>
      </c>
      <c r="G1824" s="26" t="s">
        <v>6558</v>
      </c>
      <c r="H1824" s="26" t="s">
        <v>1853</v>
      </c>
      <c r="I1824" s="26" t="s">
        <v>574</v>
      </c>
      <c r="J1824" s="26" t="s">
        <v>599</v>
      </c>
      <c r="K1824" s="26" t="s">
        <v>1991</v>
      </c>
      <c r="L1824" s="26"/>
      <c r="M1824" s="26">
        <v>8</v>
      </c>
      <c r="N1824" s="26">
        <v>1</v>
      </c>
      <c r="O1824" s="26">
        <v>10</v>
      </c>
      <c r="P1824" s="26">
        <v>0</v>
      </c>
      <c r="Q1824" s="26">
        <v>2</v>
      </c>
      <c r="R1824" s="1259">
        <v>22</v>
      </c>
      <c r="S1824" s="1260">
        <v>205</v>
      </c>
      <c r="T1824" s="26" t="s">
        <v>5448</v>
      </c>
      <c r="U1824" s="852" t="s">
        <v>7082</v>
      </c>
      <c r="V1824" s="26" t="s">
        <v>6663</v>
      </c>
      <c r="W1824" s="2065" t="s">
        <v>1994</v>
      </c>
      <c r="X1824" s="18"/>
      <c r="Y1824" s="4"/>
      <c r="Z1824" s="4"/>
    </row>
    <row r="1825" spans="1:26" ht="14.1" hidden="1">
      <c r="A1825" s="20">
        <v>1832</v>
      </c>
      <c r="B1825" s="1063">
        <v>41602</v>
      </c>
      <c r="C1825" s="26" t="s">
        <v>7128</v>
      </c>
      <c r="D1825" s="11" t="s">
        <v>6</v>
      </c>
      <c r="E1825" s="26" t="s">
        <v>6634</v>
      </c>
      <c r="F1825" s="190" t="s">
        <v>7064</v>
      </c>
      <c r="G1825" s="26" t="s">
        <v>7129</v>
      </c>
      <c r="H1825" s="26" t="s">
        <v>1865</v>
      </c>
      <c r="I1825" s="26" t="s">
        <v>574</v>
      </c>
      <c r="J1825" s="26" t="s">
        <v>585</v>
      </c>
      <c r="K1825" s="26" t="s">
        <v>586</v>
      </c>
      <c r="L1825" s="26"/>
      <c r="M1825" s="26">
        <v>8</v>
      </c>
      <c r="N1825" s="26">
        <v>1</v>
      </c>
      <c r="O1825" s="26">
        <v>10</v>
      </c>
      <c r="P1825" s="26">
        <v>0</v>
      </c>
      <c r="Q1825" s="26">
        <v>2</v>
      </c>
      <c r="R1825" s="1259">
        <v>50</v>
      </c>
      <c r="S1825" s="1260">
        <v>431</v>
      </c>
      <c r="T1825" s="26" t="s">
        <v>5448</v>
      </c>
      <c r="U1825" s="852" t="s">
        <v>7082</v>
      </c>
      <c r="V1825" s="26" t="s">
        <v>6663</v>
      </c>
      <c r="W1825" s="2065" t="s">
        <v>1998</v>
      </c>
      <c r="X1825" s="18"/>
      <c r="Y1825" s="4"/>
      <c r="Z1825" s="4"/>
    </row>
    <row r="1826" spans="1:26" ht="14.1" hidden="1">
      <c r="A1826" s="20">
        <v>1833</v>
      </c>
      <c r="B1826" s="1063">
        <v>41603</v>
      </c>
      <c r="C1826" s="26" t="s">
        <v>4789</v>
      </c>
      <c r="D1826" s="11" t="s">
        <v>6</v>
      </c>
      <c r="E1826" s="26" t="s">
        <v>6634</v>
      </c>
      <c r="F1826" s="190" t="s">
        <v>7064</v>
      </c>
      <c r="G1826" s="26" t="s">
        <v>7130</v>
      </c>
      <c r="H1826" s="26" t="s">
        <v>1751</v>
      </c>
      <c r="I1826" s="26" t="s">
        <v>574</v>
      </c>
      <c r="J1826" s="26" t="s">
        <v>4790</v>
      </c>
      <c r="K1826" s="26" t="s">
        <v>1911</v>
      </c>
      <c r="L1826" s="26"/>
      <c r="M1826" s="26">
        <v>4</v>
      </c>
      <c r="N1826" s="26">
        <v>1</v>
      </c>
      <c r="O1826" s="26">
        <v>4</v>
      </c>
      <c r="P1826" s="26">
        <v>0</v>
      </c>
      <c r="Q1826" s="26">
        <v>0</v>
      </c>
      <c r="R1826" s="1259">
        <v>1348</v>
      </c>
      <c r="S1826" s="1260">
        <f>R1826*O1826</f>
        <v>5392</v>
      </c>
      <c r="T1826" s="26" t="s">
        <v>5448</v>
      </c>
      <c r="U1826" s="852" t="s">
        <v>7082</v>
      </c>
      <c r="V1826" s="26" t="s">
        <v>6663</v>
      </c>
      <c r="W1826" s="701" t="s">
        <v>7131</v>
      </c>
      <c r="X1826" s="18"/>
      <c r="Y1826" s="4"/>
      <c r="Z1826" s="4"/>
    </row>
    <row r="1827" spans="1:26" ht="14.1" hidden="1">
      <c r="A1827" s="20">
        <v>1834</v>
      </c>
      <c r="B1827" s="1063">
        <v>41604</v>
      </c>
      <c r="C1827" s="939" t="s">
        <v>5485</v>
      </c>
      <c r="D1827" s="11" t="s">
        <v>6</v>
      </c>
      <c r="E1827" s="26" t="s">
        <v>6634</v>
      </c>
      <c r="F1827" s="190" t="s">
        <v>7064</v>
      </c>
      <c r="G1827" s="235" t="s">
        <v>5485</v>
      </c>
      <c r="H1827" s="658" t="s">
        <v>5486</v>
      </c>
      <c r="I1827" s="26" t="s">
        <v>4634</v>
      </c>
      <c r="J1827" s="235" t="s">
        <v>5487</v>
      </c>
      <c r="K1827" s="235" t="s">
        <v>5488</v>
      </c>
      <c r="L1827" s="26"/>
      <c r="M1827" s="26">
        <v>4</v>
      </c>
      <c r="N1827" s="26">
        <v>1</v>
      </c>
      <c r="O1827" s="26">
        <v>4</v>
      </c>
      <c r="P1827" s="26">
        <v>0</v>
      </c>
      <c r="Q1827" s="26">
        <v>0</v>
      </c>
      <c r="R1827" s="1258">
        <v>21136</v>
      </c>
      <c r="S1827" s="1260">
        <f>R1827*4</f>
        <v>84544</v>
      </c>
      <c r="T1827" s="26" t="s">
        <v>5448</v>
      </c>
      <c r="U1827" s="852" t="s">
        <v>7082</v>
      </c>
      <c r="V1827" s="26" t="s">
        <v>6663</v>
      </c>
      <c r="W1827" s="2065" t="s">
        <v>5489</v>
      </c>
      <c r="X1827" s="18"/>
      <c r="Y1827" s="4"/>
      <c r="Z1827" s="4"/>
    </row>
    <row r="1828" spans="1:26" ht="14.1" hidden="1">
      <c r="A1828" s="20">
        <v>1835</v>
      </c>
      <c r="B1828" s="1063">
        <v>41605</v>
      </c>
      <c r="C1828" s="939" t="s">
        <v>7132</v>
      </c>
      <c r="D1828" s="11" t="s">
        <v>6</v>
      </c>
      <c r="E1828" s="26" t="s">
        <v>6634</v>
      </c>
      <c r="F1828" s="190" t="s">
        <v>7133</v>
      </c>
      <c r="G1828" s="235" t="s">
        <v>7134</v>
      </c>
      <c r="H1828" s="658" t="s">
        <v>1353</v>
      </c>
      <c r="I1828" s="26" t="s">
        <v>574</v>
      </c>
      <c r="J1828" s="235" t="s">
        <v>5502</v>
      </c>
      <c r="K1828" s="238" t="s">
        <v>7135</v>
      </c>
      <c r="L1828" s="26"/>
      <c r="M1828" s="26">
        <v>1</v>
      </c>
      <c r="N1828" s="26">
        <v>1</v>
      </c>
      <c r="O1828" s="26">
        <v>1</v>
      </c>
      <c r="P1828" s="26">
        <v>0</v>
      </c>
      <c r="Q1828" s="26">
        <v>0</v>
      </c>
      <c r="R1828" s="1259">
        <v>255</v>
      </c>
      <c r="S1828" s="1259">
        <v>255</v>
      </c>
      <c r="T1828" s="26" t="s">
        <v>5448</v>
      </c>
      <c r="U1828" s="852" t="s">
        <v>7136</v>
      </c>
      <c r="V1828" s="26" t="s">
        <v>6663</v>
      </c>
      <c r="W1828" s="2065" t="s">
        <v>5504</v>
      </c>
      <c r="X1828" s="18"/>
      <c r="Y1828" s="4"/>
      <c r="Z1828" s="4"/>
    </row>
    <row r="1829" spans="1:26" ht="14.1" hidden="1">
      <c r="A1829" s="20">
        <v>1836</v>
      </c>
      <c r="B1829" s="1063">
        <v>41606</v>
      </c>
      <c r="C1829" s="939" t="s">
        <v>7137</v>
      </c>
      <c r="D1829" s="11" t="s">
        <v>6</v>
      </c>
      <c r="E1829" s="26" t="s">
        <v>6634</v>
      </c>
      <c r="F1829" s="190" t="s">
        <v>7133</v>
      </c>
      <c r="G1829" s="235" t="s">
        <v>7138</v>
      </c>
      <c r="H1829" s="658" t="s">
        <v>2668</v>
      </c>
      <c r="I1829" s="26" t="s">
        <v>4634</v>
      </c>
      <c r="J1829" s="235" t="s">
        <v>5459</v>
      </c>
      <c r="K1829" s="238">
        <v>1101001000045</v>
      </c>
      <c r="L1829" s="26"/>
      <c r="M1829" s="26">
        <v>1</v>
      </c>
      <c r="N1829" s="26">
        <v>1</v>
      </c>
      <c r="O1829" s="26">
        <v>1</v>
      </c>
      <c r="P1829" s="26">
        <v>0</v>
      </c>
      <c r="Q1829" s="26">
        <v>0</v>
      </c>
      <c r="R1829" s="1258">
        <v>1067</v>
      </c>
      <c r="S1829" s="1258">
        <v>1067</v>
      </c>
      <c r="T1829" s="26" t="s">
        <v>5448</v>
      </c>
      <c r="U1829" s="852" t="s">
        <v>7136</v>
      </c>
      <c r="V1829" s="26" t="s">
        <v>6663</v>
      </c>
      <c r="W1829" s="2065" t="s">
        <v>5461</v>
      </c>
      <c r="X1829" s="18"/>
      <c r="Y1829" s="4"/>
      <c r="Z1829" s="4"/>
    </row>
    <row r="1830" spans="1:26" ht="14.1" hidden="1">
      <c r="A1830" s="20">
        <v>1837</v>
      </c>
      <c r="B1830" s="1063">
        <v>41607</v>
      </c>
      <c r="C1830" s="26" t="s">
        <v>7139</v>
      </c>
      <c r="D1830" s="11" t="s">
        <v>6</v>
      </c>
      <c r="E1830" s="26" t="s">
        <v>6634</v>
      </c>
      <c r="F1830" s="190" t="s">
        <v>7133</v>
      </c>
      <c r="G1830" s="26" t="s">
        <v>5495</v>
      </c>
      <c r="H1830" s="26" t="s">
        <v>5496</v>
      </c>
      <c r="I1830" s="26" t="s">
        <v>574</v>
      </c>
      <c r="J1830" s="26" t="s">
        <v>5497</v>
      </c>
      <c r="K1830" s="238" t="s">
        <v>5498</v>
      </c>
      <c r="L1830" s="26"/>
      <c r="M1830" s="26">
        <v>2</v>
      </c>
      <c r="N1830" s="26">
        <v>1</v>
      </c>
      <c r="O1830" s="26">
        <v>2</v>
      </c>
      <c r="P1830" s="26">
        <v>0</v>
      </c>
      <c r="Q1830" s="26">
        <v>0</v>
      </c>
      <c r="R1830" s="1259">
        <v>5535</v>
      </c>
      <c r="S1830" s="1260">
        <f>R1830*2</f>
        <v>11070</v>
      </c>
      <c r="T1830" s="26" t="s">
        <v>5448</v>
      </c>
      <c r="U1830" s="852" t="s">
        <v>7136</v>
      </c>
      <c r="V1830" s="26" t="s">
        <v>6663</v>
      </c>
      <c r="W1830" s="2065" t="s">
        <v>5499</v>
      </c>
      <c r="X1830" s="18"/>
      <c r="Y1830" s="4"/>
      <c r="Z1830" s="4"/>
    </row>
    <row r="1831" spans="1:26" ht="14.1" hidden="1">
      <c r="A1831" s="20">
        <v>1838</v>
      </c>
      <c r="B1831" s="1063">
        <v>41608</v>
      </c>
      <c r="C1831" s="26" t="s">
        <v>7140</v>
      </c>
      <c r="D1831" s="11" t="s">
        <v>6</v>
      </c>
      <c r="E1831" s="26" t="s">
        <v>6634</v>
      </c>
      <c r="F1831" s="190" t="s">
        <v>7133</v>
      </c>
      <c r="G1831" s="26" t="s">
        <v>7141</v>
      </c>
      <c r="H1831" s="26" t="s">
        <v>2668</v>
      </c>
      <c r="I1831" s="26" t="s">
        <v>574</v>
      </c>
      <c r="J1831" s="26" t="s">
        <v>5464</v>
      </c>
      <c r="K1831" s="26" t="s">
        <v>7140</v>
      </c>
      <c r="L1831" s="26"/>
      <c r="M1831" s="26">
        <v>1</v>
      </c>
      <c r="N1831" s="26">
        <v>1</v>
      </c>
      <c r="O1831" s="26">
        <v>1</v>
      </c>
      <c r="P1831" s="26">
        <v>0</v>
      </c>
      <c r="Q1831" s="26">
        <v>0</v>
      </c>
      <c r="R1831" s="1259">
        <v>15058</v>
      </c>
      <c r="S1831" s="1259">
        <v>15058</v>
      </c>
      <c r="T1831" s="26" t="s">
        <v>5448</v>
      </c>
      <c r="U1831" s="852" t="s">
        <v>7136</v>
      </c>
      <c r="V1831" s="26" t="s">
        <v>6663</v>
      </c>
      <c r="W1831" s="2065" t="s">
        <v>7142</v>
      </c>
      <c r="X1831" s="18"/>
      <c r="Y1831" s="4"/>
      <c r="Z1831" s="4"/>
    </row>
    <row r="1832" spans="1:26" ht="24.95" hidden="1">
      <c r="A1832" s="20">
        <v>1839</v>
      </c>
      <c r="B1832" s="1063">
        <v>41609</v>
      </c>
      <c r="C1832" s="26" t="s">
        <v>7143</v>
      </c>
      <c r="D1832" s="11" t="s">
        <v>6</v>
      </c>
      <c r="E1832" s="26" t="s">
        <v>6634</v>
      </c>
      <c r="F1832" s="190" t="s">
        <v>7144</v>
      </c>
      <c r="G1832" s="26" t="s">
        <v>7145</v>
      </c>
      <c r="H1832" s="26" t="s">
        <v>1498</v>
      </c>
      <c r="I1832" s="26" t="s">
        <v>574</v>
      </c>
      <c r="J1832" s="26" t="s">
        <v>530</v>
      </c>
      <c r="K1832" s="26" t="s">
        <v>531</v>
      </c>
      <c r="L1832" s="26"/>
      <c r="M1832" s="26">
        <v>16</v>
      </c>
      <c r="N1832" s="26">
        <v>1</v>
      </c>
      <c r="O1832" s="26">
        <v>25</v>
      </c>
      <c r="P1832" s="26">
        <v>0</v>
      </c>
      <c r="Q1832" s="26">
        <v>9</v>
      </c>
      <c r="R1832" s="1259">
        <v>421</v>
      </c>
      <c r="S1832" s="1260">
        <v>6996</v>
      </c>
      <c r="T1832" s="26" t="s">
        <v>5448</v>
      </c>
      <c r="U1832" s="852" t="s">
        <v>7146</v>
      </c>
      <c r="V1832" s="26" t="s">
        <v>6663</v>
      </c>
      <c r="W1832" s="2065" t="s">
        <v>533</v>
      </c>
      <c r="X1832" s="26"/>
      <c r="Y1832" s="71"/>
      <c r="Z1832" s="71"/>
    </row>
    <row r="1833" spans="1:26" ht="14.1" hidden="1">
      <c r="A1833" s="20">
        <v>1840</v>
      </c>
      <c r="B1833" s="1063">
        <v>41610</v>
      </c>
      <c r="C1833" s="26" t="s">
        <v>7147</v>
      </c>
      <c r="D1833" s="11" t="s">
        <v>6</v>
      </c>
      <c r="E1833" s="26" t="s">
        <v>6634</v>
      </c>
      <c r="F1833" s="190" t="s">
        <v>7148</v>
      </c>
      <c r="G1833" s="26" t="s">
        <v>7149</v>
      </c>
      <c r="H1833" s="26" t="s">
        <v>1715</v>
      </c>
      <c r="I1833" s="26" t="s">
        <v>574</v>
      </c>
      <c r="J1833" s="26" t="s">
        <v>7150</v>
      </c>
      <c r="K1833" s="26" t="s">
        <v>7151</v>
      </c>
      <c r="L1833" s="26"/>
      <c r="M1833" s="26">
        <v>8</v>
      </c>
      <c r="N1833" s="26">
        <v>1</v>
      </c>
      <c r="O1833" s="26">
        <v>10</v>
      </c>
      <c r="P1833" s="26">
        <v>0</v>
      </c>
      <c r="Q1833" s="26">
        <v>2</v>
      </c>
      <c r="R1833" s="1259">
        <v>859</v>
      </c>
      <c r="S1833" s="1209">
        <f>10*R1833</f>
        <v>8590</v>
      </c>
      <c r="T1833" s="26" t="s">
        <v>5448</v>
      </c>
      <c r="U1833" s="852" t="s">
        <v>7152</v>
      </c>
      <c r="V1833" s="26" t="s">
        <v>6663</v>
      </c>
      <c r="W1833" s="2065" t="s">
        <v>7153</v>
      </c>
      <c r="X1833" s="26"/>
      <c r="Y1833" s="71"/>
      <c r="Z1833" s="71"/>
    </row>
    <row r="1834" spans="1:26" ht="14.45" hidden="1">
      <c r="A1834" s="20">
        <v>1841</v>
      </c>
      <c r="B1834" s="1063">
        <v>41611</v>
      </c>
      <c r="C1834" s="933" t="s">
        <v>7077</v>
      </c>
      <c r="D1834" s="11" t="s">
        <v>6</v>
      </c>
      <c r="E1834" s="26" t="s">
        <v>6634</v>
      </c>
      <c r="F1834" s="190" t="s">
        <v>7148</v>
      </c>
      <c r="G1834" s="20" t="s">
        <v>7078</v>
      </c>
      <c r="H1834" s="20" t="s">
        <v>7079</v>
      </c>
      <c r="I1834" s="26" t="s">
        <v>574</v>
      </c>
      <c r="J1834" s="20" t="s">
        <v>7080</v>
      </c>
      <c r="K1834" s="20" t="s">
        <v>7081</v>
      </c>
      <c r="L1834" s="183" t="s">
        <v>1806</v>
      </c>
      <c r="M1834" s="20">
        <v>8</v>
      </c>
      <c r="N1834" s="20">
        <v>1</v>
      </c>
      <c r="O1834" s="20">
        <v>10</v>
      </c>
      <c r="P1834" s="20">
        <v>0</v>
      </c>
      <c r="Q1834" s="20">
        <v>2</v>
      </c>
      <c r="R1834" s="1259">
        <v>492</v>
      </c>
      <c r="S1834" s="1260">
        <v>4727</v>
      </c>
      <c r="T1834" s="26" t="s">
        <v>5448</v>
      </c>
      <c r="U1834" s="852" t="s">
        <v>7152</v>
      </c>
      <c r="V1834" s="26" t="s">
        <v>6663</v>
      </c>
      <c r="W1834" s="2065" t="s">
        <v>7083</v>
      </c>
      <c r="X1834" s="18"/>
      <c r="Y1834" s="4"/>
      <c r="Z1834" s="4"/>
    </row>
    <row r="1835" spans="1:26" ht="14.1" hidden="1">
      <c r="A1835" s="20">
        <v>1842</v>
      </c>
      <c r="B1835" s="1063">
        <v>41612</v>
      </c>
      <c r="C1835" s="26" t="s">
        <v>7084</v>
      </c>
      <c r="D1835" s="11" t="s">
        <v>6</v>
      </c>
      <c r="E1835" s="26" t="s">
        <v>6634</v>
      </c>
      <c r="F1835" s="190" t="s">
        <v>7148</v>
      </c>
      <c r="G1835" s="20" t="s">
        <v>7085</v>
      </c>
      <c r="H1835" s="20" t="s">
        <v>7086</v>
      </c>
      <c r="I1835" s="26" t="s">
        <v>574</v>
      </c>
      <c r="J1835" s="20" t="s">
        <v>7087</v>
      </c>
      <c r="K1835" s="20" t="s">
        <v>7086</v>
      </c>
      <c r="L1835" s="236" t="s">
        <v>7088</v>
      </c>
      <c r="M1835" s="20">
        <v>8</v>
      </c>
      <c r="N1835" s="20">
        <v>1</v>
      </c>
      <c r="O1835" s="20">
        <v>10</v>
      </c>
      <c r="P1835" s="20">
        <v>0</v>
      </c>
      <c r="Q1835" s="20">
        <v>2</v>
      </c>
      <c r="R1835" s="1259">
        <v>86</v>
      </c>
      <c r="S1835" s="1260">
        <v>758</v>
      </c>
      <c r="T1835" s="26" t="s">
        <v>5448</v>
      </c>
      <c r="U1835" s="852" t="s">
        <v>7152</v>
      </c>
      <c r="V1835" s="26" t="s">
        <v>6663</v>
      </c>
      <c r="W1835" s="2065" t="s">
        <v>7089</v>
      </c>
      <c r="X1835" s="20"/>
      <c r="Y1835" s="189"/>
      <c r="Z1835" s="189"/>
    </row>
    <row r="1836" spans="1:26" ht="14.1" hidden="1">
      <c r="A1836" s="20">
        <v>1843</v>
      </c>
      <c r="B1836" s="1063">
        <v>41613</v>
      </c>
      <c r="C1836" s="26" t="s">
        <v>7090</v>
      </c>
      <c r="D1836" s="11" t="s">
        <v>6</v>
      </c>
      <c r="E1836" s="26" t="s">
        <v>6634</v>
      </c>
      <c r="F1836" s="190" t="s">
        <v>7148</v>
      </c>
      <c r="G1836" s="26" t="s">
        <v>7091</v>
      </c>
      <c r="H1836" s="26" t="s">
        <v>3097</v>
      </c>
      <c r="I1836" s="26" t="s">
        <v>574</v>
      </c>
      <c r="J1836" s="26" t="s">
        <v>7092</v>
      </c>
      <c r="K1836" s="26" t="s">
        <v>7093</v>
      </c>
      <c r="L1836" s="237" t="s">
        <v>7094</v>
      </c>
      <c r="M1836" s="26">
        <v>8</v>
      </c>
      <c r="N1836" s="26">
        <v>1</v>
      </c>
      <c r="O1836" s="26">
        <v>10</v>
      </c>
      <c r="P1836" s="26">
        <v>0</v>
      </c>
      <c r="Q1836" s="26">
        <v>2</v>
      </c>
      <c r="R1836" s="1259">
        <v>45</v>
      </c>
      <c r="S1836" s="1260">
        <v>370</v>
      </c>
      <c r="T1836" s="26" t="s">
        <v>5448</v>
      </c>
      <c r="U1836" s="852" t="s">
        <v>7152</v>
      </c>
      <c r="V1836" s="26" t="s">
        <v>6663</v>
      </c>
      <c r="W1836" s="2065" t="s">
        <v>7095</v>
      </c>
      <c r="X1836" s="18"/>
      <c r="Y1836" s="4"/>
      <c r="Z1836" s="4"/>
    </row>
    <row r="1837" spans="1:26" ht="14.1" hidden="1">
      <c r="A1837" s="20">
        <v>1844</v>
      </c>
      <c r="B1837" s="1063">
        <v>41614</v>
      </c>
      <c r="C1837" s="26" t="s">
        <v>7096</v>
      </c>
      <c r="D1837" s="11" t="s">
        <v>6</v>
      </c>
      <c r="E1837" s="26" t="s">
        <v>6634</v>
      </c>
      <c r="F1837" s="190" t="s">
        <v>7148</v>
      </c>
      <c r="G1837" s="26" t="s">
        <v>7097</v>
      </c>
      <c r="H1837" s="26" t="s">
        <v>452</v>
      </c>
      <c r="I1837" s="26" t="s">
        <v>574</v>
      </c>
      <c r="J1837" s="26" t="s">
        <v>7098</v>
      </c>
      <c r="K1837" s="26" t="s">
        <v>7099</v>
      </c>
      <c r="L1837" s="237" t="s">
        <v>7100</v>
      </c>
      <c r="M1837" s="26">
        <v>8</v>
      </c>
      <c r="N1837" s="26">
        <v>1</v>
      </c>
      <c r="O1837" s="26">
        <v>10</v>
      </c>
      <c r="P1837" s="26">
        <v>0</v>
      </c>
      <c r="Q1837" s="26">
        <v>2</v>
      </c>
      <c r="R1837" s="1259">
        <v>69</v>
      </c>
      <c r="S1837" s="1260">
        <v>584</v>
      </c>
      <c r="T1837" s="26" t="s">
        <v>5448</v>
      </c>
      <c r="U1837" s="852" t="s">
        <v>7152</v>
      </c>
      <c r="V1837" s="26" t="s">
        <v>6663</v>
      </c>
      <c r="W1837" s="2065" t="s">
        <v>7101</v>
      </c>
      <c r="X1837" s="18"/>
      <c r="Y1837" s="4"/>
      <c r="Z1837" s="4"/>
    </row>
    <row r="1838" spans="1:26" ht="14.1" hidden="1">
      <c r="A1838" s="20">
        <v>1845</v>
      </c>
      <c r="B1838" s="1063">
        <v>41615</v>
      </c>
      <c r="C1838" s="26" t="s">
        <v>7102</v>
      </c>
      <c r="D1838" s="11" t="s">
        <v>6</v>
      </c>
      <c r="E1838" s="26" t="s">
        <v>6634</v>
      </c>
      <c r="F1838" s="190" t="s">
        <v>7148</v>
      </c>
      <c r="G1838" s="26" t="s">
        <v>7103</v>
      </c>
      <c r="H1838" s="26" t="s">
        <v>3097</v>
      </c>
      <c r="I1838" s="26" t="s">
        <v>574</v>
      </c>
      <c r="J1838" s="26" t="s">
        <v>7104</v>
      </c>
      <c r="K1838" s="26" t="s">
        <v>7105</v>
      </c>
      <c r="L1838" s="237" t="s">
        <v>7106</v>
      </c>
      <c r="M1838" s="26">
        <v>24</v>
      </c>
      <c r="N1838" s="26">
        <v>1</v>
      </c>
      <c r="O1838" s="26">
        <v>30</v>
      </c>
      <c r="P1838" s="26">
        <v>0</v>
      </c>
      <c r="Q1838" s="26">
        <v>6</v>
      </c>
      <c r="R1838" s="1259">
        <v>35</v>
      </c>
      <c r="S1838" s="1209">
        <f>286*3</f>
        <v>858</v>
      </c>
      <c r="T1838" s="26" t="s">
        <v>5448</v>
      </c>
      <c r="U1838" s="852" t="s">
        <v>7152</v>
      </c>
      <c r="V1838" s="26" t="s">
        <v>6663</v>
      </c>
      <c r="W1838" s="2065" t="s">
        <v>7107</v>
      </c>
      <c r="X1838" s="26"/>
      <c r="Y1838" s="71"/>
      <c r="Z1838" s="71"/>
    </row>
    <row r="1839" spans="1:26" ht="14.1" hidden="1">
      <c r="A1839" s="20">
        <v>1846</v>
      </c>
      <c r="B1839" s="1063">
        <v>41616</v>
      </c>
      <c r="C1839" s="26" t="s">
        <v>7108</v>
      </c>
      <c r="D1839" s="11" t="s">
        <v>6</v>
      </c>
      <c r="E1839" s="26" t="s">
        <v>6634</v>
      </c>
      <c r="F1839" s="190" t="s">
        <v>7148</v>
      </c>
      <c r="G1839" s="26" t="s">
        <v>7109</v>
      </c>
      <c r="H1839" s="26" t="s">
        <v>2008</v>
      </c>
      <c r="I1839" s="26" t="s">
        <v>574</v>
      </c>
      <c r="J1839" s="26" t="s">
        <v>7110</v>
      </c>
      <c r="K1839" s="26" t="s">
        <v>7111</v>
      </c>
      <c r="L1839" s="237" t="s">
        <v>7112</v>
      </c>
      <c r="M1839" s="26">
        <v>8</v>
      </c>
      <c r="N1839" s="26">
        <v>1</v>
      </c>
      <c r="O1839" s="26">
        <v>10</v>
      </c>
      <c r="P1839" s="26">
        <v>0</v>
      </c>
      <c r="Q1839" s="26">
        <v>2</v>
      </c>
      <c r="R1839" s="1259">
        <v>86</v>
      </c>
      <c r="S1839" s="1259">
        <v>805</v>
      </c>
      <c r="T1839" s="26" t="s">
        <v>5448</v>
      </c>
      <c r="U1839" s="852" t="s">
        <v>7152</v>
      </c>
      <c r="V1839" s="26" t="s">
        <v>6663</v>
      </c>
      <c r="W1839" s="2065" t="s">
        <v>7113</v>
      </c>
      <c r="X1839" s="26"/>
      <c r="Y1839" s="71"/>
      <c r="Z1839" s="71"/>
    </row>
    <row r="1840" spans="1:26" ht="14.1" hidden="1">
      <c r="A1840" s="20">
        <v>1847</v>
      </c>
      <c r="B1840" s="1063">
        <v>41617</v>
      </c>
      <c r="C1840" s="26" t="s">
        <v>7114</v>
      </c>
      <c r="D1840" s="11" t="s">
        <v>6</v>
      </c>
      <c r="E1840" s="26" t="s">
        <v>6634</v>
      </c>
      <c r="F1840" s="190" t="s">
        <v>7148</v>
      </c>
      <c r="G1840" s="26" t="s">
        <v>7115</v>
      </c>
      <c r="H1840" s="26" t="s">
        <v>1853</v>
      </c>
      <c r="I1840" s="26" t="s">
        <v>574</v>
      </c>
      <c r="J1840" s="26" t="s">
        <v>7116</v>
      </c>
      <c r="K1840" s="26" t="s">
        <v>7117</v>
      </c>
      <c r="L1840" s="236" t="s">
        <v>7118</v>
      </c>
      <c r="M1840" s="26">
        <v>16</v>
      </c>
      <c r="N1840" s="26">
        <v>1</v>
      </c>
      <c r="O1840" s="26">
        <v>20</v>
      </c>
      <c r="P1840" s="26">
        <v>0</v>
      </c>
      <c r="Q1840" s="26">
        <v>4</v>
      </c>
      <c r="R1840" s="1259">
        <v>62</v>
      </c>
      <c r="S1840" s="1209">
        <f>440*2</f>
        <v>880</v>
      </c>
      <c r="T1840" s="26" t="s">
        <v>5448</v>
      </c>
      <c r="U1840" s="852" t="s">
        <v>7152</v>
      </c>
      <c r="V1840" s="26" t="s">
        <v>6663</v>
      </c>
      <c r="W1840" s="2065" t="s">
        <v>7119</v>
      </c>
      <c r="X1840" s="18"/>
      <c r="Y1840" s="4"/>
      <c r="Z1840" s="4"/>
    </row>
    <row r="1841" spans="1:26" ht="14.1" hidden="1">
      <c r="A1841" s="20">
        <v>1848</v>
      </c>
      <c r="B1841" s="1063">
        <v>41618</v>
      </c>
      <c r="C1841" s="26" t="s">
        <v>7120</v>
      </c>
      <c r="D1841" s="11" t="s">
        <v>6</v>
      </c>
      <c r="E1841" s="26" t="s">
        <v>6634</v>
      </c>
      <c r="F1841" s="190" t="s">
        <v>7148</v>
      </c>
      <c r="G1841" s="26" t="s">
        <v>7121</v>
      </c>
      <c r="H1841" s="26" t="s">
        <v>641</v>
      </c>
      <c r="I1841" s="26" t="s">
        <v>574</v>
      </c>
      <c r="J1841" s="26" t="s">
        <v>7123</v>
      </c>
      <c r="K1841" s="26" t="s">
        <v>7124</v>
      </c>
      <c r="L1841" s="236" t="s">
        <v>7125</v>
      </c>
      <c r="M1841" s="26">
        <v>16</v>
      </c>
      <c r="N1841" s="26">
        <v>1</v>
      </c>
      <c r="O1841" s="26">
        <v>20</v>
      </c>
      <c r="P1841" s="26">
        <v>0</v>
      </c>
      <c r="Q1841" s="26">
        <v>4</v>
      </c>
      <c r="R1841" s="1259">
        <v>40</v>
      </c>
      <c r="S1841" s="1209">
        <f>355*2</f>
        <v>710</v>
      </c>
      <c r="T1841" s="26" t="s">
        <v>5448</v>
      </c>
      <c r="U1841" s="852" t="s">
        <v>7152</v>
      </c>
      <c r="V1841" s="26" t="s">
        <v>6663</v>
      </c>
      <c r="W1841" s="701" t="s">
        <v>7126</v>
      </c>
      <c r="X1841" s="18"/>
      <c r="Y1841" s="4"/>
      <c r="Z1841" s="4"/>
    </row>
    <row r="1842" spans="1:26" ht="24.95" hidden="1">
      <c r="A1842" s="20">
        <v>1849</v>
      </c>
      <c r="B1842" s="1063">
        <v>41619</v>
      </c>
      <c r="C1842" s="26" t="s">
        <v>7127</v>
      </c>
      <c r="D1842" s="11" t="s">
        <v>6</v>
      </c>
      <c r="E1842" s="26" t="s">
        <v>6634</v>
      </c>
      <c r="F1842" s="190" t="s">
        <v>7148</v>
      </c>
      <c r="G1842" s="26" t="s">
        <v>6558</v>
      </c>
      <c r="H1842" s="26" t="s">
        <v>1853</v>
      </c>
      <c r="I1842" s="26" t="s">
        <v>574</v>
      </c>
      <c r="J1842" s="26" t="s">
        <v>599</v>
      </c>
      <c r="K1842" s="26" t="s">
        <v>1991</v>
      </c>
      <c r="L1842" s="54"/>
      <c r="M1842" s="26">
        <v>8</v>
      </c>
      <c r="N1842" s="26">
        <v>1</v>
      </c>
      <c r="O1842" s="26">
        <v>10</v>
      </c>
      <c r="P1842" s="26">
        <v>0</v>
      </c>
      <c r="Q1842" s="26">
        <v>2</v>
      </c>
      <c r="R1842" s="1259">
        <v>22</v>
      </c>
      <c r="S1842" s="1260">
        <v>205</v>
      </c>
      <c r="T1842" s="26" t="s">
        <v>5448</v>
      </c>
      <c r="U1842" s="852" t="s">
        <v>7152</v>
      </c>
      <c r="V1842" s="26" t="s">
        <v>6663</v>
      </c>
      <c r="W1842" s="2065" t="s">
        <v>1994</v>
      </c>
      <c r="X1842" s="18"/>
      <c r="Y1842" s="4"/>
      <c r="Z1842" s="4"/>
    </row>
    <row r="1843" spans="1:26" ht="14.1" hidden="1">
      <c r="A1843" s="20">
        <v>1850</v>
      </c>
      <c r="B1843" s="1063">
        <v>41620</v>
      </c>
      <c r="C1843" s="26" t="s">
        <v>7128</v>
      </c>
      <c r="D1843" s="11" t="s">
        <v>6</v>
      </c>
      <c r="E1843" s="26" t="s">
        <v>6634</v>
      </c>
      <c r="F1843" s="190" t="s">
        <v>7148</v>
      </c>
      <c r="G1843" s="26" t="s">
        <v>7129</v>
      </c>
      <c r="H1843" s="26" t="s">
        <v>1865</v>
      </c>
      <c r="I1843" s="26" t="s">
        <v>574</v>
      </c>
      <c r="J1843" s="26" t="s">
        <v>585</v>
      </c>
      <c r="K1843" s="26" t="s">
        <v>586</v>
      </c>
      <c r="L1843" s="26"/>
      <c r="M1843" s="26">
        <v>8</v>
      </c>
      <c r="N1843" s="26">
        <v>1</v>
      </c>
      <c r="O1843" s="26">
        <v>10</v>
      </c>
      <c r="P1843" s="26">
        <v>0</v>
      </c>
      <c r="Q1843" s="26">
        <v>2</v>
      </c>
      <c r="R1843" s="1259">
        <v>50</v>
      </c>
      <c r="S1843" s="1260">
        <v>431</v>
      </c>
      <c r="T1843" s="26" t="s">
        <v>5448</v>
      </c>
      <c r="U1843" s="852" t="s">
        <v>7152</v>
      </c>
      <c r="V1843" s="26" t="s">
        <v>6663</v>
      </c>
      <c r="W1843" s="2065" t="s">
        <v>1998</v>
      </c>
      <c r="X1843" s="18"/>
      <c r="Y1843" s="4"/>
      <c r="Z1843" s="4"/>
    </row>
    <row r="1844" spans="1:26" ht="14.1" hidden="1">
      <c r="A1844" s="20">
        <v>1851</v>
      </c>
      <c r="B1844" s="1063">
        <v>41621</v>
      </c>
      <c r="C1844" s="190" t="s">
        <v>7072</v>
      </c>
      <c r="D1844" s="11" t="s">
        <v>6</v>
      </c>
      <c r="E1844" s="26" t="s">
        <v>6634</v>
      </c>
      <c r="F1844" s="190" t="s">
        <v>7154</v>
      </c>
      <c r="G1844" s="235" t="s">
        <v>5444</v>
      </c>
      <c r="H1844" s="20" t="s">
        <v>7073</v>
      </c>
      <c r="I1844" s="20" t="s">
        <v>4634</v>
      </c>
      <c r="J1844" s="234" t="s">
        <v>5446</v>
      </c>
      <c r="K1844" s="234" t="s">
        <v>5447</v>
      </c>
      <c r="L1844" s="20" t="s">
        <v>7074</v>
      </c>
      <c r="M1844" s="20">
        <v>2</v>
      </c>
      <c r="N1844" s="20">
        <v>1</v>
      </c>
      <c r="O1844" s="20">
        <v>2</v>
      </c>
      <c r="P1844" s="20">
        <v>0</v>
      </c>
      <c r="Q1844" s="20">
        <v>0</v>
      </c>
      <c r="R1844" s="1258">
        <v>5390</v>
      </c>
      <c r="S1844" s="1252">
        <f>R1844*O1844</f>
        <v>10780</v>
      </c>
      <c r="T1844" s="26" t="s">
        <v>5448</v>
      </c>
      <c r="U1844" s="852" t="s">
        <v>7155</v>
      </c>
      <c r="V1844" s="26" t="s">
        <v>6663</v>
      </c>
      <c r="W1844" s="2065" t="s">
        <v>7076</v>
      </c>
      <c r="X1844" s="18"/>
      <c r="Y1844" s="4"/>
      <c r="Z1844" s="4"/>
    </row>
    <row r="1845" spans="1:26" ht="14.1" hidden="1">
      <c r="A1845" s="20">
        <v>1852</v>
      </c>
      <c r="B1845" s="1063">
        <v>41622</v>
      </c>
      <c r="C1845" s="26" t="s">
        <v>7156</v>
      </c>
      <c r="D1845" s="11"/>
      <c r="E1845" s="26" t="s">
        <v>6634</v>
      </c>
      <c r="F1845" s="26" t="s">
        <v>2006</v>
      </c>
      <c r="G1845" s="26" t="s">
        <v>7157</v>
      </c>
      <c r="H1845" s="26" t="s">
        <v>1002</v>
      </c>
      <c r="I1845" s="26" t="s">
        <v>1002</v>
      </c>
      <c r="J1845" s="26"/>
      <c r="K1845" s="26"/>
      <c r="L1845" s="26"/>
      <c r="M1845" s="26">
        <v>4</v>
      </c>
      <c r="N1845" s="26">
        <v>1</v>
      </c>
      <c r="O1845" s="26">
        <v>4</v>
      </c>
      <c r="P1845" s="26">
        <v>0</v>
      </c>
      <c r="Q1845" s="26">
        <v>0</v>
      </c>
      <c r="R1845" s="1209"/>
      <c r="S1845" s="1209">
        <v>57256</v>
      </c>
      <c r="T1845" s="26" t="s">
        <v>6697</v>
      </c>
      <c r="U1845" s="1871" t="s">
        <v>7158</v>
      </c>
      <c r="V1845" s="26" t="s">
        <v>6663</v>
      </c>
      <c r="W1845" s="2015"/>
      <c r="X1845" s="18"/>
      <c r="Y1845" s="4"/>
      <c r="Z1845" s="4"/>
    </row>
    <row r="1846" spans="1:26" ht="174.95" hidden="1">
      <c r="A1846" s="20">
        <v>1853</v>
      </c>
      <c r="B1846" s="1063">
        <v>41623</v>
      </c>
      <c r="C1846" s="18" t="s">
        <v>4068</v>
      </c>
      <c r="D1846" s="11" t="s">
        <v>6</v>
      </c>
      <c r="E1846" s="18" t="s">
        <v>5607</v>
      </c>
      <c r="F1846" s="18" t="s">
        <v>2143</v>
      </c>
      <c r="G1846" s="18" t="s">
        <v>4069</v>
      </c>
      <c r="H1846" s="18" t="s">
        <v>101</v>
      </c>
      <c r="I1846" s="18" t="s">
        <v>482</v>
      </c>
      <c r="J1846" s="18">
        <v>3490874</v>
      </c>
      <c r="K1846" s="18" t="s">
        <v>4070</v>
      </c>
      <c r="L1846" s="18" t="s">
        <v>1</v>
      </c>
      <c r="M1846" s="18">
        <v>1</v>
      </c>
      <c r="N1846" s="18">
        <v>1</v>
      </c>
      <c r="O1846" s="18">
        <v>10</v>
      </c>
      <c r="P1846" s="18">
        <v>0</v>
      </c>
      <c r="Q1846" s="18">
        <v>9</v>
      </c>
      <c r="R1846" s="1215">
        <v>2169</v>
      </c>
      <c r="S1846" s="1215">
        <f>R1846*O1846</f>
        <v>21690</v>
      </c>
      <c r="T1846" s="18" t="s">
        <v>3064</v>
      </c>
      <c r="U1846" s="1859" t="s">
        <v>3094</v>
      </c>
      <c r="V1846" s="18" t="s">
        <v>4071</v>
      </c>
      <c r="W1846" s="2037" t="s">
        <v>4072</v>
      </c>
      <c r="X1846" s="18"/>
      <c r="Y1846" s="4"/>
      <c r="Z1846" s="4"/>
    </row>
    <row r="1847" spans="1:26" ht="18" hidden="1">
      <c r="A1847" s="20">
        <v>1854</v>
      </c>
      <c r="B1847" s="1063">
        <v>41624</v>
      </c>
      <c r="C1847" s="925" t="s">
        <v>7159</v>
      </c>
      <c r="D1847" s="11" t="s">
        <v>6</v>
      </c>
      <c r="E1847" s="18" t="s">
        <v>5607</v>
      </c>
      <c r="F1847" s="924" t="s">
        <v>970</v>
      </c>
      <c r="G1847" s="195" t="s">
        <v>7160</v>
      </c>
      <c r="H1847" s="206" t="s">
        <v>7161</v>
      </c>
      <c r="I1847" s="184" t="s">
        <v>366</v>
      </c>
      <c r="J1847" s="195"/>
      <c r="K1847" s="195" t="s">
        <v>7160</v>
      </c>
      <c r="L1847" s="195"/>
      <c r="M1847" s="195">
        <v>1</v>
      </c>
      <c r="N1847" s="195">
        <v>1</v>
      </c>
      <c r="O1847" s="195">
        <v>1</v>
      </c>
      <c r="P1847" s="195">
        <v>0</v>
      </c>
      <c r="Q1847" s="195">
        <v>1</v>
      </c>
      <c r="R1847" s="1248">
        <v>79254</v>
      </c>
      <c r="S1847" s="1248">
        <v>79254</v>
      </c>
      <c r="T1847" s="195" t="s">
        <v>6037</v>
      </c>
      <c r="U1847" s="1895"/>
      <c r="V1847" s="195" t="s">
        <v>2962</v>
      </c>
      <c r="W1847" s="2067" t="s">
        <v>7162</v>
      </c>
      <c r="X1847" s="18"/>
      <c r="Y1847" s="4"/>
      <c r="Z1847" s="4"/>
    </row>
    <row r="1848" spans="1:26" ht="18" hidden="1">
      <c r="A1848" s="20">
        <v>1855</v>
      </c>
      <c r="B1848" s="1063">
        <v>41625</v>
      </c>
      <c r="C1848" s="925" t="s">
        <v>7163</v>
      </c>
      <c r="D1848" s="11" t="s">
        <v>6</v>
      </c>
      <c r="E1848" s="18" t="s">
        <v>5607</v>
      </c>
      <c r="F1848" s="924" t="s">
        <v>970</v>
      </c>
      <c r="G1848" s="195" t="s">
        <v>7164</v>
      </c>
      <c r="H1848" s="206" t="s">
        <v>686</v>
      </c>
      <c r="I1848" s="184" t="s">
        <v>366</v>
      </c>
      <c r="J1848" s="195"/>
      <c r="K1848" s="195" t="s">
        <v>7164</v>
      </c>
      <c r="L1848" s="195"/>
      <c r="M1848" s="195">
        <v>20</v>
      </c>
      <c r="N1848" s="195">
        <v>1</v>
      </c>
      <c r="O1848" s="195">
        <v>20</v>
      </c>
      <c r="P1848" s="195">
        <v>0</v>
      </c>
      <c r="Q1848" s="195">
        <v>20</v>
      </c>
      <c r="R1848" s="1248">
        <v>47</v>
      </c>
      <c r="S1848" s="1248">
        <v>940</v>
      </c>
      <c r="T1848" s="195" t="s">
        <v>6037</v>
      </c>
      <c r="U1848" s="1895"/>
      <c r="V1848" s="195" t="s">
        <v>2962</v>
      </c>
      <c r="W1848" s="2067" t="s">
        <v>7165</v>
      </c>
      <c r="X1848" s="18"/>
      <c r="Y1848" s="4"/>
      <c r="Z1848" s="4"/>
    </row>
    <row r="1849" spans="1:26" ht="18" hidden="1">
      <c r="A1849" s="20">
        <v>1856</v>
      </c>
      <c r="B1849" s="1063">
        <v>41626</v>
      </c>
      <c r="C1849" s="925" t="s">
        <v>7166</v>
      </c>
      <c r="D1849" s="11" t="s">
        <v>6</v>
      </c>
      <c r="E1849" s="18" t="s">
        <v>5607</v>
      </c>
      <c r="F1849" s="924" t="s">
        <v>970</v>
      </c>
      <c r="G1849" s="195" t="s">
        <v>7167</v>
      </c>
      <c r="H1849" s="206" t="s">
        <v>686</v>
      </c>
      <c r="I1849" s="184" t="s">
        <v>366</v>
      </c>
      <c r="J1849" s="195"/>
      <c r="K1849" s="195" t="s">
        <v>7167</v>
      </c>
      <c r="L1849" s="195"/>
      <c r="M1849" s="195">
        <v>20</v>
      </c>
      <c r="N1849" s="195">
        <v>1</v>
      </c>
      <c r="O1849" s="195">
        <v>20</v>
      </c>
      <c r="P1849" s="195">
        <v>0</v>
      </c>
      <c r="Q1849" s="195">
        <v>20</v>
      </c>
      <c r="R1849" s="1248">
        <v>23</v>
      </c>
      <c r="S1849" s="1248">
        <v>460</v>
      </c>
      <c r="T1849" s="195" t="s">
        <v>6037</v>
      </c>
      <c r="U1849" s="1895"/>
      <c r="V1849" s="195" t="s">
        <v>2962</v>
      </c>
      <c r="W1849" s="2067" t="s">
        <v>7165</v>
      </c>
      <c r="X1849" s="26"/>
      <c r="Y1849" s="71"/>
      <c r="Z1849" s="71"/>
    </row>
    <row r="1850" spans="1:26" ht="18" hidden="1">
      <c r="A1850" s="20">
        <v>1857</v>
      </c>
      <c r="B1850" s="1063">
        <v>41627</v>
      </c>
      <c r="C1850" s="925" t="s">
        <v>7168</v>
      </c>
      <c r="D1850" s="11" t="s">
        <v>6</v>
      </c>
      <c r="E1850" s="18" t="s">
        <v>5607</v>
      </c>
      <c r="F1850" s="924" t="s">
        <v>970</v>
      </c>
      <c r="G1850" s="195" t="s">
        <v>7169</v>
      </c>
      <c r="H1850" s="184" t="s">
        <v>961</v>
      </c>
      <c r="I1850" s="184" t="s">
        <v>366</v>
      </c>
      <c r="J1850" s="195"/>
      <c r="K1850" s="195" t="s">
        <v>7170</v>
      </c>
      <c r="L1850" s="195"/>
      <c r="M1850" s="195">
        <v>12</v>
      </c>
      <c r="N1850" s="195">
        <v>1</v>
      </c>
      <c r="O1850" s="195">
        <v>12</v>
      </c>
      <c r="P1850" s="195">
        <v>0</v>
      </c>
      <c r="Q1850" s="195">
        <v>12</v>
      </c>
      <c r="R1850" s="1248">
        <v>200</v>
      </c>
      <c r="S1850" s="1248">
        <v>2400</v>
      </c>
      <c r="T1850" s="195" t="s">
        <v>6037</v>
      </c>
      <c r="U1850" s="1895"/>
      <c r="V1850" s="195" t="s">
        <v>2962</v>
      </c>
      <c r="W1850" s="2067" t="s">
        <v>7171</v>
      </c>
      <c r="X1850" s="26"/>
      <c r="Y1850" s="71"/>
      <c r="Z1850" s="71"/>
    </row>
    <row r="1851" spans="1:26" ht="18" hidden="1">
      <c r="A1851" s="20">
        <v>1858</v>
      </c>
      <c r="B1851" s="1063">
        <v>41628</v>
      </c>
      <c r="C1851" s="925" t="s">
        <v>7172</v>
      </c>
      <c r="D1851" s="11" t="s">
        <v>6</v>
      </c>
      <c r="E1851" s="18" t="s">
        <v>5607</v>
      </c>
      <c r="F1851" s="924" t="s">
        <v>970</v>
      </c>
      <c r="G1851" s="195" t="s">
        <v>7173</v>
      </c>
      <c r="H1851" s="184" t="s">
        <v>961</v>
      </c>
      <c r="I1851" s="184" t="s">
        <v>366</v>
      </c>
      <c r="J1851" s="195"/>
      <c r="K1851" s="195" t="s">
        <v>7173</v>
      </c>
      <c r="L1851" s="195"/>
      <c r="M1851" s="195">
        <v>8</v>
      </c>
      <c r="N1851" s="195">
        <v>1</v>
      </c>
      <c r="O1851" s="195">
        <v>8</v>
      </c>
      <c r="P1851" s="195">
        <v>0</v>
      </c>
      <c r="Q1851" s="195">
        <v>8</v>
      </c>
      <c r="R1851" s="1248">
        <v>459</v>
      </c>
      <c r="S1851" s="1248">
        <v>3672</v>
      </c>
      <c r="T1851" s="195" t="s">
        <v>6037</v>
      </c>
      <c r="U1851" s="1895"/>
      <c r="V1851" s="195" t="s">
        <v>2962</v>
      </c>
      <c r="W1851" s="2067" t="s">
        <v>7174</v>
      </c>
      <c r="X1851" s="18"/>
      <c r="Y1851" s="4"/>
      <c r="Z1851" s="4"/>
    </row>
    <row r="1852" spans="1:26" ht="18" hidden="1">
      <c r="A1852" s="20">
        <v>1859</v>
      </c>
      <c r="B1852" s="1063">
        <v>41629</v>
      </c>
      <c r="C1852" s="925" t="s">
        <v>7175</v>
      </c>
      <c r="D1852" s="11" t="s">
        <v>6</v>
      </c>
      <c r="E1852" s="18" t="s">
        <v>5607</v>
      </c>
      <c r="F1852" s="924" t="s">
        <v>970</v>
      </c>
      <c r="G1852" s="195" t="s">
        <v>7176</v>
      </c>
      <c r="H1852" s="184" t="s">
        <v>961</v>
      </c>
      <c r="I1852" s="184" t="s">
        <v>366</v>
      </c>
      <c r="J1852" s="195"/>
      <c r="K1852" s="195" t="s">
        <v>7177</v>
      </c>
      <c r="L1852" s="195"/>
      <c r="M1852" s="195">
        <v>24</v>
      </c>
      <c r="N1852" s="195">
        <v>1</v>
      </c>
      <c r="O1852" s="195">
        <v>24</v>
      </c>
      <c r="P1852" s="195">
        <v>0</v>
      </c>
      <c r="Q1852" s="195">
        <v>24</v>
      </c>
      <c r="R1852" s="1248">
        <v>180</v>
      </c>
      <c r="S1852" s="1248">
        <v>4320</v>
      </c>
      <c r="T1852" s="195" t="s">
        <v>6037</v>
      </c>
      <c r="U1852" s="1895"/>
      <c r="V1852" s="195" t="s">
        <v>2962</v>
      </c>
      <c r="W1852" s="2067" t="s">
        <v>7178</v>
      </c>
      <c r="X1852" s="18"/>
      <c r="Y1852" s="4"/>
      <c r="Z1852" s="4"/>
    </row>
    <row r="1853" spans="1:26" ht="18" hidden="1">
      <c r="A1853" s="20">
        <v>1860</v>
      </c>
      <c r="B1853" s="1063">
        <v>41630</v>
      </c>
      <c r="C1853" s="925" t="s">
        <v>7179</v>
      </c>
      <c r="D1853" s="11" t="s">
        <v>6</v>
      </c>
      <c r="E1853" s="18" t="s">
        <v>5607</v>
      </c>
      <c r="F1853" s="924" t="s">
        <v>970</v>
      </c>
      <c r="G1853" s="195" t="s">
        <v>7180</v>
      </c>
      <c r="H1853" s="206" t="s">
        <v>686</v>
      </c>
      <c r="I1853" s="184" t="s">
        <v>366</v>
      </c>
      <c r="J1853" s="195"/>
      <c r="K1853" s="195" t="s">
        <v>7180</v>
      </c>
      <c r="L1853" s="195"/>
      <c r="M1853" s="195">
        <v>20</v>
      </c>
      <c r="N1853" s="195">
        <v>1</v>
      </c>
      <c r="O1853" s="195">
        <v>20</v>
      </c>
      <c r="P1853" s="195">
        <v>0</v>
      </c>
      <c r="Q1853" s="195">
        <v>20</v>
      </c>
      <c r="R1853" s="1248">
        <v>58</v>
      </c>
      <c r="S1853" s="1248">
        <v>1160</v>
      </c>
      <c r="T1853" s="195" t="s">
        <v>6037</v>
      </c>
      <c r="U1853" s="1895"/>
      <c r="V1853" s="195" t="s">
        <v>2962</v>
      </c>
      <c r="W1853" s="2067" t="s">
        <v>7165</v>
      </c>
      <c r="X1853" s="18"/>
      <c r="Y1853" s="4"/>
      <c r="Z1853" s="4"/>
    </row>
    <row r="1854" spans="1:26" ht="18" hidden="1">
      <c r="A1854" s="20">
        <v>1861</v>
      </c>
      <c r="B1854" s="1063">
        <v>41631</v>
      </c>
      <c r="C1854" s="925" t="s">
        <v>7181</v>
      </c>
      <c r="D1854" s="11" t="s">
        <v>6</v>
      </c>
      <c r="E1854" s="18" t="s">
        <v>5607</v>
      </c>
      <c r="F1854" s="924" t="s">
        <v>970</v>
      </c>
      <c r="G1854" s="195" t="s">
        <v>7182</v>
      </c>
      <c r="H1854" s="206" t="s">
        <v>686</v>
      </c>
      <c r="I1854" s="184" t="s">
        <v>366</v>
      </c>
      <c r="J1854" s="195"/>
      <c r="K1854" s="195" t="s">
        <v>7182</v>
      </c>
      <c r="L1854" s="195"/>
      <c r="M1854" s="195">
        <v>20</v>
      </c>
      <c r="N1854" s="195">
        <v>1</v>
      </c>
      <c r="O1854" s="195">
        <v>20</v>
      </c>
      <c r="P1854" s="195">
        <v>0</v>
      </c>
      <c r="Q1854" s="195">
        <v>20</v>
      </c>
      <c r="R1854" s="1248">
        <v>58</v>
      </c>
      <c r="S1854" s="1248">
        <v>1160</v>
      </c>
      <c r="T1854" s="195" t="s">
        <v>6037</v>
      </c>
      <c r="U1854" s="1895"/>
      <c r="V1854" s="195" t="s">
        <v>2962</v>
      </c>
      <c r="W1854" s="2067" t="s">
        <v>7165</v>
      </c>
      <c r="X1854" s="18"/>
      <c r="Y1854" s="4"/>
      <c r="Z1854" s="4"/>
    </row>
    <row r="1855" spans="1:26" ht="18" hidden="1">
      <c r="A1855" s="20">
        <v>1862</v>
      </c>
      <c r="B1855" s="1063">
        <v>41632</v>
      </c>
      <c r="C1855" s="925" t="s">
        <v>7183</v>
      </c>
      <c r="D1855" s="11" t="s">
        <v>6</v>
      </c>
      <c r="E1855" s="18" t="s">
        <v>5607</v>
      </c>
      <c r="F1855" s="924" t="s">
        <v>970</v>
      </c>
      <c r="G1855" s="195" t="s">
        <v>7184</v>
      </c>
      <c r="H1855" s="206" t="s">
        <v>686</v>
      </c>
      <c r="I1855" s="184" t="s">
        <v>366</v>
      </c>
      <c r="J1855" s="195"/>
      <c r="K1855" s="195" t="s">
        <v>7184</v>
      </c>
      <c r="L1855" s="195"/>
      <c r="M1855" s="195">
        <v>20</v>
      </c>
      <c r="N1855" s="195">
        <v>1</v>
      </c>
      <c r="O1855" s="195">
        <v>20</v>
      </c>
      <c r="P1855" s="195">
        <v>0</v>
      </c>
      <c r="Q1855" s="195">
        <v>20</v>
      </c>
      <c r="R1855" s="1248">
        <v>34</v>
      </c>
      <c r="S1855" s="1248">
        <v>680</v>
      </c>
      <c r="T1855" s="195" t="s">
        <v>6037</v>
      </c>
      <c r="U1855" s="1895"/>
      <c r="V1855" s="195" t="s">
        <v>2962</v>
      </c>
      <c r="W1855" s="2067" t="s">
        <v>7165</v>
      </c>
      <c r="X1855" s="26"/>
      <c r="Y1855" s="71"/>
      <c r="Z1855" s="71"/>
    </row>
    <row r="1856" spans="1:26" ht="18" hidden="1">
      <c r="A1856" s="20">
        <v>1863</v>
      </c>
      <c r="B1856" s="1063">
        <v>41633</v>
      </c>
      <c r="C1856" s="925" t="s">
        <v>7185</v>
      </c>
      <c r="D1856" s="11" t="s">
        <v>6</v>
      </c>
      <c r="E1856" s="18" t="s">
        <v>5607</v>
      </c>
      <c r="F1856" s="924" t="s">
        <v>970</v>
      </c>
      <c r="G1856" s="195" t="s">
        <v>7186</v>
      </c>
      <c r="H1856" s="206" t="s">
        <v>686</v>
      </c>
      <c r="I1856" s="184" t="s">
        <v>366</v>
      </c>
      <c r="J1856" s="195"/>
      <c r="K1856" s="195" t="s">
        <v>7186</v>
      </c>
      <c r="L1856" s="195"/>
      <c r="M1856" s="195">
        <v>20</v>
      </c>
      <c r="N1856" s="195">
        <v>1</v>
      </c>
      <c r="O1856" s="195">
        <v>20</v>
      </c>
      <c r="P1856" s="195">
        <v>0</v>
      </c>
      <c r="Q1856" s="195">
        <v>20</v>
      </c>
      <c r="R1856" s="1248">
        <v>47</v>
      </c>
      <c r="S1856" s="1248">
        <v>940</v>
      </c>
      <c r="T1856" s="195" t="s">
        <v>6037</v>
      </c>
      <c r="U1856" s="1895"/>
      <c r="V1856" s="195" t="s">
        <v>2962</v>
      </c>
      <c r="W1856" s="2067" t="s">
        <v>7165</v>
      </c>
      <c r="X1856" s="26"/>
      <c r="Y1856" s="71"/>
      <c r="Z1856" s="71"/>
    </row>
    <row r="1857" spans="1:26" ht="18" hidden="1">
      <c r="A1857" s="20">
        <v>1864</v>
      </c>
      <c r="B1857" s="1063">
        <v>41634</v>
      </c>
      <c r="C1857" s="925" t="s">
        <v>7187</v>
      </c>
      <c r="D1857" s="11" t="s">
        <v>6</v>
      </c>
      <c r="E1857" s="18" t="s">
        <v>5607</v>
      </c>
      <c r="F1857" s="924" t="s">
        <v>970</v>
      </c>
      <c r="G1857" s="195" t="s">
        <v>7188</v>
      </c>
      <c r="H1857" s="206" t="s">
        <v>686</v>
      </c>
      <c r="I1857" s="184" t="s">
        <v>366</v>
      </c>
      <c r="J1857" s="195"/>
      <c r="K1857" s="195" t="s">
        <v>7188</v>
      </c>
      <c r="L1857" s="195"/>
      <c r="M1857" s="195">
        <v>50</v>
      </c>
      <c r="N1857" s="195">
        <v>1</v>
      </c>
      <c r="O1857" s="195">
        <v>50</v>
      </c>
      <c r="P1857" s="195">
        <v>0</v>
      </c>
      <c r="Q1857" s="195">
        <v>50</v>
      </c>
      <c r="R1857" s="1248">
        <v>9</v>
      </c>
      <c r="S1857" s="1248">
        <v>450</v>
      </c>
      <c r="T1857" s="195" t="s">
        <v>6037</v>
      </c>
      <c r="U1857" s="1895"/>
      <c r="V1857" s="195" t="s">
        <v>2962</v>
      </c>
      <c r="W1857" s="2067" t="s">
        <v>7189</v>
      </c>
      <c r="X1857" s="18"/>
      <c r="Y1857" s="4"/>
      <c r="Z1857" s="4"/>
    </row>
    <row r="1858" spans="1:26" ht="18" hidden="1">
      <c r="A1858" s="20">
        <v>1865</v>
      </c>
      <c r="B1858" s="1063">
        <v>41635</v>
      </c>
      <c r="C1858" s="925" t="s">
        <v>7190</v>
      </c>
      <c r="D1858" s="11" t="s">
        <v>6</v>
      </c>
      <c r="E1858" s="18" t="s">
        <v>5607</v>
      </c>
      <c r="F1858" s="924" t="s">
        <v>970</v>
      </c>
      <c r="G1858" s="195" t="s">
        <v>7191</v>
      </c>
      <c r="H1858" s="206" t="s">
        <v>686</v>
      </c>
      <c r="I1858" s="184" t="s">
        <v>366</v>
      </c>
      <c r="J1858" s="195"/>
      <c r="K1858" s="195" t="s">
        <v>7191</v>
      </c>
      <c r="L1858" s="195"/>
      <c r="M1858" s="195">
        <v>50</v>
      </c>
      <c r="N1858" s="195">
        <v>1</v>
      </c>
      <c r="O1858" s="195">
        <v>50</v>
      </c>
      <c r="P1858" s="195">
        <v>0</v>
      </c>
      <c r="Q1858" s="195">
        <v>50</v>
      </c>
      <c r="R1858" s="1248">
        <v>9</v>
      </c>
      <c r="S1858" s="1248">
        <v>450</v>
      </c>
      <c r="T1858" s="195" t="s">
        <v>6037</v>
      </c>
      <c r="U1858" s="1895"/>
      <c r="V1858" s="195" t="s">
        <v>2962</v>
      </c>
      <c r="W1858" s="2067" t="s">
        <v>7189</v>
      </c>
      <c r="X1858" s="18"/>
      <c r="Y1858" s="4"/>
      <c r="Z1858" s="4"/>
    </row>
    <row r="1859" spans="1:26" ht="18" hidden="1">
      <c r="A1859" s="20">
        <v>1866</v>
      </c>
      <c r="B1859" s="1063">
        <v>41636</v>
      </c>
      <c r="C1859" s="925" t="s">
        <v>7192</v>
      </c>
      <c r="D1859" s="11" t="s">
        <v>6</v>
      </c>
      <c r="E1859" s="18" t="s">
        <v>5607</v>
      </c>
      <c r="F1859" s="924" t="s">
        <v>970</v>
      </c>
      <c r="G1859" s="195" t="s">
        <v>7193</v>
      </c>
      <c r="H1859" s="206" t="s">
        <v>7194</v>
      </c>
      <c r="I1859" s="184" t="s">
        <v>366</v>
      </c>
      <c r="J1859" s="195"/>
      <c r="K1859" s="195" t="s">
        <v>7193</v>
      </c>
      <c r="L1859" s="195"/>
      <c r="M1859" s="195">
        <v>2</v>
      </c>
      <c r="N1859" s="195">
        <v>1</v>
      </c>
      <c r="O1859" s="195">
        <v>2</v>
      </c>
      <c r="P1859" s="195">
        <v>0</v>
      </c>
      <c r="Q1859" s="195">
        <v>2</v>
      </c>
      <c r="R1859" s="1248">
        <v>373</v>
      </c>
      <c r="S1859" s="1248">
        <v>746</v>
      </c>
      <c r="T1859" s="195" t="s">
        <v>6037</v>
      </c>
      <c r="U1859" s="1895"/>
      <c r="V1859" s="195" t="s">
        <v>2962</v>
      </c>
      <c r="W1859" s="2067" t="s">
        <v>7195</v>
      </c>
      <c r="X1859" s="18"/>
      <c r="Y1859" s="4"/>
      <c r="Z1859" s="4"/>
    </row>
    <row r="1860" spans="1:26" ht="18" hidden="1">
      <c r="A1860" s="20">
        <v>1867</v>
      </c>
      <c r="B1860" s="1063">
        <v>41637</v>
      </c>
      <c r="C1860" s="925" t="s">
        <v>7196</v>
      </c>
      <c r="D1860" s="11" t="s">
        <v>6</v>
      </c>
      <c r="E1860" s="18" t="s">
        <v>5607</v>
      </c>
      <c r="F1860" s="924" t="s">
        <v>970</v>
      </c>
      <c r="G1860" s="195" t="s">
        <v>7197</v>
      </c>
      <c r="H1860" s="206" t="s">
        <v>7194</v>
      </c>
      <c r="I1860" s="184" t="s">
        <v>366</v>
      </c>
      <c r="J1860" s="195"/>
      <c r="K1860" s="195" t="s">
        <v>7197</v>
      </c>
      <c r="L1860" s="195"/>
      <c r="M1860" s="195">
        <v>1</v>
      </c>
      <c r="N1860" s="195">
        <v>1</v>
      </c>
      <c r="O1860" s="195">
        <v>1</v>
      </c>
      <c r="P1860" s="195">
        <v>0</v>
      </c>
      <c r="Q1860" s="195">
        <v>1</v>
      </c>
      <c r="R1860" s="1248">
        <v>246</v>
      </c>
      <c r="S1860" s="1248">
        <v>246</v>
      </c>
      <c r="T1860" s="195" t="s">
        <v>6037</v>
      </c>
      <c r="U1860" s="1895"/>
      <c r="V1860" s="195" t="s">
        <v>2962</v>
      </c>
      <c r="W1860" s="2067" t="s">
        <v>7198</v>
      </c>
      <c r="X1860" s="18"/>
      <c r="Y1860" s="4"/>
      <c r="Z1860" s="4"/>
    </row>
    <row r="1861" spans="1:26" ht="18" hidden="1">
      <c r="A1861" s="20">
        <v>1868</v>
      </c>
      <c r="B1861" s="1063">
        <v>41638</v>
      </c>
      <c r="C1861" s="925" t="s">
        <v>7199</v>
      </c>
      <c r="D1861" s="11" t="s">
        <v>6</v>
      </c>
      <c r="E1861" s="18" t="s">
        <v>5607</v>
      </c>
      <c r="F1861" s="924" t="s">
        <v>970</v>
      </c>
      <c r="G1861" s="195" t="s">
        <v>7200</v>
      </c>
      <c r="H1861" s="206" t="s">
        <v>7201</v>
      </c>
      <c r="I1861" s="184" t="s">
        <v>366</v>
      </c>
      <c r="J1861" s="195"/>
      <c r="K1861" s="195" t="s">
        <v>7200</v>
      </c>
      <c r="L1861" s="195"/>
      <c r="M1861" s="195">
        <v>8</v>
      </c>
      <c r="N1861" s="195">
        <v>1</v>
      </c>
      <c r="O1861" s="195">
        <v>8</v>
      </c>
      <c r="P1861" s="195">
        <v>0</v>
      </c>
      <c r="Q1861" s="195">
        <v>8</v>
      </c>
      <c r="R1861" s="1248">
        <v>219</v>
      </c>
      <c r="S1861" s="1248">
        <v>1752</v>
      </c>
      <c r="T1861" s="195" t="s">
        <v>6037</v>
      </c>
      <c r="U1861" s="1895"/>
      <c r="V1861" s="195" t="s">
        <v>2962</v>
      </c>
      <c r="W1861" s="2067" t="s">
        <v>7202</v>
      </c>
      <c r="X1861" s="26"/>
      <c r="Y1861" s="71"/>
      <c r="Z1861" s="71"/>
    </row>
    <row r="1862" spans="1:26" ht="18" hidden="1">
      <c r="A1862" s="20">
        <v>1869</v>
      </c>
      <c r="B1862" s="1063">
        <v>41639</v>
      </c>
      <c r="C1862" s="925" t="s">
        <v>7203</v>
      </c>
      <c r="D1862" s="11" t="s">
        <v>6</v>
      </c>
      <c r="E1862" s="18" t="s">
        <v>5607</v>
      </c>
      <c r="F1862" s="924" t="s">
        <v>970</v>
      </c>
      <c r="G1862" s="195" t="s">
        <v>7204</v>
      </c>
      <c r="H1862" s="206" t="s">
        <v>7205</v>
      </c>
      <c r="I1862" s="184" t="s">
        <v>7206</v>
      </c>
      <c r="J1862" s="195"/>
      <c r="K1862" s="195"/>
      <c r="L1862" s="195"/>
      <c r="M1862" s="195">
        <v>1</v>
      </c>
      <c r="N1862" s="195">
        <v>1</v>
      </c>
      <c r="O1862" s="195">
        <v>1</v>
      </c>
      <c r="P1862" s="195">
        <v>0</v>
      </c>
      <c r="Q1862" s="195">
        <v>1</v>
      </c>
      <c r="R1862" s="1248">
        <v>3520</v>
      </c>
      <c r="S1862" s="1248">
        <v>3520</v>
      </c>
      <c r="T1862" s="195" t="s">
        <v>6037</v>
      </c>
      <c r="U1862" s="1895"/>
      <c r="V1862" s="195" t="s">
        <v>2962</v>
      </c>
      <c r="W1862" s="2067" t="s">
        <v>7207</v>
      </c>
      <c r="X1862" s="26"/>
      <c r="Y1862" s="71"/>
      <c r="Z1862" s="71"/>
    </row>
    <row r="1863" spans="1:26" ht="18" hidden="1">
      <c r="A1863" s="20">
        <v>1870</v>
      </c>
      <c r="B1863" s="1063">
        <v>41640</v>
      </c>
      <c r="C1863" s="925" t="s">
        <v>7208</v>
      </c>
      <c r="D1863" s="11" t="s">
        <v>6</v>
      </c>
      <c r="E1863" s="18" t="s">
        <v>5607</v>
      </c>
      <c r="F1863" s="924" t="s">
        <v>970</v>
      </c>
      <c r="G1863" s="195" t="s">
        <v>7209</v>
      </c>
      <c r="H1863" s="206" t="s">
        <v>7210</v>
      </c>
      <c r="I1863" s="184" t="s">
        <v>113</v>
      </c>
      <c r="J1863" s="195">
        <v>1775262</v>
      </c>
      <c r="K1863" s="195" t="s">
        <v>7209</v>
      </c>
      <c r="L1863" s="195"/>
      <c r="M1863" s="195">
        <v>1</v>
      </c>
      <c r="N1863" s="195">
        <v>1</v>
      </c>
      <c r="O1863" s="195">
        <v>1</v>
      </c>
      <c r="P1863" s="195">
        <v>0</v>
      </c>
      <c r="Q1863" s="195">
        <v>1</v>
      </c>
      <c r="R1863" s="1248">
        <v>48900</v>
      </c>
      <c r="S1863" s="1248">
        <v>48900</v>
      </c>
      <c r="T1863" s="195" t="s">
        <v>6037</v>
      </c>
      <c r="U1863" s="1895"/>
      <c r="V1863" s="195" t="s">
        <v>2962</v>
      </c>
      <c r="W1863" s="2067" t="s">
        <v>7211</v>
      </c>
      <c r="X1863" s="18"/>
      <c r="Y1863" s="4"/>
      <c r="Z1863" s="4"/>
    </row>
    <row r="1864" spans="1:26" ht="14.1" hidden="1">
      <c r="A1864" s="20">
        <v>1871</v>
      </c>
      <c r="B1864" s="1063">
        <v>41641</v>
      </c>
      <c r="C1864" s="940" t="s">
        <v>4560</v>
      </c>
      <c r="D1864" s="11"/>
      <c r="E1864" s="239" t="s">
        <v>572</v>
      </c>
      <c r="F1864" s="940" t="s">
        <v>2006</v>
      </c>
      <c r="G1864" s="239" t="s">
        <v>4561</v>
      </c>
      <c r="H1864" s="239" t="s">
        <v>2920</v>
      </c>
      <c r="I1864" s="239" t="s">
        <v>574</v>
      </c>
      <c r="J1864" s="239" t="s">
        <v>4562</v>
      </c>
      <c r="K1864" s="239">
        <v>1950</v>
      </c>
      <c r="L1864" s="239" t="s">
        <v>3362</v>
      </c>
      <c r="M1864" s="239">
        <v>1</v>
      </c>
      <c r="N1864" s="239">
        <v>1</v>
      </c>
      <c r="O1864" s="239">
        <v>1</v>
      </c>
      <c r="P1864" s="239">
        <v>0</v>
      </c>
      <c r="Q1864" s="572">
        <f t="shared" ref="Q1864:Q1869" si="92">(O1864+P1864)-M1864</f>
        <v>0</v>
      </c>
      <c r="R1864" s="1261">
        <v>227</v>
      </c>
      <c r="S1864" s="1261">
        <f t="shared" ref="S1864:S1869" si="93">R1864*O1864</f>
        <v>227</v>
      </c>
      <c r="T1864" s="239" t="s">
        <v>5448</v>
      </c>
      <c r="U1864" s="1901" t="s">
        <v>678</v>
      </c>
      <c r="V1864" s="572" t="s">
        <v>5990</v>
      </c>
      <c r="W1864" s="681" t="s">
        <v>4564</v>
      </c>
      <c r="X1864" s="18"/>
      <c r="Y1864" s="4"/>
      <c r="Z1864" s="4"/>
    </row>
    <row r="1865" spans="1:26" ht="14.1" hidden="1">
      <c r="A1865" s="20">
        <v>1872</v>
      </c>
      <c r="B1865" s="1063">
        <v>41642</v>
      </c>
      <c r="C1865" s="940" t="s">
        <v>4565</v>
      </c>
      <c r="D1865" s="11"/>
      <c r="E1865" s="239" t="s">
        <v>572</v>
      </c>
      <c r="F1865" s="940" t="s">
        <v>2006</v>
      </c>
      <c r="G1865" s="239" t="s">
        <v>4566</v>
      </c>
      <c r="H1865" s="239" t="s">
        <v>2920</v>
      </c>
      <c r="I1865" s="239" t="s">
        <v>574</v>
      </c>
      <c r="J1865" s="239" t="s">
        <v>4567</v>
      </c>
      <c r="K1865" s="239">
        <v>1957</v>
      </c>
      <c r="L1865" s="239" t="s">
        <v>3362</v>
      </c>
      <c r="M1865" s="239">
        <v>1</v>
      </c>
      <c r="N1865" s="239">
        <v>1</v>
      </c>
      <c r="O1865" s="239">
        <v>1</v>
      </c>
      <c r="P1865" s="239">
        <v>0</v>
      </c>
      <c r="Q1865" s="572">
        <f t="shared" si="92"/>
        <v>0</v>
      </c>
      <c r="R1865" s="1261">
        <v>227</v>
      </c>
      <c r="S1865" s="1261">
        <f t="shared" si="93"/>
        <v>227</v>
      </c>
      <c r="T1865" s="239" t="s">
        <v>5448</v>
      </c>
      <c r="U1865" s="1901" t="s">
        <v>678</v>
      </c>
      <c r="V1865" s="572" t="s">
        <v>5990</v>
      </c>
      <c r="W1865" s="681" t="s">
        <v>4568</v>
      </c>
      <c r="X1865" s="18"/>
      <c r="Y1865" s="4"/>
      <c r="Z1865" s="4"/>
    </row>
    <row r="1866" spans="1:26" ht="14.1" hidden="1">
      <c r="A1866" s="20">
        <v>1873</v>
      </c>
      <c r="B1866" s="1063">
        <v>41643</v>
      </c>
      <c r="C1866" s="940" t="s">
        <v>4569</v>
      </c>
      <c r="D1866" s="11"/>
      <c r="E1866" s="239" t="s">
        <v>572</v>
      </c>
      <c r="F1866" s="940" t="s">
        <v>2006</v>
      </c>
      <c r="G1866" s="239" t="s">
        <v>4570</v>
      </c>
      <c r="H1866" s="239" t="s">
        <v>2920</v>
      </c>
      <c r="I1866" s="239" t="s">
        <v>574</v>
      </c>
      <c r="J1866" s="239" t="s">
        <v>4571</v>
      </c>
      <c r="K1866" s="239">
        <v>1954</v>
      </c>
      <c r="L1866" s="239" t="s">
        <v>3362</v>
      </c>
      <c r="M1866" s="239">
        <v>1</v>
      </c>
      <c r="N1866" s="239">
        <v>1</v>
      </c>
      <c r="O1866" s="239">
        <v>1</v>
      </c>
      <c r="P1866" s="239">
        <v>0</v>
      </c>
      <c r="Q1866" s="572">
        <f t="shared" si="92"/>
        <v>0</v>
      </c>
      <c r="R1866" s="1261">
        <v>227</v>
      </c>
      <c r="S1866" s="1261">
        <f t="shared" si="93"/>
        <v>227</v>
      </c>
      <c r="T1866" s="239" t="s">
        <v>5448</v>
      </c>
      <c r="U1866" s="1901" t="s">
        <v>678</v>
      </c>
      <c r="V1866" s="572" t="s">
        <v>5990</v>
      </c>
      <c r="W1866" s="681" t="s">
        <v>4572</v>
      </c>
      <c r="X1866" s="26"/>
      <c r="Y1866" s="71"/>
      <c r="Z1866" s="71"/>
    </row>
    <row r="1867" spans="1:26" ht="14.1" hidden="1">
      <c r="A1867" s="20">
        <v>1874</v>
      </c>
      <c r="B1867" s="1063">
        <v>41644</v>
      </c>
      <c r="C1867" s="940" t="s">
        <v>7212</v>
      </c>
      <c r="D1867" s="11"/>
      <c r="E1867" s="239" t="s">
        <v>572</v>
      </c>
      <c r="F1867" s="940" t="s">
        <v>2006</v>
      </c>
      <c r="G1867" s="239" t="s">
        <v>7213</v>
      </c>
      <c r="H1867" s="239" t="s">
        <v>1111</v>
      </c>
      <c r="I1867" s="239" t="s">
        <v>574</v>
      </c>
      <c r="J1867" s="239" t="s">
        <v>7214</v>
      </c>
      <c r="K1867" s="239" t="s">
        <v>7215</v>
      </c>
      <c r="L1867" s="239" t="s">
        <v>2063</v>
      </c>
      <c r="M1867" s="239">
        <v>3</v>
      </c>
      <c r="N1867" s="239">
        <v>1</v>
      </c>
      <c r="O1867" s="239">
        <v>3</v>
      </c>
      <c r="P1867" s="239">
        <v>0</v>
      </c>
      <c r="Q1867" s="572">
        <f t="shared" si="92"/>
        <v>0</v>
      </c>
      <c r="R1867" s="1261">
        <v>210</v>
      </c>
      <c r="S1867" s="1261">
        <f t="shared" si="93"/>
        <v>630</v>
      </c>
      <c r="T1867" s="239" t="s">
        <v>5448</v>
      </c>
      <c r="U1867" s="1901" t="s">
        <v>678</v>
      </c>
      <c r="V1867" s="572" t="s">
        <v>5990</v>
      </c>
      <c r="W1867" s="681" t="s">
        <v>7216</v>
      </c>
      <c r="X1867" s="26"/>
      <c r="Y1867" s="71"/>
      <c r="Z1867" s="71"/>
    </row>
    <row r="1868" spans="1:26" ht="14.1" hidden="1">
      <c r="A1868" s="20">
        <v>1875</v>
      </c>
      <c r="B1868" s="1063">
        <v>41645</v>
      </c>
      <c r="C1868" s="940" t="s">
        <v>7217</v>
      </c>
      <c r="D1868" s="11"/>
      <c r="E1868" s="239" t="s">
        <v>572</v>
      </c>
      <c r="F1868" s="940" t="s">
        <v>2006</v>
      </c>
      <c r="G1868" s="239" t="s">
        <v>7218</v>
      </c>
      <c r="H1868" s="239" t="s">
        <v>1111</v>
      </c>
      <c r="I1868" s="239" t="s">
        <v>574</v>
      </c>
      <c r="J1868" s="239" t="s">
        <v>7219</v>
      </c>
      <c r="K1868" s="239" t="s">
        <v>7220</v>
      </c>
      <c r="L1868" s="239" t="s">
        <v>2063</v>
      </c>
      <c r="M1868" s="239">
        <v>1</v>
      </c>
      <c r="N1868" s="239">
        <v>1</v>
      </c>
      <c r="O1868" s="239">
        <v>1</v>
      </c>
      <c r="P1868" s="239">
        <v>0</v>
      </c>
      <c r="Q1868" s="572">
        <f t="shared" si="92"/>
        <v>0</v>
      </c>
      <c r="R1868" s="1261">
        <v>392</v>
      </c>
      <c r="S1868" s="1261">
        <f t="shared" si="93"/>
        <v>392</v>
      </c>
      <c r="T1868" s="239" t="s">
        <v>5448</v>
      </c>
      <c r="U1868" s="1901" t="s">
        <v>678</v>
      </c>
      <c r="V1868" s="572" t="s">
        <v>5990</v>
      </c>
      <c r="W1868" s="681" t="s">
        <v>7221</v>
      </c>
      <c r="X1868" s="18"/>
      <c r="Y1868" s="4"/>
      <c r="Z1868" s="4"/>
    </row>
    <row r="1869" spans="1:26" ht="14.1" hidden="1">
      <c r="A1869" s="20">
        <v>1876</v>
      </c>
      <c r="B1869" s="1063">
        <v>41646</v>
      </c>
      <c r="C1869" s="940" t="s">
        <v>7222</v>
      </c>
      <c r="D1869" s="11"/>
      <c r="E1869" s="239" t="s">
        <v>572</v>
      </c>
      <c r="F1869" s="940" t="s">
        <v>2006</v>
      </c>
      <c r="G1869" s="239" t="s">
        <v>7223</v>
      </c>
      <c r="H1869" s="239" t="s">
        <v>7224</v>
      </c>
      <c r="I1869" s="239" t="s">
        <v>574</v>
      </c>
      <c r="J1869" s="239" t="s">
        <v>7225</v>
      </c>
      <c r="K1869" s="239" t="s">
        <v>7226</v>
      </c>
      <c r="L1869" s="239" t="s">
        <v>2063</v>
      </c>
      <c r="M1869" s="239">
        <v>5</v>
      </c>
      <c r="N1869" s="239">
        <v>1</v>
      </c>
      <c r="O1869" s="239">
        <v>5</v>
      </c>
      <c r="P1869" s="239">
        <v>0</v>
      </c>
      <c r="Q1869" s="572">
        <f t="shared" si="92"/>
        <v>0</v>
      </c>
      <c r="R1869" s="1261">
        <v>666</v>
      </c>
      <c r="S1869" s="1261">
        <f t="shared" si="93"/>
        <v>3330</v>
      </c>
      <c r="T1869" s="239" t="s">
        <v>5448</v>
      </c>
      <c r="U1869" s="1901" t="s">
        <v>678</v>
      </c>
      <c r="V1869" s="572" t="s">
        <v>5990</v>
      </c>
      <c r="W1869" s="681" t="s">
        <v>7227</v>
      </c>
      <c r="X1869" s="18"/>
      <c r="Y1869" s="4"/>
      <c r="Z1869" s="4"/>
    </row>
    <row r="1870" spans="1:26" ht="14.1" hidden="1">
      <c r="A1870" s="20">
        <v>1877</v>
      </c>
      <c r="B1870" s="1063">
        <v>41647</v>
      </c>
      <c r="C1870" s="940" t="s">
        <v>7228</v>
      </c>
      <c r="D1870" s="11" t="s">
        <v>6</v>
      </c>
      <c r="E1870" s="239" t="s">
        <v>7229</v>
      </c>
      <c r="F1870" s="940" t="s">
        <v>1569</v>
      </c>
      <c r="G1870" s="240" t="s">
        <v>7230</v>
      </c>
      <c r="H1870" s="239" t="s">
        <v>7231</v>
      </c>
      <c r="I1870" s="239" t="s">
        <v>7232</v>
      </c>
      <c r="J1870" s="239">
        <v>10887</v>
      </c>
      <c r="K1870" s="239">
        <v>10887</v>
      </c>
      <c r="L1870" s="239"/>
      <c r="M1870" s="239">
        <v>3</v>
      </c>
      <c r="N1870" s="239">
        <v>10</v>
      </c>
      <c r="O1870" s="239">
        <v>20</v>
      </c>
      <c r="P1870" s="239">
        <v>0</v>
      </c>
      <c r="Q1870" s="572">
        <v>17</v>
      </c>
      <c r="R1870" s="1261">
        <v>57200</v>
      </c>
      <c r="S1870" s="1261">
        <f>R1870*2</f>
        <v>114400</v>
      </c>
      <c r="T1870" s="239" t="s">
        <v>3064</v>
      </c>
      <c r="U1870" s="1901" t="s">
        <v>5864</v>
      </c>
      <c r="V1870" s="572" t="s">
        <v>7233</v>
      </c>
      <c r="W1870" s="2065" t="s">
        <v>7234</v>
      </c>
      <c r="X1870" s="18"/>
      <c r="Y1870" s="4"/>
      <c r="Z1870" s="4"/>
    </row>
    <row r="1871" spans="1:26" ht="14.1" hidden="1">
      <c r="A1871" s="20">
        <v>1878</v>
      </c>
      <c r="B1871" s="1063">
        <v>41648</v>
      </c>
      <c r="C1871" s="940" t="s">
        <v>7235</v>
      </c>
      <c r="D1871" s="11" t="s">
        <v>6</v>
      </c>
      <c r="E1871" s="239" t="s">
        <v>62</v>
      </c>
      <c r="F1871" s="940" t="s">
        <v>2143</v>
      </c>
      <c r="G1871" s="239" t="s">
        <v>7236</v>
      </c>
      <c r="H1871" s="239" t="s">
        <v>7237</v>
      </c>
      <c r="I1871" s="239" t="s">
        <v>7237</v>
      </c>
      <c r="J1871" s="239"/>
      <c r="K1871" s="239"/>
      <c r="L1871" s="239"/>
      <c r="M1871" s="239">
        <v>1</v>
      </c>
      <c r="N1871" s="239">
        <v>1</v>
      </c>
      <c r="O1871" s="239">
        <v>1</v>
      </c>
      <c r="P1871" s="239">
        <v>0</v>
      </c>
      <c r="Q1871" s="572">
        <v>0</v>
      </c>
      <c r="R1871" s="1261">
        <v>300</v>
      </c>
      <c r="S1871" s="1261">
        <v>300</v>
      </c>
      <c r="T1871" s="239" t="s">
        <v>7238</v>
      </c>
      <c r="U1871" s="1901" t="s">
        <v>118</v>
      </c>
      <c r="V1871" s="572" t="s">
        <v>7233</v>
      </c>
      <c r="W1871" s="2065" t="s">
        <v>7239</v>
      </c>
      <c r="X1871" s="18"/>
      <c r="Y1871" s="4"/>
      <c r="Z1871" s="4"/>
    </row>
    <row r="1872" spans="1:26" ht="37.5" hidden="1">
      <c r="A1872" s="20">
        <v>1879</v>
      </c>
      <c r="B1872" s="1063">
        <v>41649</v>
      </c>
      <c r="C1872" s="26" t="s">
        <v>2594</v>
      </c>
      <c r="D1872" s="11" t="s">
        <v>6</v>
      </c>
      <c r="E1872" s="26" t="s">
        <v>7229</v>
      </c>
      <c r="F1872" s="26" t="s">
        <v>2332</v>
      </c>
      <c r="G1872" s="26" t="s">
        <v>5532</v>
      </c>
      <c r="H1872" s="26" t="s">
        <v>366</v>
      </c>
      <c r="I1872" s="26" t="s">
        <v>366</v>
      </c>
      <c r="J1872" s="26" t="s">
        <v>5532</v>
      </c>
      <c r="K1872" s="26"/>
      <c r="L1872" s="26"/>
      <c r="M1872" s="205">
        <v>4</v>
      </c>
      <c r="N1872" s="26">
        <v>1</v>
      </c>
      <c r="O1872" s="26">
        <v>4</v>
      </c>
      <c r="P1872" s="26">
        <v>0</v>
      </c>
      <c r="Q1872" s="26">
        <f>P1872+O1872-M1872</f>
        <v>0</v>
      </c>
      <c r="R1872" s="1227">
        <v>470</v>
      </c>
      <c r="S1872" s="1228">
        <f t="shared" ref="S1872:S1874" si="94">R1872*O1872</f>
        <v>1880</v>
      </c>
      <c r="T1872" s="175" t="s">
        <v>929</v>
      </c>
      <c r="U1872" s="1871" t="s">
        <v>301</v>
      </c>
      <c r="V1872" s="26" t="s">
        <v>931</v>
      </c>
      <c r="W1872" s="2008" t="s">
        <v>5533</v>
      </c>
      <c r="X1872" s="26"/>
      <c r="Y1872" s="71"/>
      <c r="Z1872" s="71"/>
    </row>
    <row r="1873" spans="1:26" ht="51.95" hidden="1">
      <c r="A1873" s="20">
        <v>1880</v>
      </c>
      <c r="B1873" s="1063">
        <v>41650</v>
      </c>
      <c r="C1873" s="26" t="s">
        <v>2594</v>
      </c>
      <c r="D1873" s="11" t="s">
        <v>6</v>
      </c>
      <c r="E1873" s="26" t="s">
        <v>7229</v>
      </c>
      <c r="F1873" s="26" t="s">
        <v>2332</v>
      </c>
      <c r="G1873" s="26" t="s">
        <v>2612</v>
      </c>
      <c r="H1873" s="26" t="s">
        <v>382</v>
      </c>
      <c r="I1873" s="26" t="s">
        <v>366</v>
      </c>
      <c r="J1873" s="26" t="s">
        <v>2612</v>
      </c>
      <c r="K1873" s="26"/>
      <c r="L1873" s="26"/>
      <c r="M1873" s="26">
        <v>22</v>
      </c>
      <c r="N1873" s="26">
        <v>10</v>
      </c>
      <c r="O1873" s="26">
        <v>30</v>
      </c>
      <c r="P1873" s="26">
        <v>0</v>
      </c>
      <c r="Q1873" s="26">
        <f t="shared" ref="Q1873:Q1874" si="95">O1873+P1873-M1873</f>
        <v>8</v>
      </c>
      <c r="R1873" s="1227">
        <v>144.1</v>
      </c>
      <c r="S1873" s="1228">
        <f t="shared" si="94"/>
        <v>4323</v>
      </c>
      <c r="T1873" s="175" t="s">
        <v>929</v>
      </c>
      <c r="U1873" s="1871" t="s">
        <v>301</v>
      </c>
      <c r="V1873" s="26" t="s">
        <v>931</v>
      </c>
      <c r="W1873" s="2021" t="s">
        <v>5530</v>
      </c>
      <c r="X1873" s="26"/>
      <c r="Y1873" s="71"/>
      <c r="Z1873" s="71"/>
    </row>
    <row r="1874" spans="1:26" ht="37.5" hidden="1">
      <c r="A1874" s="20">
        <v>1881</v>
      </c>
      <c r="B1874" s="1063">
        <v>41651</v>
      </c>
      <c r="C1874" s="26" t="s">
        <v>2594</v>
      </c>
      <c r="D1874" s="11" t="s">
        <v>6</v>
      </c>
      <c r="E1874" s="26" t="s">
        <v>7229</v>
      </c>
      <c r="F1874" s="26" t="s">
        <v>2332</v>
      </c>
      <c r="G1874" s="26" t="s">
        <v>2602</v>
      </c>
      <c r="H1874" s="26" t="s">
        <v>366</v>
      </c>
      <c r="I1874" s="26" t="s">
        <v>366</v>
      </c>
      <c r="J1874" s="26" t="s">
        <v>2602</v>
      </c>
      <c r="K1874" s="26"/>
      <c r="L1874" s="26"/>
      <c r="M1874" s="26">
        <v>4</v>
      </c>
      <c r="N1874" s="26">
        <v>10</v>
      </c>
      <c r="O1874" s="26">
        <v>10</v>
      </c>
      <c r="P1874" s="26">
        <v>0</v>
      </c>
      <c r="Q1874" s="26">
        <f t="shared" si="95"/>
        <v>6</v>
      </c>
      <c r="R1874" s="1227">
        <v>36.200000000000003</v>
      </c>
      <c r="S1874" s="1228">
        <f t="shared" si="94"/>
        <v>362</v>
      </c>
      <c r="T1874" s="175" t="s">
        <v>929</v>
      </c>
      <c r="U1874" s="1871" t="s">
        <v>301</v>
      </c>
      <c r="V1874" s="26" t="s">
        <v>931</v>
      </c>
      <c r="W1874" s="2042" t="s">
        <v>5534</v>
      </c>
      <c r="X1874" s="18"/>
      <c r="Y1874" s="4"/>
      <c r="Z1874" s="4"/>
    </row>
    <row r="1875" spans="1:26" ht="18" hidden="1">
      <c r="A1875" s="20">
        <v>1882</v>
      </c>
      <c r="B1875" s="1063">
        <v>41652</v>
      </c>
      <c r="C1875" s="925" t="s">
        <v>7203</v>
      </c>
      <c r="D1875" s="11" t="s">
        <v>6</v>
      </c>
      <c r="E1875" s="183" t="s">
        <v>572</v>
      </c>
      <c r="F1875" s="924" t="s">
        <v>970</v>
      </c>
      <c r="G1875" s="195" t="s">
        <v>7240</v>
      </c>
      <c r="H1875" s="206" t="s">
        <v>7205</v>
      </c>
      <c r="I1875" s="184" t="s">
        <v>7206</v>
      </c>
      <c r="J1875" s="195"/>
      <c r="K1875" s="195"/>
      <c r="L1875" s="195"/>
      <c r="M1875" s="195">
        <v>1</v>
      </c>
      <c r="N1875" s="195">
        <v>1</v>
      </c>
      <c r="O1875" s="195">
        <v>1</v>
      </c>
      <c r="P1875" s="195">
        <v>0</v>
      </c>
      <c r="Q1875" s="195">
        <v>1</v>
      </c>
      <c r="R1875" s="1248">
        <v>3300</v>
      </c>
      <c r="S1875" s="1248">
        <v>3300</v>
      </c>
      <c r="T1875" s="195" t="s">
        <v>6037</v>
      </c>
      <c r="U1875" s="1895"/>
      <c r="V1875" s="195" t="s">
        <v>2962</v>
      </c>
      <c r="W1875" s="2067" t="s">
        <v>7241</v>
      </c>
      <c r="X1875" s="18"/>
      <c r="Y1875" s="4"/>
      <c r="Z1875" s="4"/>
    </row>
    <row r="1876" spans="1:26" ht="14.45" hidden="1">
      <c r="A1876" s="20">
        <v>1883</v>
      </c>
      <c r="B1876" s="1063">
        <v>41653</v>
      </c>
      <c r="C1876" s="933" t="s">
        <v>7242</v>
      </c>
      <c r="D1876" s="10" t="s">
        <v>6</v>
      </c>
      <c r="E1876" s="183" t="s">
        <v>572</v>
      </c>
      <c r="F1876" s="1045" t="s">
        <v>7243</v>
      </c>
      <c r="G1876" s="659" t="s">
        <v>7244</v>
      </c>
      <c r="H1876" s="659" t="s">
        <v>429</v>
      </c>
      <c r="I1876" s="659" t="s">
        <v>429</v>
      </c>
      <c r="J1876" s="660" t="s">
        <v>5537</v>
      </c>
      <c r="K1876" s="660" t="s">
        <v>5537</v>
      </c>
      <c r="L1876" s="660"/>
      <c r="M1876" s="659">
        <v>10</v>
      </c>
      <c r="N1876" s="659">
        <v>10</v>
      </c>
      <c r="O1876" s="659">
        <v>20</v>
      </c>
      <c r="P1876" s="659">
        <v>0</v>
      </c>
      <c r="Q1876" s="659">
        <v>0</v>
      </c>
      <c r="R1876" s="1262">
        <v>260</v>
      </c>
      <c r="S1876" s="1262">
        <f>O1876*R1876</f>
        <v>5200</v>
      </c>
      <c r="T1876" s="659" t="s">
        <v>311</v>
      </c>
      <c r="U1876" s="1902"/>
      <c r="V1876" s="209" t="s">
        <v>6170</v>
      </c>
      <c r="W1876" s="241" t="s">
        <v>7245</v>
      </c>
      <c r="X1876" s="18"/>
      <c r="Y1876" s="4"/>
      <c r="Z1876" s="4"/>
    </row>
    <row r="1877" spans="1:26" ht="14.45" hidden="1">
      <c r="A1877" s="20">
        <v>1884</v>
      </c>
      <c r="B1877" s="1063">
        <v>41654</v>
      </c>
      <c r="C1877" s="941" t="s">
        <v>7246</v>
      </c>
      <c r="D1877" s="10" t="s">
        <v>6</v>
      </c>
      <c r="E1877" s="183" t="s">
        <v>572</v>
      </c>
      <c r="F1877" s="1045" t="s">
        <v>7243</v>
      </c>
      <c r="G1877" s="242" t="s">
        <v>7247</v>
      </c>
      <c r="H1877" s="243" t="s">
        <v>7248</v>
      </c>
      <c r="I1877" s="243" t="s">
        <v>429</v>
      </c>
      <c r="J1877" s="242" t="s">
        <v>7249</v>
      </c>
      <c r="K1877" s="242" t="s">
        <v>7249</v>
      </c>
      <c r="L1877" s="244"/>
      <c r="M1877" s="243">
        <v>4</v>
      </c>
      <c r="N1877" s="243">
        <v>4</v>
      </c>
      <c r="O1877" s="243">
        <v>20</v>
      </c>
      <c r="P1877" s="243">
        <v>0</v>
      </c>
      <c r="Q1877" s="243">
        <v>16</v>
      </c>
      <c r="R1877" s="1263">
        <v>72</v>
      </c>
      <c r="S1877" s="1264">
        <f t="shared" ref="S1877:S1887" si="96">R1877*O1877</f>
        <v>1440</v>
      </c>
      <c r="T1877" s="243" t="s">
        <v>311</v>
      </c>
      <c r="U1877" s="1903"/>
      <c r="V1877" s="209" t="s">
        <v>6170</v>
      </c>
      <c r="W1877" s="661" t="s">
        <v>7250</v>
      </c>
      <c r="X1877" s="18"/>
      <c r="Y1877" s="4"/>
      <c r="Z1877" s="4"/>
    </row>
    <row r="1878" spans="1:26" ht="14.45" hidden="1">
      <c r="A1878" s="20">
        <v>1885</v>
      </c>
      <c r="B1878" s="1063">
        <v>41655</v>
      </c>
      <c r="C1878" s="941" t="s">
        <v>7246</v>
      </c>
      <c r="D1878" s="10" t="s">
        <v>6</v>
      </c>
      <c r="E1878" s="183" t="s">
        <v>572</v>
      </c>
      <c r="F1878" s="1045" t="s">
        <v>7243</v>
      </c>
      <c r="G1878" s="242" t="s">
        <v>7251</v>
      </c>
      <c r="H1878" s="243" t="s">
        <v>7248</v>
      </c>
      <c r="I1878" s="243" t="s">
        <v>429</v>
      </c>
      <c r="J1878" s="243" t="s">
        <v>7252</v>
      </c>
      <c r="K1878" s="243" t="s">
        <v>7252</v>
      </c>
      <c r="L1878" s="244"/>
      <c r="M1878" s="243">
        <v>4</v>
      </c>
      <c r="N1878" s="243">
        <v>4</v>
      </c>
      <c r="O1878" s="243">
        <v>20</v>
      </c>
      <c r="P1878" s="243">
        <v>0</v>
      </c>
      <c r="Q1878" s="243">
        <v>16</v>
      </c>
      <c r="R1878" s="1263">
        <v>72</v>
      </c>
      <c r="S1878" s="1264">
        <f t="shared" si="96"/>
        <v>1440</v>
      </c>
      <c r="T1878" s="243" t="s">
        <v>311</v>
      </c>
      <c r="U1878" s="1903"/>
      <c r="V1878" s="209" t="s">
        <v>6170</v>
      </c>
      <c r="W1878" s="662" t="s">
        <v>7253</v>
      </c>
      <c r="X1878" s="26"/>
      <c r="Y1878" s="71"/>
      <c r="Z1878" s="71"/>
    </row>
    <row r="1879" spans="1:26" ht="14.45" hidden="1">
      <c r="A1879" s="20">
        <v>1886</v>
      </c>
      <c r="B1879" s="1063">
        <v>41656</v>
      </c>
      <c r="C1879" s="941" t="s">
        <v>7246</v>
      </c>
      <c r="D1879" s="10" t="s">
        <v>6</v>
      </c>
      <c r="E1879" s="183" t="s">
        <v>572</v>
      </c>
      <c r="F1879" s="1045" t="s">
        <v>7243</v>
      </c>
      <c r="G1879" s="242" t="s">
        <v>7254</v>
      </c>
      <c r="H1879" s="243" t="s">
        <v>7255</v>
      </c>
      <c r="I1879" s="243" t="s">
        <v>429</v>
      </c>
      <c r="J1879" s="242" t="s">
        <v>7256</v>
      </c>
      <c r="K1879" s="242" t="s">
        <v>7256</v>
      </c>
      <c r="L1879" s="244"/>
      <c r="M1879" s="243">
        <v>4</v>
      </c>
      <c r="N1879" s="243">
        <v>4</v>
      </c>
      <c r="O1879" s="243">
        <v>4</v>
      </c>
      <c r="P1879" s="243">
        <v>0</v>
      </c>
      <c r="Q1879" s="243">
        <v>0</v>
      </c>
      <c r="R1879" s="1263">
        <v>411</v>
      </c>
      <c r="S1879" s="1264">
        <f t="shared" si="96"/>
        <v>1644</v>
      </c>
      <c r="T1879" s="243" t="s">
        <v>311</v>
      </c>
      <c r="U1879" s="1903"/>
      <c r="V1879" s="209" t="s">
        <v>6170</v>
      </c>
      <c r="W1879" s="662" t="s">
        <v>7257</v>
      </c>
      <c r="X1879" s="26"/>
      <c r="Y1879" s="71"/>
      <c r="Z1879" s="71"/>
    </row>
    <row r="1880" spans="1:26" ht="14.45" hidden="1">
      <c r="A1880" s="20">
        <v>1887</v>
      </c>
      <c r="B1880" s="1063">
        <v>41657</v>
      </c>
      <c r="C1880" s="941" t="s">
        <v>7246</v>
      </c>
      <c r="D1880" s="10" t="s">
        <v>6</v>
      </c>
      <c r="E1880" s="183" t="s">
        <v>572</v>
      </c>
      <c r="F1880" s="1045" t="s">
        <v>7243</v>
      </c>
      <c r="G1880" s="242" t="s">
        <v>7258</v>
      </c>
      <c r="H1880" s="243" t="s">
        <v>7255</v>
      </c>
      <c r="I1880" s="243" t="s">
        <v>429</v>
      </c>
      <c r="J1880" s="242" t="s">
        <v>7259</v>
      </c>
      <c r="K1880" s="242" t="s">
        <v>7259</v>
      </c>
      <c r="L1880" s="244"/>
      <c r="M1880" s="243">
        <v>4</v>
      </c>
      <c r="N1880" s="243">
        <v>4</v>
      </c>
      <c r="O1880" s="243">
        <v>4</v>
      </c>
      <c r="P1880" s="243">
        <v>0</v>
      </c>
      <c r="Q1880" s="243">
        <v>0</v>
      </c>
      <c r="R1880" s="1263">
        <v>931</v>
      </c>
      <c r="S1880" s="1264">
        <f t="shared" si="96"/>
        <v>3724</v>
      </c>
      <c r="T1880" s="243" t="s">
        <v>311</v>
      </c>
      <c r="U1880" s="1903"/>
      <c r="V1880" s="209" t="s">
        <v>6170</v>
      </c>
      <c r="W1880" s="662" t="s">
        <v>7260</v>
      </c>
      <c r="X1880" s="18"/>
      <c r="Y1880" s="4"/>
      <c r="Z1880" s="4"/>
    </row>
    <row r="1881" spans="1:26" ht="14.45" hidden="1">
      <c r="A1881" s="20">
        <v>1888</v>
      </c>
      <c r="B1881" s="1063">
        <v>41658</v>
      </c>
      <c r="C1881" s="941" t="s">
        <v>7246</v>
      </c>
      <c r="D1881" s="10" t="s">
        <v>6</v>
      </c>
      <c r="E1881" s="183" t="s">
        <v>572</v>
      </c>
      <c r="F1881" s="1045" t="s">
        <v>7243</v>
      </c>
      <c r="G1881" s="242" t="s">
        <v>7261</v>
      </c>
      <c r="H1881" s="243" t="s">
        <v>7262</v>
      </c>
      <c r="I1881" s="243" t="s">
        <v>429</v>
      </c>
      <c r="J1881" s="242" t="s">
        <v>7263</v>
      </c>
      <c r="K1881" s="242" t="s">
        <v>7263</v>
      </c>
      <c r="L1881" s="244"/>
      <c r="M1881" s="243">
        <v>4</v>
      </c>
      <c r="N1881" s="243">
        <v>4</v>
      </c>
      <c r="O1881" s="243">
        <v>4</v>
      </c>
      <c r="P1881" s="243">
        <v>0</v>
      </c>
      <c r="Q1881" s="243">
        <v>0</v>
      </c>
      <c r="R1881" s="1263">
        <v>709</v>
      </c>
      <c r="S1881" s="1264">
        <f t="shared" si="96"/>
        <v>2836</v>
      </c>
      <c r="T1881" s="243" t="s">
        <v>311</v>
      </c>
      <c r="U1881" s="1903"/>
      <c r="V1881" s="209" t="s">
        <v>6170</v>
      </c>
      <c r="W1881" s="661" t="s">
        <v>7264</v>
      </c>
      <c r="X1881" s="18"/>
      <c r="Y1881" s="4"/>
      <c r="Z1881" s="4"/>
    </row>
    <row r="1882" spans="1:26" ht="14.45" hidden="1">
      <c r="A1882" s="20">
        <v>1889</v>
      </c>
      <c r="B1882" s="1063">
        <v>41659</v>
      </c>
      <c r="C1882" s="941" t="s">
        <v>7265</v>
      </c>
      <c r="D1882" s="10" t="s">
        <v>6</v>
      </c>
      <c r="E1882" s="183" t="s">
        <v>572</v>
      </c>
      <c r="F1882" s="1045" t="s">
        <v>7243</v>
      </c>
      <c r="G1882" s="243" t="s">
        <v>7266</v>
      </c>
      <c r="H1882" s="243" t="s">
        <v>686</v>
      </c>
      <c r="I1882" s="243" t="s">
        <v>429</v>
      </c>
      <c r="J1882" s="242" t="s">
        <v>7267</v>
      </c>
      <c r="K1882" s="242" t="s">
        <v>7267</v>
      </c>
      <c r="L1882" s="244"/>
      <c r="M1882" s="243">
        <v>4</v>
      </c>
      <c r="N1882" s="243">
        <v>4</v>
      </c>
      <c r="O1882" s="243">
        <v>4</v>
      </c>
      <c r="P1882" s="243">
        <v>0</v>
      </c>
      <c r="Q1882" s="243">
        <v>0</v>
      </c>
      <c r="R1882" s="1263">
        <v>206</v>
      </c>
      <c r="S1882" s="1264">
        <f t="shared" si="96"/>
        <v>824</v>
      </c>
      <c r="T1882" s="243" t="s">
        <v>311</v>
      </c>
      <c r="U1882" s="1903"/>
      <c r="V1882" s="209" t="s">
        <v>6170</v>
      </c>
      <c r="W1882" s="662" t="s">
        <v>7268</v>
      </c>
      <c r="X1882" s="18"/>
      <c r="Y1882" s="4"/>
      <c r="Z1882" s="4"/>
    </row>
    <row r="1883" spans="1:26" ht="14.45" hidden="1">
      <c r="A1883" s="20">
        <v>1890</v>
      </c>
      <c r="B1883" s="1063">
        <v>41660</v>
      </c>
      <c r="C1883" s="941" t="s">
        <v>7265</v>
      </c>
      <c r="D1883" s="10" t="s">
        <v>6</v>
      </c>
      <c r="E1883" s="183" t="s">
        <v>572</v>
      </c>
      <c r="F1883" s="1045" t="s">
        <v>7243</v>
      </c>
      <c r="G1883" s="245" t="s">
        <v>7269</v>
      </c>
      <c r="H1883" s="243" t="s">
        <v>686</v>
      </c>
      <c r="I1883" s="243" t="s">
        <v>429</v>
      </c>
      <c r="J1883" s="242" t="s">
        <v>7270</v>
      </c>
      <c r="K1883" s="242" t="s">
        <v>7270</v>
      </c>
      <c r="L1883" s="244"/>
      <c r="M1883" s="243">
        <v>4</v>
      </c>
      <c r="N1883" s="243">
        <v>4</v>
      </c>
      <c r="O1883" s="243">
        <v>4</v>
      </c>
      <c r="P1883" s="243">
        <v>0</v>
      </c>
      <c r="Q1883" s="243">
        <v>0</v>
      </c>
      <c r="R1883" s="1263">
        <v>206</v>
      </c>
      <c r="S1883" s="1264">
        <f t="shared" si="96"/>
        <v>824</v>
      </c>
      <c r="T1883" s="243" t="s">
        <v>311</v>
      </c>
      <c r="U1883" s="1903"/>
      <c r="V1883" s="209" t="s">
        <v>6170</v>
      </c>
      <c r="W1883" s="662" t="s">
        <v>7271</v>
      </c>
      <c r="X1883" s="18"/>
      <c r="Y1883" s="4"/>
      <c r="Z1883" s="4"/>
    </row>
    <row r="1884" spans="1:26" ht="14.45" hidden="1">
      <c r="A1884" s="20">
        <v>1891</v>
      </c>
      <c r="B1884" s="1063">
        <v>41661</v>
      </c>
      <c r="C1884" s="942" t="s">
        <v>7272</v>
      </c>
      <c r="D1884" s="10" t="s">
        <v>6</v>
      </c>
      <c r="E1884" s="183" t="s">
        <v>572</v>
      </c>
      <c r="F1884" s="1045" t="s">
        <v>7243</v>
      </c>
      <c r="G1884" s="244" t="s">
        <v>7273</v>
      </c>
      <c r="H1884" s="244" t="s">
        <v>4205</v>
      </c>
      <c r="I1884" s="244" t="s">
        <v>7274</v>
      </c>
      <c r="J1884" s="243" t="s">
        <v>7275</v>
      </c>
      <c r="K1884" s="243" t="s">
        <v>7275</v>
      </c>
      <c r="L1884" s="244"/>
      <c r="M1884" s="244">
        <v>1</v>
      </c>
      <c r="N1884" s="244">
        <v>1</v>
      </c>
      <c r="O1884" s="244">
        <v>1</v>
      </c>
      <c r="P1884" s="244">
        <v>0</v>
      </c>
      <c r="Q1884" s="244">
        <v>0</v>
      </c>
      <c r="R1884" s="1264">
        <v>1000</v>
      </c>
      <c r="S1884" s="1264">
        <f t="shared" si="96"/>
        <v>1000</v>
      </c>
      <c r="T1884" s="243" t="s">
        <v>311</v>
      </c>
      <c r="U1884" s="1903"/>
      <c r="V1884" s="209" t="s">
        <v>6170</v>
      </c>
      <c r="W1884" s="661" t="s">
        <v>7276</v>
      </c>
      <c r="X1884" s="26"/>
      <c r="Y1884" s="71"/>
      <c r="Z1884" s="71"/>
    </row>
    <row r="1885" spans="1:26" ht="14.45" hidden="1">
      <c r="A1885" s="20">
        <v>1892</v>
      </c>
      <c r="B1885" s="1063">
        <v>41662</v>
      </c>
      <c r="C1885" s="942" t="s">
        <v>7277</v>
      </c>
      <c r="D1885" s="10" t="s">
        <v>6</v>
      </c>
      <c r="E1885" s="183" t="s">
        <v>572</v>
      </c>
      <c r="F1885" s="1045" t="s">
        <v>7243</v>
      </c>
      <c r="G1885" s="246" t="s">
        <v>7278</v>
      </c>
      <c r="H1885" s="247" t="s">
        <v>7279</v>
      </c>
      <c r="I1885" s="247" t="s">
        <v>5764</v>
      </c>
      <c r="J1885" s="247" t="s">
        <v>5766</v>
      </c>
      <c r="K1885" s="247" t="s">
        <v>5766</v>
      </c>
      <c r="L1885" s="244"/>
      <c r="M1885" s="244">
        <v>1</v>
      </c>
      <c r="N1885" s="244">
        <v>1</v>
      </c>
      <c r="O1885" s="244">
        <v>1</v>
      </c>
      <c r="P1885" s="244">
        <v>0</v>
      </c>
      <c r="Q1885" s="244">
        <v>0</v>
      </c>
      <c r="R1885" s="1264">
        <v>480</v>
      </c>
      <c r="S1885" s="1264">
        <f t="shared" si="96"/>
        <v>480</v>
      </c>
      <c r="T1885" s="243" t="s">
        <v>311</v>
      </c>
      <c r="U1885" s="1903"/>
      <c r="V1885" s="209" t="s">
        <v>6170</v>
      </c>
      <c r="W1885" s="661" t="s">
        <v>5768</v>
      </c>
      <c r="X1885" s="26"/>
      <c r="Y1885" s="71"/>
      <c r="Z1885" s="71"/>
    </row>
    <row r="1886" spans="1:26" ht="14.45" hidden="1">
      <c r="A1886" s="20">
        <v>1893</v>
      </c>
      <c r="B1886" s="1063">
        <v>41663</v>
      </c>
      <c r="C1886" s="942" t="s">
        <v>7280</v>
      </c>
      <c r="D1886" s="244"/>
      <c r="E1886" s="244"/>
      <c r="F1886" s="1045" t="s">
        <v>7243</v>
      </c>
      <c r="G1886" s="244" t="s">
        <v>7281</v>
      </c>
      <c r="H1886" s="244" t="s">
        <v>7282</v>
      </c>
      <c r="I1886" s="244" t="s">
        <v>7283</v>
      </c>
      <c r="J1886" s="244"/>
      <c r="K1886" s="244"/>
      <c r="L1886" s="244"/>
      <c r="M1886" s="244">
        <v>1</v>
      </c>
      <c r="N1886" s="244">
        <v>1</v>
      </c>
      <c r="O1886" s="244">
        <v>1</v>
      </c>
      <c r="P1886" s="244">
        <v>0</v>
      </c>
      <c r="Q1886" s="244">
        <v>1</v>
      </c>
      <c r="R1886" s="1264">
        <v>113520</v>
      </c>
      <c r="S1886" s="1264">
        <f t="shared" si="96"/>
        <v>113520</v>
      </c>
      <c r="T1886" s="243" t="s">
        <v>311</v>
      </c>
      <c r="U1886" s="1904"/>
      <c r="V1886" s="209" t="s">
        <v>6170</v>
      </c>
      <c r="W1886" s="661" t="s">
        <v>7284</v>
      </c>
      <c r="X1886" s="18"/>
      <c r="Y1886" s="4"/>
      <c r="Z1886" s="4"/>
    </row>
    <row r="1887" spans="1:26" ht="14.45" hidden="1">
      <c r="A1887" s="20">
        <v>1894</v>
      </c>
      <c r="B1887" s="1063">
        <v>41664</v>
      </c>
      <c r="C1887" s="26" t="s">
        <v>7285</v>
      </c>
      <c r="D1887" s="26"/>
      <c r="E1887" s="26"/>
      <c r="F1887" s="1045" t="s">
        <v>7243</v>
      </c>
      <c r="G1887" s="26" t="s">
        <v>7286</v>
      </c>
      <c r="H1887" s="26" t="s">
        <v>7287</v>
      </c>
      <c r="I1887" s="26" t="s">
        <v>1144</v>
      </c>
      <c r="J1887" s="223" t="s">
        <v>7288</v>
      </c>
      <c r="K1887" s="189" t="s">
        <v>7289</v>
      </c>
      <c r="L1887" s="26"/>
      <c r="M1887" s="244">
        <v>1</v>
      </c>
      <c r="N1887" s="244">
        <v>1</v>
      </c>
      <c r="O1887" s="244">
        <v>1</v>
      </c>
      <c r="P1887" s="244">
        <v>0</v>
      </c>
      <c r="Q1887" s="244">
        <v>1</v>
      </c>
      <c r="R1887" s="1264">
        <v>30114</v>
      </c>
      <c r="S1887" s="1264">
        <f t="shared" si="96"/>
        <v>30114</v>
      </c>
      <c r="T1887" s="243" t="s">
        <v>311</v>
      </c>
      <c r="U1887" s="1871"/>
      <c r="V1887" s="209" t="s">
        <v>6170</v>
      </c>
      <c r="W1887" s="661" t="s">
        <v>7290</v>
      </c>
      <c r="X1887" s="18"/>
      <c r="Y1887" s="4"/>
      <c r="Z1887" s="4"/>
    </row>
    <row r="1888" spans="1:26" ht="14.1" hidden="1">
      <c r="A1888" s="20">
        <v>1895</v>
      </c>
      <c r="B1888" s="1063">
        <v>41665</v>
      </c>
      <c r="C1888" s="26" t="s">
        <v>7291</v>
      </c>
      <c r="D1888" s="10" t="s">
        <v>6</v>
      </c>
      <c r="E1888" s="26" t="s">
        <v>6031</v>
      </c>
      <c r="F1888" s="26" t="s">
        <v>1139</v>
      </c>
      <c r="G1888" s="26" t="s">
        <v>7292</v>
      </c>
      <c r="H1888" s="26" t="s">
        <v>7293</v>
      </c>
      <c r="I1888" s="26" t="s">
        <v>102</v>
      </c>
      <c r="J1888" s="26"/>
      <c r="K1888" s="26"/>
      <c r="L1888" s="26"/>
      <c r="M1888" s="26">
        <v>3</v>
      </c>
      <c r="N1888" s="26">
        <v>3</v>
      </c>
      <c r="O1888" s="26">
        <v>3</v>
      </c>
      <c r="P1888" s="26">
        <v>0</v>
      </c>
      <c r="Q1888" s="26">
        <v>2</v>
      </c>
      <c r="R1888" s="1209">
        <v>3948</v>
      </c>
      <c r="S1888" s="1209">
        <v>11844</v>
      </c>
      <c r="T1888" s="26" t="s">
        <v>311</v>
      </c>
      <c r="U1888" s="1871"/>
      <c r="V1888" s="26"/>
      <c r="W1888" s="2015"/>
      <c r="X1888" s="18"/>
      <c r="Y1888" s="4"/>
      <c r="Z1888" s="4"/>
    </row>
    <row r="1889" spans="1:26" ht="75" hidden="1">
      <c r="A1889" s="20">
        <v>1896</v>
      </c>
      <c r="B1889" s="1063">
        <v>41666</v>
      </c>
      <c r="C1889" s="26" t="s">
        <v>7294</v>
      </c>
      <c r="D1889" s="11"/>
      <c r="E1889" s="26" t="s">
        <v>7229</v>
      </c>
      <c r="F1889" s="26" t="s">
        <v>2332</v>
      </c>
      <c r="G1889" s="26" t="s">
        <v>7295</v>
      </c>
      <c r="H1889" s="26" t="s">
        <v>7296</v>
      </c>
      <c r="I1889" s="26" t="s">
        <v>1022</v>
      </c>
      <c r="J1889" s="26"/>
      <c r="K1889" s="26"/>
      <c r="L1889" s="26"/>
      <c r="M1889" s="26">
        <v>1</v>
      </c>
      <c r="N1889" s="26">
        <v>1</v>
      </c>
      <c r="O1889" s="26">
        <v>1</v>
      </c>
      <c r="P1889" s="26">
        <v>0</v>
      </c>
      <c r="Q1889" s="26">
        <f>P1889+O1889-M1889</f>
        <v>0</v>
      </c>
      <c r="R1889" s="1209">
        <v>11648</v>
      </c>
      <c r="S1889" s="1209">
        <f>R1889*N1889</f>
        <v>11648</v>
      </c>
      <c r="T1889" s="26" t="s">
        <v>929</v>
      </c>
      <c r="U1889" s="1871" t="s">
        <v>7297</v>
      </c>
      <c r="V1889" s="26" t="s">
        <v>931</v>
      </c>
      <c r="W1889" s="2008" t="s">
        <v>7298</v>
      </c>
      <c r="X1889" s="18"/>
      <c r="Y1889" s="4"/>
      <c r="Z1889" s="4"/>
    </row>
    <row r="1890" spans="1:26" ht="14.45" hidden="1">
      <c r="A1890" s="20">
        <v>1897</v>
      </c>
      <c r="B1890" s="1063">
        <v>41667</v>
      </c>
      <c r="C1890" s="928" t="s">
        <v>7299</v>
      </c>
      <c r="D1890" s="11"/>
      <c r="E1890" s="193" t="s">
        <v>4951</v>
      </c>
      <c r="F1890" s="928" t="s">
        <v>2006</v>
      </c>
      <c r="G1890" s="193" t="s">
        <v>7300</v>
      </c>
      <c r="H1890" s="193" t="s">
        <v>7301</v>
      </c>
      <c r="I1890" s="193" t="s">
        <v>574</v>
      </c>
      <c r="J1890" s="193" t="s">
        <v>7302</v>
      </c>
      <c r="K1890" s="193" t="s">
        <v>7303</v>
      </c>
      <c r="L1890" s="193" t="s">
        <v>3362</v>
      </c>
      <c r="M1890" s="193">
        <v>1</v>
      </c>
      <c r="N1890" s="193">
        <v>1</v>
      </c>
      <c r="O1890" s="193">
        <v>1</v>
      </c>
      <c r="P1890" s="193">
        <v>0</v>
      </c>
      <c r="Q1890" s="194">
        <f t="shared" ref="Q1890:Q1892" si="97">(O1890+P1890)-M1890</f>
        <v>0</v>
      </c>
      <c r="R1890" s="1246">
        <v>22095</v>
      </c>
      <c r="S1890" s="1246">
        <f t="shared" ref="S1890:S1892" si="98">R1890*O1890</f>
        <v>22095</v>
      </c>
      <c r="T1890" s="193" t="s">
        <v>7304</v>
      </c>
      <c r="U1890" s="1905" t="s">
        <v>7304</v>
      </c>
      <c r="V1890" s="204" t="s">
        <v>352</v>
      </c>
      <c r="W1890" s="782" t="s">
        <v>7305</v>
      </c>
      <c r="X1890" s="26"/>
      <c r="Y1890" s="71"/>
      <c r="Z1890" s="71"/>
    </row>
    <row r="1891" spans="1:26" ht="14.45" hidden="1">
      <c r="A1891" s="20">
        <v>1898</v>
      </c>
      <c r="B1891" s="1063">
        <v>41668</v>
      </c>
      <c r="C1891" s="928" t="s">
        <v>4565</v>
      </c>
      <c r="D1891" s="11"/>
      <c r="E1891" s="193" t="s">
        <v>4951</v>
      </c>
      <c r="F1891" s="928" t="s">
        <v>2006</v>
      </c>
      <c r="G1891" s="193" t="s">
        <v>4566</v>
      </c>
      <c r="H1891" s="193" t="s">
        <v>2920</v>
      </c>
      <c r="I1891" s="193" t="s">
        <v>574</v>
      </c>
      <c r="J1891" s="193" t="s">
        <v>4567</v>
      </c>
      <c r="K1891" s="193">
        <v>1957</v>
      </c>
      <c r="L1891" s="193" t="s">
        <v>3362</v>
      </c>
      <c r="M1891" s="193">
        <v>18</v>
      </c>
      <c r="N1891" s="193">
        <v>10</v>
      </c>
      <c r="O1891" s="193">
        <v>20</v>
      </c>
      <c r="P1891" s="193">
        <v>0</v>
      </c>
      <c r="Q1891" s="194">
        <f t="shared" si="97"/>
        <v>2</v>
      </c>
      <c r="R1891" s="1246">
        <v>227</v>
      </c>
      <c r="S1891" s="1246">
        <f t="shared" si="98"/>
        <v>4540</v>
      </c>
      <c r="T1891" s="193" t="s">
        <v>7304</v>
      </c>
      <c r="U1891" s="1905" t="s">
        <v>7304</v>
      </c>
      <c r="V1891" s="204" t="s">
        <v>352</v>
      </c>
      <c r="W1891" s="782" t="s">
        <v>4568</v>
      </c>
      <c r="X1891" s="26"/>
      <c r="Y1891" s="71"/>
      <c r="Z1891" s="71"/>
    </row>
    <row r="1892" spans="1:26" ht="14.45" hidden="1">
      <c r="A1892" s="20">
        <v>1899</v>
      </c>
      <c r="B1892" s="1063">
        <v>41669</v>
      </c>
      <c r="C1892" s="928" t="s">
        <v>7306</v>
      </c>
      <c r="D1892" s="11"/>
      <c r="E1892" s="193" t="s">
        <v>4951</v>
      </c>
      <c r="F1892" s="928" t="s">
        <v>2006</v>
      </c>
      <c r="G1892" s="193" t="s">
        <v>7307</v>
      </c>
      <c r="H1892" s="193" t="s">
        <v>6567</v>
      </c>
      <c r="I1892" s="193" t="s">
        <v>574</v>
      </c>
      <c r="J1892" s="193" t="s">
        <v>7308</v>
      </c>
      <c r="K1892" s="193" t="s">
        <v>7309</v>
      </c>
      <c r="L1892" s="193" t="s">
        <v>2063</v>
      </c>
      <c r="M1892" s="193">
        <v>12</v>
      </c>
      <c r="N1892" s="193">
        <v>1</v>
      </c>
      <c r="O1892" s="193">
        <v>12</v>
      </c>
      <c r="P1892" s="193">
        <v>0</v>
      </c>
      <c r="Q1892" s="194">
        <f t="shared" si="97"/>
        <v>0</v>
      </c>
      <c r="R1892" s="1246">
        <v>886</v>
      </c>
      <c r="S1892" s="1246">
        <f t="shared" si="98"/>
        <v>10632</v>
      </c>
      <c r="T1892" s="193" t="s">
        <v>7304</v>
      </c>
      <c r="U1892" s="1905" t="s">
        <v>7304</v>
      </c>
      <c r="V1892" s="204" t="s">
        <v>352</v>
      </c>
      <c r="W1892" s="782" t="s">
        <v>7310</v>
      </c>
      <c r="X1892" s="18"/>
      <c r="Y1892" s="4"/>
      <c r="Z1892" s="4"/>
    </row>
    <row r="1893" spans="1:26" ht="14.1" hidden="1">
      <c r="A1893" s="20">
        <v>1900</v>
      </c>
      <c r="B1893" s="1063">
        <v>41670</v>
      </c>
      <c r="C1893" s="26" t="s">
        <v>7311</v>
      </c>
      <c r="D1893" s="10" t="s">
        <v>6</v>
      </c>
      <c r="E1893" s="26" t="s">
        <v>6031</v>
      </c>
      <c r="F1893" s="26" t="s">
        <v>1139</v>
      </c>
      <c r="G1893" s="26" t="s">
        <v>7292</v>
      </c>
      <c r="H1893" s="26" t="s">
        <v>7293</v>
      </c>
      <c r="I1893" s="26" t="s">
        <v>102</v>
      </c>
      <c r="J1893" s="26"/>
      <c r="K1893" s="26"/>
      <c r="L1893" s="26"/>
      <c r="M1893" s="26">
        <v>2</v>
      </c>
      <c r="N1893" s="26">
        <v>1</v>
      </c>
      <c r="O1893" s="26">
        <v>2</v>
      </c>
      <c r="P1893" s="26">
        <v>3</v>
      </c>
      <c r="Q1893" s="26">
        <v>5</v>
      </c>
      <c r="R1893" s="1209">
        <v>3948</v>
      </c>
      <c r="S1893" s="1209">
        <v>7896</v>
      </c>
      <c r="T1893" s="26" t="s">
        <v>422</v>
      </c>
      <c r="U1893" s="1871"/>
      <c r="V1893" s="20"/>
      <c r="W1893" s="2079"/>
      <c r="X1893" s="18"/>
      <c r="Y1893" s="4"/>
      <c r="Z1893" s="4"/>
    </row>
    <row r="1894" spans="1:26" ht="14.45" hidden="1">
      <c r="A1894" s="20">
        <v>1901</v>
      </c>
      <c r="B1894" s="1063">
        <v>41671</v>
      </c>
      <c r="C1894" s="26" t="s">
        <v>7246</v>
      </c>
      <c r="D1894" s="26"/>
      <c r="E1894" s="26"/>
      <c r="F1894" s="1045" t="s">
        <v>7243</v>
      </c>
      <c r="G1894" s="242" t="s">
        <v>7312</v>
      </c>
      <c r="H1894" s="26" t="s">
        <v>7313</v>
      </c>
      <c r="I1894" s="26" t="s">
        <v>102</v>
      </c>
      <c r="J1894" s="26" t="s">
        <v>7314</v>
      </c>
      <c r="K1894" s="26" t="s">
        <v>7314</v>
      </c>
      <c r="L1894" s="26"/>
      <c r="M1894" s="243">
        <v>4</v>
      </c>
      <c r="N1894" s="243">
        <v>4</v>
      </c>
      <c r="O1894" s="243">
        <v>5</v>
      </c>
      <c r="P1894" s="243">
        <v>0</v>
      </c>
      <c r="Q1894" s="243">
        <v>1</v>
      </c>
      <c r="R1894" s="1209">
        <v>299</v>
      </c>
      <c r="S1894" s="1209">
        <f t="shared" ref="S1894:S1896" si="99">R1894*O1894</f>
        <v>1495</v>
      </c>
      <c r="T1894" s="26" t="s">
        <v>422</v>
      </c>
      <c r="U1894" s="1871"/>
      <c r="V1894" s="26" t="s">
        <v>6170</v>
      </c>
      <c r="W1894" s="2065" t="s">
        <v>7315</v>
      </c>
      <c r="X1894" s="18"/>
      <c r="Y1894" s="4"/>
      <c r="Z1894" s="4"/>
    </row>
    <row r="1895" spans="1:26" ht="14.45" hidden="1">
      <c r="A1895" s="20">
        <v>1902</v>
      </c>
      <c r="B1895" s="1063">
        <v>41672</v>
      </c>
      <c r="C1895" s="26" t="s">
        <v>7246</v>
      </c>
      <c r="D1895" s="26"/>
      <c r="E1895" s="26"/>
      <c r="F1895" s="1045" t="s">
        <v>7243</v>
      </c>
      <c r="G1895" s="242" t="s">
        <v>7316</v>
      </c>
      <c r="H1895" s="26" t="s">
        <v>7313</v>
      </c>
      <c r="I1895" s="26" t="s">
        <v>102</v>
      </c>
      <c r="J1895" s="26" t="s">
        <v>7317</v>
      </c>
      <c r="K1895" s="26" t="s">
        <v>7317</v>
      </c>
      <c r="L1895" s="26"/>
      <c r="M1895" s="243">
        <v>4</v>
      </c>
      <c r="N1895" s="243">
        <v>4</v>
      </c>
      <c r="O1895" s="243">
        <v>5</v>
      </c>
      <c r="P1895" s="243">
        <v>0</v>
      </c>
      <c r="Q1895" s="243">
        <v>1</v>
      </c>
      <c r="R1895" s="1209">
        <v>465</v>
      </c>
      <c r="S1895" s="1209">
        <f t="shared" si="99"/>
        <v>2325</v>
      </c>
      <c r="T1895" s="26" t="s">
        <v>422</v>
      </c>
      <c r="U1895" s="1871"/>
      <c r="V1895" s="26" t="s">
        <v>6170</v>
      </c>
      <c r="W1895" s="2065" t="s">
        <v>7315</v>
      </c>
      <c r="X1895" s="18"/>
      <c r="Y1895" s="4"/>
      <c r="Z1895" s="4"/>
    </row>
    <row r="1896" spans="1:26" ht="14.45" hidden="1">
      <c r="A1896" s="20">
        <v>1903</v>
      </c>
      <c r="B1896" s="1063">
        <v>41673</v>
      </c>
      <c r="C1896" s="26" t="s">
        <v>2594</v>
      </c>
      <c r="D1896" s="26"/>
      <c r="E1896" s="26"/>
      <c r="F1896" s="1045" t="s">
        <v>7243</v>
      </c>
      <c r="G1896" s="26" t="s">
        <v>7318</v>
      </c>
      <c r="H1896" s="26" t="s">
        <v>7319</v>
      </c>
      <c r="I1896" s="26" t="s">
        <v>102</v>
      </c>
      <c r="J1896" s="26" t="s">
        <v>7320</v>
      </c>
      <c r="K1896" s="26" t="s">
        <v>7320</v>
      </c>
      <c r="L1896" s="26"/>
      <c r="M1896" s="26">
        <v>8</v>
      </c>
      <c r="N1896" s="26">
        <v>8</v>
      </c>
      <c r="O1896" s="26">
        <v>8</v>
      </c>
      <c r="P1896" s="26">
        <v>0</v>
      </c>
      <c r="Q1896" s="26">
        <v>4</v>
      </c>
      <c r="R1896" s="1209">
        <v>202</v>
      </c>
      <c r="S1896" s="1209">
        <f t="shared" si="99"/>
        <v>1616</v>
      </c>
      <c r="T1896" s="26" t="s">
        <v>422</v>
      </c>
      <c r="U1896" s="1871"/>
      <c r="V1896" s="26" t="s">
        <v>6170</v>
      </c>
      <c r="W1896" s="2065" t="s">
        <v>7321</v>
      </c>
      <c r="X1896" s="26"/>
      <c r="Y1896" s="71"/>
      <c r="Z1896" s="71"/>
    </row>
    <row r="1897" spans="1:26" ht="14.1" hidden="1">
      <c r="A1897" s="20">
        <v>1904</v>
      </c>
      <c r="B1897" s="1063">
        <v>41674</v>
      </c>
      <c r="C1897" s="26" t="s">
        <v>7322</v>
      </c>
      <c r="D1897" s="11"/>
      <c r="E1897" s="26" t="s">
        <v>683</v>
      </c>
      <c r="F1897" s="26" t="s">
        <v>684</v>
      </c>
      <c r="G1897" s="26" t="s">
        <v>7323</v>
      </c>
      <c r="H1897" s="26" t="s">
        <v>3502</v>
      </c>
      <c r="I1897" s="26" t="s">
        <v>482</v>
      </c>
      <c r="J1897" s="189" t="s">
        <v>7324</v>
      </c>
      <c r="K1897" s="189" t="s">
        <v>7325</v>
      </c>
      <c r="L1897" s="26"/>
      <c r="M1897" s="26">
        <v>2</v>
      </c>
      <c r="N1897" s="26">
        <v>1</v>
      </c>
      <c r="O1897" s="26">
        <v>2</v>
      </c>
      <c r="P1897" s="26">
        <v>0</v>
      </c>
      <c r="Q1897" s="26">
        <v>2</v>
      </c>
      <c r="R1897" s="1209">
        <v>2024</v>
      </c>
      <c r="S1897" s="1209">
        <v>4048</v>
      </c>
      <c r="T1897" s="26" t="s">
        <v>7326</v>
      </c>
      <c r="U1897" s="1871" t="s">
        <v>4220</v>
      </c>
      <c r="V1897" s="26" t="s">
        <v>689</v>
      </c>
      <c r="W1897" s="2008" t="s">
        <v>7327</v>
      </c>
      <c r="X1897" s="26"/>
      <c r="Y1897" s="71"/>
      <c r="Z1897" s="71"/>
    </row>
    <row r="1898" spans="1:26" ht="37.5" hidden="1">
      <c r="A1898" s="20">
        <v>1905</v>
      </c>
      <c r="B1898" s="1063">
        <v>41675</v>
      </c>
      <c r="C1898" s="26" t="s">
        <v>7328</v>
      </c>
      <c r="D1898" s="11"/>
      <c r="E1898" s="26" t="s">
        <v>572</v>
      </c>
      <c r="F1898" s="26" t="s">
        <v>6097</v>
      </c>
      <c r="G1898" s="26" t="s">
        <v>7329</v>
      </c>
      <c r="H1898" s="26" t="s">
        <v>2361</v>
      </c>
      <c r="I1898" s="26" t="s">
        <v>574</v>
      </c>
      <c r="J1898" s="26" t="s">
        <v>7330</v>
      </c>
      <c r="K1898" s="26" t="s">
        <v>7331</v>
      </c>
      <c r="L1898" s="26" t="s">
        <v>7332</v>
      </c>
      <c r="M1898" s="26">
        <v>5</v>
      </c>
      <c r="N1898" s="26">
        <v>1</v>
      </c>
      <c r="O1898" s="26">
        <v>10</v>
      </c>
      <c r="P1898" s="26">
        <v>0</v>
      </c>
      <c r="Q1898" s="26">
        <v>4</v>
      </c>
      <c r="R1898" s="1209">
        <v>172</v>
      </c>
      <c r="S1898" s="1209">
        <f t="shared" ref="S1898:S1899" si="100">R1898*O1898</f>
        <v>1720</v>
      </c>
      <c r="T1898" s="26" t="s">
        <v>5448</v>
      </c>
      <c r="U1898" s="1871" t="s">
        <v>1123</v>
      </c>
      <c r="V1898" s="26" t="s">
        <v>150</v>
      </c>
      <c r="W1898" s="2008" t="s">
        <v>7333</v>
      </c>
      <c r="X1898" s="18"/>
      <c r="Y1898" s="4"/>
      <c r="Z1898" s="4"/>
    </row>
    <row r="1899" spans="1:26" ht="24.95" hidden="1">
      <c r="A1899" s="20">
        <v>1906</v>
      </c>
      <c r="B1899" s="1063">
        <v>41676</v>
      </c>
      <c r="C1899" s="26" t="s">
        <v>1458</v>
      </c>
      <c r="D1899" s="11"/>
      <c r="E1899" s="26" t="s">
        <v>572</v>
      </c>
      <c r="F1899" s="26" t="s">
        <v>6097</v>
      </c>
      <c r="G1899" s="26" t="s">
        <v>7334</v>
      </c>
      <c r="H1899" s="26" t="s">
        <v>1740</v>
      </c>
      <c r="I1899" s="26" t="s">
        <v>574</v>
      </c>
      <c r="J1899" s="26" t="s">
        <v>7335</v>
      </c>
      <c r="K1899" s="26" t="s">
        <v>7336</v>
      </c>
      <c r="L1899" s="26" t="s">
        <v>7337</v>
      </c>
      <c r="M1899" s="26">
        <v>5</v>
      </c>
      <c r="N1899" s="26">
        <v>1</v>
      </c>
      <c r="O1899" s="26">
        <v>10</v>
      </c>
      <c r="P1899" s="26">
        <v>0</v>
      </c>
      <c r="Q1899" s="26">
        <v>4</v>
      </c>
      <c r="R1899" s="1209">
        <v>103</v>
      </c>
      <c r="S1899" s="1209">
        <f t="shared" si="100"/>
        <v>1030</v>
      </c>
      <c r="T1899" s="26" t="s">
        <v>5448</v>
      </c>
      <c r="U1899" s="1871" t="s">
        <v>1123</v>
      </c>
      <c r="V1899" s="26" t="s">
        <v>150</v>
      </c>
      <c r="W1899" s="2008" t="s">
        <v>7338</v>
      </c>
      <c r="X1899" s="18"/>
      <c r="Y1899" s="4"/>
      <c r="Z1899" s="4"/>
    </row>
    <row r="1900" spans="1:26" ht="15.95" hidden="1">
      <c r="A1900" s="20">
        <v>1907</v>
      </c>
      <c r="B1900" s="1063">
        <v>41677</v>
      </c>
      <c r="C1900" s="26" t="s">
        <v>7339</v>
      </c>
      <c r="D1900" s="8" t="s">
        <v>6</v>
      </c>
      <c r="E1900" s="26" t="s">
        <v>683</v>
      </c>
      <c r="F1900" s="26" t="s">
        <v>7340</v>
      </c>
      <c r="G1900" s="26" t="s">
        <v>7341</v>
      </c>
      <c r="H1900" s="248" t="s">
        <v>7342</v>
      </c>
      <c r="I1900" s="26" t="s">
        <v>5690</v>
      </c>
      <c r="J1900" s="26"/>
      <c r="K1900" s="179">
        <v>5843451</v>
      </c>
      <c r="L1900" s="26"/>
      <c r="M1900" s="26">
        <v>1</v>
      </c>
      <c r="N1900" s="26">
        <v>1</v>
      </c>
      <c r="O1900" s="26">
        <v>1</v>
      </c>
      <c r="P1900" s="26">
        <v>0</v>
      </c>
      <c r="Q1900" s="26">
        <v>0</v>
      </c>
      <c r="R1900" s="1209">
        <v>2690</v>
      </c>
      <c r="S1900" s="1209">
        <v>2690</v>
      </c>
      <c r="T1900" s="26" t="s">
        <v>7343</v>
      </c>
      <c r="U1900" s="1871" t="s">
        <v>7344</v>
      </c>
      <c r="V1900" s="26" t="s">
        <v>689</v>
      </c>
      <c r="W1900" s="2065" t="s">
        <v>7345</v>
      </c>
      <c r="X1900" s="18"/>
      <c r="Y1900" s="4"/>
      <c r="Z1900" s="4"/>
    </row>
    <row r="1901" spans="1:26" ht="15.95" hidden="1">
      <c r="A1901" s="20">
        <v>1908</v>
      </c>
      <c r="B1901" s="1063">
        <v>41678</v>
      </c>
      <c r="C1901" s="932" t="s">
        <v>7346</v>
      </c>
      <c r="D1901" s="8" t="s">
        <v>6</v>
      </c>
      <c r="E1901" s="26" t="s">
        <v>683</v>
      </c>
      <c r="F1901" s="26" t="s">
        <v>7340</v>
      </c>
      <c r="G1901" s="26" t="s">
        <v>7347</v>
      </c>
      <c r="H1901" s="248" t="s">
        <v>7342</v>
      </c>
      <c r="I1901" s="26" t="s">
        <v>5690</v>
      </c>
      <c r="J1901" s="26"/>
      <c r="K1901" s="26">
        <v>5721886</v>
      </c>
      <c r="L1901" s="26"/>
      <c r="M1901" s="26">
        <v>1</v>
      </c>
      <c r="N1901" s="26">
        <v>2</v>
      </c>
      <c r="O1901" s="26">
        <v>2</v>
      </c>
      <c r="P1901" s="26">
        <v>0</v>
      </c>
      <c r="Q1901" s="26">
        <v>0</v>
      </c>
      <c r="R1901" s="1209">
        <v>439</v>
      </c>
      <c r="S1901" s="1209">
        <v>878</v>
      </c>
      <c r="T1901" s="26" t="s">
        <v>7343</v>
      </c>
      <c r="U1901" s="1871" t="s">
        <v>7344</v>
      </c>
      <c r="V1901" s="26" t="s">
        <v>689</v>
      </c>
      <c r="W1901" s="2065" t="s">
        <v>7348</v>
      </c>
      <c r="X1901" s="18"/>
      <c r="Y1901" s="4"/>
      <c r="Z1901" s="4"/>
    </row>
    <row r="1902" spans="1:26" ht="15.95" hidden="1">
      <c r="A1902" s="20">
        <v>1909</v>
      </c>
      <c r="B1902" s="1063">
        <v>41679</v>
      </c>
      <c r="C1902" s="26" t="s">
        <v>7349</v>
      </c>
      <c r="D1902" s="8" t="s">
        <v>6</v>
      </c>
      <c r="E1902" s="26" t="s">
        <v>683</v>
      </c>
      <c r="F1902" s="26" t="s">
        <v>7340</v>
      </c>
      <c r="G1902" s="26" t="s">
        <v>7350</v>
      </c>
      <c r="H1902" s="248" t="s">
        <v>7351</v>
      </c>
      <c r="I1902" s="26" t="s">
        <v>5690</v>
      </c>
      <c r="J1902" s="26"/>
      <c r="K1902" s="179">
        <v>44430174</v>
      </c>
      <c r="L1902" s="26"/>
      <c r="M1902" s="26">
        <v>1</v>
      </c>
      <c r="N1902" s="26">
        <v>1</v>
      </c>
      <c r="O1902" s="26">
        <v>1</v>
      </c>
      <c r="P1902" s="26">
        <v>0</v>
      </c>
      <c r="Q1902" s="26">
        <v>0</v>
      </c>
      <c r="R1902" s="1209">
        <v>399</v>
      </c>
      <c r="S1902" s="1209">
        <v>399</v>
      </c>
      <c r="T1902" s="26" t="s">
        <v>7343</v>
      </c>
      <c r="U1902" s="1871" t="s">
        <v>7344</v>
      </c>
      <c r="V1902" s="26" t="s">
        <v>689</v>
      </c>
      <c r="W1902" s="2065" t="s">
        <v>7352</v>
      </c>
      <c r="X1902" s="26"/>
      <c r="Y1902" s="71"/>
      <c r="Z1902" s="71"/>
    </row>
    <row r="1903" spans="1:26" ht="15.95" hidden="1">
      <c r="A1903" s="20">
        <v>1910</v>
      </c>
      <c r="B1903" s="1063">
        <v>41680</v>
      </c>
      <c r="C1903" s="26" t="s">
        <v>7353</v>
      </c>
      <c r="D1903" s="8" t="s">
        <v>6</v>
      </c>
      <c r="E1903" s="26" t="s">
        <v>683</v>
      </c>
      <c r="F1903" s="26" t="s">
        <v>7340</v>
      </c>
      <c r="G1903" s="26" t="s">
        <v>7354</v>
      </c>
      <c r="H1903" s="248" t="s">
        <v>7351</v>
      </c>
      <c r="I1903" s="26" t="s">
        <v>5690</v>
      </c>
      <c r="J1903" s="26"/>
      <c r="K1903" s="179">
        <v>34617283</v>
      </c>
      <c r="L1903" s="26"/>
      <c r="M1903" s="26">
        <v>1</v>
      </c>
      <c r="N1903" s="26">
        <v>1</v>
      </c>
      <c r="O1903" s="26">
        <v>1</v>
      </c>
      <c r="P1903" s="26">
        <v>0</v>
      </c>
      <c r="Q1903" s="26">
        <v>0</v>
      </c>
      <c r="R1903" s="1209">
        <v>589</v>
      </c>
      <c r="S1903" s="1209">
        <v>589</v>
      </c>
      <c r="T1903" s="26" t="s">
        <v>7343</v>
      </c>
      <c r="U1903" s="1871" t="s">
        <v>7344</v>
      </c>
      <c r="V1903" s="26" t="s">
        <v>689</v>
      </c>
      <c r="W1903" s="2065" t="s">
        <v>7355</v>
      </c>
      <c r="X1903" s="26"/>
      <c r="Y1903" s="71"/>
      <c r="Z1903" s="71"/>
    </row>
    <row r="1904" spans="1:26" ht="14.1" hidden="1">
      <c r="A1904" s="20">
        <v>1911</v>
      </c>
      <c r="B1904" s="1063">
        <v>41681</v>
      </c>
      <c r="C1904" s="26" t="s">
        <v>7356</v>
      </c>
      <c r="D1904" s="11"/>
      <c r="E1904" s="26" t="s">
        <v>572</v>
      </c>
      <c r="F1904" s="26" t="s">
        <v>784</v>
      </c>
      <c r="G1904" s="26" t="s">
        <v>7357</v>
      </c>
      <c r="H1904" s="26" t="s">
        <v>287</v>
      </c>
      <c r="I1904" s="26" t="s">
        <v>287</v>
      </c>
      <c r="J1904" s="26" t="s">
        <v>7356</v>
      </c>
      <c r="K1904" s="26" t="s">
        <v>7356</v>
      </c>
      <c r="L1904" s="26"/>
      <c r="M1904" s="26">
        <v>1</v>
      </c>
      <c r="N1904" s="26">
        <v>1</v>
      </c>
      <c r="O1904" s="26">
        <v>1</v>
      </c>
      <c r="P1904" s="26">
        <v>0</v>
      </c>
      <c r="Q1904" s="26">
        <v>0</v>
      </c>
      <c r="R1904" s="1209">
        <v>95260</v>
      </c>
      <c r="S1904" s="1209">
        <f t="shared" ref="S1904:S1908" si="101">R1904*O1904</f>
        <v>95260</v>
      </c>
      <c r="T1904" s="26" t="s">
        <v>7358</v>
      </c>
      <c r="U1904" s="1871" t="s">
        <v>3961</v>
      </c>
      <c r="V1904" s="26" t="s">
        <v>6170</v>
      </c>
      <c r="W1904" s="2015"/>
      <c r="X1904" s="18"/>
      <c r="Y1904" s="4"/>
      <c r="Z1904" s="4"/>
    </row>
    <row r="1905" spans="1:26" ht="14.1" hidden="1">
      <c r="A1905" s="20">
        <v>1912</v>
      </c>
      <c r="B1905" s="1063">
        <v>41682</v>
      </c>
      <c r="C1905" s="26" t="s">
        <v>7359</v>
      </c>
      <c r="D1905" s="11"/>
      <c r="E1905" s="26" t="s">
        <v>572</v>
      </c>
      <c r="F1905" s="26" t="s">
        <v>784</v>
      </c>
      <c r="G1905" s="26" t="s">
        <v>7360</v>
      </c>
      <c r="H1905" s="26" t="s">
        <v>287</v>
      </c>
      <c r="I1905" s="26" t="s">
        <v>287</v>
      </c>
      <c r="J1905" s="26" t="s">
        <v>7359</v>
      </c>
      <c r="K1905" s="26" t="s">
        <v>7359</v>
      </c>
      <c r="L1905" s="26"/>
      <c r="M1905" s="26">
        <v>1</v>
      </c>
      <c r="N1905" s="26">
        <v>1</v>
      </c>
      <c r="O1905" s="26">
        <v>1</v>
      </c>
      <c r="P1905" s="26">
        <v>0</v>
      </c>
      <c r="Q1905" s="26">
        <v>0</v>
      </c>
      <c r="R1905" s="1209">
        <v>186006</v>
      </c>
      <c r="S1905" s="1209">
        <f t="shared" si="101"/>
        <v>186006</v>
      </c>
      <c r="T1905" s="26" t="s">
        <v>7358</v>
      </c>
      <c r="U1905" s="1871" t="s">
        <v>3961</v>
      </c>
      <c r="V1905" s="26" t="s">
        <v>6170</v>
      </c>
      <c r="W1905" s="2015"/>
      <c r="X1905" s="18"/>
      <c r="Y1905" s="4"/>
      <c r="Z1905" s="4"/>
    </row>
    <row r="1906" spans="1:26" ht="14.1" hidden="1">
      <c r="A1906" s="20">
        <v>1913</v>
      </c>
      <c r="B1906" s="1063">
        <v>41683</v>
      </c>
      <c r="C1906" s="26" t="s">
        <v>7361</v>
      </c>
      <c r="D1906" s="11"/>
      <c r="E1906" s="26" t="s">
        <v>572</v>
      </c>
      <c r="F1906" s="26" t="s">
        <v>784</v>
      </c>
      <c r="G1906" s="26" t="s">
        <v>7362</v>
      </c>
      <c r="H1906" s="26" t="s">
        <v>1751</v>
      </c>
      <c r="I1906" s="26" t="s">
        <v>281</v>
      </c>
      <c r="J1906" s="26" t="s">
        <v>149</v>
      </c>
      <c r="K1906" s="26" t="s">
        <v>149</v>
      </c>
      <c r="L1906" s="26"/>
      <c r="M1906" s="26">
        <v>1</v>
      </c>
      <c r="N1906" s="26">
        <v>1</v>
      </c>
      <c r="O1906" s="26">
        <v>1</v>
      </c>
      <c r="P1906" s="26">
        <v>0</v>
      </c>
      <c r="Q1906" s="26">
        <v>0</v>
      </c>
      <c r="R1906" s="1209">
        <v>20468</v>
      </c>
      <c r="S1906" s="1209">
        <f t="shared" si="101"/>
        <v>20468</v>
      </c>
      <c r="T1906" s="26" t="s">
        <v>7358</v>
      </c>
      <c r="U1906" s="1871" t="s">
        <v>3961</v>
      </c>
      <c r="V1906" s="26" t="s">
        <v>6170</v>
      </c>
      <c r="W1906" s="2015"/>
      <c r="X1906" s="18"/>
      <c r="Y1906" s="4"/>
      <c r="Z1906" s="4"/>
    </row>
    <row r="1907" spans="1:26" ht="14.1" hidden="1">
      <c r="A1907" s="20">
        <v>1914</v>
      </c>
      <c r="B1907" s="1063">
        <v>41684</v>
      </c>
      <c r="C1907" s="26" t="s">
        <v>7363</v>
      </c>
      <c r="D1907" s="11"/>
      <c r="E1907" s="26" t="s">
        <v>572</v>
      </c>
      <c r="F1907" s="26" t="s">
        <v>784</v>
      </c>
      <c r="G1907" s="26" t="s">
        <v>7364</v>
      </c>
      <c r="H1907" s="26" t="s">
        <v>1715</v>
      </c>
      <c r="I1907" s="26" t="s">
        <v>281</v>
      </c>
      <c r="J1907" s="26" t="s">
        <v>149</v>
      </c>
      <c r="K1907" s="26" t="s">
        <v>149</v>
      </c>
      <c r="L1907" s="26"/>
      <c r="M1907" s="26">
        <v>1</v>
      </c>
      <c r="N1907" s="26">
        <v>1</v>
      </c>
      <c r="O1907" s="26">
        <v>1</v>
      </c>
      <c r="P1907" s="26">
        <v>0</v>
      </c>
      <c r="Q1907" s="26">
        <v>0</v>
      </c>
      <c r="R1907" s="1209">
        <v>43381</v>
      </c>
      <c r="S1907" s="1209">
        <f t="shared" si="101"/>
        <v>43381</v>
      </c>
      <c r="T1907" s="26" t="s">
        <v>7358</v>
      </c>
      <c r="U1907" s="1871" t="s">
        <v>3961</v>
      </c>
      <c r="V1907" s="26" t="s">
        <v>6170</v>
      </c>
      <c r="W1907" s="2015"/>
      <c r="X1907" s="18"/>
      <c r="Y1907" s="4"/>
      <c r="Z1907" s="4"/>
    </row>
    <row r="1908" spans="1:26" ht="14.1" hidden="1">
      <c r="A1908" s="20">
        <v>1915</v>
      </c>
      <c r="B1908" s="1063">
        <v>41685</v>
      </c>
      <c r="C1908" s="26" t="s">
        <v>7365</v>
      </c>
      <c r="D1908" s="11"/>
      <c r="E1908" s="26" t="s">
        <v>572</v>
      </c>
      <c r="F1908" s="26" t="s">
        <v>784</v>
      </c>
      <c r="G1908" s="26" t="s">
        <v>7366</v>
      </c>
      <c r="H1908" s="26" t="s">
        <v>184</v>
      </c>
      <c r="I1908" s="26" t="s">
        <v>281</v>
      </c>
      <c r="J1908" s="26" t="s">
        <v>149</v>
      </c>
      <c r="K1908" s="26" t="s">
        <v>149</v>
      </c>
      <c r="L1908" s="26"/>
      <c r="M1908" s="26">
        <v>1</v>
      </c>
      <c r="N1908" s="26">
        <v>1</v>
      </c>
      <c r="O1908" s="26">
        <v>1</v>
      </c>
      <c r="P1908" s="26">
        <v>0</v>
      </c>
      <c r="Q1908" s="26">
        <v>0</v>
      </c>
      <c r="R1908" s="1209">
        <v>8821</v>
      </c>
      <c r="S1908" s="1209">
        <f t="shared" si="101"/>
        <v>8821</v>
      </c>
      <c r="T1908" s="26" t="s">
        <v>7358</v>
      </c>
      <c r="U1908" s="1871" t="s">
        <v>3961</v>
      </c>
      <c r="V1908" s="26" t="s">
        <v>6170</v>
      </c>
      <c r="W1908" s="2015"/>
      <c r="X1908" s="18"/>
      <c r="Y1908" s="4"/>
      <c r="Z1908" s="4"/>
    </row>
    <row r="1909" spans="1:26" ht="17.25" hidden="1" customHeight="1">
      <c r="A1909" s="20">
        <v>1916</v>
      </c>
      <c r="B1909" s="1063">
        <v>41686</v>
      </c>
      <c r="C1909" s="32" t="s">
        <v>152</v>
      </c>
      <c r="D1909" s="11"/>
      <c r="E1909" s="26" t="s">
        <v>62</v>
      </c>
      <c r="F1909" s="26" t="s">
        <v>7367</v>
      </c>
      <c r="G1909" s="249" t="s">
        <v>7368</v>
      </c>
      <c r="H1909" s="18" t="s">
        <v>2786</v>
      </c>
      <c r="I1909" s="18" t="s">
        <v>7369</v>
      </c>
      <c r="J1909" s="249" t="s">
        <v>7370</v>
      </c>
      <c r="K1909" s="249" t="s">
        <v>7371</v>
      </c>
      <c r="L1909" s="18"/>
      <c r="M1909" s="18">
        <v>10</v>
      </c>
      <c r="N1909" s="18">
        <v>10</v>
      </c>
      <c r="O1909" s="18">
        <v>10</v>
      </c>
      <c r="P1909" s="18">
        <v>0</v>
      </c>
      <c r="Q1909" s="18">
        <v>0</v>
      </c>
      <c r="R1909" s="1215"/>
      <c r="S1909" s="1265">
        <v>482</v>
      </c>
      <c r="T1909" s="18" t="s">
        <v>5705</v>
      </c>
      <c r="U1909" s="1859" t="s">
        <v>7372</v>
      </c>
      <c r="V1909" s="18" t="s">
        <v>6170</v>
      </c>
      <c r="W1909" s="2015"/>
      <c r="X1909" s="26"/>
      <c r="Y1909" s="71"/>
      <c r="Z1909" s="71"/>
    </row>
    <row r="1910" spans="1:26" ht="18" hidden="1" customHeight="1">
      <c r="A1910" s="20">
        <v>1917</v>
      </c>
      <c r="B1910" s="1063">
        <v>41687</v>
      </c>
      <c r="C1910" s="32" t="s">
        <v>152</v>
      </c>
      <c r="D1910" s="11"/>
      <c r="E1910" s="26" t="s">
        <v>62</v>
      </c>
      <c r="F1910" s="26" t="s">
        <v>7367</v>
      </c>
      <c r="G1910" s="249" t="s">
        <v>7373</v>
      </c>
      <c r="H1910" s="18" t="s">
        <v>2786</v>
      </c>
      <c r="I1910" s="18" t="s">
        <v>7369</v>
      </c>
      <c r="J1910" s="249" t="s">
        <v>7374</v>
      </c>
      <c r="K1910" s="249" t="s">
        <v>7375</v>
      </c>
      <c r="L1910" s="18"/>
      <c r="M1910" s="18">
        <v>2</v>
      </c>
      <c r="N1910" s="18">
        <v>10</v>
      </c>
      <c r="O1910" s="18">
        <v>10</v>
      </c>
      <c r="P1910" s="18">
        <v>0</v>
      </c>
      <c r="Q1910" s="18">
        <v>0</v>
      </c>
      <c r="R1910" s="1215"/>
      <c r="S1910" s="1265">
        <v>241</v>
      </c>
      <c r="T1910" s="18" t="s">
        <v>5705</v>
      </c>
      <c r="U1910" s="1859" t="s">
        <v>7372</v>
      </c>
      <c r="V1910" s="18" t="s">
        <v>6170</v>
      </c>
      <c r="W1910" s="2015"/>
      <c r="X1910" s="26"/>
      <c r="Y1910" s="71"/>
      <c r="Z1910" s="71"/>
    </row>
    <row r="1911" spans="1:26" ht="18" hidden="1" customHeight="1">
      <c r="A1911" s="20">
        <v>1918</v>
      </c>
      <c r="B1911" s="1063">
        <v>41688</v>
      </c>
      <c r="C1911" s="32" t="s">
        <v>152</v>
      </c>
      <c r="D1911" s="11"/>
      <c r="E1911" s="26" t="s">
        <v>62</v>
      </c>
      <c r="F1911" s="26" t="s">
        <v>7367</v>
      </c>
      <c r="G1911" s="249" t="s">
        <v>7376</v>
      </c>
      <c r="H1911" s="18" t="s">
        <v>2786</v>
      </c>
      <c r="I1911" s="18" t="s">
        <v>7369</v>
      </c>
      <c r="J1911" s="249" t="s">
        <v>7377</v>
      </c>
      <c r="K1911" s="249" t="s">
        <v>7378</v>
      </c>
      <c r="L1911" s="18"/>
      <c r="M1911" s="18">
        <v>4</v>
      </c>
      <c r="N1911" s="18">
        <v>10</v>
      </c>
      <c r="O1911" s="18">
        <v>10</v>
      </c>
      <c r="P1911" s="18">
        <v>0</v>
      </c>
      <c r="Q1911" s="18">
        <v>0</v>
      </c>
      <c r="R1911" s="1215"/>
      <c r="S1911" s="1265">
        <v>482</v>
      </c>
      <c r="T1911" s="18" t="s">
        <v>5705</v>
      </c>
      <c r="U1911" s="1859" t="s">
        <v>7372</v>
      </c>
      <c r="V1911" s="18" t="s">
        <v>6170</v>
      </c>
      <c r="W1911" s="2015"/>
      <c r="X1911" s="18"/>
      <c r="Y1911" s="4"/>
      <c r="Z1911" s="4"/>
    </row>
    <row r="1912" spans="1:26" ht="17.25" hidden="1" customHeight="1">
      <c r="A1912" s="20">
        <v>1919</v>
      </c>
      <c r="B1912" s="1063">
        <v>41689</v>
      </c>
      <c r="C1912" s="32" t="s">
        <v>152</v>
      </c>
      <c r="D1912" s="11"/>
      <c r="E1912" s="26" t="s">
        <v>62</v>
      </c>
      <c r="F1912" s="26" t="s">
        <v>7367</v>
      </c>
      <c r="G1912" s="249" t="s">
        <v>7379</v>
      </c>
      <c r="H1912" s="18" t="s">
        <v>1400</v>
      </c>
      <c r="I1912" s="18" t="s">
        <v>7369</v>
      </c>
      <c r="J1912" s="249" t="s">
        <v>7380</v>
      </c>
      <c r="K1912" s="249" t="s">
        <v>7381</v>
      </c>
      <c r="L1912" s="18"/>
      <c r="M1912" s="18">
        <v>4</v>
      </c>
      <c r="N1912" s="18">
        <v>1</v>
      </c>
      <c r="O1912" s="18">
        <v>4</v>
      </c>
      <c r="P1912" s="18">
        <v>0</v>
      </c>
      <c r="Q1912" s="18">
        <v>0</v>
      </c>
      <c r="R1912" s="1215"/>
      <c r="S1912" s="1265">
        <v>1296</v>
      </c>
      <c r="T1912" s="18" t="s">
        <v>5705</v>
      </c>
      <c r="U1912" s="1859" t="s">
        <v>7372</v>
      </c>
      <c r="V1912" s="18" t="s">
        <v>6170</v>
      </c>
      <c r="W1912" s="2015"/>
      <c r="X1912" s="18"/>
      <c r="Y1912" s="4"/>
      <c r="Z1912" s="4"/>
    </row>
    <row r="1913" spans="1:26" ht="20.25" hidden="1" customHeight="1">
      <c r="A1913" s="20">
        <v>1920</v>
      </c>
      <c r="B1913" s="1063">
        <v>41690</v>
      </c>
      <c r="C1913" s="32" t="s">
        <v>152</v>
      </c>
      <c r="D1913" s="11"/>
      <c r="E1913" s="26" t="s">
        <v>62</v>
      </c>
      <c r="F1913" s="26" t="s">
        <v>7367</v>
      </c>
      <c r="G1913" s="249" t="s">
        <v>7382</v>
      </c>
      <c r="H1913" s="18" t="s">
        <v>1400</v>
      </c>
      <c r="I1913" s="18" t="s">
        <v>7369</v>
      </c>
      <c r="J1913" s="249" t="s">
        <v>7383</v>
      </c>
      <c r="K1913" s="249" t="s">
        <v>7384</v>
      </c>
      <c r="L1913" s="18"/>
      <c r="M1913" s="18">
        <v>2</v>
      </c>
      <c r="N1913" s="18">
        <v>1</v>
      </c>
      <c r="O1913" s="18">
        <v>2</v>
      </c>
      <c r="P1913" s="18">
        <v>0</v>
      </c>
      <c r="Q1913" s="18">
        <v>0</v>
      </c>
      <c r="R1913" s="1215"/>
      <c r="S1913" s="1265" t="s">
        <v>7385</v>
      </c>
      <c r="T1913" s="18" t="s">
        <v>5705</v>
      </c>
      <c r="U1913" s="1859" t="s">
        <v>7372</v>
      </c>
      <c r="V1913" s="18" t="s">
        <v>6170</v>
      </c>
      <c r="W1913" s="2015"/>
      <c r="X1913" s="18"/>
      <c r="Y1913" s="4"/>
      <c r="Z1913" s="4"/>
    </row>
    <row r="1914" spans="1:26" ht="19.5" hidden="1" customHeight="1">
      <c r="A1914" s="20">
        <v>1921</v>
      </c>
      <c r="B1914" s="1063">
        <v>41691</v>
      </c>
      <c r="C1914" s="32" t="s">
        <v>152</v>
      </c>
      <c r="D1914" s="11"/>
      <c r="E1914" s="26" t="s">
        <v>62</v>
      </c>
      <c r="F1914" s="26" t="s">
        <v>7367</v>
      </c>
      <c r="G1914" s="249" t="s">
        <v>7386</v>
      </c>
      <c r="H1914" s="18" t="s">
        <v>2786</v>
      </c>
      <c r="I1914" s="18" t="s">
        <v>7369</v>
      </c>
      <c r="J1914" s="249" t="s">
        <v>7387</v>
      </c>
      <c r="K1914" s="249" t="s">
        <v>7388</v>
      </c>
      <c r="L1914" s="18"/>
      <c r="M1914" s="18">
        <v>2</v>
      </c>
      <c r="N1914" s="18">
        <v>10</v>
      </c>
      <c r="O1914" s="18">
        <v>10</v>
      </c>
      <c r="P1914" s="18">
        <v>0</v>
      </c>
      <c r="Q1914" s="18">
        <v>0</v>
      </c>
      <c r="R1914" s="1215"/>
      <c r="S1914" s="1265" t="s">
        <v>7389</v>
      </c>
      <c r="T1914" s="18" t="s">
        <v>5705</v>
      </c>
      <c r="U1914" s="1859" t="s">
        <v>7372</v>
      </c>
      <c r="V1914" s="18" t="s">
        <v>6170</v>
      </c>
      <c r="W1914" s="2015"/>
      <c r="X1914" s="18"/>
      <c r="Y1914" s="4"/>
      <c r="Z1914" s="4"/>
    </row>
    <row r="1915" spans="1:26" ht="18.75" hidden="1" customHeight="1">
      <c r="A1915" s="20">
        <v>1922</v>
      </c>
      <c r="B1915" s="1063">
        <v>41692</v>
      </c>
      <c r="C1915" s="32" t="s">
        <v>152</v>
      </c>
      <c r="D1915" s="11"/>
      <c r="E1915" s="26" t="s">
        <v>62</v>
      </c>
      <c r="F1915" s="26" t="s">
        <v>7367</v>
      </c>
      <c r="G1915" s="249" t="s">
        <v>7390</v>
      </c>
      <c r="H1915" s="18" t="s">
        <v>2786</v>
      </c>
      <c r="I1915" s="18" t="s">
        <v>7369</v>
      </c>
      <c r="J1915" s="249" t="s">
        <v>7391</v>
      </c>
      <c r="K1915" s="249" t="s">
        <v>7392</v>
      </c>
      <c r="L1915" s="18"/>
      <c r="M1915" s="18">
        <v>10</v>
      </c>
      <c r="N1915" s="18">
        <v>10</v>
      </c>
      <c r="O1915" s="18">
        <v>10</v>
      </c>
      <c r="P1915" s="18">
        <v>0</v>
      </c>
      <c r="Q1915" s="18">
        <v>0</v>
      </c>
      <c r="R1915" s="1215"/>
      <c r="S1915" s="1265" t="s">
        <v>7393</v>
      </c>
      <c r="T1915" s="18" t="s">
        <v>5705</v>
      </c>
      <c r="U1915" s="1859" t="s">
        <v>7372</v>
      </c>
      <c r="V1915" s="18" t="s">
        <v>6170</v>
      </c>
      <c r="W1915" s="2015"/>
      <c r="X1915" s="26"/>
      <c r="Y1915" s="71"/>
      <c r="Z1915" s="71"/>
    </row>
    <row r="1916" spans="1:26" ht="19.5" hidden="1" customHeight="1">
      <c r="A1916" s="20">
        <v>1923</v>
      </c>
      <c r="B1916" s="1063">
        <v>41693</v>
      </c>
      <c r="C1916" s="32" t="s">
        <v>152</v>
      </c>
      <c r="D1916" s="11"/>
      <c r="E1916" s="26" t="s">
        <v>62</v>
      </c>
      <c r="F1916" s="26" t="s">
        <v>7367</v>
      </c>
      <c r="G1916" s="249" t="s">
        <v>7394</v>
      </c>
      <c r="H1916" s="18" t="s">
        <v>2786</v>
      </c>
      <c r="I1916" s="18" t="s">
        <v>7369</v>
      </c>
      <c r="J1916" s="249" t="s">
        <v>7395</v>
      </c>
      <c r="K1916" s="249" t="s">
        <v>7396</v>
      </c>
      <c r="L1916" s="18"/>
      <c r="M1916" s="18">
        <v>2</v>
      </c>
      <c r="N1916" s="18">
        <v>10</v>
      </c>
      <c r="O1916" s="18">
        <v>10</v>
      </c>
      <c r="P1916" s="18">
        <v>0</v>
      </c>
      <c r="Q1916" s="18">
        <v>0</v>
      </c>
      <c r="R1916" s="1215"/>
      <c r="S1916" s="1265" t="s">
        <v>7397</v>
      </c>
      <c r="T1916" s="18" t="s">
        <v>5705</v>
      </c>
      <c r="U1916" s="1859" t="s">
        <v>7372</v>
      </c>
      <c r="V1916" s="18" t="s">
        <v>6170</v>
      </c>
      <c r="W1916" s="2015"/>
      <c r="X1916" s="26"/>
      <c r="Y1916" s="71"/>
      <c r="Z1916" s="71"/>
    </row>
    <row r="1917" spans="1:26" ht="14.1" hidden="1">
      <c r="A1917" s="20">
        <v>1924</v>
      </c>
      <c r="B1917" s="1063">
        <v>41694</v>
      </c>
      <c r="C1917" s="32" t="s">
        <v>152</v>
      </c>
      <c r="D1917" s="11"/>
      <c r="E1917" s="26" t="s">
        <v>62</v>
      </c>
      <c r="F1917" s="26" t="s">
        <v>7367</v>
      </c>
      <c r="G1917" s="250" t="s">
        <v>7398</v>
      </c>
      <c r="H1917" s="249" t="s">
        <v>249</v>
      </c>
      <c r="I1917" s="18" t="s">
        <v>7369</v>
      </c>
      <c r="J1917" s="249" t="s">
        <v>7399</v>
      </c>
      <c r="K1917" s="249" t="s">
        <v>7400</v>
      </c>
      <c r="L1917" s="18"/>
      <c r="M1917" s="18">
        <v>2</v>
      </c>
      <c r="N1917" s="18">
        <v>10</v>
      </c>
      <c r="O1917" s="18">
        <v>10</v>
      </c>
      <c r="P1917" s="18">
        <v>0</v>
      </c>
      <c r="Q1917" s="18">
        <v>0</v>
      </c>
      <c r="R1917" s="1215"/>
      <c r="S1917" s="1265" t="s">
        <v>7401</v>
      </c>
      <c r="T1917" s="18" t="s">
        <v>5705</v>
      </c>
      <c r="U1917" s="1859" t="s">
        <v>7372</v>
      </c>
      <c r="V1917" s="18" t="s">
        <v>6170</v>
      </c>
      <c r="W1917" s="2015"/>
      <c r="X1917" s="18"/>
      <c r="Y1917" s="4"/>
      <c r="Z1917" s="4"/>
    </row>
    <row r="1918" spans="1:26" ht="14.1" hidden="1">
      <c r="A1918" s="20">
        <v>1925</v>
      </c>
      <c r="B1918" s="1063">
        <v>41695</v>
      </c>
      <c r="C1918" s="32" t="s">
        <v>152</v>
      </c>
      <c r="D1918" s="11"/>
      <c r="E1918" s="26" t="s">
        <v>62</v>
      </c>
      <c r="F1918" s="26" t="s">
        <v>7367</v>
      </c>
      <c r="G1918" s="249" t="s">
        <v>7402</v>
      </c>
      <c r="H1918" s="249" t="s">
        <v>249</v>
      </c>
      <c r="I1918" s="18" t="s">
        <v>7369</v>
      </c>
      <c r="J1918" s="249" t="s">
        <v>7403</v>
      </c>
      <c r="K1918" s="249" t="s">
        <v>7404</v>
      </c>
      <c r="L1918" s="18"/>
      <c r="M1918" s="18">
        <v>2</v>
      </c>
      <c r="N1918" s="18">
        <v>10</v>
      </c>
      <c r="O1918" s="18">
        <v>10</v>
      </c>
      <c r="P1918" s="18">
        <v>0</v>
      </c>
      <c r="Q1918" s="18">
        <v>0</v>
      </c>
      <c r="R1918" s="1215"/>
      <c r="S1918" s="1265" t="s">
        <v>7405</v>
      </c>
      <c r="T1918" s="18" t="s">
        <v>5705</v>
      </c>
      <c r="U1918" s="1859" t="s">
        <v>7372</v>
      </c>
      <c r="V1918" s="18" t="s">
        <v>6170</v>
      </c>
      <c r="W1918" s="2015"/>
      <c r="X1918" s="18"/>
      <c r="Y1918" s="4"/>
      <c r="Z1918" s="4"/>
    </row>
    <row r="1919" spans="1:26" ht="14.1" hidden="1">
      <c r="A1919" s="20">
        <v>1926</v>
      </c>
      <c r="B1919" s="1063">
        <v>41696</v>
      </c>
      <c r="C1919" s="32" t="s">
        <v>152</v>
      </c>
      <c r="D1919" s="11"/>
      <c r="E1919" s="26" t="s">
        <v>62</v>
      </c>
      <c r="F1919" s="26" t="s">
        <v>7367</v>
      </c>
      <c r="G1919" s="249" t="s">
        <v>7406</v>
      </c>
      <c r="H1919" s="249" t="s">
        <v>1400</v>
      </c>
      <c r="I1919" s="18" t="s">
        <v>7369</v>
      </c>
      <c r="J1919" s="249" t="s">
        <v>7407</v>
      </c>
      <c r="K1919" s="249" t="s">
        <v>7408</v>
      </c>
      <c r="L1919" s="18"/>
      <c r="M1919" s="18">
        <v>2</v>
      </c>
      <c r="N1919" s="18">
        <v>10</v>
      </c>
      <c r="O1919" s="18">
        <v>10</v>
      </c>
      <c r="P1919" s="18">
        <v>0</v>
      </c>
      <c r="Q1919" s="18">
        <v>0</v>
      </c>
      <c r="R1919" s="1215"/>
      <c r="S1919" s="1265" t="s">
        <v>7409</v>
      </c>
      <c r="T1919" s="18" t="s">
        <v>5705</v>
      </c>
      <c r="U1919" s="1859" t="s">
        <v>7372</v>
      </c>
      <c r="V1919" s="18" t="s">
        <v>6170</v>
      </c>
      <c r="W1919" s="2015"/>
      <c r="X1919" s="18"/>
      <c r="Y1919" s="4"/>
      <c r="Z1919" s="4"/>
    </row>
    <row r="1920" spans="1:26" ht="15.75" hidden="1" customHeight="1">
      <c r="A1920" s="20">
        <v>1927</v>
      </c>
      <c r="B1920" s="1063">
        <v>41697</v>
      </c>
      <c r="C1920" s="32" t="s">
        <v>152</v>
      </c>
      <c r="D1920" s="11"/>
      <c r="E1920" s="26" t="s">
        <v>62</v>
      </c>
      <c r="F1920" s="26" t="s">
        <v>7367</v>
      </c>
      <c r="G1920" s="249" t="s">
        <v>7410</v>
      </c>
      <c r="H1920" s="249" t="s">
        <v>2786</v>
      </c>
      <c r="I1920" s="18" t="s">
        <v>7369</v>
      </c>
      <c r="J1920" s="249" t="s">
        <v>7411</v>
      </c>
      <c r="K1920" s="249" t="s">
        <v>7412</v>
      </c>
      <c r="L1920" s="18"/>
      <c r="M1920" s="18">
        <v>2</v>
      </c>
      <c r="N1920" s="18">
        <v>1</v>
      </c>
      <c r="O1920" s="18">
        <v>2</v>
      </c>
      <c r="P1920" s="18">
        <v>0</v>
      </c>
      <c r="Q1920" s="18">
        <v>0</v>
      </c>
      <c r="R1920" s="1215"/>
      <c r="S1920" s="1265" t="s">
        <v>7413</v>
      </c>
      <c r="T1920" s="18" t="s">
        <v>5705</v>
      </c>
      <c r="U1920" s="1859" t="s">
        <v>7372</v>
      </c>
      <c r="V1920" s="18" t="s">
        <v>6170</v>
      </c>
      <c r="W1920" s="2015"/>
      <c r="X1920" s="18"/>
      <c r="Y1920" s="4"/>
      <c r="Z1920" s="4"/>
    </row>
    <row r="1921" spans="1:26" ht="17.25" hidden="1" customHeight="1">
      <c r="A1921" s="20">
        <v>1928</v>
      </c>
      <c r="B1921" s="1063">
        <v>41698</v>
      </c>
      <c r="C1921" s="32" t="s">
        <v>152</v>
      </c>
      <c r="D1921" s="11"/>
      <c r="E1921" s="26" t="s">
        <v>62</v>
      </c>
      <c r="F1921" s="26" t="s">
        <v>7367</v>
      </c>
      <c r="G1921" s="249" t="s">
        <v>7414</v>
      </c>
      <c r="H1921" s="249" t="s">
        <v>2786</v>
      </c>
      <c r="I1921" s="18" t="s">
        <v>7369</v>
      </c>
      <c r="J1921" s="249" t="s">
        <v>7415</v>
      </c>
      <c r="K1921" s="249" t="s">
        <v>7416</v>
      </c>
      <c r="L1921" s="18"/>
      <c r="M1921" s="18">
        <v>2</v>
      </c>
      <c r="N1921" s="18">
        <v>10</v>
      </c>
      <c r="O1921" s="18">
        <v>10</v>
      </c>
      <c r="P1921" s="18">
        <v>0</v>
      </c>
      <c r="Q1921" s="18">
        <v>0</v>
      </c>
      <c r="R1921" s="1215"/>
      <c r="S1921" s="1265" t="s">
        <v>7389</v>
      </c>
      <c r="T1921" s="18" t="s">
        <v>5705</v>
      </c>
      <c r="U1921" s="1859" t="s">
        <v>7372</v>
      </c>
      <c r="V1921" s="18" t="s">
        <v>6170</v>
      </c>
      <c r="W1921" s="2015"/>
      <c r="X1921" s="26"/>
      <c r="Y1921" s="71"/>
      <c r="Z1921" s="71"/>
    </row>
    <row r="1922" spans="1:26" ht="16.5" hidden="1" customHeight="1">
      <c r="A1922" s="20">
        <v>1929</v>
      </c>
      <c r="B1922" s="1063">
        <v>41699</v>
      </c>
      <c r="C1922" s="32" t="s">
        <v>152</v>
      </c>
      <c r="D1922" s="11"/>
      <c r="E1922" s="26" t="s">
        <v>62</v>
      </c>
      <c r="F1922" s="26" t="s">
        <v>7367</v>
      </c>
      <c r="G1922" s="249" t="s">
        <v>7417</v>
      </c>
      <c r="H1922" s="18" t="s">
        <v>249</v>
      </c>
      <c r="I1922" s="18" t="s">
        <v>7369</v>
      </c>
      <c r="J1922" s="249" t="s">
        <v>7418</v>
      </c>
      <c r="K1922" s="249" t="s">
        <v>7419</v>
      </c>
      <c r="L1922" s="18"/>
      <c r="M1922" s="18">
        <v>2</v>
      </c>
      <c r="N1922" s="18">
        <v>10</v>
      </c>
      <c r="O1922" s="18">
        <v>10</v>
      </c>
      <c r="P1922" s="18">
        <v>0</v>
      </c>
      <c r="Q1922" s="18">
        <v>0</v>
      </c>
      <c r="R1922" s="1215"/>
      <c r="S1922" s="1265" t="s">
        <v>7420</v>
      </c>
      <c r="T1922" s="18" t="s">
        <v>5705</v>
      </c>
      <c r="U1922" s="1859" t="s">
        <v>7372</v>
      </c>
      <c r="V1922" s="18" t="s">
        <v>6170</v>
      </c>
      <c r="W1922" s="2015"/>
      <c r="X1922" s="26"/>
      <c r="Y1922" s="71"/>
      <c r="Z1922" s="71"/>
    </row>
    <row r="1923" spans="1:26" ht="16.5" hidden="1" customHeight="1">
      <c r="A1923" s="20">
        <v>1930</v>
      </c>
      <c r="B1923" s="1063">
        <v>41700</v>
      </c>
      <c r="C1923" s="32" t="s">
        <v>329</v>
      </c>
      <c r="D1923" s="11"/>
      <c r="E1923" s="26" t="s">
        <v>62</v>
      </c>
      <c r="F1923" s="26" t="s">
        <v>7367</v>
      </c>
      <c r="G1923" s="249" t="s">
        <v>7421</v>
      </c>
      <c r="H1923" s="249" t="s">
        <v>160</v>
      </c>
      <c r="I1923" s="18" t="s">
        <v>7369</v>
      </c>
      <c r="J1923" s="249" t="s">
        <v>7422</v>
      </c>
      <c r="K1923" s="249" t="s">
        <v>7423</v>
      </c>
      <c r="L1923" s="18"/>
      <c r="M1923" s="18">
        <v>4</v>
      </c>
      <c r="N1923" s="18">
        <v>10</v>
      </c>
      <c r="O1923" s="18">
        <v>10</v>
      </c>
      <c r="P1923" s="18">
        <v>0</v>
      </c>
      <c r="Q1923" s="18">
        <v>0</v>
      </c>
      <c r="R1923" s="1215"/>
      <c r="S1923" s="1265" t="s">
        <v>7424</v>
      </c>
      <c r="T1923" s="18" t="s">
        <v>5705</v>
      </c>
      <c r="U1923" s="1859" t="s">
        <v>7372</v>
      </c>
      <c r="V1923" s="18" t="s">
        <v>6170</v>
      </c>
      <c r="W1923" s="2015"/>
      <c r="X1923" s="18"/>
      <c r="Y1923" s="4"/>
      <c r="Z1923" s="4"/>
    </row>
    <row r="1924" spans="1:26" ht="18" hidden="1" customHeight="1">
      <c r="A1924" s="20">
        <v>1931</v>
      </c>
      <c r="B1924" s="1063">
        <v>41701</v>
      </c>
      <c r="C1924" s="32" t="s">
        <v>329</v>
      </c>
      <c r="D1924" s="11"/>
      <c r="E1924" s="26" t="s">
        <v>62</v>
      </c>
      <c r="F1924" s="26" t="s">
        <v>7367</v>
      </c>
      <c r="G1924" s="249" t="s">
        <v>7425</v>
      </c>
      <c r="H1924" s="249" t="s">
        <v>160</v>
      </c>
      <c r="I1924" s="18" t="s">
        <v>7369</v>
      </c>
      <c r="J1924" s="249" t="s">
        <v>7426</v>
      </c>
      <c r="K1924" s="249" t="s">
        <v>7427</v>
      </c>
      <c r="L1924" s="18"/>
      <c r="M1924" s="18">
        <v>2</v>
      </c>
      <c r="N1924" s="18">
        <v>5</v>
      </c>
      <c r="O1924" s="18">
        <v>5</v>
      </c>
      <c r="P1924" s="18">
        <v>0</v>
      </c>
      <c r="Q1924" s="18">
        <v>0</v>
      </c>
      <c r="R1924" s="1215"/>
      <c r="S1924" s="1265" t="s">
        <v>7428</v>
      </c>
      <c r="T1924" s="18" t="s">
        <v>5705</v>
      </c>
      <c r="U1924" s="1859" t="s">
        <v>7372</v>
      </c>
      <c r="V1924" s="18" t="s">
        <v>6170</v>
      </c>
      <c r="W1924" s="2015"/>
      <c r="X1924" s="18"/>
      <c r="Y1924" s="4"/>
      <c r="Z1924" s="4"/>
    </row>
    <row r="1925" spans="1:26" ht="14.1" hidden="1">
      <c r="A1925" s="20">
        <v>1932</v>
      </c>
      <c r="B1925" s="1063">
        <v>41702</v>
      </c>
      <c r="C1925" s="32" t="s">
        <v>329</v>
      </c>
      <c r="D1925" s="11"/>
      <c r="E1925" s="26" t="s">
        <v>62</v>
      </c>
      <c r="F1925" s="26" t="s">
        <v>7367</v>
      </c>
      <c r="G1925" s="249" t="s">
        <v>7429</v>
      </c>
      <c r="H1925" s="249" t="s">
        <v>160</v>
      </c>
      <c r="I1925" s="18" t="s">
        <v>7369</v>
      </c>
      <c r="J1925" s="18" t="s">
        <v>7430</v>
      </c>
      <c r="K1925" s="249" t="s">
        <v>7431</v>
      </c>
      <c r="L1925" s="18"/>
      <c r="M1925" s="18">
        <v>4</v>
      </c>
      <c r="N1925" s="18">
        <v>10</v>
      </c>
      <c r="O1925" s="18">
        <v>10</v>
      </c>
      <c r="P1925" s="18">
        <v>0</v>
      </c>
      <c r="Q1925" s="18">
        <v>0</v>
      </c>
      <c r="R1925" s="1215"/>
      <c r="S1925" s="1265" t="s">
        <v>7432</v>
      </c>
      <c r="T1925" s="18" t="s">
        <v>5705</v>
      </c>
      <c r="U1925" s="1859" t="s">
        <v>7372</v>
      </c>
      <c r="V1925" s="18" t="s">
        <v>6170</v>
      </c>
      <c r="W1925" s="2015"/>
      <c r="X1925" s="18"/>
      <c r="Y1925" s="4"/>
      <c r="Z1925" s="4"/>
    </row>
    <row r="1926" spans="1:26" ht="17.25" hidden="1" customHeight="1">
      <c r="A1926" s="20">
        <v>1933</v>
      </c>
      <c r="B1926" s="1063">
        <v>41703</v>
      </c>
      <c r="C1926" s="32" t="s">
        <v>329</v>
      </c>
      <c r="D1926" s="11"/>
      <c r="E1926" s="26" t="s">
        <v>62</v>
      </c>
      <c r="F1926" s="26" t="s">
        <v>7367</v>
      </c>
      <c r="G1926" s="249" t="s">
        <v>7433</v>
      </c>
      <c r="H1926" s="249" t="s">
        <v>144</v>
      </c>
      <c r="I1926" s="18" t="s">
        <v>7369</v>
      </c>
      <c r="J1926" s="249" t="s">
        <v>7434</v>
      </c>
      <c r="K1926" s="249" t="s">
        <v>7435</v>
      </c>
      <c r="L1926" s="18"/>
      <c r="M1926" s="18">
        <v>10</v>
      </c>
      <c r="N1926" s="18">
        <v>10</v>
      </c>
      <c r="O1926" s="18">
        <v>10</v>
      </c>
      <c r="P1926" s="18">
        <v>0</v>
      </c>
      <c r="Q1926" s="18">
        <v>0</v>
      </c>
      <c r="R1926" s="1215"/>
      <c r="S1926" s="1265" t="s">
        <v>7436</v>
      </c>
      <c r="T1926" s="18" t="s">
        <v>5705</v>
      </c>
      <c r="U1926" s="1859" t="s">
        <v>7372</v>
      </c>
      <c r="V1926" s="18" t="s">
        <v>6170</v>
      </c>
      <c r="W1926" s="2015"/>
      <c r="X1926" s="18"/>
      <c r="Y1926" s="4"/>
      <c r="Z1926" s="4"/>
    </row>
    <row r="1927" spans="1:26" ht="15.75" hidden="1" customHeight="1">
      <c r="A1927" s="20">
        <v>1934</v>
      </c>
      <c r="B1927" s="1063">
        <v>41704</v>
      </c>
      <c r="C1927" s="32" t="s">
        <v>7437</v>
      </c>
      <c r="D1927" s="11"/>
      <c r="E1927" s="26" t="s">
        <v>62</v>
      </c>
      <c r="F1927" s="26" t="s">
        <v>7367</v>
      </c>
      <c r="G1927" s="250" t="s">
        <v>7438</v>
      </c>
      <c r="H1927" s="18" t="s">
        <v>144</v>
      </c>
      <c r="I1927" s="18" t="s">
        <v>7439</v>
      </c>
      <c r="J1927" s="249" t="s">
        <v>7440</v>
      </c>
      <c r="K1927" s="18" t="s">
        <v>7441</v>
      </c>
      <c r="L1927" s="18"/>
      <c r="M1927" s="18">
        <v>1</v>
      </c>
      <c r="N1927" s="18">
        <v>10</v>
      </c>
      <c r="O1927" s="18">
        <v>10</v>
      </c>
      <c r="P1927" s="18">
        <v>0</v>
      </c>
      <c r="Q1927" s="18">
        <v>0</v>
      </c>
      <c r="R1927" s="1215"/>
      <c r="S1927" s="1265" t="s">
        <v>7442</v>
      </c>
      <c r="T1927" s="18" t="s">
        <v>5705</v>
      </c>
      <c r="U1927" s="1859" t="s">
        <v>7372</v>
      </c>
      <c r="V1927" s="18" t="s">
        <v>6170</v>
      </c>
      <c r="W1927" s="2015"/>
      <c r="X1927" s="26"/>
      <c r="Y1927" s="71"/>
      <c r="Z1927" s="71"/>
    </row>
    <row r="1928" spans="1:26" ht="14.1" hidden="1">
      <c r="A1928" s="20">
        <v>1935</v>
      </c>
      <c r="B1928" s="1063">
        <v>41705</v>
      </c>
      <c r="C1928" s="32" t="s">
        <v>7443</v>
      </c>
      <c r="D1928" s="11"/>
      <c r="E1928" s="26" t="s">
        <v>62</v>
      </c>
      <c r="F1928" s="26" t="s">
        <v>7367</v>
      </c>
      <c r="G1928" s="249" t="s">
        <v>7444</v>
      </c>
      <c r="H1928" s="249" t="s">
        <v>144</v>
      </c>
      <c r="I1928" s="18" t="s">
        <v>7369</v>
      </c>
      <c r="J1928" s="18" t="s">
        <v>7445</v>
      </c>
      <c r="K1928" s="249" t="s">
        <v>7446</v>
      </c>
      <c r="L1928" s="18"/>
      <c r="M1928" s="18">
        <v>2</v>
      </c>
      <c r="N1928" s="18">
        <v>1</v>
      </c>
      <c r="O1928" s="18">
        <v>2</v>
      </c>
      <c r="P1928" s="18">
        <v>0</v>
      </c>
      <c r="Q1928" s="18">
        <v>0</v>
      </c>
      <c r="R1928" s="1215"/>
      <c r="S1928" s="1265" t="s">
        <v>7447</v>
      </c>
      <c r="T1928" s="18" t="s">
        <v>5705</v>
      </c>
      <c r="U1928" s="1859" t="s">
        <v>7372</v>
      </c>
      <c r="V1928" s="18" t="s">
        <v>6170</v>
      </c>
      <c r="W1928" s="2015"/>
      <c r="X1928" s="26"/>
      <c r="Y1928" s="71"/>
      <c r="Z1928" s="71"/>
    </row>
    <row r="1929" spans="1:26" ht="19.5" hidden="1" customHeight="1">
      <c r="A1929" s="20">
        <v>1936</v>
      </c>
      <c r="B1929" s="1063">
        <v>41706</v>
      </c>
      <c r="C1929" s="32" t="s">
        <v>7443</v>
      </c>
      <c r="D1929" s="11"/>
      <c r="E1929" s="26" t="s">
        <v>62</v>
      </c>
      <c r="F1929" s="26" t="s">
        <v>7367</v>
      </c>
      <c r="G1929" s="249" t="s">
        <v>7448</v>
      </c>
      <c r="H1929" s="249" t="s">
        <v>460</v>
      </c>
      <c r="I1929" s="18" t="s">
        <v>7369</v>
      </c>
      <c r="J1929" s="249" t="s">
        <v>7449</v>
      </c>
      <c r="K1929" s="249" t="s">
        <v>7450</v>
      </c>
      <c r="L1929" s="18"/>
      <c r="M1929" s="18">
        <v>4</v>
      </c>
      <c r="N1929" s="18">
        <v>10</v>
      </c>
      <c r="O1929" s="18">
        <v>10</v>
      </c>
      <c r="P1929" s="18">
        <v>0</v>
      </c>
      <c r="Q1929" s="18">
        <v>0</v>
      </c>
      <c r="R1929" s="1215"/>
      <c r="S1929" s="1265" t="s">
        <v>7451</v>
      </c>
      <c r="T1929" s="18" t="s">
        <v>5705</v>
      </c>
      <c r="U1929" s="1859" t="s">
        <v>7372</v>
      </c>
      <c r="V1929" s="18" t="s">
        <v>6170</v>
      </c>
      <c r="W1929" s="2015"/>
      <c r="X1929" s="18"/>
      <c r="Y1929" s="4"/>
      <c r="Z1929" s="4"/>
    </row>
    <row r="1930" spans="1:26" ht="14.1" hidden="1">
      <c r="A1930" s="20">
        <v>1937</v>
      </c>
      <c r="B1930" s="1063">
        <v>41707</v>
      </c>
      <c r="C1930" s="32" t="s">
        <v>7443</v>
      </c>
      <c r="D1930" s="11"/>
      <c r="E1930" s="26" t="s">
        <v>62</v>
      </c>
      <c r="F1930" s="26" t="s">
        <v>7367</v>
      </c>
      <c r="G1930" s="249" t="s">
        <v>7452</v>
      </c>
      <c r="H1930" s="249" t="s">
        <v>460</v>
      </c>
      <c r="I1930" s="18" t="s">
        <v>7453</v>
      </c>
      <c r="J1930" s="249" t="s">
        <v>7454</v>
      </c>
      <c r="K1930" s="249" t="s">
        <v>7455</v>
      </c>
      <c r="L1930" s="18"/>
      <c r="M1930" s="18">
        <v>2</v>
      </c>
      <c r="N1930" s="18">
        <v>1</v>
      </c>
      <c r="O1930" s="18">
        <v>2</v>
      </c>
      <c r="P1930" s="18">
        <v>0</v>
      </c>
      <c r="Q1930" s="18">
        <v>0</v>
      </c>
      <c r="R1930" s="1215"/>
      <c r="S1930" s="1265" t="s">
        <v>7456</v>
      </c>
      <c r="T1930" s="18" t="s">
        <v>5705</v>
      </c>
      <c r="U1930" s="1859" t="s">
        <v>7372</v>
      </c>
      <c r="V1930" s="18" t="s">
        <v>6170</v>
      </c>
      <c r="W1930" s="2015"/>
      <c r="X1930" s="18"/>
      <c r="Y1930" s="4"/>
      <c r="Z1930" s="4"/>
    </row>
    <row r="1931" spans="1:26" ht="14.1" hidden="1">
      <c r="A1931" s="20">
        <v>1938</v>
      </c>
      <c r="B1931" s="1063">
        <v>41708</v>
      </c>
      <c r="C1931" s="32" t="s">
        <v>7457</v>
      </c>
      <c r="D1931" s="11"/>
      <c r="E1931" s="26" t="s">
        <v>62</v>
      </c>
      <c r="F1931" s="26" t="s">
        <v>7367</v>
      </c>
      <c r="G1931" s="251" t="s">
        <v>7458</v>
      </c>
      <c r="H1931" s="249" t="s">
        <v>460</v>
      </c>
      <c r="I1931" s="18" t="s">
        <v>7453</v>
      </c>
      <c r="J1931" s="249" t="s">
        <v>7459</v>
      </c>
      <c r="K1931" s="18" t="s">
        <v>7460</v>
      </c>
      <c r="L1931" s="18"/>
      <c r="M1931" s="18">
        <v>2</v>
      </c>
      <c r="N1931" s="18">
        <v>1</v>
      </c>
      <c r="O1931" s="18">
        <v>2</v>
      </c>
      <c r="P1931" s="18">
        <v>0</v>
      </c>
      <c r="Q1931" s="18">
        <v>0</v>
      </c>
      <c r="R1931" s="1215"/>
      <c r="S1931" s="1265" t="s">
        <v>7461</v>
      </c>
      <c r="T1931" s="18" t="s">
        <v>5705</v>
      </c>
      <c r="U1931" s="1859" t="s">
        <v>7372</v>
      </c>
      <c r="V1931" s="18" t="s">
        <v>6170</v>
      </c>
      <c r="W1931" s="2015"/>
      <c r="X1931" s="18"/>
      <c r="Y1931" s="4"/>
      <c r="Z1931" s="4"/>
    </row>
    <row r="1932" spans="1:26" ht="14.1" hidden="1">
      <c r="A1932" s="20">
        <v>1939</v>
      </c>
      <c r="B1932" s="1063">
        <v>41709</v>
      </c>
      <c r="C1932" s="32" t="s">
        <v>7462</v>
      </c>
      <c r="D1932" s="11"/>
      <c r="E1932" s="26" t="s">
        <v>62</v>
      </c>
      <c r="F1932" s="26" t="s">
        <v>7367</v>
      </c>
      <c r="G1932" s="251" t="s">
        <v>7463</v>
      </c>
      <c r="H1932" s="249" t="s">
        <v>460</v>
      </c>
      <c r="I1932" s="18" t="s">
        <v>7453</v>
      </c>
      <c r="J1932" s="18"/>
      <c r="K1932" s="18"/>
      <c r="L1932" s="18"/>
      <c r="M1932" s="18">
        <v>4</v>
      </c>
      <c r="N1932" s="18">
        <v>1</v>
      </c>
      <c r="O1932" s="18">
        <v>4</v>
      </c>
      <c r="P1932" s="18">
        <v>0</v>
      </c>
      <c r="Q1932" s="18">
        <v>0</v>
      </c>
      <c r="R1932" s="1215"/>
      <c r="S1932" s="1265" t="s">
        <v>7464</v>
      </c>
      <c r="T1932" s="18" t="s">
        <v>5705</v>
      </c>
      <c r="U1932" s="1859" t="s">
        <v>7372</v>
      </c>
      <c r="V1932" s="18" t="s">
        <v>6170</v>
      </c>
      <c r="W1932" s="2015"/>
      <c r="X1932" s="18"/>
      <c r="Y1932" s="4"/>
      <c r="Z1932" s="4"/>
    </row>
    <row r="1933" spans="1:26" ht="14.1" hidden="1">
      <c r="A1933" s="20">
        <v>1940</v>
      </c>
      <c r="B1933" s="1063">
        <v>41710</v>
      </c>
      <c r="C1933" s="32" t="s">
        <v>7465</v>
      </c>
      <c r="D1933" s="11"/>
      <c r="E1933" s="26" t="s">
        <v>62</v>
      </c>
      <c r="F1933" s="26" t="s">
        <v>7367</v>
      </c>
      <c r="G1933" s="249" t="s">
        <v>7466</v>
      </c>
      <c r="H1933" s="18" t="s">
        <v>6984</v>
      </c>
      <c r="I1933" s="18" t="s">
        <v>7439</v>
      </c>
      <c r="J1933" s="251" t="s">
        <v>7467</v>
      </c>
      <c r="K1933" s="18"/>
      <c r="L1933" s="18"/>
      <c r="M1933" s="18">
        <v>4</v>
      </c>
      <c r="N1933" s="18">
        <v>1</v>
      </c>
      <c r="O1933" s="18">
        <v>4</v>
      </c>
      <c r="P1933" s="18">
        <v>0</v>
      </c>
      <c r="Q1933" s="18">
        <v>0</v>
      </c>
      <c r="R1933" s="1215"/>
      <c r="S1933" s="1265" t="s">
        <v>7468</v>
      </c>
      <c r="T1933" s="18" t="s">
        <v>5705</v>
      </c>
      <c r="U1933" s="1859" t="s">
        <v>7372</v>
      </c>
      <c r="V1933" s="18" t="s">
        <v>6170</v>
      </c>
      <c r="W1933" s="2015"/>
      <c r="X1933" s="26"/>
      <c r="Y1933" s="71"/>
      <c r="Z1933" s="71"/>
    </row>
    <row r="1934" spans="1:26" ht="14.1" hidden="1">
      <c r="A1934" s="20">
        <v>1941</v>
      </c>
      <c r="B1934" s="1063">
        <v>41711</v>
      </c>
      <c r="C1934" s="32" t="s">
        <v>7469</v>
      </c>
      <c r="D1934" s="11"/>
      <c r="E1934" s="26" t="s">
        <v>62</v>
      </c>
      <c r="F1934" s="26" t="s">
        <v>7367</v>
      </c>
      <c r="G1934" s="249" t="s">
        <v>7470</v>
      </c>
      <c r="H1934" s="18" t="s">
        <v>6984</v>
      </c>
      <c r="I1934" s="18" t="s">
        <v>7439</v>
      </c>
      <c r="J1934" s="249" t="s">
        <v>7471</v>
      </c>
      <c r="K1934" s="18"/>
      <c r="L1934" s="18"/>
      <c r="M1934" s="18">
        <v>2</v>
      </c>
      <c r="N1934" s="18">
        <v>1</v>
      </c>
      <c r="O1934" s="18">
        <v>2</v>
      </c>
      <c r="P1934" s="18">
        <v>0</v>
      </c>
      <c r="Q1934" s="18">
        <v>0</v>
      </c>
      <c r="R1934" s="1215"/>
      <c r="S1934" s="1265" t="s">
        <v>7472</v>
      </c>
      <c r="T1934" s="18" t="s">
        <v>5705</v>
      </c>
      <c r="U1934" s="1859" t="s">
        <v>7372</v>
      </c>
      <c r="V1934" s="18" t="s">
        <v>6170</v>
      </c>
      <c r="W1934" s="2015"/>
      <c r="X1934" s="26"/>
      <c r="Y1934" s="71"/>
      <c r="Z1934" s="71"/>
    </row>
    <row r="1935" spans="1:26" ht="14.1" hidden="1">
      <c r="A1935" s="20">
        <v>1942</v>
      </c>
      <c r="B1935" s="1063">
        <v>41712</v>
      </c>
      <c r="C1935" s="32" t="s">
        <v>7473</v>
      </c>
      <c r="D1935" s="11"/>
      <c r="E1935" s="26" t="s">
        <v>62</v>
      </c>
      <c r="F1935" s="26" t="s">
        <v>7367</v>
      </c>
      <c r="G1935" s="249" t="s">
        <v>7474</v>
      </c>
      <c r="H1935" s="18" t="s">
        <v>6984</v>
      </c>
      <c r="I1935" s="18" t="s">
        <v>7439</v>
      </c>
      <c r="J1935" s="249" t="s">
        <v>7475</v>
      </c>
      <c r="K1935" s="18"/>
      <c r="L1935" s="18"/>
      <c r="M1935" s="18">
        <v>1</v>
      </c>
      <c r="N1935" s="18">
        <v>1</v>
      </c>
      <c r="O1935" s="18">
        <v>1</v>
      </c>
      <c r="P1935" s="18">
        <v>0</v>
      </c>
      <c r="Q1935" s="18">
        <v>0</v>
      </c>
      <c r="R1935" s="1215"/>
      <c r="S1935" s="1265" t="s">
        <v>7476</v>
      </c>
      <c r="T1935" s="18" t="s">
        <v>5705</v>
      </c>
      <c r="U1935" s="1859" t="s">
        <v>7372</v>
      </c>
      <c r="V1935" s="18" t="s">
        <v>6170</v>
      </c>
      <c r="W1935" s="2015"/>
      <c r="X1935" s="18"/>
      <c r="Y1935" s="4"/>
      <c r="Z1935" s="4"/>
    </row>
    <row r="1936" spans="1:26" ht="14.1" hidden="1">
      <c r="A1936" s="20">
        <v>1943</v>
      </c>
      <c r="B1936" s="1063">
        <v>41713</v>
      </c>
      <c r="C1936" s="32" t="s">
        <v>7477</v>
      </c>
      <c r="D1936" s="11"/>
      <c r="E1936" s="26" t="s">
        <v>62</v>
      </c>
      <c r="F1936" s="26" t="s">
        <v>7367</v>
      </c>
      <c r="G1936" s="249" t="s">
        <v>7478</v>
      </c>
      <c r="H1936" s="18" t="s">
        <v>6984</v>
      </c>
      <c r="I1936" s="18" t="s">
        <v>7439</v>
      </c>
      <c r="J1936" s="249" t="s">
        <v>7479</v>
      </c>
      <c r="K1936" s="18"/>
      <c r="L1936" s="18"/>
      <c r="M1936" s="18">
        <v>1</v>
      </c>
      <c r="N1936" s="18">
        <v>1</v>
      </c>
      <c r="O1936" s="18">
        <v>1</v>
      </c>
      <c r="P1936" s="18">
        <v>0</v>
      </c>
      <c r="Q1936" s="18">
        <v>0</v>
      </c>
      <c r="R1936" s="1215"/>
      <c r="S1936" s="1265" t="s">
        <v>7476</v>
      </c>
      <c r="T1936" s="18" t="s">
        <v>5705</v>
      </c>
      <c r="U1936" s="1859" t="s">
        <v>7372</v>
      </c>
      <c r="V1936" s="18" t="s">
        <v>6170</v>
      </c>
      <c r="W1936" s="2015"/>
      <c r="X1936" s="18"/>
      <c r="Y1936" s="4"/>
      <c r="Z1936" s="4"/>
    </row>
    <row r="1937" spans="1:26" ht="14.1" hidden="1">
      <c r="A1937" s="20">
        <v>1944</v>
      </c>
      <c r="B1937" s="1063">
        <v>41714</v>
      </c>
      <c r="C1937" s="32" t="s">
        <v>7480</v>
      </c>
      <c r="D1937" s="11"/>
      <c r="E1937" s="26" t="s">
        <v>62</v>
      </c>
      <c r="F1937" s="26" t="s">
        <v>7367</v>
      </c>
      <c r="G1937" s="249" t="s">
        <v>7481</v>
      </c>
      <c r="H1937" s="18" t="s">
        <v>6984</v>
      </c>
      <c r="I1937" s="18" t="s">
        <v>7439</v>
      </c>
      <c r="J1937" s="249" t="s">
        <v>7482</v>
      </c>
      <c r="K1937" s="18"/>
      <c r="L1937" s="18"/>
      <c r="M1937" s="18">
        <v>1</v>
      </c>
      <c r="N1937" s="18">
        <v>1</v>
      </c>
      <c r="O1937" s="18">
        <v>1</v>
      </c>
      <c r="P1937" s="18">
        <v>0</v>
      </c>
      <c r="Q1937" s="18">
        <v>0</v>
      </c>
      <c r="R1937" s="1215"/>
      <c r="S1937" s="1265" t="s">
        <v>7483</v>
      </c>
      <c r="T1937" s="18" t="s">
        <v>5705</v>
      </c>
      <c r="U1937" s="1859" t="s">
        <v>7372</v>
      </c>
      <c r="V1937" s="18" t="s">
        <v>6170</v>
      </c>
      <c r="W1937" s="2015"/>
      <c r="X1937" s="18"/>
      <c r="Y1937" s="4"/>
      <c r="Z1937" s="4"/>
    </row>
    <row r="1938" spans="1:26" ht="14.1" hidden="1">
      <c r="A1938" s="20">
        <v>1945</v>
      </c>
      <c r="B1938" s="1063">
        <v>41715</v>
      </c>
      <c r="C1938" s="32" t="s">
        <v>7484</v>
      </c>
      <c r="D1938" s="11"/>
      <c r="E1938" s="26" t="s">
        <v>62</v>
      </c>
      <c r="F1938" s="26" t="s">
        <v>7367</v>
      </c>
      <c r="G1938" s="249" t="s">
        <v>7485</v>
      </c>
      <c r="H1938" s="18" t="s">
        <v>6984</v>
      </c>
      <c r="I1938" s="18" t="s">
        <v>7439</v>
      </c>
      <c r="J1938" s="249" t="s">
        <v>7486</v>
      </c>
      <c r="K1938" s="18"/>
      <c r="L1938" s="18"/>
      <c r="M1938" s="18">
        <v>1</v>
      </c>
      <c r="N1938" s="18">
        <v>1</v>
      </c>
      <c r="O1938" s="18">
        <v>1</v>
      </c>
      <c r="P1938" s="18">
        <v>0</v>
      </c>
      <c r="Q1938" s="18">
        <v>0</v>
      </c>
      <c r="R1938" s="1215"/>
      <c r="S1938" s="1265" t="s">
        <v>7483</v>
      </c>
      <c r="T1938" s="18" t="s">
        <v>5705</v>
      </c>
      <c r="U1938" s="1859" t="s">
        <v>7372</v>
      </c>
      <c r="V1938" s="18" t="s">
        <v>6170</v>
      </c>
      <c r="W1938" s="2015"/>
      <c r="X1938" s="18"/>
      <c r="Y1938" s="4"/>
      <c r="Z1938" s="4"/>
    </row>
    <row r="1939" spans="1:26" ht="14.1" hidden="1">
      <c r="A1939" s="20">
        <v>1946</v>
      </c>
      <c r="B1939" s="1063">
        <v>41716</v>
      </c>
      <c r="C1939" s="32" t="s">
        <v>7487</v>
      </c>
      <c r="D1939" s="11"/>
      <c r="E1939" s="26" t="s">
        <v>62</v>
      </c>
      <c r="F1939" s="26" t="s">
        <v>7367</v>
      </c>
      <c r="G1939" s="249" t="s">
        <v>7488</v>
      </c>
      <c r="H1939" s="18" t="s">
        <v>6984</v>
      </c>
      <c r="I1939" s="18" t="s">
        <v>7439</v>
      </c>
      <c r="J1939" s="249" t="s">
        <v>7489</v>
      </c>
      <c r="K1939" s="18"/>
      <c r="L1939" s="18"/>
      <c r="M1939" s="18">
        <v>1</v>
      </c>
      <c r="N1939" s="18">
        <v>1</v>
      </c>
      <c r="O1939" s="18">
        <v>1</v>
      </c>
      <c r="P1939" s="18">
        <v>0</v>
      </c>
      <c r="Q1939" s="18">
        <v>0</v>
      </c>
      <c r="R1939" s="1215"/>
      <c r="S1939" s="1265" t="s">
        <v>7483</v>
      </c>
      <c r="T1939" s="18" t="s">
        <v>5705</v>
      </c>
      <c r="U1939" s="1859" t="s">
        <v>7372</v>
      </c>
      <c r="V1939" s="18" t="s">
        <v>6170</v>
      </c>
      <c r="W1939" s="2015"/>
      <c r="X1939" s="26"/>
      <c r="Y1939" s="71"/>
      <c r="Z1939" s="71"/>
    </row>
    <row r="1940" spans="1:26" ht="14.1" hidden="1">
      <c r="A1940" s="20">
        <v>1947</v>
      </c>
      <c r="B1940" s="1063">
        <v>41717</v>
      </c>
      <c r="C1940" s="32" t="s">
        <v>7490</v>
      </c>
      <c r="D1940" s="11"/>
      <c r="E1940" s="26" t="s">
        <v>62</v>
      </c>
      <c r="F1940" s="26" t="s">
        <v>7367</v>
      </c>
      <c r="G1940" s="249" t="s">
        <v>7491</v>
      </c>
      <c r="H1940" s="18" t="s">
        <v>6984</v>
      </c>
      <c r="I1940" s="18" t="s">
        <v>7439</v>
      </c>
      <c r="J1940" s="249" t="s">
        <v>5067</v>
      </c>
      <c r="K1940" s="18"/>
      <c r="L1940" s="18"/>
      <c r="M1940" s="18">
        <v>1</v>
      </c>
      <c r="N1940" s="18">
        <v>1</v>
      </c>
      <c r="O1940" s="18">
        <v>1</v>
      </c>
      <c r="P1940" s="18">
        <v>0</v>
      </c>
      <c r="Q1940" s="18">
        <v>0</v>
      </c>
      <c r="R1940" s="1215"/>
      <c r="S1940" s="1265" t="s">
        <v>7492</v>
      </c>
      <c r="T1940" s="18" t="s">
        <v>5705</v>
      </c>
      <c r="U1940" s="1859" t="s">
        <v>7372</v>
      </c>
      <c r="V1940" s="18" t="s">
        <v>6170</v>
      </c>
      <c r="W1940" s="2015"/>
      <c r="X1940" s="26"/>
      <c r="Y1940" s="71"/>
      <c r="Z1940" s="71"/>
    </row>
    <row r="1941" spans="1:26" ht="14.1" hidden="1">
      <c r="A1941" s="20">
        <v>1948</v>
      </c>
      <c r="B1941" s="1063">
        <v>41718</v>
      </c>
      <c r="C1941" s="32" t="s">
        <v>7493</v>
      </c>
      <c r="D1941" s="11"/>
      <c r="E1941" s="26" t="s">
        <v>62</v>
      </c>
      <c r="F1941" s="26" t="s">
        <v>7367</v>
      </c>
      <c r="G1941" s="249" t="s">
        <v>7494</v>
      </c>
      <c r="H1941" s="18" t="s">
        <v>6984</v>
      </c>
      <c r="I1941" s="18" t="s">
        <v>7439</v>
      </c>
      <c r="J1941" s="249" t="s">
        <v>7495</v>
      </c>
      <c r="K1941" s="18"/>
      <c r="L1941" s="18"/>
      <c r="M1941" s="18">
        <v>1</v>
      </c>
      <c r="N1941" s="18">
        <v>1</v>
      </c>
      <c r="O1941" s="18">
        <v>1</v>
      </c>
      <c r="P1941" s="18">
        <v>0</v>
      </c>
      <c r="Q1941" s="18">
        <v>0</v>
      </c>
      <c r="R1941" s="1215"/>
      <c r="S1941" s="1265" t="s">
        <v>7496</v>
      </c>
      <c r="T1941" s="18" t="s">
        <v>5705</v>
      </c>
      <c r="U1941" s="1859" t="s">
        <v>7372</v>
      </c>
      <c r="V1941" s="18" t="s">
        <v>6170</v>
      </c>
      <c r="W1941" s="2015"/>
      <c r="X1941" s="18"/>
      <c r="Y1941" s="4"/>
      <c r="Z1941" s="4"/>
    </row>
    <row r="1942" spans="1:26" ht="14.1" hidden="1">
      <c r="A1942" s="20">
        <v>1949</v>
      </c>
      <c r="B1942" s="1063">
        <v>41719</v>
      </c>
      <c r="C1942" s="26" t="s">
        <v>7497</v>
      </c>
      <c r="D1942" s="11"/>
      <c r="E1942" s="26" t="s">
        <v>7498</v>
      </c>
      <c r="F1942" s="26" t="s">
        <v>2143</v>
      </c>
      <c r="G1942" s="26" t="s">
        <v>7499</v>
      </c>
      <c r="H1942" s="26" t="s">
        <v>4596</v>
      </c>
      <c r="I1942" s="26" t="s">
        <v>113</v>
      </c>
      <c r="J1942" s="26">
        <v>25543465</v>
      </c>
      <c r="K1942" s="26" t="s">
        <v>7500</v>
      </c>
      <c r="L1942" s="26"/>
      <c r="M1942" s="26">
        <v>3</v>
      </c>
      <c r="N1942" s="26">
        <v>1</v>
      </c>
      <c r="O1942" s="26">
        <v>3</v>
      </c>
      <c r="P1942" s="26">
        <v>0</v>
      </c>
      <c r="Q1942" s="26">
        <v>0</v>
      </c>
      <c r="R1942" s="1209">
        <v>4990</v>
      </c>
      <c r="S1942" s="1209">
        <f>R1942*O1942</f>
        <v>14970</v>
      </c>
      <c r="T1942" s="26"/>
      <c r="U1942" s="1871" t="s">
        <v>7501</v>
      </c>
      <c r="V1942" s="26" t="s">
        <v>104</v>
      </c>
      <c r="W1942" s="2065" t="s">
        <v>7502</v>
      </c>
      <c r="X1942" s="18"/>
      <c r="Y1942" s="4"/>
      <c r="Z1942" s="4"/>
    </row>
    <row r="1943" spans="1:26" ht="14.1" hidden="1">
      <c r="A1943" s="20">
        <v>1950</v>
      </c>
      <c r="B1943" s="1063">
        <v>41720</v>
      </c>
      <c r="C1943" s="26" t="s">
        <v>7503</v>
      </c>
      <c r="D1943" s="11"/>
      <c r="E1943" s="26" t="s">
        <v>7498</v>
      </c>
      <c r="F1943" s="26" t="s">
        <v>2143</v>
      </c>
      <c r="G1943" s="26" t="s">
        <v>7504</v>
      </c>
      <c r="H1943" s="26" t="s">
        <v>7505</v>
      </c>
      <c r="I1943" s="26" t="s">
        <v>113</v>
      </c>
      <c r="J1943" s="26">
        <v>52489667</v>
      </c>
      <c r="K1943" s="26" t="s">
        <v>7506</v>
      </c>
      <c r="L1943" s="26"/>
      <c r="M1943" s="26">
        <v>1</v>
      </c>
      <c r="N1943" s="26">
        <v>1</v>
      </c>
      <c r="O1943" s="26">
        <v>1</v>
      </c>
      <c r="P1943" s="26">
        <v>0</v>
      </c>
      <c r="Q1943" s="26">
        <v>0</v>
      </c>
      <c r="R1943" s="1209">
        <v>16900</v>
      </c>
      <c r="S1943" s="1209">
        <v>16900</v>
      </c>
      <c r="T1943" s="26"/>
      <c r="U1943" s="1871" t="s">
        <v>7501</v>
      </c>
      <c r="V1943" s="26" t="s">
        <v>104</v>
      </c>
      <c r="W1943" s="2065" t="s">
        <v>7507</v>
      </c>
      <c r="X1943" s="18"/>
      <c r="Y1943" s="4"/>
      <c r="Z1943" s="4"/>
    </row>
    <row r="1944" spans="1:26" ht="14.1" hidden="1">
      <c r="A1944" s="20">
        <v>1951</v>
      </c>
      <c r="B1944" s="1063">
        <v>41721</v>
      </c>
      <c r="C1944" s="26" t="s">
        <v>7508</v>
      </c>
      <c r="D1944" s="11"/>
      <c r="E1944" s="26" t="s">
        <v>7498</v>
      </c>
      <c r="F1944" s="26" t="s">
        <v>2143</v>
      </c>
      <c r="G1944" s="26" t="s">
        <v>7509</v>
      </c>
      <c r="H1944" s="26" t="s">
        <v>3162</v>
      </c>
      <c r="I1944" s="26" t="s">
        <v>113</v>
      </c>
      <c r="J1944" s="26">
        <v>55551606</v>
      </c>
      <c r="K1944" s="26" t="s">
        <v>7510</v>
      </c>
      <c r="L1944" s="26"/>
      <c r="M1944" s="26">
        <v>12</v>
      </c>
      <c r="N1944" s="26">
        <v>1</v>
      </c>
      <c r="O1944" s="26">
        <v>12</v>
      </c>
      <c r="P1944" s="26">
        <v>0</v>
      </c>
      <c r="Q1944" s="26">
        <v>0</v>
      </c>
      <c r="R1944" s="1209">
        <v>859</v>
      </c>
      <c r="S1944" s="1209">
        <f t="shared" ref="S1944:S1946" si="102">R1944*O1944</f>
        <v>10308</v>
      </c>
      <c r="T1944" s="26"/>
      <c r="U1944" s="1871" t="s">
        <v>7501</v>
      </c>
      <c r="V1944" s="26" t="s">
        <v>104</v>
      </c>
      <c r="W1944" s="2065" t="s">
        <v>7511</v>
      </c>
      <c r="X1944" s="18"/>
      <c r="Y1944" s="4"/>
      <c r="Z1944" s="4"/>
    </row>
    <row r="1945" spans="1:26" ht="14.1" hidden="1">
      <c r="A1945" s="20">
        <v>1952</v>
      </c>
      <c r="B1945" s="1063">
        <v>41722</v>
      </c>
      <c r="C1945" s="26" t="s">
        <v>7512</v>
      </c>
      <c r="D1945" s="11"/>
      <c r="E1945" s="26" t="s">
        <v>7498</v>
      </c>
      <c r="F1945" s="26" t="s">
        <v>2143</v>
      </c>
      <c r="G1945" s="26" t="s">
        <v>7513</v>
      </c>
      <c r="H1945" s="26" t="s">
        <v>3162</v>
      </c>
      <c r="I1945" s="26" t="s">
        <v>113</v>
      </c>
      <c r="J1945" s="26">
        <v>50521328</v>
      </c>
      <c r="K1945" s="26" t="s">
        <v>7514</v>
      </c>
      <c r="L1945" s="26"/>
      <c r="M1945" s="26">
        <v>4</v>
      </c>
      <c r="N1945" s="26">
        <v>1</v>
      </c>
      <c r="O1945" s="26">
        <v>4</v>
      </c>
      <c r="P1945" s="26">
        <v>0</v>
      </c>
      <c r="Q1945" s="26">
        <v>0</v>
      </c>
      <c r="R1945" s="1209">
        <v>2990</v>
      </c>
      <c r="S1945" s="1209">
        <f t="shared" si="102"/>
        <v>11960</v>
      </c>
      <c r="T1945" s="26"/>
      <c r="U1945" s="1871" t="s">
        <v>7501</v>
      </c>
      <c r="V1945" s="26" t="s">
        <v>104</v>
      </c>
      <c r="W1945" s="2065" t="s">
        <v>7515</v>
      </c>
      <c r="X1945" s="26"/>
      <c r="Y1945" s="71"/>
      <c r="Z1945" s="71"/>
    </row>
    <row r="1946" spans="1:26" ht="24.95" hidden="1">
      <c r="A1946" s="20">
        <v>1953</v>
      </c>
      <c r="B1946" s="1063">
        <v>41723</v>
      </c>
      <c r="C1946" s="26" t="s">
        <v>7516</v>
      </c>
      <c r="D1946" s="11"/>
      <c r="E1946" s="26" t="s">
        <v>7498</v>
      </c>
      <c r="F1946" s="26" t="s">
        <v>2143</v>
      </c>
      <c r="G1946" s="26" t="s">
        <v>7517</v>
      </c>
      <c r="H1946" s="26" t="s">
        <v>7518</v>
      </c>
      <c r="I1946" s="26" t="s">
        <v>113</v>
      </c>
      <c r="J1946" s="26">
        <v>75907587</v>
      </c>
      <c r="K1946" s="26" t="s">
        <v>7519</v>
      </c>
      <c r="L1946" s="26"/>
      <c r="M1946" s="26">
        <v>2</v>
      </c>
      <c r="N1946" s="26">
        <v>1</v>
      </c>
      <c r="O1946" s="26">
        <v>2</v>
      </c>
      <c r="P1946" s="26">
        <v>0</v>
      </c>
      <c r="Q1946" s="26">
        <v>0</v>
      </c>
      <c r="R1946" s="1209">
        <v>399</v>
      </c>
      <c r="S1946" s="1209">
        <f t="shared" si="102"/>
        <v>798</v>
      </c>
      <c r="T1946" s="26"/>
      <c r="U1946" s="1871" t="s">
        <v>7501</v>
      </c>
      <c r="V1946" s="26" t="s">
        <v>104</v>
      </c>
      <c r="W1946" s="2008" t="s">
        <v>7520</v>
      </c>
      <c r="X1946" s="26"/>
      <c r="Y1946" s="71"/>
      <c r="Z1946" s="71"/>
    </row>
    <row r="1947" spans="1:26" ht="14.1" hidden="1">
      <c r="A1947" s="20">
        <v>1954</v>
      </c>
      <c r="B1947" s="1063">
        <v>41724</v>
      </c>
      <c r="C1947" s="26" t="s">
        <v>7521</v>
      </c>
      <c r="D1947" s="8" t="s">
        <v>6</v>
      </c>
      <c r="E1947" s="26" t="s">
        <v>4926</v>
      </c>
      <c r="F1947" s="26" t="s">
        <v>404</v>
      </c>
      <c r="G1947" s="26" t="s">
        <v>7522</v>
      </c>
      <c r="H1947" s="26" t="s">
        <v>1</v>
      </c>
      <c r="I1947" s="26" t="s">
        <v>1002</v>
      </c>
      <c r="J1947" s="26" t="s">
        <v>1</v>
      </c>
      <c r="K1947" s="26" t="s">
        <v>1</v>
      </c>
      <c r="L1947" s="26" t="s">
        <v>1</v>
      </c>
      <c r="M1947" s="26" t="s">
        <v>1</v>
      </c>
      <c r="N1947" s="26" t="s">
        <v>1</v>
      </c>
      <c r="O1947" s="26" t="s">
        <v>1</v>
      </c>
      <c r="P1947" s="26" t="s">
        <v>1</v>
      </c>
      <c r="Q1947" s="26" t="s">
        <v>1</v>
      </c>
      <c r="R1947" s="1209" t="s">
        <v>1</v>
      </c>
      <c r="S1947" s="1209">
        <v>13750</v>
      </c>
      <c r="T1947" s="26" t="s">
        <v>5448</v>
      </c>
      <c r="U1947" s="1871" t="s">
        <v>7523</v>
      </c>
      <c r="V1947" s="26" t="s">
        <v>3140</v>
      </c>
      <c r="W1947" s="2015"/>
      <c r="X1947" s="18"/>
      <c r="Y1947" s="4"/>
      <c r="Z1947" s="4"/>
    </row>
    <row r="1948" spans="1:26" ht="14.1" hidden="1">
      <c r="A1948" s="20">
        <v>1955</v>
      </c>
      <c r="B1948" s="1063">
        <v>41725</v>
      </c>
      <c r="C1948" s="26" t="s">
        <v>7524</v>
      </c>
      <c r="D1948" s="11"/>
      <c r="E1948" s="26" t="s">
        <v>7498</v>
      </c>
      <c r="F1948" s="26" t="s">
        <v>7367</v>
      </c>
      <c r="G1948" s="26" t="s">
        <v>5070</v>
      </c>
      <c r="H1948" s="26"/>
      <c r="I1948" s="18" t="s">
        <v>7439</v>
      </c>
      <c r="J1948" s="26" t="s">
        <v>5070</v>
      </c>
      <c r="K1948" s="26" t="s">
        <v>5070</v>
      </c>
      <c r="L1948" s="26"/>
      <c r="M1948" s="26"/>
      <c r="N1948" s="26"/>
      <c r="O1948" s="26">
        <v>1</v>
      </c>
      <c r="P1948" s="26"/>
      <c r="Q1948" s="26"/>
      <c r="R1948" s="1209"/>
      <c r="S1948" s="1209">
        <v>156.36000000000001</v>
      </c>
      <c r="T1948" s="26" t="s">
        <v>5705</v>
      </c>
      <c r="U1948" s="1859" t="s">
        <v>7372</v>
      </c>
      <c r="V1948" s="18" t="s">
        <v>6170</v>
      </c>
      <c r="W1948" s="2015"/>
      <c r="X1948" s="18"/>
      <c r="Y1948" s="4"/>
      <c r="Z1948" s="4"/>
    </row>
    <row r="1949" spans="1:26" ht="14.1" hidden="1">
      <c r="A1949" s="20">
        <v>1956</v>
      </c>
      <c r="B1949" s="1063">
        <v>41726</v>
      </c>
      <c r="C1949" s="26" t="s">
        <v>7525</v>
      </c>
      <c r="D1949" s="11"/>
      <c r="E1949" s="26" t="s">
        <v>7498</v>
      </c>
      <c r="F1949" s="26" t="s">
        <v>7367</v>
      </c>
      <c r="G1949" s="26" t="s">
        <v>7526</v>
      </c>
      <c r="H1949" s="26"/>
      <c r="I1949" s="18" t="s">
        <v>7439</v>
      </c>
      <c r="J1949" s="26" t="s">
        <v>7526</v>
      </c>
      <c r="K1949" s="26" t="s">
        <v>7526</v>
      </c>
      <c r="L1949" s="26"/>
      <c r="M1949" s="26"/>
      <c r="N1949" s="26"/>
      <c r="O1949" s="26">
        <v>2</v>
      </c>
      <c r="P1949" s="26"/>
      <c r="Q1949" s="26"/>
      <c r="R1949" s="1209"/>
      <c r="S1949" s="1209">
        <v>411.74799999999999</v>
      </c>
      <c r="T1949" s="26" t="s">
        <v>5705</v>
      </c>
      <c r="U1949" s="1859" t="s">
        <v>7372</v>
      </c>
      <c r="V1949" s="18" t="s">
        <v>6170</v>
      </c>
      <c r="W1949" s="2015"/>
      <c r="X1949" s="18"/>
      <c r="Y1949" s="4"/>
      <c r="Z1949" s="4"/>
    </row>
    <row r="1950" spans="1:26" ht="14.1" hidden="1">
      <c r="A1950" s="20">
        <v>1957</v>
      </c>
      <c r="B1950" s="1063">
        <v>41727</v>
      </c>
      <c r="C1950" s="26" t="s">
        <v>7527</v>
      </c>
      <c r="D1950" s="11"/>
      <c r="E1950" s="26" t="s">
        <v>7498</v>
      </c>
      <c r="F1950" s="26" t="s">
        <v>7367</v>
      </c>
      <c r="G1950" s="26" t="s">
        <v>7528</v>
      </c>
      <c r="H1950" s="26"/>
      <c r="I1950" s="18" t="s">
        <v>7439</v>
      </c>
      <c r="J1950" s="26" t="s">
        <v>7528</v>
      </c>
      <c r="K1950" s="26" t="s">
        <v>7528</v>
      </c>
      <c r="L1950" s="26"/>
      <c r="M1950" s="26"/>
      <c r="N1950" s="26"/>
      <c r="O1950" s="26">
        <v>4</v>
      </c>
      <c r="P1950" s="26"/>
      <c r="Q1950" s="26"/>
      <c r="R1950" s="1209"/>
      <c r="S1950" s="1209">
        <v>156.36000000000001</v>
      </c>
      <c r="T1950" s="26" t="s">
        <v>5705</v>
      </c>
      <c r="U1950" s="1859" t="s">
        <v>7372</v>
      </c>
      <c r="V1950" s="18" t="s">
        <v>6170</v>
      </c>
      <c r="W1950" s="2015"/>
      <c r="X1950" s="18"/>
      <c r="Y1950" s="4"/>
      <c r="Z1950" s="4"/>
    </row>
    <row r="1951" spans="1:26" ht="14.1" hidden="1">
      <c r="A1951" s="20">
        <v>1958</v>
      </c>
      <c r="B1951" s="1063">
        <v>41728</v>
      </c>
      <c r="C1951" s="26" t="s">
        <v>7529</v>
      </c>
      <c r="D1951" s="11"/>
      <c r="E1951" s="26" t="s">
        <v>7498</v>
      </c>
      <c r="F1951" s="26" t="s">
        <v>7367</v>
      </c>
      <c r="G1951" s="26" t="s">
        <v>7530</v>
      </c>
      <c r="H1951" s="26"/>
      <c r="I1951" s="18" t="s">
        <v>7439</v>
      </c>
      <c r="J1951" s="26" t="s">
        <v>7530</v>
      </c>
      <c r="K1951" s="26" t="s">
        <v>7530</v>
      </c>
      <c r="L1951" s="26"/>
      <c r="M1951" s="26"/>
      <c r="N1951" s="26"/>
      <c r="O1951" s="26">
        <v>1</v>
      </c>
      <c r="P1951" s="26"/>
      <c r="Q1951" s="26"/>
      <c r="R1951" s="1209"/>
      <c r="S1951" s="1209">
        <v>828.70799999999997</v>
      </c>
      <c r="T1951" s="26" t="s">
        <v>5705</v>
      </c>
      <c r="U1951" s="1859" t="s">
        <v>7372</v>
      </c>
      <c r="V1951" s="18" t="s">
        <v>6170</v>
      </c>
      <c r="W1951" s="2015"/>
      <c r="X1951" s="26"/>
      <c r="Y1951" s="71"/>
      <c r="Z1951" s="71"/>
    </row>
    <row r="1952" spans="1:26" ht="22.5" hidden="1" customHeight="1">
      <c r="A1952" s="20">
        <v>1959</v>
      </c>
      <c r="B1952" s="1063">
        <v>41729</v>
      </c>
      <c r="C1952" s="26" t="s">
        <v>7531</v>
      </c>
      <c r="D1952" s="11"/>
      <c r="E1952" s="26" t="s">
        <v>7498</v>
      </c>
      <c r="F1952" s="26" t="s">
        <v>7367</v>
      </c>
      <c r="G1952" s="26" t="s">
        <v>7532</v>
      </c>
      <c r="H1952" s="26"/>
      <c r="I1952" s="18" t="s">
        <v>7439</v>
      </c>
      <c r="J1952" s="26" t="s">
        <v>7532</v>
      </c>
      <c r="K1952" s="26" t="s">
        <v>7532</v>
      </c>
      <c r="L1952" s="26"/>
      <c r="M1952" s="26"/>
      <c r="N1952" s="26"/>
      <c r="O1952" s="26">
        <v>1</v>
      </c>
      <c r="P1952" s="26"/>
      <c r="Q1952" s="26"/>
      <c r="R1952" s="1209"/>
      <c r="S1952" s="1209">
        <v>3434.7080000000001</v>
      </c>
      <c r="T1952" s="26" t="s">
        <v>5705</v>
      </c>
      <c r="U1952" s="1859" t="s">
        <v>7372</v>
      </c>
      <c r="V1952" s="18" t="s">
        <v>6170</v>
      </c>
      <c r="W1952" s="2015"/>
      <c r="X1952" s="26"/>
      <c r="Y1952" s="71"/>
      <c r="Z1952" s="71"/>
    </row>
    <row r="1953" spans="1:26" ht="14.1" hidden="1">
      <c r="A1953" s="20">
        <v>1960</v>
      </c>
      <c r="B1953" s="1063">
        <v>41730</v>
      </c>
      <c r="C1953" s="26" t="s">
        <v>7533</v>
      </c>
      <c r="D1953" s="11"/>
      <c r="E1953" s="26" t="s">
        <v>7498</v>
      </c>
      <c r="F1953" s="26" t="s">
        <v>7367</v>
      </c>
      <c r="G1953" s="26" t="s">
        <v>7534</v>
      </c>
      <c r="H1953" s="26"/>
      <c r="I1953" s="18" t="s">
        <v>7439</v>
      </c>
      <c r="J1953" s="26" t="s">
        <v>7534</v>
      </c>
      <c r="K1953" s="26" t="s">
        <v>7534</v>
      </c>
      <c r="L1953" s="26"/>
      <c r="M1953" s="26"/>
      <c r="N1953" s="26"/>
      <c r="O1953" s="26">
        <v>2</v>
      </c>
      <c r="P1953" s="26"/>
      <c r="Q1953" s="26"/>
      <c r="R1953" s="1209"/>
      <c r="S1953" s="1209">
        <v>99.028000000000006</v>
      </c>
      <c r="T1953" s="26" t="s">
        <v>5705</v>
      </c>
      <c r="U1953" s="1859" t="s">
        <v>7372</v>
      </c>
      <c r="V1953" s="18" t="s">
        <v>6170</v>
      </c>
      <c r="W1953" s="2015"/>
      <c r="X1953" s="18"/>
      <c r="Y1953" s="4"/>
      <c r="Z1953" s="4"/>
    </row>
    <row r="1954" spans="1:26" ht="14.1" hidden="1">
      <c r="A1954" s="20">
        <v>1961</v>
      </c>
      <c r="B1954" s="1063">
        <v>41731</v>
      </c>
      <c r="C1954" s="26" t="s">
        <v>7535</v>
      </c>
      <c r="D1954" s="11"/>
      <c r="E1954" s="26" t="s">
        <v>7498</v>
      </c>
      <c r="F1954" s="26" t="s">
        <v>7367</v>
      </c>
      <c r="G1954" s="26" t="s">
        <v>7536</v>
      </c>
      <c r="H1954" s="26"/>
      <c r="I1954" s="18" t="s">
        <v>7439</v>
      </c>
      <c r="J1954" s="26" t="s">
        <v>7536</v>
      </c>
      <c r="K1954" s="26" t="s">
        <v>7536</v>
      </c>
      <c r="L1954" s="26"/>
      <c r="M1954" s="26"/>
      <c r="N1954" s="26"/>
      <c r="O1954" s="26">
        <v>2</v>
      </c>
      <c r="P1954" s="26"/>
      <c r="Q1954" s="26"/>
      <c r="R1954" s="1209"/>
      <c r="S1954" s="1209">
        <v>156.36000000000001</v>
      </c>
      <c r="T1954" s="26" t="s">
        <v>5705</v>
      </c>
      <c r="U1954" s="1859" t="s">
        <v>7372</v>
      </c>
      <c r="V1954" s="18" t="s">
        <v>6170</v>
      </c>
      <c r="W1954" s="2015"/>
      <c r="X1954" s="18"/>
      <c r="Y1954" s="4"/>
      <c r="Z1954" s="4"/>
    </row>
    <row r="1955" spans="1:26" ht="14.1" hidden="1">
      <c r="A1955" s="20">
        <v>1962</v>
      </c>
      <c r="B1955" s="1063">
        <v>41732</v>
      </c>
      <c r="C1955" s="26" t="s">
        <v>7537</v>
      </c>
      <c r="D1955" s="11"/>
      <c r="E1955" s="26" t="s">
        <v>7498</v>
      </c>
      <c r="F1955" s="26" t="s">
        <v>7367</v>
      </c>
      <c r="G1955" s="26" t="s">
        <v>5099</v>
      </c>
      <c r="H1955" s="26"/>
      <c r="I1955" s="18" t="s">
        <v>7439</v>
      </c>
      <c r="J1955" s="26" t="s">
        <v>5099</v>
      </c>
      <c r="K1955" s="26" t="s">
        <v>5099</v>
      </c>
      <c r="L1955" s="26"/>
      <c r="M1955" s="26"/>
      <c r="N1955" s="26"/>
      <c r="O1955" s="26">
        <v>5</v>
      </c>
      <c r="P1955" s="26"/>
      <c r="Q1955" s="26"/>
      <c r="R1955" s="1209"/>
      <c r="S1955" s="1209">
        <v>156.36000000000001</v>
      </c>
      <c r="T1955" s="26" t="s">
        <v>5705</v>
      </c>
      <c r="U1955" s="1859" t="s">
        <v>7372</v>
      </c>
      <c r="V1955" s="18" t="s">
        <v>6170</v>
      </c>
      <c r="W1955" s="2015"/>
      <c r="X1955" s="18"/>
      <c r="Y1955" s="4"/>
      <c r="Z1955" s="4"/>
    </row>
    <row r="1956" spans="1:26" ht="14.1" hidden="1">
      <c r="A1956" s="20">
        <v>1963</v>
      </c>
      <c r="B1956" s="1063">
        <v>41733</v>
      </c>
      <c r="C1956" s="26" t="s">
        <v>7538</v>
      </c>
      <c r="D1956" s="11"/>
      <c r="E1956" s="26" t="s">
        <v>7498</v>
      </c>
      <c r="F1956" s="26" t="s">
        <v>7367</v>
      </c>
      <c r="G1956" s="26" t="s">
        <v>7539</v>
      </c>
      <c r="H1956" s="26"/>
      <c r="I1956" s="18" t="s">
        <v>7439</v>
      </c>
      <c r="J1956" s="26" t="s">
        <v>7539</v>
      </c>
      <c r="K1956" s="26" t="s">
        <v>7539</v>
      </c>
      <c r="L1956" s="26"/>
      <c r="M1956" s="26"/>
      <c r="N1956" s="26"/>
      <c r="O1956" s="26">
        <v>1</v>
      </c>
      <c r="P1956" s="26"/>
      <c r="Q1956" s="26"/>
      <c r="R1956" s="1209"/>
      <c r="S1956" s="1209">
        <v>307.50799999999998</v>
      </c>
      <c r="T1956" s="26" t="s">
        <v>5705</v>
      </c>
      <c r="U1956" s="1859" t="s">
        <v>7372</v>
      </c>
      <c r="V1956" s="18" t="s">
        <v>6170</v>
      </c>
      <c r="W1956" s="2015"/>
      <c r="X1956" s="18"/>
      <c r="Y1956" s="4"/>
      <c r="Z1956" s="4"/>
    </row>
    <row r="1957" spans="1:26" ht="14.1" hidden="1">
      <c r="A1957" s="20">
        <v>1964</v>
      </c>
      <c r="B1957" s="1063">
        <v>41734</v>
      </c>
      <c r="C1957" s="26" t="s">
        <v>7540</v>
      </c>
      <c r="D1957" s="11"/>
      <c r="E1957" s="26" t="s">
        <v>7498</v>
      </c>
      <c r="F1957" s="26" t="s">
        <v>7367</v>
      </c>
      <c r="G1957" s="26" t="s">
        <v>7541</v>
      </c>
      <c r="H1957" s="26"/>
      <c r="I1957" s="18" t="s">
        <v>7439</v>
      </c>
      <c r="J1957" s="26" t="s">
        <v>7541</v>
      </c>
      <c r="K1957" s="26" t="s">
        <v>7541</v>
      </c>
      <c r="L1957" s="26"/>
      <c r="M1957" s="26"/>
      <c r="N1957" s="26"/>
      <c r="O1957" s="26">
        <v>1</v>
      </c>
      <c r="P1957" s="26"/>
      <c r="Q1957" s="26"/>
      <c r="R1957" s="1209"/>
      <c r="S1957" s="1209">
        <v>1662.6279999999999</v>
      </c>
      <c r="T1957" s="26" t="s">
        <v>5705</v>
      </c>
      <c r="U1957" s="1859" t="s">
        <v>7372</v>
      </c>
      <c r="V1957" s="18" t="s">
        <v>6170</v>
      </c>
      <c r="W1957" s="2015"/>
      <c r="X1957" s="26"/>
      <c r="Y1957" s="71"/>
      <c r="Z1957" s="71"/>
    </row>
    <row r="1958" spans="1:26" ht="14.1" hidden="1">
      <c r="A1958" s="20">
        <v>1965</v>
      </c>
      <c r="B1958" s="1063">
        <v>41735</v>
      </c>
      <c r="C1958" s="26" t="s">
        <v>7542</v>
      </c>
      <c r="D1958" s="11"/>
      <c r="E1958" s="26" t="s">
        <v>7498</v>
      </c>
      <c r="F1958" s="26" t="s">
        <v>7367</v>
      </c>
      <c r="G1958" s="26" t="s">
        <v>7543</v>
      </c>
      <c r="H1958" s="26"/>
      <c r="I1958" s="18" t="s">
        <v>7439</v>
      </c>
      <c r="J1958" s="26" t="s">
        <v>7543</v>
      </c>
      <c r="K1958" s="26" t="s">
        <v>7543</v>
      </c>
      <c r="L1958" s="26"/>
      <c r="M1958" s="26"/>
      <c r="N1958" s="26"/>
      <c r="O1958" s="26">
        <v>2</v>
      </c>
      <c r="P1958" s="26"/>
      <c r="Q1958" s="26"/>
      <c r="R1958" s="1209"/>
      <c r="S1958" s="1209">
        <v>828.70799999999997</v>
      </c>
      <c r="T1958" s="26" t="s">
        <v>5705</v>
      </c>
      <c r="U1958" s="1859" t="s">
        <v>7372</v>
      </c>
      <c r="V1958" s="18" t="s">
        <v>6170</v>
      </c>
      <c r="W1958" s="2015"/>
      <c r="X1958" s="26"/>
      <c r="Y1958" s="71"/>
      <c r="Z1958" s="71"/>
    </row>
    <row r="1959" spans="1:26" ht="14.1" hidden="1">
      <c r="A1959" s="20">
        <v>1966</v>
      </c>
      <c r="B1959" s="1063">
        <v>41736</v>
      </c>
      <c r="C1959" s="26" t="s">
        <v>7544</v>
      </c>
      <c r="D1959" s="11"/>
      <c r="E1959" s="26" t="s">
        <v>7498</v>
      </c>
      <c r="F1959" s="26" t="s">
        <v>7367</v>
      </c>
      <c r="G1959" s="26" t="s">
        <v>7545</v>
      </c>
      <c r="H1959" s="26"/>
      <c r="I1959" s="18" t="s">
        <v>7439</v>
      </c>
      <c r="J1959" s="26" t="s">
        <v>7545</v>
      </c>
      <c r="K1959" s="26" t="s">
        <v>7545</v>
      </c>
      <c r="L1959" s="26"/>
      <c r="M1959" s="26"/>
      <c r="N1959" s="26"/>
      <c r="O1959" s="26">
        <v>2</v>
      </c>
      <c r="P1959" s="26"/>
      <c r="Q1959" s="26"/>
      <c r="R1959" s="1209"/>
      <c r="S1959" s="1209">
        <v>1615.72</v>
      </c>
      <c r="T1959" s="26" t="s">
        <v>5705</v>
      </c>
      <c r="U1959" s="1859" t="s">
        <v>7372</v>
      </c>
      <c r="V1959" s="18" t="s">
        <v>6170</v>
      </c>
      <c r="W1959" s="2015"/>
      <c r="X1959" s="18"/>
      <c r="Y1959" s="4"/>
      <c r="Z1959" s="4"/>
    </row>
    <row r="1960" spans="1:26" ht="14.1" hidden="1">
      <c r="A1960" s="20">
        <v>1967</v>
      </c>
      <c r="B1960" s="1063">
        <v>41737</v>
      </c>
      <c r="C1960" s="26" t="s">
        <v>7546</v>
      </c>
      <c r="D1960" s="11"/>
      <c r="E1960" s="26" t="s">
        <v>7498</v>
      </c>
      <c r="F1960" s="26" t="s">
        <v>7367</v>
      </c>
      <c r="G1960" s="26" t="s">
        <v>5111</v>
      </c>
      <c r="H1960" s="26"/>
      <c r="I1960" s="18" t="s">
        <v>7439</v>
      </c>
      <c r="J1960" s="26" t="s">
        <v>5111</v>
      </c>
      <c r="K1960" s="26" t="s">
        <v>5111</v>
      </c>
      <c r="L1960" s="26"/>
      <c r="M1960" s="26"/>
      <c r="N1960" s="26"/>
      <c r="O1960" s="26">
        <v>5</v>
      </c>
      <c r="P1960" s="26"/>
      <c r="Q1960" s="26"/>
      <c r="R1960" s="1209"/>
      <c r="S1960" s="1209">
        <v>1141.4280000000001</v>
      </c>
      <c r="T1960" s="26" t="s">
        <v>5705</v>
      </c>
      <c r="U1960" s="1859" t="s">
        <v>7372</v>
      </c>
      <c r="V1960" s="18" t="s">
        <v>6170</v>
      </c>
      <c r="W1960" s="2015"/>
      <c r="X1960" s="18"/>
      <c r="Y1960" s="4"/>
      <c r="Z1960" s="4"/>
    </row>
    <row r="1961" spans="1:26" ht="14.1" hidden="1">
      <c r="A1961" s="20">
        <v>1968</v>
      </c>
      <c r="B1961" s="1063">
        <v>41738</v>
      </c>
      <c r="C1961" s="26" t="s">
        <v>7547</v>
      </c>
      <c r="D1961" s="11"/>
      <c r="E1961" s="26" t="s">
        <v>7498</v>
      </c>
      <c r="F1961" s="26" t="s">
        <v>7367</v>
      </c>
      <c r="G1961" s="26" t="s">
        <v>7548</v>
      </c>
      <c r="H1961" s="26"/>
      <c r="I1961" s="18" t="s">
        <v>7439</v>
      </c>
      <c r="J1961" s="26" t="s">
        <v>7548</v>
      </c>
      <c r="K1961" s="26" t="s">
        <v>7548</v>
      </c>
      <c r="L1961" s="26"/>
      <c r="M1961" s="26"/>
      <c r="N1961" s="26"/>
      <c r="O1961" s="26">
        <v>5</v>
      </c>
      <c r="P1961" s="26"/>
      <c r="Q1961" s="26"/>
      <c r="R1961" s="1209"/>
      <c r="S1961" s="1209">
        <v>724.46799999999996</v>
      </c>
      <c r="T1961" s="26" t="s">
        <v>5705</v>
      </c>
      <c r="U1961" s="1859" t="s">
        <v>7372</v>
      </c>
      <c r="V1961" s="18" t="s">
        <v>6170</v>
      </c>
      <c r="W1961" s="2015"/>
      <c r="X1961" s="18"/>
      <c r="Y1961" s="4"/>
      <c r="Z1961" s="4"/>
    </row>
    <row r="1962" spans="1:26" ht="14.1" hidden="1">
      <c r="A1962" s="20">
        <v>1969</v>
      </c>
      <c r="B1962" s="1063">
        <v>41739</v>
      </c>
      <c r="C1962" s="26" t="s">
        <v>7549</v>
      </c>
      <c r="D1962" s="11"/>
      <c r="E1962" s="26" t="s">
        <v>7498</v>
      </c>
      <c r="F1962" s="26" t="s">
        <v>7367</v>
      </c>
      <c r="G1962" s="26" t="s">
        <v>7550</v>
      </c>
      <c r="H1962" s="26"/>
      <c r="I1962" s="18" t="s">
        <v>7439</v>
      </c>
      <c r="J1962" s="26" t="s">
        <v>7550</v>
      </c>
      <c r="K1962" s="26" t="s">
        <v>7550</v>
      </c>
      <c r="L1962" s="26"/>
      <c r="M1962" s="26"/>
      <c r="N1962" s="26"/>
      <c r="O1962" s="26">
        <v>8</v>
      </c>
      <c r="P1962" s="26"/>
      <c r="Q1962" s="26"/>
      <c r="R1962" s="1209"/>
      <c r="S1962" s="1209">
        <v>156.36000000000001</v>
      </c>
      <c r="T1962" s="26" t="s">
        <v>5705</v>
      </c>
      <c r="U1962" s="1859" t="s">
        <v>7372</v>
      </c>
      <c r="V1962" s="18" t="s">
        <v>6170</v>
      </c>
      <c r="W1962" s="2015"/>
      <c r="X1962" s="18"/>
      <c r="Y1962" s="4"/>
      <c r="Z1962" s="4"/>
    </row>
    <row r="1963" spans="1:26" ht="14.1" hidden="1">
      <c r="A1963" s="20">
        <v>1970</v>
      </c>
      <c r="B1963" s="1063">
        <v>41740</v>
      </c>
      <c r="C1963" s="26" t="s">
        <v>7551</v>
      </c>
      <c r="D1963" s="11"/>
      <c r="E1963" s="26" t="s">
        <v>7498</v>
      </c>
      <c r="F1963" s="26" t="s">
        <v>7367</v>
      </c>
      <c r="G1963" s="26" t="s">
        <v>7552</v>
      </c>
      <c r="H1963" s="26"/>
      <c r="I1963" s="18" t="s">
        <v>7439</v>
      </c>
      <c r="J1963" s="26" t="s">
        <v>7552</v>
      </c>
      <c r="K1963" s="26" t="s">
        <v>7552</v>
      </c>
      <c r="L1963" s="26"/>
      <c r="M1963" s="26"/>
      <c r="N1963" s="26"/>
      <c r="O1963" s="26">
        <v>1</v>
      </c>
      <c r="P1963" s="26"/>
      <c r="Q1963" s="26"/>
      <c r="R1963" s="1209"/>
      <c r="S1963" s="1209">
        <v>1766.8679999999999</v>
      </c>
      <c r="T1963" s="26" t="s">
        <v>5705</v>
      </c>
      <c r="U1963" s="1859" t="s">
        <v>7372</v>
      </c>
      <c r="V1963" s="18" t="s">
        <v>6170</v>
      </c>
      <c r="W1963" s="2015"/>
      <c r="X1963" s="26"/>
      <c r="Y1963" s="71"/>
      <c r="Z1963" s="71"/>
    </row>
    <row r="1964" spans="1:26" ht="14.1" hidden="1">
      <c r="A1964" s="20">
        <v>1971</v>
      </c>
      <c r="B1964" s="1063">
        <v>41741</v>
      </c>
      <c r="C1964" s="26" t="s">
        <v>7553</v>
      </c>
      <c r="D1964" s="11"/>
      <c r="E1964" s="26" t="s">
        <v>7498</v>
      </c>
      <c r="F1964" s="26" t="s">
        <v>7367</v>
      </c>
      <c r="G1964" s="26" t="s">
        <v>7554</v>
      </c>
      <c r="H1964" s="26"/>
      <c r="I1964" s="18" t="s">
        <v>7439</v>
      </c>
      <c r="J1964" s="26" t="s">
        <v>7554</v>
      </c>
      <c r="K1964" s="26" t="s">
        <v>7554</v>
      </c>
      <c r="L1964" s="26"/>
      <c r="M1964" s="26"/>
      <c r="N1964" s="26"/>
      <c r="O1964" s="26">
        <v>1</v>
      </c>
      <c r="P1964" s="26"/>
      <c r="Q1964" s="26"/>
      <c r="R1964" s="1209"/>
      <c r="S1964" s="1209">
        <v>2600.788</v>
      </c>
      <c r="T1964" s="26" t="s">
        <v>5705</v>
      </c>
      <c r="U1964" s="1859" t="s">
        <v>7372</v>
      </c>
      <c r="V1964" s="18" t="s">
        <v>6170</v>
      </c>
      <c r="W1964" s="2015"/>
      <c r="X1964" s="26"/>
      <c r="Y1964" s="71"/>
      <c r="Z1964" s="71"/>
    </row>
    <row r="1965" spans="1:26" ht="14.1" hidden="1">
      <c r="A1965" s="20">
        <v>1972</v>
      </c>
      <c r="B1965" s="1063">
        <v>41742</v>
      </c>
      <c r="C1965" s="26" t="s">
        <v>7555</v>
      </c>
      <c r="D1965" s="11"/>
      <c r="E1965" s="26" t="s">
        <v>7498</v>
      </c>
      <c r="F1965" s="26" t="s">
        <v>7367</v>
      </c>
      <c r="G1965" s="26" t="s">
        <v>7556</v>
      </c>
      <c r="H1965" s="26"/>
      <c r="I1965" s="18" t="s">
        <v>7439</v>
      </c>
      <c r="J1965" s="26" t="s">
        <v>7556</v>
      </c>
      <c r="K1965" s="26" t="s">
        <v>7556</v>
      </c>
      <c r="L1965" s="26"/>
      <c r="M1965" s="26"/>
      <c r="N1965" s="26"/>
      <c r="O1965" s="26">
        <v>1</v>
      </c>
      <c r="P1965" s="26"/>
      <c r="Q1965" s="26"/>
      <c r="R1965" s="1209"/>
      <c r="S1965" s="1209">
        <v>3121.9879999999998</v>
      </c>
      <c r="T1965" s="26" t="s">
        <v>5705</v>
      </c>
      <c r="U1965" s="1859" t="s">
        <v>7372</v>
      </c>
      <c r="V1965" s="18" t="s">
        <v>6170</v>
      </c>
      <c r="W1965" s="2015"/>
      <c r="X1965" s="18"/>
      <c r="Y1965" s="4"/>
      <c r="Z1965" s="4"/>
    </row>
    <row r="1966" spans="1:26" ht="14.1" hidden="1">
      <c r="A1966" s="20">
        <v>1973</v>
      </c>
      <c r="B1966" s="1063">
        <v>41743</v>
      </c>
      <c r="C1966" s="26" t="s">
        <v>7557</v>
      </c>
      <c r="D1966" s="11"/>
      <c r="E1966" s="26" t="s">
        <v>7498</v>
      </c>
      <c r="F1966" s="26" t="s">
        <v>7367</v>
      </c>
      <c r="G1966" s="26" t="s">
        <v>7558</v>
      </c>
      <c r="H1966" s="26"/>
      <c r="I1966" s="18" t="s">
        <v>7439</v>
      </c>
      <c r="J1966" s="26" t="s">
        <v>7558</v>
      </c>
      <c r="K1966" s="26" t="s">
        <v>7558</v>
      </c>
      <c r="L1966" s="26"/>
      <c r="M1966" s="26"/>
      <c r="N1966" s="26"/>
      <c r="O1966" s="26">
        <v>1</v>
      </c>
      <c r="P1966" s="26"/>
      <c r="Q1966" s="26"/>
      <c r="R1966" s="1209"/>
      <c r="S1966" s="1209">
        <v>411.74799999999999</v>
      </c>
      <c r="T1966" s="26" t="s">
        <v>5705</v>
      </c>
      <c r="U1966" s="1859" t="s">
        <v>7372</v>
      </c>
      <c r="V1966" s="18" t="s">
        <v>6170</v>
      </c>
      <c r="W1966" s="2015"/>
      <c r="X1966" s="18"/>
      <c r="Y1966" s="4"/>
      <c r="Z1966" s="4"/>
    </row>
    <row r="1967" spans="1:26" ht="14.1" hidden="1">
      <c r="A1967" s="20">
        <v>1974</v>
      </c>
      <c r="B1967" s="1063">
        <v>41744</v>
      </c>
      <c r="C1967" s="26" t="s">
        <v>7559</v>
      </c>
      <c r="D1967" s="11"/>
      <c r="E1967" s="26" t="s">
        <v>7498</v>
      </c>
      <c r="F1967" s="26" t="s">
        <v>7367</v>
      </c>
      <c r="G1967" s="26" t="s">
        <v>7560</v>
      </c>
      <c r="H1967" s="26"/>
      <c r="I1967" s="18" t="s">
        <v>7439</v>
      </c>
      <c r="J1967" s="26" t="s">
        <v>7560</v>
      </c>
      <c r="K1967" s="26" t="s">
        <v>7560</v>
      </c>
      <c r="L1967" s="26"/>
      <c r="M1967" s="26"/>
      <c r="N1967" s="26"/>
      <c r="O1967" s="26">
        <v>2</v>
      </c>
      <c r="P1967" s="26"/>
      <c r="Q1967" s="26"/>
      <c r="R1967" s="1209"/>
      <c r="S1967" s="1209">
        <v>203.268</v>
      </c>
      <c r="T1967" s="26" t="s">
        <v>5705</v>
      </c>
      <c r="U1967" s="1859" t="s">
        <v>7372</v>
      </c>
      <c r="V1967" s="18" t="s">
        <v>6170</v>
      </c>
      <c r="W1967" s="2015"/>
      <c r="X1967" s="18"/>
      <c r="Y1967" s="4"/>
      <c r="Z1967" s="4"/>
    </row>
    <row r="1968" spans="1:26" ht="14.1" hidden="1">
      <c r="A1968" s="20">
        <v>1975</v>
      </c>
      <c r="B1968" s="1063">
        <v>41745</v>
      </c>
      <c r="C1968" s="26" t="s">
        <v>7561</v>
      </c>
      <c r="D1968" s="11"/>
      <c r="E1968" s="26" t="s">
        <v>7498</v>
      </c>
      <c r="F1968" s="26" t="s">
        <v>7367</v>
      </c>
      <c r="G1968" s="26" t="s">
        <v>7562</v>
      </c>
      <c r="H1968" s="26"/>
      <c r="I1968" s="18" t="s">
        <v>7439</v>
      </c>
      <c r="J1968" s="26" t="s">
        <v>7562</v>
      </c>
      <c r="K1968" s="26" t="s">
        <v>7562</v>
      </c>
      <c r="L1968" s="26"/>
      <c r="M1968" s="26"/>
      <c r="N1968" s="26"/>
      <c r="O1968" s="26">
        <v>2</v>
      </c>
      <c r="P1968" s="26"/>
      <c r="Q1968" s="26"/>
      <c r="R1968" s="1209"/>
      <c r="S1968" s="1209">
        <v>22927.588</v>
      </c>
      <c r="T1968" s="26" t="s">
        <v>5705</v>
      </c>
      <c r="U1968" s="1859" t="s">
        <v>7372</v>
      </c>
      <c r="V1968" s="18" t="s">
        <v>6170</v>
      </c>
      <c r="W1968" s="2015"/>
      <c r="X1968" s="18"/>
      <c r="Y1968" s="4"/>
      <c r="Z1968" s="4"/>
    </row>
    <row r="1969" spans="1:26" ht="14.1" hidden="1">
      <c r="A1969" s="20">
        <v>1976</v>
      </c>
      <c r="B1969" s="1063">
        <v>41746</v>
      </c>
      <c r="C1969" s="26" t="s">
        <v>7563</v>
      </c>
      <c r="D1969" s="11"/>
      <c r="E1969" s="26" t="s">
        <v>7498</v>
      </c>
      <c r="F1969" s="26" t="s">
        <v>7367</v>
      </c>
      <c r="G1969" s="26" t="s">
        <v>7564</v>
      </c>
      <c r="H1969" s="26"/>
      <c r="I1969" s="18" t="s">
        <v>7439</v>
      </c>
      <c r="J1969" s="26" t="s">
        <v>7564</v>
      </c>
      <c r="K1969" s="26" t="s">
        <v>7564</v>
      </c>
      <c r="L1969" s="26"/>
      <c r="M1969" s="26"/>
      <c r="N1969" s="26"/>
      <c r="O1969" s="26">
        <v>2</v>
      </c>
      <c r="P1969" s="26"/>
      <c r="Q1969" s="26"/>
      <c r="R1969" s="1209"/>
      <c r="S1969" s="1209">
        <v>411.74799999999999</v>
      </c>
      <c r="T1969" s="26" t="s">
        <v>5705</v>
      </c>
      <c r="U1969" s="1859" t="s">
        <v>7372</v>
      </c>
      <c r="V1969" s="18" t="s">
        <v>6170</v>
      </c>
      <c r="W1969" s="2015"/>
      <c r="X1969" s="18"/>
      <c r="Y1969" s="4"/>
      <c r="Z1969" s="4"/>
    </row>
    <row r="1970" spans="1:26" ht="14.1" hidden="1">
      <c r="A1970" s="20">
        <v>1977</v>
      </c>
      <c r="B1970" s="1063">
        <v>41747</v>
      </c>
      <c r="C1970" s="26" t="s">
        <v>7565</v>
      </c>
      <c r="D1970" s="11"/>
      <c r="E1970" s="26" t="s">
        <v>7498</v>
      </c>
      <c r="F1970" s="26" t="s">
        <v>7367</v>
      </c>
      <c r="G1970" s="26" t="s">
        <v>7566</v>
      </c>
      <c r="H1970" s="26"/>
      <c r="I1970" s="18" t="s">
        <v>7439</v>
      </c>
      <c r="J1970" s="26" t="s">
        <v>7566</v>
      </c>
      <c r="K1970" s="26" t="s">
        <v>7566</v>
      </c>
      <c r="L1970" s="26"/>
      <c r="M1970" s="26"/>
      <c r="N1970" s="26"/>
      <c r="O1970" s="26">
        <v>2</v>
      </c>
      <c r="P1970" s="26"/>
      <c r="Q1970" s="26"/>
      <c r="R1970" s="1209"/>
      <c r="S1970" s="1209">
        <v>2600.788</v>
      </c>
      <c r="T1970" s="26" t="s">
        <v>5705</v>
      </c>
      <c r="U1970" s="1859" t="s">
        <v>7372</v>
      </c>
      <c r="V1970" s="18" t="s">
        <v>6170</v>
      </c>
      <c r="W1970" s="2015"/>
      <c r="X1970" s="26"/>
      <c r="Y1970" s="71"/>
      <c r="Z1970" s="71"/>
    </row>
    <row r="1971" spans="1:26" ht="14.1" hidden="1">
      <c r="A1971" s="20">
        <v>1978</v>
      </c>
      <c r="B1971" s="1063">
        <v>41748</v>
      </c>
      <c r="C1971" s="26" t="s">
        <v>7567</v>
      </c>
      <c r="D1971" s="11"/>
      <c r="E1971" s="26" t="s">
        <v>7498</v>
      </c>
      <c r="F1971" s="26" t="s">
        <v>7367</v>
      </c>
      <c r="G1971" s="26" t="s">
        <v>7568</v>
      </c>
      <c r="H1971" s="26"/>
      <c r="I1971" s="18" t="s">
        <v>7439</v>
      </c>
      <c r="J1971" s="26" t="s">
        <v>7568</v>
      </c>
      <c r="K1971" s="26" t="s">
        <v>7568</v>
      </c>
      <c r="L1971" s="26"/>
      <c r="M1971" s="26"/>
      <c r="N1971" s="26"/>
      <c r="O1971" s="26">
        <v>1</v>
      </c>
      <c r="P1971" s="26"/>
      <c r="Q1971" s="26"/>
      <c r="R1971" s="1209"/>
      <c r="S1971" s="1209">
        <v>9897.5879999999997</v>
      </c>
      <c r="T1971" s="26" t="s">
        <v>5705</v>
      </c>
      <c r="U1971" s="1859" t="s">
        <v>7372</v>
      </c>
      <c r="V1971" s="18" t="s">
        <v>6170</v>
      </c>
      <c r="W1971" s="2015"/>
      <c r="X1971" s="26"/>
      <c r="Y1971" s="71"/>
      <c r="Z1971" s="71"/>
    </row>
    <row r="1972" spans="1:26" ht="14.1" hidden="1">
      <c r="A1972" s="20">
        <v>1979</v>
      </c>
      <c r="B1972" s="1063">
        <v>41749</v>
      </c>
      <c r="C1972" s="26" t="s">
        <v>7569</v>
      </c>
      <c r="D1972" s="11"/>
      <c r="E1972" s="26" t="s">
        <v>7498</v>
      </c>
      <c r="F1972" s="26" t="s">
        <v>7367</v>
      </c>
      <c r="G1972" s="26" t="s">
        <v>7570</v>
      </c>
      <c r="H1972" s="26"/>
      <c r="I1972" s="18" t="s">
        <v>7439</v>
      </c>
      <c r="J1972" s="26" t="s">
        <v>7570</v>
      </c>
      <c r="K1972" s="26" t="s">
        <v>7570</v>
      </c>
      <c r="L1972" s="26"/>
      <c r="M1972" s="26"/>
      <c r="N1972" s="26"/>
      <c r="O1972" s="26">
        <v>4</v>
      </c>
      <c r="P1972" s="26"/>
      <c r="Q1972" s="26"/>
      <c r="R1972" s="1209"/>
      <c r="S1972" s="1209">
        <v>156.36000000000001</v>
      </c>
      <c r="T1972" s="26" t="s">
        <v>5705</v>
      </c>
      <c r="U1972" s="1859" t="s">
        <v>7372</v>
      </c>
      <c r="V1972" s="18" t="s">
        <v>6170</v>
      </c>
      <c r="W1972" s="2015"/>
      <c r="X1972" s="18"/>
      <c r="Y1972" s="4"/>
      <c r="Z1972" s="4"/>
    </row>
    <row r="1973" spans="1:26" ht="14.1" hidden="1">
      <c r="A1973" s="20">
        <v>1980</v>
      </c>
      <c r="B1973" s="1063">
        <v>41750</v>
      </c>
      <c r="C1973" s="934" t="s">
        <v>7571</v>
      </c>
      <c r="D1973" s="11"/>
      <c r="E1973" s="26" t="s">
        <v>7498</v>
      </c>
      <c r="F1973" s="26" t="s">
        <v>7367</v>
      </c>
      <c r="G1973" s="26" t="s">
        <v>7572</v>
      </c>
      <c r="H1973" s="26"/>
      <c r="I1973" s="26" t="s">
        <v>4982</v>
      </c>
      <c r="J1973" s="26" t="s">
        <v>7573</v>
      </c>
      <c r="K1973" s="26" t="s">
        <v>7573</v>
      </c>
      <c r="L1973" s="26"/>
      <c r="M1973" s="26"/>
      <c r="N1973" s="26"/>
      <c r="O1973" s="26">
        <v>2</v>
      </c>
      <c r="P1973" s="26"/>
      <c r="Q1973" s="26"/>
      <c r="R1973" s="1209">
        <v>12412</v>
      </c>
      <c r="S1973" s="1209">
        <v>24824</v>
      </c>
      <c r="T1973" s="26" t="s">
        <v>5705</v>
      </c>
      <c r="U1973" s="1859" t="s">
        <v>7372</v>
      </c>
      <c r="V1973" s="18" t="s">
        <v>6170</v>
      </c>
      <c r="W1973" s="2015"/>
      <c r="X1973" s="18"/>
      <c r="Y1973" s="4"/>
      <c r="Z1973" s="4"/>
    </row>
    <row r="1974" spans="1:26" ht="14.1" hidden="1">
      <c r="A1974" s="20">
        <v>1981</v>
      </c>
      <c r="B1974" s="1063">
        <v>41751</v>
      </c>
      <c r="C1974" s="934" t="s">
        <v>7574</v>
      </c>
      <c r="D1974" s="11"/>
      <c r="E1974" s="26" t="s">
        <v>7498</v>
      </c>
      <c r="F1974" s="26" t="s">
        <v>7367</v>
      </c>
      <c r="G1974" s="26" t="s">
        <v>7575</v>
      </c>
      <c r="H1974" s="26"/>
      <c r="I1974" s="26" t="s">
        <v>4982</v>
      </c>
      <c r="J1974" s="26" t="s">
        <v>7576</v>
      </c>
      <c r="K1974" s="26" t="s">
        <v>7576</v>
      </c>
      <c r="L1974" s="26"/>
      <c r="M1974" s="26"/>
      <c r="N1974" s="26"/>
      <c r="O1974" s="26">
        <v>1</v>
      </c>
      <c r="P1974" s="26"/>
      <c r="Q1974" s="26"/>
      <c r="R1974" s="1209">
        <v>17160</v>
      </c>
      <c r="S1974" s="1209">
        <v>17160</v>
      </c>
      <c r="T1974" s="26" t="s">
        <v>5705</v>
      </c>
      <c r="U1974" s="1859" t="s">
        <v>7372</v>
      </c>
      <c r="V1974" s="18" t="s">
        <v>6170</v>
      </c>
      <c r="W1974" s="2015"/>
      <c r="X1974" s="18"/>
      <c r="Y1974" s="4"/>
      <c r="Z1974" s="4"/>
    </row>
    <row r="1975" spans="1:26" ht="14.1" hidden="1">
      <c r="A1975" s="20">
        <v>1982</v>
      </c>
      <c r="B1975" s="1063">
        <v>41752</v>
      </c>
      <c r="C1975" s="934" t="s">
        <v>7577</v>
      </c>
      <c r="D1975" s="11"/>
      <c r="E1975" s="26" t="s">
        <v>7498</v>
      </c>
      <c r="F1975" s="26" t="s">
        <v>7367</v>
      </c>
      <c r="G1975" s="26" t="s">
        <v>7578</v>
      </c>
      <c r="H1975" s="26"/>
      <c r="I1975" s="26" t="s">
        <v>4982</v>
      </c>
      <c r="J1975" s="26" t="s">
        <v>7579</v>
      </c>
      <c r="K1975" s="26" t="s">
        <v>7579</v>
      </c>
      <c r="L1975" s="26"/>
      <c r="M1975" s="26"/>
      <c r="N1975" s="26"/>
      <c r="O1975" s="26">
        <v>1</v>
      </c>
      <c r="P1975" s="26"/>
      <c r="Q1975" s="26"/>
      <c r="R1975" s="1209">
        <v>12090</v>
      </c>
      <c r="S1975" s="1209">
        <v>12090</v>
      </c>
      <c r="T1975" s="26" t="s">
        <v>5705</v>
      </c>
      <c r="U1975" s="1859" t="s">
        <v>7372</v>
      </c>
      <c r="V1975" s="18" t="s">
        <v>6170</v>
      </c>
      <c r="W1975" s="2015"/>
      <c r="X1975" s="18"/>
      <c r="Y1975" s="4"/>
      <c r="Z1975" s="4"/>
    </row>
    <row r="1976" spans="1:26" ht="14.1" hidden="1">
      <c r="A1976" s="20">
        <v>1983</v>
      </c>
      <c r="B1976" s="1063">
        <v>41753</v>
      </c>
      <c r="C1976" s="26" t="s">
        <v>7045</v>
      </c>
      <c r="D1976" s="11"/>
      <c r="E1976" s="26" t="s">
        <v>7498</v>
      </c>
      <c r="F1976" s="26" t="s">
        <v>7367</v>
      </c>
      <c r="G1976" s="26" t="s">
        <v>7580</v>
      </c>
      <c r="H1976" s="26"/>
      <c r="I1976" s="26" t="s">
        <v>4982</v>
      </c>
      <c r="J1976" s="26" t="s">
        <v>7581</v>
      </c>
      <c r="K1976" s="26" t="s">
        <v>7581</v>
      </c>
      <c r="L1976" s="26"/>
      <c r="M1976" s="26"/>
      <c r="N1976" s="26"/>
      <c r="O1976" s="26">
        <v>2</v>
      </c>
      <c r="P1976" s="26"/>
      <c r="Q1976" s="26"/>
      <c r="R1976" s="1209">
        <v>8827</v>
      </c>
      <c r="S1976" s="1209">
        <v>17654</v>
      </c>
      <c r="T1976" s="26" t="s">
        <v>5705</v>
      </c>
      <c r="U1976" s="1859" t="s">
        <v>7372</v>
      </c>
      <c r="V1976" s="18" t="s">
        <v>6170</v>
      </c>
      <c r="W1976" s="2015"/>
      <c r="X1976" s="26"/>
      <c r="Y1976" s="71"/>
      <c r="Z1976" s="71"/>
    </row>
    <row r="1977" spans="1:26" ht="14.1" hidden="1">
      <c r="A1977" s="20">
        <v>1984</v>
      </c>
      <c r="B1977" s="1063">
        <v>41754</v>
      </c>
      <c r="C1977" s="26" t="s">
        <v>7582</v>
      </c>
      <c r="D1977" s="11"/>
      <c r="E1977" s="26" t="s">
        <v>7498</v>
      </c>
      <c r="F1977" s="26" t="s">
        <v>7367</v>
      </c>
      <c r="G1977" s="26" t="s">
        <v>7583</v>
      </c>
      <c r="H1977" s="26"/>
      <c r="I1977" s="26" t="s">
        <v>4982</v>
      </c>
      <c r="J1977" s="26" t="s">
        <v>5061</v>
      </c>
      <c r="K1977" s="26" t="s">
        <v>5061</v>
      </c>
      <c r="L1977" s="26"/>
      <c r="M1977" s="26"/>
      <c r="N1977" s="26"/>
      <c r="O1977" s="26">
        <v>2</v>
      </c>
      <c r="P1977" s="26"/>
      <c r="Q1977" s="26"/>
      <c r="R1977" s="1209">
        <v>3795</v>
      </c>
      <c r="S1977" s="1209">
        <v>7590</v>
      </c>
      <c r="T1977" s="26" t="s">
        <v>5705</v>
      </c>
      <c r="U1977" s="1859" t="s">
        <v>7372</v>
      </c>
      <c r="V1977" s="18" t="s">
        <v>6170</v>
      </c>
      <c r="W1977" s="2015"/>
      <c r="X1977" s="26"/>
      <c r="Y1977" s="71"/>
      <c r="Z1977" s="71"/>
    </row>
    <row r="1978" spans="1:26" ht="37.5" hidden="1">
      <c r="A1978" s="20">
        <v>1985</v>
      </c>
      <c r="B1978" s="1063">
        <v>41755</v>
      </c>
      <c r="C1978" s="26" t="s">
        <v>7584</v>
      </c>
      <c r="D1978" s="11"/>
      <c r="E1978" s="26" t="s">
        <v>7498</v>
      </c>
      <c r="F1978" s="26" t="s">
        <v>131</v>
      </c>
      <c r="G1978" s="26" t="s">
        <v>7585</v>
      </c>
      <c r="H1978" s="26" t="s">
        <v>7586</v>
      </c>
      <c r="I1978" s="26" t="s">
        <v>574</v>
      </c>
      <c r="J1978" s="26" t="s">
        <v>7587</v>
      </c>
      <c r="K1978" s="26" t="s">
        <v>7588</v>
      </c>
      <c r="L1978" s="26" t="s">
        <v>1256</v>
      </c>
      <c r="M1978" s="26">
        <v>6</v>
      </c>
      <c r="N1978" s="26">
        <v>1</v>
      </c>
      <c r="O1978" s="26">
        <v>10</v>
      </c>
      <c r="P1978" s="26">
        <v>0</v>
      </c>
      <c r="Q1978" s="26">
        <v>4</v>
      </c>
      <c r="R1978" s="1209">
        <v>180</v>
      </c>
      <c r="S1978" s="1209">
        <f t="shared" ref="S1978:S1994" si="103">R1978*O1978</f>
        <v>1800</v>
      </c>
      <c r="T1978" s="26" t="s">
        <v>5448</v>
      </c>
      <c r="U1978" s="1871" t="s">
        <v>7589</v>
      </c>
      <c r="V1978" s="26" t="s">
        <v>150</v>
      </c>
      <c r="W1978" s="2008" t="s">
        <v>7590</v>
      </c>
      <c r="X1978" s="18"/>
      <c r="Y1978" s="4"/>
      <c r="Z1978" s="4"/>
    </row>
    <row r="1979" spans="1:26" ht="24.95" hidden="1">
      <c r="A1979" s="20">
        <v>1986</v>
      </c>
      <c r="B1979" s="1063">
        <v>41756</v>
      </c>
      <c r="C1979" s="26" t="s">
        <v>7591</v>
      </c>
      <c r="D1979" s="11"/>
      <c r="E1979" s="26" t="s">
        <v>7498</v>
      </c>
      <c r="F1979" s="26" t="s">
        <v>131</v>
      </c>
      <c r="G1979" s="26" t="s">
        <v>7592</v>
      </c>
      <c r="H1979" s="26" t="s">
        <v>1778</v>
      </c>
      <c r="I1979" s="26" t="s">
        <v>574</v>
      </c>
      <c r="J1979" s="26" t="s">
        <v>7593</v>
      </c>
      <c r="K1979" s="26" t="s">
        <v>7594</v>
      </c>
      <c r="L1979" s="26" t="s">
        <v>1256</v>
      </c>
      <c r="M1979" s="26">
        <v>1</v>
      </c>
      <c r="N1979" s="26">
        <v>1</v>
      </c>
      <c r="O1979" s="26">
        <v>3</v>
      </c>
      <c r="P1979" s="26">
        <v>0</v>
      </c>
      <c r="Q1979" s="26">
        <v>2</v>
      </c>
      <c r="R1979" s="1209">
        <v>301</v>
      </c>
      <c r="S1979" s="1209">
        <f t="shared" si="103"/>
        <v>903</v>
      </c>
      <c r="T1979" s="26" t="s">
        <v>7595</v>
      </c>
      <c r="U1979" s="1871" t="s">
        <v>7589</v>
      </c>
      <c r="V1979" s="26" t="s">
        <v>150</v>
      </c>
      <c r="W1979" s="2008" t="s">
        <v>7596</v>
      </c>
      <c r="X1979" s="18"/>
      <c r="Y1979" s="4"/>
      <c r="Z1979" s="4"/>
    </row>
    <row r="1980" spans="1:26" ht="37.5" hidden="1">
      <c r="A1980" s="20">
        <v>1987</v>
      </c>
      <c r="B1980" s="1063">
        <v>41757</v>
      </c>
      <c r="C1980" s="26" t="s">
        <v>7597</v>
      </c>
      <c r="D1980" s="11"/>
      <c r="E1980" s="26" t="s">
        <v>7498</v>
      </c>
      <c r="F1980" s="26" t="s">
        <v>131</v>
      </c>
      <c r="G1980" s="26" t="s">
        <v>7598</v>
      </c>
      <c r="H1980" s="26" t="s">
        <v>7599</v>
      </c>
      <c r="I1980" s="26" t="s">
        <v>574</v>
      </c>
      <c r="J1980" s="26" t="s">
        <v>7600</v>
      </c>
      <c r="K1980" s="26" t="s">
        <v>7601</v>
      </c>
      <c r="L1980" s="26"/>
      <c r="M1980" s="26">
        <v>5</v>
      </c>
      <c r="N1980" s="26">
        <v>1</v>
      </c>
      <c r="O1980" s="26">
        <v>5</v>
      </c>
      <c r="P1980" s="26">
        <v>0</v>
      </c>
      <c r="Q1980" s="26">
        <v>0</v>
      </c>
      <c r="R1980" s="1209">
        <v>813</v>
      </c>
      <c r="S1980" s="1209">
        <f t="shared" si="103"/>
        <v>4065</v>
      </c>
      <c r="T1980" s="26" t="s">
        <v>5448</v>
      </c>
      <c r="U1980" s="1871" t="s">
        <v>7589</v>
      </c>
      <c r="V1980" s="26" t="s">
        <v>150</v>
      </c>
      <c r="W1980" s="2008" t="s">
        <v>7602</v>
      </c>
      <c r="X1980" s="18"/>
      <c r="Y1980" s="4"/>
      <c r="Z1980" s="4"/>
    </row>
    <row r="1981" spans="1:26" ht="37.5" hidden="1">
      <c r="A1981" s="20">
        <v>1988</v>
      </c>
      <c r="B1981" s="1063">
        <v>41758</v>
      </c>
      <c r="C1981" s="26" t="s">
        <v>7603</v>
      </c>
      <c r="D1981" s="11"/>
      <c r="E1981" s="26" t="s">
        <v>7498</v>
      </c>
      <c r="F1981" s="26" t="s">
        <v>131</v>
      </c>
      <c r="G1981" s="26" t="s">
        <v>7604</v>
      </c>
      <c r="H1981" s="26" t="s">
        <v>1085</v>
      </c>
      <c r="I1981" s="26" t="s">
        <v>574</v>
      </c>
      <c r="J1981" s="26" t="s">
        <v>7605</v>
      </c>
      <c r="K1981" s="26" t="s">
        <v>7606</v>
      </c>
      <c r="L1981" s="26"/>
      <c r="M1981" s="26">
        <v>5</v>
      </c>
      <c r="N1981" s="26">
        <v>1</v>
      </c>
      <c r="O1981" s="26">
        <v>5</v>
      </c>
      <c r="P1981" s="26" t="s">
        <v>1</v>
      </c>
      <c r="Q1981" s="26" t="s">
        <v>1</v>
      </c>
      <c r="R1981" s="1209">
        <v>2200</v>
      </c>
      <c r="S1981" s="1209">
        <f t="shared" si="103"/>
        <v>11000</v>
      </c>
      <c r="T1981" s="26" t="s">
        <v>7595</v>
      </c>
      <c r="U1981" s="1871" t="s">
        <v>7589</v>
      </c>
      <c r="V1981" s="26" t="s">
        <v>150</v>
      </c>
      <c r="W1981" s="2008" t="s">
        <v>7607</v>
      </c>
      <c r="X1981" s="18"/>
      <c r="Y1981" s="4"/>
      <c r="Z1981" s="4"/>
    </row>
    <row r="1982" spans="1:26" ht="14.1" hidden="1">
      <c r="A1982" s="20">
        <v>1989</v>
      </c>
      <c r="B1982" s="1063">
        <v>41759</v>
      </c>
      <c r="C1982" s="26" t="s">
        <v>4506</v>
      </c>
      <c r="D1982" s="11"/>
      <c r="E1982" s="26" t="s">
        <v>7498</v>
      </c>
      <c r="F1982" s="26" t="s">
        <v>131</v>
      </c>
      <c r="G1982" s="26" t="s">
        <v>3159</v>
      </c>
      <c r="H1982" s="26" t="s">
        <v>7608</v>
      </c>
      <c r="I1982" s="26"/>
      <c r="J1982" s="26"/>
      <c r="K1982" s="26" t="s">
        <v>3158</v>
      </c>
      <c r="L1982" s="26"/>
      <c r="M1982" s="26" t="s">
        <v>7609</v>
      </c>
      <c r="N1982" s="26" t="s">
        <v>7610</v>
      </c>
      <c r="O1982" s="26">
        <v>10</v>
      </c>
      <c r="P1982" s="26">
        <v>0</v>
      </c>
      <c r="Q1982" s="26">
        <v>0</v>
      </c>
      <c r="R1982" s="1209">
        <v>250</v>
      </c>
      <c r="S1982" s="1209">
        <f t="shared" si="103"/>
        <v>2500</v>
      </c>
      <c r="T1982" s="26" t="s">
        <v>7595</v>
      </c>
      <c r="U1982" s="1871" t="s">
        <v>1896</v>
      </c>
      <c r="V1982" s="26" t="s">
        <v>150</v>
      </c>
      <c r="W1982" s="2008" t="s">
        <v>3160</v>
      </c>
      <c r="X1982" s="26"/>
      <c r="Y1982" s="71"/>
      <c r="Z1982" s="71"/>
    </row>
    <row r="1983" spans="1:26" ht="24.95" hidden="1">
      <c r="A1983" s="20">
        <v>1990</v>
      </c>
      <c r="B1983" s="1063">
        <v>41760</v>
      </c>
      <c r="C1983" s="26" t="s">
        <v>7611</v>
      </c>
      <c r="D1983" s="11"/>
      <c r="E1983" s="26" t="s">
        <v>7498</v>
      </c>
      <c r="F1983" s="26" t="s">
        <v>131</v>
      </c>
      <c r="G1983" s="26" t="s">
        <v>7612</v>
      </c>
      <c r="H1983" s="26" t="s">
        <v>7613</v>
      </c>
      <c r="I1983" s="26"/>
      <c r="J1983" s="26"/>
      <c r="K1983" s="26" t="s">
        <v>7614</v>
      </c>
      <c r="L1983" s="26"/>
      <c r="M1983" s="26">
        <v>6</v>
      </c>
      <c r="N1983" s="26">
        <v>1</v>
      </c>
      <c r="O1983" s="26">
        <v>10</v>
      </c>
      <c r="P1983" s="26">
        <v>0</v>
      </c>
      <c r="Q1983" s="26">
        <v>4</v>
      </c>
      <c r="R1983" s="1209">
        <v>1250</v>
      </c>
      <c r="S1983" s="1209">
        <f t="shared" si="103"/>
        <v>12500</v>
      </c>
      <c r="T1983" s="26" t="s">
        <v>7595</v>
      </c>
      <c r="U1983" s="1871" t="s">
        <v>7589</v>
      </c>
      <c r="V1983" s="26" t="s">
        <v>150</v>
      </c>
      <c r="W1983" s="2008" t="s">
        <v>7615</v>
      </c>
      <c r="X1983" s="26"/>
      <c r="Y1983" s="71"/>
      <c r="Z1983" s="71"/>
    </row>
    <row r="1984" spans="1:26" ht="14.1" hidden="1">
      <c r="A1984" s="20">
        <v>1991</v>
      </c>
      <c r="B1984" s="1063">
        <v>41761</v>
      </c>
      <c r="C1984" s="26" t="s">
        <v>7611</v>
      </c>
      <c r="D1984" s="11"/>
      <c r="E1984" s="26" t="s">
        <v>7498</v>
      </c>
      <c r="F1984" s="26" t="s">
        <v>131</v>
      </c>
      <c r="G1984" s="26" t="s">
        <v>7616</v>
      </c>
      <c r="H1984" s="26" t="s">
        <v>7613</v>
      </c>
      <c r="I1984" s="26"/>
      <c r="J1984" s="26"/>
      <c r="K1984" s="26" t="s">
        <v>7617</v>
      </c>
      <c r="L1984" s="26"/>
      <c r="M1984" s="26">
        <v>6</v>
      </c>
      <c r="N1984" s="26">
        <v>1</v>
      </c>
      <c r="O1984" s="26">
        <v>10</v>
      </c>
      <c r="P1984" s="26">
        <v>0</v>
      </c>
      <c r="Q1984" s="26">
        <v>4</v>
      </c>
      <c r="R1984" s="1209">
        <v>1100</v>
      </c>
      <c r="S1984" s="1209">
        <f t="shared" si="103"/>
        <v>11000</v>
      </c>
      <c r="T1984" s="26" t="s">
        <v>7595</v>
      </c>
      <c r="U1984" s="1871" t="s">
        <v>7589</v>
      </c>
      <c r="V1984" s="26" t="s">
        <v>150</v>
      </c>
      <c r="W1984" s="2008" t="s">
        <v>7618</v>
      </c>
      <c r="X1984" s="18"/>
      <c r="Y1984" s="4"/>
      <c r="Z1984" s="4"/>
    </row>
    <row r="1985" spans="1:26" ht="14.1" hidden="1">
      <c r="A1985" s="20">
        <v>1992</v>
      </c>
      <c r="B1985" s="1063">
        <v>41762</v>
      </c>
      <c r="C1985" s="26" t="s">
        <v>6610</v>
      </c>
      <c r="D1985" s="11"/>
      <c r="E1985" s="26" t="s">
        <v>7498</v>
      </c>
      <c r="F1985" s="26" t="s">
        <v>131</v>
      </c>
      <c r="G1985" s="26" t="s">
        <v>6611</v>
      </c>
      <c r="H1985" s="26" t="s">
        <v>7613</v>
      </c>
      <c r="I1985" s="26"/>
      <c r="J1985" s="26"/>
      <c r="K1985" s="26" t="s">
        <v>6613</v>
      </c>
      <c r="L1985" s="26"/>
      <c r="M1985" s="26">
        <v>6</v>
      </c>
      <c r="N1985" s="26">
        <v>1</v>
      </c>
      <c r="O1985" s="26">
        <v>10</v>
      </c>
      <c r="P1985" s="26">
        <v>3</v>
      </c>
      <c r="Q1985" s="26">
        <v>7</v>
      </c>
      <c r="R1985" s="1209">
        <v>1150</v>
      </c>
      <c r="S1985" s="1209">
        <f t="shared" si="103"/>
        <v>11500</v>
      </c>
      <c r="T1985" s="26" t="s">
        <v>7595</v>
      </c>
      <c r="U1985" s="1871" t="s">
        <v>7589</v>
      </c>
      <c r="V1985" s="26" t="s">
        <v>150</v>
      </c>
      <c r="W1985" s="2008" t="s">
        <v>7619</v>
      </c>
      <c r="X1985" s="18"/>
      <c r="Y1985" s="4"/>
      <c r="Z1985" s="4"/>
    </row>
    <row r="1986" spans="1:26" ht="14.1" hidden="1">
      <c r="A1986" s="20">
        <v>1993</v>
      </c>
      <c r="B1986" s="1063">
        <v>41763</v>
      </c>
      <c r="C1986" s="26" t="s">
        <v>7620</v>
      </c>
      <c r="D1986" s="11"/>
      <c r="E1986" s="26" t="s">
        <v>7498</v>
      </c>
      <c r="F1986" s="26" t="s">
        <v>131</v>
      </c>
      <c r="G1986" s="26" t="s">
        <v>7621</v>
      </c>
      <c r="H1986" s="26" t="s">
        <v>7613</v>
      </c>
      <c r="I1986" s="26"/>
      <c r="J1986" s="26"/>
      <c r="K1986" s="26" t="s">
        <v>7622</v>
      </c>
      <c r="L1986" s="26"/>
      <c r="M1986" s="26">
        <v>4</v>
      </c>
      <c r="N1986" s="26">
        <v>1</v>
      </c>
      <c r="O1986" s="26">
        <v>2</v>
      </c>
      <c r="P1986" s="26">
        <v>2</v>
      </c>
      <c r="Q1986" s="26">
        <v>4</v>
      </c>
      <c r="R1986" s="1209">
        <v>2600</v>
      </c>
      <c r="S1986" s="1209">
        <f t="shared" si="103"/>
        <v>5200</v>
      </c>
      <c r="T1986" s="26" t="s">
        <v>7623</v>
      </c>
      <c r="U1986" s="1871" t="s">
        <v>7624</v>
      </c>
      <c r="V1986" s="26" t="s">
        <v>118</v>
      </c>
      <c r="W1986" s="2008" t="s">
        <v>7625</v>
      </c>
      <c r="X1986" s="18"/>
      <c r="Y1986" s="4"/>
      <c r="Z1986" s="4"/>
    </row>
    <row r="1987" spans="1:26" ht="14.1" hidden="1">
      <c r="A1987" s="20">
        <v>1994</v>
      </c>
      <c r="B1987" s="1063">
        <v>41764</v>
      </c>
      <c r="C1987" s="26" t="s">
        <v>7620</v>
      </c>
      <c r="D1987" s="11"/>
      <c r="E1987" s="26" t="s">
        <v>7498</v>
      </c>
      <c r="F1987" s="26" t="s">
        <v>131</v>
      </c>
      <c r="G1987" s="26" t="s">
        <v>7626</v>
      </c>
      <c r="H1987" s="26" t="s">
        <v>7613</v>
      </c>
      <c r="I1987" s="26"/>
      <c r="J1987" s="26"/>
      <c r="K1987" s="26" t="s">
        <v>7627</v>
      </c>
      <c r="L1987" s="26"/>
      <c r="M1987" s="26">
        <v>4</v>
      </c>
      <c r="N1987" s="26">
        <v>1</v>
      </c>
      <c r="O1987" s="26">
        <v>2</v>
      </c>
      <c r="P1987" s="26">
        <v>2</v>
      </c>
      <c r="Q1987" s="26">
        <v>4</v>
      </c>
      <c r="R1987" s="1209">
        <v>2600</v>
      </c>
      <c r="S1987" s="1209">
        <f t="shared" si="103"/>
        <v>5200</v>
      </c>
      <c r="T1987" s="26" t="s">
        <v>7623</v>
      </c>
      <c r="U1987" s="1871" t="s">
        <v>7624</v>
      </c>
      <c r="V1987" s="26" t="s">
        <v>118</v>
      </c>
      <c r="W1987" s="2008" t="s">
        <v>7625</v>
      </c>
      <c r="X1987" s="18"/>
      <c r="Y1987" s="4"/>
      <c r="Z1987" s="4"/>
    </row>
    <row r="1988" spans="1:26" ht="14.1" hidden="1">
      <c r="A1988" s="20">
        <v>1995</v>
      </c>
      <c r="B1988" s="1063">
        <v>41765</v>
      </c>
      <c r="C1988" s="26" t="s">
        <v>7620</v>
      </c>
      <c r="D1988" s="11"/>
      <c r="E1988" s="26" t="s">
        <v>7498</v>
      </c>
      <c r="F1988" s="26" t="s">
        <v>131</v>
      </c>
      <c r="G1988" s="26" t="s">
        <v>7628</v>
      </c>
      <c r="H1988" s="26" t="s">
        <v>7613</v>
      </c>
      <c r="I1988" s="26"/>
      <c r="J1988" s="26"/>
      <c r="K1988" s="26" t="s">
        <v>7629</v>
      </c>
      <c r="L1988" s="26"/>
      <c r="M1988" s="26">
        <v>4</v>
      </c>
      <c r="N1988" s="26">
        <v>1</v>
      </c>
      <c r="O1988" s="26">
        <v>2</v>
      </c>
      <c r="P1988" s="26">
        <v>2</v>
      </c>
      <c r="Q1988" s="26">
        <v>4</v>
      </c>
      <c r="R1988" s="1209">
        <v>2600</v>
      </c>
      <c r="S1988" s="1209">
        <f t="shared" si="103"/>
        <v>5200</v>
      </c>
      <c r="T1988" s="26" t="s">
        <v>7623</v>
      </c>
      <c r="U1988" s="1871" t="s">
        <v>7624</v>
      </c>
      <c r="V1988" s="26" t="s">
        <v>118</v>
      </c>
      <c r="W1988" s="2008" t="s">
        <v>7625</v>
      </c>
      <c r="X1988" s="26"/>
      <c r="Y1988" s="71"/>
      <c r="Z1988" s="71"/>
    </row>
    <row r="1989" spans="1:26" ht="14.1" hidden="1">
      <c r="A1989" s="20">
        <v>1996</v>
      </c>
      <c r="B1989" s="1063">
        <v>41766</v>
      </c>
      <c r="C1989" s="26" t="s">
        <v>7620</v>
      </c>
      <c r="D1989" s="11"/>
      <c r="E1989" s="26" t="s">
        <v>7498</v>
      </c>
      <c r="F1989" s="26" t="s">
        <v>131</v>
      </c>
      <c r="G1989" s="26" t="s">
        <v>7630</v>
      </c>
      <c r="H1989" s="26" t="s">
        <v>7613</v>
      </c>
      <c r="I1989" s="26"/>
      <c r="J1989" s="26"/>
      <c r="K1989" s="26" t="s">
        <v>7631</v>
      </c>
      <c r="L1989" s="26"/>
      <c r="M1989" s="26">
        <v>4</v>
      </c>
      <c r="N1989" s="26">
        <v>1</v>
      </c>
      <c r="O1989" s="26">
        <v>2</v>
      </c>
      <c r="P1989" s="26">
        <v>2</v>
      </c>
      <c r="Q1989" s="26">
        <v>4</v>
      </c>
      <c r="R1989" s="1209">
        <v>2600</v>
      </c>
      <c r="S1989" s="1209">
        <f t="shared" si="103"/>
        <v>5200</v>
      </c>
      <c r="T1989" s="26" t="s">
        <v>7623</v>
      </c>
      <c r="U1989" s="1871" t="s">
        <v>7624</v>
      </c>
      <c r="V1989" s="26" t="s">
        <v>118</v>
      </c>
      <c r="W1989" s="2008" t="s">
        <v>7625</v>
      </c>
      <c r="X1989" s="26"/>
      <c r="Y1989" s="71"/>
      <c r="Z1989" s="71"/>
    </row>
    <row r="1990" spans="1:26" ht="14.1" hidden="1">
      <c r="A1990" s="20">
        <v>1997</v>
      </c>
      <c r="B1990" s="1063">
        <v>41767</v>
      </c>
      <c r="C1990" s="26" t="s">
        <v>7620</v>
      </c>
      <c r="D1990" s="11"/>
      <c r="E1990" s="26" t="s">
        <v>7498</v>
      </c>
      <c r="F1990" s="26" t="s">
        <v>131</v>
      </c>
      <c r="G1990" s="213" t="s">
        <v>7632</v>
      </c>
      <c r="H1990" s="26" t="s">
        <v>7613</v>
      </c>
      <c r="I1990" s="26"/>
      <c r="J1990" s="26"/>
      <c r="K1990" s="26" t="s">
        <v>7633</v>
      </c>
      <c r="L1990" s="26"/>
      <c r="M1990" s="26">
        <v>4</v>
      </c>
      <c r="N1990" s="26">
        <v>1</v>
      </c>
      <c r="O1990" s="26">
        <v>2</v>
      </c>
      <c r="P1990" s="26">
        <v>2</v>
      </c>
      <c r="Q1990" s="26">
        <v>4</v>
      </c>
      <c r="R1990" s="1209">
        <v>2600</v>
      </c>
      <c r="S1990" s="1209">
        <f t="shared" si="103"/>
        <v>5200</v>
      </c>
      <c r="T1990" s="26" t="s">
        <v>7623</v>
      </c>
      <c r="U1990" s="1871" t="s">
        <v>7624</v>
      </c>
      <c r="V1990" s="26" t="s">
        <v>118</v>
      </c>
      <c r="W1990" s="2008" t="s">
        <v>7625</v>
      </c>
      <c r="X1990" s="18"/>
      <c r="Y1990" s="4"/>
      <c r="Z1990" s="4"/>
    </row>
    <row r="1991" spans="1:26" ht="14.1" hidden="1">
      <c r="A1991" s="20">
        <v>1998</v>
      </c>
      <c r="B1991" s="1063">
        <v>41768</v>
      </c>
      <c r="C1991" s="26" t="s">
        <v>7620</v>
      </c>
      <c r="D1991" s="11"/>
      <c r="E1991" s="26" t="s">
        <v>7498</v>
      </c>
      <c r="F1991" s="26" t="s">
        <v>131</v>
      </c>
      <c r="G1991" s="213" t="s">
        <v>7634</v>
      </c>
      <c r="H1991" s="26" t="s">
        <v>7613</v>
      </c>
      <c r="I1991" s="26"/>
      <c r="J1991" s="26"/>
      <c r="K1991" s="26" t="s">
        <v>7635</v>
      </c>
      <c r="L1991" s="26"/>
      <c r="M1991" s="26">
        <v>3</v>
      </c>
      <c r="N1991" s="26">
        <v>1</v>
      </c>
      <c r="O1991" s="26">
        <v>2</v>
      </c>
      <c r="P1991" s="26">
        <v>1</v>
      </c>
      <c r="Q1991" s="26">
        <v>3</v>
      </c>
      <c r="R1991" s="1209">
        <v>2600</v>
      </c>
      <c r="S1991" s="1209">
        <f t="shared" si="103"/>
        <v>5200</v>
      </c>
      <c r="T1991" s="26" t="s">
        <v>7623</v>
      </c>
      <c r="U1991" s="1871" t="s">
        <v>7624</v>
      </c>
      <c r="V1991" s="26" t="s">
        <v>118</v>
      </c>
      <c r="W1991" s="2008" t="s">
        <v>7625</v>
      </c>
      <c r="X1991" s="18"/>
      <c r="Y1991" s="4"/>
      <c r="Z1991" s="4"/>
    </row>
    <row r="1992" spans="1:26" ht="14.1" hidden="1">
      <c r="A1992" s="20">
        <v>1999</v>
      </c>
      <c r="B1992" s="1063">
        <v>41769</v>
      </c>
      <c r="C1992" s="26" t="s">
        <v>7620</v>
      </c>
      <c r="D1992" s="11"/>
      <c r="E1992" s="26" t="s">
        <v>7498</v>
      </c>
      <c r="F1992" s="26" t="s">
        <v>131</v>
      </c>
      <c r="G1992" s="26" t="s">
        <v>7636</v>
      </c>
      <c r="H1992" s="26" t="s">
        <v>7613</v>
      </c>
      <c r="I1992" s="26"/>
      <c r="J1992" s="26"/>
      <c r="K1992" s="26" t="s">
        <v>7637</v>
      </c>
      <c r="L1992" s="26"/>
      <c r="M1992" s="26">
        <v>3</v>
      </c>
      <c r="N1992" s="26">
        <v>1</v>
      </c>
      <c r="O1992" s="26">
        <v>2</v>
      </c>
      <c r="P1992" s="26">
        <v>1</v>
      </c>
      <c r="Q1992" s="26">
        <v>3</v>
      </c>
      <c r="R1992" s="1209">
        <v>2600</v>
      </c>
      <c r="S1992" s="1209">
        <f t="shared" si="103"/>
        <v>5200</v>
      </c>
      <c r="T1992" s="26" t="s">
        <v>7623</v>
      </c>
      <c r="U1992" s="1871" t="s">
        <v>7624</v>
      </c>
      <c r="V1992" s="26" t="s">
        <v>118</v>
      </c>
      <c r="W1992" s="2008" t="s">
        <v>7625</v>
      </c>
      <c r="X1992" s="18"/>
      <c r="Y1992" s="4"/>
      <c r="Z1992" s="4"/>
    </row>
    <row r="1993" spans="1:26" ht="14.1" hidden="1">
      <c r="A1993" s="20">
        <v>2000</v>
      </c>
      <c r="B1993" s="1063">
        <v>41770</v>
      </c>
      <c r="C1993" s="26" t="s">
        <v>7620</v>
      </c>
      <c r="D1993" s="11"/>
      <c r="E1993" s="26" t="s">
        <v>7498</v>
      </c>
      <c r="F1993" s="26" t="s">
        <v>131</v>
      </c>
      <c r="G1993" s="26" t="s">
        <v>7638</v>
      </c>
      <c r="H1993" s="26" t="s">
        <v>7613</v>
      </c>
      <c r="I1993" s="26"/>
      <c r="J1993" s="26"/>
      <c r="K1993" s="26" t="s">
        <v>7639</v>
      </c>
      <c r="L1993" s="26"/>
      <c r="M1993" s="26">
        <v>2</v>
      </c>
      <c r="N1993" s="26">
        <v>1</v>
      </c>
      <c r="O1993" s="26">
        <v>2</v>
      </c>
      <c r="P1993" s="26">
        <v>0</v>
      </c>
      <c r="Q1993" s="26">
        <v>2</v>
      </c>
      <c r="R1993" s="1209">
        <v>2600</v>
      </c>
      <c r="S1993" s="1209">
        <f t="shared" si="103"/>
        <v>5200</v>
      </c>
      <c r="T1993" s="26" t="s">
        <v>7623</v>
      </c>
      <c r="U1993" s="1871" t="s">
        <v>7624</v>
      </c>
      <c r="V1993" s="26" t="s">
        <v>118</v>
      </c>
      <c r="W1993" s="2008" t="s">
        <v>7625</v>
      </c>
      <c r="X1993" s="18"/>
      <c r="Y1993" s="4"/>
      <c r="Z1993" s="4"/>
    </row>
    <row r="1994" spans="1:26" ht="50.25" hidden="1" customHeight="1">
      <c r="A1994" s="20">
        <v>2001</v>
      </c>
      <c r="B1994" s="1063">
        <v>41771</v>
      </c>
      <c r="C1994" s="26" t="s">
        <v>7620</v>
      </c>
      <c r="D1994" s="11"/>
      <c r="E1994" s="26" t="s">
        <v>7498</v>
      </c>
      <c r="F1994" s="26" t="s">
        <v>131</v>
      </c>
      <c r="G1994" s="26" t="s">
        <v>7640</v>
      </c>
      <c r="H1994" s="26" t="s">
        <v>7613</v>
      </c>
      <c r="I1994" s="26"/>
      <c r="J1994" s="26"/>
      <c r="K1994" s="26" t="s">
        <v>7641</v>
      </c>
      <c r="L1994" s="26"/>
      <c r="M1994" s="26">
        <v>2</v>
      </c>
      <c r="N1994" s="26">
        <v>1</v>
      </c>
      <c r="O1994" s="26">
        <v>2</v>
      </c>
      <c r="P1994" s="26">
        <v>0</v>
      </c>
      <c r="Q1994" s="26">
        <v>2</v>
      </c>
      <c r="R1994" s="1209">
        <v>2600</v>
      </c>
      <c r="S1994" s="1209">
        <f t="shared" si="103"/>
        <v>5200</v>
      </c>
      <c r="T1994" s="26" t="s">
        <v>7623</v>
      </c>
      <c r="U1994" s="1871" t="s">
        <v>7624</v>
      </c>
      <c r="V1994" s="26" t="s">
        <v>118</v>
      </c>
      <c r="W1994" s="2008" t="s">
        <v>7625</v>
      </c>
      <c r="X1994" s="26"/>
      <c r="Y1994" s="71"/>
      <c r="Z1994" s="71"/>
    </row>
    <row r="1995" spans="1:26" ht="14.1" hidden="1">
      <c r="A1995" s="20">
        <v>2002</v>
      </c>
      <c r="B1995" s="1063">
        <v>41772</v>
      </c>
      <c r="C1995" s="26" t="s">
        <v>4105</v>
      </c>
      <c r="D1995" s="11" t="s">
        <v>6</v>
      </c>
      <c r="E1995" s="26" t="s">
        <v>7498</v>
      </c>
      <c r="F1995" s="26" t="s">
        <v>2143</v>
      </c>
      <c r="G1995" s="26" t="s">
        <v>7642</v>
      </c>
      <c r="H1995" s="26" t="s">
        <v>7643</v>
      </c>
      <c r="I1995" s="26" t="s">
        <v>1022</v>
      </c>
      <c r="J1995" s="26"/>
      <c r="K1995" s="26"/>
      <c r="L1995" s="26"/>
      <c r="M1995" s="26">
        <v>1</v>
      </c>
      <c r="N1995" s="26">
        <v>1</v>
      </c>
      <c r="O1995" s="26">
        <v>1</v>
      </c>
      <c r="P1995" s="26">
        <v>0</v>
      </c>
      <c r="Q1995" s="26">
        <v>1</v>
      </c>
      <c r="R1995" s="1209">
        <v>2999</v>
      </c>
      <c r="S1995" s="1209">
        <v>2999</v>
      </c>
      <c r="T1995" s="26" t="s">
        <v>7644</v>
      </c>
      <c r="U1995" s="1871" t="s">
        <v>138</v>
      </c>
      <c r="V1995" s="26" t="s">
        <v>7645</v>
      </c>
      <c r="W1995" s="2065" t="s">
        <v>7646</v>
      </c>
      <c r="X1995" s="26"/>
      <c r="Y1995" s="71"/>
      <c r="Z1995" s="71"/>
    </row>
    <row r="1996" spans="1:26" ht="14.1" hidden="1">
      <c r="A1996" s="20">
        <v>2003</v>
      </c>
      <c r="B1996" s="1063">
        <v>41773</v>
      </c>
      <c r="C1996" s="26" t="s">
        <v>7647</v>
      </c>
      <c r="D1996" s="11" t="s">
        <v>6</v>
      </c>
      <c r="E1996" s="26" t="s">
        <v>7498</v>
      </c>
      <c r="F1996" s="26" t="s">
        <v>2143</v>
      </c>
      <c r="G1996" s="26" t="s">
        <v>7648</v>
      </c>
      <c r="H1996" s="26" t="s">
        <v>4110</v>
      </c>
      <c r="I1996" s="26" t="s">
        <v>1022</v>
      </c>
      <c r="J1996" s="26"/>
      <c r="K1996" s="26"/>
      <c r="L1996" s="26"/>
      <c r="M1996" s="26">
        <v>1</v>
      </c>
      <c r="N1996" s="26">
        <v>3</v>
      </c>
      <c r="O1996" s="26">
        <v>3</v>
      </c>
      <c r="P1996" s="26">
        <v>0</v>
      </c>
      <c r="Q1996" s="26">
        <v>3</v>
      </c>
      <c r="R1996" s="1209">
        <f>2299/3</f>
        <v>766.33333333333337</v>
      </c>
      <c r="S1996" s="1209">
        <v>2299</v>
      </c>
      <c r="T1996" s="26" t="s">
        <v>7644</v>
      </c>
      <c r="U1996" s="1871" t="s">
        <v>138</v>
      </c>
      <c r="V1996" s="26" t="s">
        <v>7645</v>
      </c>
      <c r="W1996" s="2065" t="s">
        <v>7649</v>
      </c>
      <c r="X1996" s="18"/>
      <c r="Y1996" s="4"/>
      <c r="Z1996" s="4"/>
    </row>
    <row r="1997" spans="1:26" ht="14.1" hidden="1">
      <c r="A1997" s="20">
        <v>2004</v>
      </c>
      <c r="B1997" s="1063">
        <v>41774</v>
      </c>
      <c r="C1997" s="26" t="s">
        <v>7650</v>
      </c>
      <c r="D1997" s="11" t="s">
        <v>6</v>
      </c>
      <c r="E1997" s="26" t="s">
        <v>7498</v>
      </c>
      <c r="F1997" s="26" t="s">
        <v>2143</v>
      </c>
      <c r="G1997" s="26" t="s">
        <v>7651</v>
      </c>
      <c r="H1997" s="26" t="s">
        <v>7652</v>
      </c>
      <c r="I1997" s="26" t="s">
        <v>1022</v>
      </c>
      <c r="J1997" s="26" t="s">
        <v>7653</v>
      </c>
      <c r="K1997" s="26" t="s">
        <v>7653</v>
      </c>
      <c r="L1997" s="26"/>
      <c r="M1997" s="26">
        <v>1</v>
      </c>
      <c r="N1997" s="26">
        <v>1</v>
      </c>
      <c r="O1997" s="26">
        <v>1</v>
      </c>
      <c r="P1997" s="26">
        <v>0</v>
      </c>
      <c r="Q1997" s="26">
        <v>1</v>
      </c>
      <c r="R1997" s="1209">
        <v>9300</v>
      </c>
      <c r="S1997" s="1209">
        <v>9300</v>
      </c>
      <c r="T1997" s="26" t="s">
        <v>5448</v>
      </c>
      <c r="U1997" s="1871" t="s">
        <v>7654</v>
      </c>
      <c r="V1997" s="26" t="s">
        <v>7655</v>
      </c>
      <c r="W1997" s="2065" t="s">
        <v>7656</v>
      </c>
      <c r="X1997" s="18"/>
      <c r="Y1997" s="4"/>
      <c r="Z1997" s="4"/>
    </row>
    <row r="1998" spans="1:26" ht="14.1" hidden="1">
      <c r="A1998" s="20">
        <v>2005</v>
      </c>
      <c r="B1998" s="1063">
        <v>41775</v>
      </c>
      <c r="C1998" s="26" t="s">
        <v>7657</v>
      </c>
      <c r="D1998" s="11" t="s">
        <v>6</v>
      </c>
      <c r="E1998" s="26" t="s">
        <v>7498</v>
      </c>
      <c r="F1998" s="26" t="s">
        <v>2143</v>
      </c>
      <c r="G1998" s="26" t="s">
        <v>7658</v>
      </c>
      <c r="H1998" s="26" t="s">
        <v>7659</v>
      </c>
      <c r="I1998" s="26" t="s">
        <v>7659</v>
      </c>
      <c r="J1998" s="26" t="s">
        <v>7660</v>
      </c>
      <c r="K1998" s="26" t="s">
        <v>7660</v>
      </c>
      <c r="L1998" s="26"/>
      <c r="M1998" s="26">
        <v>1</v>
      </c>
      <c r="N1998" s="26">
        <v>1</v>
      </c>
      <c r="O1998" s="26">
        <v>1</v>
      </c>
      <c r="P1998" s="26">
        <v>0</v>
      </c>
      <c r="Q1998" s="26">
        <v>1</v>
      </c>
      <c r="R1998" s="1209">
        <v>583</v>
      </c>
      <c r="S1998" s="1209">
        <v>583</v>
      </c>
      <c r="T1998" s="26" t="s">
        <v>5448</v>
      </c>
      <c r="U1998" s="1871" t="s">
        <v>7654</v>
      </c>
      <c r="V1998" s="26" t="s">
        <v>7655</v>
      </c>
      <c r="W1998" s="2065" t="s">
        <v>7661</v>
      </c>
      <c r="X1998" s="18"/>
      <c r="Y1998" s="4"/>
      <c r="Z1998" s="4"/>
    </row>
    <row r="1999" spans="1:26" ht="24.95" hidden="1">
      <c r="A1999" s="20">
        <v>2006</v>
      </c>
      <c r="B1999" s="1063">
        <v>41776</v>
      </c>
      <c r="C1999" s="26" t="s">
        <v>4537</v>
      </c>
      <c r="D1999" s="11" t="s">
        <v>6</v>
      </c>
      <c r="E1999" s="26" t="s">
        <v>7498</v>
      </c>
      <c r="F1999" s="26" t="s">
        <v>2143</v>
      </c>
      <c r="G1999" s="26" t="s">
        <v>7662</v>
      </c>
      <c r="H1999" s="26" t="s">
        <v>7663</v>
      </c>
      <c r="I1999" s="26" t="s">
        <v>1063</v>
      </c>
      <c r="J1999" s="26" t="s">
        <v>5436</v>
      </c>
      <c r="K1999" s="26" t="s">
        <v>5437</v>
      </c>
      <c r="L1999" s="26"/>
      <c r="M1999" s="26">
        <v>10</v>
      </c>
      <c r="N1999" s="26">
        <v>1</v>
      </c>
      <c r="O1999" s="26">
        <v>10</v>
      </c>
      <c r="P1999" s="26">
        <v>0</v>
      </c>
      <c r="Q1999" s="26">
        <v>10</v>
      </c>
      <c r="R1999" s="1209">
        <v>200</v>
      </c>
      <c r="S1999" s="1209">
        <v>2000</v>
      </c>
      <c r="T1999" s="26" t="s">
        <v>5448</v>
      </c>
      <c r="U1999" s="1871" t="s">
        <v>7654</v>
      </c>
      <c r="V1999" s="26" t="s">
        <v>7655</v>
      </c>
      <c r="W1999" s="2065" t="s">
        <v>5438</v>
      </c>
      <c r="X1999" s="18"/>
      <c r="Y1999" s="4"/>
      <c r="Z1999" s="4"/>
    </row>
    <row r="2000" spans="1:26" ht="24.95" hidden="1">
      <c r="A2000" s="20">
        <v>2007</v>
      </c>
      <c r="B2000" s="1063">
        <v>41777</v>
      </c>
      <c r="C2000" s="26" t="s">
        <v>4537</v>
      </c>
      <c r="D2000" s="11" t="s">
        <v>6</v>
      </c>
      <c r="E2000" s="26" t="s">
        <v>7498</v>
      </c>
      <c r="F2000" s="26" t="s">
        <v>2143</v>
      </c>
      <c r="G2000" s="26" t="s">
        <v>7664</v>
      </c>
      <c r="H2000" s="26" t="s">
        <v>7663</v>
      </c>
      <c r="I2000" s="26" t="s">
        <v>1063</v>
      </c>
      <c r="J2000" s="26" t="s">
        <v>7665</v>
      </c>
      <c r="K2000" s="26" t="s">
        <v>7666</v>
      </c>
      <c r="L2000" s="26"/>
      <c r="M2000" s="26">
        <v>10</v>
      </c>
      <c r="N2000" s="26">
        <v>1</v>
      </c>
      <c r="O2000" s="26">
        <v>10</v>
      </c>
      <c r="P2000" s="26">
        <v>0</v>
      </c>
      <c r="Q2000" s="26">
        <v>10</v>
      </c>
      <c r="R2000" s="1209">
        <v>250</v>
      </c>
      <c r="S2000" s="1209">
        <v>2500</v>
      </c>
      <c r="T2000" s="26" t="s">
        <v>5448</v>
      </c>
      <c r="U2000" s="1871" t="s">
        <v>7654</v>
      </c>
      <c r="V2000" s="26" t="s">
        <v>7655</v>
      </c>
      <c r="W2000" s="2065" t="s">
        <v>7667</v>
      </c>
      <c r="X2000" s="26"/>
      <c r="Y2000" s="71"/>
      <c r="Z2000" s="71"/>
    </row>
    <row r="2001" spans="1:26" ht="14.1" hidden="1">
      <c r="A2001" s="20">
        <v>2008</v>
      </c>
      <c r="B2001" s="1063">
        <v>41778</v>
      </c>
      <c r="C2001" s="26" t="s">
        <v>7668</v>
      </c>
      <c r="D2001" s="11" t="s">
        <v>6</v>
      </c>
      <c r="E2001" s="26" t="s">
        <v>7498</v>
      </c>
      <c r="F2001" s="26" t="s">
        <v>2143</v>
      </c>
      <c r="G2001" s="26" t="s">
        <v>7669</v>
      </c>
      <c r="H2001" s="26" t="s">
        <v>107</v>
      </c>
      <c r="I2001" s="26" t="s">
        <v>113</v>
      </c>
      <c r="J2001" s="26">
        <v>1145934</v>
      </c>
      <c r="K2001" s="26" t="s">
        <v>7670</v>
      </c>
      <c r="L2001" s="26"/>
      <c r="M2001" s="26">
        <v>40</v>
      </c>
      <c r="N2001" s="26">
        <v>50</v>
      </c>
      <c r="O2001" s="26">
        <v>50</v>
      </c>
      <c r="P2001" s="26">
        <v>0</v>
      </c>
      <c r="Q2001" s="26">
        <v>50</v>
      </c>
      <c r="R2001" s="1209">
        <f>489/50</f>
        <v>9.7799999999999994</v>
      </c>
      <c r="S2001" s="1209">
        <v>489</v>
      </c>
      <c r="T2001" s="26" t="s">
        <v>5448</v>
      </c>
      <c r="U2001" s="1871" t="s">
        <v>7654</v>
      </c>
      <c r="V2001" s="26" t="s">
        <v>7655</v>
      </c>
      <c r="W2001" s="2065" t="s">
        <v>7671</v>
      </c>
      <c r="X2001" s="26"/>
      <c r="Y2001" s="71"/>
      <c r="Z2001" s="71"/>
    </row>
    <row r="2002" spans="1:26" ht="14.1" hidden="1">
      <c r="A2002" s="20">
        <v>2009</v>
      </c>
      <c r="B2002" s="1063">
        <v>41779</v>
      </c>
      <c r="C2002" s="26" t="s">
        <v>7672</v>
      </c>
      <c r="D2002" s="11" t="s">
        <v>6</v>
      </c>
      <c r="E2002" s="26" t="s">
        <v>7498</v>
      </c>
      <c r="F2002" s="26" t="s">
        <v>2143</v>
      </c>
      <c r="G2002" s="26" t="s">
        <v>7669</v>
      </c>
      <c r="H2002" s="26" t="s">
        <v>7673</v>
      </c>
      <c r="I2002" s="26" t="s">
        <v>113</v>
      </c>
      <c r="J2002" s="26">
        <v>35798682</v>
      </c>
      <c r="K2002" s="26">
        <v>3</v>
      </c>
      <c r="L2002" s="26"/>
      <c r="M2002" s="26">
        <v>40</v>
      </c>
      <c r="N2002" s="26">
        <v>1</v>
      </c>
      <c r="O2002" s="26">
        <v>50</v>
      </c>
      <c r="P2002" s="26">
        <v>0</v>
      </c>
      <c r="Q2002" s="26">
        <v>50</v>
      </c>
      <c r="R2002" s="1209">
        <v>15</v>
      </c>
      <c r="S2002" s="1209">
        <f>R2002*50</f>
        <v>750</v>
      </c>
      <c r="T2002" s="26" t="s">
        <v>5448</v>
      </c>
      <c r="U2002" s="1871" t="s">
        <v>7654</v>
      </c>
      <c r="V2002" s="26" t="s">
        <v>7655</v>
      </c>
      <c r="W2002" s="2065" t="s">
        <v>7674</v>
      </c>
      <c r="X2002" s="18"/>
      <c r="Y2002" s="4"/>
      <c r="Z2002" s="4"/>
    </row>
    <row r="2003" spans="1:26" ht="24.95" hidden="1">
      <c r="A2003" s="20">
        <v>2010</v>
      </c>
      <c r="B2003" s="1063">
        <v>41780</v>
      </c>
      <c r="C2003" s="26" t="s">
        <v>7675</v>
      </c>
      <c r="D2003" s="11" t="s">
        <v>6</v>
      </c>
      <c r="E2003" s="26" t="s">
        <v>7498</v>
      </c>
      <c r="F2003" s="26" t="s">
        <v>2143</v>
      </c>
      <c r="G2003" s="26" t="s">
        <v>7676</v>
      </c>
      <c r="H2003" s="26" t="s">
        <v>7677</v>
      </c>
      <c r="I2003" s="26" t="s">
        <v>1063</v>
      </c>
      <c r="J2003" s="26" t="s">
        <v>7678</v>
      </c>
      <c r="K2003" s="26" t="s">
        <v>7679</v>
      </c>
      <c r="L2003" s="26" t="s">
        <v>6661</v>
      </c>
      <c r="M2003" s="26">
        <v>8</v>
      </c>
      <c r="N2003" s="26">
        <v>100</v>
      </c>
      <c r="O2003" s="26">
        <v>100</v>
      </c>
      <c r="P2003" s="26">
        <v>0</v>
      </c>
      <c r="Q2003" s="26">
        <v>100</v>
      </c>
      <c r="R2003" s="1209">
        <v>3</v>
      </c>
      <c r="S2003" s="1209">
        <v>300</v>
      </c>
      <c r="T2003" s="26" t="s">
        <v>5448</v>
      </c>
      <c r="U2003" s="1871" t="s">
        <v>138</v>
      </c>
      <c r="V2003" s="26" t="s">
        <v>7655</v>
      </c>
      <c r="W2003" s="2065" t="s">
        <v>7680</v>
      </c>
      <c r="X2003" s="18"/>
      <c r="Y2003" s="4"/>
      <c r="Z2003" s="4"/>
    </row>
    <row r="2004" spans="1:26" ht="24.95" hidden="1">
      <c r="A2004" s="20">
        <v>2011</v>
      </c>
      <c r="B2004" s="1063">
        <v>41781</v>
      </c>
      <c r="C2004" s="26" t="s">
        <v>7675</v>
      </c>
      <c r="D2004" s="11" t="s">
        <v>6</v>
      </c>
      <c r="E2004" s="26" t="s">
        <v>7498</v>
      </c>
      <c r="F2004" s="26" t="s">
        <v>2143</v>
      </c>
      <c r="G2004" s="26" t="s">
        <v>7681</v>
      </c>
      <c r="H2004" s="26" t="s">
        <v>7677</v>
      </c>
      <c r="I2004" s="26" t="s">
        <v>1063</v>
      </c>
      <c r="J2004" s="26" t="s">
        <v>7678</v>
      </c>
      <c r="K2004" s="26" t="s">
        <v>7679</v>
      </c>
      <c r="L2004" s="26" t="s">
        <v>6661</v>
      </c>
      <c r="M2004" s="26">
        <v>8</v>
      </c>
      <c r="N2004" s="26">
        <v>100</v>
      </c>
      <c r="O2004" s="26">
        <v>100</v>
      </c>
      <c r="P2004" s="26">
        <v>0</v>
      </c>
      <c r="Q2004" s="26">
        <v>100</v>
      </c>
      <c r="R2004" s="1209">
        <v>3</v>
      </c>
      <c r="S2004" s="1209">
        <v>300</v>
      </c>
      <c r="T2004" s="26" t="s">
        <v>5448</v>
      </c>
      <c r="U2004" s="1871" t="s">
        <v>138</v>
      </c>
      <c r="V2004" s="26" t="s">
        <v>7655</v>
      </c>
      <c r="W2004" s="2065" t="s">
        <v>7682</v>
      </c>
      <c r="X2004" s="18"/>
      <c r="Y2004" s="4"/>
      <c r="Z2004" s="4"/>
    </row>
    <row r="2005" spans="1:26" ht="24.95" hidden="1">
      <c r="A2005" s="20">
        <v>2012</v>
      </c>
      <c r="B2005" s="1063">
        <v>41782</v>
      </c>
      <c r="C2005" s="26" t="s">
        <v>7675</v>
      </c>
      <c r="D2005" s="11" t="s">
        <v>6</v>
      </c>
      <c r="E2005" s="26" t="s">
        <v>7498</v>
      </c>
      <c r="F2005" s="26" t="s">
        <v>2143</v>
      </c>
      <c r="G2005" s="26" t="s">
        <v>7683</v>
      </c>
      <c r="H2005" s="26" t="s">
        <v>7677</v>
      </c>
      <c r="I2005" s="26" t="s">
        <v>1063</v>
      </c>
      <c r="J2005" s="26" t="s">
        <v>7678</v>
      </c>
      <c r="K2005" s="26" t="s">
        <v>7679</v>
      </c>
      <c r="L2005" s="26" t="s">
        <v>6661</v>
      </c>
      <c r="M2005" s="26">
        <v>8</v>
      </c>
      <c r="N2005" s="26">
        <v>100</v>
      </c>
      <c r="O2005" s="26">
        <v>100</v>
      </c>
      <c r="P2005" s="26">
        <v>0</v>
      </c>
      <c r="Q2005" s="26">
        <v>100</v>
      </c>
      <c r="R2005" s="1209">
        <v>3</v>
      </c>
      <c r="S2005" s="1209">
        <v>300</v>
      </c>
      <c r="T2005" s="26" t="s">
        <v>5448</v>
      </c>
      <c r="U2005" s="1871" t="s">
        <v>138</v>
      </c>
      <c r="V2005" s="26" t="s">
        <v>7655</v>
      </c>
      <c r="W2005" s="2065" t="s">
        <v>7684</v>
      </c>
      <c r="X2005" s="18"/>
      <c r="Y2005" s="4"/>
      <c r="Z2005" s="4"/>
    </row>
    <row r="2006" spans="1:26" ht="14.1" hidden="1">
      <c r="A2006" s="20">
        <v>2013</v>
      </c>
      <c r="B2006" s="1063">
        <v>41783</v>
      </c>
      <c r="C2006" s="22" t="s">
        <v>1365</v>
      </c>
      <c r="D2006" s="11"/>
      <c r="E2006" s="22" t="s">
        <v>62</v>
      </c>
      <c r="F2006" s="22" t="s">
        <v>73</v>
      </c>
      <c r="G2006" s="22" t="s">
        <v>1366</v>
      </c>
      <c r="H2006" s="22" t="s">
        <v>1367</v>
      </c>
      <c r="I2006" s="22" t="s">
        <v>482</v>
      </c>
      <c r="J2006" s="22" t="s">
        <v>1368</v>
      </c>
      <c r="K2006" s="26">
        <v>2702684</v>
      </c>
      <c r="L2006" s="22"/>
      <c r="M2006" s="22">
        <v>3</v>
      </c>
      <c r="N2006" s="22">
        <v>1</v>
      </c>
      <c r="O2006" s="22">
        <v>3</v>
      </c>
      <c r="P2006" s="22">
        <v>0</v>
      </c>
      <c r="Q2006" s="22">
        <v>0</v>
      </c>
      <c r="R2006" s="1201">
        <v>908</v>
      </c>
      <c r="S2006" s="1201">
        <v>2724</v>
      </c>
      <c r="T2006" s="22" t="s">
        <v>1009</v>
      </c>
      <c r="U2006" s="1854" t="s">
        <v>118</v>
      </c>
      <c r="V2006" s="22" t="s">
        <v>7655</v>
      </c>
      <c r="W2006" s="2006" t="s">
        <v>1370</v>
      </c>
      <c r="X2006" s="26"/>
      <c r="Y2006" s="71"/>
      <c r="Z2006" s="71"/>
    </row>
    <row r="2007" spans="1:26" ht="14.1" hidden="1">
      <c r="A2007" s="20">
        <v>2014</v>
      </c>
      <c r="B2007" s="1063">
        <v>41784</v>
      </c>
      <c r="C2007" s="26" t="s">
        <v>7685</v>
      </c>
      <c r="D2007" s="11" t="s">
        <v>6</v>
      </c>
      <c r="E2007" s="26" t="s">
        <v>7498</v>
      </c>
      <c r="F2007" s="26" t="s">
        <v>2143</v>
      </c>
      <c r="G2007" s="26" t="s">
        <v>7686</v>
      </c>
      <c r="H2007" s="26" t="s">
        <v>7687</v>
      </c>
      <c r="I2007" s="26" t="s">
        <v>1022</v>
      </c>
      <c r="J2007" s="26"/>
      <c r="K2007" s="26"/>
      <c r="L2007" s="26"/>
      <c r="M2007" s="26">
        <v>1</v>
      </c>
      <c r="N2007" s="26">
        <v>1</v>
      </c>
      <c r="O2007" s="26">
        <v>1</v>
      </c>
      <c r="P2007" s="26">
        <v>0</v>
      </c>
      <c r="Q2007" s="26">
        <v>1</v>
      </c>
      <c r="R2007" s="1209">
        <v>32190</v>
      </c>
      <c r="S2007" s="1209">
        <v>32190</v>
      </c>
      <c r="T2007" s="26" t="s">
        <v>5448</v>
      </c>
      <c r="U2007" s="1871" t="s">
        <v>7654</v>
      </c>
      <c r="V2007" s="26" t="s">
        <v>7655</v>
      </c>
      <c r="W2007" s="2065" t="s">
        <v>7688</v>
      </c>
      <c r="X2007" s="26"/>
      <c r="Y2007" s="71"/>
      <c r="Z2007" s="71"/>
    </row>
    <row r="2008" spans="1:26" ht="14.1" hidden="1">
      <c r="A2008" s="20">
        <v>2015</v>
      </c>
      <c r="B2008" s="1063">
        <v>41785</v>
      </c>
      <c r="C2008" s="26" t="s">
        <v>7689</v>
      </c>
      <c r="D2008" s="11" t="s">
        <v>6</v>
      </c>
      <c r="E2008" s="26" t="s">
        <v>7498</v>
      </c>
      <c r="F2008" s="26" t="s">
        <v>2143</v>
      </c>
      <c r="G2008" s="26"/>
      <c r="H2008" s="26"/>
      <c r="I2008" s="26"/>
      <c r="J2008" s="26"/>
      <c r="K2008" s="26"/>
      <c r="L2008" s="26"/>
      <c r="M2008" s="26">
        <v>2</v>
      </c>
      <c r="N2008" s="26">
        <v>1</v>
      </c>
      <c r="O2008" s="26">
        <v>2</v>
      </c>
      <c r="P2008" s="26">
        <v>0</v>
      </c>
      <c r="Q2008" s="26">
        <v>2</v>
      </c>
      <c r="R2008" s="1209">
        <v>185</v>
      </c>
      <c r="S2008" s="1209">
        <f t="shared" ref="S2008:S2018" si="104">R2008*O2008</f>
        <v>370</v>
      </c>
      <c r="T2008" s="26" t="s">
        <v>5448</v>
      </c>
      <c r="U2008" s="1871" t="s">
        <v>7654</v>
      </c>
      <c r="V2008" s="26" t="s">
        <v>7655</v>
      </c>
      <c r="W2008" s="2015" t="s">
        <v>7690</v>
      </c>
      <c r="X2008" s="18"/>
      <c r="Y2008" s="4"/>
      <c r="Z2008" s="4"/>
    </row>
    <row r="2009" spans="1:26" ht="14.1" hidden="1">
      <c r="A2009" s="20">
        <v>2016</v>
      </c>
      <c r="B2009" s="1063">
        <v>41786</v>
      </c>
      <c r="C2009" s="26" t="s">
        <v>7691</v>
      </c>
      <c r="D2009" s="11" t="s">
        <v>6</v>
      </c>
      <c r="E2009" s="26" t="s">
        <v>7498</v>
      </c>
      <c r="F2009" s="26" t="s">
        <v>2143</v>
      </c>
      <c r="G2009" s="26"/>
      <c r="H2009" s="26"/>
      <c r="I2009" s="26"/>
      <c r="J2009" s="26"/>
      <c r="K2009" s="26"/>
      <c r="L2009" s="26"/>
      <c r="M2009" s="26">
        <v>4</v>
      </c>
      <c r="N2009" s="26">
        <v>1</v>
      </c>
      <c r="O2009" s="26">
        <v>4</v>
      </c>
      <c r="P2009" s="26">
        <v>0</v>
      </c>
      <c r="Q2009" s="26">
        <v>4</v>
      </c>
      <c r="R2009" s="1209">
        <v>94</v>
      </c>
      <c r="S2009" s="1209">
        <f t="shared" si="104"/>
        <v>376</v>
      </c>
      <c r="T2009" s="26" t="s">
        <v>5448</v>
      </c>
      <c r="U2009" s="1871" t="s">
        <v>7654</v>
      </c>
      <c r="V2009" s="26" t="s">
        <v>7655</v>
      </c>
      <c r="W2009" s="2015" t="s">
        <v>7690</v>
      </c>
      <c r="X2009" s="18"/>
      <c r="Y2009" s="4"/>
      <c r="Z2009" s="4"/>
    </row>
    <row r="2010" spans="1:26" ht="14.1" hidden="1">
      <c r="A2010" s="20">
        <v>2017</v>
      </c>
      <c r="B2010" s="1063">
        <v>41787</v>
      </c>
      <c r="C2010" s="26" t="s">
        <v>7692</v>
      </c>
      <c r="D2010" s="11" t="s">
        <v>6</v>
      </c>
      <c r="E2010" s="26" t="s">
        <v>7498</v>
      </c>
      <c r="F2010" s="26" t="s">
        <v>2143</v>
      </c>
      <c r="G2010" s="26"/>
      <c r="H2010" s="26"/>
      <c r="I2010" s="26"/>
      <c r="J2010" s="26"/>
      <c r="K2010" s="26"/>
      <c r="L2010" s="26"/>
      <c r="M2010" s="26">
        <v>4</v>
      </c>
      <c r="N2010" s="26">
        <v>1</v>
      </c>
      <c r="O2010" s="26">
        <v>4</v>
      </c>
      <c r="P2010" s="26">
        <v>0</v>
      </c>
      <c r="Q2010" s="26">
        <v>4</v>
      </c>
      <c r="R2010" s="1209">
        <v>52</v>
      </c>
      <c r="S2010" s="1209">
        <f t="shared" si="104"/>
        <v>208</v>
      </c>
      <c r="T2010" s="26" t="s">
        <v>5448</v>
      </c>
      <c r="U2010" s="1871" t="s">
        <v>7654</v>
      </c>
      <c r="V2010" s="26" t="s">
        <v>7655</v>
      </c>
      <c r="W2010" s="2015" t="s">
        <v>7690</v>
      </c>
      <c r="X2010" s="18"/>
      <c r="Y2010" s="4"/>
      <c r="Z2010" s="4"/>
    </row>
    <row r="2011" spans="1:26" ht="14.1" hidden="1">
      <c r="A2011" s="20">
        <v>2018</v>
      </c>
      <c r="B2011" s="1063">
        <v>41788</v>
      </c>
      <c r="C2011" s="26" t="s">
        <v>7693</v>
      </c>
      <c r="D2011" s="11" t="s">
        <v>6</v>
      </c>
      <c r="E2011" s="26" t="s">
        <v>7498</v>
      </c>
      <c r="F2011" s="26" t="s">
        <v>2143</v>
      </c>
      <c r="G2011" s="26"/>
      <c r="H2011" s="26"/>
      <c r="I2011" s="26"/>
      <c r="J2011" s="26"/>
      <c r="K2011" s="26"/>
      <c r="L2011" s="26"/>
      <c r="M2011" s="26">
        <v>1</v>
      </c>
      <c r="N2011" s="26">
        <v>1</v>
      </c>
      <c r="O2011" s="26">
        <v>1</v>
      </c>
      <c r="P2011" s="26">
        <v>0</v>
      </c>
      <c r="Q2011" s="26">
        <v>1</v>
      </c>
      <c r="R2011" s="1209">
        <v>308</v>
      </c>
      <c r="S2011" s="1209">
        <f t="shared" si="104"/>
        <v>308</v>
      </c>
      <c r="T2011" s="26" t="s">
        <v>5448</v>
      </c>
      <c r="U2011" s="1871" t="s">
        <v>7654</v>
      </c>
      <c r="V2011" s="26" t="s">
        <v>7655</v>
      </c>
      <c r="W2011" s="2015" t="s">
        <v>7690</v>
      </c>
      <c r="X2011" s="18"/>
      <c r="Y2011" s="4"/>
      <c r="Z2011" s="4"/>
    </row>
    <row r="2012" spans="1:26" ht="14.1" hidden="1">
      <c r="A2012" s="20">
        <v>2019</v>
      </c>
      <c r="B2012" s="1063">
        <v>41789</v>
      </c>
      <c r="C2012" s="26" t="s">
        <v>7694</v>
      </c>
      <c r="D2012" s="11" t="s">
        <v>6</v>
      </c>
      <c r="E2012" s="26" t="s">
        <v>7498</v>
      </c>
      <c r="F2012" s="26" t="s">
        <v>2143</v>
      </c>
      <c r="G2012" s="26"/>
      <c r="H2012" s="26"/>
      <c r="I2012" s="26"/>
      <c r="J2012" s="26"/>
      <c r="K2012" s="26"/>
      <c r="L2012" s="26"/>
      <c r="M2012" s="26">
        <v>1</v>
      </c>
      <c r="N2012" s="26">
        <v>1</v>
      </c>
      <c r="O2012" s="26">
        <v>1</v>
      </c>
      <c r="P2012" s="26">
        <v>0</v>
      </c>
      <c r="Q2012" s="26">
        <v>1</v>
      </c>
      <c r="R2012" s="1209">
        <v>1408</v>
      </c>
      <c r="S2012" s="1209">
        <f t="shared" si="104"/>
        <v>1408</v>
      </c>
      <c r="T2012" s="26" t="s">
        <v>5448</v>
      </c>
      <c r="U2012" s="1871" t="s">
        <v>7654</v>
      </c>
      <c r="V2012" s="26" t="s">
        <v>7655</v>
      </c>
      <c r="W2012" s="2015" t="s">
        <v>7690</v>
      </c>
      <c r="X2012" s="26"/>
      <c r="Y2012" s="71"/>
      <c r="Z2012" s="71"/>
    </row>
    <row r="2013" spans="1:26" ht="14.1" hidden="1">
      <c r="A2013" s="20">
        <v>2020</v>
      </c>
      <c r="B2013" s="1063">
        <v>41790</v>
      </c>
      <c r="C2013" s="26" t="s">
        <v>7695</v>
      </c>
      <c r="D2013" s="11" t="s">
        <v>6</v>
      </c>
      <c r="E2013" s="26" t="s">
        <v>7498</v>
      </c>
      <c r="F2013" s="26" t="s">
        <v>2143</v>
      </c>
      <c r="G2013" s="26"/>
      <c r="H2013" s="26"/>
      <c r="I2013" s="26"/>
      <c r="J2013" s="26"/>
      <c r="K2013" s="26"/>
      <c r="L2013" s="26"/>
      <c r="M2013" s="26">
        <v>1</v>
      </c>
      <c r="N2013" s="26">
        <v>1</v>
      </c>
      <c r="O2013" s="26">
        <v>1</v>
      </c>
      <c r="P2013" s="26">
        <v>0</v>
      </c>
      <c r="Q2013" s="26">
        <v>1</v>
      </c>
      <c r="R2013" s="1209">
        <v>1188</v>
      </c>
      <c r="S2013" s="1209">
        <f t="shared" si="104"/>
        <v>1188</v>
      </c>
      <c r="T2013" s="26" t="s">
        <v>5448</v>
      </c>
      <c r="U2013" s="1871" t="s">
        <v>7654</v>
      </c>
      <c r="V2013" s="26" t="s">
        <v>7655</v>
      </c>
      <c r="W2013" s="2015" t="s">
        <v>7690</v>
      </c>
      <c r="X2013" s="26"/>
      <c r="Y2013" s="71"/>
      <c r="Z2013" s="71"/>
    </row>
    <row r="2014" spans="1:26" ht="14.1" hidden="1">
      <c r="A2014" s="20">
        <v>2021</v>
      </c>
      <c r="B2014" s="1063">
        <v>41791</v>
      </c>
      <c r="C2014" s="26" t="s">
        <v>7696</v>
      </c>
      <c r="D2014" s="11" t="s">
        <v>6</v>
      </c>
      <c r="E2014" s="26" t="s">
        <v>7498</v>
      </c>
      <c r="F2014" s="26" t="s">
        <v>2143</v>
      </c>
      <c r="G2014" s="26"/>
      <c r="H2014" s="26"/>
      <c r="I2014" s="26"/>
      <c r="J2014" s="26"/>
      <c r="K2014" s="26"/>
      <c r="L2014" s="26"/>
      <c r="M2014" s="26">
        <v>1</v>
      </c>
      <c r="N2014" s="26">
        <v>1</v>
      </c>
      <c r="O2014" s="26">
        <v>1</v>
      </c>
      <c r="P2014" s="26">
        <v>0</v>
      </c>
      <c r="Q2014" s="26">
        <v>1</v>
      </c>
      <c r="R2014" s="1209">
        <v>547</v>
      </c>
      <c r="S2014" s="1209">
        <f t="shared" si="104"/>
        <v>547</v>
      </c>
      <c r="T2014" s="26" t="s">
        <v>5448</v>
      </c>
      <c r="U2014" s="1871" t="s">
        <v>7654</v>
      </c>
      <c r="V2014" s="26" t="s">
        <v>7655</v>
      </c>
      <c r="W2014" s="2015" t="s">
        <v>7690</v>
      </c>
      <c r="X2014" s="18"/>
      <c r="Y2014" s="4"/>
      <c r="Z2014" s="4"/>
    </row>
    <row r="2015" spans="1:26" ht="14.1" hidden="1">
      <c r="A2015" s="20">
        <v>2022</v>
      </c>
      <c r="B2015" s="1063">
        <v>41792</v>
      </c>
      <c r="C2015" s="26" t="s">
        <v>7697</v>
      </c>
      <c r="D2015" s="11" t="s">
        <v>6</v>
      </c>
      <c r="E2015" s="26" t="s">
        <v>7498</v>
      </c>
      <c r="F2015" s="26" t="s">
        <v>2143</v>
      </c>
      <c r="G2015" s="26"/>
      <c r="H2015" s="26"/>
      <c r="I2015" s="26"/>
      <c r="J2015" s="26"/>
      <c r="K2015" s="26"/>
      <c r="L2015" s="26"/>
      <c r="M2015" s="26">
        <v>1</v>
      </c>
      <c r="N2015" s="26">
        <v>1</v>
      </c>
      <c r="O2015" s="26">
        <v>1</v>
      </c>
      <c r="P2015" s="26">
        <v>0</v>
      </c>
      <c r="Q2015" s="26">
        <v>1</v>
      </c>
      <c r="R2015" s="1209">
        <v>258</v>
      </c>
      <c r="S2015" s="1209">
        <f t="shared" si="104"/>
        <v>258</v>
      </c>
      <c r="T2015" s="26" t="s">
        <v>5448</v>
      </c>
      <c r="U2015" s="1871" t="s">
        <v>7654</v>
      </c>
      <c r="V2015" s="26" t="s">
        <v>7655</v>
      </c>
      <c r="W2015" s="2015" t="s">
        <v>7690</v>
      </c>
      <c r="X2015" s="18"/>
      <c r="Y2015" s="4"/>
      <c r="Z2015" s="4"/>
    </row>
    <row r="2016" spans="1:26" ht="14.1" hidden="1">
      <c r="A2016" s="20">
        <v>2023</v>
      </c>
      <c r="B2016" s="1063">
        <v>41793</v>
      </c>
      <c r="C2016" s="26" t="s">
        <v>7698</v>
      </c>
      <c r="D2016" s="11" t="s">
        <v>6</v>
      </c>
      <c r="E2016" s="26" t="s">
        <v>7498</v>
      </c>
      <c r="F2016" s="26" t="s">
        <v>2143</v>
      </c>
      <c r="G2016" s="26"/>
      <c r="H2016" s="26"/>
      <c r="I2016" s="26"/>
      <c r="J2016" s="26"/>
      <c r="K2016" s="26"/>
      <c r="L2016" s="26"/>
      <c r="M2016" s="26">
        <v>1</v>
      </c>
      <c r="N2016" s="26">
        <v>1</v>
      </c>
      <c r="O2016" s="26">
        <v>1</v>
      </c>
      <c r="P2016" s="26">
        <v>0</v>
      </c>
      <c r="Q2016" s="26">
        <v>1</v>
      </c>
      <c r="R2016" s="1209">
        <v>315</v>
      </c>
      <c r="S2016" s="1209">
        <f t="shared" si="104"/>
        <v>315</v>
      </c>
      <c r="T2016" s="26" t="s">
        <v>5448</v>
      </c>
      <c r="U2016" s="1871" t="s">
        <v>7654</v>
      </c>
      <c r="V2016" s="26" t="s">
        <v>7655</v>
      </c>
      <c r="W2016" s="2015" t="s">
        <v>7690</v>
      </c>
      <c r="X2016" s="18"/>
      <c r="Y2016" s="4"/>
      <c r="Z2016" s="4"/>
    </row>
    <row r="2017" spans="1:26" ht="12.95" hidden="1">
      <c r="A2017" s="20">
        <v>2024</v>
      </c>
      <c r="B2017" s="1063">
        <v>41794</v>
      </c>
      <c r="C2017" s="139" t="s">
        <v>7699</v>
      </c>
      <c r="D2017" s="233"/>
      <c r="E2017" s="139"/>
      <c r="F2017" s="139" t="s">
        <v>2143</v>
      </c>
      <c r="G2017" s="139"/>
      <c r="H2017" s="139"/>
      <c r="I2017" s="139"/>
      <c r="J2017" s="139"/>
      <c r="K2017" s="139"/>
      <c r="L2017" s="139"/>
      <c r="M2017" s="139">
        <v>1</v>
      </c>
      <c r="N2017" s="139">
        <v>1</v>
      </c>
      <c r="O2017" s="139">
        <v>1</v>
      </c>
      <c r="P2017" s="139">
        <v>0</v>
      </c>
      <c r="Q2017" s="139">
        <v>1</v>
      </c>
      <c r="R2017" s="1234">
        <f>5947+1500</f>
        <v>7447</v>
      </c>
      <c r="S2017" s="1234">
        <f t="shared" si="104"/>
        <v>7447</v>
      </c>
      <c r="T2017" s="139" t="s">
        <v>5448</v>
      </c>
      <c r="U2017" s="1879" t="s">
        <v>7654</v>
      </c>
      <c r="V2017" s="139" t="s">
        <v>7655</v>
      </c>
      <c r="W2017" s="2066" t="s">
        <v>7700</v>
      </c>
      <c r="X2017" s="56" t="s">
        <v>7701</v>
      </c>
      <c r="Y2017" s="57"/>
      <c r="Z2017" s="57"/>
    </row>
    <row r="2018" spans="1:26" ht="12.6" hidden="1">
      <c r="A2018" s="20">
        <v>2025</v>
      </c>
      <c r="B2018" s="1063">
        <v>41795</v>
      </c>
      <c r="C2018" s="139" t="s">
        <v>7702</v>
      </c>
      <c r="D2018" s="139"/>
      <c r="E2018" s="139"/>
      <c r="F2018" s="139" t="s">
        <v>2143</v>
      </c>
      <c r="G2018" s="139"/>
      <c r="H2018" s="139"/>
      <c r="I2018" s="139"/>
      <c r="J2018" s="139"/>
      <c r="K2018" s="139"/>
      <c r="L2018" s="139"/>
      <c r="M2018" s="139">
        <v>1</v>
      </c>
      <c r="N2018" s="139">
        <v>1</v>
      </c>
      <c r="O2018" s="139">
        <v>1</v>
      </c>
      <c r="P2018" s="139">
        <v>0</v>
      </c>
      <c r="Q2018" s="139">
        <v>1</v>
      </c>
      <c r="R2018" s="1234">
        <f>12069+1500</f>
        <v>13569</v>
      </c>
      <c r="S2018" s="1234">
        <f t="shared" si="104"/>
        <v>13569</v>
      </c>
      <c r="T2018" s="139" t="s">
        <v>5448</v>
      </c>
      <c r="U2018" s="1879" t="s">
        <v>7654</v>
      </c>
      <c r="V2018" s="139" t="s">
        <v>7655</v>
      </c>
      <c r="W2018" s="2066" t="s">
        <v>7700</v>
      </c>
      <c r="X2018" s="139" t="s">
        <v>7701</v>
      </c>
      <c r="Y2018" s="67"/>
      <c r="Z2018" s="67"/>
    </row>
    <row r="2019" spans="1:26" ht="14.1" hidden="1">
      <c r="A2019" s="20">
        <v>2026</v>
      </c>
      <c r="B2019" s="1063">
        <v>41796</v>
      </c>
      <c r="C2019" s="26" t="s">
        <v>7703</v>
      </c>
      <c r="D2019" s="11"/>
      <c r="E2019" s="26" t="s">
        <v>7498</v>
      </c>
      <c r="F2019" s="26" t="s">
        <v>7367</v>
      </c>
      <c r="G2019" s="26"/>
      <c r="H2019" s="237" t="s">
        <v>752</v>
      </c>
      <c r="I2019" s="26" t="s">
        <v>53</v>
      </c>
      <c r="J2019" s="663" t="s">
        <v>7704</v>
      </c>
      <c r="K2019" s="26"/>
      <c r="L2019" s="26"/>
      <c r="M2019" s="26">
        <v>1</v>
      </c>
      <c r="N2019" s="26">
        <v>1</v>
      </c>
      <c r="O2019" s="26">
        <v>1</v>
      </c>
      <c r="P2019" s="26">
        <v>0</v>
      </c>
      <c r="Q2019" s="26"/>
      <c r="R2019" s="1209">
        <v>81</v>
      </c>
      <c r="S2019" s="1209">
        <v>81</v>
      </c>
      <c r="T2019" s="26" t="s">
        <v>5705</v>
      </c>
      <c r="U2019" s="1859" t="s">
        <v>7372</v>
      </c>
      <c r="V2019" s="26" t="s">
        <v>7705</v>
      </c>
      <c r="W2019" s="2015"/>
      <c r="X2019" s="26"/>
      <c r="Y2019" s="71"/>
      <c r="Z2019" s="71"/>
    </row>
    <row r="2020" spans="1:26" ht="14.1" hidden="1">
      <c r="A2020" s="20">
        <v>2027</v>
      </c>
      <c r="B2020" s="1063">
        <v>41797</v>
      </c>
      <c r="C2020" s="26" t="s">
        <v>7706</v>
      </c>
      <c r="D2020" s="11"/>
      <c r="E2020" s="26" t="s">
        <v>7498</v>
      </c>
      <c r="F2020" s="26" t="s">
        <v>7367</v>
      </c>
      <c r="G2020" s="26"/>
      <c r="H2020" s="237" t="s">
        <v>752</v>
      </c>
      <c r="I2020" s="26" t="s">
        <v>53</v>
      </c>
      <c r="J2020" s="663" t="s">
        <v>7707</v>
      </c>
      <c r="K2020" s="26"/>
      <c r="L2020" s="26"/>
      <c r="M2020" s="26">
        <v>1</v>
      </c>
      <c r="N2020" s="26">
        <v>1</v>
      </c>
      <c r="O2020" s="26">
        <v>1</v>
      </c>
      <c r="P2020" s="26">
        <v>0</v>
      </c>
      <c r="Q2020" s="26"/>
      <c r="R2020" s="1209">
        <v>91</v>
      </c>
      <c r="S2020" s="1209">
        <v>91</v>
      </c>
      <c r="T2020" s="26" t="s">
        <v>5705</v>
      </c>
      <c r="U2020" s="1859" t="s">
        <v>7372</v>
      </c>
      <c r="V2020" s="26" t="s">
        <v>7705</v>
      </c>
      <c r="W2020" s="2015"/>
      <c r="X2020" s="18"/>
      <c r="Y2020" s="4"/>
      <c r="Z2020" s="4"/>
    </row>
    <row r="2021" spans="1:26" ht="14.1" hidden="1">
      <c r="A2021" s="20">
        <v>2028</v>
      </c>
      <c r="B2021" s="1063">
        <v>41798</v>
      </c>
      <c r="C2021" s="26" t="s">
        <v>7708</v>
      </c>
      <c r="D2021" s="11"/>
      <c r="E2021" s="26" t="s">
        <v>7498</v>
      </c>
      <c r="F2021" s="26" t="s">
        <v>7367</v>
      </c>
      <c r="G2021" s="26"/>
      <c r="H2021" s="237" t="s">
        <v>752</v>
      </c>
      <c r="I2021" s="26" t="s">
        <v>53</v>
      </c>
      <c r="J2021" s="663" t="s">
        <v>7709</v>
      </c>
      <c r="K2021" s="26"/>
      <c r="L2021" s="26"/>
      <c r="M2021" s="26">
        <v>1</v>
      </c>
      <c r="N2021" s="26">
        <v>1</v>
      </c>
      <c r="O2021" s="26">
        <v>1</v>
      </c>
      <c r="P2021" s="26">
        <v>0</v>
      </c>
      <c r="Q2021" s="26"/>
      <c r="R2021" s="1209">
        <v>98</v>
      </c>
      <c r="S2021" s="1209">
        <v>98</v>
      </c>
      <c r="T2021" s="26" t="s">
        <v>5705</v>
      </c>
      <c r="U2021" s="1859" t="s">
        <v>7372</v>
      </c>
      <c r="V2021" s="26" t="s">
        <v>7705</v>
      </c>
      <c r="W2021" s="2015"/>
      <c r="X2021" s="18"/>
      <c r="Y2021" s="4"/>
      <c r="Z2021" s="4"/>
    </row>
    <row r="2022" spans="1:26" ht="14.1" hidden="1">
      <c r="A2022" s="20">
        <v>2029</v>
      </c>
      <c r="B2022" s="1063">
        <v>41799</v>
      </c>
      <c r="C2022" s="26" t="s">
        <v>7710</v>
      </c>
      <c r="D2022" s="11"/>
      <c r="E2022" s="26" t="s">
        <v>7498</v>
      </c>
      <c r="F2022" s="26" t="s">
        <v>7367</v>
      </c>
      <c r="G2022" s="26"/>
      <c r="H2022" s="237" t="s">
        <v>3243</v>
      </c>
      <c r="I2022" s="26" t="s">
        <v>53</v>
      </c>
      <c r="J2022" s="663" t="s">
        <v>7711</v>
      </c>
      <c r="K2022" s="26"/>
      <c r="L2022" s="26"/>
      <c r="M2022" s="26">
        <v>4</v>
      </c>
      <c r="N2022" s="26">
        <v>1</v>
      </c>
      <c r="O2022" s="26">
        <v>4</v>
      </c>
      <c r="P2022" s="26">
        <v>0</v>
      </c>
      <c r="Q2022" s="26"/>
      <c r="R2022" s="1209">
        <v>39</v>
      </c>
      <c r="S2022" s="1209">
        <v>156</v>
      </c>
      <c r="T2022" s="26" t="s">
        <v>5705</v>
      </c>
      <c r="U2022" s="1859" t="s">
        <v>7372</v>
      </c>
      <c r="V2022" s="26" t="s">
        <v>7705</v>
      </c>
      <c r="W2022" s="2015"/>
      <c r="X2022" s="18"/>
      <c r="Y2022" s="4"/>
      <c r="Z2022" s="4"/>
    </row>
    <row r="2023" spans="1:26" ht="14.1" hidden="1">
      <c r="A2023" s="20">
        <v>2030</v>
      </c>
      <c r="B2023" s="1063">
        <v>41800</v>
      </c>
      <c r="C2023" s="26" t="s">
        <v>7712</v>
      </c>
      <c r="D2023" s="11"/>
      <c r="E2023" s="26" t="s">
        <v>7498</v>
      </c>
      <c r="F2023" s="26" t="s">
        <v>7367</v>
      </c>
      <c r="G2023" s="26"/>
      <c r="H2023" s="237" t="s">
        <v>184</v>
      </c>
      <c r="I2023" s="26" t="s">
        <v>53</v>
      </c>
      <c r="J2023" s="663" t="s">
        <v>7713</v>
      </c>
      <c r="K2023" s="26"/>
      <c r="L2023" s="26"/>
      <c r="M2023" s="26">
        <v>4</v>
      </c>
      <c r="N2023" s="26">
        <v>1</v>
      </c>
      <c r="O2023" s="26">
        <v>4</v>
      </c>
      <c r="P2023" s="26">
        <v>0</v>
      </c>
      <c r="Q2023" s="26"/>
      <c r="R2023" s="1209">
        <v>25</v>
      </c>
      <c r="S2023" s="1209">
        <v>100</v>
      </c>
      <c r="T2023" s="26" t="s">
        <v>5705</v>
      </c>
      <c r="U2023" s="1859" t="s">
        <v>7372</v>
      </c>
      <c r="V2023" s="26" t="s">
        <v>7705</v>
      </c>
      <c r="W2023" s="2015"/>
      <c r="X2023" s="18"/>
      <c r="Y2023" s="4"/>
      <c r="Z2023" s="4"/>
    </row>
    <row r="2024" spans="1:26" ht="14.1" hidden="1">
      <c r="A2024" s="20">
        <v>2031</v>
      </c>
      <c r="B2024" s="1063">
        <v>41801</v>
      </c>
      <c r="C2024" s="26" t="s">
        <v>7714</v>
      </c>
      <c r="D2024" s="11" t="s">
        <v>6</v>
      </c>
      <c r="E2024" s="26" t="s">
        <v>7498</v>
      </c>
      <c r="F2024" s="26" t="s">
        <v>404</v>
      </c>
      <c r="G2024" s="26" t="s">
        <v>7715</v>
      </c>
      <c r="H2024" s="237" t="s">
        <v>7716</v>
      </c>
      <c r="I2024" s="26" t="s">
        <v>1022</v>
      </c>
      <c r="J2024" s="26" t="s">
        <v>7717</v>
      </c>
      <c r="K2024" s="26" t="s">
        <v>7718</v>
      </c>
      <c r="L2024" s="26"/>
      <c r="M2024" s="26">
        <v>1</v>
      </c>
      <c r="N2024" s="26">
        <v>1</v>
      </c>
      <c r="O2024" s="26">
        <v>1</v>
      </c>
      <c r="P2024" s="26">
        <v>0</v>
      </c>
      <c r="Q2024" s="26">
        <v>0</v>
      </c>
      <c r="R2024" s="1209">
        <v>19800</v>
      </c>
      <c r="S2024" s="1209">
        <v>19800</v>
      </c>
      <c r="T2024" s="26" t="s">
        <v>5448</v>
      </c>
      <c r="U2024" s="1859" t="s">
        <v>1</v>
      </c>
      <c r="V2024" s="26" t="s">
        <v>7655</v>
      </c>
      <c r="W2024" s="2065" t="s">
        <v>7719</v>
      </c>
      <c r="X2024" s="18"/>
      <c r="Y2024" s="4"/>
      <c r="Z2024" s="4"/>
    </row>
    <row r="2025" spans="1:26" ht="14.1" hidden="1">
      <c r="A2025" s="20">
        <v>2032</v>
      </c>
      <c r="B2025" s="1063">
        <v>41802</v>
      </c>
      <c r="C2025" s="26" t="s">
        <v>7720</v>
      </c>
      <c r="D2025" s="11" t="s">
        <v>6</v>
      </c>
      <c r="E2025" s="26" t="s">
        <v>4926</v>
      </c>
      <c r="F2025" s="26" t="s">
        <v>7046</v>
      </c>
      <c r="G2025" s="26" t="s">
        <v>7720</v>
      </c>
      <c r="H2025" s="237" t="s">
        <v>7721</v>
      </c>
      <c r="I2025" s="26" t="s">
        <v>6680</v>
      </c>
      <c r="J2025" s="26" t="s">
        <v>7722</v>
      </c>
      <c r="K2025" s="26" t="s">
        <v>7723</v>
      </c>
      <c r="L2025" s="26"/>
      <c r="M2025" s="26">
        <v>10</v>
      </c>
      <c r="N2025" s="26">
        <v>10</v>
      </c>
      <c r="O2025" s="26">
        <v>10</v>
      </c>
      <c r="P2025" s="26">
        <v>0</v>
      </c>
      <c r="Q2025" s="26">
        <v>0</v>
      </c>
      <c r="R2025" s="1209">
        <v>350</v>
      </c>
      <c r="S2025" s="1209">
        <f t="shared" ref="S2025:S2035" si="105">R2025*O2025</f>
        <v>3500</v>
      </c>
      <c r="T2025" s="26" t="s">
        <v>5448</v>
      </c>
      <c r="U2025" s="1859" t="s">
        <v>7724</v>
      </c>
      <c r="V2025" s="26" t="s">
        <v>3140</v>
      </c>
      <c r="W2025" s="2065" t="s">
        <v>7725</v>
      </c>
      <c r="X2025" s="18"/>
      <c r="Y2025" s="4"/>
      <c r="Z2025" s="4"/>
    </row>
    <row r="2026" spans="1:26" ht="14.1" hidden="1">
      <c r="A2026" s="20">
        <v>2033</v>
      </c>
      <c r="B2026" s="1063">
        <v>41803</v>
      </c>
      <c r="C2026" s="26" t="s">
        <v>7726</v>
      </c>
      <c r="D2026" s="11" t="s">
        <v>6</v>
      </c>
      <c r="E2026" s="26" t="s">
        <v>4926</v>
      </c>
      <c r="F2026" s="26" t="s">
        <v>7046</v>
      </c>
      <c r="G2026" s="26" t="s">
        <v>7727</v>
      </c>
      <c r="H2026" s="237" t="s">
        <v>230</v>
      </c>
      <c r="I2026" s="26" t="s">
        <v>6680</v>
      </c>
      <c r="J2026" s="26" t="s">
        <v>7728</v>
      </c>
      <c r="K2026" s="26" t="s">
        <v>7729</v>
      </c>
      <c r="L2026" s="26"/>
      <c r="M2026" s="26">
        <v>1</v>
      </c>
      <c r="N2026" s="26">
        <v>1</v>
      </c>
      <c r="O2026" s="26">
        <v>1</v>
      </c>
      <c r="P2026" s="26">
        <v>0</v>
      </c>
      <c r="Q2026" s="26">
        <v>0</v>
      </c>
      <c r="R2026" s="1209">
        <v>5000</v>
      </c>
      <c r="S2026" s="1209">
        <f t="shared" si="105"/>
        <v>5000</v>
      </c>
      <c r="T2026" s="26" t="s">
        <v>5448</v>
      </c>
      <c r="U2026" s="1859" t="s">
        <v>7724</v>
      </c>
      <c r="V2026" s="26" t="s">
        <v>3140</v>
      </c>
      <c r="W2026" s="2065" t="s">
        <v>7730</v>
      </c>
      <c r="X2026" s="18"/>
      <c r="Y2026" s="4"/>
      <c r="Z2026" s="4"/>
    </row>
    <row r="2027" spans="1:26" ht="14.1" hidden="1">
      <c r="A2027" s="20">
        <v>2034</v>
      </c>
      <c r="B2027" s="1063">
        <v>41804</v>
      </c>
      <c r="C2027" s="26" t="s">
        <v>7731</v>
      </c>
      <c r="D2027" s="11" t="s">
        <v>6</v>
      </c>
      <c r="E2027" s="26" t="s">
        <v>4926</v>
      </c>
      <c r="F2027" s="26" t="s">
        <v>7046</v>
      </c>
      <c r="G2027" s="26" t="s">
        <v>7731</v>
      </c>
      <c r="H2027" s="237" t="s">
        <v>7732</v>
      </c>
      <c r="I2027" s="26" t="s">
        <v>574</v>
      </c>
      <c r="J2027" s="26" t="s">
        <v>7733</v>
      </c>
      <c r="K2027" s="26" t="s">
        <v>7734</v>
      </c>
      <c r="L2027" s="26"/>
      <c r="M2027" s="26">
        <v>3</v>
      </c>
      <c r="N2027" s="26">
        <v>2</v>
      </c>
      <c r="O2027" s="26">
        <v>3</v>
      </c>
      <c r="P2027" s="26">
        <v>0</v>
      </c>
      <c r="Q2027" s="26">
        <v>1</v>
      </c>
      <c r="R2027" s="1209">
        <v>3001</v>
      </c>
      <c r="S2027" s="1209">
        <f t="shared" si="105"/>
        <v>9003</v>
      </c>
      <c r="T2027" s="26" t="s">
        <v>5448</v>
      </c>
      <c r="U2027" s="1859" t="s">
        <v>7724</v>
      </c>
      <c r="V2027" s="26" t="s">
        <v>3140</v>
      </c>
      <c r="W2027" s="2065" t="s">
        <v>7735</v>
      </c>
      <c r="X2027" s="18"/>
      <c r="Y2027" s="4"/>
      <c r="Z2027" s="4"/>
    </row>
    <row r="2028" spans="1:26" ht="14.1" hidden="1">
      <c r="A2028" s="20">
        <v>2035</v>
      </c>
      <c r="B2028" s="1063">
        <v>41805</v>
      </c>
      <c r="C2028" s="26" t="s">
        <v>7736</v>
      </c>
      <c r="D2028" s="10" t="s">
        <v>7737</v>
      </c>
      <c r="E2028" s="26" t="s">
        <v>4926</v>
      </c>
      <c r="F2028" s="26" t="s">
        <v>7046</v>
      </c>
      <c r="G2028" s="26" t="s">
        <v>7736</v>
      </c>
      <c r="H2028" s="237" t="s">
        <v>2920</v>
      </c>
      <c r="I2028" s="26" t="s">
        <v>574</v>
      </c>
      <c r="J2028" s="26" t="s">
        <v>7738</v>
      </c>
      <c r="K2028" s="26">
        <v>939</v>
      </c>
      <c r="L2028" s="26"/>
      <c r="M2028" s="26">
        <v>3</v>
      </c>
      <c r="N2028" s="26">
        <v>2</v>
      </c>
      <c r="O2028" s="26">
        <v>3</v>
      </c>
      <c r="P2028" s="26">
        <v>0</v>
      </c>
      <c r="Q2028" s="26">
        <v>1</v>
      </c>
      <c r="R2028" s="1209">
        <v>697</v>
      </c>
      <c r="S2028" s="1209">
        <f t="shared" si="105"/>
        <v>2091</v>
      </c>
      <c r="T2028" s="26" t="s">
        <v>5448</v>
      </c>
      <c r="U2028" s="1859" t="s">
        <v>7724</v>
      </c>
      <c r="V2028" s="26" t="s">
        <v>3140</v>
      </c>
      <c r="W2028" s="2065" t="s">
        <v>7739</v>
      </c>
      <c r="X2028" s="18" t="s">
        <v>7740</v>
      </c>
      <c r="Y2028" s="4"/>
      <c r="Z2028" s="4"/>
    </row>
    <row r="2029" spans="1:26" ht="14.1" hidden="1">
      <c r="A2029" s="20">
        <v>2036</v>
      </c>
      <c r="B2029" s="1063">
        <v>41806</v>
      </c>
      <c r="C2029" s="26" t="s">
        <v>7741</v>
      </c>
      <c r="D2029" s="11" t="s">
        <v>6</v>
      </c>
      <c r="E2029" s="26" t="s">
        <v>4926</v>
      </c>
      <c r="F2029" s="26" t="s">
        <v>7046</v>
      </c>
      <c r="G2029" s="26" t="s">
        <v>7741</v>
      </c>
      <c r="H2029" s="237" t="s">
        <v>1143</v>
      </c>
      <c r="I2029" s="26" t="s">
        <v>574</v>
      </c>
      <c r="J2029" s="26" t="s">
        <v>7742</v>
      </c>
      <c r="K2029" s="26">
        <v>887328502</v>
      </c>
      <c r="L2029" s="26"/>
      <c r="M2029" s="26">
        <v>3</v>
      </c>
      <c r="N2029" s="26">
        <v>2</v>
      </c>
      <c r="O2029" s="26">
        <v>3</v>
      </c>
      <c r="P2029" s="26">
        <v>0</v>
      </c>
      <c r="Q2029" s="26">
        <v>1</v>
      </c>
      <c r="R2029" s="1209">
        <v>309</v>
      </c>
      <c r="S2029" s="1209">
        <f t="shared" si="105"/>
        <v>927</v>
      </c>
      <c r="T2029" s="26" t="s">
        <v>5448</v>
      </c>
      <c r="U2029" s="1859" t="s">
        <v>7724</v>
      </c>
      <c r="V2029" s="26" t="s">
        <v>3140</v>
      </c>
      <c r="W2029" s="2065" t="s">
        <v>7743</v>
      </c>
      <c r="X2029" s="18"/>
      <c r="Y2029" s="4"/>
      <c r="Z2029" s="4"/>
    </row>
    <row r="2030" spans="1:26" ht="14.1" hidden="1">
      <c r="A2030" s="20">
        <v>2037</v>
      </c>
      <c r="B2030" s="1063">
        <v>41807</v>
      </c>
      <c r="C2030" s="26" t="s">
        <v>7744</v>
      </c>
      <c r="D2030" s="11" t="s">
        <v>6</v>
      </c>
      <c r="E2030" s="26" t="s">
        <v>4926</v>
      </c>
      <c r="F2030" s="26" t="s">
        <v>7046</v>
      </c>
      <c r="G2030" s="26" t="s">
        <v>7745</v>
      </c>
      <c r="H2030" s="237" t="s">
        <v>7746</v>
      </c>
      <c r="I2030" s="26" t="s">
        <v>6680</v>
      </c>
      <c r="J2030" s="26" t="s">
        <v>7747</v>
      </c>
      <c r="K2030" s="26" t="s">
        <v>7748</v>
      </c>
      <c r="L2030" s="26"/>
      <c r="M2030" s="26">
        <v>1</v>
      </c>
      <c r="N2030" s="26">
        <v>1</v>
      </c>
      <c r="O2030" s="26">
        <v>1</v>
      </c>
      <c r="P2030" s="26">
        <v>0</v>
      </c>
      <c r="Q2030" s="26">
        <v>0</v>
      </c>
      <c r="R2030" s="1209">
        <v>120</v>
      </c>
      <c r="S2030" s="1209">
        <f t="shared" si="105"/>
        <v>120</v>
      </c>
      <c r="T2030" s="26" t="s">
        <v>5448</v>
      </c>
      <c r="U2030" s="1859" t="s">
        <v>7724</v>
      </c>
      <c r="V2030" s="26" t="s">
        <v>3140</v>
      </c>
      <c r="W2030" s="2065" t="s">
        <v>7749</v>
      </c>
      <c r="X2030" s="18"/>
      <c r="Y2030" s="4"/>
      <c r="Z2030" s="4"/>
    </row>
    <row r="2031" spans="1:26" ht="14.1" hidden="1">
      <c r="A2031" s="20">
        <v>2038</v>
      </c>
      <c r="B2031" s="1063">
        <v>41808</v>
      </c>
      <c r="C2031" s="26" t="s">
        <v>7750</v>
      </c>
      <c r="D2031" s="11" t="s">
        <v>6</v>
      </c>
      <c r="E2031" s="26" t="s">
        <v>4926</v>
      </c>
      <c r="F2031" s="26" t="s">
        <v>7046</v>
      </c>
      <c r="G2031" s="26" t="s">
        <v>7751</v>
      </c>
      <c r="H2031" s="237" t="s">
        <v>7746</v>
      </c>
      <c r="I2031" s="26" t="s">
        <v>6680</v>
      </c>
      <c r="J2031" s="26" t="s">
        <v>7752</v>
      </c>
      <c r="K2031" s="26" t="s">
        <v>7753</v>
      </c>
      <c r="L2031" s="26"/>
      <c r="M2031" s="26">
        <v>1</v>
      </c>
      <c r="N2031" s="26">
        <v>1</v>
      </c>
      <c r="O2031" s="26">
        <v>1</v>
      </c>
      <c r="P2031" s="26">
        <v>0</v>
      </c>
      <c r="Q2031" s="26">
        <v>0</v>
      </c>
      <c r="R2031" s="1209">
        <v>430</v>
      </c>
      <c r="S2031" s="1209">
        <f t="shared" si="105"/>
        <v>430</v>
      </c>
      <c r="T2031" s="26" t="s">
        <v>5448</v>
      </c>
      <c r="U2031" s="1859" t="s">
        <v>7724</v>
      </c>
      <c r="V2031" s="26" t="s">
        <v>3140</v>
      </c>
      <c r="W2031" s="2065" t="s">
        <v>7754</v>
      </c>
      <c r="X2031" s="18"/>
      <c r="Y2031" s="4"/>
      <c r="Z2031" s="4"/>
    </row>
    <row r="2032" spans="1:26" ht="14.1" hidden="1">
      <c r="A2032" s="20">
        <v>2039</v>
      </c>
      <c r="B2032" s="1063">
        <v>41809</v>
      </c>
      <c r="C2032" s="26" t="s">
        <v>7755</v>
      </c>
      <c r="D2032" s="11" t="s">
        <v>6</v>
      </c>
      <c r="E2032" s="26" t="s">
        <v>4926</v>
      </c>
      <c r="F2032" s="26" t="s">
        <v>7046</v>
      </c>
      <c r="G2032" s="26" t="s">
        <v>7756</v>
      </c>
      <c r="H2032" s="237" t="s">
        <v>7746</v>
      </c>
      <c r="I2032" s="26" t="s">
        <v>6680</v>
      </c>
      <c r="J2032" s="26" t="s">
        <v>7757</v>
      </c>
      <c r="K2032" s="26" t="s">
        <v>7758</v>
      </c>
      <c r="L2032" s="26"/>
      <c r="M2032" s="26">
        <v>2</v>
      </c>
      <c r="N2032" s="26">
        <v>2</v>
      </c>
      <c r="O2032" s="26">
        <v>2</v>
      </c>
      <c r="P2032" s="26">
        <v>0</v>
      </c>
      <c r="Q2032" s="26">
        <v>0</v>
      </c>
      <c r="R2032" s="1209">
        <v>200</v>
      </c>
      <c r="S2032" s="1209">
        <f t="shared" si="105"/>
        <v>400</v>
      </c>
      <c r="T2032" s="26" t="s">
        <v>5448</v>
      </c>
      <c r="U2032" s="1859" t="s">
        <v>7724</v>
      </c>
      <c r="V2032" s="26" t="s">
        <v>3140</v>
      </c>
      <c r="W2032" s="2065" t="s">
        <v>7759</v>
      </c>
      <c r="X2032" s="18"/>
      <c r="Y2032" s="4"/>
      <c r="Z2032" s="4"/>
    </row>
    <row r="2033" spans="1:26" ht="14.1" hidden="1">
      <c r="A2033" s="20">
        <v>2040</v>
      </c>
      <c r="B2033" s="1063">
        <v>41810</v>
      </c>
      <c r="C2033" s="26" t="s">
        <v>7760</v>
      </c>
      <c r="D2033" s="11" t="s">
        <v>6</v>
      </c>
      <c r="E2033" s="26" t="s">
        <v>4926</v>
      </c>
      <c r="F2033" s="26" t="s">
        <v>7046</v>
      </c>
      <c r="G2033" s="26" t="s">
        <v>273</v>
      </c>
      <c r="H2033" s="237" t="s">
        <v>7761</v>
      </c>
      <c r="I2033" s="26" t="s">
        <v>6680</v>
      </c>
      <c r="J2033" s="26" t="s">
        <v>7762</v>
      </c>
      <c r="K2033" s="26" t="s">
        <v>7763</v>
      </c>
      <c r="L2033" s="26"/>
      <c r="M2033" s="26">
        <v>2</v>
      </c>
      <c r="N2033" s="26">
        <v>2</v>
      </c>
      <c r="O2033" s="26">
        <v>2</v>
      </c>
      <c r="P2033" s="26">
        <v>0</v>
      </c>
      <c r="Q2033" s="26">
        <v>0</v>
      </c>
      <c r="R2033" s="1209">
        <v>1250</v>
      </c>
      <c r="S2033" s="1209">
        <f t="shared" si="105"/>
        <v>2500</v>
      </c>
      <c r="T2033" s="26" t="s">
        <v>5448</v>
      </c>
      <c r="U2033" s="1859" t="s">
        <v>7724</v>
      </c>
      <c r="V2033" s="26" t="s">
        <v>3140</v>
      </c>
      <c r="W2033" s="2065" t="s">
        <v>7764</v>
      </c>
      <c r="X2033" s="18"/>
      <c r="Y2033" s="4"/>
      <c r="Z2033" s="4"/>
    </row>
    <row r="2034" spans="1:26" ht="24.95" hidden="1">
      <c r="A2034" s="20">
        <v>2041</v>
      </c>
      <c r="B2034" s="1063">
        <v>41811</v>
      </c>
      <c r="C2034" s="26" t="s">
        <v>152</v>
      </c>
      <c r="D2034" s="10"/>
      <c r="E2034" s="26" t="s">
        <v>4926</v>
      </c>
      <c r="F2034" s="26" t="s">
        <v>2652</v>
      </c>
      <c r="G2034" s="26" t="s">
        <v>7765</v>
      </c>
      <c r="H2034" s="237" t="s">
        <v>7766</v>
      </c>
      <c r="I2034" s="26" t="s">
        <v>4634</v>
      </c>
      <c r="J2034" s="26" t="s">
        <v>7767</v>
      </c>
      <c r="K2034" s="26" t="s">
        <v>7768</v>
      </c>
      <c r="L2034" s="26" t="s">
        <v>7769</v>
      </c>
      <c r="M2034" s="26">
        <v>4</v>
      </c>
      <c r="N2034" s="26">
        <v>1</v>
      </c>
      <c r="O2034" s="26">
        <v>19</v>
      </c>
      <c r="P2034" s="26">
        <v>0</v>
      </c>
      <c r="Q2034" s="26">
        <f t="shared" ref="Q2034:Q2035" si="106">O2034-M2034</f>
        <v>15</v>
      </c>
      <c r="R2034" s="1209">
        <v>11.6</v>
      </c>
      <c r="S2034" s="1209">
        <f t="shared" si="105"/>
        <v>220.4</v>
      </c>
      <c r="T2034" s="26" t="s">
        <v>5448</v>
      </c>
      <c r="U2034" s="1859" t="s">
        <v>3646</v>
      </c>
      <c r="V2034" s="26" t="s">
        <v>3140</v>
      </c>
      <c r="W2034" s="2065" t="s">
        <v>7770</v>
      </c>
      <c r="X2034" s="18"/>
      <c r="Y2034" s="4"/>
      <c r="Z2034" s="4"/>
    </row>
    <row r="2035" spans="1:26" ht="24.95" hidden="1">
      <c r="A2035" s="20">
        <v>2042</v>
      </c>
      <c r="B2035" s="1063">
        <v>41812</v>
      </c>
      <c r="C2035" s="26" t="s">
        <v>7771</v>
      </c>
      <c r="D2035" s="10"/>
      <c r="E2035" s="26" t="s">
        <v>4926</v>
      </c>
      <c r="F2035" s="26" t="s">
        <v>2652</v>
      </c>
      <c r="G2035" s="26" t="s">
        <v>7772</v>
      </c>
      <c r="H2035" s="237" t="s">
        <v>7773</v>
      </c>
      <c r="I2035" s="26" t="s">
        <v>4634</v>
      </c>
      <c r="J2035" s="26" t="s">
        <v>7774</v>
      </c>
      <c r="K2035" s="26" t="s">
        <v>7775</v>
      </c>
      <c r="L2035" s="26" t="s">
        <v>7769</v>
      </c>
      <c r="M2035" s="26">
        <v>4</v>
      </c>
      <c r="N2035" s="26">
        <v>1</v>
      </c>
      <c r="O2035" s="26">
        <v>19</v>
      </c>
      <c r="P2035" s="26">
        <v>0</v>
      </c>
      <c r="Q2035" s="26">
        <f t="shared" si="106"/>
        <v>15</v>
      </c>
      <c r="R2035" s="1209">
        <v>310.89999999999998</v>
      </c>
      <c r="S2035" s="1209">
        <f t="shared" si="105"/>
        <v>5907.0999999999995</v>
      </c>
      <c r="T2035" s="26" t="s">
        <v>5448</v>
      </c>
      <c r="U2035" s="1859" t="s">
        <v>3646</v>
      </c>
      <c r="V2035" s="26" t="s">
        <v>3140</v>
      </c>
      <c r="W2035" s="2065" t="s">
        <v>7776</v>
      </c>
      <c r="X2035" s="18"/>
      <c r="Y2035" s="4"/>
      <c r="Z2035" s="4"/>
    </row>
    <row r="2036" spans="1:26" ht="14.1" hidden="1">
      <c r="A2036" s="20">
        <v>2043</v>
      </c>
      <c r="B2036" s="1063">
        <v>41813</v>
      </c>
      <c r="C2036" s="26" t="s">
        <v>7777</v>
      </c>
      <c r="D2036" s="11" t="s">
        <v>6</v>
      </c>
      <c r="E2036" s="26" t="s">
        <v>62</v>
      </c>
      <c r="F2036" s="26" t="s">
        <v>2143</v>
      </c>
      <c r="G2036" s="26" t="s">
        <v>7778</v>
      </c>
      <c r="H2036" s="237" t="s">
        <v>4066</v>
      </c>
      <c r="I2036" s="26" t="s">
        <v>4066</v>
      </c>
      <c r="J2036" s="26"/>
      <c r="K2036" s="26"/>
      <c r="L2036" s="26"/>
      <c r="M2036" s="26">
        <v>1</v>
      </c>
      <c r="N2036" s="26">
        <v>1</v>
      </c>
      <c r="O2036" s="26">
        <v>1</v>
      </c>
      <c r="P2036" s="26">
        <v>0</v>
      </c>
      <c r="Q2036" s="26">
        <v>1</v>
      </c>
      <c r="R2036" s="1209">
        <v>300</v>
      </c>
      <c r="S2036" s="1209">
        <v>300</v>
      </c>
      <c r="T2036" s="26" t="s">
        <v>7779</v>
      </c>
      <c r="U2036" s="1859" t="s">
        <v>118</v>
      </c>
      <c r="V2036" s="26" t="s">
        <v>7780</v>
      </c>
      <c r="W2036" s="2079"/>
      <c r="X2036" s="18"/>
      <c r="Y2036" s="4"/>
      <c r="Z2036" s="4"/>
    </row>
    <row r="2037" spans="1:26" ht="14.1" hidden="1">
      <c r="A2037" s="20">
        <v>2044</v>
      </c>
      <c r="B2037" s="1063">
        <v>41814</v>
      </c>
      <c r="C2037" s="26" t="s">
        <v>7781</v>
      </c>
      <c r="D2037" s="11" t="s">
        <v>6</v>
      </c>
      <c r="E2037" s="26" t="s">
        <v>4926</v>
      </c>
      <c r="F2037" s="26" t="s">
        <v>7782</v>
      </c>
      <c r="G2037" s="26" t="s">
        <v>7783</v>
      </c>
      <c r="H2037" s="237" t="s">
        <v>2914</v>
      </c>
      <c r="I2037" s="26" t="s">
        <v>4634</v>
      </c>
      <c r="J2037" s="26" t="s">
        <v>7784</v>
      </c>
      <c r="K2037" s="26" t="s">
        <v>7785</v>
      </c>
      <c r="L2037" s="26" t="s">
        <v>2063</v>
      </c>
      <c r="M2037" s="26">
        <v>1</v>
      </c>
      <c r="N2037" s="26">
        <v>1</v>
      </c>
      <c r="O2037" s="26">
        <v>1</v>
      </c>
      <c r="P2037" s="26">
        <v>0</v>
      </c>
      <c r="Q2037" s="26">
        <v>0</v>
      </c>
      <c r="R2037" s="1209">
        <v>3647</v>
      </c>
      <c r="S2037" s="1209">
        <f t="shared" ref="S2037:S2038" si="107">R2037*O2037</f>
        <v>3647</v>
      </c>
      <c r="T2037" s="26" t="s">
        <v>5448</v>
      </c>
      <c r="U2037" s="1859" t="s">
        <v>3646</v>
      </c>
      <c r="V2037" s="26" t="s">
        <v>3140</v>
      </c>
      <c r="W2037" s="2065" t="s">
        <v>7786</v>
      </c>
      <c r="X2037" s="18" t="s">
        <v>7787</v>
      </c>
      <c r="Y2037" s="4"/>
      <c r="Z2037" s="4"/>
    </row>
    <row r="2038" spans="1:26" ht="14.1" hidden="1">
      <c r="A2038" s="20">
        <v>2045</v>
      </c>
      <c r="B2038" s="1063">
        <v>41815</v>
      </c>
      <c r="C2038" s="26" t="s">
        <v>7788</v>
      </c>
      <c r="D2038" s="11" t="s">
        <v>6</v>
      </c>
      <c r="E2038" s="26" t="s">
        <v>4926</v>
      </c>
      <c r="F2038" s="26" t="s">
        <v>7782</v>
      </c>
      <c r="G2038" s="26" t="s">
        <v>7789</v>
      </c>
      <c r="H2038" s="237" t="s">
        <v>6989</v>
      </c>
      <c r="I2038" s="26" t="s">
        <v>4634</v>
      </c>
      <c r="J2038" s="26" t="s">
        <v>7790</v>
      </c>
      <c r="K2038" s="26">
        <v>1424238</v>
      </c>
      <c r="L2038" s="26" t="s">
        <v>2063</v>
      </c>
      <c r="M2038" s="26">
        <v>1</v>
      </c>
      <c r="N2038" s="26">
        <v>1</v>
      </c>
      <c r="O2038" s="26">
        <v>1</v>
      </c>
      <c r="P2038" s="26">
        <v>0</v>
      </c>
      <c r="Q2038" s="26">
        <v>0</v>
      </c>
      <c r="R2038" s="1209">
        <v>3388</v>
      </c>
      <c r="S2038" s="1209">
        <f t="shared" si="107"/>
        <v>3388</v>
      </c>
      <c r="T2038" s="26" t="s">
        <v>5448</v>
      </c>
      <c r="U2038" s="1859" t="s">
        <v>3646</v>
      </c>
      <c r="V2038" s="26" t="s">
        <v>3140</v>
      </c>
      <c r="W2038" s="2065" t="s">
        <v>7791</v>
      </c>
      <c r="X2038" s="18" t="s">
        <v>7787</v>
      </c>
      <c r="Y2038" s="4"/>
      <c r="Z2038" s="4"/>
    </row>
    <row r="2039" spans="1:26" ht="14.1" hidden="1">
      <c r="A2039" s="20">
        <v>2046</v>
      </c>
      <c r="B2039" s="1063">
        <v>41816</v>
      </c>
      <c r="C2039" s="26" t="s">
        <v>7792</v>
      </c>
      <c r="D2039" s="11" t="s">
        <v>6</v>
      </c>
      <c r="E2039" s="26" t="s">
        <v>4926</v>
      </c>
      <c r="F2039" s="26" t="s">
        <v>7782</v>
      </c>
      <c r="G2039" s="26" t="s">
        <v>7793</v>
      </c>
      <c r="H2039" s="237" t="s">
        <v>1143</v>
      </c>
      <c r="I2039" s="26" t="s">
        <v>4634</v>
      </c>
      <c r="J2039" s="26" t="s">
        <v>7794</v>
      </c>
      <c r="K2039" s="26" t="s">
        <v>7795</v>
      </c>
      <c r="L2039" s="26" t="s">
        <v>7796</v>
      </c>
      <c r="M2039" s="26">
        <v>1</v>
      </c>
      <c r="N2039" s="26">
        <v>1</v>
      </c>
      <c r="O2039" s="26">
        <v>1</v>
      </c>
      <c r="P2039" s="26">
        <v>0</v>
      </c>
      <c r="Q2039" s="26">
        <v>0</v>
      </c>
      <c r="R2039" s="1209">
        <v>15812</v>
      </c>
      <c r="S2039" s="1209">
        <v>15812</v>
      </c>
      <c r="T2039" s="26" t="s">
        <v>5448</v>
      </c>
      <c r="U2039" s="1859" t="s">
        <v>3646</v>
      </c>
      <c r="V2039" s="26" t="s">
        <v>3140</v>
      </c>
      <c r="W2039" s="2065" t="s">
        <v>7797</v>
      </c>
      <c r="X2039" s="18" t="s">
        <v>7798</v>
      </c>
      <c r="Y2039" s="4"/>
      <c r="Z2039" s="4"/>
    </row>
    <row r="2040" spans="1:26" ht="14.1" hidden="1">
      <c r="A2040" s="20">
        <v>2047</v>
      </c>
      <c r="B2040" s="1063">
        <v>41817</v>
      </c>
      <c r="C2040" s="26" t="s">
        <v>7799</v>
      </c>
      <c r="D2040" s="11"/>
      <c r="E2040" s="26" t="s">
        <v>4926</v>
      </c>
      <c r="F2040" s="26" t="s">
        <v>404</v>
      </c>
      <c r="G2040" s="26" t="s">
        <v>7800</v>
      </c>
      <c r="H2040" s="237" t="s">
        <v>460</v>
      </c>
      <c r="I2040" s="26" t="s">
        <v>4634</v>
      </c>
      <c r="J2040" s="26" t="s">
        <v>7801</v>
      </c>
      <c r="K2040" s="26" t="s">
        <v>7802</v>
      </c>
      <c r="L2040" s="26" t="s">
        <v>1</v>
      </c>
      <c r="M2040" s="26">
        <v>1</v>
      </c>
      <c r="N2040" s="26">
        <v>1</v>
      </c>
      <c r="O2040" s="26">
        <v>1</v>
      </c>
      <c r="P2040" s="26">
        <v>0</v>
      </c>
      <c r="Q2040" s="26">
        <v>0</v>
      </c>
      <c r="R2040" s="1209">
        <v>6687</v>
      </c>
      <c r="S2040" s="1209">
        <v>6687</v>
      </c>
      <c r="T2040" s="26" t="s">
        <v>5448</v>
      </c>
      <c r="U2040" s="1859" t="s">
        <v>448</v>
      </c>
      <c r="V2040" s="26" t="s">
        <v>3140</v>
      </c>
      <c r="W2040" s="2065" t="s">
        <v>7803</v>
      </c>
      <c r="X2040" s="18"/>
      <c r="Y2040" s="4"/>
      <c r="Z2040" s="4"/>
    </row>
    <row r="2041" spans="1:26" ht="14.1" hidden="1">
      <c r="A2041" s="20">
        <v>2048</v>
      </c>
      <c r="B2041" s="1063">
        <v>41818</v>
      </c>
      <c r="C2041" s="26" t="s">
        <v>7804</v>
      </c>
      <c r="D2041" s="11"/>
      <c r="E2041" s="26" t="s">
        <v>4926</v>
      </c>
      <c r="F2041" s="26" t="s">
        <v>404</v>
      </c>
      <c r="G2041" s="26" t="s">
        <v>7805</v>
      </c>
      <c r="H2041" s="237" t="s">
        <v>7806</v>
      </c>
      <c r="I2041" s="26" t="s">
        <v>4634</v>
      </c>
      <c r="J2041" s="26" t="s">
        <v>7807</v>
      </c>
      <c r="K2041" s="26" t="s">
        <v>7808</v>
      </c>
      <c r="L2041" s="26" t="s">
        <v>7809</v>
      </c>
      <c r="M2041" s="26">
        <v>1</v>
      </c>
      <c r="N2041" s="26">
        <v>1</v>
      </c>
      <c r="O2041" s="26">
        <v>5</v>
      </c>
      <c r="P2041" s="26">
        <v>0</v>
      </c>
      <c r="Q2041" s="26">
        <v>4</v>
      </c>
      <c r="R2041" s="1209">
        <v>12</v>
      </c>
      <c r="S2041" s="1209">
        <v>60</v>
      </c>
      <c r="T2041" s="26" t="s">
        <v>5448</v>
      </c>
      <c r="U2041" s="1859" t="s">
        <v>448</v>
      </c>
      <c r="V2041" s="26" t="s">
        <v>3140</v>
      </c>
      <c r="W2041" s="2065" t="s">
        <v>7810</v>
      </c>
      <c r="X2041" s="18"/>
      <c r="Y2041" s="4"/>
      <c r="Z2041" s="4"/>
    </row>
    <row r="2042" spans="1:26" ht="14.1" hidden="1">
      <c r="A2042" s="20">
        <v>2049</v>
      </c>
      <c r="B2042" s="1063">
        <v>41819</v>
      </c>
      <c r="C2042" s="26" t="s">
        <v>7811</v>
      </c>
      <c r="D2042" s="11"/>
      <c r="E2042" s="26" t="s">
        <v>4926</v>
      </c>
      <c r="F2042" s="26" t="s">
        <v>404</v>
      </c>
      <c r="G2042" s="26" t="s">
        <v>7812</v>
      </c>
      <c r="H2042" s="237" t="s">
        <v>1400</v>
      </c>
      <c r="I2042" s="26" t="s">
        <v>4634</v>
      </c>
      <c r="J2042" s="234" t="s">
        <v>7813</v>
      </c>
      <c r="K2042" s="26" t="s">
        <v>7814</v>
      </c>
      <c r="L2042" s="26" t="s">
        <v>7809</v>
      </c>
      <c r="M2042" s="26">
        <v>1</v>
      </c>
      <c r="N2042" s="26">
        <v>1</v>
      </c>
      <c r="O2042" s="26">
        <v>5</v>
      </c>
      <c r="P2042" s="26">
        <v>0</v>
      </c>
      <c r="Q2042" s="26">
        <v>4</v>
      </c>
      <c r="R2042" s="1209">
        <v>12</v>
      </c>
      <c r="S2042" s="1209">
        <v>60</v>
      </c>
      <c r="T2042" s="26" t="s">
        <v>5448</v>
      </c>
      <c r="U2042" s="1859" t="s">
        <v>448</v>
      </c>
      <c r="V2042" s="26" t="s">
        <v>3140</v>
      </c>
      <c r="W2042" s="2065" t="s">
        <v>7815</v>
      </c>
      <c r="X2042" s="18"/>
      <c r="Y2042" s="4"/>
      <c r="Z2042" s="4"/>
    </row>
    <row r="2043" spans="1:26" ht="14.1" hidden="1">
      <c r="A2043" s="20">
        <v>2050</v>
      </c>
      <c r="B2043" s="1063">
        <v>41820</v>
      </c>
      <c r="C2043" s="26" t="s">
        <v>7816</v>
      </c>
      <c r="D2043" s="11"/>
      <c r="E2043" s="26" t="s">
        <v>4926</v>
      </c>
      <c r="F2043" s="26" t="s">
        <v>404</v>
      </c>
      <c r="G2043" s="26" t="s">
        <v>7817</v>
      </c>
      <c r="H2043" s="237" t="s">
        <v>1400</v>
      </c>
      <c r="I2043" s="26" t="s">
        <v>4634</v>
      </c>
      <c r="J2043" s="26" t="s">
        <v>7818</v>
      </c>
      <c r="K2043" s="26" t="s">
        <v>7819</v>
      </c>
      <c r="L2043" s="26" t="s">
        <v>7809</v>
      </c>
      <c r="M2043" s="26">
        <v>1</v>
      </c>
      <c r="N2043" s="26">
        <v>1</v>
      </c>
      <c r="O2043" s="26">
        <v>5</v>
      </c>
      <c r="P2043" s="26">
        <v>0</v>
      </c>
      <c r="Q2043" s="26">
        <v>4</v>
      </c>
      <c r="R2043" s="1209">
        <v>12</v>
      </c>
      <c r="S2043" s="1209">
        <v>60</v>
      </c>
      <c r="T2043" s="26" t="s">
        <v>5448</v>
      </c>
      <c r="U2043" s="1859" t="s">
        <v>448</v>
      </c>
      <c r="V2043" s="26" t="s">
        <v>3140</v>
      </c>
      <c r="W2043" s="2065" t="s">
        <v>7820</v>
      </c>
      <c r="X2043" s="18"/>
      <c r="Y2043" s="4"/>
      <c r="Z2043" s="4"/>
    </row>
    <row r="2044" spans="1:26" ht="14.1" hidden="1">
      <c r="A2044" s="20">
        <v>2051</v>
      </c>
      <c r="B2044" s="1063">
        <v>41821</v>
      </c>
      <c r="C2044" s="26" t="s">
        <v>7821</v>
      </c>
      <c r="D2044" s="11"/>
      <c r="E2044" s="26" t="s">
        <v>4926</v>
      </c>
      <c r="F2044" s="26" t="s">
        <v>404</v>
      </c>
      <c r="G2044" s="26" t="s">
        <v>7822</v>
      </c>
      <c r="H2044" s="237" t="s">
        <v>2786</v>
      </c>
      <c r="I2044" s="26" t="s">
        <v>4634</v>
      </c>
      <c r="J2044" s="26" t="s">
        <v>7823</v>
      </c>
      <c r="K2044" s="26" t="s">
        <v>7824</v>
      </c>
      <c r="L2044" s="26" t="s">
        <v>7809</v>
      </c>
      <c r="M2044" s="26">
        <v>1</v>
      </c>
      <c r="N2044" s="26">
        <v>1</v>
      </c>
      <c r="O2044" s="26">
        <v>5</v>
      </c>
      <c r="P2044" s="26">
        <v>0</v>
      </c>
      <c r="Q2044" s="26">
        <v>4</v>
      </c>
      <c r="R2044" s="1209">
        <v>12</v>
      </c>
      <c r="S2044" s="1209">
        <v>60</v>
      </c>
      <c r="T2044" s="26" t="s">
        <v>5448</v>
      </c>
      <c r="U2044" s="1859" t="s">
        <v>448</v>
      </c>
      <c r="V2044" s="26" t="s">
        <v>3140</v>
      </c>
      <c r="W2044" s="2065" t="s">
        <v>7825</v>
      </c>
      <c r="X2044" s="18"/>
      <c r="Y2044" s="4"/>
      <c r="Z2044" s="4"/>
    </row>
    <row r="2045" spans="1:26" ht="14.1" hidden="1">
      <c r="A2045" s="20">
        <v>2052</v>
      </c>
      <c r="B2045" s="1063">
        <v>41822</v>
      </c>
      <c r="C2045" s="26" t="s">
        <v>7826</v>
      </c>
      <c r="D2045" s="11"/>
      <c r="E2045" s="26" t="s">
        <v>4926</v>
      </c>
      <c r="F2045" s="26" t="s">
        <v>404</v>
      </c>
      <c r="G2045" s="26" t="s">
        <v>7827</v>
      </c>
      <c r="H2045" s="237" t="s">
        <v>7828</v>
      </c>
      <c r="I2045" s="26" t="s">
        <v>4634</v>
      </c>
      <c r="J2045" s="26" t="s">
        <v>7829</v>
      </c>
      <c r="K2045" s="26" t="s">
        <v>7830</v>
      </c>
      <c r="L2045" s="26" t="s">
        <v>7809</v>
      </c>
      <c r="M2045" s="26">
        <v>1</v>
      </c>
      <c r="N2045" s="26">
        <v>1</v>
      </c>
      <c r="O2045" s="26">
        <v>5</v>
      </c>
      <c r="P2045" s="26">
        <v>0</v>
      </c>
      <c r="Q2045" s="26">
        <v>4</v>
      </c>
      <c r="R2045" s="1209">
        <v>12</v>
      </c>
      <c r="S2045" s="1209">
        <v>60</v>
      </c>
      <c r="T2045" s="26" t="s">
        <v>5448</v>
      </c>
      <c r="U2045" s="1859" t="s">
        <v>448</v>
      </c>
      <c r="V2045" s="26" t="s">
        <v>3140</v>
      </c>
      <c r="W2045" s="2065" t="s">
        <v>7831</v>
      </c>
      <c r="X2045" s="18"/>
      <c r="Y2045" s="4"/>
      <c r="Z2045" s="4"/>
    </row>
    <row r="2046" spans="1:26" ht="14.1" hidden="1">
      <c r="A2046" s="20">
        <v>2053</v>
      </c>
      <c r="B2046" s="1063">
        <v>41823</v>
      </c>
      <c r="C2046" s="26" t="s">
        <v>7294</v>
      </c>
      <c r="D2046" s="22"/>
      <c r="E2046" s="26"/>
      <c r="F2046" s="26" t="s">
        <v>412</v>
      </c>
      <c r="G2046" s="26" t="s">
        <v>3080</v>
      </c>
      <c r="H2046" s="237" t="s">
        <v>7832</v>
      </c>
      <c r="I2046" s="631" t="s">
        <v>7833</v>
      </c>
      <c r="J2046" s="26"/>
      <c r="K2046" s="189" t="s">
        <v>7834</v>
      </c>
      <c r="L2046" s="26"/>
      <c r="M2046" s="26">
        <v>1</v>
      </c>
      <c r="N2046" s="26">
        <v>1</v>
      </c>
      <c r="O2046" s="26">
        <v>1</v>
      </c>
      <c r="P2046" s="26">
        <v>0</v>
      </c>
      <c r="Q2046" s="26">
        <v>0</v>
      </c>
      <c r="R2046" s="1209">
        <v>6480</v>
      </c>
      <c r="S2046" s="1209">
        <v>6480</v>
      </c>
      <c r="T2046" s="26" t="s">
        <v>87</v>
      </c>
      <c r="U2046" s="1859"/>
      <c r="V2046" s="26"/>
      <c r="W2046" s="2065" t="s">
        <v>7835</v>
      </c>
      <c r="X2046" s="18"/>
      <c r="Y2046" s="4"/>
      <c r="Z2046" s="4"/>
    </row>
    <row r="2047" spans="1:26" ht="14.1" hidden="1">
      <c r="A2047" s="20">
        <v>2054</v>
      </c>
      <c r="B2047" s="1063">
        <v>41824</v>
      </c>
      <c r="C2047" s="26" t="s">
        <v>7836</v>
      </c>
      <c r="D2047" s="11"/>
      <c r="E2047" s="26" t="s">
        <v>683</v>
      </c>
      <c r="F2047" s="26" t="s">
        <v>684</v>
      </c>
      <c r="G2047" s="26" t="s">
        <v>7837</v>
      </c>
      <c r="H2047" s="237" t="s">
        <v>7838</v>
      </c>
      <c r="I2047" s="26" t="s">
        <v>366</v>
      </c>
      <c r="J2047" s="189" t="s">
        <v>7839</v>
      </c>
      <c r="K2047" s="189" t="s">
        <v>7839</v>
      </c>
      <c r="L2047" s="26"/>
      <c r="M2047" s="26">
        <v>1</v>
      </c>
      <c r="N2047" s="26">
        <v>1</v>
      </c>
      <c r="O2047" s="26">
        <v>1</v>
      </c>
      <c r="P2047" s="26">
        <v>0</v>
      </c>
      <c r="Q2047" s="26">
        <v>1</v>
      </c>
      <c r="R2047" s="1209">
        <v>10981</v>
      </c>
      <c r="S2047" s="1209">
        <v>10981</v>
      </c>
      <c r="T2047" s="26" t="s">
        <v>4220</v>
      </c>
      <c r="U2047" s="1859" t="s">
        <v>4220</v>
      </c>
      <c r="V2047" s="26" t="s">
        <v>689</v>
      </c>
      <c r="W2047" s="2065" t="s">
        <v>7840</v>
      </c>
      <c r="X2047" s="18"/>
      <c r="Y2047" s="4"/>
      <c r="Z2047" s="4"/>
    </row>
    <row r="2048" spans="1:26" ht="14.1" hidden="1">
      <c r="A2048" s="20">
        <v>2055</v>
      </c>
      <c r="B2048" s="1063">
        <v>41825</v>
      </c>
      <c r="C2048" s="26" t="s">
        <v>7841</v>
      </c>
      <c r="D2048" s="11"/>
      <c r="E2048" s="26" t="s">
        <v>683</v>
      </c>
      <c r="F2048" s="26" t="s">
        <v>684</v>
      </c>
      <c r="G2048" s="26" t="s">
        <v>7842</v>
      </c>
      <c r="H2048" s="237" t="s">
        <v>7843</v>
      </c>
      <c r="I2048" s="26" t="s">
        <v>366</v>
      </c>
      <c r="J2048" s="189" t="s">
        <v>7844</v>
      </c>
      <c r="K2048" s="189" t="s">
        <v>7844</v>
      </c>
      <c r="L2048" s="26"/>
      <c r="M2048" s="26">
        <v>4</v>
      </c>
      <c r="N2048" s="26">
        <v>1</v>
      </c>
      <c r="O2048" s="26">
        <v>4</v>
      </c>
      <c r="P2048" s="26">
        <v>0</v>
      </c>
      <c r="Q2048" s="26">
        <v>4</v>
      </c>
      <c r="R2048" s="1209">
        <v>1539</v>
      </c>
      <c r="S2048" s="1209">
        <v>6156</v>
      </c>
      <c r="T2048" s="26" t="s">
        <v>4220</v>
      </c>
      <c r="U2048" s="1859" t="s">
        <v>4220</v>
      </c>
      <c r="V2048" s="26" t="s">
        <v>689</v>
      </c>
      <c r="W2048" s="2065" t="s">
        <v>7845</v>
      </c>
      <c r="X2048" s="18"/>
      <c r="Y2048" s="4"/>
      <c r="Z2048" s="4"/>
    </row>
    <row r="2049" spans="1:26" ht="14.1" hidden="1">
      <c r="A2049" s="20">
        <v>2056</v>
      </c>
      <c r="B2049" s="1063">
        <v>41826</v>
      </c>
      <c r="C2049" s="26" t="s">
        <v>7846</v>
      </c>
      <c r="D2049" s="11" t="s">
        <v>6</v>
      </c>
      <c r="E2049" s="26" t="s">
        <v>4926</v>
      </c>
      <c r="F2049" s="26" t="s">
        <v>7046</v>
      </c>
      <c r="G2049" s="26" t="s">
        <v>7847</v>
      </c>
      <c r="H2049" s="237" t="s">
        <v>7848</v>
      </c>
      <c r="I2049" s="26" t="s">
        <v>1022</v>
      </c>
      <c r="J2049" s="26" t="s">
        <v>7849</v>
      </c>
      <c r="K2049" s="26">
        <v>61348</v>
      </c>
      <c r="L2049" s="26"/>
      <c r="M2049" s="26">
        <v>2</v>
      </c>
      <c r="N2049" s="26">
        <v>1</v>
      </c>
      <c r="O2049" s="26">
        <v>2</v>
      </c>
      <c r="P2049" s="26">
        <v>0</v>
      </c>
      <c r="Q2049" s="26">
        <v>1</v>
      </c>
      <c r="R2049" s="1209">
        <v>1085</v>
      </c>
      <c r="S2049" s="1209">
        <f t="shared" ref="S2049:S2053" si="108">R2049*O2049</f>
        <v>2170</v>
      </c>
      <c r="T2049" s="26" t="s">
        <v>311</v>
      </c>
      <c r="U2049" s="1859" t="s">
        <v>7850</v>
      </c>
      <c r="V2049" s="26" t="s">
        <v>7705</v>
      </c>
      <c r="W2049" s="2065" t="s">
        <v>7851</v>
      </c>
      <c r="X2049" s="18"/>
      <c r="Y2049" s="4"/>
      <c r="Z2049" s="4"/>
    </row>
    <row r="2050" spans="1:26" ht="14.1" hidden="1">
      <c r="A2050" s="20">
        <v>2057</v>
      </c>
      <c r="B2050" s="1063">
        <v>41827</v>
      </c>
      <c r="C2050" s="26" t="s">
        <v>7852</v>
      </c>
      <c r="D2050" s="11" t="s">
        <v>6</v>
      </c>
      <c r="E2050" s="26" t="s">
        <v>4926</v>
      </c>
      <c r="F2050" s="26" t="s">
        <v>7046</v>
      </c>
      <c r="G2050" s="26" t="s">
        <v>7853</v>
      </c>
      <c r="H2050" s="237" t="s">
        <v>752</v>
      </c>
      <c r="I2050" s="26" t="s">
        <v>39</v>
      </c>
      <c r="J2050" s="26" t="s">
        <v>2031</v>
      </c>
      <c r="K2050" s="26" t="s">
        <v>2030</v>
      </c>
      <c r="L2050" s="26"/>
      <c r="M2050" s="26">
        <v>1</v>
      </c>
      <c r="N2050" s="26">
        <v>1</v>
      </c>
      <c r="O2050" s="26">
        <v>1</v>
      </c>
      <c r="P2050" s="26">
        <v>0</v>
      </c>
      <c r="Q2050" s="26">
        <v>0</v>
      </c>
      <c r="R2050" s="1209">
        <v>3097</v>
      </c>
      <c r="S2050" s="1209">
        <f t="shared" si="108"/>
        <v>3097</v>
      </c>
      <c r="T2050" s="26" t="s">
        <v>311</v>
      </c>
      <c r="U2050" s="1859" t="s">
        <v>7850</v>
      </c>
      <c r="V2050" s="26" t="s">
        <v>7705</v>
      </c>
      <c r="W2050" s="2065" t="s">
        <v>2032</v>
      </c>
      <c r="X2050" s="18"/>
      <c r="Y2050" s="4"/>
      <c r="Z2050" s="4"/>
    </row>
    <row r="2051" spans="1:26" ht="24.95" hidden="1">
      <c r="A2051" s="20">
        <v>2058</v>
      </c>
      <c r="B2051" s="1063">
        <v>41828</v>
      </c>
      <c r="C2051" s="26" t="s">
        <v>7854</v>
      </c>
      <c r="D2051" s="11" t="s">
        <v>6</v>
      </c>
      <c r="E2051" s="26" t="s">
        <v>4926</v>
      </c>
      <c r="F2051" s="26" t="s">
        <v>7046</v>
      </c>
      <c r="G2051" s="26" t="s">
        <v>7855</v>
      </c>
      <c r="H2051" s="237" t="s">
        <v>7856</v>
      </c>
      <c r="I2051" s="26" t="s">
        <v>7857</v>
      </c>
      <c r="J2051" s="26">
        <v>4571161007956</v>
      </c>
      <c r="K2051" s="26" t="s">
        <v>7858</v>
      </c>
      <c r="L2051" s="26"/>
      <c r="M2051" s="26">
        <v>3</v>
      </c>
      <c r="N2051" s="26">
        <v>2</v>
      </c>
      <c r="O2051" s="26">
        <v>3</v>
      </c>
      <c r="P2051" s="26">
        <v>0</v>
      </c>
      <c r="Q2051" s="26">
        <v>1</v>
      </c>
      <c r="R2051" s="1209">
        <v>1793</v>
      </c>
      <c r="S2051" s="1209">
        <f t="shared" si="108"/>
        <v>5379</v>
      </c>
      <c r="T2051" s="26" t="s">
        <v>311</v>
      </c>
      <c r="U2051" s="1859" t="s">
        <v>7850</v>
      </c>
      <c r="V2051" s="26" t="s">
        <v>7705</v>
      </c>
      <c r="W2051" s="2065" t="s">
        <v>7859</v>
      </c>
      <c r="X2051" s="18" t="s">
        <v>7860</v>
      </c>
      <c r="Y2051" s="4"/>
      <c r="Z2051" s="4"/>
    </row>
    <row r="2052" spans="1:26" ht="24.95" hidden="1">
      <c r="A2052" s="20">
        <v>2059</v>
      </c>
      <c r="B2052" s="1063">
        <v>41829</v>
      </c>
      <c r="C2052" s="26" t="s">
        <v>7861</v>
      </c>
      <c r="D2052" s="11" t="s">
        <v>6</v>
      </c>
      <c r="E2052" s="26" t="s">
        <v>4926</v>
      </c>
      <c r="F2052" s="26" t="s">
        <v>7046</v>
      </c>
      <c r="G2052" s="26" t="s">
        <v>7862</v>
      </c>
      <c r="H2052" s="237" t="s">
        <v>7863</v>
      </c>
      <c r="I2052" s="26" t="s">
        <v>1022</v>
      </c>
      <c r="J2052" s="26" t="s">
        <v>7864</v>
      </c>
      <c r="K2052" s="26" t="s">
        <v>7865</v>
      </c>
      <c r="L2052" s="26" t="s">
        <v>7865</v>
      </c>
      <c r="M2052" s="26">
        <v>1</v>
      </c>
      <c r="N2052" s="26">
        <v>1</v>
      </c>
      <c r="O2052" s="26">
        <v>1</v>
      </c>
      <c r="P2052" s="26">
        <v>0</v>
      </c>
      <c r="Q2052" s="26">
        <v>0</v>
      </c>
      <c r="R2052" s="1209">
        <v>950</v>
      </c>
      <c r="S2052" s="1209">
        <f t="shared" si="108"/>
        <v>950</v>
      </c>
      <c r="T2052" s="26" t="s">
        <v>311</v>
      </c>
      <c r="U2052" s="1859" t="s">
        <v>7850</v>
      </c>
      <c r="V2052" s="26" t="s">
        <v>7705</v>
      </c>
      <c r="W2052" s="2065" t="s">
        <v>7866</v>
      </c>
      <c r="X2052" s="18"/>
      <c r="Y2052" s="4"/>
      <c r="Z2052" s="4"/>
    </row>
    <row r="2053" spans="1:26" ht="14.1" hidden="1">
      <c r="A2053" s="20">
        <v>2060</v>
      </c>
      <c r="B2053" s="1063">
        <v>41830</v>
      </c>
      <c r="C2053" s="26" t="s">
        <v>7867</v>
      </c>
      <c r="D2053" s="11" t="s">
        <v>6</v>
      </c>
      <c r="E2053" s="26" t="s">
        <v>4926</v>
      </c>
      <c r="F2053" s="26" t="s">
        <v>7046</v>
      </c>
      <c r="G2053" s="26" t="s">
        <v>7867</v>
      </c>
      <c r="H2053" s="237" t="s">
        <v>7868</v>
      </c>
      <c r="I2053" s="26" t="s">
        <v>1022</v>
      </c>
      <c r="J2053" s="26" t="s">
        <v>7869</v>
      </c>
      <c r="K2053" s="26" t="s">
        <v>7870</v>
      </c>
      <c r="L2053" s="26"/>
      <c r="M2053" s="26">
        <v>1</v>
      </c>
      <c r="N2053" s="26">
        <v>1</v>
      </c>
      <c r="O2053" s="26">
        <v>1</v>
      </c>
      <c r="P2053" s="26">
        <v>0</v>
      </c>
      <c r="Q2053" s="26">
        <v>0</v>
      </c>
      <c r="R2053" s="1209">
        <v>3899</v>
      </c>
      <c r="S2053" s="1209">
        <f t="shared" si="108"/>
        <v>3899</v>
      </c>
      <c r="T2053" s="26" t="s">
        <v>311</v>
      </c>
      <c r="U2053" s="1859" t="s">
        <v>7850</v>
      </c>
      <c r="V2053" s="26" t="s">
        <v>7705</v>
      </c>
      <c r="W2053" s="2065" t="s">
        <v>7871</v>
      </c>
      <c r="X2053" s="18"/>
      <c r="Y2053" s="4"/>
      <c r="Z2053" s="4"/>
    </row>
    <row r="2054" spans="1:26" ht="24.95" hidden="1">
      <c r="A2054" s="20">
        <v>2061</v>
      </c>
      <c r="B2054" s="1063">
        <v>41831</v>
      </c>
      <c r="C2054" s="26" t="s">
        <v>6096</v>
      </c>
      <c r="D2054" s="11"/>
      <c r="E2054" s="26" t="s">
        <v>4926</v>
      </c>
      <c r="F2054" s="26" t="s">
        <v>6097</v>
      </c>
      <c r="G2054" s="26" t="s">
        <v>6098</v>
      </c>
      <c r="H2054" s="26" t="s">
        <v>6099</v>
      </c>
      <c r="I2054" s="26" t="s">
        <v>6100</v>
      </c>
      <c r="J2054" s="26" t="s">
        <v>6101</v>
      </c>
      <c r="K2054" s="26" t="s">
        <v>6101</v>
      </c>
      <c r="L2054" s="26"/>
      <c r="M2054" s="26">
        <v>1</v>
      </c>
      <c r="N2054" s="26">
        <v>1</v>
      </c>
      <c r="O2054" s="26">
        <v>1</v>
      </c>
      <c r="P2054" s="26">
        <v>0</v>
      </c>
      <c r="Q2054" s="26">
        <v>0</v>
      </c>
      <c r="R2054" s="1209">
        <v>44500</v>
      </c>
      <c r="S2054" s="1209">
        <f>R2054</f>
        <v>44500</v>
      </c>
      <c r="T2054" s="26" t="s">
        <v>5448</v>
      </c>
      <c r="U2054" s="1871" t="s">
        <v>138</v>
      </c>
      <c r="V2054" s="26" t="s">
        <v>150</v>
      </c>
      <c r="W2054" s="2015"/>
      <c r="X2054" s="26"/>
      <c r="Y2054" s="71"/>
      <c r="Z2054" s="71"/>
    </row>
    <row r="2055" spans="1:26" ht="14.1" hidden="1">
      <c r="A2055" s="20">
        <v>2062</v>
      </c>
      <c r="B2055" s="1063">
        <v>41832</v>
      </c>
      <c r="C2055" s="26" t="s">
        <v>7872</v>
      </c>
      <c r="D2055" s="11"/>
      <c r="E2055" s="26" t="s">
        <v>7873</v>
      </c>
      <c r="F2055" s="26" t="s">
        <v>6097</v>
      </c>
      <c r="G2055" s="26" t="s">
        <v>7874</v>
      </c>
      <c r="H2055" s="237" t="s">
        <v>7875</v>
      </c>
      <c r="I2055" s="26"/>
      <c r="J2055" s="26"/>
      <c r="K2055" s="26"/>
      <c r="L2055" s="26"/>
      <c r="M2055" s="26">
        <v>6</v>
      </c>
      <c r="N2055" s="26">
        <v>1</v>
      </c>
      <c r="O2055" s="26">
        <v>6</v>
      </c>
      <c r="P2055" s="26">
        <v>0</v>
      </c>
      <c r="Q2055" s="26">
        <v>0</v>
      </c>
      <c r="R2055" s="1209">
        <v>28000</v>
      </c>
      <c r="S2055" s="1209">
        <f>R2055*6</f>
        <v>168000</v>
      </c>
      <c r="T2055" s="26" t="s">
        <v>5448</v>
      </c>
      <c r="U2055" s="1859" t="s">
        <v>138</v>
      </c>
      <c r="V2055" s="26" t="s">
        <v>150</v>
      </c>
      <c r="W2055" s="2015"/>
      <c r="X2055" s="18"/>
      <c r="Y2055" s="4"/>
      <c r="Z2055" s="4"/>
    </row>
    <row r="2056" spans="1:26" ht="15.6" hidden="1">
      <c r="A2056" s="20">
        <v>2063</v>
      </c>
      <c r="B2056" s="1063">
        <v>41833</v>
      </c>
      <c r="C2056" s="26" t="s">
        <v>7876</v>
      </c>
      <c r="D2056" s="11" t="s">
        <v>6</v>
      </c>
      <c r="E2056" s="664" t="s">
        <v>4926</v>
      </c>
      <c r="F2056" s="26" t="s">
        <v>7046</v>
      </c>
      <c r="G2056" s="26" t="s">
        <v>7877</v>
      </c>
      <c r="H2056" s="237" t="s">
        <v>429</v>
      </c>
      <c r="I2056" s="237" t="s">
        <v>429</v>
      </c>
      <c r="J2056" s="26" t="s">
        <v>7878</v>
      </c>
      <c r="K2056" s="26" t="s">
        <v>7878</v>
      </c>
      <c r="L2056" s="26"/>
      <c r="M2056" s="26">
        <v>8</v>
      </c>
      <c r="N2056" s="26">
        <v>8</v>
      </c>
      <c r="O2056" s="26">
        <v>8</v>
      </c>
      <c r="P2056" s="26">
        <v>0</v>
      </c>
      <c r="Q2056" s="26">
        <v>0</v>
      </c>
      <c r="R2056" s="1209">
        <v>238</v>
      </c>
      <c r="S2056" s="1209">
        <f t="shared" ref="S2056:S2057" si="109">R2056*N2056</f>
        <v>1904</v>
      </c>
      <c r="T2056" s="26" t="s">
        <v>311</v>
      </c>
      <c r="U2056" s="1859" t="s">
        <v>7850</v>
      </c>
      <c r="V2056" s="26" t="s">
        <v>7705</v>
      </c>
      <c r="W2056" s="2008" t="s">
        <v>7879</v>
      </c>
      <c r="X2056" s="18"/>
      <c r="Y2056" s="4"/>
      <c r="Z2056" s="4"/>
    </row>
    <row r="2057" spans="1:26" ht="15.6" hidden="1">
      <c r="A2057" s="20">
        <v>2064</v>
      </c>
      <c r="B2057" s="1063">
        <v>41834</v>
      </c>
      <c r="C2057" s="26" t="s">
        <v>6130</v>
      </c>
      <c r="D2057" s="11" t="s">
        <v>6</v>
      </c>
      <c r="E2057" s="664" t="s">
        <v>4926</v>
      </c>
      <c r="F2057" s="26" t="s">
        <v>7046</v>
      </c>
      <c r="G2057" s="26" t="s">
        <v>7880</v>
      </c>
      <c r="H2057" s="237" t="s">
        <v>429</v>
      </c>
      <c r="I2057" s="237" t="s">
        <v>429</v>
      </c>
      <c r="J2057" s="26" t="s">
        <v>7881</v>
      </c>
      <c r="K2057" s="26" t="s">
        <v>7881</v>
      </c>
      <c r="L2057" s="26"/>
      <c r="M2057" s="26">
        <v>4</v>
      </c>
      <c r="N2057" s="26">
        <v>4</v>
      </c>
      <c r="O2057" s="26">
        <v>4</v>
      </c>
      <c r="P2057" s="26">
        <v>0</v>
      </c>
      <c r="Q2057" s="26">
        <v>0</v>
      </c>
      <c r="R2057" s="1209">
        <v>600</v>
      </c>
      <c r="S2057" s="1209">
        <f t="shared" si="109"/>
        <v>2400</v>
      </c>
      <c r="T2057" s="26" t="s">
        <v>311</v>
      </c>
      <c r="U2057" s="1859" t="s">
        <v>7850</v>
      </c>
      <c r="V2057" s="26" t="s">
        <v>7705</v>
      </c>
      <c r="W2057" s="2008" t="s">
        <v>7882</v>
      </c>
      <c r="X2057" s="18"/>
      <c r="Y2057" s="4"/>
      <c r="Z2057" s="4"/>
    </row>
    <row r="2058" spans="1:26" ht="15.6" hidden="1">
      <c r="A2058" s="20">
        <v>2065</v>
      </c>
      <c r="B2058" s="1063">
        <v>41835</v>
      </c>
      <c r="C2058" s="26" t="s">
        <v>7883</v>
      </c>
      <c r="D2058" s="11" t="s">
        <v>6</v>
      </c>
      <c r="E2058" s="664" t="s">
        <v>4926</v>
      </c>
      <c r="F2058" s="26" t="s">
        <v>7046</v>
      </c>
      <c r="G2058" s="26" t="s">
        <v>7884</v>
      </c>
      <c r="H2058" s="237" t="s">
        <v>429</v>
      </c>
      <c r="I2058" s="237" t="s">
        <v>429</v>
      </c>
      <c r="J2058" s="26" t="s">
        <v>7885</v>
      </c>
      <c r="K2058" s="26" t="s">
        <v>7885</v>
      </c>
      <c r="L2058" s="26"/>
      <c r="M2058" s="26">
        <v>4</v>
      </c>
      <c r="N2058" s="26">
        <v>4</v>
      </c>
      <c r="O2058" s="26">
        <v>4</v>
      </c>
      <c r="P2058" s="26">
        <v>0</v>
      </c>
      <c r="Q2058" s="26">
        <v>0</v>
      </c>
      <c r="R2058" s="1209">
        <v>250</v>
      </c>
      <c r="S2058" s="1209">
        <f t="shared" ref="S2058:S2066" si="110">R2058*O2058</f>
        <v>1000</v>
      </c>
      <c r="T2058" s="26" t="s">
        <v>311</v>
      </c>
      <c r="U2058" s="1859" t="s">
        <v>7850</v>
      </c>
      <c r="V2058" s="26" t="s">
        <v>7705</v>
      </c>
      <c r="W2058" s="2008" t="s">
        <v>7886</v>
      </c>
      <c r="X2058" s="18"/>
      <c r="Y2058" s="4"/>
      <c r="Z2058" s="4"/>
    </row>
    <row r="2059" spans="1:26" ht="15.6" hidden="1">
      <c r="A2059" s="20">
        <v>2066</v>
      </c>
      <c r="B2059" s="1063">
        <v>41836</v>
      </c>
      <c r="C2059" s="26" t="s">
        <v>7887</v>
      </c>
      <c r="D2059" s="11" t="s">
        <v>6</v>
      </c>
      <c r="E2059" s="664" t="s">
        <v>4926</v>
      </c>
      <c r="F2059" s="26" t="s">
        <v>7046</v>
      </c>
      <c r="G2059" s="26" t="s">
        <v>7884</v>
      </c>
      <c r="H2059" s="237" t="s">
        <v>429</v>
      </c>
      <c r="I2059" s="237" t="s">
        <v>429</v>
      </c>
      <c r="J2059" s="26" t="s">
        <v>7888</v>
      </c>
      <c r="K2059" s="26" t="s">
        <v>7888</v>
      </c>
      <c r="L2059" s="26"/>
      <c r="M2059" s="26">
        <v>2</v>
      </c>
      <c r="N2059" s="26">
        <v>2</v>
      </c>
      <c r="O2059" s="26">
        <v>2</v>
      </c>
      <c r="P2059" s="26">
        <v>0</v>
      </c>
      <c r="Q2059" s="26">
        <v>0</v>
      </c>
      <c r="R2059" s="1209">
        <v>220</v>
      </c>
      <c r="S2059" s="1209">
        <f t="shared" si="110"/>
        <v>440</v>
      </c>
      <c r="T2059" s="26" t="s">
        <v>311</v>
      </c>
      <c r="U2059" s="1859" t="s">
        <v>7850</v>
      </c>
      <c r="V2059" s="26" t="s">
        <v>7705</v>
      </c>
      <c r="W2059" s="2008" t="s">
        <v>7886</v>
      </c>
      <c r="X2059" s="18"/>
      <c r="Y2059" s="4"/>
      <c r="Z2059" s="4"/>
    </row>
    <row r="2060" spans="1:26" ht="37.5" hidden="1">
      <c r="A2060" s="20">
        <v>2067</v>
      </c>
      <c r="B2060" s="1063">
        <v>41837</v>
      </c>
      <c r="C2060" s="26" t="s">
        <v>7889</v>
      </c>
      <c r="D2060" s="11" t="s">
        <v>6</v>
      </c>
      <c r="E2060" s="664" t="s">
        <v>4926</v>
      </c>
      <c r="F2060" s="26" t="s">
        <v>7046</v>
      </c>
      <c r="G2060" s="26" t="s">
        <v>7884</v>
      </c>
      <c r="H2060" s="237" t="s">
        <v>429</v>
      </c>
      <c r="I2060" s="237" t="s">
        <v>429</v>
      </c>
      <c r="J2060" s="26" t="s">
        <v>7890</v>
      </c>
      <c r="K2060" s="26" t="s">
        <v>7890</v>
      </c>
      <c r="L2060" s="26"/>
      <c r="M2060" s="26">
        <v>4</v>
      </c>
      <c r="N2060" s="26">
        <v>4</v>
      </c>
      <c r="O2060" s="26">
        <v>4</v>
      </c>
      <c r="P2060" s="26">
        <v>0</v>
      </c>
      <c r="Q2060" s="26">
        <v>0</v>
      </c>
      <c r="R2060" s="1209">
        <v>250</v>
      </c>
      <c r="S2060" s="1209">
        <f t="shared" si="110"/>
        <v>1000</v>
      </c>
      <c r="T2060" s="26" t="s">
        <v>311</v>
      </c>
      <c r="U2060" s="1859" t="s">
        <v>7850</v>
      </c>
      <c r="V2060" s="26" t="s">
        <v>7705</v>
      </c>
      <c r="W2060" s="2008" t="s">
        <v>7891</v>
      </c>
      <c r="X2060" s="18"/>
      <c r="Y2060" s="4"/>
      <c r="Z2060" s="4"/>
    </row>
    <row r="2061" spans="1:26" ht="24.95" hidden="1">
      <c r="A2061" s="20">
        <v>2068</v>
      </c>
      <c r="B2061" s="1063">
        <v>41838</v>
      </c>
      <c r="C2061" s="26" t="s">
        <v>7892</v>
      </c>
      <c r="D2061" s="11" t="s">
        <v>6</v>
      </c>
      <c r="E2061" s="664" t="s">
        <v>4926</v>
      </c>
      <c r="F2061" s="26" t="s">
        <v>7046</v>
      </c>
      <c r="G2061" s="26" t="s">
        <v>7893</v>
      </c>
      <c r="H2061" s="237" t="s">
        <v>429</v>
      </c>
      <c r="I2061" s="237" t="s">
        <v>429</v>
      </c>
      <c r="J2061" s="26" t="s">
        <v>7894</v>
      </c>
      <c r="K2061" s="26" t="s">
        <v>7894</v>
      </c>
      <c r="L2061" s="26"/>
      <c r="M2061" s="26">
        <v>2</v>
      </c>
      <c r="N2061" s="26">
        <v>2</v>
      </c>
      <c r="O2061" s="26">
        <v>2</v>
      </c>
      <c r="P2061" s="26">
        <v>0</v>
      </c>
      <c r="Q2061" s="26">
        <v>0</v>
      </c>
      <c r="R2061" s="1209">
        <v>2398</v>
      </c>
      <c r="S2061" s="1209">
        <f t="shared" si="110"/>
        <v>4796</v>
      </c>
      <c r="T2061" s="26" t="s">
        <v>311</v>
      </c>
      <c r="U2061" s="1859" t="s">
        <v>7850</v>
      </c>
      <c r="V2061" s="26" t="s">
        <v>7705</v>
      </c>
      <c r="W2061" s="2008" t="s">
        <v>7895</v>
      </c>
      <c r="X2061" s="18"/>
      <c r="Y2061" s="4"/>
      <c r="Z2061" s="4"/>
    </row>
    <row r="2062" spans="1:26" ht="15.6" hidden="1">
      <c r="A2062" s="20">
        <v>2069</v>
      </c>
      <c r="B2062" s="1063">
        <v>41839</v>
      </c>
      <c r="C2062" s="26" t="s">
        <v>7896</v>
      </c>
      <c r="D2062" s="11" t="s">
        <v>6</v>
      </c>
      <c r="E2062" s="664" t="s">
        <v>4926</v>
      </c>
      <c r="F2062" s="26" t="s">
        <v>7046</v>
      </c>
      <c r="G2062" s="26" t="s">
        <v>7896</v>
      </c>
      <c r="H2062" s="237" t="s">
        <v>429</v>
      </c>
      <c r="I2062" s="237" t="s">
        <v>429</v>
      </c>
      <c r="J2062" s="26" t="s">
        <v>7897</v>
      </c>
      <c r="K2062" s="26" t="s">
        <v>7897</v>
      </c>
      <c r="L2062" s="26"/>
      <c r="M2062" s="26">
        <v>2</v>
      </c>
      <c r="N2062" s="26">
        <v>2</v>
      </c>
      <c r="O2062" s="26">
        <v>2</v>
      </c>
      <c r="P2062" s="26">
        <v>0</v>
      </c>
      <c r="Q2062" s="26">
        <v>0</v>
      </c>
      <c r="R2062" s="1209">
        <v>400</v>
      </c>
      <c r="S2062" s="1209">
        <f t="shared" si="110"/>
        <v>800</v>
      </c>
      <c r="T2062" s="26" t="s">
        <v>311</v>
      </c>
      <c r="U2062" s="1859" t="s">
        <v>7850</v>
      </c>
      <c r="V2062" s="26" t="s">
        <v>7705</v>
      </c>
      <c r="W2062" s="2008" t="s">
        <v>7898</v>
      </c>
      <c r="X2062" s="18"/>
      <c r="Y2062" s="4"/>
      <c r="Z2062" s="4"/>
    </row>
    <row r="2063" spans="1:26" ht="15.6" hidden="1">
      <c r="A2063" s="20">
        <v>2070</v>
      </c>
      <c r="B2063" s="1063">
        <v>41840</v>
      </c>
      <c r="C2063" s="26" t="s">
        <v>7899</v>
      </c>
      <c r="D2063" s="11" t="s">
        <v>6</v>
      </c>
      <c r="E2063" s="664" t="s">
        <v>4926</v>
      </c>
      <c r="F2063" s="26" t="s">
        <v>7046</v>
      </c>
      <c r="G2063" s="26" t="s">
        <v>7899</v>
      </c>
      <c r="H2063" s="237" t="s">
        <v>429</v>
      </c>
      <c r="I2063" s="237" t="s">
        <v>429</v>
      </c>
      <c r="J2063" s="26" t="s">
        <v>7900</v>
      </c>
      <c r="K2063" s="26" t="s">
        <v>7900</v>
      </c>
      <c r="L2063" s="26"/>
      <c r="M2063" s="26">
        <v>2</v>
      </c>
      <c r="N2063" s="26">
        <v>2</v>
      </c>
      <c r="O2063" s="26">
        <v>2</v>
      </c>
      <c r="P2063" s="26">
        <v>0</v>
      </c>
      <c r="Q2063" s="26">
        <v>0</v>
      </c>
      <c r="R2063" s="1209">
        <v>718</v>
      </c>
      <c r="S2063" s="1209">
        <f t="shared" si="110"/>
        <v>1436</v>
      </c>
      <c r="T2063" s="26" t="s">
        <v>311</v>
      </c>
      <c r="U2063" s="1859" t="s">
        <v>7850</v>
      </c>
      <c r="V2063" s="26" t="s">
        <v>7705</v>
      </c>
      <c r="W2063" s="2008" t="s">
        <v>7901</v>
      </c>
      <c r="X2063" s="18"/>
      <c r="Y2063" s="4"/>
      <c r="Z2063" s="4"/>
    </row>
    <row r="2064" spans="1:26" ht="37.5" hidden="1">
      <c r="A2064" s="20">
        <v>2071</v>
      </c>
      <c r="B2064" s="1063">
        <v>41841</v>
      </c>
      <c r="C2064" s="26" t="s">
        <v>7902</v>
      </c>
      <c r="D2064" s="11" t="s">
        <v>6</v>
      </c>
      <c r="E2064" s="664" t="s">
        <v>4926</v>
      </c>
      <c r="F2064" s="26" t="s">
        <v>7046</v>
      </c>
      <c r="G2064" s="26" t="s">
        <v>7902</v>
      </c>
      <c r="H2064" s="237" t="s">
        <v>429</v>
      </c>
      <c r="I2064" s="237" t="s">
        <v>429</v>
      </c>
      <c r="J2064" s="26" t="s">
        <v>7903</v>
      </c>
      <c r="K2064" s="26" t="s">
        <v>7903</v>
      </c>
      <c r="L2064" s="26"/>
      <c r="M2064" s="26">
        <v>1</v>
      </c>
      <c r="N2064" s="26">
        <v>1</v>
      </c>
      <c r="O2064" s="26">
        <v>1</v>
      </c>
      <c r="P2064" s="26">
        <v>0</v>
      </c>
      <c r="Q2064" s="26">
        <v>0</v>
      </c>
      <c r="R2064" s="1209">
        <v>2115</v>
      </c>
      <c r="S2064" s="1209">
        <f t="shared" si="110"/>
        <v>2115</v>
      </c>
      <c r="T2064" s="26" t="s">
        <v>311</v>
      </c>
      <c r="U2064" s="1859" t="s">
        <v>7850</v>
      </c>
      <c r="V2064" s="26" t="s">
        <v>7705</v>
      </c>
      <c r="W2064" s="2008" t="s">
        <v>7904</v>
      </c>
      <c r="X2064" s="18"/>
      <c r="Y2064" s="4"/>
      <c r="Z2064" s="4"/>
    </row>
    <row r="2065" spans="1:26" ht="15.6" hidden="1">
      <c r="A2065" s="20">
        <v>2072</v>
      </c>
      <c r="B2065" s="1063">
        <v>41842</v>
      </c>
      <c r="C2065" s="26" t="s">
        <v>7905</v>
      </c>
      <c r="D2065" s="11" t="s">
        <v>6</v>
      </c>
      <c r="E2065" s="664" t="s">
        <v>4926</v>
      </c>
      <c r="F2065" s="26" t="s">
        <v>7046</v>
      </c>
      <c r="G2065" s="26" t="s">
        <v>7905</v>
      </c>
      <c r="H2065" s="237" t="s">
        <v>429</v>
      </c>
      <c r="I2065" s="237" t="s">
        <v>429</v>
      </c>
      <c r="J2065" s="26" t="s">
        <v>7906</v>
      </c>
      <c r="K2065" s="26" t="s">
        <v>7906</v>
      </c>
      <c r="L2065" s="26"/>
      <c r="M2065" s="26">
        <v>15</v>
      </c>
      <c r="N2065" s="26">
        <v>12</v>
      </c>
      <c r="O2065" s="26">
        <v>15</v>
      </c>
      <c r="P2065" s="26">
        <v>0</v>
      </c>
      <c r="Q2065" s="26">
        <v>3</v>
      </c>
      <c r="R2065" s="1209">
        <v>100</v>
      </c>
      <c r="S2065" s="1209">
        <f t="shared" si="110"/>
        <v>1500</v>
      </c>
      <c r="T2065" s="26" t="s">
        <v>311</v>
      </c>
      <c r="U2065" s="1859" t="s">
        <v>7850</v>
      </c>
      <c r="V2065" s="26" t="s">
        <v>7705</v>
      </c>
      <c r="W2065" s="2008" t="s">
        <v>7907</v>
      </c>
      <c r="X2065" s="18"/>
      <c r="Y2065" s="4"/>
      <c r="Z2065" s="4"/>
    </row>
    <row r="2066" spans="1:26" ht="24.95" hidden="1">
      <c r="A2066" s="20">
        <v>2073</v>
      </c>
      <c r="B2066" s="1063">
        <v>41843</v>
      </c>
      <c r="C2066" s="26" t="s">
        <v>7908</v>
      </c>
      <c r="D2066" s="11" t="s">
        <v>6</v>
      </c>
      <c r="E2066" s="664" t="s">
        <v>4926</v>
      </c>
      <c r="F2066" s="26" t="s">
        <v>7046</v>
      </c>
      <c r="G2066" s="26" t="s">
        <v>7908</v>
      </c>
      <c r="H2066" s="237" t="s">
        <v>7909</v>
      </c>
      <c r="I2066" s="237" t="s">
        <v>7909</v>
      </c>
      <c r="J2066" s="26" t="s">
        <v>7910</v>
      </c>
      <c r="K2066" s="26" t="s">
        <v>7910</v>
      </c>
      <c r="L2066" s="26"/>
      <c r="M2066" s="26">
        <v>4</v>
      </c>
      <c r="N2066" s="26">
        <v>4</v>
      </c>
      <c r="O2066" s="26">
        <v>4</v>
      </c>
      <c r="P2066" s="26">
        <v>0</v>
      </c>
      <c r="Q2066" s="26">
        <v>0</v>
      </c>
      <c r="R2066" s="1209">
        <v>9735</v>
      </c>
      <c r="S2066" s="1209">
        <f t="shared" si="110"/>
        <v>38940</v>
      </c>
      <c r="T2066" s="26" t="s">
        <v>311</v>
      </c>
      <c r="U2066" s="1859" t="s">
        <v>7850</v>
      </c>
      <c r="V2066" s="26" t="s">
        <v>7705</v>
      </c>
      <c r="W2066" s="2008" t="s">
        <v>7911</v>
      </c>
      <c r="X2066" s="18"/>
      <c r="Y2066" s="4"/>
      <c r="Z2066" s="4"/>
    </row>
    <row r="2067" spans="1:26" ht="15.6" hidden="1">
      <c r="A2067" s="20">
        <v>2074</v>
      </c>
      <c r="B2067" s="1063">
        <v>41844</v>
      </c>
      <c r="C2067" s="943" t="s">
        <v>7912</v>
      </c>
      <c r="D2067" s="11" t="s">
        <v>6</v>
      </c>
      <c r="E2067" s="664" t="s">
        <v>4926</v>
      </c>
      <c r="F2067" s="1046" t="s">
        <v>2876</v>
      </c>
      <c r="G2067" s="252" t="s">
        <v>7913</v>
      </c>
      <c r="H2067" s="207" t="s">
        <v>2405</v>
      </c>
      <c r="I2067" s="664" t="s">
        <v>5690</v>
      </c>
      <c r="J2067" s="664">
        <v>58433532</v>
      </c>
      <c r="K2067" s="664" t="s">
        <v>7914</v>
      </c>
      <c r="L2067" s="664" t="s">
        <v>7915</v>
      </c>
      <c r="M2067" s="664">
        <v>2</v>
      </c>
      <c r="N2067" s="664">
        <v>1</v>
      </c>
      <c r="O2067" s="664">
        <v>2</v>
      </c>
      <c r="P2067" s="664">
        <v>0</v>
      </c>
      <c r="Q2067" s="664">
        <v>1</v>
      </c>
      <c r="R2067" s="1266">
        <v>8990</v>
      </c>
      <c r="S2067" s="1266">
        <f t="shared" ref="S2067:S2074" si="111">O2067*R2067</f>
        <v>17980</v>
      </c>
      <c r="T2067" s="664" t="s">
        <v>6634</v>
      </c>
      <c r="U2067" s="1906" t="s">
        <v>7916</v>
      </c>
      <c r="V2067" s="207" t="s">
        <v>7917</v>
      </c>
      <c r="W2067" s="2080" t="s">
        <v>7918</v>
      </c>
      <c r="X2067" s="253" t="s">
        <v>7919</v>
      </c>
      <c r="Y2067" s="254"/>
      <c r="Z2067" s="254"/>
    </row>
    <row r="2068" spans="1:26" ht="15.6" hidden="1">
      <c r="A2068" s="20">
        <v>2075</v>
      </c>
      <c r="B2068" s="1063">
        <v>41845</v>
      </c>
      <c r="C2068" s="944" t="s">
        <v>1915</v>
      </c>
      <c r="D2068" s="11" t="s">
        <v>6</v>
      </c>
      <c r="E2068" s="664" t="s">
        <v>4926</v>
      </c>
      <c r="F2068" s="1022" t="s">
        <v>2876</v>
      </c>
      <c r="G2068" s="257" t="s">
        <v>7920</v>
      </c>
      <c r="H2068" s="255" t="s">
        <v>7921</v>
      </c>
      <c r="I2068" s="256" t="s">
        <v>5690</v>
      </c>
      <c r="J2068" s="256">
        <v>41115629</v>
      </c>
      <c r="K2068" s="256" t="s">
        <v>7922</v>
      </c>
      <c r="L2068" s="256" t="s">
        <v>7915</v>
      </c>
      <c r="M2068" s="256">
        <v>1</v>
      </c>
      <c r="N2068" s="256">
        <v>1</v>
      </c>
      <c r="O2068" s="256">
        <v>3</v>
      </c>
      <c r="P2068" s="256">
        <v>0</v>
      </c>
      <c r="Q2068" s="256">
        <v>1</v>
      </c>
      <c r="R2068" s="1267">
        <v>3990</v>
      </c>
      <c r="S2068" s="1266">
        <f t="shared" si="111"/>
        <v>11970</v>
      </c>
      <c r="T2068" s="256" t="s">
        <v>6634</v>
      </c>
      <c r="U2068" s="1907" t="s">
        <v>7916</v>
      </c>
      <c r="V2068" s="207" t="s">
        <v>7917</v>
      </c>
      <c r="W2068" s="2065" t="s">
        <v>7923</v>
      </c>
      <c r="X2068" s="258" t="s">
        <v>7919</v>
      </c>
      <c r="Y2068" s="254"/>
      <c r="Z2068" s="254"/>
    </row>
    <row r="2069" spans="1:26" ht="15.6" hidden="1">
      <c r="A2069" s="20">
        <v>2076</v>
      </c>
      <c r="B2069" s="1063">
        <v>41846</v>
      </c>
      <c r="C2069" s="944" t="s">
        <v>7924</v>
      </c>
      <c r="D2069" s="11" t="s">
        <v>6</v>
      </c>
      <c r="E2069" s="664" t="s">
        <v>4926</v>
      </c>
      <c r="F2069" s="1022" t="s">
        <v>2876</v>
      </c>
      <c r="G2069" s="664" t="s">
        <v>7925</v>
      </c>
      <c r="H2069" s="256" t="s">
        <v>3185</v>
      </c>
      <c r="I2069" s="256" t="s">
        <v>3185</v>
      </c>
      <c r="J2069" s="256"/>
      <c r="K2069" s="256" t="s">
        <v>7926</v>
      </c>
      <c r="L2069" s="256" t="s">
        <v>7915</v>
      </c>
      <c r="M2069" s="256">
        <v>4</v>
      </c>
      <c r="N2069" s="256">
        <v>1</v>
      </c>
      <c r="O2069" s="256">
        <v>5</v>
      </c>
      <c r="P2069" s="256">
        <v>0</v>
      </c>
      <c r="Q2069" s="256">
        <v>4</v>
      </c>
      <c r="R2069" s="1267">
        <v>8564.7999999999993</v>
      </c>
      <c r="S2069" s="1266">
        <f t="shared" si="111"/>
        <v>42824</v>
      </c>
      <c r="T2069" s="256" t="s">
        <v>6634</v>
      </c>
      <c r="U2069" s="1907" t="s">
        <v>7916</v>
      </c>
      <c r="V2069" s="207" t="s">
        <v>7917</v>
      </c>
      <c r="W2069" s="2080" t="s">
        <v>3188</v>
      </c>
      <c r="X2069" s="258" t="s">
        <v>7919</v>
      </c>
      <c r="Y2069" s="254"/>
      <c r="Z2069" s="254"/>
    </row>
    <row r="2070" spans="1:26" ht="15.6" hidden="1">
      <c r="A2070" s="20">
        <v>2077</v>
      </c>
      <c r="B2070" s="1063">
        <v>41847</v>
      </c>
      <c r="C2070" s="944" t="s">
        <v>7927</v>
      </c>
      <c r="D2070" s="259" t="s">
        <v>6</v>
      </c>
      <c r="E2070" s="664" t="s">
        <v>4926</v>
      </c>
      <c r="F2070" s="1022" t="s">
        <v>2876</v>
      </c>
      <c r="G2070" s="257" t="s">
        <v>7928</v>
      </c>
      <c r="H2070" s="255" t="s">
        <v>7929</v>
      </c>
      <c r="I2070" s="256" t="s">
        <v>574</v>
      </c>
      <c r="J2070" s="216" t="s">
        <v>7930</v>
      </c>
      <c r="K2070" s="256" t="s">
        <v>7931</v>
      </c>
      <c r="L2070" s="256" t="s">
        <v>7932</v>
      </c>
      <c r="M2070" s="256">
        <v>2</v>
      </c>
      <c r="N2070" s="256">
        <v>1</v>
      </c>
      <c r="O2070" s="256">
        <v>1</v>
      </c>
      <c r="P2070" s="256">
        <v>0</v>
      </c>
      <c r="Q2070" s="256">
        <v>0</v>
      </c>
      <c r="R2070" s="1267">
        <v>8094</v>
      </c>
      <c r="S2070" s="1266">
        <f t="shared" si="111"/>
        <v>8094</v>
      </c>
      <c r="T2070" s="256" t="s">
        <v>6634</v>
      </c>
      <c r="U2070" s="1907" t="s">
        <v>7916</v>
      </c>
      <c r="V2070" s="207" t="s">
        <v>7917</v>
      </c>
      <c r="W2070" s="2080" t="s">
        <v>7933</v>
      </c>
      <c r="X2070" s="258" t="s">
        <v>7934</v>
      </c>
      <c r="Y2070" s="254"/>
      <c r="Z2070" s="254"/>
    </row>
    <row r="2071" spans="1:26" ht="23.1" hidden="1">
      <c r="A2071" s="20">
        <v>2078</v>
      </c>
      <c r="B2071" s="1063">
        <v>41848</v>
      </c>
      <c r="C2071" s="944" t="s">
        <v>7935</v>
      </c>
      <c r="D2071" s="11" t="s">
        <v>6</v>
      </c>
      <c r="E2071" s="664" t="s">
        <v>4926</v>
      </c>
      <c r="F2071" s="1022" t="s">
        <v>2876</v>
      </c>
      <c r="G2071" s="257" t="s">
        <v>7936</v>
      </c>
      <c r="H2071" s="255" t="s">
        <v>2405</v>
      </c>
      <c r="I2071" s="256" t="s">
        <v>574</v>
      </c>
      <c r="J2071" s="1078"/>
      <c r="K2071" s="256" t="s">
        <v>7937</v>
      </c>
      <c r="L2071" s="256" t="s">
        <v>7938</v>
      </c>
      <c r="M2071" s="256">
        <v>2</v>
      </c>
      <c r="N2071" s="256">
        <v>2</v>
      </c>
      <c r="O2071" s="256">
        <v>2</v>
      </c>
      <c r="P2071" s="256">
        <v>0</v>
      </c>
      <c r="Q2071" s="256">
        <v>2</v>
      </c>
      <c r="R2071" s="1267">
        <v>6533</v>
      </c>
      <c r="S2071" s="1266">
        <f t="shared" si="111"/>
        <v>13066</v>
      </c>
      <c r="T2071" s="256" t="s">
        <v>6634</v>
      </c>
      <c r="U2071" s="1907" t="s">
        <v>7916</v>
      </c>
      <c r="V2071" s="207" t="s">
        <v>7917</v>
      </c>
      <c r="W2071" s="2080" t="s">
        <v>7939</v>
      </c>
      <c r="X2071" s="258" t="s">
        <v>7919</v>
      </c>
      <c r="Y2071" s="254"/>
      <c r="Z2071" s="254"/>
    </row>
    <row r="2072" spans="1:26" ht="15.6" hidden="1">
      <c r="A2072" s="20">
        <v>2079</v>
      </c>
      <c r="B2072" s="1063">
        <v>41849</v>
      </c>
      <c r="C2072" s="944" t="s">
        <v>7940</v>
      </c>
      <c r="D2072" s="11" t="s">
        <v>6</v>
      </c>
      <c r="E2072" s="664" t="s">
        <v>4926</v>
      </c>
      <c r="F2072" s="1022" t="s">
        <v>2876</v>
      </c>
      <c r="G2072" s="215" t="s">
        <v>7941</v>
      </c>
      <c r="H2072" s="255" t="s">
        <v>7942</v>
      </c>
      <c r="I2072" s="256" t="s">
        <v>39</v>
      </c>
      <c r="J2072" s="261" t="s">
        <v>7943</v>
      </c>
      <c r="K2072" s="262" t="s">
        <v>7944</v>
      </c>
      <c r="L2072" s="256" t="s">
        <v>7002</v>
      </c>
      <c r="M2072" s="256">
        <v>4</v>
      </c>
      <c r="N2072" s="256">
        <v>1</v>
      </c>
      <c r="O2072" s="256">
        <v>20</v>
      </c>
      <c r="P2072" s="256">
        <v>0</v>
      </c>
      <c r="Q2072" s="256">
        <v>17</v>
      </c>
      <c r="R2072" s="1267">
        <v>21.3</v>
      </c>
      <c r="S2072" s="1266">
        <f t="shared" si="111"/>
        <v>426</v>
      </c>
      <c r="T2072" s="256" t="s">
        <v>6634</v>
      </c>
      <c r="U2072" s="1907" t="s">
        <v>7916</v>
      </c>
      <c r="V2072" s="207" t="s">
        <v>7917</v>
      </c>
      <c r="W2072" s="2080" t="s">
        <v>7945</v>
      </c>
      <c r="X2072" s="258" t="s">
        <v>7919</v>
      </c>
      <c r="Y2072" s="254"/>
      <c r="Z2072" s="254"/>
    </row>
    <row r="2073" spans="1:26" ht="15.6" hidden="1">
      <c r="A2073" s="20">
        <v>2080</v>
      </c>
      <c r="B2073" s="1063">
        <v>41850</v>
      </c>
      <c r="C2073" s="944" t="s">
        <v>7946</v>
      </c>
      <c r="D2073" s="11" t="s">
        <v>6</v>
      </c>
      <c r="E2073" s="664" t="s">
        <v>4926</v>
      </c>
      <c r="F2073" s="1022" t="s">
        <v>2876</v>
      </c>
      <c r="G2073" s="257" t="s">
        <v>7947</v>
      </c>
      <c r="H2073" s="255" t="s">
        <v>7942</v>
      </c>
      <c r="I2073" s="256" t="s">
        <v>574</v>
      </c>
      <c r="J2073" s="256" t="s">
        <v>7948</v>
      </c>
      <c r="K2073" s="256" t="s">
        <v>7949</v>
      </c>
      <c r="L2073" s="256" t="s">
        <v>7002</v>
      </c>
      <c r="M2073" s="256">
        <v>4</v>
      </c>
      <c r="N2073" s="256">
        <v>1</v>
      </c>
      <c r="O2073" s="256">
        <v>12</v>
      </c>
      <c r="P2073" s="256">
        <v>0</v>
      </c>
      <c r="Q2073" s="256">
        <v>7</v>
      </c>
      <c r="R2073" s="1267">
        <v>18.3</v>
      </c>
      <c r="S2073" s="1266">
        <f t="shared" si="111"/>
        <v>219.60000000000002</v>
      </c>
      <c r="T2073" s="256" t="s">
        <v>6634</v>
      </c>
      <c r="U2073" s="1907" t="s">
        <v>7916</v>
      </c>
      <c r="V2073" s="207" t="s">
        <v>7917</v>
      </c>
      <c r="W2073" s="2080" t="s">
        <v>7950</v>
      </c>
      <c r="X2073" s="258" t="s">
        <v>7919</v>
      </c>
      <c r="Y2073" s="254"/>
      <c r="Z2073" s="254"/>
    </row>
    <row r="2074" spans="1:26" ht="15.6" hidden="1">
      <c r="A2074" s="20">
        <v>2081</v>
      </c>
      <c r="B2074" s="1063">
        <v>41851</v>
      </c>
      <c r="C2074" s="944" t="s">
        <v>7951</v>
      </c>
      <c r="D2074" s="11" t="s">
        <v>6</v>
      </c>
      <c r="E2074" s="664" t="s">
        <v>4926</v>
      </c>
      <c r="F2074" s="1022" t="s">
        <v>2876</v>
      </c>
      <c r="G2074" s="665" t="s">
        <v>7952</v>
      </c>
      <c r="H2074" s="255" t="s">
        <v>7942</v>
      </c>
      <c r="I2074" s="256" t="s">
        <v>574</v>
      </c>
      <c r="J2074" s="256" t="s">
        <v>4548</v>
      </c>
      <c r="K2074" s="256" t="s">
        <v>4549</v>
      </c>
      <c r="L2074" s="256" t="s">
        <v>7953</v>
      </c>
      <c r="M2074" s="256">
        <v>60</v>
      </c>
      <c r="N2074" s="256">
        <v>1</v>
      </c>
      <c r="O2074" s="256">
        <v>250</v>
      </c>
      <c r="P2074" s="256">
        <v>0</v>
      </c>
      <c r="Q2074" s="256">
        <v>184</v>
      </c>
      <c r="R2074" s="1267">
        <v>3.28</v>
      </c>
      <c r="S2074" s="1266">
        <f t="shared" si="111"/>
        <v>820</v>
      </c>
      <c r="T2074" s="256" t="s">
        <v>6634</v>
      </c>
      <c r="U2074" s="1907" t="s">
        <v>7916</v>
      </c>
      <c r="V2074" s="207" t="s">
        <v>7917</v>
      </c>
      <c r="W2074" s="666" t="s">
        <v>7954</v>
      </c>
      <c r="X2074" s="258" t="s">
        <v>7919</v>
      </c>
      <c r="Y2074" s="254"/>
      <c r="Z2074" s="254"/>
    </row>
    <row r="2075" spans="1:26" ht="15.6" hidden="1">
      <c r="A2075" s="20">
        <v>2082</v>
      </c>
      <c r="B2075" s="1063">
        <v>41852</v>
      </c>
      <c r="C2075" s="931" t="s">
        <v>7955</v>
      </c>
      <c r="D2075" s="8" t="s">
        <v>6</v>
      </c>
      <c r="E2075" s="263" t="s">
        <v>7956</v>
      </c>
      <c r="F2075" s="263" t="s">
        <v>7957</v>
      </c>
      <c r="G2075" s="264" t="s">
        <v>7958</v>
      </c>
      <c r="H2075" s="265" t="s">
        <v>7959</v>
      </c>
      <c r="I2075" s="202" t="s">
        <v>6702</v>
      </c>
      <c r="J2075" s="263" t="s">
        <v>7960</v>
      </c>
      <c r="K2075" s="263" t="s">
        <v>7960</v>
      </c>
      <c r="L2075" s="263"/>
      <c r="M2075" s="263">
        <v>1</v>
      </c>
      <c r="N2075" s="263">
        <v>1</v>
      </c>
      <c r="O2075" s="263">
        <v>1</v>
      </c>
      <c r="P2075" s="26">
        <v>0</v>
      </c>
      <c r="Q2075" s="26">
        <v>0</v>
      </c>
      <c r="R2075" s="1245">
        <v>1600</v>
      </c>
      <c r="S2075" s="1245">
        <v>1600</v>
      </c>
      <c r="T2075" s="664" t="s">
        <v>6634</v>
      </c>
      <c r="U2075" s="1908" t="s">
        <v>6705</v>
      </c>
      <c r="V2075" s="207" t="s">
        <v>7917</v>
      </c>
      <c r="W2075" s="2070" t="str">
        <f>HYPERLINK("https://www.amazon.co.jp/-/en/BK-32ZR/dp/B007LZ39NW/ref=sr_1_1?dchild=1&amp;keywords=%E3%82%A2%E3%83%B3%E3%83%86%E3%83%8A%E5%8F%96%E4%BB%98&amp;qid=1587974508&amp;sr=8-1","Amazon Japan")</f>
        <v>Amazon Japan</v>
      </c>
      <c r="X2075" s="18"/>
      <c r="Y2075" s="4"/>
      <c r="Z2075" s="4"/>
    </row>
    <row r="2076" spans="1:26" ht="15.6" hidden="1">
      <c r="A2076" s="20">
        <v>2083</v>
      </c>
      <c r="B2076" s="1063">
        <v>41853</v>
      </c>
      <c r="C2076" s="931" t="s">
        <v>6782</v>
      </c>
      <c r="D2076" s="8" t="s">
        <v>6</v>
      </c>
      <c r="E2076" s="263" t="s">
        <v>7956</v>
      </c>
      <c r="F2076" s="263" t="s">
        <v>7957</v>
      </c>
      <c r="G2076" s="166" t="s">
        <v>7961</v>
      </c>
      <c r="H2076" s="202" t="s">
        <v>429</v>
      </c>
      <c r="I2076" s="202" t="s">
        <v>429</v>
      </c>
      <c r="J2076" s="263" t="s">
        <v>7962</v>
      </c>
      <c r="K2076" s="263" t="s">
        <v>7962</v>
      </c>
      <c r="L2076" s="263"/>
      <c r="M2076" s="263">
        <v>1</v>
      </c>
      <c r="N2076" s="263">
        <v>1</v>
      </c>
      <c r="O2076" s="263">
        <v>1</v>
      </c>
      <c r="P2076" s="664">
        <v>0</v>
      </c>
      <c r="Q2076" s="664">
        <v>0</v>
      </c>
      <c r="R2076" s="1245">
        <v>3687</v>
      </c>
      <c r="S2076" s="1245">
        <v>3687</v>
      </c>
      <c r="T2076" s="256" t="s">
        <v>6634</v>
      </c>
      <c r="U2076" s="1908" t="s">
        <v>6705</v>
      </c>
      <c r="V2076" s="207" t="s">
        <v>7917</v>
      </c>
      <c r="W2076" s="2070" t="str">
        <f>HYPERLINK("https://jp.misumi-ec.com/vona2/detail/221000515556/?PNSearch=K25B44D30F&amp;HissuCode=K25B44D30F&amp;searchFlow=suggest2products&amp;Keyword=K25B44D30F&amp;isReSearch=1","Misumi")</f>
        <v>Misumi</v>
      </c>
      <c r="X2076" s="18"/>
      <c r="Y2076" s="4"/>
      <c r="Z2076" s="4"/>
    </row>
    <row r="2077" spans="1:26" ht="15.6" hidden="1">
      <c r="A2077" s="20">
        <v>2084</v>
      </c>
      <c r="B2077" s="1063">
        <v>41854</v>
      </c>
      <c r="C2077" s="931" t="s">
        <v>7963</v>
      </c>
      <c r="D2077" s="8" t="s">
        <v>6</v>
      </c>
      <c r="E2077" s="263" t="s">
        <v>7956</v>
      </c>
      <c r="F2077" s="263" t="s">
        <v>7957</v>
      </c>
      <c r="G2077" s="264" t="s">
        <v>7964</v>
      </c>
      <c r="H2077" s="202" t="s">
        <v>429</v>
      </c>
      <c r="I2077" s="202" t="s">
        <v>429</v>
      </c>
      <c r="J2077" s="263" t="s">
        <v>7965</v>
      </c>
      <c r="K2077" s="263" t="s">
        <v>7965</v>
      </c>
      <c r="L2077" s="263"/>
      <c r="M2077" s="263">
        <v>2</v>
      </c>
      <c r="N2077" s="263">
        <v>2</v>
      </c>
      <c r="O2077" s="263">
        <v>2</v>
      </c>
      <c r="P2077" s="256">
        <v>0</v>
      </c>
      <c r="Q2077" s="256">
        <v>0</v>
      </c>
      <c r="R2077" s="1245">
        <v>2000</v>
      </c>
      <c r="S2077" s="1245">
        <v>4000</v>
      </c>
      <c r="T2077" s="256" t="s">
        <v>6634</v>
      </c>
      <c r="U2077" s="1908" t="s">
        <v>6705</v>
      </c>
      <c r="V2077" s="207" t="s">
        <v>7917</v>
      </c>
      <c r="W2077" s="2070" t="str">
        <f>HYPERLINK("https://jp.misumi-ec.com/vona2/detail/110302674550/?PNSearch=MFSTN25-200&amp;HissuCode=MFSTN25-200&amp;searchFlow=suggest2products&amp;Keyword=MFSTN25-200","Misumi")</f>
        <v>Misumi</v>
      </c>
      <c r="X2077" s="18"/>
      <c r="Y2077" s="4"/>
      <c r="Z2077" s="4"/>
    </row>
    <row r="2078" spans="1:26" ht="46.5" hidden="1">
      <c r="A2078" s="20">
        <v>2085</v>
      </c>
      <c r="B2078" s="1063">
        <v>41855</v>
      </c>
      <c r="C2078" s="931" t="s">
        <v>7966</v>
      </c>
      <c r="D2078" s="8" t="s">
        <v>6</v>
      </c>
      <c r="E2078" s="263" t="s">
        <v>7956</v>
      </c>
      <c r="F2078" s="263" t="s">
        <v>7957</v>
      </c>
      <c r="G2078" s="264" t="s">
        <v>7967</v>
      </c>
      <c r="H2078" s="202" t="s">
        <v>429</v>
      </c>
      <c r="I2078" s="202" t="s">
        <v>429</v>
      </c>
      <c r="J2078" s="166" t="s">
        <v>7968</v>
      </c>
      <c r="K2078" s="166" t="s">
        <v>7968</v>
      </c>
      <c r="L2078" s="263"/>
      <c r="M2078" s="263">
        <v>1</v>
      </c>
      <c r="N2078" s="263">
        <v>1</v>
      </c>
      <c r="O2078" s="263">
        <v>1</v>
      </c>
      <c r="P2078" s="256">
        <v>0</v>
      </c>
      <c r="Q2078" s="256">
        <v>0</v>
      </c>
      <c r="R2078" s="1245">
        <v>7800</v>
      </c>
      <c r="S2078" s="1245">
        <v>7800</v>
      </c>
      <c r="T2078" s="256" t="s">
        <v>6634</v>
      </c>
      <c r="U2078" s="1908" t="s">
        <v>6705</v>
      </c>
      <c r="V2078" s="207" t="s">
        <v>7917</v>
      </c>
      <c r="W2078" s="2070" t="e">
        <f>HYPERLINK("https://jp.misumi-ec.com/vona2/detail/110302022510/?PNSearch=SSFMKRW30-600-MD8-ND8-KA2-A40-KB200-B100-KC558-C40&amp;HissuCode=SSFMKRW30-600-MD8-ND8-KA2-A40-KB200-B100-KC558-C40&amp;searchFlow=suggest2products&amp;Keyword=SSFMKRW30-600-MD8-ND8-KA2-A40-KB200-B100-KC558"&amp;"-C40","Misumi")</f>
        <v>#VALUE!</v>
      </c>
      <c r="X2078" s="18"/>
      <c r="Y2078" s="4"/>
      <c r="Z2078" s="4"/>
    </row>
    <row r="2079" spans="1:26" ht="15.6" hidden="1">
      <c r="A2079" s="20">
        <v>2086</v>
      </c>
      <c r="B2079" s="1063">
        <v>41856</v>
      </c>
      <c r="C2079" s="931" t="s">
        <v>7969</v>
      </c>
      <c r="D2079" s="8" t="s">
        <v>6</v>
      </c>
      <c r="E2079" s="263" t="s">
        <v>7956</v>
      </c>
      <c r="F2079" s="263" t="s">
        <v>7957</v>
      </c>
      <c r="G2079" s="166" t="s">
        <v>7970</v>
      </c>
      <c r="H2079" s="202" t="s">
        <v>429</v>
      </c>
      <c r="I2079" s="202" t="s">
        <v>429</v>
      </c>
      <c r="J2079" s="166" t="s">
        <v>7971</v>
      </c>
      <c r="K2079" s="166" t="s">
        <v>7971</v>
      </c>
      <c r="L2079" s="263"/>
      <c r="M2079" s="263">
        <v>4</v>
      </c>
      <c r="N2079" s="263">
        <v>4</v>
      </c>
      <c r="O2079" s="263">
        <v>4</v>
      </c>
      <c r="P2079" s="256">
        <v>0</v>
      </c>
      <c r="Q2079" s="256">
        <v>0</v>
      </c>
      <c r="R2079" s="1245">
        <v>360</v>
      </c>
      <c r="S2079" s="1245">
        <v>1440</v>
      </c>
      <c r="T2079" s="256" t="s">
        <v>6634</v>
      </c>
      <c r="U2079" s="1908" t="s">
        <v>6705</v>
      </c>
      <c r="V2079" s="207" t="s">
        <v>7917</v>
      </c>
      <c r="W2079" s="2070" t="str">
        <f>HYPERLINK("https://jp.misumi-ec.com/vona2/detail/110302681730/?PNSearch=KESF8-36&amp;HissuCode=KESF8-36&amp;searchFlow=suggest2products&amp;Keyword=KESF8-36","Misumi")</f>
        <v>Misumi</v>
      </c>
      <c r="X2079" s="18"/>
      <c r="Y2079" s="4"/>
      <c r="Z2079" s="4"/>
    </row>
    <row r="2080" spans="1:26" ht="15.6" hidden="1">
      <c r="A2080" s="20">
        <v>2087</v>
      </c>
      <c r="B2080" s="1063">
        <v>41857</v>
      </c>
      <c r="C2080" s="931" t="s">
        <v>7972</v>
      </c>
      <c r="D2080" s="8" t="s">
        <v>6</v>
      </c>
      <c r="E2080" s="263" t="s">
        <v>7956</v>
      </c>
      <c r="F2080" s="263" t="s">
        <v>7957</v>
      </c>
      <c r="G2080" s="166" t="s">
        <v>7973</v>
      </c>
      <c r="H2080" s="202" t="s">
        <v>429</v>
      </c>
      <c r="I2080" s="202" t="s">
        <v>429</v>
      </c>
      <c r="J2080" s="166" t="s">
        <v>7974</v>
      </c>
      <c r="K2080" s="166" t="s">
        <v>7974</v>
      </c>
      <c r="L2080" s="263"/>
      <c r="M2080" s="263">
        <v>2</v>
      </c>
      <c r="N2080" s="263">
        <v>1</v>
      </c>
      <c r="O2080" s="263">
        <v>2</v>
      </c>
      <c r="P2080" s="256">
        <v>0</v>
      </c>
      <c r="Q2080" s="256">
        <v>0</v>
      </c>
      <c r="R2080" s="1245">
        <v>1038</v>
      </c>
      <c r="S2080" s="1245">
        <v>2076</v>
      </c>
      <c r="T2080" s="256" t="s">
        <v>6634</v>
      </c>
      <c r="U2080" s="1908" t="s">
        <v>6705</v>
      </c>
      <c r="V2080" s="207" t="s">
        <v>7917</v>
      </c>
      <c r="W2080" s="2070" t="str">
        <f>HYPERLINK("https://jp.misumi-ec.com/vona2/detail/221005172730/?PNSearch=HA3230&amp;HissuCode=HA3230&amp;searchFlow=suggest2products&amp;Keyword=HA3230","Misumi")</f>
        <v>Misumi</v>
      </c>
      <c r="X2080" s="18"/>
      <c r="Y2080" s="4"/>
      <c r="Z2080" s="4"/>
    </row>
    <row r="2081" spans="1:26" ht="15.6" hidden="1">
      <c r="A2081" s="20">
        <v>2088</v>
      </c>
      <c r="B2081" s="1063">
        <v>41858</v>
      </c>
      <c r="C2081" s="931" t="s">
        <v>7975</v>
      </c>
      <c r="D2081" s="8" t="s">
        <v>6</v>
      </c>
      <c r="E2081" s="263" t="s">
        <v>7956</v>
      </c>
      <c r="F2081" s="263" t="s">
        <v>7957</v>
      </c>
      <c r="G2081" s="166" t="s">
        <v>7976</v>
      </c>
      <c r="H2081" s="202" t="s">
        <v>7977</v>
      </c>
      <c r="I2081" s="202" t="s">
        <v>6702</v>
      </c>
      <c r="J2081" s="266" t="s">
        <v>7978</v>
      </c>
      <c r="K2081" s="267"/>
      <c r="L2081" s="263"/>
      <c r="M2081" s="263">
        <v>1</v>
      </c>
      <c r="N2081" s="263">
        <v>1</v>
      </c>
      <c r="O2081" s="263">
        <v>1</v>
      </c>
      <c r="P2081" s="256">
        <v>0</v>
      </c>
      <c r="Q2081" s="256">
        <v>0</v>
      </c>
      <c r="R2081" s="1245">
        <v>900</v>
      </c>
      <c r="S2081" s="1245">
        <v>900</v>
      </c>
      <c r="T2081" s="256" t="s">
        <v>6634</v>
      </c>
      <c r="U2081" s="1908" t="s">
        <v>6705</v>
      </c>
      <c r="V2081" s="207" t="s">
        <v>7917</v>
      </c>
      <c r="W2081" s="2070" t="e">
        <f>HYPERLINK("https://www.amazon.co.jp/-/en/Wout-%E3%83%80%E3%83%B3%E3%83%99%E3%83%AB%E7%94%A8-1-0kg-1-25kg-1-25kg%C3%972%E5%80%8B/dp/B07NHD8LHZ/ref=pd_sim_200_3/358-5491680-9085102?_encoding=UTF8&amp;pd_rd_i=B07NHHS587&amp;pd_rd_r=c8979ccd-0462-45ed-9d2e-64655e934d46&amp;pd_rd_w="&amp;"a1Ih3&amp;pd_rd_wg=Iz0Pq&amp;pf_rd_p=eb211d4f-9ce6-46da-bef2-e4b11fe6bb87&amp;pf_rd_r=EYZXS5DZPRVPTBB72CA0&amp;refRID=EYZXS5DZPRVPTBB72CA0&amp;th=1","Amazon Japan")</f>
        <v>#VALUE!</v>
      </c>
      <c r="X2081" s="18"/>
      <c r="Y2081" s="4"/>
      <c r="Z2081" s="4"/>
    </row>
    <row r="2082" spans="1:26" ht="15.6" hidden="1">
      <c r="A2082" s="20">
        <v>2089</v>
      </c>
      <c r="B2082" s="1063">
        <v>41859</v>
      </c>
      <c r="C2082" s="931" t="s">
        <v>7979</v>
      </c>
      <c r="D2082" s="8" t="s">
        <v>6</v>
      </c>
      <c r="E2082" s="263" t="s">
        <v>7956</v>
      </c>
      <c r="F2082" s="263" t="s">
        <v>7957</v>
      </c>
      <c r="G2082" s="166" t="s">
        <v>7980</v>
      </c>
      <c r="H2082" s="202" t="s">
        <v>7977</v>
      </c>
      <c r="I2082" s="202" t="s">
        <v>6702</v>
      </c>
      <c r="J2082" s="266" t="s">
        <v>7981</v>
      </c>
      <c r="K2082" s="263"/>
      <c r="L2082" s="263"/>
      <c r="M2082" s="263">
        <v>1</v>
      </c>
      <c r="N2082" s="263">
        <v>1</v>
      </c>
      <c r="O2082" s="263">
        <v>1</v>
      </c>
      <c r="P2082" s="256">
        <v>0</v>
      </c>
      <c r="Q2082" s="256">
        <v>0</v>
      </c>
      <c r="R2082" s="1245">
        <v>950</v>
      </c>
      <c r="S2082" s="1245">
        <v>950</v>
      </c>
      <c r="T2082" s="664" t="s">
        <v>6634</v>
      </c>
      <c r="U2082" s="1908" t="s">
        <v>6705</v>
      </c>
      <c r="V2082" s="207" t="s">
        <v>7917</v>
      </c>
      <c r="W2082" s="2070" t="e">
        <f>HYPERLINK("https://www.amazon.co.jp/-/en/Wout-%E3%83%80%E3%83%B3%E3%83%99%E3%83%AB%E7%94%A8-1-0kg-1-25kg-1-25kg%C3%972%E5%80%8B/dp/B07NHHC6ZJ/ref=pd_sim_200_3/358-5491680-9085102?_encoding=UTF8&amp;pd_rd_i=B07NHHS587&amp;pd_rd_r=c8979ccd-0462-45ed-9d2e-64655e934d46&amp;pd_rd_w="&amp;"a1Ih3&amp;pd_rd_wg=Iz0Pq&amp;pf_rd_p=eb211d4f-9ce6-46da-bef2-e4b11fe6bb87&amp;pf_rd_r=EYZXS5DZPRVPTBB72CA0&amp;refRID=EYZXS5DZPRVPTBB72CA0&amp;th=1","Amazon Japan")</f>
        <v>#VALUE!</v>
      </c>
      <c r="X2082" s="18"/>
      <c r="Y2082" s="4"/>
      <c r="Z2082" s="4"/>
    </row>
    <row r="2083" spans="1:26" ht="15.6" hidden="1">
      <c r="A2083" s="20">
        <v>2090</v>
      </c>
      <c r="B2083" s="1063">
        <v>41860</v>
      </c>
      <c r="C2083" s="931" t="s">
        <v>7982</v>
      </c>
      <c r="D2083" s="8" t="s">
        <v>6</v>
      </c>
      <c r="E2083" s="263" t="s">
        <v>7956</v>
      </c>
      <c r="F2083" s="263" t="s">
        <v>7957</v>
      </c>
      <c r="G2083" s="267" t="s">
        <v>7983</v>
      </c>
      <c r="H2083" s="202" t="s">
        <v>7984</v>
      </c>
      <c r="I2083" s="202" t="s">
        <v>6702</v>
      </c>
      <c r="J2083" s="266" t="s">
        <v>7985</v>
      </c>
      <c r="K2083" s="263"/>
      <c r="L2083" s="263"/>
      <c r="M2083" s="263">
        <v>1</v>
      </c>
      <c r="N2083" s="263">
        <v>1</v>
      </c>
      <c r="O2083" s="263">
        <v>1</v>
      </c>
      <c r="P2083" s="256">
        <v>0</v>
      </c>
      <c r="Q2083" s="256">
        <v>0</v>
      </c>
      <c r="R2083" s="1245">
        <v>1010</v>
      </c>
      <c r="S2083" s="1245">
        <v>1010</v>
      </c>
      <c r="T2083" s="256" t="s">
        <v>6634</v>
      </c>
      <c r="U2083" s="1908" t="s">
        <v>6705</v>
      </c>
      <c r="V2083" s="207" t="s">
        <v>7917</v>
      </c>
      <c r="W2083" s="2070" t="e">
        <f>HYPERLINK("https://www.amazon.co.jp/-/en/25mm%E3%82%B9%E3%83%97%E3%83%AA%E3%83%B3%E3%82%B0%E3%82%AB%E3%83%A9%E3%83%BC-%E3%83%90%E3%83%BC%E3%83%99%E3%83%AB%E3%82%AF%E3%83%AA%E3%83%83%E3%83%97-%E3%83%80%E3%83%B3%E3%83%99%E3%83%AB%E3%83%97%E3%83%AC%E3%83%BC%E3%83%88%E6"&amp;"%AD%A2%E3%82%81-%E3%82%B9%E3%83%97%E3%83%AA%E3%83%B3%E3%82%B0%E3%82%B7%E3%83%A3%E3%83%95%E3%83%88-%E3%83%99%E3%83%B3%E3%83%81%E3%83%97%E3%83%AC%E3%82%B9%E7%94%A8/dp/B07K7M53SP/ref=sr_1_10?dchild=1&amp;keywords=%E3%83%80%E3%83%B3%E3%83%99%E3%83%AB%E3%82%B9%E3%"&amp;"83%88%E3%83%83%E3%83%91%E3%83%BC&amp;qid=1588136417&amp;sr=8-10","Amazon Japan")</f>
        <v>#VALUE!</v>
      </c>
      <c r="X2083" s="18"/>
      <c r="Y2083" s="4"/>
      <c r="Z2083" s="4"/>
    </row>
    <row r="2084" spans="1:26" ht="15.6" hidden="1">
      <c r="A2084" s="20">
        <v>2091</v>
      </c>
      <c r="B2084" s="1063">
        <v>41861</v>
      </c>
      <c r="C2084" s="931" t="s">
        <v>7986</v>
      </c>
      <c r="D2084" s="8" t="s">
        <v>6</v>
      </c>
      <c r="E2084" s="263" t="s">
        <v>7956</v>
      </c>
      <c r="F2084" s="263" t="s">
        <v>7957</v>
      </c>
      <c r="G2084" s="166" t="s">
        <v>7987</v>
      </c>
      <c r="H2084" s="237"/>
      <c r="I2084" s="202" t="s">
        <v>7988</v>
      </c>
      <c r="J2084" s="268"/>
      <c r="K2084" s="263"/>
      <c r="L2084" s="263"/>
      <c r="M2084" s="202">
        <v>4</v>
      </c>
      <c r="N2084" s="263">
        <v>2</v>
      </c>
      <c r="O2084" s="202">
        <v>4</v>
      </c>
      <c r="P2084" s="256">
        <v>0</v>
      </c>
      <c r="Q2084" s="256">
        <v>0</v>
      </c>
      <c r="R2084" s="1245">
        <v>355</v>
      </c>
      <c r="S2084" s="1245">
        <v>1420</v>
      </c>
      <c r="T2084" s="256" t="s">
        <v>6634</v>
      </c>
      <c r="U2084" s="1908" t="s">
        <v>6705</v>
      </c>
      <c r="V2084" s="207" t="s">
        <v>7917</v>
      </c>
      <c r="W2084" s="2081" t="s">
        <v>7989</v>
      </c>
      <c r="X2084" s="18"/>
      <c r="Y2084" s="4"/>
      <c r="Z2084" s="4"/>
    </row>
    <row r="2085" spans="1:26" ht="15.6" hidden="1">
      <c r="A2085" s="20">
        <v>2092</v>
      </c>
      <c r="B2085" s="1063">
        <v>41862</v>
      </c>
      <c r="C2085" s="931" t="s">
        <v>7990</v>
      </c>
      <c r="D2085" s="8" t="s">
        <v>6</v>
      </c>
      <c r="E2085" s="263" t="s">
        <v>7956</v>
      </c>
      <c r="F2085" s="263" t="s">
        <v>7957</v>
      </c>
      <c r="G2085" s="166" t="s">
        <v>7990</v>
      </c>
      <c r="H2085" s="237"/>
      <c r="I2085" s="202" t="s">
        <v>7988</v>
      </c>
      <c r="J2085" s="263"/>
      <c r="K2085" s="263"/>
      <c r="L2085" s="263"/>
      <c r="M2085" s="202">
        <v>2</v>
      </c>
      <c r="N2085" s="263">
        <v>1</v>
      </c>
      <c r="O2085" s="202">
        <v>2</v>
      </c>
      <c r="P2085" s="256">
        <v>0</v>
      </c>
      <c r="Q2085" s="256">
        <v>0</v>
      </c>
      <c r="R2085" s="1245">
        <v>303</v>
      </c>
      <c r="S2085" s="1245">
        <v>606</v>
      </c>
      <c r="T2085" s="256" t="s">
        <v>6634</v>
      </c>
      <c r="U2085" s="1908" t="s">
        <v>6705</v>
      </c>
      <c r="V2085" s="207" t="s">
        <v>7917</v>
      </c>
      <c r="W2085" s="2081" t="s">
        <v>7989</v>
      </c>
      <c r="X2085" s="18"/>
      <c r="Y2085" s="4"/>
      <c r="Z2085" s="4"/>
    </row>
    <row r="2086" spans="1:26" ht="15.6" hidden="1">
      <c r="A2086" s="20">
        <v>2093</v>
      </c>
      <c r="B2086" s="1063">
        <v>41863</v>
      </c>
      <c r="C2086" s="931" t="s">
        <v>7991</v>
      </c>
      <c r="D2086" s="8" t="s">
        <v>6</v>
      </c>
      <c r="E2086" s="263" t="s">
        <v>7956</v>
      </c>
      <c r="F2086" s="263" t="s">
        <v>7957</v>
      </c>
      <c r="G2086" s="166" t="s">
        <v>7992</v>
      </c>
      <c r="H2086" s="237"/>
      <c r="I2086" s="202" t="s">
        <v>7988</v>
      </c>
      <c r="J2086" s="263" t="s">
        <v>7993</v>
      </c>
      <c r="K2086" s="263"/>
      <c r="L2086" s="263"/>
      <c r="M2086" s="202">
        <v>5</v>
      </c>
      <c r="N2086" s="263">
        <v>1</v>
      </c>
      <c r="O2086" s="202">
        <v>5</v>
      </c>
      <c r="P2086" s="256">
        <v>0</v>
      </c>
      <c r="Q2086" s="256">
        <v>0</v>
      </c>
      <c r="R2086" s="1245">
        <v>151</v>
      </c>
      <c r="S2086" s="1245">
        <v>755</v>
      </c>
      <c r="T2086" s="256" t="s">
        <v>6634</v>
      </c>
      <c r="U2086" s="1908" t="s">
        <v>6705</v>
      </c>
      <c r="V2086" s="207" t="s">
        <v>7917</v>
      </c>
      <c r="W2086" s="2081" t="s">
        <v>7989</v>
      </c>
      <c r="X2086" s="18"/>
      <c r="Y2086" s="4"/>
      <c r="Z2086" s="4"/>
    </row>
    <row r="2087" spans="1:26" ht="15.6" hidden="1">
      <c r="A2087" s="20">
        <v>2094</v>
      </c>
      <c r="B2087" s="1063">
        <v>41864</v>
      </c>
      <c r="C2087" s="931" t="s">
        <v>7994</v>
      </c>
      <c r="D2087" s="8" t="s">
        <v>6</v>
      </c>
      <c r="E2087" s="263" t="s">
        <v>7956</v>
      </c>
      <c r="F2087" s="263" t="s">
        <v>7957</v>
      </c>
      <c r="G2087" s="166" t="s">
        <v>7995</v>
      </c>
      <c r="H2087" s="237"/>
      <c r="I2087" s="202" t="s">
        <v>7988</v>
      </c>
      <c r="J2087" s="263" t="s">
        <v>7996</v>
      </c>
      <c r="K2087" s="263"/>
      <c r="L2087" s="263"/>
      <c r="M2087" s="202">
        <v>1</v>
      </c>
      <c r="N2087" s="263">
        <v>1</v>
      </c>
      <c r="O2087" s="202">
        <v>1</v>
      </c>
      <c r="P2087" s="256">
        <v>0</v>
      </c>
      <c r="Q2087" s="256">
        <v>0</v>
      </c>
      <c r="R2087" s="1245">
        <v>365</v>
      </c>
      <c r="S2087" s="1245">
        <v>365</v>
      </c>
      <c r="T2087" s="256" t="s">
        <v>6634</v>
      </c>
      <c r="U2087" s="1908" t="s">
        <v>6705</v>
      </c>
      <c r="V2087" s="207" t="s">
        <v>7917</v>
      </c>
      <c r="W2087" s="2081" t="s">
        <v>7989</v>
      </c>
      <c r="X2087" s="18"/>
      <c r="Y2087" s="4"/>
      <c r="Z2087" s="4"/>
    </row>
    <row r="2088" spans="1:26" ht="15.6" hidden="1">
      <c r="A2088" s="20">
        <v>2095</v>
      </c>
      <c r="B2088" s="1063">
        <v>41865</v>
      </c>
      <c r="C2088" s="931" t="s">
        <v>6854</v>
      </c>
      <c r="D2088" s="8" t="s">
        <v>6</v>
      </c>
      <c r="E2088" s="263" t="s">
        <v>7956</v>
      </c>
      <c r="F2088" s="263" t="s">
        <v>7957</v>
      </c>
      <c r="G2088" s="166" t="s">
        <v>7997</v>
      </c>
      <c r="H2088" s="237"/>
      <c r="I2088" s="202" t="s">
        <v>7988</v>
      </c>
      <c r="J2088" s="263"/>
      <c r="K2088" s="263"/>
      <c r="L2088" s="263"/>
      <c r="M2088" s="202">
        <v>1</v>
      </c>
      <c r="N2088" s="263">
        <v>1</v>
      </c>
      <c r="O2088" s="202">
        <v>1</v>
      </c>
      <c r="P2088" s="256">
        <v>0</v>
      </c>
      <c r="Q2088" s="256">
        <v>0</v>
      </c>
      <c r="R2088" s="1245">
        <v>110</v>
      </c>
      <c r="S2088" s="1245">
        <v>110</v>
      </c>
      <c r="T2088" s="256" t="s">
        <v>6634</v>
      </c>
      <c r="U2088" s="1908" t="s">
        <v>6705</v>
      </c>
      <c r="V2088" s="207" t="s">
        <v>7917</v>
      </c>
      <c r="W2088" s="2081" t="s">
        <v>7989</v>
      </c>
      <c r="X2088" s="18"/>
      <c r="Y2088" s="4"/>
      <c r="Z2088" s="4"/>
    </row>
    <row r="2089" spans="1:26" ht="15.6" hidden="1">
      <c r="A2089" s="20">
        <v>2096</v>
      </c>
      <c r="B2089" s="1063">
        <v>41866</v>
      </c>
      <c r="C2089" s="26" t="s">
        <v>7998</v>
      </c>
      <c r="D2089" s="11"/>
      <c r="E2089" s="664" t="s">
        <v>4926</v>
      </c>
      <c r="F2089" s="26" t="s">
        <v>684</v>
      </c>
      <c r="G2089" s="26" t="s">
        <v>7999</v>
      </c>
      <c r="H2089" s="237" t="s">
        <v>8000</v>
      </c>
      <c r="I2089" s="263" t="s">
        <v>366</v>
      </c>
      <c r="J2089" s="189" t="s">
        <v>8001</v>
      </c>
      <c r="K2089" s="263" t="s">
        <v>8002</v>
      </c>
      <c r="L2089" s="263"/>
      <c r="M2089" s="263">
        <v>1</v>
      </c>
      <c r="N2089" s="263">
        <v>1</v>
      </c>
      <c r="O2089" s="263">
        <v>1</v>
      </c>
      <c r="P2089" s="26">
        <v>0</v>
      </c>
      <c r="Q2089" s="26">
        <v>1</v>
      </c>
      <c r="R2089" s="1209">
        <v>35683</v>
      </c>
      <c r="S2089" s="1209">
        <v>35683</v>
      </c>
      <c r="T2089" s="26" t="s">
        <v>5448</v>
      </c>
      <c r="U2089" s="1859" t="s">
        <v>301</v>
      </c>
      <c r="V2089" s="207" t="s">
        <v>8003</v>
      </c>
      <c r="W2089" s="2065" t="s">
        <v>8004</v>
      </c>
      <c r="X2089" s="18"/>
      <c r="Y2089" s="4"/>
      <c r="Z2089" s="4"/>
    </row>
    <row r="2090" spans="1:26" ht="15.6" hidden="1">
      <c r="A2090" s="20">
        <v>2097</v>
      </c>
      <c r="B2090" s="1063">
        <v>41867</v>
      </c>
      <c r="C2090" s="26" t="s">
        <v>8005</v>
      </c>
      <c r="D2090" s="11"/>
      <c r="E2090" s="664" t="s">
        <v>4926</v>
      </c>
      <c r="F2090" s="26" t="s">
        <v>131</v>
      </c>
      <c r="G2090" s="26" t="s">
        <v>8006</v>
      </c>
      <c r="H2090" s="237" t="s">
        <v>8007</v>
      </c>
      <c r="I2090" s="26" t="s">
        <v>8007</v>
      </c>
      <c r="J2090" s="305"/>
      <c r="K2090" s="189" t="s">
        <v>8008</v>
      </c>
      <c r="L2090" s="26"/>
      <c r="M2090" s="26">
        <v>10</v>
      </c>
      <c r="N2090" s="26">
        <v>1</v>
      </c>
      <c r="O2090" s="26">
        <v>20</v>
      </c>
      <c r="P2090" s="26">
        <v>0</v>
      </c>
      <c r="Q2090" s="26">
        <v>10</v>
      </c>
      <c r="R2090" s="1209">
        <v>600</v>
      </c>
      <c r="S2090" s="1209">
        <v>12000</v>
      </c>
      <c r="T2090" s="26" t="s">
        <v>5448</v>
      </c>
      <c r="U2090" s="1859" t="s">
        <v>5939</v>
      </c>
      <c r="V2090" s="207" t="s">
        <v>7917</v>
      </c>
      <c r="W2090" s="701" t="s">
        <v>8009</v>
      </c>
      <c r="X2090" s="18"/>
      <c r="Y2090" s="4"/>
      <c r="Z2090" s="4"/>
    </row>
    <row r="2091" spans="1:26" ht="15.6" hidden="1">
      <c r="A2091" s="20">
        <v>2098</v>
      </c>
      <c r="B2091" s="1063">
        <v>41868</v>
      </c>
      <c r="C2091" s="26" t="s">
        <v>8010</v>
      </c>
      <c r="D2091" s="11" t="s">
        <v>6</v>
      </c>
      <c r="E2091" s="664" t="s">
        <v>4926</v>
      </c>
      <c r="F2091" s="26" t="s">
        <v>7782</v>
      </c>
      <c r="G2091" s="26" t="s">
        <v>8011</v>
      </c>
      <c r="H2091" s="237" t="s">
        <v>2663</v>
      </c>
      <c r="I2091" s="26" t="s">
        <v>6702</v>
      </c>
      <c r="J2091" s="26" t="s">
        <v>8012</v>
      </c>
      <c r="K2091" s="26" t="s">
        <v>8012</v>
      </c>
      <c r="L2091" s="26"/>
      <c r="M2091" s="26">
        <v>1</v>
      </c>
      <c r="N2091" s="26">
        <v>1</v>
      </c>
      <c r="O2091" s="26">
        <v>2</v>
      </c>
      <c r="P2091" s="26">
        <v>0</v>
      </c>
      <c r="Q2091" s="26">
        <v>1</v>
      </c>
      <c r="R2091" s="1209">
        <v>598</v>
      </c>
      <c r="S2091" s="1209">
        <f t="shared" ref="S2091:S2103" si="112">R2091*O2091</f>
        <v>1196</v>
      </c>
      <c r="T2091" s="26" t="s">
        <v>5448</v>
      </c>
      <c r="U2091" s="1859" t="s">
        <v>4638</v>
      </c>
      <c r="V2091" s="207" t="s">
        <v>7917</v>
      </c>
      <c r="W2091" s="701" t="s">
        <v>8013</v>
      </c>
      <c r="X2091" s="18"/>
      <c r="Y2091" s="4"/>
      <c r="Z2091" s="4"/>
    </row>
    <row r="2092" spans="1:26" ht="15.6" hidden="1">
      <c r="A2092" s="20">
        <v>2099</v>
      </c>
      <c r="B2092" s="1063">
        <v>41869</v>
      </c>
      <c r="C2092" s="26" t="s">
        <v>8014</v>
      </c>
      <c r="D2092" s="11" t="s">
        <v>6</v>
      </c>
      <c r="E2092" s="664" t="s">
        <v>4926</v>
      </c>
      <c r="F2092" s="26" t="s">
        <v>7782</v>
      </c>
      <c r="G2092" s="26" t="s">
        <v>8015</v>
      </c>
      <c r="H2092" s="237" t="s">
        <v>8016</v>
      </c>
      <c r="I2092" s="26" t="s">
        <v>6702</v>
      </c>
      <c r="J2092" s="26" t="s">
        <v>8017</v>
      </c>
      <c r="K2092" s="26" t="s">
        <v>8017</v>
      </c>
      <c r="L2092" s="26"/>
      <c r="M2092" s="26">
        <v>1</v>
      </c>
      <c r="N2092" s="26">
        <v>2</v>
      </c>
      <c r="O2092" s="26">
        <v>2</v>
      </c>
      <c r="P2092" s="26">
        <v>0</v>
      </c>
      <c r="Q2092" s="26">
        <v>1</v>
      </c>
      <c r="R2092" s="1209">
        <v>790</v>
      </c>
      <c r="S2092" s="1209">
        <f t="shared" si="112"/>
        <v>1580</v>
      </c>
      <c r="T2092" s="26" t="s">
        <v>5448</v>
      </c>
      <c r="U2092" s="1859" t="s">
        <v>4638</v>
      </c>
      <c r="V2092" s="207" t="s">
        <v>7917</v>
      </c>
      <c r="W2092" s="701" t="s">
        <v>8018</v>
      </c>
      <c r="X2092" s="18"/>
      <c r="Y2092" s="4"/>
      <c r="Z2092" s="4"/>
    </row>
    <row r="2093" spans="1:26" ht="14.1" hidden="1">
      <c r="A2093" s="20">
        <v>2100</v>
      </c>
      <c r="B2093" s="1063">
        <v>41870</v>
      </c>
      <c r="C2093" s="139" t="s">
        <v>8019</v>
      </c>
      <c r="D2093" s="39"/>
      <c r="E2093" s="139"/>
      <c r="F2093" s="139" t="s">
        <v>7046</v>
      </c>
      <c r="G2093" s="139" t="s">
        <v>8020</v>
      </c>
      <c r="H2093" s="269" t="s">
        <v>460</v>
      </c>
      <c r="I2093" s="139" t="s">
        <v>39</v>
      </c>
      <c r="J2093" s="139" t="s">
        <v>8021</v>
      </c>
      <c r="K2093" s="139" t="s">
        <v>4923</v>
      </c>
      <c r="L2093" s="139"/>
      <c r="M2093" s="139">
        <v>6</v>
      </c>
      <c r="N2093" s="139">
        <v>4</v>
      </c>
      <c r="O2093" s="139">
        <v>6</v>
      </c>
      <c r="P2093" s="139">
        <v>0</v>
      </c>
      <c r="Q2093" s="139">
        <v>2</v>
      </c>
      <c r="R2093" s="1234">
        <v>1549</v>
      </c>
      <c r="S2093" s="1234">
        <f t="shared" si="112"/>
        <v>9294</v>
      </c>
      <c r="T2093" s="139" t="s">
        <v>311</v>
      </c>
      <c r="U2093" s="1861" t="s">
        <v>7850</v>
      </c>
      <c r="V2093" s="139" t="s">
        <v>7705</v>
      </c>
      <c r="W2093" s="2082" t="s">
        <v>8022</v>
      </c>
      <c r="X2093" s="18"/>
      <c r="Y2093" s="4"/>
      <c r="Z2093" s="4"/>
    </row>
    <row r="2094" spans="1:26" ht="14.1" hidden="1">
      <c r="A2094" s="20">
        <v>2101</v>
      </c>
      <c r="B2094" s="1063">
        <v>41871</v>
      </c>
      <c r="C2094" s="139" t="s">
        <v>8023</v>
      </c>
      <c r="D2094" s="39"/>
      <c r="E2094" s="139"/>
      <c r="F2094" s="139" t="s">
        <v>7046</v>
      </c>
      <c r="G2094" s="139" t="s">
        <v>8024</v>
      </c>
      <c r="H2094" s="269" t="s">
        <v>2786</v>
      </c>
      <c r="I2094" s="139" t="s">
        <v>8025</v>
      </c>
      <c r="J2094" s="139" t="s">
        <v>8026</v>
      </c>
      <c r="K2094" s="139" t="s">
        <v>8027</v>
      </c>
      <c r="L2094" s="139" t="s">
        <v>8028</v>
      </c>
      <c r="M2094" s="139">
        <v>10</v>
      </c>
      <c r="N2094" s="139">
        <v>5</v>
      </c>
      <c r="O2094" s="139">
        <v>10</v>
      </c>
      <c r="P2094" s="139">
        <v>0</v>
      </c>
      <c r="Q2094" s="139">
        <v>5</v>
      </c>
      <c r="R2094" s="1234">
        <v>20</v>
      </c>
      <c r="S2094" s="1234">
        <f t="shared" si="112"/>
        <v>200</v>
      </c>
      <c r="T2094" s="139" t="s">
        <v>311</v>
      </c>
      <c r="U2094" s="1861" t="s">
        <v>7850</v>
      </c>
      <c r="V2094" s="139" t="s">
        <v>7705</v>
      </c>
      <c r="W2094" s="2082" t="s">
        <v>8029</v>
      </c>
      <c r="X2094" s="18"/>
      <c r="Y2094" s="4"/>
      <c r="Z2094" s="4"/>
    </row>
    <row r="2095" spans="1:26" ht="14.1" hidden="1">
      <c r="A2095" s="20">
        <v>2102</v>
      </c>
      <c r="B2095" s="1063">
        <v>41872</v>
      </c>
      <c r="C2095" s="139" t="s">
        <v>8023</v>
      </c>
      <c r="D2095" s="39"/>
      <c r="E2095" s="139"/>
      <c r="F2095" s="139" t="s">
        <v>7046</v>
      </c>
      <c r="G2095" s="139" t="s">
        <v>8030</v>
      </c>
      <c r="H2095" s="269" t="s">
        <v>2786</v>
      </c>
      <c r="I2095" s="139" t="s">
        <v>8025</v>
      </c>
      <c r="J2095" s="139" t="s">
        <v>8031</v>
      </c>
      <c r="K2095" s="139" t="s">
        <v>8032</v>
      </c>
      <c r="L2095" s="139" t="s">
        <v>8028</v>
      </c>
      <c r="M2095" s="139">
        <v>10</v>
      </c>
      <c r="N2095" s="139">
        <v>5</v>
      </c>
      <c r="O2095" s="139">
        <v>10</v>
      </c>
      <c r="P2095" s="139">
        <v>0</v>
      </c>
      <c r="Q2095" s="139">
        <v>5</v>
      </c>
      <c r="R2095" s="1234">
        <v>20</v>
      </c>
      <c r="S2095" s="1234">
        <f t="shared" si="112"/>
        <v>200</v>
      </c>
      <c r="T2095" s="139" t="s">
        <v>311</v>
      </c>
      <c r="U2095" s="1861" t="s">
        <v>7850</v>
      </c>
      <c r="V2095" s="139" t="s">
        <v>7705</v>
      </c>
      <c r="W2095" s="2082" t="s">
        <v>8033</v>
      </c>
      <c r="X2095" s="18"/>
      <c r="Y2095" s="4"/>
      <c r="Z2095" s="4"/>
    </row>
    <row r="2096" spans="1:26" ht="14.1" hidden="1">
      <c r="A2096" s="20">
        <v>2103</v>
      </c>
      <c r="B2096" s="1063">
        <v>41873</v>
      </c>
      <c r="C2096" s="139" t="s">
        <v>8023</v>
      </c>
      <c r="D2096" s="39"/>
      <c r="E2096" s="139"/>
      <c r="F2096" s="139" t="s">
        <v>7046</v>
      </c>
      <c r="G2096" s="139" t="s">
        <v>8034</v>
      </c>
      <c r="H2096" s="269" t="s">
        <v>2786</v>
      </c>
      <c r="I2096" s="139" t="s">
        <v>8025</v>
      </c>
      <c r="J2096" s="139" t="s">
        <v>8035</v>
      </c>
      <c r="K2096" s="139" t="s">
        <v>8036</v>
      </c>
      <c r="L2096" s="139" t="s">
        <v>8028</v>
      </c>
      <c r="M2096" s="139">
        <v>10</v>
      </c>
      <c r="N2096" s="139">
        <v>5</v>
      </c>
      <c r="O2096" s="139">
        <v>10</v>
      </c>
      <c r="P2096" s="139">
        <v>0</v>
      </c>
      <c r="Q2096" s="139">
        <v>5</v>
      </c>
      <c r="R2096" s="1234">
        <v>20</v>
      </c>
      <c r="S2096" s="1234">
        <f t="shared" si="112"/>
        <v>200</v>
      </c>
      <c r="T2096" s="139" t="s">
        <v>311</v>
      </c>
      <c r="U2096" s="1861" t="s">
        <v>7850</v>
      </c>
      <c r="V2096" s="139" t="s">
        <v>7705</v>
      </c>
      <c r="W2096" s="2082" t="s">
        <v>8029</v>
      </c>
      <c r="X2096" s="18"/>
      <c r="Y2096" s="4"/>
      <c r="Z2096" s="4"/>
    </row>
    <row r="2097" spans="1:26" ht="14.1" hidden="1">
      <c r="A2097" s="20">
        <v>2104</v>
      </c>
      <c r="B2097" s="1063">
        <v>41874</v>
      </c>
      <c r="C2097" s="139" t="s">
        <v>8023</v>
      </c>
      <c r="D2097" s="39"/>
      <c r="E2097" s="139"/>
      <c r="F2097" s="139" t="s">
        <v>7046</v>
      </c>
      <c r="G2097" s="139" t="s">
        <v>8037</v>
      </c>
      <c r="H2097" s="269" t="s">
        <v>2786</v>
      </c>
      <c r="I2097" s="139" t="s">
        <v>8025</v>
      </c>
      <c r="J2097" s="139" t="s">
        <v>8038</v>
      </c>
      <c r="K2097" s="139" t="s">
        <v>8039</v>
      </c>
      <c r="L2097" s="139" t="s">
        <v>8028</v>
      </c>
      <c r="M2097" s="139">
        <v>10</v>
      </c>
      <c r="N2097" s="139">
        <v>5</v>
      </c>
      <c r="O2097" s="139">
        <v>10</v>
      </c>
      <c r="P2097" s="139">
        <v>0</v>
      </c>
      <c r="Q2097" s="139">
        <v>5</v>
      </c>
      <c r="R2097" s="1234">
        <v>20</v>
      </c>
      <c r="S2097" s="1234">
        <f t="shared" si="112"/>
        <v>200</v>
      </c>
      <c r="T2097" s="139" t="s">
        <v>311</v>
      </c>
      <c r="U2097" s="1861" t="s">
        <v>7850</v>
      </c>
      <c r="V2097" s="139" t="s">
        <v>7705</v>
      </c>
      <c r="W2097" s="2082" t="s">
        <v>8040</v>
      </c>
      <c r="X2097" s="18"/>
      <c r="Y2097" s="4"/>
      <c r="Z2097" s="4"/>
    </row>
    <row r="2098" spans="1:26" ht="14.1" hidden="1">
      <c r="A2098" s="20">
        <v>2105</v>
      </c>
      <c r="B2098" s="1063">
        <v>41875</v>
      </c>
      <c r="C2098" s="139" t="s">
        <v>8041</v>
      </c>
      <c r="D2098" s="39"/>
      <c r="E2098" s="139"/>
      <c r="F2098" s="139" t="s">
        <v>7046</v>
      </c>
      <c r="G2098" s="139" t="s">
        <v>8042</v>
      </c>
      <c r="H2098" s="269" t="s">
        <v>8043</v>
      </c>
      <c r="I2098" s="139" t="s">
        <v>8025</v>
      </c>
      <c r="J2098" s="139" t="s">
        <v>8044</v>
      </c>
      <c r="K2098" s="139" t="s">
        <v>8044</v>
      </c>
      <c r="L2098" s="139" t="s">
        <v>8028</v>
      </c>
      <c r="M2098" s="139">
        <v>10</v>
      </c>
      <c r="N2098" s="139">
        <v>5</v>
      </c>
      <c r="O2098" s="139">
        <v>10</v>
      </c>
      <c r="P2098" s="139">
        <v>0</v>
      </c>
      <c r="Q2098" s="139">
        <v>5</v>
      </c>
      <c r="R2098" s="1234">
        <v>50</v>
      </c>
      <c r="S2098" s="1234">
        <f t="shared" si="112"/>
        <v>500</v>
      </c>
      <c r="T2098" s="139" t="s">
        <v>311</v>
      </c>
      <c r="U2098" s="1861" t="s">
        <v>7850</v>
      </c>
      <c r="V2098" s="139" t="s">
        <v>7705</v>
      </c>
      <c r="W2098" s="2082" t="s">
        <v>8045</v>
      </c>
      <c r="X2098" s="18"/>
      <c r="Y2098" s="4"/>
      <c r="Z2098" s="4"/>
    </row>
    <row r="2099" spans="1:26" ht="14.1" hidden="1">
      <c r="A2099" s="20">
        <v>2106</v>
      </c>
      <c r="B2099" s="1063">
        <v>41876</v>
      </c>
      <c r="C2099" s="139" t="s">
        <v>8041</v>
      </c>
      <c r="D2099" s="39"/>
      <c r="E2099" s="139"/>
      <c r="F2099" s="139" t="s">
        <v>7046</v>
      </c>
      <c r="G2099" s="139" t="s">
        <v>8046</v>
      </c>
      <c r="H2099" s="269" t="s">
        <v>8043</v>
      </c>
      <c r="I2099" s="139" t="s">
        <v>8025</v>
      </c>
      <c r="J2099" s="139" t="s">
        <v>8047</v>
      </c>
      <c r="K2099" s="139" t="s">
        <v>8047</v>
      </c>
      <c r="L2099" s="139" t="s">
        <v>8028</v>
      </c>
      <c r="M2099" s="139">
        <v>10</v>
      </c>
      <c r="N2099" s="139">
        <v>5</v>
      </c>
      <c r="O2099" s="139">
        <v>10</v>
      </c>
      <c r="P2099" s="139">
        <v>0</v>
      </c>
      <c r="Q2099" s="139">
        <v>5</v>
      </c>
      <c r="R2099" s="1234">
        <v>24</v>
      </c>
      <c r="S2099" s="1234">
        <f t="shared" si="112"/>
        <v>240</v>
      </c>
      <c r="T2099" s="139" t="s">
        <v>311</v>
      </c>
      <c r="U2099" s="1861" t="s">
        <v>7850</v>
      </c>
      <c r="V2099" s="139" t="s">
        <v>7705</v>
      </c>
      <c r="W2099" s="2082" t="s">
        <v>8048</v>
      </c>
      <c r="X2099" s="18"/>
      <c r="Y2099" s="4"/>
      <c r="Z2099" s="4"/>
    </row>
    <row r="2100" spans="1:26" ht="14.1" hidden="1">
      <c r="A2100" s="20">
        <v>2107</v>
      </c>
      <c r="B2100" s="1063">
        <v>41877</v>
      </c>
      <c r="C2100" s="139" t="s">
        <v>8049</v>
      </c>
      <c r="D2100" s="39"/>
      <c r="E2100" s="139"/>
      <c r="F2100" s="139" t="s">
        <v>7046</v>
      </c>
      <c r="G2100" s="139" t="s">
        <v>8050</v>
      </c>
      <c r="H2100" s="269" t="s">
        <v>201</v>
      </c>
      <c r="I2100" s="139" t="s">
        <v>8025</v>
      </c>
      <c r="J2100" s="139" t="s">
        <v>8051</v>
      </c>
      <c r="K2100" s="139" t="s">
        <v>8051</v>
      </c>
      <c r="L2100" s="139" t="s">
        <v>8052</v>
      </c>
      <c r="M2100" s="139">
        <v>10</v>
      </c>
      <c r="N2100" s="139">
        <v>5</v>
      </c>
      <c r="O2100" s="139">
        <v>10</v>
      </c>
      <c r="P2100" s="139">
        <v>0</v>
      </c>
      <c r="Q2100" s="139">
        <v>5</v>
      </c>
      <c r="R2100" s="1234">
        <v>140</v>
      </c>
      <c r="S2100" s="1234">
        <f t="shared" si="112"/>
        <v>1400</v>
      </c>
      <c r="T2100" s="139" t="s">
        <v>311</v>
      </c>
      <c r="U2100" s="1861" t="s">
        <v>7850</v>
      </c>
      <c r="V2100" s="139" t="s">
        <v>7705</v>
      </c>
      <c r="W2100" s="2082" t="s">
        <v>8053</v>
      </c>
      <c r="X2100" s="18"/>
      <c r="Y2100" s="4"/>
      <c r="Z2100" s="4"/>
    </row>
    <row r="2101" spans="1:26" ht="14.1" hidden="1">
      <c r="A2101" s="20">
        <v>2108</v>
      </c>
      <c r="B2101" s="1063">
        <v>41878</v>
      </c>
      <c r="C2101" s="139" t="s">
        <v>8049</v>
      </c>
      <c r="D2101" s="39"/>
      <c r="E2101" s="139"/>
      <c r="F2101" s="139" t="s">
        <v>7046</v>
      </c>
      <c r="G2101" s="139" t="s">
        <v>8054</v>
      </c>
      <c r="H2101" s="269" t="s">
        <v>201</v>
      </c>
      <c r="I2101" s="139" t="s">
        <v>8025</v>
      </c>
      <c r="J2101" s="139" t="s">
        <v>8055</v>
      </c>
      <c r="K2101" s="139" t="s">
        <v>8055</v>
      </c>
      <c r="L2101" s="139" t="s">
        <v>8052</v>
      </c>
      <c r="M2101" s="139">
        <v>10</v>
      </c>
      <c r="N2101" s="139">
        <v>10</v>
      </c>
      <c r="O2101" s="139">
        <v>10</v>
      </c>
      <c r="P2101" s="139">
        <v>0</v>
      </c>
      <c r="Q2101" s="139">
        <v>0</v>
      </c>
      <c r="R2101" s="1234">
        <v>140</v>
      </c>
      <c r="S2101" s="1234">
        <f t="shared" si="112"/>
        <v>1400</v>
      </c>
      <c r="T2101" s="139" t="s">
        <v>311</v>
      </c>
      <c r="U2101" s="1861" t="s">
        <v>7850</v>
      </c>
      <c r="V2101" s="139" t="s">
        <v>7705</v>
      </c>
      <c r="W2101" s="2082" t="s">
        <v>8056</v>
      </c>
      <c r="X2101" s="18"/>
      <c r="Y2101" s="4"/>
      <c r="Z2101" s="4"/>
    </row>
    <row r="2102" spans="1:26" ht="14.1" hidden="1">
      <c r="A2102" s="20">
        <v>2109</v>
      </c>
      <c r="B2102" s="1063">
        <v>41879</v>
      </c>
      <c r="C2102" s="139" t="s">
        <v>8057</v>
      </c>
      <c r="D2102" s="39"/>
      <c r="E2102" s="139"/>
      <c r="F2102" s="139" t="s">
        <v>7046</v>
      </c>
      <c r="G2102" s="139" t="s">
        <v>8058</v>
      </c>
      <c r="H2102" s="269" t="s">
        <v>8059</v>
      </c>
      <c r="I2102" s="139" t="s">
        <v>8025</v>
      </c>
      <c r="J2102" s="139" t="s">
        <v>8060</v>
      </c>
      <c r="K2102" s="139" t="s">
        <v>8060</v>
      </c>
      <c r="L2102" s="139"/>
      <c r="M2102" s="139">
        <v>4</v>
      </c>
      <c r="N2102" s="139">
        <v>2</v>
      </c>
      <c r="O2102" s="139">
        <v>4</v>
      </c>
      <c r="P2102" s="139">
        <v>0</v>
      </c>
      <c r="Q2102" s="139">
        <v>2</v>
      </c>
      <c r="R2102" s="1234">
        <v>118</v>
      </c>
      <c r="S2102" s="1234">
        <f t="shared" si="112"/>
        <v>472</v>
      </c>
      <c r="T2102" s="139" t="s">
        <v>311</v>
      </c>
      <c r="U2102" s="1861" t="s">
        <v>7850</v>
      </c>
      <c r="V2102" s="139" t="s">
        <v>7705</v>
      </c>
      <c r="W2102" s="2066" t="s">
        <v>8061</v>
      </c>
      <c r="X2102" s="18"/>
      <c r="Y2102" s="4"/>
      <c r="Z2102" s="4"/>
    </row>
    <row r="2103" spans="1:26" ht="14.1" hidden="1">
      <c r="A2103" s="20">
        <v>2110</v>
      </c>
      <c r="B2103" s="1063">
        <v>41880</v>
      </c>
      <c r="C2103" s="139" t="s">
        <v>8062</v>
      </c>
      <c r="D2103" s="39"/>
      <c r="E2103" s="139"/>
      <c r="F2103" s="139" t="s">
        <v>7046</v>
      </c>
      <c r="G2103" s="139" t="s">
        <v>8063</v>
      </c>
      <c r="H2103" s="269" t="s">
        <v>5763</v>
      </c>
      <c r="I2103" s="139" t="s">
        <v>8025</v>
      </c>
      <c r="J2103" s="139" t="s">
        <v>8064</v>
      </c>
      <c r="K2103" s="139" t="s">
        <v>8064</v>
      </c>
      <c r="L2103" s="139"/>
      <c r="M2103" s="139">
        <v>1</v>
      </c>
      <c r="N2103" s="139">
        <v>1</v>
      </c>
      <c r="O2103" s="139">
        <v>1</v>
      </c>
      <c r="P2103" s="139">
        <v>0</v>
      </c>
      <c r="Q2103" s="139">
        <v>0</v>
      </c>
      <c r="R2103" s="1234">
        <v>600</v>
      </c>
      <c r="S2103" s="1234">
        <f t="shared" si="112"/>
        <v>600</v>
      </c>
      <c r="T2103" s="139" t="s">
        <v>311</v>
      </c>
      <c r="U2103" s="1861" t="s">
        <v>7850</v>
      </c>
      <c r="V2103" s="139" t="s">
        <v>7705</v>
      </c>
      <c r="W2103" s="2082" t="s">
        <v>8065</v>
      </c>
      <c r="X2103" s="18"/>
      <c r="Y2103" s="4"/>
      <c r="Z2103" s="4"/>
    </row>
    <row r="2104" spans="1:26" ht="14.1" hidden="1">
      <c r="A2104" s="20">
        <v>2111</v>
      </c>
      <c r="B2104" s="1063">
        <v>41881</v>
      </c>
      <c r="C2104" s="139" t="s">
        <v>8066</v>
      </c>
      <c r="D2104" s="39"/>
      <c r="E2104" s="139"/>
      <c r="F2104" s="139" t="s">
        <v>7046</v>
      </c>
      <c r="G2104" s="139"/>
      <c r="H2104" s="269"/>
      <c r="I2104" s="139"/>
      <c r="J2104" s="139"/>
      <c r="K2104" s="139"/>
      <c r="L2104" s="139"/>
      <c r="M2104" s="139"/>
      <c r="N2104" s="139"/>
      <c r="O2104" s="139"/>
      <c r="P2104" s="139"/>
      <c r="Q2104" s="139"/>
      <c r="R2104" s="1234"/>
      <c r="S2104" s="1234"/>
      <c r="T2104" s="139"/>
      <c r="U2104" s="1861"/>
      <c r="V2104" s="139"/>
      <c r="W2104" s="2083"/>
      <c r="X2104" s="18"/>
      <c r="Y2104" s="4"/>
      <c r="Z2104" s="4"/>
    </row>
    <row r="2105" spans="1:26" ht="14.1" hidden="1">
      <c r="A2105" s="20">
        <v>2112</v>
      </c>
      <c r="B2105" s="1063">
        <v>41882</v>
      </c>
      <c r="C2105" s="139" t="s">
        <v>8067</v>
      </c>
      <c r="D2105" s="39"/>
      <c r="E2105" s="139"/>
      <c r="F2105" s="139" t="s">
        <v>7046</v>
      </c>
      <c r="G2105" s="139" t="s">
        <v>8068</v>
      </c>
      <c r="H2105" s="269"/>
      <c r="I2105" s="139"/>
      <c r="J2105" s="139"/>
      <c r="K2105" s="139"/>
      <c r="L2105" s="139"/>
      <c r="M2105" s="139"/>
      <c r="N2105" s="139"/>
      <c r="O2105" s="139"/>
      <c r="P2105" s="139"/>
      <c r="Q2105" s="139"/>
      <c r="R2105" s="1234"/>
      <c r="S2105" s="1234"/>
      <c r="T2105" s="139"/>
      <c r="U2105" s="1861"/>
      <c r="V2105" s="139"/>
      <c r="W2105" s="2066" t="s">
        <v>8069</v>
      </c>
      <c r="X2105" s="18"/>
      <c r="Y2105" s="4"/>
      <c r="Z2105" s="4"/>
    </row>
    <row r="2106" spans="1:26" ht="24.95" hidden="1">
      <c r="A2106" s="20">
        <v>2113</v>
      </c>
      <c r="B2106" s="1063">
        <v>41883</v>
      </c>
      <c r="C2106" s="26" t="s">
        <v>8070</v>
      </c>
      <c r="D2106" s="11" t="s">
        <v>6</v>
      </c>
      <c r="E2106" s="26" t="s">
        <v>2722</v>
      </c>
      <c r="F2106" s="26" t="s">
        <v>1569</v>
      </c>
      <c r="G2106" s="26" t="s">
        <v>8071</v>
      </c>
      <c r="H2106" s="237" t="s">
        <v>8072</v>
      </c>
      <c r="I2106" s="26" t="s">
        <v>1144</v>
      </c>
      <c r="J2106" s="26" t="s">
        <v>1079</v>
      </c>
      <c r="K2106" s="26" t="s">
        <v>1080</v>
      </c>
      <c r="L2106" s="26" t="s">
        <v>8073</v>
      </c>
      <c r="M2106" s="26">
        <v>6</v>
      </c>
      <c r="N2106" s="26">
        <v>4</v>
      </c>
      <c r="O2106" s="26">
        <v>4</v>
      </c>
      <c r="P2106" s="26">
        <v>2</v>
      </c>
      <c r="Q2106" s="26">
        <v>0</v>
      </c>
      <c r="R2106" s="1209">
        <v>978</v>
      </c>
      <c r="S2106" s="1209">
        <v>3912</v>
      </c>
      <c r="T2106" s="26" t="s">
        <v>8074</v>
      </c>
      <c r="U2106" s="1859" t="s">
        <v>8075</v>
      </c>
      <c r="V2106" s="26" t="s">
        <v>104</v>
      </c>
      <c r="W2106" s="2065" t="s">
        <v>3283</v>
      </c>
      <c r="X2106" s="18"/>
      <c r="Y2106" s="4"/>
      <c r="Z2106" s="4"/>
    </row>
    <row r="2107" spans="1:26" ht="24.95" hidden="1">
      <c r="A2107" s="20">
        <v>2114</v>
      </c>
      <c r="B2107" s="1063">
        <v>41884</v>
      </c>
      <c r="C2107" s="26" t="s">
        <v>4534</v>
      </c>
      <c r="D2107" s="11" t="s">
        <v>6</v>
      </c>
      <c r="E2107" s="26" t="s">
        <v>2722</v>
      </c>
      <c r="F2107" s="26" t="s">
        <v>1569</v>
      </c>
      <c r="G2107" s="26" t="s">
        <v>4059</v>
      </c>
      <c r="H2107" s="237" t="s">
        <v>8076</v>
      </c>
      <c r="I2107" s="26" t="s">
        <v>1144</v>
      </c>
      <c r="J2107" s="26" t="s">
        <v>4061</v>
      </c>
      <c r="K2107" s="26" t="s">
        <v>4062</v>
      </c>
      <c r="L2107" s="26">
        <v>1218</v>
      </c>
      <c r="M2107" s="26">
        <v>6</v>
      </c>
      <c r="N2107" s="26">
        <v>6</v>
      </c>
      <c r="O2107" s="26">
        <v>6</v>
      </c>
      <c r="P2107" s="26">
        <v>0</v>
      </c>
      <c r="Q2107" s="26">
        <v>0</v>
      </c>
      <c r="R2107" s="1209">
        <v>104</v>
      </c>
      <c r="S2107" s="1209">
        <v>624</v>
      </c>
      <c r="T2107" s="26" t="s">
        <v>8074</v>
      </c>
      <c r="U2107" s="1859" t="s">
        <v>8075</v>
      </c>
      <c r="V2107" s="26" t="s">
        <v>104</v>
      </c>
      <c r="W2107" s="2065" t="s">
        <v>4063</v>
      </c>
      <c r="X2107" s="18"/>
      <c r="Y2107" s="4"/>
      <c r="Z2107" s="4"/>
    </row>
    <row r="2108" spans="1:26" ht="26.1" hidden="1">
      <c r="A2108" s="20">
        <v>2115</v>
      </c>
      <c r="B2108" s="1063">
        <v>41885</v>
      </c>
      <c r="C2108" s="26" t="s">
        <v>4534</v>
      </c>
      <c r="D2108" s="11" t="s">
        <v>6</v>
      </c>
      <c r="E2108" s="26" t="s">
        <v>2722</v>
      </c>
      <c r="F2108" s="26" t="s">
        <v>1569</v>
      </c>
      <c r="G2108" s="26" t="s">
        <v>8077</v>
      </c>
      <c r="H2108" s="237" t="s">
        <v>2786</v>
      </c>
      <c r="I2108" s="26" t="s">
        <v>1144</v>
      </c>
      <c r="J2108" s="26" t="s">
        <v>8078</v>
      </c>
      <c r="K2108" s="26" t="s">
        <v>8079</v>
      </c>
      <c r="L2108" s="26">
        <v>402</v>
      </c>
      <c r="M2108" s="26">
        <v>30</v>
      </c>
      <c r="N2108" s="26">
        <v>30</v>
      </c>
      <c r="O2108" s="26">
        <v>30</v>
      </c>
      <c r="P2108" s="26">
        <v>0</v>
      </c>
      <c r="Q2108" s="26">
        <v>0</v>
      </c>
      <c r="R2108" s="1209">
        <v>11</v>
      </c>
      <c r="S2108" s="1209">
        <v>330</v>
      </c>
      <c r="T2108" s="26" t="s">
        <v>8074</v>
      </c>
      <c r="U2108" s="1859" t="s">
        <v>8080</v>
      </c>
      <c r="V2108" s="26" t="s">
        <v>104</v>
      </c>
      <c r="W2108" s="2065" t="s">
        <v>8081</v>
      </c>
      <c r="X2108" s="18"/>
      <c r="Y2108" s="4"/>
      <c r="Z2108" s="4"/>
    </row>
    <row r="2109" spans="1:26" ht="14.1" hidden="1">
      <c r="A2109" s="20">
        <v>2116</v>
      </c>
      <c r="B2109" s="1063">
        <v>41886</v>
      </c>
      <c r="C2109" s="26" t="s">
        <v>669</v>
      </c>
      <c r="D2109" s="11" t="s">
        <v>6</v>
      </c>
      <c r="E2109" s="26" t="s">
        <v>2722</v>
      </c>
      <c r="F2109" s="26" t="s">
        <v>1569</v>
      </c>
      <c r="G2109" s="26" t="s">
        <v>8082</v>
      </c>
      <c r="H2109" s="237" t="s">
        <v>7066</v>
      </c>
      <c r="I2109" s="26" t="s">
        <v>1144</v>
      </c>
      <c r="J2109" s="26" t="s">
        <v>673</v>
      </c>
      <c r="K2109" s="26" t="s">
        <v>3288</v>
      </c>
      <c r="L2109" s="26" t="s">
        <v>2156</v>
      </c>
      <c r="M2109" s="26">
        <v>3</v>
      </c>
      <c r="N2109" s="26">
        <v>2</v>
      </c>
      <c r="O2109" s="26">
        <v>2</v>
      </c>
      <c r="P2109" s="26">
        <v>1</v>
      </c>
      <c r="Q2109" s="26">
        <v>0</v>
      </c>
      <c r="R2109" s="1209">
        <v>701</v>
      </c>
      <c r="S2109" s="1209">
        <v>1402</v>
      </c>
      <c r="T2109" s="26" t="s">
        <v>8074</v>
      </c>
      <c r="U2109" s="1859" t="s">
        <v>8075</v>
      </c>
      <c r="V2109" s="26" t="s">
        <v>104</v>
      </c>
      <c r="W2109" s="701" t="s">
        <v>3289</v>
      </c>
      <c r="X2109" s="18"/>
      <c r="Y2109" s="4"/>
      <c r="Z2109" s="4"/>
    </row>
    <row r="2110" spans="1:26" ht="14.1" hidden="1">
      <c r="A2110" s="20">
        <v>2117</v>
      </c>
      <c r="B2110" s="1063">
        <v>41887</v>
      </c>
      <c r="C2110" s="26" t="s">
        <v>1083</v>
      </c>
      <c r="D2110" s="11" t="s">
        <v>6</v>
      </c>
      <c r="E2110" s="26" t="s">
        <v>2722</v>
      </c>
      <c r="F2110" s="26" t="s">
        <v>1569</v>
      </c>
      <c r="G2110" s="26" t="s">
        <v>8083</v>
      </c>
      <c r="H2110" s="237" t="s">
        <v>8084</v>
      </c>
      <c r="I2110" s="26" t="s">
        <v>1144</v>
      </c>
      <c r="J2110" s="26" t="s">
        <v>1086</v>
      </c>
      <c r="K2110" s="26" t="s">
        <v>1087</v>
      </c>
      <c r="L2110" s="26" t="s">
        <v>1061</v>
      </c>
      <c r="M2110" s="26">
        <v>6</v>
      </c>
      <c r="N2110" s="26">
        <v>6</v>
      </c>
      <c r="O2110" s="26">
        <v>6</v>
      </c>
      <c r="P2110" s="26">
        <v>0</v>
      </c>
      <c r="Q2110" s="26">
        <v>0</v>
      </c>
      <c r="R2110" s="1209">
        <v>1053</v>
      </c>
      <c r="S2110" s="1209">
        <v>6318</v>
      </c>
      <c r="T2110" s="26" t="s">
        <v>8074</v>
      </c>
      <c r="U2110" s="1859" t="s">
        <v>8075</v>
      </c>
      <c r="V2110" s="26" t="s">
        <v>104</v>
      </c>
      <c r="W2110" s="2065" t="s">
        <v>1090</v>
      </c>
      <c r="X2110" s="18"/>
      <c r="Y2110" s="4"/>
      <c r="Z2110" s="4"/>
    </row>
    <row r="2111" spans="1:26" ht="14.1" hidden="1">
      <c r="A2111" s="20">
        <v>2118</v>
      </c>
      <c r="B2111" s="1063">
        <v>41888</v>
      </c>
      <c r="C2111" s="26" t="s">
        <v>8085</v>
      </c>
      <c r="D2111" s="11" t="s">
        <v>6</v>
      </c>
      <c r="E2111" s="26" t="s">
        <v>2722</v>
      </c>
      <c r="F2111" s="26" t="s">
        <v>1569</v>
      </c>
      <c r="G2111" s="26" t="s">
        <v>8086</v>
      </c>
      <c r="H2111" s="237" t="s">
        <v>8087</v>
      </c>
      <c r="I2111" s="26" t="s">
        <v>1144</v>
      </c>
      <c r="J2111" s="26" t="s">
        <v>2452</v>
      </c>
      <c r="K2111" s="26" t="s">
        <v>3301</v>
      </c>
      <c r="L2111" s="26">
        <v>603</v>
      </c>
      <c r="M2111" s="26">
        <v>6</v>
      </c>
      <c r="N2111" s="26">
        <v>5</v>
      </c>
      <c r="O2111" s="26">
        <v>20</v>
      </c>
      <c r="P2111" s="26">
        <v>0</v>
      </c>
      <c r="Q2111" s="26">
        <v>14</v>
      </c>
      <c r="R2111" s="1209">
        <v>5192</v>
      </c>
      <c r="S2111" s="1209">
        <v>5192</v>
      </c>
      <c r="T2111" s="26" t="s">
        <v>8074</v>
      </c>
      <c r="U2111" s="1859" t="s">
        <v>8075</v>
      </c>
      <c r="V2111" s="26" t="s">
        <v>104</v>
      </c>
      <c r="W2111" s="2065" t="s">
        <v>3302</v>
      </c>
      <c r="X2111" s="18" t="s">
        <v>8088</v>
      </c>
      <c r="Y2111" s="4"/>
      <c r="Z2111" s="4"/>
    </row>
    <row r="2112" spans="1:26" ht="14.1" hidden="1">
      <c r="A2112" s="20">
        <v>2119</v>
      </c>
      <c r="B2112" s="1063">
        <v>41889</v>
      </c>
      <c r="C2112" s="26" t="s">
        <v>8085</v>
      </c>
      <c r="D2112" s="11" t="s">
        <v>6</v>
      </c>
      <c r="E2112" s="26" t="s">
        <v>2722</v>
      </c>
      <c r="F2112" s="26" t="s">
        <v>1569</v>
      </c>
      <c r="G2112" s="26" t="s">
        <v>8089</v>
      </c>
      <c r="H2112" s="237" t="s">
        <v>8087</v>
      </c>
      <c r="I2112" s="26" t="s">
        <v>1144</v>
      </c>
      <c r="J2112" s="26" t="s">
        <v>2452</v>
      </c>
      <c r="K2112" s="26" t="s">
        <v>3301</v>
      </c>
      <c r="L2112" s="26">
        <v>603</v>
      </c>
      <c r="M2112" s="26">
        <v>3</v>
      </c>
      <c r="N2112" s="26">
        <v>2</v>
      </c>
      <c r="O2112" s="26">
        <v>20</v>
      </c>
      <c r="P2112" s="26">
        <v>0</v>
      </c>
      <c r="Q2112" s="26">
        <v>17</v>
      </c>
      <c r="R2112" s="1209"/>
      <c r="S2112" s="1209"/>
      <c r="T2112" s="26" t="s">
        <v>8074</v>
      </c>
      <c r="U2112" s="1859" t="s">
        <v>8075</v>
      </c>
      <c r="V2112" s="26" t="s">
        <v>104</v>
      </c>
      <c r="W2112" s="2065" t="s">
        <v>3302</v>
      </c>
      <c r="X2112" s="18"/>
      <c r="Y2112" s="4"/>
      <c r="Z2112" s="4"/>
    </row>
    <row r="2113" spans="1:26" ht="14.1" hidden="1">
      <c r="A2113" s="20">
        <v>2120</v>
      </c>
      <c r="B2113" s="1063">
        <v>41890</v>
      </c>
      <c r="C2113" s="26" t="s">
        <v>8090</v>
      </c>
      <c r="D2113" s="11" t="s">
        <v>6</v>
      </c>
      <c r="E2113" s="26" t="s">
        <v>2722</v>
      </c>
      <c r="F2113" s="26" t="s">
        <v>1569</v>
      </c>
      <c r="G2113" s="26" t="s">
        <v>8091</v>
      </c>
      <c r="H2113" s="237" t="s">
        <v>8087</v>
      </c>
      <c r="I2113" s="26" t="s">
        <v>1144</v>
      </c>
      <c r="J2113" s="26" t="s">
        <v>2470</v>
      </c>
      <c r="K2113" s="26" t="s">
        <v>3305</v>
      </c>
      <c r="L2113" s="26">
        <v>603</v>
      </c>
      <c r="M2113" s="26">
        <v>3</v>
      </c>
      <c r="N2113" s="26">
        <v>2</v>
      </c>
      <c r="O2113" s="26">
        <v>20</v>
      </c>
      <c r="P2113" s="26">
        <v>0</v>
      </c>
      <c r="Q2113" s="26">
        <v>17</v>
      </c>
      <c r="R2113" s="1209">
        <v>5192</v>
      </c>
      <c r="S2113" s="1209">
        <v>5192</v>
      </c>
      <c r="T2113" s="26" t="s">
        <v>8074</v>
      </c>
      <c r="U2113" s="1859" t="s">
        <v>8075</v>
      </c>
      <c r="V2113" s="26" t="s">
        <v>104</v>
      </c>
      <c r="W2113" s="701" t="s">
        <v>3306</v>
      </c>
      <c r="X2113" s="18"/>
      <c r="Y2113" s="4"/>
      <c r="Z2113" s="4"/>
    </row>
    <row r="2114" spans="1:26" ht="14.1" hidden="1">
      <c r="A2114" s="20">
        <v>2121</v>
      </c>
      <c r="B2114" s="1063">
        <v>41891</v>
      </c>
      <c r="C2114" s="26" t="s">
        <v>8092</v>
      </c>
      <c r="D2114" s="11" t="s">
        <v>6</v>
      </c>
      <c r="E2114" s="26" t="s">
        <v>2722</v>
      </c>
      <c r="F2114" s="26" t="s">
        <v>1569</v>
      </c>
      <c r="G2114" s="26" t="s">
        <v>3896</v>
      </c>
      <c r="H2114" s="237" t="s">
        <v>8093</v>
      </c>
      <c r="I2114" s="26" t="s">
        <v>1144</v>
      </c>
      <c r="J2114" s="26" t="s">
        <v>3899</v>
      </c>
      <c r="K2114" s="26" t="s">
        <v>3900</v>
      </c>
      <c r="L2114" s="26" t="s">
        <v>8094</v>
      </c>
      <c r="M2114" s="26">
        <v>3</v>
      </c>
      <c r="N2114" s="26">
        <v>3</v>
      </c>
      <c r="O2114" s="26">
        <v>3</v>
      </c>
      <c r="P2114" s="26">
        <v>0</v>
      </c>
      <c r="Q2114" s="26">
        <v>0</v>
      </c>
      <c r="R2114" s="1209">
        <v>150</v>
      </c>
      <c r="S2114" s="1209">
        <v>450</v>
      </c>
      <c r="T2114" s="26" t="s">
        <v>8074</v>
      </c>
      <c r="U2114" s="1859" t="s">
        <v>8075</v>
      </c>
      <c r="V2114" s="26" t="s">
        <v>104</v>
      </c>
      <c r="W2114" s="2065" t="s">
        <v>3901</v>
      </c>
      <c r="X2114" s="18"/>
      <c r="Y2114" s="4"/>
      <c r="Z2114" s="4"/>
    </row>
    <row r="2115" spans="1:26" ht="14.1" hidden="1">
      <c r="A2115" s="20">
        <v>2122</v>
      </c>
      <c r="B2115" s="1063">
        <v>41892</v>
      </c>
      <c r="C2115" s="26" t="s">
        <v>8095</v>
      </c>
      <c r="D2115" s="11" t="s">
        <v>6</v>
      </c>
      <c r="E2115" s="26" t="s">
        <v>2722</v>
      </c>
      <c r="F2115" s="26" t="s">
        <v>1569</v>
      </c>
      <c r="G2115" s="26" t="s">
        <v>8096</v>
      </c>
      <c r="H2115" s="237" t="s">
        <v>8097</v>
      </c>
      <c r="I2115" s="26" t="s">
        <v>8097</v>
      </c>
      <c r="J2115" s="26" t="s">
        <v>8098</v>
      </c>
      <c r="K2115" s="26" t="s">
        <v>2229</v>
      </c>
      <c r="L2115" s="26"/>
      <c r="M2115" s="26">
        <v>3</v>
      </c>
      <c r="N2115" s="26">
        <v>20</v>
      </c>
      <c r="O2115" s="26">
        <v>20</v>
      </c>
      <c r="P2115" s="26">
        <v>0</v>
      </c>
      <c r="Q2115" s="26">
        <v>17</v>
      </c>
      <c r="R2115" s="1209">
        <v>241</v>
      </c>
      <c r="S2115" s="1209">
        <v>4820</v>
      </c>
      <c r="T2115" s="26" t="s">
        <v>8074</v>
      </c>
      <c r="U2115" s="1859" t="s">
        <v>8075</v>
      </c>
      <c r="V2115" s="26" t="s">
        <v>104</v>
      </c>
      <c r="W2115" s="2065" t="s">
        <v>2232</v>
      </c>
      <c r="X2115" s="18"/>
      <c r="Y2115" s="4"/>
      <c r="Z2115" s="4"/>
    </row>
    <row r="2116" spans="1:26" ht="14.1" hidden="1">
      <c r="A2116" s="20">
        <v>2123</v>
      </c>
      <c r="B2116" s="1063">
        <v>41893</v>
      </c>
      <c r="C2116" s="26" t="s">
        <v>8099</v>
      </c>
      <c r="D2116" s="11" t="s">
        <v>6</v>
      </c>
      <c r="E2116" s="26" t="s">
        <v>2722</v>
      </c>
      <c r="F2116" s="26" t="s">
        <v>1569</v>
      </c>
      <c r="G2116" s="26" t="s">
        <v>8100</v>
      </c>
      <c r="H2116" s="237" t="s">
        <v>8101</v>
      </c>
      <c r="I2116" s="26" t="s">
        <v>1144</v>
      </c>
      <c r="J2116" s="26" t="s">
        <v>3123</v>
      </c>
      <c r="K2116" s="26" t="s">
        <v>3124</v>
      </c>
      <c r="L2116" s="26" t="s">
        <v>8102</v>
      </c>
      <c r="M2116" s="26">
        <v>3</v>
      </c>
      <c r="N2116" s="26">
        <v>3</v>
      </c>
      <c r="O2116" s="26">
        <v>3</v>
      </c>
      <c r="P2116" s="26">
        <v>0</v>
      </c>
      <c r="Q2116" s="26">
        <v>0</v>
      </c>
      <c r="R2116" s="1209">
        <v>198</v>
      </c>
      <c r="S2116" s="1209">
        <v>594</v>
      </c>
      <c r="T2116" s="26" t="s">
        <v>8074</v>
      </c>
      <c r="U2116" s="1859" t="s">
        <v>8075</v>
      </c>
      <c r="V2116" s="26" t="s">
        <v>104</v>
      </c>
      <c r="W2116" s="2065" t="s">
        <v>3126</v>
      </c>
      <c r="X2116" s="18"/>
      <c r="Y2116" s="4"/>
      <c r="Z2116" s="4"/>
    </row>
    <row r="2117" spans="1:26" ht="14.1" hidden="1">
      <c r="A2117" s="20">
        <v>2124</v>
      </c>
      <c r="B2117" s="1063">
        <v>41894</v>
      </c>
      <c r="C2117" s="26" t="s">
        <v>4534</v>
      </c>
      <c r="D2117" s="11" t="s">
        <v>6</v>
      </c>
      <c r="E2117" s="26" t="s">
        <v>2722</v>
      </c>
      <c r="F2117" s="26" t="s">
        <v>1569</v>
      </c>
      <c r="G2117" s="26" t="s">
        <v>8103</v>
      </c>
      <c r="H2117" s="237" t="s">
        <v>2786</v>
      </c>
      <c r="I2117" s="26" t="s">
        <v>1144</v>
      </c>
      <c r="J2117" s="26" t="s">
        <v>8104</v>
      </c>
      <c r="K2117" s="26" t="s">
        <v>8105</v>
      </c>
      <c r="L2117" s="26">
        <v>603</v>
      </c>
      <c r="M2117" s="26">
        <v>3</v>
      </c>
      <c r="N2117" s="26">
        <v>3</v>
      </c>
      <c r="O2117" s="26">
        <v>10</v>
      </c>
      <c r="P2117" s="26">
        <v>0</v>
      </c>
      <c r="Q2117" s="26">
        <v>7</v>
      </c>
      <c r="R2117" s="1209">
        <v>11</v>
      </c>
      <c r="S2117" s="1209">
        <v>110</v>
      </c>
      <c r="T2117" s="26" t="s">
        <v>8074</v>
      </c>
      <c r="U2117" s="1859" t="s">
        <v>8075</v>
      </c>
      <c r="V2117" s="26" t="s">
        <v>104</v>
      </c>
      <c r="W2117" s="2065" t="s">
        <v>8106</v>
      </c>
      <c r="X2117" s="18"/>
      <c r="Y2117" s="4"/>
      <c r="Z2117" s="4"/>
    </row>
    <row r="2118" spans="1:26" ht="14.1" hidden="1">
      <c r="A2118" s="20">
        <v>2125</v>
      </c>
      <c r="B2118" s="1063">
        <v>41895</v>
      </c>
      <c r="C2118" s="26" t="s">
        <v>8107</v>
      </c>
      <c r="D2118" s="11" t="s">
        <v>6</v>
      </c>
      <c r="E2118" s="26" t="s">
        <v>2722</v>
      </c>
      <c r="F2118" s="26" t="s">
        <v>1569</v>
      </c>
      <c r="G2118" s="26" t="s">
        <v>8108</v>
      </c>
      <c r="H2118" s="237" t="s">
        <v>7319</v>
      </c>
      <c r="I2118" s="26" t="s">
        <v>5690</v>
      </c>
      <c r="J2118" s="26">
        <v>26344578</v>
      </c>
      <c r="K2118" s="26" t="s">
        <v>5989</v>
      </c>
      <c r="L2118" s="26"/>
      <c r="M2118" s="26">
        <v>12</v>
      </c>
      <c r="N2118" s="26">
        <v>50</v>
      </c>
      <c r="O2118" s="26">
        <v>50</v>
      </c>
      <c r="P2118" s="26">
        <v>0</v>
      </c>
      <c r="Q2118" s="26">
        <v>38</v>
      </c>
      <c r="R2118" s="1209">
        <v>1690</v>
      </c>
      <c r="S2118" s="1209">
        <v>1690</v>
      </c>
      <c r="T2118" s="26" t="s">
        <v>8074</v>
      </c>
      <c r="U2118" s="1859" t="s">
        <v>8109</v>
      </c>
      <c r="V2118" s="26" t="s">
        <v>104</v>
      </c>
      <c r="W2118" s="2065" t="s">
        <v>3638</v>
      </c>
      <c r="X2118" s="18"/>
      <c r="Y2118" s="4"/>
      <c r="Z2118" s="4"/>
    </row>
    <row r="2119" spans="1:26" ht="14.1" hidden="1">
      <c r="A2119" s="20">
        <v>2126</v>
      </c>
      <c r="B2119" s="1063">
        <v>41896</v>
      </c>
      <c r="C2119" s="26" t="s">
        <v>8110</v>
      </c>
      <c r="D2119" s="11" t="s">
        <v>6</v>
      </c>
      <c r="E2119" s="26" t="s">
        <v>2722</v>
      </c>
      <c r="F2119" s="26" t="s">
        <v>1569</v>
      </c>
      <c r="G2119" s="26" t="s">
        <v>8111</v>
      </c>
      <c r="H2119" s="237" t="s">
        <v>8093</v>
      </c>
      <c r="I2119" s="26" t="s">
        <v>1144</v>
      </c>
      <c r="J2119" s="26" t="s">
        <v>933</v>
      </c>
      <c r="K2119" s="26" t="s">
        <v>8112</v>
      </c>
      <c r="L2119" s="26"/>
      <c r="M2119" s="26">
        <v>18</v>
      </c>
      <c r="N2119" s="26">
        <v>18</v>
      </c>
      <c r="O2119" s="26">
        <v>18</v>
      </c>
      <c r="P2119" s="26">
        <v>0</v>
      </c>
      <c r="Q2119" s="26">
        <v>0</v>
      </c>
      <c r="R2119" s="1209">
        <v>480.5</v>
      </c>
      <c r="S2119" s="1209">
        <v>8649</v>
      </c>
      <c r="T2119" s="26" t="s">
        <v>8074</v>
      </c>
      <c r="U2119" s="1859" t="s">
        <v>8109</v>
      </c>
      <c r="V2119" s="26" t="s">
        <v>104</v>
      </c>
      <c r="W2119" s="2065" t="s">
        <v>8113</v>
      </c>
      <c r="X2119" s="18"/>
      <c r="Y2119" s="4"/>
      <c r="Z2119" s="4"/>
    </row>
    <row r="2120" spans="1:26" ht="14.1" hidden="1">
      <c r="A2120" s="20">
        <v>2127</v>
      </c>
      <c r="B2120" s="1063">
        <v>41897</v>
      </c>
      <c r="C2120" s="26" t="s">
        <v>152</v>
      </c>
      <c r="D2120" s="11" t="s">
        <v>6</v>
      </c>
      <c r="E2120" s="26" t="s">
        <v>2722</v>
      </c>
      <c r="F2120" s="26" t="s">
        <v>1569</v>
      </c>
      <c r="G2120" s="26" t="s">
        <v>8114</v>
      </c>
      <c r="H2120" s="237" t="s">
        <v>2786</v>
      </c>
      <c r="I2120" s="26" t="s">
        <v>1144</v>
      </c>
      <c r="J2120" s="26" t="s">
        <v>8115</v>
      </c>
      <c r="K2120" s="26" t="s">
        <v>8116</v>
      </c>
      <c r="L2120" s="26">
        <v>1206</v>
      </c>
      <c r="M2120" s="26">
        <v>6</v>
      </c>
      <c r="N2120" s="26">
        <v>6</v>
      </c>
      <c r="O2120" s="26">
        <v>10</v>
      </c>
      <c r="P2120" s="26">
        <v>0</v>
      </c>
      <c r="Q2120" s="26">
        <v>4</v>
      </c>
      <c r="R2120" s="1209">
        <v>4.7</v>
      </c>
      <c r="S2120" s="1209">
        <v>47</v>
      </c>
      <c r="T2120" s="26" t="s">
        <v>8074</v>
      </c>
      <c r="U2120" s="1859" t="s">
        <v>8109</v>
      </c>
      <c r="V2120" s="26" t="s">
        <v>104</v>
      </c>
      <c r="W2120" s="2065" t="s">
        <v>8117</v>
      </c>
      <c r="X2120" s="18"/>
      <c r="Y2120" s="4"/>
      <c r="Z2120" s="4"/>
    </row>
    <row r="2121" spans="1:26" ht="14.1" hidden="1">
      <c r="A2121" s="20">
        <v>2128</v>
      </c>
      <c r="B2121" s="1063">
        <v>41898</v>
      </c>
      <c r="C2121" s="26" t="s">
        <v>8118</v>
      </c>
      <c r="D2121" s="11" t="s">
        <v>6</v>
      </c>
      <c r="E2121" s="26" t="s">
        <v>2722</v>
      </c>
      <c r="F2121" s="26" t="s">
        <v>1569</v>
      </c>
      <c r="G2121" s="26" t="s">
        <v>8119</v>
      </c>
      <c r="H2121" s="237" t="s">
        <v>305</v>
      </c>
      <c r="I2121" s="26" t="s">
        <v>1144</v>
      </c>
      <c r="J2121" s="26" t="s">
        <v>3640</v>
      </c>
      <c r="K2121" s="26">
        <v>554600272</v>
      </c>
      <c r="L2121" s="26"/>
      <c r="M2121" s="26">
        <v>9</v>
      </c>
      <c r="N2121" s="26">
        <v>9</v>
      </c>
      <c r="O2121" s="26">
        <v>10</v>
      </c>
      <c r="P2121" s="26">
        <v>0</v>
      </c>
      <c r="Q2121" s="26">
        <v>1</v>
      </c>
      <c r="R2121" s="1209">
        <v>140.6</v>
      </c>
      <c r="S2121" s="1209">
        <v>1406</v>
      </c>
      <c r="T2121" s="26" t="s">
        <v>8074</v>
      </c>
      <c r="U2121" s="1859" t="s">
        <v>8109</v>
      </c>
      <c r="V2121" s="26" t="s">
        <v>104</v>
      </c>
      <c r="W2121" s="2065" t="s">
        <v>3641</v>
      </c>
      <c r="X2121" s="18"/>
      <c r="Y2121" s="4"/>
      <c r="Z2121" s="4"/>
    </row>
    <row r="2122" spans="1:26" ht="14.1" hidden="1">
      <c r="A2122" s="20">
        <v>2129</v>
      </c>
      <c r="B2122" s="1063">
        <v>41899</v>
      </c>
      <c r="C2122" s="26" t="s">
        <v>329</v>
      </c>
      <c r="D2122" s="11" t="s">
        <v>6</v>
      </c>
      <c r="E2122" s="26" t="s">
        <v>2722</v>
      </c>
      <c r="F2122" s="26" t="s">
        <v>1569</v>
      </c>
      <c r="G2122" s="26" t="s">
        <v>640</v>
      </c>
      <c r="H2122" s="237" t="s">
        <v>201</v>
      </c>
      <c r="I2122" s="26" t="s">
        <v>1144</v>
      </c>
      <c r="J2122" s="26" t="s">
        <v>8120</v>
      </c>
      <c r="K2122" s="26" t="s">
        <v>8121</v>
      </c>
      <c r="L2122" s="26">
        <v>603</v>
      </c>
      <c r="M2122" s="26">
        <v>6</v>
      </c>
      <c r="N2122" s="26">
        <v>6</v>
      </c>
      <c r="O2122" s="26">
        <v>10</v>
      </c>
      <c r="P2122" s="26">
        <v>0</v>
      </c>
      <c r="Q2122" s="26">
        <v>4</v>
      </c>
      <c r="R2122" s="1209">
        <v>12</v>
      </c>
      <c r="S2122" s="1209">
        <v>120</v>
      </c>
      <c r="T2122" s="26" t="s">
        <v>8074</v>
      </c>
      <c r="U2122" s="1859" t="s">
        <v>8109</v>
      </c>
      <c r="V2122" s="26" t="s">
        <v>104</v>
      </c>
      <c r="W2122" s="2065" t="s">
        <v>8122</v>
      </c>
      <c r="X2122" s="18"/>
      <c r="Y2122" s="4"/>
      <c r="Z2122" s="4"/>
    </row>
    <row r="2123" spans="1:26" ht="14.1" hidden="1">
      <c r="A2123" s="20">
        <v>2130</v>
      </c>
      <c r="B2123" s="1063">
        <v>41900</v>
      </c>
      <c r="C2123" s="26" t="s">
        <v>8077</v>
      </c>
      <c r="D2123" s="11" t="s">
        <v>6</v>
      </c>
      <c r="E2123" s="26" t="s">
        <v>2722</v>
      </c>
      <c r="F2123" s="26" t="s">
        <v>1569</v>
      </c>
      <c r="G2123" s="26" t="s">
        <v>8114</v>
      </c>
      <c r="H2123" s="237" t="s">
        <v>2786</v>
      </c>
      <c r="I2123" s="26" t="s">
        <v>1144</v>
      </c>
      <c r="J2123" s="26" t="s">
        <v>8123</v>
      </c>
      <c r="K2123" s="26" t="s">
        <v>8124</v>
      </c>
      <c r="L2123" s="26">
        <v>2012</v>
      </c>
      <c r="M2123" s="26">
        <v>3</v>
      </c>
      <c r="N2123" s="26">
        <v>3</v>
      </c>
      <c r="O2123" s="26">
        <v>10</v>
      </c>
      <c r="P2123" s="26">
        <v>0</v>
      </c>
      <c r="Q2123" s="26">
        <v>7</v>
      </c>
      <c r="R2123" s="1209">
        <v>3.1</v>
      </c>
      <c r="S2123" s="1209">
        <v>31</v>
      </c>
      <c r="T2123" s="26" t="s">
        <v>8074</v>
      </c>
      <c r="U2123" s="1859" t="s">
        <v>8125</v>
      </c>
      <c r="V2123" s="26" t="s">
        <v>104</v>
      </c>
      <c r="W2123" s="2065" t="s">
        <v>8126</v>
      </c>
      <c r="X2123" s="18"/>
      <c r="Y2123" s="4"/>
      <c r="Z2123" s="4"/>
    </row>
    <row r="2124" spans="1:26" ht="14.1" hidden="1">
      <c r="A2124" s="20">
        <v>2131</v>
      </c>
      <c r="B2124" s="1063">
        <v>41901</v>
      </c>
      <c r="C2124" s="26" t="s">
        <v>8077</v>
      </c>
      <c r="D2124" s="11" t="s">
        <v>6</v>
      </c>
      <c r="E2124" s="26" t="s">
        <v>2722</v>
      </c>
      <c r="F2124" s="26" t="s">
        <v>1569</v>
      </c>
      <c r="G2124" s="26" t="s">
        <v>8127</v>
      </c>
      <c r="H2124" s="237" t="s">
        <v>3676</v>
      </c>
      <c r="I2124" s="26" t="s">
        <v>1144</v>
      </c>
      <c r="J2124" s="26" t="s">
        <v>2882</v>
      </c>
      <c r="K2124" s="26" t="s">
        <v>2883</v>
      </c>
      <c r="L2124" s="26">
        <v>805</v>
      </c>
      <c r="M2124" s="26">
        <v>15</v>
      </c>
      <c r="N2124" s="26">
        <v>15</v>
      </c>
      <c r="O2124" s="26">
        <v>20</v>
      </c>
      <c r="P2124" s="26">
        <v>0</v>
      </c>
      <c r="Q2124" s="26">
        <v>5</v>
      </c>
      <c r="R2124" s="1209">
        <v>83.1</v>
      </c>
      <c r="S2124" s="1209">
        <v>1662</v>
      </c>
      <c r="T2124" s="26" t="s">
        <v>8074</v>
      </c>
      <c r="U2124" s="1859" t="s">
        <v>8125</v>
      </c>
      <c r="V2124" s="26" t="s">
        <v>104</v>
      </c>
      <c r="W2124" s="2065" t="s">
        <v>8128</v>
      </c>
      <c r="X2124" s="18"/>
      <c r="Y2124" s="4"/>
      <c r="Z2124" s="4"/>
    </row>
    <row r="2125" spans="1:26" ht="14.1" hidden="1">
      <c r="A2125" s="20">
        <v>2132</v>
      </c>
      <c r="B2125" s="1063">
        <v>41902</v>
      </c>
      <c r="C2125" s="26" t="s">
        <v>8077</v>
      </c>
      <c r="D2125" s="11" t="s">
        <v>6</v>
      </c>
      <c r="E2125" s="26" t="s">
        <v>2722</v>
      </c>
      <c r="F2125" s="26" t="s">
        <v>1569</v>
      </c>
      <c r="G2125" s="26" t="s">
        <v>8129</v>
      </c>
      <c r="H2125" s="237" t="s">
        <v>2786</v>
      </c>
      <c r="I2125" s="26" t="s">
        <v>1144</v>
      </c>
      <c r="J2125" s="26" t="s">
        <v>8130</v>
      </c>
      <c r="K2125" s="26" t="s">
        <v>8131</v>
      </c>
      <c r="L2125" s="26">
        <v>402</v>
      </c>
      <c r="M2125" s="26">
        <v>6</v>
      </c>
      <c r="N2125" s="26">
        <v>6</v>
      </c>
      <c r="O2125" s="26">
        <v>10</v>
      </c>
      <c r="P2125" s="26">
        <v>0</v>
      </c>
      <c r="Q2125" s="26">
        <v>4</v>
      </c>
      <c r="R2125" s="1209">
        <v>2.7</v>
      </c>
      <c r="S2125" s="1209">
        <v>27</v>
      </c>
      <c r="T2125" s="26" t="s">
        <v>8074</v>
      </c>
      <c r="U2125" s="1859" t="s">
        <v>8125</v>
      </c>
      <c r="V2125" s="26" t="s">
        <v>104</v>
      </c>
      <c r="W2125" s="2065" t="s">
        <v>8132</v>
      </c>
      <c r="X2125" s="18"/>
      <c r="Y2125" s="4"/>
      <c r="Z2125" s="4"/>
    </row>
    <row r="2126" spans="1:26" ht="14.1" hidden="1">
      <c r="A2126" s="20">
        <v>2133</v>
      </c>
      <c r="B2126" s="1063">
        <v>41903</v>
      </c>
      <c r="C2126" s="26" t="s">
        <v>8077</v>
      </c>
      <c r="D2126" s="11" t="s">
        <v>6</v>
      </c>
      <c r="E2126" s="26" t="s">
        <v>2722</v>
      </c>
      <c r="F2126" s="26" t="s">
        <v>1569</v>
      </c>
      <c r="G2126" s="26">
        <v>100</v>
      </c>
      <c r="H2126" s="237" t="s">
        <v>2786</v>
      </c>
      <c r="I2126" s="26" t="s">
        <v>1144</v>
      </c>
      <c r="J2126" s="26" t="s">
        <v>8133</v>
      </c>
      <c r="K2126" s="26" t="s">
        <v>2825</v>
      </c>
      <c r="L2126" s="26">
        <v>805</v>
      </c>
      <c r="M2126" s="26">
        <v>18</v>
      </c>
      <c r="N2126" s="26">
        <v>18</v>
      </c>
      <c r="O2126" s="26">
        <v>20</v>
      </c>
      <c r="P2126" s="26">
        <v>0</v>
      </c>
      <c r="Q2126" s="26">
        <v>2</v>
      </c>
      <c r="R2126" s="1209">
        <v>3.8</v>
      </c>
      <c r="S2126" s="1209">
        <v>76</v>
      </c>
      <c r="T2126" s="26" t="s">
        <v>8074</v>
      </c>
      <c r="U2126" s="1859" t="s">
        <v>8134</v>
      </c>
      <c r="V2126" s="26" t="s">
        <v>104</v>
      </c>
      <c r="W2126" s="2065" t="s">
        <v>8135</v>
      </c>
      <c r="X2126" s="18"/>
      <c r="Y2126" s="4"/>
      <c r="Z2126" s="4"/>
    </row>
    <row r="2127" spans="1:26" ht="14.1" hidden="1">
      <c r="A2127" s="20">
        <v>2134</v>
      </c>
      <c r="B2127" s="1063">
        <v>41904</v>
      </c>
      <c r="C2127" s="26" t="s">
        <v>8077</v>
      </c>
      <c r="D2127" s="11" t="s">
        <v>6</v>
      </c>
      <c r="E2127" s="26" t="s">
        <v>2722</v>
      </c>
      <c r="F2127" s="26" t="s">
        <v>1569</v>
      </c>
      <c r="G2127" s="26">
        <v>100</v>
      </c>
      <c r="H2127" s="237" t="s">
        <v>2786</v>
      </c>
      <c r="I2127" s="26" t="s">
        <v>1144</v>
      </c>
      <c r="J2127" s="26" t="s">
        <v>8136</v>
      </c>
      <c r="K2127" s="26" t="s">
        <v>8137</v>
      </c>
      <c r="L2127" s="26">
        <v>402</v>
      </c>
      <c r="M2127" s="26">
        <v>3</v>
      </c>
      <c r="N2127" s="26">
        <v>3</v>
      </c>
      <c r="O2127" s="26">
        <v>10</v>
      </c>
      <c r="P2127" s="26">
        <v>0</v>
      </c>
      <c r="Q2127" s="26">
        <v>7</v>
      </c>
      <c r="R2127" s="1209">
        <v>2.7</v>
      </c>
      <c r="S2127" s="1209">
        <v>27</v>
      </c>
      <c r="T2127" s="26" t="s">
        <v>8074</v>
      </c>
      <c r="U2127" s="1859" t="s">
        <v>8125</v>
      </c>
      <c r="V2127" s="26" t="s">
        <v>104</v>
      </c>
      <c r="W2127" s="2065" t="s">
        <v>8138</v>
      </c>
      <c r="X2127" s="18"/>
      <c r="Y2127" s="4"/>
      <c r="Z2127" s="4"/>
    </row>
    <row r="2128" spans="1:26" ht="14.1" hidden="1">
      <c r="A2128" s="20">
        <v>2135</v>
      </c>
      <c r="B2128" s="1063">
        <v>41905</v>
      </c>
      <c r="C2128" s="26" t="s">
        <v>8139</v>
      </c>
      <c r="D2128" s="11" t="s">
        <v>6</v>
      </c>
      <c r="E2128" s="26" t="s">
        <v>2722</v>
      </c>
      <c r="F2128" s="26" t="s">
        <v>1569</v>
      </c>
      <c r="G2128" s="26" t="s">
        <v>8140</v>
      </c>
      <c r="H2128" s="237" t="s">
        <v>8141</v>
      </c>
      <c r="I2128" s="26" t="s">
        <v>1144</v>
      </c>
      <c r="J2128" s="26" t="s">
        <v>8142</v>
      </c>
      <c r="K2128" s="26" t="s">
        <v>8143</v>
      </c>
      <c r="L2128" s="26">
        <v>402</v>
      </c>
      <c r="M2128" s="26">
        <v>3</v>
      </c>
      <c r="N2128" s="26">
        <v>3</v>
      </c>
      <c r="O2128" s="26">
        <v>10</v>
      </c>
      <c r="P2128" s="26">
        <v>0</v>
      </c>
      <c r="Q2128" s="26">
        <v>7</v>
      </c>
      <c r="R2128" s="1209">
        <v>4.8</v>
      </c>
      <c r="S2128" s="1209">
        <v>48</v>
      </c>
      <c r="T2128" s="26" t="s">
        <v>8074</v>
      </c>
      <c r="U2128" s="1859" t="s">
        <v>8125</v>
      </c>
      <c r="V2128" s="26" t="s">
        <v>104</v>
      </c>
      <c r="W2128" s="2065" t="s">
        <v>8144</v>
      </c>
      <c r="X2128" s="18"/>
      <c r="Y2128" s="4"/>
      <c r="Z2128" s="4"/>
    </row>
    <row r="2129" spans="1:26" ht="14.1" hidden="1">
      <c r="A2129" s="20">
        <v>2136</v>
      </c>
      <c r="B2129" s="1063">
        <v>41906</v>
      </c>
      <c r="C2129" s="26" t="s">
        <v>8139</v>
      </c>
      <c r="D2129" s="11" t="s">
        <v>6</v>
      </c>
      <c r="E2129" s="26" t="s">
        <v>2722</v>
      </c>
      <c r="F2129" s="26" t="s">
        <v>1569</v>
      </c>
      <c r="G2129" s="26" t="s">
        <v>8145</v>
      </c>
      <c r="H2129" s="237" t="s">
        <v>3243</v>
      </c>
      <c r="I2129" s="26" t="s">
        <v>1144</v>
      </c>
      <c r="J2129" s="26" t="s">
        <v>3652</v>
      </c>
      <c r="K2129" s="26" t="s">
        <v>8146</v>
      </c>
      <c r="L2129" s="26">
        <v>603</v>
      </c>
      <c r="M2129" s="26">
        <v>12</v>
      </c>
      <c r="N2129" s="26">
        <v>12</v>
      </c>
      <c r="O2129" s="26">
        <v>15</v>
      </c>
      <c r="P2129" s="26">
        <v>0</v>
      </c>
      <c r="Q2129" s="26">
        <v>3</v>
      </c>
      <c r="R2129" s="1209">
        <v>38</v>
      </c>
      <c r="S2129" s="1209">
        <v>570</v>
      </c>
      <c r="T2129" s="26" t="s">
        <v>8074</v>
      </c>
      <c r="U2129" s="1859" t="s">
        <v>8125</v>
      </c>
      <c r="V2129" s="26" t="s">
        <v>104</v>
      </c>
      <c r="W2129" s="2065" t="s">
        <v>8147</v>
      </c>
      <c r="X2129" s="18"/>
      <c r="Y2129" s="4"/>
      <c r="Z2129" s="4"/>
    </row>
    <row r="2130" spans="1:26" ht="14.1" hidden="1">
      <c r="A2130" s="20">
        <v>2137</v>
      </c>
      <c r="B2130" s="1063">
        <v>41907</v>
      </c>
      <c r="C2130" s="26" t="s">
        <v>8139</v>
      </c>
      <c r="D2130" s="11" t="s">
        <v>6</v>
      </c>
      <c r="E2130" s="26" t="s">
        <v>2722</v>
      </c>
      <c r="F2130" s="26" t="s">
        <v>1569</v>
      </c>
      <c r="G2130" s="26" t="s">
        <v>8148</v>
      </c>
      <c r="H2130" s="237" t="s">
        <v>8141</v>
      </c>
      <c r="I2130" s="26" t="s">
        <v>1144</v>
      </c>
      <c r="J2130" s="26" t="s">
        <v>8149</v>
      </c>
      <c r="K2130" s="26" t="s">
        <v>8150</v>
      </c>
      <c r="L2130" s="26">
        <v>402</v>
      </c>
      <c r="M2130" s="26">
        <v>15</v>
      </c>
      <c r="N2130" s="26">
        <v>15</v>
      </c>
      <c r="O2130" s="26">
        <v>20</v>
      </c>
      <c r="P2130" s="26">
        <v>0</v>
      </c>
      <c r="Q2130" s="26">
        <v>5</v>
      </c>
      <c r="R2130" s="1209">
        <v>4.3</v>
      </c>
      <c r="S2130" s="1209">
        <v>86</v>
      </c>
      <c r="T2130" s="26" t="s">
        <v>8074</v>
      </c>
      <c r="U2130" s="1859" t="s">
        <v>8125</v>
      </c>
      <c r="V2130" s="26" t="s">
        <v>104</v>
      </c>
      <c r="W2130" s="2065" t="s">
        <v>8151</v>
      </c>
      <c r="X2130" s="18"/>
      <c r="Y2130" s="4"/>
      <c r="Z2130" s="4"/>
    </row>
    <row r="2131" spans="1:26" ht="14.1" hidden="1">
      <c r="A2131" s="20">
        <v>2138</v>
      </c>
      <c r="B2131" s="1063">
        <v>41908</v>
      </c>
      <c r="C2131" s="26" t="s">
        <v>8139</v>
      </c>
      <c r="D2131" s="11" t="s">
        <v>6</v>
      </c>
      <c r="E2131" s="26" t="s">
        <v>2722</v>
      </c>
      <c r="F2131" s="26" t="s">
        <v>1569</v>
      </c>
      <c r="G2131" s="26" t="s">
        <v>8148</v>
      </c>
      <c r="H2131" s="237" t="s">
        <v>651</v>
      </c>
      <c r="I2131" s="26" t="s">
        <v>1144</v>
      </c>
      <c r="J2131" s="26" t="s">
        <v>1657</v>
      </c>
      <c r="K2131" s="26" t="s">
        <v>1658</v>
      </c>
      <c r="L2131" s="26">
        <v>805</v>
      </c>
      <c r="M2131" s="26">
        <v>63</v>
      </c>
      <c r="N2131" s="26">
        <v>63</v>
      </c>
      <c r="O2131" s="26">
        <v>63</v>
      </c>
      <c r="P2131" s="26">
        <v>0</v>
      </c>
      <c r="Q2131" s="26">
        <v>0</v>
      </c>
      <c r="R2131" s="1209">
        <v>29.1</v>
      </c>
      <c r="S2131" s="1209">
        <v>1833.3</v>
      </c>
      <c r="T2131" s="26" t="s">
        <v>8074</v>
      </c>
      <c r="U2131" s="1859" t="s">
        <v>8134</v>
      </c>
      <c r="V2131" s="26" t="s">
        <v>104</v>
      </c>
      <c r="W2131" s="2065" t="s">
        <v>8152</v>
      </c>
      <c r="X2131" s="18"/>
      <c r="Y2131" s="4"/>
      <c r="Z2131" s="4"/>
    </row>
    <row r="2132" spans="1:26" ht="14.1" hidden="1">
      <c r="A2132" s="20">
        <v>2139</v>
      </c>
      <c r="B2132" s="1063">
        <v>41909</v>
      </c>
      <c r="C2132" s="26" t="s">
        <v>8139</v>
      </c>
      <c r="D2132" s="11" t="s">
        <v>6</v>
      </c>
      <c r="E2132" s="26" t="s">
        <v>2722</v>
      </c>
      <c r="F2132" s="26" t="s">
        <v>1569</v>
      </c>
      <c r="G2132" s="26" t="s">
        <v>8148</v>
      </c>
      <c r="H2132" s="237" t="s">
        <v>3243</v>
      </c>
      <c r="I2132" s="26" t="s">
        <v>1144</v>
      </c>
      <c r="J2132" s="26" t="s">
        <v>3549</v>
      </c>
      <c r="K2132" s="26" t="s">
        <v>3550</v>
      </c>
      <c r="L2132" s="26">
        <v>603</v>
      </c>
      <c r="M2132" s="26">
        <v>30</v>
      </c>
      <c r="N2132" s="26">
        <v>30</v>
      </c>
      <c r="O2132" s="26">
        <v>40</v>
      </c>
      <c r="P2132" s="26">
        <v>0</v>
      </c>
      <c r="Q2132" s="26">
        <v>10</v>
      </c>
      <c r="R2132" s="1209">
        <v>21.7</v>
      </c>
      <c r="S2132" s="1209">
        <v>868</v>
      </c>
      <c r="T2132" s="26" t="s">
        <v>8074</v>
      </c>
      <c r="U2132" s="1859" t="s">
        <v>8125</v>
      </c>
      <c r="V2132" s="26" t="s">
        <v>104</v>
      </c>
      <c r="W2132" s="2065" t="s">
        <v>3553</v>
      </c>
      <c r="X2132" s="18"/>
      <c r="Y2132" s="4"/>
      <c r="Z2132" s="4"/>
    </row>
    <row r="2133" spans="1:26" ht="14.1" hidden="1">
      <c r="A2133" s="20">
        <v>2140</v>
      </c>
      <c r="B2133" s="1063">
        <v>41910</v>
      </c>
      <c r="C2133" s="26" t="s">
        <v>8153</v>
      </c>
      <c r="D2133" s="11" t="s">
        <v>6</v>
      </c>
      <c r="E2133" s="26" t="s">
        <v>2722</v>
      </c>
      <c r="F2133" s="26" t="s">
        <v>1569</v>
      </c>
      <c r="G2133" s="26" t="s">
        <v>8154</v>
      </c>
      <c r="H2133" s="237" t="s">
        <v>3267</v>
      </c>
      <c r="I2133" s="26" t="s">
        <v>3268</v>
      </c>
      <c r="J2133" s="26" t="s">
        <v>8155</v>
      </c>
      <c r="K2133" s="26" t="s">
        <v>6660</v>
      </c>
      <c r="L2133" s="26" t="s">
        <v>1</v>
      </c>
      <c r="M2133" s="26">
        <v>9</v>
      </c>
      <c r="N2133" s="26">
        <v>9</v>
      </c>
      <c r="O2133" s="26">
        <v>10</v>
      </c>
      <c r="P2133" s="26">
        <v>0</v>
      </c>
      <c r="Q2133" s="26">
        <v>1</v>
      </c>
      <c r="R2133" s="1209">
        <v>484</v>
      </c>
      <c r="S2133" s="1209">
        <v>4840</v>
      </c>
      <c r="T2133" s="26" t="s">
        <v>8074</v>
      </c>
      <c r="U2133" s="1859" t="s">
        <v>8156</v>
      </c>
      <c r="V2133" s="26" t="s">
        <v>104</v>
      </c>
      <c r="W2133" s="2065" t="s">
        <v>3270</v>
      </c>
      <c r="X2133" s="18"/>
      <c r="Y2133" s="4"/>
      <c r="Z2133" s="4"/>
    </row>
    <row r="2134" spans="1:26" ht="14.1" hidden="1">
      <c r="A2134" s="20">
        <v>2141</v>
      </c>
      <c r="B2134" s="1063">
        <v>41911</v>
      </c>
      <c r="C2134" s="26" t="s">
        <v>8139</v>
      </c>
      <c r="D2134" s="11" t="s">
        <v>6</v>
      </c>
      <c r="E2134" s="26" t="s">
        <v>2722</v>
      </c>
      <c r="F2134" s="26" t="s">
        <v>1569</v>
      </c>
      <c r="G2134" s="26" t="s">
        <v>8157</v>
      </c>
      <c r="H2134" s="237" t="s">
        <v>8141</v>
      </c>
      <c r="I2134" s="26" t="s">
        <v>1144</v>
      </c>
      <c r="J2134" s="26" t="s">
        <v>8158</v>
      </c>
      <c r="K2134" s="26" t="s">
        <v>8159</v>
      </c>
      <c r="L2134" s="26">
        <v>402</v>
      </c>
      <c r="M2134" s="26">
        <v>21</v>
      </c>
      <c r="N2134" s="26">
        <v>21</v>
      </c>
      <c r="O2134" s="26">
        <v>30</v>
      </c>
      <c r="P2134" s="26">
        <v>0</v>
      </c>
      <c r="Q2134" s="26">
        <v>9</v>
      </c>
      <c r="R2134" s="1209">
        <v>9.8000000000000007</v>
      </c>
      <c r="S2134" s="1209">
        <v>294</v>
      </c>
      <c r="T2134" s="26" t="s">
        <v>8074</v>
      </c>
      <c r="U2134" s="1859" t="s">
        <v>8125</v>
      </c>
      <c r="V2134" s="26" t="s">
        <v>104</v>
      </c>
      <c r="W2134" s="2065" t="s">
        <v>8160</v>
      </c>
      <c r="X2134" s="18"/>
      <c r="Y2134" s="4"/>
      <c r="Z2134" s="4"/>
    </row>
    <row r="2135" spans="1:26" ht="14.1" hidden="1">
      <c r="A2135" s="20">
        <v>2142</v>
      </c>
      <c r="B2135" s="1063">
        <v>41912</v>
      </c>
      <c r="C2135" s="26" t="s">
        <v>8139</v>
      </c>
      <c r="D2135" s="11" t="s">
        <v>6</v>
      </c>
      <c r="E2135" s="26" t="s">
        <v>2722</v>
      </c>
      <c r="F2135" s="26" t="s">
        <v>1569</v>
      </c>
      <c r="G2135" s="26" t="s">
        <v>646</v>
      </c>
      <c r="H2135" s="237" t="s">
        <v>8141</v>
      </c>
      <c r="I2135" s="26" t="s">
        <v>39</v>
      </c>
      <c r="J2135" s="26" t="s">
        <v>8161</v>
      </c>
      <c r="K2135" s="26" t="s">
        <v>648</v>
      </c>
      <c r="L2135" s="26">
        <v>805</v>
      </c>
      <c r="M2135" s="26">
        <v>15</v>
      </c>
      <c r="N2135" s="26">
        <v>15</v>
      </c>
      <c r="O2135" s="26">
        <v>20</v>
      </c>
      <c r="P2135" s="26">
        <v>0</v>
      </c>
      <c r="Q2135" s="26">
        <v>5</v>
      </c>
      <c r="R2135" s="1209">
        <v>93.6</v>
      </c>
      <c r="S2135" s="1209">
        <f>R2135*O2135</f>
        <v>1872</v>
      </c>
      <c r="T2135" s="26" t="s">
        <v>8074</v>
      </c>
      <c r="U2135" s="1859" t="s">
        <v>8125</v>
      </c>
      <c r="V2135" s="26" t="s">
        <v>104</v>
      </c>
      <c r="W2135" s="2079" t="s">
        <v>8162</v>
      </c>
      <c r="X2135" s="18"/>
      <c r="Y2135" s="4"/>
      <c r="Z2135" s="4"/>
    </row>
    <row r="2136" spans="1:26" ht="14.1" hidden="1">
      <c r="A2136" s="20">
        <v>2143</v>
      </c>
      <c r="B2136" s="1063">
        <v>41913</v>
      </c>
      <c r="C2136" s="26" t="s">
        <v>8077</v>
      </c>
      <c r="D2136" s="11" t="s">
        <v>6</v>
      </c>
      <c r="E2136" s="26" t="s">
        <v>2722</v>
      </c>
      <c r="F2136" s="26" t="s">
        <v>1569</v>
      </c>
      <c r="G2136" s="26" t="s">
        <v>6349</v>
      </c>
      <c r="H2136" s="237" t="s">
        <v>2786</v>
      </c>
      <c r="I2136" s="26" t="s">
        <v>1144</v>
      </c>
      <c r="J2136" s="26" t="s">
        <v>8163</v>
      </c>
      <c r="K2136" s="26" t="s">
        <v>8164</v>
      </c>
      <c r="L2136" s="26">
        <v>402</v>
      </c>
      <c r="M2136" s="26">
        <v>6</v>
      </c>
      <c r="N2136" s="26">
        <v>6</v>
      </c>
      <c r="O2136" s="26">
        <v>10</v>
      </c>
      <c r="P2136" s="26">
        <v>0</v>
      </c>
      <c r="Q2136" s="26">
        <v>4</v>
      </c>
      <c r="R2136" s="1209">
        <v>2.7</v>
      </c>
      <c r="S2136" s="1209">
        <v>27</v>
      </c>
      <c r="T2136" s="26" t="s">
        <v>8074</v>
      </c>
      <c r="U2136" s="1859" t="s">
        <v>8125</v>
      </c>
      <c r="V2136" s="26" t="s">
        <v>104</v>
      </c>
      <c r="W2136" s="2065" t="s">
        <v>8165</v>
      </c>
      <c r="X2136" s="18"/>
      <c r="Y2136" s="4"/>
      <c r="Z2136" s="4"/>
    </row>
    <row r="2137" spans="1:26" ht="14.1" hidden="1">
      <c r="A2137" s="20">
        <v>2144</v>
      </c>
      <c r="B2137" s="1063">
        <v>41914</v>
      </c>
      <c r="C2137" s="26" t="s">
        <v>8077</v>
      </c>
      <c r="D2137" s="11" t="s">
        <v>6</v>
      </c>
      <c r="E2137" s="26" t="s">
        <v>2722</v>
      </c>
      <c r="F2137" s="26" t="s">
        <v>1569</v>
      </c>
      <c r="G2137" s="26" t="s">
        <v>6349</v>
      </c>
      <c r="H2137" s="237" t="s">
        <v>2786</v>
      </c>
      <c r="I2137" s="26" t="s">
        <v>1144</v>
      </c>
      <c r="J2137" s="26" t="s">
        <v>8166</v>
      </c>
      <c r="K2137" s="26" t="s">
        <v>2795</v>
      </c>
      <c r="L2137" s="26">
        <v>805</v>
      </c>
      <c r="M2137" s="26">
        <v>30</v>
      </c>
      <c r="N2137" s="26">
        <v>30</v>
      </c>
      <c r="O2137" s="26">
        <v>40</v>
      </c>
      <c r="P2137" s="26">
        <v>0</v>
      </c>
      <c r="Q2137" s="26">
        <v>10</v>
      </c>
      <c r="R2137" s="1209">
        <v>3.1</v>
      </c>
      <c r="S2137" s="1209">
        <v>124</v>
      </c>
      <c r="T2137" s="26" t="s">
        <v>8074</v>
      </c>
      <c r="U2137" s="1859" t="s">
        <v>8125</v>
      </c>
      <c r="V2137" s="26" t="s">
        <v>104</v>
      </c>
      <c r="W2137" s="2065" t="s">
        <v>8167</v>
      </c>
      <c r="X2137" s="18"/>
      <c r="Y2137" s="4"/>
      <c r="Z2137" s="4"/>
    </row>
    <row r="2138" spans="1:26" ht="14.1" hidden="1">
      <c r="A2138" s="20">
        <v>2145</v>
      </c>
      <c r="B2138" s="1063">
        <v>41915</v>
      </c>
      <c r="C2138" s="26" t="s">
        <v>8139</v>
      </c>
      <c r="D2138" s="11" t="s">
        <v>6</v>
      </c>
      <c r="E2138" s="26" t="s">
        <v>2722</v>
      </c>
      <c r="F2138" s="26" t="s">
        <v>1569</v>
      </c>
      <c r="G2138" s="26" t="s">
        <v>8168</v>
      </c>
      <c r="H2138" s="237" t="s">
        <v>8141</v>
      </c>
      <c r="I2138" s="26" t="s">
        <v>1144</v>
      </c>
      <c r="J2138" s="26" t="s">
        <v>3867</v>
      </c>
      <c r="K2138" s="26" t="s">
        <v>3868</v>
      </c>
      <c r="L2138" s="26">
        <v>402</v>
      </c>
      <c r="M2138" s="26">
        <v>3</v>
      </c>
      <c r="N2138" s="26">
        <v>3</v>
      </c>
      <c r="O2138" s="26">
        <v>10</v>
      </c>
      <c r="P2138" s="26">
        <v>0</v>
      </c>
      <c r="Q2138" s="26">
        <v>7</v>
      </c>
      <c r="R2138" s="1209">
        <v>22.5</v>
      </c>
      <c r="S2138" s="1209">
        <v>225</v>
      </c>
      <c r="T2138" s="26" t="s">
        <v>8074</v>
      </c>
      <c r="U2138" s="1859" t="s">
        <v>8125</v>
      </c>
      <c r="V2138" s="26" t="s">
        <v>104</v>
      </c>
      <c r="W2138" s="2065" t="s">
        <v>3869</v>
      </c>
      <c r="X2138" s="18"/>
      <c r="Y2138" s="4"/>
      <c r="Z2138" s="4"/>
    </row>
    <row r="2139" spans="1:26" ht="14.1" hidden="1">
      <c r="A2139" s="20">
        <v>2146</v>
      </c>
      <c r="B2139" s="1063">
        <v>41916</v>
      </c>
      <c r="C2139" s="26" t="s">
        <v>8139</v>
      </c>
      <c r="D2139" s="11" t="s">
        <v>6</v>
      </c>
      <c r="E2139" s="26" t="s">
        <v>2722</v>
      </c>
      <c r="F2139" s="26" t="s">
        <v>1569</v>
      </c>
      <c r="G2139" s="26" t="s">
        <v>2896</v>
      </c>
      <c r="H2139" s="237" t="s">
        <v>578</v>
      </c>
      <c r="I2139" s="26" t="s">
        <v>1144</v>
      </c>
      <c r="J2139" s="26" t="s">
        <v>557</v>
      </c>
      <c r="K2139" s="26" t="s">
        <v>558</v>
      </c>
      <c r="L2139" s="26">
        <v>805</v>
      </c>
      <c r="M2139" s="26">
        <v>9</v>
      </c>
      <c r="N2139" s="26">
        <v>9</v>
      </c>
      <c r="O2139" s="26">
        <v>10</v>
      </c>
      <c r="P2139" s="26">
        <v>0</v>
      </c>
      <c r="Q2139" s="26">
        <v>1</v>
      </c>
      <c r="R2139" s="1209">
        <v>9.6</v>
      </c>
      <c r="S2139" s="1209">
        <v>96</v>
      </c>
      <c r="T2139" s="26" t="s">
        <v>8074</v>
      </c>
      <c r="U2139" s="1859" t="s">
        <v>8125</v>
      </c>
      <c r="V2139" s="26" t="s">
        <v>104</v>
      </c>
      <c r="W2139" s="2065" t="s">
        <v>8169</v>
      </c>
      <c r="X2139" s="18"/>
      <c r="Y2139" s="4"/>
      <c r="Z2139" s="4"/>
    </row>
    <row r="2140" spans="1:26" ht="14.1" hidden="1">
      <c r="A2140" s="20">
        <v>2147</v>
      </c>
      <c r="B2140" s="1063">
        <v>41917</v>
      </c>
      <c r="C2140" s="26" t="s">
        <v>8170</v>
      </c>
      <c r="D2140" s="11" t="s">
        <v>6</v>
      </c>
      <c r="E2140" s="26" t="s">
        <v>2722</v>
      </c>
      <c r="F2140" s="26" t="s">
        <v>1569</v>
      </c>
      <c r="G2140" s="26" t="s">
        <v>8171</v>
      </c>
      <c r="H2140" s="237" t="s">
        <v>1092</v>
      </c>
      <c r="I2140" s="26" t="s">
        <v>1144</v>
      </c>
      <c r="J2140" s="26" t="s">
        <v>2295</v>
      </c>
      <c r="K2140" s="26" t="s">
        <v>2296</v>
      </c>
      <c r="L2140" s="26">
        <v>402</v>
      </c>
      <c r="M2140" s="26">
        <v>6</v>
      </c>
      <c r="N2140" s="26">
        <v>6</v>
      </c>
      <c r="O2140" s="26">
        <v>10</v>
      </c>
      <c r="P2140" s="26">
        <v>0</v>
      </c>
      <c r="Q2140" s="26">
        <v>4</v>
      </c>
      <c r="R2140" s="1209">
        <v>5.4</v>
      </c>
      <c r="S2140" s="1209">
        <v>54</v>
      </c>
      <c r="T2140" s="26" t="s">
        <v>8074</v>
      </c>
      <c r="U2140" s="1859" t="s">
        <v>8125</v>
      </c>
      <c r="V2140" s="26" t="s">
        <v>104</v>
      </c>
      <c r="W2140" s="2065" t="s">
        <v>3875</v>
      </c>
      <c r="X2140" s="18"/>
      <c r="Y2140" s="4"/>
      <c r="Z2140" s="4"/>
    </row>
    <row r="2141" spans="1:26" ht="14.1" hidden="1">
      <c r="A2141" s="20">
        <v>2148</v>
      </c>
      <c r="B2141" s="1063">
        <v>41918</v>
      </c>
      <c r="C2141" s="26" t="s">
        <v>8139</v>
      </c>
      <c r="D2141" s="11" t="s">
        <v>6</v>
      </c>
      <c r="E2141" s="26" t="s">
        <v>2722</v>
      </c>
      <c r="F2141" s="26" t="s">
        <v>1569</v>
      </c>
      <c r="G2141" s="26" t="s">
        <v>8172</v>
      </c>
      <c r="H2141" s="237" t="s">
        <v>8141</v>
      </c>
      <c r="I2141" s="26" t="s">
        <v>1144</v>
      </c>
      <c r="J2141" s="26" t="s">
        <v>3853</v>
      </c>
      <c r="K2141" s="26" t="s">
        <v>3854</v>
      </c>
      <c r="L2141" s="26">
        <v>402</v>
      </c>
      <c r="M2141" s="26">
        <v>9</v>
      </c>
      <c r="N2141" s="26">
        <v>9</v>
      </c>
      <c r="O2141" s="26">
        <v>10</v>
      </c>
      <c r="P2141" s="26">
        <v>0</v>
      </c>
      <c r="Q2141" s="26">
        <v>1</v>
      </c>
      <c r="R2141" s="1209">
        <v>23.5</v>
      </c>
      <c r="S2141" s="1209">
        <v>235</v>
      </c>
      <c r="T2141" s="26" t="s">
        <v>8074</v>
      </c>
      <c r="U2141" s="1859" t="s">
        <v>8125</v>
      </c>
      <c r="V2141" s="26" t="s">
        <v>104</v>
      </c>
      <c r="W2141" s="2065" t="s">
        <v>3855</v>
      </c>
      <c r="X2141" s="18"/>
      <c r="Y2141" s="4"/>
      <c r="Z2141" s="4"/>
    </row>
    <row r="2142" spans="1:26" ht="14.1" hidden="1">
      <c r="A2142" s="20">
        <v>2149</v>
      </c>
      <c r="B2142" s="1063">
        <v>41919</v>
      </c>
      <c r="C2142" s="26" t="s">
        <v>8173</v>
      </c>
      <c r="D2142" s="11" t="s">
        <v>6</v>
      </c>
      <c r="E2142" s="26" t="s">
        <v>2722</v>
      </c>
      <c r="F2142" s="26" t="s">
        <v>1569</v>
      </c>
      <c r="G2142" s="26" t="s">
        <v>8174</v>
      </c>
      <c r="H2142" s="237" t="s">
        <v>6553</v>
      </c>
      <c r="I2142" s="26" t="s">
        <v>1144</v>
      </c>
      <c r="J2142" s="26" t="s">
        <v>2263</v>
      </c>
      <c r="K2142" s="26" t="s">
        <v>2264</v>
      </c>
      <c r="L2142" s="26" t="s">
        <v>8175</v>
      </c>
      <c r="M2142" s="26">
        <v>3</v>
      </c>
      <c r="N2142" s="26">
        <v>3</v>
      </c>
      <c r="O2142" s="26">
        <v>5</v>
      </c>
      <c r="P2142" s="26">
        <v>0</v>
      </c>
      <c r="Q2142" s="26">
        <v>2</v>
      </c>
      <c r="R2142" s="1209">
        <v>82</v>
      </c>
      <c r="S2142" s="1209">
        <v>410</v>
      </c>
      <c r="T2142" s="26" t="s">
        <v>8074</v>
      </c>
      <c r="U2142" s="1859" t="s">
        <v>8125</v>
      </c>
      <c r="V2142" s="26" t="s">
        <v>104</v>
      </c>
      <c r="W2142" s="2065" t="s">
        <v>2266</v>
      </c>
      <c r="X2142" s="18"/>
      <c r="Y2142" s="4"/>
      <c r="Z2142" s="4"/>
    </row>
    <row r="2143" spans="1:26" ht="14.1" hidden="1">
      <c r="A2143" s="20">
        <v>2150</v>
      </c>
      <c r="B2143" s="1063">
        <v>41920</v>
      </c>
      <c r="C2143" s="26" t="s">
        <v>8170</v>
      </c>
      <c r="D2143" s="11" t="s">
        <v>6</v>
      </c>
      <c r="E2143" s="26" t="s">
        <v>2722</v>
      </c>
      <c r="F2143" s="26" t="s">
        <v>1569</v>
      </c>
      <c r="G2143" s="26" t="s">
        <v>8176</v>
      </c>
      <c r="H2143" s="237" t="s">
        <v>1092</v>
      </c>
      <c r="I2143" s="26" t="s">
        <v>1144</v>
      </c>
      <c r="J2143" s="26" t="s">
        <v>2299</v>
      </c>
      <c r="K2143" s="26" t="s">
        <v>2300</v>
      </c>
      <c r="L2143" s="26">
        <v>402</v>
      </c>
      <c r="M2143" s="26">
        <v>3</v>
      </c>
      <c r="N2143" s="26">
        <v>3</v>
      </c>
      <c r="O2143" s="26">
        <v>10</v>
      </c>
      <c r="P2143" s="26">
        <v>0</v>
      </c>
      <c r="Q2143" s="26">
        <v>7</v>
      </c>
      <c r="R2143" s="1209">
        <v>5.4</v>
      </c>
      <c r="S2143" s="1209">
        <v>54</v>
      </c>
      <c r="T2143" s="26" t="s">
        <v>8074</v>
      </c>
      <c r="U2143" s="1859" t="s">
        <v>8125</v>
      </c>
      <c r="V2143" s="26" t="s">
        <v>104</v>
      </c>
      <c r="W2143" s="2065" t="s">
        <v>2301</v>
      </c>
      <c r="X2143" s="18"/>
      <c r="Y2143" s="4"/>
      <c r="Z2143" s="4"/>
    </row>
    <row r="2144" spans="1:26" ht="14.1" hidden="1">
      <c r="A2144" s="20">
        <v>2151</v>
      </c>
      <c r="B2144" s="1063">
        <v>41921</v>
      </c>
      <c r="C2144" s="26" t="s">
        <v>8139</v>
      </c>
      <c r="D2144" s="11" t="s">
        <v>6</v>
      </c>
      <c r="E2144" s="26" t="s">
        <v>2722</v>
      </c>
      <c r="F2144" s="26" t="s">
        <v>1569</v>
      </c>
      <c r="G2144" s="26" t="s">
        <v>8177</v>
      </c>
      <c r="H2144" s="237" t="s">
        <v>1653</v>
      </c>
      <c r="I2144" s="26" t="s">
        <v>1144</v>
      </c>
      <c r="J2144" s="26" t="s">
        <v>1654</v>
      </c>
      <c r="K2144" s="26" t="s">
        <v>3215</v>
      </c>
      <c r="L2144" s="26">
        <v>805</v>
      </c>
      <c r="M2144" s="26">
        <v>6</v>
      </c>
      <c r="N2144" s="26">
        <v>6</v>
      </c>
      <c r="O2144" s="26">
        <v>10</v>
      </c>
      <c r="P2144" s="26">
        <v>0</v>
      </c>
      <c r="Q2144" s="26">
        <v>4</v>
      </c>
      <c r="R2144" s="1209">
        <v>10</v>
      </c>
      <c r="S2144" s="1209">
        <v>100</v>
      </c>
      <c r="T2144" s="26" t="s">
        <v>8074</v>
      </c>
      <c r="U2144" s="1859" t="s">
        <v>8125</v>
      </c>
      <c r="V2144" s="26" t="s">
        <v>104</v>
      </c>
      <c r="W2144" s="2065" t="s">
        <v>3964</v>
      </c>
      <c r="X2144" s="18"/>
      <c r="Y2144" s="4"/>
      <c r="Z2144" s="4"/>
    </row>
    <row r="2145" spans="1:26" ht="14.1" hidden="1">
      <c r="A2145" s="20">
        <v>2152</v>
      </c>
      <c r="B2145" s="1063">
        <v>41922</v>
      </c>
      <c r="C2145" s="26" t="s">
        <v>8139</v>
      </c>
      <c r="D2145" s="11" t="s">
        <v>6</v>
      </c>
      <c r="E2145" s="26" t="s">
        <v>2722</v>
      </c>
      <c r="F2145" s="26" t="s">
        <v>1569</v>
      </c>
      <c r="G2145" s="26" t="s">
        <v>8178</v>
      </c>
      <c r="H2145" s="237" t="s">
        <v>8141</v>
      </c>
      <c r="I2145" s="26" t="s">
        <v>1144</v>
      </c>
      <c r="J2145" s="26" t="s">
        <v>8179</v>
      </c>
      <c r="K2145" s="26" t="s">
        <v>8180</v>
      </c>
      <c r="L2145" s="26">
        <v>402</v>
      </c>
      <c r="M2145" s="26">
        <v>9</v>
      </c>
      <c r="N2145" s="26">
        <v>9</v>
      </c>
      <c r="O2145" s="26">
        <v>10</v>
      </c>
      <c r="P2145" s="26">
        <v>0</v>
      </c>
      <c r="Q2145" s="26">
        <v>1</v>
      </c>
      <c r="R2145" s="1209">
        <v>10</v>
      </c>
      <c r="S2145" s="1209">
        <v>100</v>
      </c>
      <c r="T2145" s="26" t="s">
        <v>8074</v>
      </c>
      <c r="U2145" s="1859" t="s">
        <v>8125</v>
      </c>
      <c r="V2145" s="26" t="s">
        <v>104</v>
      </c>
      <c r="W2145" s="2065" t="s">
        <v>8181</v>
      </c>
      <c r="X2145" s="18"/>
      <c r="Y2145" s="4"/>
      <c r="Z2145" s="4"/>
    </row>
    <row r="2146" spans="1:26" ht="14.1" hidden="1">
      <c r="A2146" s="20">
        <v>2153</v>
      </c>
      <c r="B2146" s="1063">
        <v>41923</v>
      </c>
      <c r="C2146" s="26" t="s">
        <v>8139</v>
      </c>
      <c r="D2146" s="11" t="s">
        <v>6</v>
      </c>
      <c r="E2146" s="26" t="s">
        <v>2722</v>
      </c>
      <c r="F2146" s="26" t="s">
        <v>1569</v>
      </c>
      <c r="G2146" s="26" t="s">
        <v>5735</v>
      </c>
      <c r="H2146" s="237" t="s">
        <v>578</v>
      </c>
      <c r="I2146" s="26" t="s">
        <v>1144</v>
      </c>
      <c r="J2146" s="26" t="s">
        <v>1933</v>
      </c>
      <c r="K2146" s="26" t="s">
        <v>1934</v>
      </c>
      <c r="L2146" s="26">
        <v>805</v>
      </c>
      <c r="M2146" s="26">
        <v>39</v>
      </c>
      <c r="N2146" s="26">
        <v>39</v>
      </c>
      <c r="O2146" s="26">
        <v>39</v>
      </c>
      <c r="P2146" s="26">
        <v>0</v>
      </c>
      <c r="Q2146" s="26">
        <v>0</v>
      </c>
      <c r="R2146" s="1209">
        <v>11.2</v>
      </c>
      <c r="S2146" s="1209">
        <v>436.8</v>
      </c>
      <c r="T2146" s="26" t="s">
        <v>8074</v>
      </c>
      <c r="U2146" s="1859" t="s">
        <v>8182</v>
      </c>
      <c r="V2146" s="26" t="s">
        <v>104</v>
      </c>
      <c r="W2146" s="2065" t="s">
        <v>1935</v>
      </c>
      <c r="X2146" s="18"/>
      <c r="Y2146" s="4"/>
      <c r="Z2146" s="4"/>
    </row>
    <row r="2147" spans="1:26" ht="14.1" hidden="1">
      <c r="A2147" s="20">
        <v>2154</v>
      </c>
      <c r="B2147" s="1063">
        <v>41924</v>
      </c>
      <c r="C2147" s="26" t="s">
        <v>8077</v>
      </c>
      <c r="D2147" s="11" t="s">
        <v>6</v>
      </c>
      <c r="E2147" s="26" t="s">
        <v>2722</v>
      </c>
      <c r="F2147" s="26" t="s">
        <v>1569</v>
      </c>
      <c r="G2147" s="26" t="s">
        <v>8183</v>
      </c>
      <c r="H2147" s="237" t="s">
        <v>2786</v>
      </c>
      <c r="I2147" s="26" t="s">
        <v>1144</v>
      </c>
      <c r="J2147" s="26" t="s">
        <v>8184</v>
      </c>
      <c r="K2147" s="26" t="s">
        <v>8185</v>
      </c>
      <c r="L2147" s="26">
        <v>805</v>
      </c>
      <c r="M2147" s="26">
        <v>3</v>
      </c>
      <c r="N2147" s="26">
        <v>3</v>
      </c>
      <c r="O2147" s="26">
        <v>10</v>
      </c>
      <c r="P2147" s="26">
        <v>0</v>
      </c>
      <c r="Q2147" s="26">
        <v>7</v>
      </c>
      <c r="R2147" s="1209">
        <v>3.1</v>
      </c>
      <c r="S2147" s="1209">
        <v>31</v>
      </c>
      <c r="T2147" s="26" t="s">
        <v>8074</v>
      </c>
      <c r="U2147" s="1859" t="s">
        <v>8125</v>
      </c>
      <c r="V2147" s="26" t="s">
        <v>104</v>
      </c>
      <c r="W2147" s="2065" t="s">
        <v>8186</v>
      </c>
      <c r="X2147" s="18"/>
      <c r="Y2147" s="4"/>
      <c r="Z2147" s="4"/>
    </row>
    <row r="2148" spans="1:26" ht="14.1" hidden="1">
      <c r="A2148" s="20">
        <v>2155</v>
      </c>
      <c r="B2148" s="1063">
        <v>41925</v>
      </c>
      <c r="C2148" s="26" t="s">
        <v>8139</v>
      </c>
      <c r="D2148" s="11" t="s">
        <v>6</v>
      </c>
      <c r="E2148" s="26" t="s">
        <v>2722</v>
      </c>
      <c r="F2148" s="26" t="s">
        <v>1569</v>
      </c>
      <c r="G2148" s="26" t="s">
        <v>8187</v>
      </c>
      <c r="H2148" s="237" t="s">
        <v>8141</v>
      </c>
      <c r="I2148" s="26" t="s">
        <v>1144</v>
      </c>
      <c r="J2148" s="26" t="s">
        <v>8188</v>
      </c>
      <c r="K2148" s="26" t="s">
        <v>8189</v>
      </c>
      <c r="L2148" s="26">
        <v>402</v>
      </c>
      <c r="M2148" s="26">
        <v>6</v>
      </c>
      <c r="N2148" s="26">
        <v>6</v>
      </c>
      <c r="O2148" s="26">
        <v>10</v>
      </c>
      <c r="P2148" s="26">
        <v>0</v>
      </c>
      <c r="Q2148" s="26">
        <v>4</v>
      </c>
      <c r="R2148" s="1209">
        <v>4.5</v>
      </c>
      <c r="S2148" s="1209">
        <v>45</v>
      </c>
      <c r="T2148" s="26" t="s">
        <v>8074</v>
      </c>
      <c r="U2148" s="1859" t="s">
        <v>8125</v>
      </c>
      <c r="V2148" s="26" t="s">
        <v>104</v>
      </c>
      <c r="W2148" s="2065" t="s">
        <v>8190</v>
      </c>
      <c r="X2148" s="18"/>
      <c r="Y2148" s="4"/>
      <c r="Z2148" s="4"/>
    </row>
    <row r="2149" spans="1:26" ht="14.1" hidden="1">
      <c r="A2149" s="20">
        <v>2156</v>
      </c>
      <c r="B2149" s="1063">
        <v>41926</v>
      </c>
      <c r="C2149" s="26" t="s">
        <v>8170</v>
      </c>
      <c r="D2149" s="11" t="s">
        <v>6</v>
      </c>
      <c r="E2149" s="26" t="s">
        <v>2722</v>
      </c>
      <c r="F2149" s="26" t="s">
        <v>1569</v>
      </c>
      <c r="G2149" s="26" t="s">
        <v>8191</v>
      </c>
      <c r="H2149" s="237" t="s">
        <v>2128</v>
      </c>
      <c r="I2149" s="26" t="s">
        <v>1144</v>
      </c>
      <c r="J2149" s="26" t="s">
        <v>627</v>
      </c>
      <c r="K2149" s="26" t="s">
        <v>628</v>
      </c>
      <c r="L2149" s="26">
        <v>805</v>
      </c>
      <c r="M2149" s="26">
        <v>3</v>
      </c>
      <c r="N2149" s="26">
        <v>3</v>
      </c>
      <c r="O2149" s="26">
        <v>5</v>
      </c>
      <c r="P2149" s="26">
        <v>0</v>
      </c>
      <c r="Q2149" s="26">
        <v>2</v>
      </c>
      <c r="R2149" s="1209">
        <v>21</v>
      </c>
      <c r="S2149" s="1209">
        <v>105</v>
      </c>
      <c r="T2149" s="26" t="s">
        <v>8074</v>
      </c>
      <c r="U2149" s="1859" t="s">
        <v>8125</v>
      </c>
      <c r="V2149" s="26" t="s">
        <v>104</v>
      </c>
      <c r="W2149" s="2065" t="s">
        <v>8192</v>
      </c>
      <c r="X2149" s="18"/>
      <c r="Y2149" s="4"/>
      <c r="Z2149" s="4"/>
    </row>
    <row r="2150" spans="1:26" ht="14.1" hidden="1">
      <c r="A2150" s="20">
        <v>2157</v>
      </c>
      <c r="B2150" s="1063">
        <v>41927</v>
      </c>
      <c r="C2150" s="26" t="s">
        <v>8077</v>
      </c>
      <c r="D2150" s="11" t="s">
        <v>6</v>
      </c>
      <c r="E2150" s="26" t="s">
        <v>2722</v>
      </c>
      <c r="F2150" s="26" t="s">
        <v>1569</v>
      </c>
      <c r="G2150" s="26" t="s">
        <v>8193</v>
      </c>
      <c r="H2150" s="237" t="s">
        <v>2786</v>
      </c>
      <c r="I2150" s="26" t="s">
        <v>1144</v>
      </c>
      <c r="J2150" s="26" t="s">
        <v>8194</v>
      </c>
      <c r="K2150" s="26" t="s">
        <v>2810</v>
      </c>
      <c r="L2150" s="26">
        <v>805</v>
      </c>
      <c r="M2150" s="26">
        <v>3</v>
      </c>
      <c r="N2150" s="26">
        <v>3</v>
      </c>
      <c r="O2150" s="26">
        <v>10</v>
      </c>
      <c r="P2150" s="26">
        <v>0</v>
      </c>
      <c r="Q2150" s="26">
        <v>7</v>
      </c>
      <c r="R2150" s="1209">
        <v>3.1</v>
      </c>
      <c r="S2150" s="1209">
        <v>31</v>
      </c>
      <c r="T2150" s="26" t="s">
        <v>8074</v>
      </c>
      <c r="U2150" s="1859" t="s">
        <v>8125</v>
      </c>
      <c r="V2150" s="26" t="s">
        <v>104</v>
      </c>
      <c r="W2150" s="2065" t="s">
        <v>8195</v>
      </c>
      <c r="X2150" s="18"/>
      <c r="Y2150" s="4"/>
      <c r="Z2150" s="4"/>
    </row>
    <row r="2151" spans="1:26" ht="14.1" hidden="1">
      <c r="A2151" s="20">
        <v>2158</v>
      </c>
      <c r="B2151" s="1063">
        <v>41928</v>
      </c>
      <c r="C2151" s="26" t="s">
        <v>8139</v>
      </c>
      <c r="D2151" s="11" t="s">
        <v>6</v>
      </c>
      <c r="E2151" s="26" t="s">
        <v>2722</v>
      </c>
      <c r="F2151" s="26" t="s">
        <v>1569</v>
      </c>
      <c r="G2151" s="26" t="s">
        <v>8196</v>
      </c>
      <c r="H2151" s="237" t="s">
        <v>8141</v>
      </c>
      <c r="I2151" s="26" t="s">
        <v>1144</v>
      </c>
      <c r="J2151" s="26" t="s">
        <v>3839</v>
      </c>
      <c r="K2151" s="26" t="s">
        <v>3840</v>
      </c>
      <c r="L2151" s="26">
        <v>402</v>
      </c>
      <c r="M2151" s="26">
        <v>3</v>
      </c>
      <c r="N2151" s="26">
        <v>3</v>
      </c>
      <c r="O2151" s="26">
        <v>10</v>
      </c>
      <c r="P2151" s="26">
        <v>0</v>
      </c>
      <c r="Q2151" s="26">
        <v>7</v>
      </c>
      <c r="R2151" s="1209">
        <v>9.4</v>
      </c>
      <c r="S2151" s="1209">
        <v>94</v>
      </c>
      <c r="T2151" s="26" t="s">
        <v>8074</v>
      </c>
      <c r="U2151" s="1859" t="s">
        <v>8125</v>
      </c>
      <c r="V2151" s="26" t="s">
        <v>104</v>
      </c>
      <c r="W2151" s="2065" t="s">
        <v>3841</v>
      </c>
      <c r="X2151" s="18"/>
      <c r="Y2151" s="4"/>
      <c r="Z2151" s="4"/>
    </row>
    <row r="2152" spans="1:26" ht="14.1" hidden="1">
      <c r="A2152" s="20">
        <v>2159</v>
      </c>
      <c r="B2152" s="1063">
        <v>41929</v>
      </c>
      <c r="C2152" s="26" t="s">
        <v>8139</v>
      </c>
      <c r="D2152" s="11" t="s">
        <v>6</v>
      </c>
      <c r="E2152" s="26" t="s">
        <v>2722</v>
      </c>
      <c r="F2152" s="26" t="s">
        <v>1569</v>
      </c>
      <c r="G2152" s="26" t="s">
        <v>8197</v>
      </c>
      <c r="H2152" s="237" t="s">
        <v>3243</v>
      </c>
      <c r="I2152" s="26" t="s">
        <v>1144</v>
      </c>
      <c r="J2152" s="26" t="s">
        <v>3665</v>
      </c>
      <c r="K2152" s="26" t="s">
        <v>3666</v>
      </c>
      <c r="L2152" s="26">
        <v>805</v>
      </c>
      <c r="M2152" s="26">
        <v>3</v>
      </c>
      <c r="N2152" s="26">
        <v>3</v>
      </c>
      <c r="O2152" s="26">
        <v>5</v>
      </c>
      <c r="P2152" s="26">
        <v>0</v>
      </c>
      <c r="Q2152" s="26">
        <v>2</v>
      </c>
      <c r="R2152" s="1209">
        <v>98</v>
      </c>
      <c r="S2152" s="1209">
        <v>490</v>
      </c>
      <c r="T2152" s="26" t="s">
        <v>8074</v>
      </c>
      <c r="U2152" s="1859" t="s">
        <v>8125</v>
      </c>
      <c r="V2152" s="26" t="s">
        <v>104</v>
      </c>
      <c r="W2152" s="2065" t="s">
        <v>3667</v>
      </c>
      <c r="X2152" s="18"/>
      <c r="Y2152" s="4"/>
      <c r="Z2152" s="4"/>
    </row>
    <row r="2153" spans="1:26" ht="14.1" hidden="1">
      <c r="A2153" s="20">
        <v>2160</v>
      </c>
      <c r="B2153" s="1063">
        <v>41930</v>
      </c>
      <c r="C2153" s="26" t="s">
        <v>8139</v>
      </c>
      <c r="D2153" s="11" t="s">
        <v>6</v>
      </c>
      <c r="E2153" s="26" t="s">
        <v>2722</v>
      </c>
      <c r="F2153" s="26" t="s">
        <v>1569</v>
      </c>
      <c r="G2153" s="26" t="s">
        <v>8198</v>
      </c>
      <c r="H2153" s="237" t="s">
        <v>8141</v>
      </c>
      <c r="I2153" s="26" t="s">
        <v>1144</v>
      </c>
      <c r="J2153" s="26" t="s">
        <v>3844</v>
      </c>
      <c r="K2153" s="26" t="s">
        <v>3845</v>
      </c>
      <c r="L2153" s="26">
        <v>402</v>
      </c>
      <c r="M2153" s="26">
        <v>18</v>
      </c>
      <c r="N2153" s="26">
        <v>18</v>
      </c>
      <c r="O2153" s="26">
        <v>20</v>
      </c>
      <c r="P2153" s="26">
        <v>0</v>
      </c>
      <c r="Q2153" s="26">
        <v>2</v>
      </c>
      <c r="R2153" s="1209">
        <v>20.399999999999999</v>
      </c>
      <c r="S2153" s="1209">
        <v>408</v>
      </c>
      <c r="T2153" s="26" t="s">
        <v>8074</v>
      </c>
      <c r="U2153" s="1859" t="s">
        <v>8125</v>
      </c>
      <c r="V2153" s="26" t="s">
        <v>104</v>
      </c>
      <c r="W2153" s="2065" t="s">
        <v>3846</v>
      </c>
      <c r="X2153" s="18"/>
      <c r="Y2153" s="4"/>
      <c r="Z2153" s="4"/>
    </row>
    <row r="2154" spans="1:26" ht="14.1" hidden="1">
      <c r="A2154" s="20">
        <v>2161</v>
      </c>
      <c r="B2154" s="1063">
        <v>41931</v>
      </c>
      <c r="C2154" s="26" t="s">
        <v>8139</v>
      </c>
      <c r="D2154" s="11" t="s">
        <v>6</v>
      </c>
      <c r="E2154" s="26" t="s">
        <v>2722</v>
      </c>
      <c r="F2154" s="26" t="s">
        <v>1569</v>
      </c>
      <c r="G2154" s="26" t="s">
        <v>8199</v>
      </c>
      <c r="H2154" s="237" t="s">
        <v>8141</v>
      </c>
      <c r="I2154" s="26" t="s">
        <v>39</v>
      </c>
      <c r="J2154" s="26" t="s">
        <v>8200</v>
      </c>
      <c r="K2154" s="26" t="s">
        <v>8201</v>
      </c>
      <c r="L2154" s="26">
        <v>603</v>
      </c>
      <c r="M2154" s="26">
        <v>3</v>
      </c>
      <c r="N2154" s="26">
        <v>25</v>
      </c>
      <c r="O2154" s="26">
        <v>25</v>
      </c>
      <c r="P2154" s="26">
        <v>0</v>
      </c>
      <c r="Q2154" s="26">
        <v>2</v>
      </c>
      <c r="R2154" s="1209">
        <v>52.28</v>
      </c>
      <c r="S2154" s="1209">
        <f>R2154*O2154</f>
        <v>1307</v>
      </c>
      <c r="T2154" s="26" t="s">
        <v>8074</v>
      </c>
      <c r="U2154" s="1859" t="s">
        <v>8125</v>
      </c>
      <c r="V2154" s="26" t="s">
        <v>104</v>
      </c>
      <c r="W2154" s="2065" t="s">
        <v>8202</v>
      </c>
      <c r="X2154" s="18"/>
      <c r="Y2154" s="4"/>
      <c r="Z2154" s="4"/>
    </row>
    <row r="2155" spans="1:26" ht="14.1" hidden="1">
      <c r="A2155" s="20">
        <v>2162</v>
      </c>
      <c r="B2155" s="1063">
        <v>41932</v>
      </c>
      <c r="C2155" s="26" t="s">
        <v>8139</v>
      </c>
      <c r="D2155" s="11" t="s">
        <v>6</v>
      </c>
      <c r="E2155" s="26" t="s">
        <v>2722</v>
      </c>
      <c r="F2155" s="26" t="s">
        <v>1569</v>
      </c>
      <c r="G2155" s="26" t="s">
        <v>8203</v>
      </c>
      <c r="H2155" s="237" t="s">
        <v>8141</v>
      </c>
      <c r="I2155" s="26" t="s">
        <v>1144</v>
      </c>
      <c r="J2155" s="26" t="s">
        <v>3849</v>
      </c>
      <c r="K2155" s="26" t="s">
        <v>3850</v>
      </c>
      <c r="L2155" s="26">
        <v>402</v>
      </c>
      <c r="M2155" s="26">
        <v>6</v>
      </c>
      <c r="N2155" s="26">
        <v>6</v>
      </c>
      <c r="O2155" s="26">
        <v>10</v>
      </c>
      <c r="P2155" s="26">
        <v>0</v>
      </c>
      <c r="Q2155" s="26">
        <v>4</v>
      </c>
      <c r="R2155" s="1209">
        <v>14.9</v>
      </c>
      <c r="S2155" s="1209">
        <v>149</v>
      </c>
      <c r="T2155" s="26" t="s">
        <v>8074</v>
      </c>
      <c r="U2155" s="1859" t="s">
        <v>8125</v>
      </c>
      <c r="V2155" s="26" t="s">
        <v>104</v>
      </c>
      <c r="W2155" s="2065" t="s">
        <v>3851</v>
      </c>
      <c r="X2155" s="18"/>
      <c r="Y2155" s="4"/>
      <c r="Z2155" s="4"/>
    </row>
    <row r="2156" spans="1:26" ht="14.1" hidden="1">
      <c r="A2156" s="20">
        <v>2163</v>
      </c>
      <c r="B2156" s="1063">
        <v>41933</v>
      </c>
      <c r="C2156" s="26" t="s">
        <v>8139</v>
      </c>
      <c r="D2156" s="11" t="s">
        <v>6</v>
      </c>
      <c r="E2156" s="26" t="s">
        <v>2722</v>
      </c>
      <c r="F2156" s="26" t="s">
        <v>1569</v>
      </c>
      <c r="G2156" s="26" t="s">
        <v>8204</v>
      </c>
      <c r="H2156" s="237" t="s">
        <v>8141</v>
      </c>
      <c r="I2156" s="26" t="s">
        <v>1144</v>
      </c>
      <c r="J2156" s="26" t="s">
        <v>3857</v>
      </c>
      <c r="K2156" s="26" t="s">
        <v>3858</v>
      </c>
      <c r="L2156" s="26">
        <v>402</v>
      </c>
      <c r="M2156" s="26">
        <v>6</v>
      </c>
      <c r="N2156" s="26">
        <v>6</v>
      </c>
      <c r="O2156" s="26">
        <v>10</v>
      </c>
      <c r="P2156" s="26">
        <v>0</v>
      </c>
      <c r="Q2156" s="26">
        <v>4</v>
      </c>
      <c r="R2156" s="1209">
        <v>14.9</v>
      </c>
      <c r="S2156" s="1209">
        <v>149</v>
      </c>
      <c r="T2156" s="26" t="s">
        <v>8074</v>
      </c>
      <c r="U2156" s="1859" t="s">
        <v>8125</v>
      </c>
      <c r="V2156" s="26" t="s">
        <v>104</v>
      </c>
      <c r="W2156" s="2065" t="s">
        <v>3859</v>
      </c>
      <c r="X2156" s="18"/>
      <c r="Y2156" s="4"/>
      <c r="Z2156" s="4"/>
    </row>
    <row r="2157" spans="1:26" ht="14.1" hidden="1">
      <c r="A2157" s="20">
        <v>2164</v>
      </c>
      <c r="B2157" s="1063">
        <v>41934</v>
      </c>
      <c r="C2157" s="26" t="s">
        <v>8170</v>
      </c>
      <c r="D2157" s="11" t="s">
        <v>6</v>
      </c>
      <c r="E2157" s="26" t="s">
        <v>2722</v>
      </c>
      <c r="F2157" s="26" t="s">
        <v>1569</v>
      </c>
      <c r="G2157" s="26" t="s">
        <v>8205</v>
      </c>
      <c r="H2157" s="237" t="s">
        <v>8141</v>
      </c>
      <c r="I2157" s="26" t="s">
        <v>1144</v>
      </c>
      <c r="J2157" s="26" t="s">
        <v>2286</v>
      </c>
      <c r="K2157" s="26" t="s">
        <v>2287</v>
      </c>
      <c r="L2157" s="26">
        <v>603</v>
      </c>
      <c r="M2157" s="26">
        <v>3</v>
      </c>
      <c r="N2157" s="26">
        <v>3</v>
      </c>
      <c r="O2157" s="26">
        <v>5</v>
      </c>
      <c r="P2157" s="26">
        <v>0</v>
      </c>
      <c r="Q2157" s="26">
        <v>2</v>
      </c>
      <c r="R2157" s="1209">
        <v>35</v>
      </c>
      <c r="S2157" s="1209">
        <v>175</v>
      </c>
      <c r="T2157" s="26" t="s">
        <v>8074</v>
      </c>
      <c r="U2157" s="1859" t="s">
        <v>8125</v>
      </c>
      <c r="V2157" s="26" t="s">
        <v>104</v>
      </c>
      <c r="W2157" s="2065" t="s">
        <v>3871</v>
      </c>
      <c r="X2157" s="18"/>
      <c r="Y2157" s="4"/>
      <c r="Z2157" s="4"/>
    </row>
    <row r="2158" spans="1:26" ht="14.1" hidden="1">
      <c r="A2158" s="20">
        <v>2165</v>
      </c>
      <c r="B2158" s="1063">
        <v>41935</v>
      </c>
      <c r="C2158" s="26" t="s">
        <v>8170</v>
      </c>
      <c r="D2158" s="11" t="s">
        <v>6</v>
      </c>
      <c r="E2158" s="26" t="s">
        <v>2722</v>
      </c>
      <c r="F2158" s="26" t="s">
        <v>1569</v>
      </c>
      <c r="G2158" s="26" t="s">
        <v>2169</v>
      </c>
      <c r="H2158" s="237" t="s">
        <v>1092</v>
      </c>
      <c r="I2158" s="26" t="s">
        <v>1144</v>
      </c>
      <c r="J2158" s="26" t="s">
        <v>5656</v>
      </c>
      <c r="K2158" s="26" t="s">
        <v>5657</v>
      </c>
      <c r="L2158" s="26">
        <v>402</v>
      </c>
      <c r="M2158" s="26">
        <v>3</v>
      </c>
      <c r="N2158" s="26">
        <v>3</v>
      </c>
      <c r="O2158" s="26">
        <v>10</v>
      </c>
      <c r="P2158" s="26">
        <v>0</v>
      </c>
      <c r="Q2158" s="26">
        <v>7</v>
      </c>
      <c r="R2158" s="1209">
        <v>5.4</v>
      </c>
      <c r="S2158" s="1209">
        <v>54</v>
      </c>
      <c r="T2158" s="26" t="s">
        <v>8074</v>
      </c>
      <c r="U2158" s="1859" t="s">
        <v>8125</v>
      </c>
      <c r="V2158" s="26" t="s">
        <v>104</v>
      </c>
      <c r="W2158" s="2065" t="s">
        <v>5658</v>
      </c>
      <c r="X2158" s="18"/>
      <c r="Y2158" s="4"/>
      <c r="Z2158" s="4"/>
    </row>
    <row r="2159" spans="1:26" ht="14.1" hidden="1">
      <c r="A2159" s="20">
        <v>2166</v>
      </c>
      <c r="B2159" s="1063">
        <v>41936</v>
      </c>
      <c r="C2159" s="26" t="s">
        <v>2978</v>
      </c>
      <c r="D2159" s="11" t="s">
        <v>6</v>
      </c>
      <c r="E2159" s="26" t="s">
        <v>2722</v>
      </c>
      <c r="F2159" s="26" t="s">
        <v>1569</v>
      </c>
      <c r="G2159" s="26" t="s">
        <v>8206</v>
      </c>
      <c r="H2159" s="237" t="s">
        <v>1853</v>
      </c>
      <c r="I2159" s="26" t="s">
        <v>39</v>
      </c>
      <c r="J2159" s="26" t="s">
        <v>8207</v>
      </c>
      <c r="K2159" s="26" t="s">
        <v>4728</v>
      </c>
      <c r="L2159" s="26" t="s">
        <v>8208</v>
      </c>
      <c r="M2159" s="26">
        <v>3</v>
      </c>
      <c r="N2159" s="26">
        <v>5</v>
      </c>
      <c r="O2159" s="26">
        <v>5</v>
      </c>
      <c r="P2159" s="26">
        <v>0</v>
      </c>
      <c r="Q2159" s="26">
        <v>2</v>
      </c>
      <c r="R2159" s="1209">
        <v>295.8</v>
      </c>
      <c r="S2159" s="1209">
        <f>R2159*O2159</f>
        <v>1479</v>
      </c>
      <c r="T2159" s="26" t="s">
        <v>8074</v>
      </c>
      <c r="U2159" s="1859" t="s">
        <v>8125</v>
      </c>
      <c r="V2159" s="26" t="s">
        <v>104</v>
      </c>
      <c r="W2159" s="2065" t="s">
        <v>8209</v>
      </c>
      <c r="X2159" s="18"/>
      <c r="Y2159" s="4"/>
      <c r="Z2159" s="4"/>
    </row>
    <row r="2160" spans="1:26" ht="14.1" hidden="1">
      <c r="A2160" s="20">
        <v>2167</v>
      </c>
      <c r="B2160" s="1063">
        <v>41937</v>
      </c>
      <c r="C2160" s="26" t="s">
        <v>8173</v>
      </c>
      <c r="D2160" s="11" t="s">
        <v>6</v>
      </c>
      <c r="E2160" s="26" t="s">
        <v>2722</v>
      </c>
      <c r="F2160" s="26" t="s">
        <v>1569</v>
      </c>
      <c r="G2160" s="26" t="s">
        <v>8210</v>
      </c>
      <c r="H2160" s="237" t="s">
        <v>8211</v>
      </c>
      <c r="I2160" s="26" t="s">
        <v>1144</v>
      </c>
      <c r="J2160" s="26" t="s">
        <v>3812</v>
      </c>
      <c r="K2160" s="26" t="s">
        <v>3813</v>
      </c>
      <c r="L2160" s="26" t="s">
        <v>2258</v>
      </c>
      <c r="M2160" s="26">
        <v>3</v>
      </c>
      <c r="N2160" s="26">
        <v>3</v>
      </c>
      <c r="O2160" s="26">
        <v>5</v>
      </c>
      <c r="P2160" s="26">
        <v>0</v>
      </c>
      <c r="Q2160" s="26">
        <v>2</v>
      </c>
      <c r="R2160" s="1209">
        <v>76</v>
      </c>
      <c r="S2160" s="1209">
        <v>380</v>
      </c>
      <c r="T2160" s="26" t="s">
        <v>8074</v>
      </c>
      <c r="U2160" s="1859" t="s">
        <v>8125</v>
      </c>
      <c r="V2160" s="26" t="s">
        <v>104</v>
      </c>
      <c r="W2160" s="2065" t="s">
        <v>8212</v>
      </c>
      <c r="X2160" s="18"/>
      <c r="Y2160" s="4"/>
      <c r="Z2160" s="4"/>
    </row>
    <row r="2161" spans="1:26" ht="14.1" hidden="1">
      <c r="A2161" s="20">
        <v>2168</v>
      </c>
      <c r="B2161" s="1063">
        <v>41938</v>
      </c>
      <c r="C2161" s="26" t="s">
        <v>8213</v>
      </c>
      <c r="D2161" s="11" t="s">
        <v>6</v>
      </c>
      <c r="E2161" s="26" t="s">
        <v>2722</v>
      </c>
      <c r="F2161" s="26" t="s">
        <v>1569</v>
      </c>
      <c r="G2161" s="26" t="s">
        <v>8214</v>
      </c>
      <c r="H2161" s="237" t="s">
        <v>1853</v>
      </c>
      <c r="I2161" s="26" t="s">
        <v>39</v>
      </c>
      <c r="J2161" s="26" t="s">
        <v>5291</v>
      </c>
      <c r="K2161" s="26" t="s">
        <v>1991</v>
      </c>
      <c r="L2161" s="26" t="s">
        <v>8215</v>
      </c>
      <c r="M2161" s="26">
        <v>51</v>
      </c>
      <c r="N2161" s="26">
        <v>51</v>
      </c>
      <c r="O2161" s="26">
        <v>60</v>
      </c>
      <c r="P2161" s="26">
        <v>0</v>
      </c>
      <c r="Q2161" s="26">
        <v>9</v>
      </c>
      <c r="R2161" s="1209">
        <v>20.6</v>
      </c>
      <c r="S2161" s="1209">
        <f>R2161*O2161</f>
        <v>1236</v>
      </c>
      <c r="T2161" s="26" t="s">
        <v>8074</v>
      </c>
      <c r="U2161" s="1859" t="s">
        <v>8156</v>
      </c>
      <c r="V2161" s="26" t="s">
        <v>104</v>
      </c>
      <c r="W2161" s="2065" t="s">
        <v>8216</v>
      </c>
      <c r="X2161" s="18"/>
      <c r="Y2161" s="4"/>
      <c r="Z2161" s="4"/>
    </row>
    <row r="2162" spans="1:26" ht="14.1" hidden="1">
      <c r="A2162" s="20">
        <v>2169</v>
      </c>
      <c r="B2162" s="1063">
        <v>41939</v>
      </c>
      <c r="C2162" s="26" t="s">
        <v>2978</v>
      </c>
      <c r="D2162" s="11" t="s">
        <v>6</v>
      </c>
      <c r="E2162" s="26" t="s">
        <v>2722</v>
      </c>
      <c r="F2162" s="26" t="s">
        <v>1569</v>
      </c>
      <c r="G2162" s="26" t="s">
        <v>8217</v>
      </c>
      <c r="H2162" s="237" t="s">
        <v>752</v>
      </c>
      <c r="I2162" s="26" t="s">
        <v>39</v>
      </c>
      <c r="J2162" s="26" t="s">
        <v>3827</v>
      </c>
      <c r="K2162" s="26" t="s">
        <v>3828</v>
      </c>
      <c r="L2162" s="26" t="s">
        <v>8218</v>
      </c>
      <c r="M2162" s="26">
        <v>3</v>
      </c>
      <c r="N2162" s="26">
        <v>3</v>
      </c>
      <c r="O2162" s="26">
        <v>5</v>
      </c>
      <c r="P2162" s="26">
        <v>0</v>
      </c>
      <c r="Q2162" s="26">
        <v>2</v>
      </c>
      <c r="R2162" s="1209">
        <v>574</v>
      </c>
      <c r="S2162" s="1209">
        <v>2870</v>
      </c>
      <c r="T2162" s="26" t="s">
        <v>8074</v>
      </c>
      <c r="U2162" s="1859" t="s">
        <v>8125</v>
      </c>
      <c r="V2162" s="26" t="s">
        <v>104</v>
      </c>
      <c r="W2162" s="2065" t="s">
        <v>3830</v>
      </c>
      <c r="X2162" s="18"/>
      <c r="Y2162" s="4"/>
      <c r="Z2162" s="4"/>
    </row>
    <row r="2163" spans="1:26" ht="14.1" hidden="1">
      <c r="A2163" s="20">
        <v>2170</v>
      </c>
      <c r="B2163" s="1063">
        <v>41940</v>
      </c>
      <c r="C2163" s="26" t="s">
        <v>8219</v>
      </c>
      <c r="D2163" s="11" t="s">
        <v>6</v>
      </c>
      <c r="E2163" s="26" t="s">
        <v>2722</v>
      </c>
      <c r="F2163" s="26" t="s">
        <v>1569</v>
      </c>
      <c r="G2163" s="26" t="s">
        <v>8220</v>
      </c>
      <c r="H2163" s="237" t="s">
        <v>2120</v>
      </c>
      <c r="I2163" s="26" t="s">
        <v>1144</v>
      </c>
      <c r="J2163" s="26" t="s">
        <v>2125</v>
      </c>
      <c r="K2163" s="26" t="s">
        <v>3259</v>
      </c>
      <c r="L2163" s="26">
        <v>805</v>
      </c>
      <c r="M2163" s="26">
        <v>3</v>
      </c>
      <c r="N2163" s="26">
        <v>3</v>
      </c>
      <c r="O2163" s="26">
        <v>5</v>
      </c>
      <c r="P2163" s="26">
        <v>0</v>
      </c>
      <c r="Q2163" s="26">
        <v>2</v>
      </c>
      <c r="R2163" s="1209">
        <v>53</v>
      </c>
      <c r="S2163" s="1209">
        <v>265</v>
      </c>
      <c r="T2163" s="26" t="s">
        <v>8074</v>
      </c>
      <c r="U2163" s="1859" t="s">
        <v>8125</v>
      </c>
      <c r="V2163" s="26" t="s">
        <v>104</v>
      </c>
      <c r="W2163" s="2065" t="s">
        <v>2089</v>
      </c>
      <c r="X2163" s="18"/>
      <c r="Y2163" s="4"/>
      <c r="Z2163" s="4"/>
    </row>
    <row r="2164" spans="1:26" ht="14.1" hidden="1">
      <c r="A2164" s="20">
        <v>2171</v>
      </c>
      <c r="B2164" s="1063">
        <v>41941</v>
      </c>
      <c r="C2164" s="26" t="s">
        <v>2978</v>
      </c>
      <c r="D2164" s="11" t="s">
        <v>6</v>
      </c>
      <c r="E2164" s="26" t="s">
        <v>2722</v>
      </c>
      <c r="F2164" s="26" t="s">
        <v>1569</v>
      </c>
      <c r="G2164" s="26" t="s">
        <v>3692</v>
      </c>
      <c r="H2164" s="237" t="s">
        <v>1498</v>
      </c>
      <c r="I2164" s="26" t="s">
        <v>1144</v>
      </c>
      <c r="J2164" s="26" t="s">
        <v>3238</v>
      </c>
      <c r="K2164" s="26" t="s">
        <v>8221</v>
      </c>
      <c r="L2164" s="26" t="s">
        <v>8222</v>
      </c>
      <c r="M2164" s="26">
        <v>48</v>
      </c>
      <c r="N2164" s="26">
        <v>1</v>
      </c>
      <c r="O2164" s="26">
        <v>55</v>
      </c>
      <c r="P2164" s="26">
        <v>5</v>
      </c>
      <c r="Q2164" s="26">
        <v>5</v>
      </c>
      <c r="R2164" s="1209">
        <v>248.44</v>
      </c>
      <c r="S2164" s="1209">
        <f>R2164*O2164</f>
        <v>13664.2</v>
      </c>
      <c r="T2164" s="26" t="s">
        <v>8074</v>
      </c>
      <c r="U2164" s="1859" t="s">
        <v>8156</v>
      </c>
      <c r="V2164" s="26" t="s">
        <v>104</v>
      </c>
      <c r="W2164" s="701" t="s">
        <v>3241</v>
      </c>
      <c r="X2164" s="18"/>
      <c r="Y2164" s="4"/>
      <c r="Z2164" s="4"/>
    </row>
    <row r="2165" spans="1:26" ht="14.1" hidden="1">
      <c r="A2165" s="20">
        <v>2172</v>
      </c>
      <c r="B2165" s="1063">
        <v>41942</v>
      </c>
      <c r="C2165" s="26" t="s">
        <v>603</v>
      </c>
      <c r="D2165" s="11" t="s">
        <v>6</v>
      </c>
      <c r="E2165" s="26" t="s">
        <v>2722</v>
      </c>
      <c r="F2165" s="26" t="s">
        <v>1569</v>
      </c>
      <c r="G2165" s="26" t="s">
        <v>8223</v>
      </c>
      <c r="H2165" s="237" t="s">
        <v>230</v>
      </c>
      <c r="I2165" s="26" t="s">
        <v>1144</v>
      </c>
      <c r="J2165" s="26" t="s">
        <v>2249</v>
      </c>
      <c r="K2165" s="26" t="s">
        <v>8224</v>
      </c>
      <c r="L2165" s="26" t="s">
        <v>8225</v>
      </c>
      <c r="M2165" s="26">
        <v>3</v>
      </c>
      <c r="N2165" s="26">
        <v>3</v>
      </c>
      <c r="O2165" s="26">
        <v>5</v>
      </c>
      <c r="P2165" s="26">
        <v>0</v>
      </c>
      <c r="Q2165" s="26">
        <v>2</v>
      </c>
      <c r="R2165" s="1209">
        <v>468</v>
      </c>
      <c r="S2165" s="1209">
        <v>2340</v>
      </c>
      <c r="T2165" s="26" t="s">
        <v>8074</v>
      </c>
      <c r="U2165" s="1859" t="s">
        <v>8125</v>
      </c>
      <c r="V2165" s="26" t="s">
        <v>104</v>
      </c>
      <c r="W2165" s="2065" t="s">
        <v>3919</v>
      </c>
      <c r="X2165" s="18"/>
      <c r="Y2165" s="4"/>
      <c r="Z2165" s="4"/>
    </row>
    <row r="2166" spans="1:26" ht="14.1" hidden="1">
      <c r="A2166" s="20">
        <v>2173</v>
      </c>
      <c r="B2166" s="1063">
        <v>41943</v>
      </c>
      <c r="C2166" s="26" t="s">
        <v>8226</v>
      </c>
      <c r="D2166" s="11" t="s">
        <v>6</v>
      </c>
      <c r="E2166" s="26" t="s">
        <v>2722</v>
      </c>
      <c r="F2166" s="26" t="s">
        <v>1569</v>
      </c>
      <c r="G2166" s="26" t="s">
        <v>8227</v>
      </c>
      <c r="H2166" s="237" t="s">
        <v>1715</v>
      </c>
      <c r="I2166" s="26" t="s">
        <v>1144</v>
      </c>
      <c r="J2166" s="26" t="s">
        <v>2276</v>
      </c>
      <c r="K2166" s="26" t="s">
        <v>2277</v>
      </c>
      <c r="L2166" s="26" t="s">
        <v>6506</v>
      </c>
      <c r="M2166" s="26">
        <v>3</v>
      </c>
      <c r="N2166" s="26">
        <v>3</v>
      </c>
      <c r="O2166" s="26">
        <v>5</v>
      </c>
      <c r="P2166" s="26">
        <v>0</v>
      </c>
      <c r="Q2166" s="26">
        <v>2</v>
      </c>
      <c r="R2166" s="1209">
        <v>13</v>
      </c>
      <c r="S2166" s="1209">
        <v>65</v>
      </c>
      <c r="T2166" s="26" t="s">
        <v>8074</v>
      </c>
      <c r="U2166" s="1859" t="s">
        <v>8125</v>
      </c>
      <c r="V2166" s="26" t="s">
        <v>104</v>
      </c>
      <c r="W2166" s="2065" t="s">
        <v>3922</v>
      </c>
      <c r="X2166" s="18"/>
      <c r="Y2166" s="4"/>
      <c r="Z2166" s="4"/>
    </row>
    <row r="2167" spans="1:26" ht="14.1" hidden="1">
      <c r="A2167" s="20">
        <v>2174</v>
      </c>
      <c r="B2167" s="1063">
        <v>41944</v>
      </c>
      <c r="C2167" s="26" t="s">
        <v>2978</v>
      </c>
      <c r="D2167" s="11" t="s">
        <v>6</v>
      </c>
      <c r="E2167" s="26" t="s">
        <v>2722</v>
      </c>
      <c r="F2167" s="26" t="s">
        <v>1569</v>
      </c>
      <c r="G2167" s="26" t="s">
        <v>8228</v>
      </c>
      <c r="H2167" s="237" t="s">
        <v>984</v>
      </c>
      <c r="I2167" s="26" t="s">
        <v>1144</v>
      </c>
      <c r="J2167" s="26" t="s">
        <v>5652</v>
      </c>
      <c r="K2167" s="26" t="s">
        <v>3977</v>
      </c>
      <c r="L2167" s="26" t="s">
        <v>987</v>
      </c>
      <c r="M2167" s="26">
        <v>3</v>
      </c>
      <c r="N2167" s="26">
        <v>3</v>
      </c>
      <c r="O2167" s="26">
        <v>5</v>
      </c>
      <c r="P2167" s="26">
        <v>0</v>
      </c>
      <c r="Q2167" s="26">
        <v>2</v>
      </c>
      <c r="R2167" s="1209">
        <v>547.6</v>
      </c>
      <c r="S2167" s="1209">
        <v>2738</v>
      </c>
      <c r="T2167" s="26" t="s">
        <v>8074</v>
      </c>
      <c r="U2167" s="1859" t="s">
        <v>8125</v>
      </c>
      <c r="V2167" s="26" t="s">
        <v>104</v>
      </c>
      <c r="W2167" s="2065" t="s">
        <v>988</v>
      </c>
      <c r="X2167" s="18"/>
      <c r="Y2167" s="4"/>
      <c r="Z2167" s="4"/>
    </row>
    <row r="2168" spans="1:26" ht="14.1" hidden="1">
      <c r="A2168" s="20">
        <v>2175</v>
      </c>
      <c r="B2168" s="1063">
        <v>41945</v>
      </c>
      <c r="C2168" s="26" t="s">
        <v>8229</v>
      </c>
      <c r="D2168" s="11" t="s">
        <v>6</v>
      </c>
      <c r="E2168" s="26" t="s">
        <v>2722</v>
      </c>
      <c r="F2168" s="26" t="s">
        <v>1569</v>
      </c>
      <c r="G2168" s="26" t="s">
        <v>8230</v>
      </c>
      <c r="H2168" s="237" t="s">
        <v>1853</v>
      </c>
      <c r="I2168" s="26" t="s">
        <v>1144</v>
      </c>
      <c r="J2168" s="26" t="s">
        <v>2322</v>
      </c>
      <c r="K2168" s="26" t="s">
        <v>8231</v>
      </c>
      <c r="L2168" s="26" t="s">
        <v>8232</v>
      </c>
      <c r="M2168" s="26">
        <v>3</v>
      </c>
      <c r="N2168" s="26">
        <v>3</v>
      </c>
      <c r="O2168" s="26">
        <v>5</v>
      </c>
      <c r="P2168" s="26">
        <v>0</v>
      </c>
      <c r="Q2168" s="26">
        <v>2</v>
      </c>
      <c r="R2168" s="1209">
        <v>256</v>
      </c>
      <c r="S2168" s="1209">
        <v>1280</v>
      </c>
      <c r="T2168" s="26" t="s">
        <v>8074</v>
      </c>
      <c r="U2168" s="1859" t="s">
        <v>8125</v>
      </c>
      <c r="V2168" s="26" t="s">
        <v>104</v>
      </c>
      <c r="W2168" s="2065" t="s">
        <v>2325</v>
      </c>
      <c r="X2168" s="18"/>
      <c r="Y2168" s="4"/>
      <c r="Z2168" s="4"/>
    </row>
    <row r="2169" spans="1:26" ht="14.1" hidden="1">
      <c r="A2169" s="20">
        <v>2176</v>
      </c>
      <c r="B2169" s="1063">
        <v>41946</v>
      </c>
      <c r="C2169" s="26" t="s">
        <v>8173</v>
      </c>
      <c r="D2169" s="11" t="s">
        <v>6</v>
      </c>
      <c r="E2169" s="26" t="s">
        <v>2722</v>
      </c>
      <c r="F2169" s="26" t="s">
        <v>1569</v>
      </c>
      <c r="G2169" s="26" t="s">
        <v>8233</v>
      </c>
      <c r="H2169" s="237" t="s">
        <v>2255</v>
      </c>
      <c r="I2169" s="26" t="s">
        <v>1144</v>
      </c>
      <c r="J2169" s="26" t="s">
        <v>2256</v>
      </c>
      <c r="K2169" s="26" t="s">
        <v>8234</v>
      </c>
      <c r="L2169" s="26" t="s">
        <v>2258</v>
      </c>
      <c r="M2169" s="26">
        <v>3</v>
      </c>
      <c r="N2169" s="26">
        <v>3</v>
      </c>
      <c r="O2169" s="26">
        <v>5</v>
      </c>
      <c r="P2169" s="26">
        <v>0</v>
      </c>
      <c r="Q2169" s="26">
        <v>2</v>
      </c>
      <c r="R2169" s="1209">
        <v>130</v>
      </c>
      <c r="S2169" s="1209">
        <v>650</v>
      </c>
      <c r="T2169" s="26" t="s">
        <v>8074</v>
      </c>
      <c r="U2169" s="1859" t="s">
        <v>8125</v>
      </c>
      <c r="V2169" s="26" t="s">
        <v>104</v>
      </c>
      <c r="W2169" s="2065" t="s">
        <v>3928</v>
      </c>
      <c r="X2169" s="18"/>
      <c r="Y2169" s="4"/>
      <c r="Z2169" s="4"/>
    </row>
    <row r="2170" spans="1:26" ht="14.1" hidden="1">
      <c r="A2170" s="20">
        <v>2177</v>
      </c>
      <c r="B2170" s="1063">
        <v>41947</v>
      </c>
      <c r="C2170" s="26" t="s">
        <v>6108</v>
      </c>
      <c r="D2170" s="11" t="s">
        <v>6</v>
      </c>
      <c r="E2170" s="26" t="s">
        <v>2722</v>
      </c>
      <c r="F2170" s="26" t="s">
        <v>1569</v>
      </c>
      <c r="G2170" s="26" t="s">
        <v>8235</v>
      </c>
      <c r="H2170" s="237" t="s">
        <v>1904</v>
      </c>
      <c r="I2170" s="26" t="s">
        <v>1144</v>
      </c>
      <c r="J2170" s="26" t="s">
        <v>1905</v>
      </c>
      <c r="K2170" s="26" t="s">
        <v>1906</v>
      </c>
      <c r="L2170" s="26" t="s">
        <v>1907</v>
      </c>
      <c r="M2170" s="26">
        <v>3</v>
      </c>
      <c r="N2170" s="26">
        <v>3</v>
      </c>
      <c r="O2170" s="26">
        <v>5</v>
      </c>
      <c r="P2170" s="26">
        <v>0</v>
      </c>
      <c r="Q2170" s="26">
        <v>2</v>
      </c>
      <c r="R2170" s="1209">
        <v>74</v>
      </c>
      <c r="S2170" s="1209">
        <v>370</v>
      </c>
      <c r="T2170" s="26" t="s">
        <v>8074</v>
      </c>
      <c r="U2170" s="1859" t="s">
        <v>8125</v>
      </c>
      <c r="V2170" s="26" t="s">
        <v>104</v>
      </c>
      <c r="W2170" s="2065" t="s">
        <v>1908</v>
      </c>
      <c r="X2170" s="18"/>
      <c r="Y2170" s="4"/>
      <c r="Z2170" s="4"/>
    </row>
    <row r="2171" spans="1:26" ht="14.1" hidden="1">
      <c r="A2171" s="20">
        <v>2178</v>
      </c>
      <c r="B2171" s="1063">
        <v>41948</v>
      </c>
      <c r="C2171" s="26" t="s">
        <v>8236</v>
      </c>
      <c r="D2171" s="11" t="s">
        <v>6</v>
      </c>
      <c r="E2171" s="26" t="s">
        <v>2722</v>
      </c>
      <c r="F2171" s="26" t="s">
        <v>1569</v>
      </c>
      <c r="G2171" s="26" t="s">
        <v>8237</v>
      </c>
      <c r="H2171" s="237" t="s">
        <v>1865</v>
      </c>
      <c r="I2171" s="26" t="s">
        <v>1144</v>
      </c>
      <c r="J2171" s="26" t="s">
        <v>3607</v>
      </c>
      <c r="K2171" s="26" t="s">
        <v>3608</v>
      </c>
      <c r="L2171" s="26" t="s">
        <v>1907</v>
      </c>
      <c r="M2171" s="26">
        <v>27</v>
      </c>
      <c r="N2171" s="26">
        <v>17</v>
      </c>
      <c r="O2171" s="26">
        <v>25</v>
      </c>
      <c r="P2171" s="26">
        <v>10</v>
      </c>
      <c r="Q2171" s="26">
        <v>8</v>
      </c>
      <c r="R2171" s="1209">
        <v>35.44</v>
      </c>
      <c r="S2171" s="1209">
        <v>886</v>
      </c>
      <c r="T2171" s="26" t="s">
        <v>8074</v>
      </c>
      <c r="U2171" s="1859" t="s">
        <v>8238</v>
      </c>
      <c r="V2171" s="26" t="s">
        <v>104</v>
      </c>
      <c r="W2171" s="2065" t="s">
        <v>3610</v>
      </c>
      <c r="X2171" s="18"/>
      <c r="Y2171" s="4"/>
      <c r="Z2171" s="4"/>
    </row>
    <row r="2172" spans="1:26" ht="14.1" hidden="1">
      <c r="A2172" s="20">
        <v>2179</v>
      </c>
      <c r="B2172" s="1063">
        <v>41949</v>
      </c>
      <c r="C2172" s="26" t="s">
        <v>603</v>
      </c>
      <c r="D2172" s="11" t="s">
        <v>6</v>
      </c>
      <c r="E2172" s="26" t="s">
        <v>2722</v>
      </c>
      <c r="F2172" s="26" t="s">
        <v>1569</v>
      </c>
      <c r="G2172" s="26" t="s">
        <v>8239</v>
      </c>
      <c r="H2172" s="237" t="s">
        <v>752</v>
      </c>
      <c r="I2172" s="26" t="s">
        <v>39</v>
      </c>
      <c r="J2172" s="26" t="s">
        <v>2035</v>
      </c>
      <c r="K2172" s="26" t="s">
        <v>2034</v>
      </c>
      <c r="L2172" s="26" t="s">
        <v>8240</v>
      </c>
      <c r="M2172" s="26">
        <v>3</v>
      </c>
      <c r="N2172" s="26">
        <v>3</v>
      </c>
      <c r="O2172" s="26">
        <v>5</v>
      </c>
      <c r="P2172" s="26">
        <v>0</v>
      </c>
      <c r="Q2172" s="26">
        <v>2</v>
      </c>
      <c r="R2172" s="1209">
        <v>842</v>
      </c>
      <c r="S2172" s="1209">
        <v>4210</v>
      </c>
      <c r="T2172" s="26" t="s">
        <v>8074</v>
      </c>
      <c r="U2172" s="1859" t="s">
        <v>8125</v>
      </c>
      <c r="V2172" s="26" t="s">
        <v>104</v>
      </c>
      <c r="W2172" s="2065" t="s">
        <v>2037</v>
      </c>
      <c r="X2172" s="18"/>
      <c r="Y2172" s="4"/>
      <c r="Z2172" s="4"/>
    </row>
    <row r="2173" spans="1:26" ht="14.1" hidden="1">
      <c r="A2173" s="20">
        <v>2180</v>
      </c>
      <c r="B2173" s="1063">
        <v>41950</v>
      </c>
      <c r="C2173" s="26" t="s">
        <v>8241</v>
      </c>
      <c r="D2173" s="11" t="s">
        <v>6</v>
      </c>
      <c r="E2173" s="26" t="s">
        <v>2722</v>
      </c>
      <c r="F2173" s="26" t="s">
        <v>1569</v>
      </c>
      <c r="G2173" s="26" t="s">
        <v>8242</v>
      </c>
      <c r="H2173" s="237" t="s">
        <v>3890</v>
      </c>
      <c r="I2173" s="26" t="s">
        <v>1144</v>
      </c>
      <c r="J2173" s="26" t="s">
        <v>2242</v>
      </c>
      <c r="K2173" s="26" t="s">
        <v>2243</v>
      </c>
      <c r="L2173" s="26" t="s">
        <v>8243</v>
      </c>
      <c r="M2173" s="26">
        <v>3</v>
      </c>
      <c r="N2173" s="26">
        <v>3</v>
      </c>
      <c r="O2173" s="26">
        <v>5</v>
      </c>
      <c r="P2173" s="26">
        <v>0</v>
      </c>
      <c r="Q2173" s="26">
        <v>2</v>
      </c>
      <c r="R2173" s="1209">
        <v>703</v>
      </c>
      <c r="S2173" s="1209">
        <v>3515</v>
      </c>
      <c r="T2173" s="26" t="s">
        <v>8074</v>
      </c>
      <c r="U2173" s="1859" t="s">
        <v>8125</v>
      </c>
      <c r="V2173" s="26" t="s">
        <v>104</v>
      </c>
      <c r="W2173" s="2065" t="s">
        <v>3891</v>
      </c>
      <c r="X2173" s="18"/>
      <c r="Y2173" s="4"/>
      <c r="Z2173" s="4"/>
    </row>
    <row r="2174" spans="1:26" ht="14.1" hidden="1">
      <c r="A2174" s="20">
        <v>2181</v>
      </c>
      <c r="B2174" s="1063">
        <v>41951</v>
      </c>
      <c r="C2174" s="26" t="s">
        <v>2978</v>
      </c>
      <c r="D2174" s="11" t="s">
        <v>6</v>
      </c>
      <c r="E2174" s="26" t="s">
        <v>2722</v>
      </c>
      <c r="F2174" s="26" t="s">
        <v>1569</v>
      </c>
      <c r="G2174" s="26" t="s">
        <v>8244</v>
      </c>
      <c r="H2174" s="237" t="s">
        <v>2280</v>
      </c>
      <c r="I2174" s="26" t="s">
        <v>1144</v>
      </c>
      <c r="J2174" s="26" t="s">
        <v>5653</v>
      </c>
      <c r="K2174" s="26" t="s">
        <v>2054</v>
      </c>
      <c r="L2174" s="26" t="s">
        <v>8245</v>
      </c>
      <c r="M2174" s="26">
        <v>6</v>
      </c>
      <c r="N2174" s="26">
        <v>6</v>
      </c>
      <c r="O2174" s="26">
        <v>10</v>
      </c>
      <c r="P2174" s="26">
        <v>0</v>
      </c>
      <c r="Q2174" s="26">
        <v>4</v>
      </c>
      <c r="R2174" s="1209">
        <v>200.1</v>
      </c>
      <c r="S2174" s="1209">
        <v>2001</v>
      </c>
      <c r="T2174" s="26" t="s">
        <v>8074</v>
      </c>
      <c r="U2174" s="1859" t="s">
        <v>8125</v>
      </c>
      <c r="V2174" s="26" t="s">
        <v>104</v>
      </c>
      <c r="W2174" s="2065" t="s">
        <v>8246</v>
      </c>
      <c r="X2174" s="18"/>
      <c r="Y2174" s="4"/>
      <c r="Z2174" s="4"/>
    </row>
    <row r="2175" spans="1:26" ht="14.1" hidden="1">
      <c r="A2175" s="20">
        <v>2182</v>
      </c>
      <c r="B2175" s="1063">
        <v>41952</v>
      </c>
      <c r="C2175" s="26" t="s">
        <v>8247</v>
      </c>
      <c r="D2175" s="11" t="s">
        <v>6</v>
      </c>
      <c r="E2175" s="26" t="s">
        <v>2722</v>
      </c>
      <c r="F2175" s="26" t="s">
        <v>1569</v>
      </c>
      <c r="G2175" s="26" t="s">
        <v>8248</v>
      </c>
      <c r="H2175" s="237" t="s">
        <v>3898</v>
      </c>
      <c r="I2175" s="26" t="s">
        <v>1144</v>
      </c>
      <c r="J2175" s="26" t="s">
        <v>8249</v>
      </c>
      <c r="K2175" s="26" t="s">
        <v>8250</v>
      </c>
      <c r="L2175" s="26" t="s">
        <v>8251</v>
      </c>
      <c r="M2175" s="26">
        <v>3</v>
      </c>
      <c r="N2175" s="26">
        <v>3</v>
      </c>
      <c r="O2175" s="26">
        <v>5</v>
      </c>
      <c r="P2175" s="26">
        <v>0</v>
      </c>
      <c r="Q2175" s="26">
        <v>2</v>
      </c>
      <c r="R2175" s="1209">
        <v>150</v>
      </c>
      <c r="S2175" s="1209">
        <v>750</v>
      </c>
      <c r="T2175" s="26" t="s">
        <v>8074</v>
      </c>
      <c r="U2175" s="1859" t="s">
        <v>8125</v>
      </c>
      <c r="V2175" s="26" t="s">
        <v>104</v>
      </c>
      <c r="W2175" s="2065" t="s">
        <v>8252</v>
      </c>
      <c r="X2175" s="18"/>
      <c r="Y2175" s="4"/>
      <c r="Z2175" s="4"/>
    </row>
    <row r="2176" spans="1:26" ht="14.1" hidden="1">
      <c r="A2176" s="20">
        <v>2183</v>
      </c>
      <c r="B2176" s="1063">
        <v>41953</v>
      </c>
      <c r="C2176" s="26" t="s">
        <v>2978</v>
      </c>
      <c r="D2176" s="11" t="s">
        <v>6</v>
      </c>
      <c r="E2176" s="26" t="s">
        <v>2722</v>
      </c>
      <c r="F2176" s="26" t="s">
        <v>1569</v>
      </c>
      <c r="G2176" s="26" t="s">
        <v>8253</v>
      </c>
      <c r="H2176" s="237" t="s">
        <v>8254</v>
      </c>
      <c r="I2176" s="667" t="s">
        <v>2082</v>
      </c>
      <c r="J2176" s="26" t="s">
        <v>2080</v>
      </c>
      <c r="K2176" s="26" t="s">
        <v>8255</v>
      </c>
      <c r="L2176" s="26" t="s">
        <v>2083</v>
      </c>
      <c r="M2176" s="26">
        <v>3</v>
      </c>
      <c r="N2176" s="26">
        <v>3</v>
      </c>
      <c r="O2176" s="26">
        <v>3</v>
      </c>
      <c r="P2176" s="26">
        <v>0</v>
      </c>
      <c r="Q2176" s="26">
        <v>0</v>
      </c>
      <c r="R2176" s="1209">
        <v>11438</v>
      </c>
      <c r="S2176" s="1209">
        <v>34314</v>
      </c>
      <c r="T2176" s="26" t="s">
        <v>8074</v>
      </c>
      <c r="U2176" s="1859" t="s">
        <v>8125</v>
      </c>
      <c r="V2176" s="26" t="s">
        <v>104</v>
      </c>
      <c r="W2176" s="2065" t="s">
        <v>2084</v>
      </c>
      <c r="X2176" s="18"/>
      <c r="Y2176" s="4"/>
      <c r="Z2176" s="4"/>
    </row>
    <row r="2177" spans="1:26" ht="14.1" hidden="1">
      <c r="A2177" s="20">
        <v>2184</v>
      </c>
      <c r="B2177" s="1063">
        <v>41954</v>
      </c>
      <c r="C2177" s="26" t="s">
        <v>8256</v>
      </c>
      <c r="D2177" s="11" t="s">
        <v>6</v>
      </c>
      <c r="E2177" s="26" t="s">
        <v>2722</v>
      </c>
      <c r="F2177" s="26" t="s">
        <v>1569</v>
      </c>
      <c r="G2177" s="26" t="s">
        <v>8257</v>
      </c>
      <c r="H2177" s="237" t="s">
        <v>1143</v>
      </c>
      <c r="I2177" s="26" t="s">
        <v>1144</v>
      </c>
      <c r="J2177" s="26" t="s">
        <v>3649</v>
      </c>
      <c r="K2177" s="26">
        <v>545502471</v>
      </c>
      <c r="L2177" s="26" t="s">
        <v>8258</v>
      </c>
      <c r="M2177" s="26">
        <v>3</v>
      </c>
      <c r="N2177" s="26">
        <v>3</v>
      </c>
      <c r="O2177" s="26">
        <v>5</v>
      </c>
      <c r="P2177" s="26">
        <v>0</v>
      </c>
      <c r="Q2177" s="26">
        <v>2</v>
      </c>
      <c r="R2177" s="1209">
        <v>302</v>
      </c>
      <c r="S2177" s="1209">
        <v>1510</v>
      </c>
      <c r="T2177" s="26" t="s">
        <v>8074</v>
      </c>
      <c r="U2177" s="1859" t="s">
        <v>8125</v>
      </c>
      <c r="V2177" s="26" t="s">
        <v>104</v>
      </c>
      <c r="W2177" s="2065" t="s">
        <v>3650</v>
      </c>
      <c r="X2177" s="18"/>
      <c r="Y2177" s="4"/>
      <c r="Z2177" s="4"/>
    </row>
    <row r="2178" spans="1:26" ht="14.1" hidden="1">
      <c r="A2178" s="20">
        <v>2185</v>
      </c>
      <c r="B2178" s="1063">
        <v>41955</v>
      </c>
      <c r="C2178" s="26" t="s">
        <v>8259</v>
      </c>
      <c r="D2178" s="11" t="s">
        <v>6</v>
      </c>
      <c r="E2178" s="26" t="s">
        <v>2722</v>
      </c>
      <c r="F2178" s="26" t="s">
        <v>1569</v>
      </c>
      <c r="G2178" s="26" t="s">
        <v>8260</v>
      </c>
      <c r="H2178" s="237" t="s">
        <v>8261</v>
      </c>
      <c r="I2178" s="26" t="s">
        <v>1144</v>
      </c>
      <c r="J2178" s="26" t="s">
        <v>2338</v>
      </c>
      <c r="K2178" s="26" t="s">
        <v>2339</v>
      </c>
      <c r="L2178" s="26" t="s">
        <v>8262</v>
      </c>
      <c r="M2178" s="26">
        <v>3</v>
      </c>
      <c r="N2178" s="26">
        <v>3</v>
      </c>
      <c r="O2178" s="26">
        <v>5</v>
      </c>
      <c r="P2178" s="26">
        <v>0</v>
      </c>
      <c r="Q2178" s="26">
        <v>2</v>
      </c>
      <c r="R2178" s="1209">
        <v>365</v>
      </c>
      <c r="S2178" s="1209">
        <v>1825</v>
      </c>
      <c r="T2178" s="26" t="s">
        <v>8074</v>
      </c>
      <c r="U2178" s="1859" t="s">
        <v>8263</v>
      </c>
      <c r="V2178" s="26" t="s">
        <v>104</v>
      </c>
      <c r="W2178" s="2065" t="s">
        <v>2341</v>
      </c>
      <c r="X2178" s="18"/>
      <c r="Y2178" s="4"/>
      <c r="Z2178" s="4"/>
    </row>
    <row r="2179" spans="1:26" ht="14.1" hidden="1">
      <c r="A2179" s="20">
        <v>2186</v>
      </c>
      <c r="B2179" s="1063">
        <v>41956</v>
      </c>
      <c r="C2179" s="26" t="s">
        <v>8264</v>
      </c>
      <c r="D2179" s="11" t="s">
        <v>6</v>
      </c>
      <c r="E2179" s="26" t="s">
        <v>2722</v>
      </c>
      <c r="F2179" s="26" t="s">
        <v>1569</v>
      </c>
      <c r="G2179" s="26" t="s">
        <v>2219</v>
      </c>
      <c r="H2179" s="237" t="s">
        <v>1579</v>
      </c>
      <c r="I2179" s="26" t="s">
        <v>8265</v>
      </c>
      <c r="J2179" s="26" t="s">
        <v>1577</v>
      </c>
      <c r="K2179" s="26" t="s">
        <v>1577</v>
      </c>
      <c r="L2179" s="26"/>
      <c r="M2179" s="26">
        <v>3</v>
      </c>
      <c r="N2179" s="26">
        <v>3</v>
      </c>
      <c r="O2179" s="26">
        <v>3</v>
      </c>
      <c r="P2179" s="26">
        <v>0</v>
      </c>
      <c r="Q2179" s="26">
        <v>0</v>
      </c>
      <c r="R2179" s="1209">
        <v>10300</v>
      </c>
      <c r="S2179" s="1209">
        <v>30900</v>
      </c>
      <c r="T2179" s="26" t="s">
        <v>8074</v>
      </c>
      <c r="U2179" s="1859" t="s">
        <v>8263</v>
      </c>
      <c r="V2179" s="26" t="s">
        <v>104</v>
      </c>
      <c r="W2179" s="2065" t="s">
        <v>1581</v>
      </c>
      <c r="X2179" s="18"/>
      <c r="Y2179" s="4"/>
      <c r="Z2179" s="4"/>
    </row>
    <row r="2180" spans="1:26" ht="24.95" hidden="1">
      <c r="A2180" s="20">
        <v>2187</v>
      </c>
      <c r="B2180" s="1063">
        <v>41957</v>
      </c>
      <c r="C2180" s="26" t="s">
        <v>8266</v>
      </c>
      <c r="D2180" s="11" t="s">
        <v>6</v>
      </c>
      <c r="E2180" s="26" t="s">
        <v>2722</v>
      </c>
      <c r="F2180" s="26" t="s">
        <v>1569</v>
      </c>
      <c r="G2180" s="26" t="s">
        <v>8267</v>
      </c>
      <c r="H2180" s="237" t="s">
        <v>1740</v>
      </c>
      <c r="I2180" s="26" t="s">
        <v>1144</v>
      </c>
      <c r="J2180" s="26" t="s">
        <v>3821</v>
      </c>
      <c r="K2180" s="26" t="s">
        <v>3822</v>
      </c>
      <c r="L2180" s="26" t="s">
        <v>8268</v>
      </c>
      <c r="M2180" s="26">
        <v>3</v>
      </c>
      <c r="N2180" s="26">
        <v>3</v>
      </c>
      <c r="O2180" s="26">
        <v>5</v>
      </c>
      <c r="P2180" s="26">
        <v>0</v>
      </c>
      <c r="Q2180" s="26">
        <v>2</v>
      </c>
      <c r="R2180" s="1209">
        <v>137</v>
      </c>
      <c r="S2180" s="1209">
        <v>685</v>
      </c>
      <c r="T2180" s="26" t="s">
        <v>8074</v>
      </c>
      <c r="U2180" s="1859" t="s">
        <v>8263</v>
      </c>
      <c r="V2180" s="26" t="s">
        <v>104</v>
      </c>
      <c r="W2180" s="2065" t="s">
        <v>3823</v>
      </c>
      <c r="X2180" s="18"/>
      <c r="Y2180" s="4"/>
      <c r="Z2180" s="4"/>
    </row>
    <row r="2181" spans="1:26" ht="24.95" hidden="1">
      <c r="A2181" s="20">
        <v>2188</v>
      </c>
      <c r="B2181" s="1063">
        <v>41958</v>
      </c>
      <c r="C2181" s="26" t="s">
        <v>8269</v>
      </c>
      <c r="D2181" s="11" t="s">
        <v>6</v>
      </c>
      <c r="E2181" s="26" t="s">
        <v>2722</v>
      </c>
      <c r="F2181" s="26" t="s">
        <v>1569</v>
      </c>
      <c r="G2181" s="26" t="s">
        <v>8270</v>
      </c>
      <c r="H2181" s="237" t="s">
        <v>1740</v>
      </c>
      <c r="I2181" s="26" t="s">
        <v>1144</v>
      </c>
      <c r="J2181" s="26" t="s">
        <v>3817</v>
      </c>
      <c r="K2181" s="26" t="s">
        <v>3818</v>
      </c>
      <c r="L2181" s="26" t="s">
        <v>8268</v>
      </c>
      <c r="M2181" s="26">
        <v>9</v>
      </c>
      <c r="N2181" s="26">
        <v>8</v>
      </c>
      <c r="O2181" s="26">
        <v>10</v>
      </c>
      <c r="P2181" s="26">
        <v>1</v>
      </c>
      <c r="Q2181" s="26">
        <v>2</v>
      </c>
      <c r="R2181" s="1209">
        <v>138</v>
      </c>
      <c r="S2181" s="1209">
        <v>1380</v>
      </c>
      <c r="T2181" s="26" t="s">
        <v>8074</v>
      </c>
      <c r="U2181" s="1859" t="s">
        <v>8263</v>
      </c>
      <c r="V2181" s="26" t="s">
        <v>104</v>
      </c>
      <c r="W2181" s="2065" t="s">
        <v>3819</v>
      </c>
      <c r="X2181" s="18"/>
      <c r="Y2181" s="4"/>
      <c r="Z2181" s="4"/>
    </row>
    <row r="2182" spans="1:26" ht="14.1" hidden="1">
      <c r="A2182" s="20">
        <v>2189</v>
      </c>
      <c r="B2182" s="1063">
        <v>41959</v>
      </c>
      <c r="C2182" s="26" t="s">
        <v>2517</v>
      </c>
      <c r="D2182" s="11" t="s">
        <v>6</v>
      </c>
      <c r="E2182" s="26" t="s">
        <v>2722</v>
      </c>
      <c r="F2182" s="26" t="s">
        <v>1569</v>
      </c>
      <c r="G2182" s="26" t="s">
        <v>8271</v>
      </c>
      <c r="H2182" s="237" t="s">
        <v>1751</v>
      </c>
      <c r="I2182" s="26" t="s">
        <v>1144</v>
      </c>
      <c r="J2182" s="26" t="s">
        <v>1752</v>
      </c>
      <c r="K2182" s="26" t="s">
        <v>1911</v>
      </c>
      <c r="L2182" s="26" t="s">
        <v>4791</v>
      </c>
      <c r="M2182" s="26">
        <v>15</v>
      </c>
      <c r="N2182" s="26">
        <v>15</v>
      </c>
      <c r="O2182" s="26">
        <v>20</v>
      </c>
      <c r="P2182" s="26">
        <v>0</v>
      </c>
      <c r="Q2182" s="26">
        <v>5</v>
      </c>
      <c r="R2182" s="1209">
        <v>1116.0999999999999</v>
      </c>
      <c r="S2182" s="1209">
        <v>22322</v>
      </c>
      <c r="T2182" s="26" t="s">
        <v>8074</v>
      </c>
      <c r="U2182" s="1859" t="s">
        <v>8272</v>
      </c>
      <c r="V2182" s="26" t="s">
        <v>104</v>
      </c>
      <c r="W2182" s="2065" t="s">
        <v>8273</v>
      </c>
      <c r="X2182" s="18"/>
      <c r="Y2182" s="4"/>
      <c r="Z2182" s="4"/>
    </row>
    <row r="2183" spans="1:26" ht="14.1" hidden="1">
      <c r="A2183" s="20">
        <v>2190</v>
      </c>
      <c r="B2183" s="1063">
        <v>41960</v>
      </c>
      <c r="C2183" s="26" t="s">
        <v>603</v>
      </c>
      <c r="D2183" s="11" t="s">
        <v>6</v>
      </c>
      <c r="E2183" s="26" t="s">
        <v>2722</v>
      </c>
      <c r="F2183" s="26" t="s">
        <v>1569</v>
      </c>
      <c r="G2183" s="26" t="s">
        <v>3218</v>
      </c>
      <c r="H2183" s="237" t="s">
        <v>1715</v>
      </c>
      <c r="I2183" s="26" t="s">
        <v>1584</v>
      </c>
      <c r="J2183" s="26" t="s">
        <v>3219</v>
      </c>
      <c r="K2183" s="26" t="s">
        <v>8274</v>
      </c>
      <c r="L2183" s="26" t="s">
        <v>8275</v>
      </c>
      <c r="M2183" s="26">
        <v>3</v>
      </c>
      <c r="N2183" s="26">
        <v>3</v>
      </c>
      <c r="O2183" s="26">
        <v>3</v>
      </c>
      <c r="P2183" s="26">
        <v>0</v>
      </c>
      <c r="Q2183" s="26">
        <v>0</v>
      </c>
      <c r="R2183" s="1209">
        <v>3975</v>
      </c>
      <c r="S2183" s="1209">
        <v>11925</v>
      </c>
      <c r="T2183" s="26" t="s">
        <v>8074</v>
      </c>
      <c r="U2183" s="1859" t="s">
        <v>8263</v>
      </c>
      <c r="V2183" s="26" t="s">
        <v>104</v>
      </c>
      <c r="W2183" s="2065" t="s">
        <v>3221</v>
      </c>
      <c r="X2183" s="18"/>
      <c r="Y2183" s="4"/>
      <c r="Z2183" s="4"/>
    </row>
    <row r="2184" spans="1:26" ht="14.1" hidden="1">
      <c r="A2184" s="20">
        <v>2191</v>
      </c>
      <c r="B2184" s="1063">
        <v>41961</v>
      </c>
      <c r="C2184" s="26" t="s">
        <v>603</v>
      </c>
      <c r="D2184" s="11" t="s">
        <v>6</v>
      </c>
      <c r="E2184" s="26" t="s">
        <v>2722</v>
      </c>
      <c r="F2184" s="26" t="s">
        <v>1569</v>
      </c>
      <c r="G2184" s="26" t="s">
        <v>8276</v>
      </c>
      <c r="H2184" s="237" t="s">
        <v>752</v>
      </c>
      <c r="I2184" s="26" t="s">
        <v>1144</v>
      </c>
      <c r="J2184" s="26" t="s">
        <v>3354</v>
      </c>
      <c r="K2184" s="26" t="s">
        <v>3355</v>
      </c>
      <c r="L2184" s="26" t="s">
        <v>4631</v>
      </c>
      <c r="M2184" s="26">
        <v>3</v>
      </c>
      <c r="N2184" s="26">
        <v>3</v>
      </c>
      <c r="O2184" s="26">
        <v>3</v>
      </c>
      <c r="P2184" s="26">
        <v>0</v>
      </c>
      <c r="Q2184" s="26">
        <v>0</v>
      </c>
      <c r="R2184" s="1209">
        <v>1333</v>
      </c>
      <c r="S2184" s="1209">
        <v>3999</v>
      </c>
      <c r="T2184" s="26" t="s">
        <v>8074</v>
      </c>
      <c r="U2184" s="1859" t="s">
        <v>8263</v>
      </c>
      <c r="V2184" s="26" t="s">
        <v>104</v>
      </c>
      <c r="W2184" s="2065" t="s">
        <v>3358</v>
      </c>
      <c r="X2184" s="18"/>
      <c r="Y2184" s="4"/>
      <c r="Z2184" s="4"/>
    </row>
    <row r="2185" spans="1:26" ht="50.1" hidden="1">
      <c r="A2185" s="20">
        <v>2192</v>
      </c>
      <c r="B2185" s="1063">
        <v>41962</v>
      </c>
      <c r="C2185" s="26" t="s">
        <v>603</v>
      </c>
      <c r="D2185" s="11" t="s">
        <v>6</v>
      </c>
      <c r="E2185" s="26" t="s">
        <v>2722</v>
      </c>
      <c r="F2185" s="26" t="s">
        <v>1569</v>
      </c>
      <c r="G2185" s="26" t="s">
        <v>8277</v>
      </c>
      <c r="H2185" s="237" t="s">
        <v>1715</v>
      </c>
      <c r="I2185" s="26" t="s">
        <v>1144</v>
      </c>
      <c r="J2185" s="26" t="s">
        <v>3228</v>
      </c>
      <c r="K2185" s="667" t="s">
        <v>8278</v>
      </c>
      <c r="L2185" s="26" t="s">
        <v>8279</v>
      </c>
      <c r="M2185" s="26">
        <v>3</v>
      </c>
      <c r="N2185" s="26">
        <v>1</v>
      </c>
      <c r="O2185" s="26">
        <v>3</v>
      </c>
      <c r="P2185" s="26">
        <v>2</v>
      </c>
      <c r="Q2185" s="26">
        <v>2</v>
      </c>
      <c r="R2185" s="1209">
        <v>461</v>
      </c>
      <c r="S2185" s="1209">
        <v>1383</v>
      </c>
      <c r="T2185" s="26" t="s">
        <v>8074</v>
      </c>
      <c r="U2185" s="1859" t="s">
        <v>8263</v>
      </c>
      <c r="V2185" s="26" t="s">
        <v>104</v>
      </c>
      <c r="W2185" s="2065" t="s">
        <v>8280</v>
      </c>
      <c r="X2185" s="18"/>
      <c r="Y2185" s="4"/>
      <c r="Z2185" s="4"/>
    </row>
    <row r="2186" spans="1:26" ht="14.1" hidden="1">
      <c r="A2186" s="20">
        <v>2193</v>
      </c>
      <c r="B2186" s="1063">
        <v>41963</v>
      </c>
      <c r="C2186" s="26" t="s">
        <v>1722</v>
      </c>
      <c r="D2186" s="11" t="s">
        <v>6</v>
      </c>
      <c r="E2186" s="26" t="s">
        <v>2722</v>
      </c>
      <c r="F2186" s="26" t="s">
        <v>1569</v>
      </c>
      <c r="G2186" s="26" t="s">
        <v>8281</v>
      </c>
      <c r="H2186" s="237" t="s">
        <v>460</v>
      </c>
      <c r="I2186" s="26" t="s">
        <v>1144</v>
      </c>
      <c r="J2186" s="26" t="s">
        <v>6487</v>
      </c>
      <c r="K2186" s="26" t="s">
        <v>6488</v>
      </c>
      <c r="L2186" s="26" t="s">
        <v>8282</v>
      </c>
      <c r="M2186" s="26">
        <v>3</v>
      </c>
      <c r="N2186" s="26">
        <v>3</v>
      </c>
      <c r="O2186" s="26">
        <v>3</v>
      </c>
      <c r="P2186" s="26">
        <v>0</v>
      </c>
      <c r="Q2186" s="26">
        <v>0</v>
      </c>
      <c r="R2186" s="1209">
        <v>120</v>
      </c>
      <c r="S2186" s="1209">
        <v>360</v>
      </c>
      <c r="T2186" s="26" t="s">
        <v>8074</v>
      </c>
      <c r="U2186" s="1859" t="s">
        <v>8263</v>
      </c>
      <c r="V2186" s="26" t="s">
        <v>104</v>
      </c>
      <c r="W2186" s="2065" t="s">
        <v>5960</v>
      </c>
      <c r="X2186" s="18"/>
      <c r="Y2186" s="4"/>
      <c r="Z2186" s="4"/>
    </row>
    <row r="2187" spans="1:26" ht="14.1" hidden="1">
      <c r="A2187" s="20">
        <v>2194</v>
      </c>
      <c r="B2187" s="1063">
        <v>41964</v>
      </c>
      <c r="C2187" s="26" t="s">
        <v>8283</v>
      </c>
      <c r="D2187" s="11" t="s">
        <v>6</v>
      </c>
      <c r="E2187" s="26" t="s">
        <v>2722</v>
      </c>
      <c r="F2187" s="26" t="s">
        <v>1569</v>
      </c>
      <c r="G2187" s="26" t="s">
        <v>8284</v>
      </c>
      <c r="H2187" s="237" t="s">
        <v>1853</v>
      </c>
      <c r="I2187" s="26" t="s">
        <v>1144</v>
      </c>
      <c r="J2187" s="26" t="s">
        <v>2135</v>
      </c>
      <c r="K2187" s="26" t="s">
        <v>2136</v>
      </c>
      <c r="L2187" s="26" t="s">
        <v>8285</v>
      </c>
      <c r="M2187" s="26">
        <v>3</v>
      </c>
      <c r="N2187" s="26">
        <v>2</v>
      </c>
      <c r="O2187" s="26">
        <v>3</v>
      </c>
      <c r="P2187" s="26">
        <v>1</v>
      </c>
      <c r="Q2187" s="26">
        <v>1</v>
      </c>
      <c r="R2187" s="1209">
        <v>65</v>
      </c>
      <c r="S2187" s="1209">
        <v>195</v>
      </c>
      <c r="T2187" s="26" t="s">
        <v>8074</v>
      </c>
      <c r="U2187" s="1859" t="s">
        <v>8263</v>
      </c>
      <c r="V2187" s="26" t="s">
        <v>104</v>
      </c>
      <c r="W2187" s="701" t="s">
        <v>3234</v>
      </c>
      <c r="X2187" s="18"/>
      <c r="Y2187" s="4"/>
      <c r="Z2187" s="4"/>
    </row>
    <row r="2188" spans="1:26" ht="14.1" hidden="1">
      <c r="A2188" s="20">
        <v>2195</v>
      </c>
      <c r="B2188" s="1063">
        <v>41965</v>
      </c>
      <c r="C2188" s="26" t="s">
        <v>3831</v>
      </c>
      <c r="D2188" s="11" t="s">
        <v>6</v>
      </c>
      <c r="E2188" s="26" t="s">
        <v>2722</v>
      </c>
      <c r="F2188" s="26" t="s">
        <v>1569</v>
      </c>
      <c r="G2188" s="26" t="s">
        <v>3287</v>
      </c>
      <c r="H2188" s="237" t="s">
        <v>671</v>
      </c>
      <c r="I2188" s="26" t="s">
        <v>1144</v>
      </c>
      <c r="J2188" s="26" t="s">
        <v>673</v>
      </c>
      <c r="K2188" s="26" t="s">
        <v>3288</v>
      </c>
      <c r="L2188" s="26" t="s">
        <v>8286</v>
      </c>
      <c r="M2188" s="26">
        <v>3</v>
      </c>
      <c r="N2188" s="26">
        <v>3</v>
      </c>
      <c r="O2188" s="26">
        <v>3</v>
      </c>
      <c r="P2188" s="26">
        <v>0</v>
      </c>
      <c r="Q2188" s="26">
        <v>0</v>
      </c>
      <c r="R2188" s="1209">
        <v>701</v>
      </c>
      <c r="S2188" s="1209">
        <v>2103</v>
      </c>
      <c r="T2188" s="26" t="s">
        <v>8074</v>
      </c>
      <c r="U2188" s="1859" t="s">
        <v>8263</v>
      </c>
      <c r="V2188" s="26" t="s">
        <v>104</v>
      </c>
      <c r="W2188" s="2065" t="s">
        <v>3833</v>
      </c>
      <c r="X2188" s="18"/>
      <c r="Y2188" s="4"/>
      <c r="Z2188" s="4"/>
    </row>
    <row r="2189" spans="1:26" ht="14.1" hidden="1">
      <c r="A2189" s="20">
        <v>2196</v>
      </c>
      <c r="B2189" s="1063">
        <v>41966</v>
      </c>
      <c r="C2189" s="26" t="s">
        <v>3277</v>
      </c>
      <c r="D2189" s="11" t="s">
        <v>6</v>
      </c>
      <c r="E2189" s="26" t="s">
        <v>2722</v>
      </c>
      <c r="F2189" s="26" t="s">
        <v>1569</v>
      </c>
      <c r="G2189" s="26" t="s">
        <v>8287</v>
      </c>
      <c r="H2189" s="237" t="s">
        <v>2001</v>
      </c>
      <c r="I2189" s="26" t="s">
        <v>1144</v>
      </c>
      <c r="J2189" s="26" t="s">
        <v>2002</v>
      </c>
      <c r="K2189" s="26" t="s">
        <v>2003</v>
      </c>
      <c r="L2189" s="26" t="s">
        <v>8288</v>
      </c>
      <c r="M2189" s="26">
        <v>6</v>
      </c>
      <c r="N2189" s="26">
        <v>2</v>
      </c>
      <c r="O2189" s="26">
        <v>5</v>
      </c>
      <c r="P2189" s="26">
        <v>4</v>
      </c>
      <c r="Q2189" s="26">
        <v>3</v>
      </c>
      <c r="R2189" s="1209">
        <v>102</v>
      </c>
      <c r="S2189" s="1209">
        <v>510</v>
      </c>
      <c r="T2189" s="26" t="s">
        <v>8074</v>
      </c>
      <c r="U2189" s="1859" t="s">
        <v>8263</v>
      </c>
      <c r="V2189" s="26" t="s">
        <v>104</v>
      </c>
      <c r="W2189" s="2065" t="s">
        <v>3279</v>
      </c>
      <c r="X2189" s="18"/>
      <c r="Y2189" s="4"/>
      <c r="Z2189" s="4"/>
    </row>
    <row r="2190" spans="1:26" ht="14.1" hidden="1">
      <c r="A2190" s="20">
        <v>2197</v>
      </c>
      <c r="B2190" s="1063">
        <v>41967</v>
      </c>
      <c r="C2190" s="26" t="s">
        <v>8289</v>
      </c>
      <c r="D2190" s="11" t="s">
        <v>6</v>
      </c>
      <c r="E2190" s="26" t="s">
        <v>2722</v>
      </c>
      <c r="F2190" s="26" t="s">
        <v>1569</v>
      </c>
      <c r="G2190" s="26" t="s">
        <v>8290</v>
      </c>
      <c r="H2190" s="237" t="s">
        <v>2701</v>
      </c>
      <c r="I2190" s="26" t="s">
        <v>1144</v>
      </c>
      <c r="J2190" s="26" t="s">
        <v>2369</v>
      </c>
      <c r="K2190" s="26" t="s">
        <v>2370</v>
      </c>
      <c r="L2190" s="26" t="s">
        <v>8268</v>
      </c>
      <c r="M2190" s="26">
        <v>3</v>
      </c>
      <c r="N2190" s="26">
        <v>3</v>
      </c>
      <c r="O2190" s="26">
        <v>3</v>
      </c>
      <c r="P2190" s="26">
        <v>0</v>
      </c>
      <c r="Q2190" s="26">
        <v>0</v>
      </c>
      <c r="R2190" s="1209">
        <v>270</v>
      </c>
      <c r="S2190" s="1209">
        <v>810</v>
      </c>
      <c r="T2190" s="26" t="s">
        <v>8074</v>
      </c>
      <c r="U2190" s="1859" t="s">
        <v>8263</v>
      </c>
      <c r="V2190" s="26" t="s">
        <v>104</v>
      </c>
      <c r="W2190" s="2065" t="s">
        <v>2372</v>
      </c>
      <c r="X2190" s="18"/>
      <c r="Y2190" s="4"/>
      <c r="Z2190" s="4"/>
    </row>
    <row r="2191" spans="1:26" ht="24.95" hidden="1">
      <c r="A2191" s="20">
        <v>2198</v>
      </c>
      <c r="B2191" s="1063">
        <v>41968</v>
      </c>
      <c r="C2191" s="26" t="s">
        <v>152</v>
      </c>
      <c r="D2191" s="11" t="s">
        <v>6</v>
      </c>
      <c r="E2191" s="26" t="s">
        <v>2722</v>
      </c>
      <c r="F2191" s="26" t="s">
        <v>1569</v>
      </c>
      <c r="G2191" s="26" t="s">
        <v>8291</v>
      </c>
      <c r="H2191" s="237" t="s">
        <v>5174</v>
      </c>
      <c r="I2191" s="26" t="s">
        <v>1144</v>
      </c>
      <c r="J2191" s="26" t="s">
        <v>5175</v>
      </c>
      <c r="K2191" s="26" t="s">
        <v>5176</v>
      </c>
      <c r="L2191" s="26">
        <v>603</v>
      </c>
      <c r="M2191" s="26">
        <v>24</v>
      </c>
      <c r="N2191" s="26">
        <v>24</v>
      </c>
      <c r="O2191" s="26">
        <v>25</v>
      </c>
      <c r="P2191" s="26">
        <v>0</v>
      </c>
      <c r="Q2191" s="26">
        <v>1</v>
      </c>
      <c r="R2191" s="1209">
        <v>43.44</v>
      </c>
      <c r="S2191" s="1209">
        <v>1086</v>
      </c>
      <c r="T2191" s="26" t="s">
        <v>8074</v>
      </c>
      <c r="U2191" s="1859" t="s">
        <v>8263</v>
      </c>
      <c r="V2191" s="26" t="s">
        <v>104</v>
      </c>
      <c r="W2191" s="2065" t="s">
        <v>5177</v>
      </c>
      <c r="X2191" s="18"/>
      <c r="Y2191" s="4"/>
      <c r="Z2191" s="4"/>
    </row>
    <row r="2192" spans="1:26" ht="24.95" hidden="1">
      <c r="A2192" s="20">
        <v>2199</v>
      </c>
      <c r="B2192" s="1063">
        <v>41969</v>
      </c>
      <c r="C2192" s="26" t="s">
        <v>8292</v>
      </c>
      <c r="D2192" s="11" t="s">
        <v>6</v>
      </c>
      <c r="E2192" s="26" t="s">
        <v>2722</v>
      </c>
      <c r="F2192" s="26" t="s">
        <v>1569</v>
      </c>
      <c r="G2192" s="26" t="s">
        <v>8293</v>
      </c>
      <c r="H2192" s="237" t="s">
        <v>3243</v>
      </c>
      <c r="I2192" s="26" t="s">
        <v>1144</v>
      </c>
      <c r="J2192" s="26" t="s">
        <v>5135</v>
      </c>
      <c r="K2192" s="26" t="s">
        <v>5136</v>
      </c>
      <c r="L2192" s="26">
        <v>603</v>
      </c>
      <c r="M2192" s="26">
        <v>99</v>
      </c>
      <c r="N2192" s="26">
        <v>2</v>
      </c>
      <c r="O2192" s="26">
        <v>100</v>
      </c>
      <c r="P2192" s="26">
        <v>97</v>
      </c>
      <c r="Q2192" s="26">
        <v>98</v>
      </c>
      <c r="R2192" s="1209">
        <v>10.33</v>
      </c>
      <c r="S2192" s="1209">
        <v>1033</v>
      </c>
      <c r="T2192" s="26" t="s">
        <v>8074</v>
      </c>
      <c r="U2192" s="1859" t="s">
        <v>8263</v>
      </c>
      <c r="V2192" s="26" t="s">
        <v>104</v>
      </c>
      <c r="W2192" s="2065" t="s">
        <v>5137</v>
      </c>
      <c r="X2192" s="18"/>
      <c r="Y2192" s="4"/>
      <c r="Z2192" s="4"/>
    </row>
    <row r="2193" spans="1:26" ht="24.95" hidden="1">
      <c r="A2193" s="20">
        <v>2200</v>
      </c>
      <c r="B2193" s="1063">
        <v>41970</v>
      </c>
      <c r="C2193" s="26" t="s">
        <v>2342</v>
      </c>
      <c r="D2193" s="11" t="s">
        <v>6</v>
      </c>
      <c r="E2193" s="26" t="s">
        <v>2722</v>
      </c>
      <c r="F2193" s="26" t="s">
        <v>1569</v>
      </c>
      <c r="G2193" s="26" t="s">
        <v>8294</v>
      </c>
      <c r="H2193" s="237" t="s">
        <v>2285</v>
      </c>
      <c r="I2193" s="26" t="s">
        <v>39</v>
      </c>
      <c r="J2193" s="26" t="s">
        <v>8161</v>
      </c>
      <c r="K2193" s="26" t="s">
        <v>648</v>
      </c>
      <c r="L2193" s="26">
        <v>805</v>
      </c>
      <c r="M2193" s="26">
        <v>15</v>
      </c>
      <c r="N2193" s="26">
        <v>5</v>
      </c>
      <c r="O2193" s="26">
        <v>10</v>
      </c>
      <c r="P2193" s="26">
        <v>10</v>
      </c>
      <c r="Q2193" s="26">
        <v>5</v>
      </c>
      <c r="R2193" s="1209">
        <v>224.4</v>
      </c>
      <c r="S2193" s="1209">
        <f>R2193*P2193</f>
        <v>2244</v>
      </c>
      <c r="T2193" s="26" t="s">
        <v>8074</v>
      </c>
      <c r="U2193" s="1859" t="s">
        <v>8263</v>
      </c>
      <c r="V2193" s="26" t="s">
        <v>104</v>
      </c>
      <c r="W2193" s="2065" t="s">
        <v>8162</v>
      </c>
      <c r="X2193" s="18"/>
      <c r="Y2193" s="4"/>
      <c r="Z2193" s="4"/>
    </row>
    <row r="2194" spans="1:26" ht="24.95" hidden="1">
      <c r="A2194" s="20">
        <v>2201</v>
      </c>
      <c r="B2194" s="1063">
        <v>41971</v>
      </c>
      <c r="C2194" s="26" t="s">
        <v>2342</v>
      </c>
      <c r="D2194" s="11" t="s">
        <v>6</v>
      </c>
      <c r="E2194" s="26" t="s">
        <v>2722</v>
      </c>
      <c r="F2194" s="26" t="s">
        <v>1569</v>
      </c>
      <c r="G2194" s="26" t="s">
        <v>8295</v>
      </c>
      <c r="H2194" s="237" t="s">
        <v>3243</v>
      </c>
      <c r="I2194" s="26" t="s">
        <v>1144</v>
      </c>
      <c r="J2194" s="26" t="s">
        <v>5138</v>
      </c>
      <c r="K2194" s="26" t="s">
        <v>5139</v>
      </c>
      <c r="L2194" s="26">
        <v>603</v>
      </c>
      <c r="M2194" s="26">
        <v>3</v>
      </c>
      <c r="N2194" s="26">
        <v>3</v>
      </c>
      <c r="O2194" s="26">
        <v>10</v>
      </c>
      <c r="P2194" s="26">
        <v>0</v>
      </c>
      <c r="Q2194" s="26">
        <v>7</v>
      </c>
      <c r="R2194" s="1209">
        <v>17</v>
      </c>
      <c r="S2194" s="1209">
        <v>170</v>
      </c>
      <c r="T2194" s="26" t="s">
        <v>8074</v>
      </c>
      <c r="U2194" s="1859" t="s">
        <v>8263</v>
      </c>
      <c r="V2194" s="26" t="s">
        <v>104</v>
      </c>
      <c r="W2194" s="2065" t="s">
        <v>5140</v>
      </c>
      <c r="X2194" s="18"/>
      <c r="Y2194" s="4"/>
      <c r="Z2194" s="4"/>
    </row>
    <row r="2195" spans="1:26" ht="24.95" hidden="1">
      <c r="A2195" s="20">
        <v>2202</v>
      </c>
      <c r="B2195" s="1063">
        <v>41972</v>
      </c>
      <c r="C2195" s="26" t="s">
        <v>2342</v>
      </c>
      <c r="D2195" s="11" t="s">
        <v>6</v>
      </c>
      <c r="E2195" s="26" t="s">
        <v>2722</v>
      </c>
      <c r="F2195" s="26" t="s">
        <v>1569</v>
      </c>
      <c r="G2195" s="26" t="s">
        <v>8296</v>
      </c>
      <c r="H2195" s="237" t="s">
        <v>3243</v>
      </c>
      <c r="I2195" s="26" t="s">
        <v>1144</v>
      </c>
      <c r="J2195" s="26" t="s">
        <v>3582</v>
      </c>
      <c r="K2195" s="26" t="s">
        <v>3583</v>
      </c>
      <c r="L2195" s="26">
        <v>603</v>
      </c>
      <c r="M2195" s="26">
        <v>3</v>
      </c>
      <c r="N2195" s="26">
        <v>3</v>
      </c>
      <c r="O2195" s="26">
        <v>10</v>
      </c>
      <c r="P2195" s="26">
        <v>0</v>
      </c>
      <c r="Q2195" s="26">
        <v>7</v>
      </c>
      <c r="R2195" s="1209">
        <v>44.5</v>
      </c>
      <c r="S2195" s="1209">
        <v>445</v>
      </c>
      <c r="T2195" s="26" t="s">
        <v>8074</v>
      </c>
      <c r="U2195" s="1859" t="s">
        <v>8263</v>
      </c>
      <c r="V2195" s="26" t="s">
        <v>104</v>
      </c>
      <c r="W2195" s="2065" t="s">
        <v>3584</v>
      </c>
      <c r="X2195" s="18"/>
      <c r="Y2195" s="4"/>
      <c r="Z2195" s="4"/>
    </row>
    <row r="2196" spans="1:26" ht="24.95" hidden="1">
      <c r="A2196" s="20">
        <v>2203</v>
      </c>
      <c r="B2196" s="1063">
        <v>41973</v>
      </c>
      <c r="C2196" s="26" t="s">
        <v>2342</v>
      </c>
      <c r="D2196" s="11" t="s">
        <v>6</v>
      </c>
      <c r="E2196" s="26" t="s">
        <v>2722</v>
      </c>
      <c r="F2196" s="26" t="s">
        <v>1569</v>
      </c>
      <c r="G2196" s="26" t="s">
        <v>8297</v>
      </c>
      <c r="H2196" s="237" t="s">
        <v>3243</v>
      </c>
      <c r="I2196" s="26" t="s">
        <v>1144</v>
      </c>
      <c r="J2196" s="26" t="s">
        <v>3555</v>
      </c>
      <c r="K2196" s="26" t="s">
        <v>3556</v>
      </c>
      <c r="L2196" s="26">
        <v>603</v>
      </c>
      <c r="M2196" s="26">
        <v>24</v>
      </c>
      <c r="N2196" s="26">
        <v>20</v>
      </c>
      <c r="O2196" s="26">
        <v>20</v>
      </c>
      <c r="P2196" s="26">
        <v>4</v>
      </c>
      <c r="Q2196" s="26">
        <v>0</v>
      </c>
      <c r="R2196" s="1209">
        <v>15.3</v>
      </c>
      <c r="S2196" s="1209">
        <v>306</v>
      </c>
      <c r="T2196" s="26" t="s">
        <v>8074</v>
      </c>
      <c r="U2196" s="1859" t="s">
        <v>8263</v>
      </c>
      <c r="V2196" s="26" t="s">
        <v>104</v>
      </c>
      <c r="W2196" s="2065" t="s">
        <v>3557</v>
      </c>
      <c r="X2196" s="18"/>
      <c r="Y2196" s="4"/>
      <c r="Z2196" s="4"/>
    </row>
    <row r="2197" spans="1:26" ht="24.95" hidden="1">
      <c r="A2197" s="20">
        <v>2204</v>
      </c>
      <c r="B2197" s="1063">
        <v>41974</v>
      </c>
      <c r="C2197" s="26" t="s">
        <v>2342</v>
      </c>
      <c r="D2197" s="11" t="s">
        <v>6</v>
      </c>
      <c r="E2197" s="26" t="s">
        <v>2722</v>
      </c>
      <c r="F2197" s="26" t="s">
        <v>1569</v>
      </c>
      <c r="G2197" s="26" t="s">
        <v>8298</v>
      </c>
      <c r="H2197" s="237" t="s">
        <v>641</v>
      </c>
      <c r="I2197" s="26" t="s">
        <v>39</v>
      </c>
      <c r="J2197" s="26" t="s">
        <v>8299</v>
      </c>
      <c r="K2197" s="26" t="s">
        <v>8300</v>
      </c>
      <c r="L2197" s="26">
        <v>603</v>
      </c>
      <c r="M2197" s="26">
        <v>30</v>
      </c>
      <c r="N2197" s="26">
        <v>100</v>
      </c>
      <c r="O2197" s="26">
        <v>100</v>
      </c>
      <c r="P2197" s="26">
        <v>20</v>
      </c>
      <c r="Q2197" s="26">
        <v>0</v>
      </c>
      <c r="R2197" s="1209">
        <v>8.5500000000000007</v>
      </c>
      <c r="S2197" s="1209">
        <f>R2197*O2197</f>
        <v>855.00000000000011</v>
      </c>
      <c r="T2197" s="26" t="s">
        <v>8074</v>
      </c>
      <c r="U2197" s="1859" t="s">
        <v>8263</v>
      </c>
      <c r="V2197" s="26" t="s">
        <v>104</v>
      </c>
      <c r="W2197" s="701" t="s">
        <v>8301</v>
      </c>
      <c r="X2197" s="18"/>
      <c r="Y2197" s="4"/>
      <c r="Z2197" s="4"/>
    </row>
    <row r="2198" spans="1:26" ht="24.95" hidden="1">
      <c r="A2198" s="20">
        <v>2205</v>
      </c>
      <c r="B2198" s="1063">
        <v>41975</v>
      </c>
      <c r="C2198" s="26" t="s">
        <v>2342</v>
      </c>
      <c r="D2198" s="11" t="s">
        <v>6</v>
      </c>
      <c r="E2198" s="26" t="s">
        <v>2722</v>
      </c>
      <c r="F2198" s="26" t="s">
        <v>1569</v>
      </c>
      <c r="G2198" s="26" t="s">
        <v>8302</v>
      </c>
      <c r="H2198" s="237" t="s">
        <v>3243</v>
      </c>
      <c r="I2198" s="26" t="s">
        <v>1144</v>
      </c>
      <c r="J2198" s="26" t="s">
        <v>3574</v>
      </c>
      <c r="K2198" s="26" t="s">
        <v>3575</v>
      </c>
      <c r="L2198" s="26">
        <v>603</v>
      </c>
      <c r="M2198" s="26">
        <v>6</v>
      </c>
      <c r="N2198" s="26">
        <v>2</v>
      </c>
      <c r="O2198" s="26">
        <v>10</v>
      </c>
      <c r="P2198" s="26">
        <v>4</v>
      </c>
      <c r="Q2198" s="26">
        <v>8</v>
      </c>
      <c r="R2198" s="1209">
        <v>30.4</v>
      </c>
      <c r="S2198" s="1209">
        <v>304</v>
      </c>
      <c r="T2198" s="26" t="s">
        <v>8074</v>
      </c>
      <c r="U2198" s="1859" t="s">
        <v>8263</v>
      </c>
      <c r="V2198" s="26" t="s">
        <v>104</v>
      </c>
      <c r="W2198" s="2065" t="s">
        <v>3576</v>
      </c>
      <c r="X2198" s="18"/>
      <c r="Y2198" s="4"/>
      <c r="Z2198" s="4"/>
    </row>
    <row r="2199" spans="1:26" ht="24.95" hidden="1">
      <c r="A2199" s="20">
        <v>2206</v>
      </c>
      <c r="B2199" s="1063">
        <v>41976</v>
      </c>
      <c r="C2199" s="26" t="s">
        <v>2342</v>
      </c>
      <c r="D2199" s="11" t="s">
        <v>6</v>
      </c>
      <c r="E2199" s="26" t="s">
        <v>2722</v>
      </c>
      <c r="F2199" s="26" t="s">
        <v>1569</v>
      </c>
      <c r="G2199" s="26" t="s">
        <v>8303</v>
      </c>
      <c r="H2199" s="237" t="s">
        <v>651</v>
      </c>
      <c r="I2199" s="26" t="s">
        <v>1144</v>
      </c>
      <c r="J2199" s="26" t="s">
        <v>8304</v>
      </c>
      <c r="K2199" s="26" t="s">
        <v>3571</v>
      </c>
      <c r="L2199" s="26">
        <v>603</v>
      </c>
      <c r="M2199" s="26">
        <v>3</v>
      </c>
      <c r="N2199" s="26">
        <v>1</v>
      </c>
      <c r="O2199" s="26">
        <v>5</v>
      </c>
      <c r="P2199" s="26">
        <v>2</v>
      </c>
      <c r="Q2199" s="26">
        <v>4</v>
      </c>
      <c r="R2199" s="1209">
        <v>50</v>
      </c>
      <c r="S2199" s="1209">
        <v>250</v>
      </c>
      <c r="T2199" s="26" t="s">
        <v>8074</v>
      </c>
      <c r="U2199" s="1859" t="s">
        <v>8263</v>
      </c>
      <c r="V2199" s="26" t="s">
        <v>104</v>
      </c>
      <c r="W2199" s="2065" t="s">
        <v>3572</v>
      </c>
      <c r="X2199" s="18"/>
      <c r="Y2199" s="4"/>
      <c r="Z2199" s="4"/>
    </row>
    <row r="2200" spans="1:26" ht="14.1" hidden="1">
      <c r="A2200" s="20">
        <v>2207</v>
      </c>
      <c r="B2200" s="1063">
        <v>41977</v>
      </c>
      <c r="C2200" s="139" t="s">
        <v>589</v>
      </c>
      <c r="D2200" s="231" t="s">
        <v>6</v>
      </c>
      <c r="E2200" s="139" t="s">
        <v>2722</v>
      </c>
      <c r="F2200" s="139" t="s">
        <v>1569</v>
      </c>
      <c r="G2200" s="139" t="s">
        <v>8305</v>
      </c>
      <c r="H2200" s="269" t="s">
        <v>1853</v>
      </c>
      <c r="I2200" s="139" t="s">
        <v>1144</v>
      </c>
      <c r="J2200" s="139" t="s">
        <v>3599</v>
      </c>
      <c r="K2200" s="139" t="s">
        <v>3600</v>
      </c>
      <c r="L2200" s="139">
        <v>603</v>
      </c>
      <c r="M2200" s="139">
        <v>12</v>
      </c>
      <c r="N2200" s="139">
        <v>9</v>
      </c>
      <c r="O2200" s="139">
        <v>10</v>
      </c>
      <c r="P2200" s="139">
        <v>3</v>
      </c>
      <c r="Q2200" s="139">
        <v>1</v>
      </c>
      <c r="R2200" s="1234">
        <v>34.299999999999997</v>
      </c>
      <c r="S2200" s="1234">
        <v>343</v>
      </c>
      <c r="T2200" s="139" t="s">
        <v>8074</v>
      </c>
      <c r="U2200" s="1861" t="s">
        <v>8263</v>
      </c>
      <c r="V2200" s="139" t="s">
        <v>104</v>
      </c>
      <c r="W2200" s="2066" t="s">
        <v>3601</v>
      </c>
      <c r="X2200" s="56"/>
      <c r="Y2200" s="57"/>
      <c r="Z2200" s="57"/>
    </row>
    <row r="2201" spans="1:26" ht="14.1" hidden="1">
      <c r="A2201" s="20">
        <v>2208</v>
      </c>
      <c r="B2201" s="1063">
        <v>41978</v>
      </c>
      <c r="C2201" s="26" t="s">
        <v>589</v>
      </c>
      <c r="D2201" s="11" t="s">
        <v>6</v>
      </c>
      <c r="E2201" s="26" t="s">
        <v>2722</v>
      </c>
      <c r="F2201" s="26" t="s">
        <v>1569</v>
      </c>
      <c r="G2201" s="26" t="s">
        <v>8306</v>
      </c>
      <c r="H2201" s="237" t="s">
        <v>1853</v>
      </c>
      <c r="I2201" s="26" t="s">
        <v>39</v>
      </c>
      <c r="J2201" s="26" t="s">
        <v>8307</v>
      </c>
      <c r="K2201" s="26" t="s">
        <v>3592</v>
      </c>
      <c r="L2201" s="26">
        <v>603</v>
      </c>
      <c r="M2201" s="26">
        <v>6</v>
      </c>
      <c r="N2201" s="26">
        <v>10</v>
      </c>
      <c r="O2201" s="26">
        <v>10</v>
      </c>
      <c r="P2201" s="26">
        <v>4</v>
      </c>
      <c r="Q2201" s="26">
        <v>3</v>
      </c>
      <c r="R2201" s="1209">
        <v>28.2</v>
      </c>
      <c r="S2201" s="1209">
        <f t="shared" ref="S2201:S2202" si="113">R2201*O2201</f>
        <v>282</v>
      </c>
      <c r="T2201" s="26" t="s">
        <v>8074</v>
      </c>
      <c r="U2201" s="1859" t="s">
        <v>8263</v>
      </c>
      <c r="V2201" s="26" t="s">
        <v>104</v>
      </c>
      <c r="W2201" s="2065" t="s">
        <v>8308</v>
      </c>
      <c r="X2201" s="18"/>
      <c r="Y2201" s="4"/>
      <c r="Z2201" s="4"/>
    </row>
    <row r="2202" spans="1:26" ht="14.1" hidden="1">
      <c r="A2202" s="20">
        <v>2209</v>
      </c>
      <c r="B2202" s="1063">
        <v>41979</v>
      </c>
      <c r="C2202" s="26" t="s">
        <v>589</v>
      </c>
      <c r="D2202" s="11" t="s">
        <v>6</v>
      </c>
      <c r="E2202" s="26" t="s">
        <v>2722</v>
      </c>
      <c r="F2202" s="26" t="s">
        <v>1569</v>
      </c>
      <c r="G2202" s="26" t="s">
        <v>8309</v>
      </c>
      <c r="H2202" s="237" t="s">
        <v>1853</v>
      </c>
      <c r="I2202" s="26" t="s">
        <v>39</v>
      </c>
      <c r="J2202" s="26" t="s">
        <v>8310</v>
      </c>
      <c r="K2202" s="26" t="s">
        <v>3596</v>
      </c>
      <c r="L2202" s="26">
        <v>603</v>
      </c>
      <c r="M2202" s="26">
        <v>12</v>
      </c>
      <c r="N2202" s="26">
        <v>9</v>
      </c>
      <c r="O2202" s="26">
        <v>10</v>
      </c>
      <c r="P2202" s="26">
        <v>3</v>
      </c>
      <c r="Q2202" s="26">
        <v>1</v>
      </c>
      <c r="R2202" s="1209">
        <v>29.2</v>
      </c>
      <c r="S2202" s="1209">
        <f t="shared" si="113"/>
        <v>292</v>
      </c>
      <c r="T2202" s="26" t="s">
        <v>8074</v>
      </c>
      <c r="U2202" s="1859" t="s">
        <v>8263</v>
      </c>
      <c r="V2202" s="26" t="s">
        <v>104</v>
      </c>
      <c r="W2202" s="2065" t="s">
        <v>8311</v>
      </c>
      <c r="X2202" s="18"/>
      <c r="Y2202" s="4"/>
      <c r="Z2202" s="4"/>
    </row>
    <row r="2203" spans="1:26" ht="14.1" hidden="1">
      <c r="A2203" s="20">
        <v>2210</v>
      </c>
      <c r="B2203" s="1063">
        <v>41980</v>
      </c>
      <c r="C2203" s="139" t="s">
        <v>589</v>
      </c>
      <c r="D2203" s="231" t="s">
        <v>6</v>
      </c>
      <c r="E2203" s="139" t="s">
        <v>2722</v>
      </c>
      <c r="F2203" s="139" t="s">
        <v>1569</v>
      </c>
      <c r="G2203" s="139" t="s">
        <v>8312</v>
      </c>
      <c r="H2203" s="269" t="s">
        <v>1853</v>
      </c>
      <c r="I2203" s="139" t="s">
        <v>1144</v>
      </c>
      <c r="J2203" s="139" t="s">
        <v>3586</v>
      </c>
      <c r="K2203" s="139" t="s">
        <v>3587</v>
      </c>
      <c r="L2203" s="139">
        <v>603</v>
      </c>
      <c r="M2203" s="139">
        <v>9</v>
      </c>
      <c r="N2203" s="139">
        <v>3</v>
      </c>
      <c r="O2203" s="139">
        <v>5</v>
      </c>
      <c r="P2203" s="139">
        <v>6</v>
      </c>
      <c r="Q2203" s="139">
        <v>2</v>
      </c>
      <c r="R2203" s="1234">
        <v>48</v>
      </c>
      <c r="S2203" s="1234">
        <v>240</v>
      </c>
      <c r="T2203" s="139" t="s">
        <v>8074</v>
      </c>
      <c r="U2203" s="1861" t="s">
        <v>8263</v>
      </c>
      <c r="V2203" s="139" t="s">
        <v>104</v>
      </c>
      <c r="W2203" s="2066" t="s">
        <v>3589</v>
      </c>
      <c r="X2203" s="56"/>
      <c r="Y2203" s="57"/>
      <c r="Z2203" s="57"/>
    </row>
    <row r="2204" spans="1:26" ht="24.95" hidden="1">
      <c r="A2204" s="20">
        <v>2211</v>
      </c>
      <c r="B2204" s="1063">
        <v>41981</v>
      </c>
      <c r="C2204" s="26" t="s">
        <v>152</v>
      </c>
      <c r="D2204" s="11" t="s">
        <v>6</v>
      </c>
      <c r="E2204" s="26" t="s">
        <v>2722</v>
      </c>
      <c r="F2204" s="26" t="s">
        <v>1569</v>
      </c>
      <c r="G2204" s="26" t="s">
        <v>8313</v>
      </c>
      <c r="H2204" s="237" t="s">
        <v>2786</v>
      </c>
      <c r="I2204" s="26" t="s">
        <v>1144</v>
      </c>
      <c r="J2204" s="26" t="s">
        <v>8314</v>
      </c>
      <c r="K2204" s="26" t="s">
        <v>8315</v>
      </c>
      <c r="L2204" s="26">
        <v>603</v>
      </c>
      <c r="M2204" s="26">
        <v>3</v>
      </c>
      <c r="N2204" s="26">
        <v>3</v>
      </c>
      <c r="O2204" s="26">
        <v>10</v>
      </c>
      <c r="P2204" s="26">
        <v>0</v>
      </c>
      <c r="Q2204" s="26">
        <v>7</v>
      </c>
      <c r="R2204" s="1209">
        <v>1.6</v>
      </c>
      <c r="S2204" s="1209">
        <v>16</v>
      </c>
      <c r="T2204" s="26" t="s">
        <v>8074</v>
      </c>
      <c r="U2204" s="1859" t="s">
        <v>8263</v>
      </c>
      <c r="V2204" s="26" t="s">
        <v>104</v>
      </c>
      <c r="W2204" s="2065" t="s">
        <v>8316</v>
      </c>
      <c r="X2204" s="18"/>
      <c r="Y2204" s="4"/>
      <c r="Z2204" s="4"/>
    </row>
    <row r="2205" spans="1:26" ht="24.95" hidden="1">
      <c r="A2205" s="20">
        <v>2212</v>
      </c>
      <c r="B2205" s="1063">
        <v>41982</v>
      </c>
      <c r="C2205" s="26" t="s">
        <v>152</v>
      </c>
      <c r="D2205" s="11" t="s">
        <v>6</v>
      </c>
      <c r="E2205" s="26" t="s">
        <v>2722</v>
      </c>
      <c r="F2205" s="26" t="s">
        <v>1569</v>
      </c>
      <c r="G2205" s="26" t="s">
        <v>8317</v>
      </c>
      <c r="H2205" s="237" t="s">
        <v>2786</v>
      </c>
      <c r="I2205" s="26" t="s">
        <v>1144</v>
      </c>
      <c r="J2205" s="26" t="s">
        <v>8318</v>
      </c>
      <c r="K2205" s="26" t="s">
        <v>8319</v>
      </c>
      <c r="L2205" s="26">
        <v>603</v>
      </c>
      <c r="M2205" s="26">
        <v>3</v>
      </c>
      <c r="N2205" s="26">
        <v>3</v>
      </c>
      <c r="O2205" s="26">
        <v>10</v>
      </c>
      <c r="P2205" s="26">
        <v>0</v>
      </c>
      <c r="Q2205" s="26">
        <v>7</v>
      </c>
      <c r="R2205" s="1209">
        <v>2.5</v>
      </c>
      <c r="S2205" s="1209">
        <v>25</v>
      </c>
      <c r="T2205" s="26" t="s">
        <v>8074</v>
      </c>
      <c r="U2205" s="1859" t="s">
        <v>8263</v>
      </c>
      <c r="V2205" s="26" t="s">
        <v>104</v>
      </c>
      <c r="W2205" s="2065" t="s">
        <v>8320</v>
      </c>
      <c r="X2205" s="18"/>
      <c r="Y2205" s="4"/>
      <c r="Z2205" s="4"/>
    </row>
    <row r="2206" spans="1:26" ht="24.95" hidden="1">
      <c r="A2206" s="20">
        <v>2213</v>
      </c>
      <c r="B2206" s="1063">
        <v>41983</v>
      </c>
      <c r="C2206" s="26" t="s">
        <v>152</v>
      </c>
      <c r="D2206" s="11" t="s">
        <v>6</v>
      </c>
      <c r="E2206" s="26" t="s">
        <v>2722</v>
      </c>
      <c r="F2206" s="26" t="s">
        <v>1569</v>
      </c>
      <c r="G2206" s="26" t="s">
        <v>8321</v>
      </c>
      <c r="H2206" s="237" t="s">
        <v>2786</v>
      </c>
      <c r="I2206" s="26" t="s">
        <v>1144</v>
      </c>
      <c r="J2206" s="26" t="s">
        <v>8322</v>
      </c>
      <c r="K2206" s="26" t="s">
        <v>8323</v>
      </c>
      <c r="L2206" s="26">
        <v>603</v>
      </c>
      <c r="M2206" s="26">
        <v>6</v>
      </c>
      <c r="N2206" s="26">
        <v>6</v>
      </c>
      <c r="O2206" s="26">
        <v>10</v>
      </c>
      <c r="P2206" s="26">
        <v>0</v>
      </c>
      <c r="Q2206" s="26">
        <v>4</v>
      </c>
      <c r="R2206" s="1209">
        <v>2.5</v>
      </c>
      <c r="S2206" s="1209">
        <v>25</v>
      </c>
      <c r="T2206" s="26" t="s">
        <v>8074</v>
      </c>
      <c r="U2206" s="1859" t="s">
        <v>8263</v>
      </c>
      <c r="V2206" s="26" t="s">
        <v>104</v>
      </c>
      <c r="W2206" s="2065" t="s">
        <v>8324</v>
      </c>
      <c r="X2206" s="18"/>
      <c r="Y2206" s="4"/>
      <c r="Z2206" s="4"/>
    </row>
    <row r="2207" spans="1:26" ht="24.95" hidden="1">
      <c r="A2207" s="20">
        <v>2214</v>
      </c>
      <c r="B2207" s="1063">
        <v>41984</v>
      </c>
      <c r="C2207" s="26" t="s">
        <v>152</v>
      </c>
      <c r="D2207" s="11" t="s">
        <v>6</v>
      </c>
      <c r="E2207" s="26" t="s">
        <v>2722</v>
      </c>
      <c r="F2207" s="26" t="s">
        <v>1569</v>
      </c>
      <c r="G2207" s="26" t="s">
        <v>8325</v>
      </c>
      <c r="H2207" s="237" t="s">
        <v>2786</v>
      </c>
      <c r="I2207" s="26" t="s">
        <v>1144</v>
      </c>
      <c r="J2207" s="26" t="s">
        <v>8326</v>
      </c>
      <c r="K2207" s="26" t="s">
        <v>8327</v>
      </c>
      <c r="L2207" s="26">
        <v>603</v>
      </c>
      <c r="M2207" s="26">
        <v>6</v>
      </c>
      <c r="N2207" s="26">
        <v>6</v>
      </c>
      <c r="O2207" s="26">
        <v>10</v>
      </c>
      <c r="P2207" s="26">
        <v>0</v>
      </c>
      <c r="Q2207" s="26">
        <v>4</v>
      </c>
      <c r="R2207" s="1209">
        <v>2.5</v>
      </c>
      <c r="S2207" s="1209">
        <v>25</v>
      </c>
      <c r="T2207" s="26" t="s">
        <v>8074</v>
      </c>
      <c r="U2207" s="1859" t="s">
        <v>8263</v>
      </c>
      <c r="V2207" s="26" t="s">
        <v>104</v>
      </c>
      <c r="W2207" s="2065" t="s">
        <v>8328</v>
      </c>
      <c r="X2207" s="18"/>
      <c r="Y2207" s="4"/>
      <c r="Z2207" s="4"/>
    </row>
    <row r="2208" spans="1:26" ht="24.95" hidden="1">
      <c r="A2208" s="20">
        <v>2215</v>
      </c>
      <c r="B2208" s="1063">
        <v>41985</v>
      </c>
      <c r="C2208" s="26" t="s">
        <v>152</v>
      </c>
      <c r="D2208" s="11" t="s">
        <v>6</v>
      </c>
      <c r="E2208" s="26" t="s">
        <v>2722</v>
      </c>
      <c r="F2208" s="26" t="s">
        <v>1569</v>
      </c>
      <c r="G2208" s="26" t="s">
        <v>8329</v>
      </c>
      <c r="H2208" s="237" t="s">
        <v>2786</v>
      </c>
      <c r="I2208" s="26" t="s">
        <v>1144</v>
      </c>
      <c r="J2208" s="26" t="s">
        <v>8330</v>
      </c>
      <c r="K2208" s="26" t="s">
        <v>8331</v>
      </c>
      <c r="L2208" s="26">
        <v>603</v>
      </c>
      <c r="M2208" s="26">
        <v>12</v>
      </c>
      <c r="N2208" s="26">
        <v>12</v>
      </c>
      <c r="O2208" s="26">
        <v>15</v>
      </c>
      <c r="P2208" s="26">
        <v>0</v>
      </c>
      <c r="Q2208" s="26">
        <v>3</v>
      </c>
      <c r="R2208" s="1209">
        <v>2.5</v>
      </c>
      <c r="S2208" s="1209">
        <v>37.5</v>
      </c>
      <c r="T2208" s="26" t="s">
        <v>8074</v>
      </c>
      <c r="U2208" s="1859" t="s">
        <v>8263</v>
      </c>
      <c r="V2208" s="26" t="s">
        <v>104</v>
      </c>
      <c r="W2208" s="2065" t="s">
        <v>8332</v>
      </c>
      <c r="X2208" s="18"/>
      <c r="Y2208" s="4"/>
      <c r="Z2208" s="4"/>
    </row>
    <row r="2209" spans="1:26" ht="24.95" hidden="1">
      <c r="A2209" s="20">
        <v>2216</v>
      </c>
      <c r="B2209" s="1063">
        <v>41986</v>
      </c>
      <c r="C2209" s="26" t="s">
        <v>152</v>
      </c>
      <c r="D2209" s="11" t="s">
        <v>6</v>
      </c>
      <c r="E2209" s="26" t="s">
        <v>2722</v>
      </c>
      <c r="F2209" s="26" t="s">
        <v>1569</v>
      </c>
      <c r="G2209" s="26" t="s">
        <v>8333</v>
      </c>
      <c r="H2209" s="237" t="s">
        <v>2786</v>
      </c>
      <c r="I2209" s="26" t="s">
        <v>1144</v>
      </c>
      <c r="J2209" s="26" t="s">
        <v>8334</v>
      </c>
      <c r="K2209" s="26" t="s">
        <v>8335</v>
      </c>
      <c r="L2209" s="26">
        <v>603</v>
      </c>
      <c r="M2209" s="26">
        <v>12</v>
      </c>
      <c r="N2209" s="26">
        <v>12</v>
      </c>
      <c r="O2209" s="26">
        <v>15</v>
      </c>
      <c r="P2209" s="26">
        <v>0</v>
      </c>
      <c r="Q2209" s="26">
        <v>3</v>
      </c>
      <c r="R2209" s="1209">
        <v>2.5</v>
      </c>
      <c r="S2209" s="1209">
        <v>37.5</v>
      </c>
      <c r="T2209" s="26" t="s">
        <v>8074</v>
      </c>
      <c r="U2209" s="1859" t="s">
        <v>8263</v>
      </c>
      <c r="V2209" s="26" t="s">
        <v>104</v>
      </c>
      <c r="W2209" s="2065" t="s">
        <v>8336</v>
      </c>
      <c r="X2209" s="18"/>
      <c r="Y2209" s="4"/>
      <c r="Z2209" s="4"/>
    </row>
    <row r="2210" spans="1:26" ht="24.95" hidden="1">
      <c r="A2210" s="20">
        <v>2217</v>
      </c>
      <c r="B2210" s="1063">
        <v>41987</v>
      </c>
      <c r="C2210" s="26" t="s">
        <v>152</v>
      </c>
      <c r="D2210" s="11" t="s">
        <v>6</v>
      </c>
      <c r="E2210" s="26" t="s">
        <v>2722</v>
      </c>
      <c r="F2210" s="26" t="s">
        <v>1569</v>
      </c>
      <c r="G2210" s="26" t="s">
        <v>8337</v>
      </c>
      <c r="H2210" s="237" t="s">
        <v>2786</v>
      </c>
      <c r="I2210" s="26" t="s">
        <v>1144</v>
      </c>
      <c r="J2210" s="26" t="s">
        <v>8338</v>
      </c>
      <c r="K2210" s="26" t="s">
        <v>8339</v>
      </c>
      <c r="L2210" s="26">
        <v>603</v>
      </c>
      <c r="M2210" s="26">
        <v>6</v>
      </c>
      <c r="N2210" s="26">
        <v>6</v>
      </c>
      <c r="O2210" s="26">
        <v>10</v>
      </c>
      <c r="P2210" s="26">
        <v>0</v>
      </c>
      <c r="Q2210" s="26">
        <v>4</v>
      </c>
      <c r="R2210" s="1209">
        <v>2.5</v>
      </c>
      <c r="S2210" s="1209">
        <v>25</v>
      </c>
      <c r="T2210" s="26" t="s">
        <v>8074</v>
      </c>
      <c r="U2210" s="1859" t="s">
        <v>8263</v>
      </c>
      <c r="V2210" s="26" t="s">
        <v>104</v>
      </c>
      <c r="W2210" s="2065" t="s">
        <v>8340</v>
      </c>
      <c r="X2210" s="18"/>
      <c r="Y2210" s="4"/>
      <c r="Z2210" s="4"/>
    </row>
    <row r="2211" spans="1:26" ht="24.95" hidden="1">
      <c r="A2211" s="20">
        <v>2218</v>
      </c>
      <c r="B2211" s="1063">
        <v>41988</v>
      </c>
      <c r="C2211" s="26" t="s">
        <v>152</v>
      </c>
      <c r="D2211" s="11" t="s">
        <v>6</v>
      </c>
      <c r="E2211" s="26" t="s">
        <v>2722</v>
      </c>
      <c r="F2211" s="26" t="s">
        <v>1569</v>
      </c>
      <c r="G2211" s="26" t="s">
        <v>8341</v>
      </c>
      <c r="H2211" s="237" t="s">
        <v>2786</v>
      </c>
      <c r="I2211" s="26" t="s">
        <v>1144</v>
      </c>
      <c r="J2211" s="26" t="s">
        <v>8342</v>
      </c>
      <c r="K2211" s="26" t="s">
        <v>8343</v>
      </c>
      <c r="L2211" s="26">
        <v>603</v>
      </c>
      <c r="M2211" s="26">
        <v>6</v>
      </c>
      <c r="N2211" s="26">
        <v>6</v>
      </c>
      <c r="O2211" s="26">
        <v>10</v>
      </c>
      <c r="P2211" s="26">
        <v>0</v>
      </c>
      <c r="Q2211" s="26">
        <v>4</v>
      </c>
      <c r="R2211" s="1209">
        <v>2.5</v>
      </c>
      <c r="S2211" s="1209">
        <v>25</v>
      </c>
      <c r="T2211" s="26" t="s">
        <v>8074</v>
      </c>
      <c r="U2211" s="1859" t="s">
        <v>8263</v>
      </c>
      <c r="V2211" s="26" t="s">
        <v>104</v>
      </c>
      <c r="W2211" s="2065" t="s">
        <v>8344</v>
      </c>
      <c r="X2211" s="18"/>
      <c r="Y2211" s="4"/>
      <c r="Z2211" s="4"/>
    </row>
    <row r="2212" spans="1:26" ht="24.95" hidden="1">
      <c r="A2212" s="20">
        <v>2219</v>
      </c>
      <c r="B2212" s="1063">
        <v>41989</v>
      </c>
      <c r="C2212" s="26" t="s">
        <v>152</v>
      </c>
      <c r="D2212" s="11" t="s">
        <v>6</v>
      </c>
      <c r="E2212" s="26" t="s">
        <v>2722</v>
      </c>
      <c r="F2212" s="26" t="s">
        <v>1569</v>
      </c>
      <c r="G2212" s="26" t="s">
        <v>8345</v>
      </c>
      <c r="H2212" s="237" t="s">
        <v>2786</v>
      </c>
      <c r="I2212" s="26" t="s">
        <v>1144</v>
      </c>
      <c r="J2212" s="26" t="s">
        <v>8346</v>
      </c>
      <c r="K2212" s="26" t="s">
        <v>8347</v>
      </c>
      <c r="L2212" s="26">
        <v>603</v>
      </c>
      <c r="M2212" s="26">
        <v>3</v>
      </c>
      <c r="N2212" s="26">
        <v>3</v>
      </c>
      <c r="O2212" s="26">
        <v>10</v>
      </c>
      <c r="P2212" s="26">
        <v>0</v>
      </c>
      <c r="Q2212" s="26">
        <v>7</v>
      </c>
      <c r="R2212" s="1209">
        <v>1.6</v>
      </c>
      <c r="S2212" s="1209">
        <v>16</v>
      </c>
      <c r="T2212" s="26" t="s">
        <v>8074</v>
      </c>
      <c r="U2212" s="1859" t="s">
        <v>8263</v>
      </c>
      <c r="V2212" s="26" t="s">
        <v>104</v>
      </c>
      <c r="W2212" s="2065" t="s">
        <v>8348</v>
      </c>
      <c r="X2212" s="18"/>
      <c r="Y2212" s="4"/>
      <c r="Z2212" s="4"/>
    </row>
    <row r="2213" spans="1:26" ht="24.95" hidden="1">
      <c r="A2213" s="20">
        <v>2220</v>
      </c>
      <c r="B2213" s="1063">
        <v>41990</v>
      </c>
      <c r="C2213" s="26" t="s">
        <v>152</v>
      </c>
      <c r="D2213" s="11" t="s">
        <v>6</v>
      </c>
      <c r="E2213" s="26" t="s">
        <v>2722</v>
      </c>
      <c r="F2213" s="26" t="s">
        <v>1569</v>
      </c>
      <c r="G2213" s="26" t="s">
        <v>8349</v>
      </c>
      <c r="H2213" s="237" t="s">
        <v>2786</v>
      </c>
      <c r="I2213" s="26" t="s">
        <v>1144</v>
      </c>
      <c r="J2213" s="26" t="s">
        <v>8350</v>
      </c>
      <c r="K2213" s="26" t="s">
        <v>8351</v>
      </c>
      <c r="L2213" s="26">
        <v>603</v>
      </c>
      <c r="M2213" s="26">
        <v>9</v>
      </c>
      <c r="N2213" s="26">
        <v>9</v>
      </c>
      <c r="O2213" s="26">
        <v>10</v>
      </c>
      <c r="P2213" s="26">
        <v>0</v>
      </c>
      <c r="Q2213" s="26">
        <v>1</v>
      </c>
      <c r="R2213" s="1209">
        <v>2.5</v>
      </c>
      <c r="S2213" s="1209">
        <v>25</v>
      </c>
      <c r="T2213" s="26" t="s">
        <v>8074</v>
      </c>
      <c r="U2213" s="1859" t="s">
        <v>8263</v>
      </c>
      <c r="V2213" s="26" t="s">
        <v>104</v>
      </c>
      <c r="W2213" s="2065" t="s">
        <v>8352</v>
      </c>
      <c r="X2213" s="18"/>
      <c r="Y2213" s="4"/>
      <c r="Z2213" s="4"/>
    </row>
    <row r="2214" spans="1:26" ht="24.95" hidden="1">
      <c r="A2214" s="20">
        <v>2221</v>
      </c>
      <c r="B2214" s="1063">
        <v>41991</v>
      </c>
      <c r="C2214" s="26" t="s">
        <v>152</v>
      </c>
      <c r="D2214" s="11" t="s">
        <v>6</v>
      </c>
      <c r="E2214" s="26" t="s">
        <v>2722</v>
      </c>
      <c r="F2214" s="26" t="s">
        <v>1569</v>
      </c>
      <c r="G2214" s="26" t="s">
        <v>8353</v>
      </c>
      <c r="H2214" s="237" t="s">
        <v>2786</v>
      </c>
      <c r="I2214" s="26" t="s">
        <v>1144</v>
      </c>
      <c r="J2214" s="26" t="s">
        <v>8354</v>
      </c>
      <c r="K2214" s="26" t="s">
        <v>8355</v>
      </c>
      <c r="L2214" s="26">
        <v>603</v>
      </c>
      <c r="M2214" s="26">
        <v>3</v>
      </c>
      <c r="N2214" s="26">
        <v>3</v>
      </c>
      <c r="O2214" s="26">
        <v>10</v>
      </c>
      <c r="P2214" s="26">
        <v>0</v>
      </c>
      <c r="Q2214" s="26">
        <v>7</v>
      </c>
      <c r="R2214" s="1209">
        <v>2.5</v>
      </c>
      <c r="S2214" s="1209">
        <v>25</v>
      </c>
      <c r="T2214" s="26" t="s">
        <v>8074</v>
      </c>
      <c r="U2214" s="1859" t="s">
        <v>8263</v>
      </c>
      <c r="V2214" s="26" t="s">
        <v>104</v>
      </c>
      <c r="W2214" s="2065" t="s">
        <v>8356</v>
      </c>
      <c r="X2214" s="18"/>
      <c r="Y2214" s="4"/>
      <c r="Z2214" s="4"/>
    </row>
    <row r="2215" spans="1:26" ht="24.95" hidden="1">
      <c r="A2215" s="20">
        <v>2222</v>
      </c>
      <c r="B2215" s="1063">
        <v>41992</v>
      </c>
      <c r="C2215" s="26" t="s">
        <v>152</v>
      </c>
      <c r="D2215" s="11" t="s">
        <v>6</v>
      </c>
      <c r="E2215" s="26" t="s">
        <v>2722</v>
      </c>
      <c r="F2215" s="26" t="s">
        <v>1569</v>
      </c>
      <c r="G2215" s="26" t="s">
        <v>8357</v>
      </c>
      <c r="H2215" s="237" t="s">
        <v>2786</v>
      </c>
      <c r="I2215" s="26" t="s">
        <v>1144</v>
      </c>
      <c r="J2215" s="26" t="s">
        <v>8358</v>
      </c>
      <c r="K2215" s="26" t="s">
        <v>4467</v>
      </c>
      <c r="L2215" s="26">
        <v>603</v>
      </c>
      <c r="M2215" s="26">
        <v>105</v>
      </c>
      <c r="N2215" s="26">
        <v>105</v>
      </c>
      <c r="O2215" s="26">
        <v>110</v>
      </c>
      <c r="P2215" s="26">
        <v>0</v>
      </c>
      <c r="Q2215" s="26">
        <v>5</v>
      </c>
      <c r="R2215" s="1209">
        <v>1.04</v>
      </c>
      <c r="S2215" s="1209">
        <v>114.4</v>
      </c>
      <c r="T2215" s="26" t="s">
        <v>8074</v>
      </c>
      <c r="U2215" s="1859" t="s">
        <v>8263</v>
      </c>
      <c r="V2215" s="26" t="s">
        <v>104</v>
      </c>
      <c r="W2215" s="2065" t="s">
        <v>8359</v>
      </c>
      <c r="X2215" s="18"/>
      <c r="Y2215" s="4"/>
      <c r="Z2215" s="4"/>
    </row>
    <row r="2216" spans="1:26" ht="24.95" hidden="1">
      <c r="A2216" s="20">
        <v>2223</v>
      </c>
      <c r="B2216" s="1063">
        <v>41993</v>
      </c>
      <c r="C2216" s="26" t="s">
        <v>152</v>
      </c>
      <c r="D2216" s="11" t="s">
        <v>6</v>
      </c>
      <c r="E2216" s="26" t="s">
        <v>2722</v>
      </c>
      <c r="F2216" s="26" t="s">
        <v>1569</v>
      </c>
      <c r="G2216" s="26" t="s">
        <v>8360</v>
      </c>
      <c r="H2216" s="237" t="s">
        <v>2786</v>
      </c>
      <c r="I2216" s="26" t="s">
        <v>1144</v>
      </c>
      <c r="J2216" s="26" t="s">
        <v>8361</v>
      </c>
      <c r="K2216" s="26" t="s">
        <v>8362</v>
      </c>
      <c r="L2216" s="26">
        <v>603</v>
      </c>
      <c r="M2216" s="26">
        <v>3</v>
      </c>
      <c r="N2216" s="26">
        <v>3</v>
      </c>
      <c r="O2216" s="26">
        <v>10</v>
      </c>
      <c r="P2216" s="26">
        <v>0</v>
      </c>
      <c r="Q2216" s="26">
        <v>7</v>
      </c>
      <c r="R2216" s="1209">
        <v>2.5</v>
      </c>
      <c r="S2216" s="1209">
        <v>25</v>
      </c>
      <c r="T2216" s="26" t="s">
        <v>8074</v>
      </c>
      <c r="U2216" s="1859" t="s">
        <v>8263</v>
      </c>
      <c r="V2216" s="26" t="s">
        <v>104</v>
      </c>
      <c r="W2216" s="2065" t="s">
        <v>8363</v>
      </c>
      <c r="X2216" s="18"/>
      <c r="Y2216" s="4"/>
      <c r="Z2216" s="4"/>
    </row>
    <row r="2217" spans="1:26" ht="24.95" hidden="1">
      <c r="A2217" s="20">
        <v>2224</v>
      </c>
      <c r="B2217" s="1063">
        <v>41994</v>
      </c>
      <c r="C2217" s="26" t="s">
        <v>152</v>
      </c>
      <c r="D2217" s="11" t="s">
        <v>6</v>
      </c>
      <c r="E2217" s="26" t="s">
        <v>2722</v>
      </c>
      <c r="F2217" s="26" t="s">
        <v>1569</v>
      </c>
      <c r="G2217" s="26" t="s">
        <v>8364</v>
      </c>
      <c r="H2217" s="237" t="s">
        <v>2786</v>
      </c>
      <c r="I2217" s="26" t="s">
        <v>1144</v>
      </c>
      <c r="J2217" s="26" t="s">
        <v>8365</v>
      </c>
      <c r="K2217" s="26" t="s">
        <v>8366</v>
      </c>
      <c r="L2217" s="26">
        <v>603</v>
      </c>
      <c r="M2217" s="26">
        <v>3</v>
      </c>
      <c r="N2217" s="26">
        <v>3</v>
      </c>
      <c r="O2217" s="26">
        <v>10</v>
      </c>
      <c r="P2217" s="26">
        <v>0</v>
      </c>
      <c r="Q2217" s="26">
        <v>7</v>
      </c>
      <c r="R2217" s="1209">
        <v>2.5</v>
      </c>
      <c r="S2217" s="1209">
        <v>25</v>
      </c>
      <c r="T2217" s="26" t="s">
        <v>8074</v>
      </c>
      <c r="U2217" s="1859" t="s">
        <v>8263</v>
      </c>
      <c r="V2217" s="26" t="s">
        <v>104</v>
      </c>
      <c r="W2217" s="2065" t="s">
        <v>8367</v>
      </c>
      <c r="X2217" s="18"/>
      <c r="Y2217" s="4"/>
      <c r="Z2217" s="4"/>
    </row>
    <row r="2218" spans="1:26" ht="24.95" hidden="1">
      <c r="A2218" s="20">
        <v>2225</v>
      </c>
      <c r="B2218" s="1063">
        <v>41995</v>
      </c>
      <c r="C2218" s="26" t="s">
        <v>152</v>
      </c>
      <c r="D2218" s="11" t="s">
        <v>6</v>
      </c>
      <c r="E2218" s="26" t="s">
        <v>2722</v>
      </c>
      <c r="F2218" s="26" t="s">
        <v>1569</v>
      </c>
      <c r="G2218" s="26" t="s">
        <v>8368</v>
      </c>
      <c r="H2218" s="237" t="s">
        <v>2786</v>
      </c>
      <c r="I2218" s="26" t="s">
        <v>1144</v>
      </c>
      <c r="J2218" s="26" t="s">
        <v>8369</v>
      </c>
      <c r="K2218" s="26" t="s">
        <v>8370</v>
      </c>
      <c r="L2218" s="26">
        <v>603</v>
      </c>
      <c r="M2218" s="26">
        <v>36</v>
      </c>
      <c r="N2218" s="26">
        <v>36</v>
      </c>
      <c r="O2218" s="26">
        <v>40</v>
      </c>
      <c r="P2218" s="26">
        <v>0</v>
      </c>
      <c r="Q2218" s="26">
        <v>4</v>
      </c>
      <c r="R2218" s="1209">
        <v>2.5</v>
      </c>
      <c r="S2218" s="1209">
        <v>100</v>
      </c>
      <c r="T2218" s="26" t="s">
        <v>8074</v>
      </c>
      <c r="U2218" s="1859" t="s">
        <v>8263</v>
      </c>
      <c r="V2218" s="26" t="s">
        <v>104</v>
      </c>
      <c r="W2218" s="2065" t="s">
        <v>8371</v>
      </c>
      <c r="X2218" s="18"/>
      <c r="Y2218" s="4"/>
      <c r="Z2218" s="4"/>
    </row>
    <row r="2219" spans="1:26" ht="24.95" hidden="1">
      <c r="A2219" s="20">
        <v>2226</v>
      </c>
      <c r="B2219" s="1063">
        <v>41996</v>
      </c>
      <c r="C2219" s="26" t="s">
        <v>152</v>
      </c>
      <c r="D2219" s="11" t="s">
        <v>6</v>
      </c>
      <c r="E2219" s="26" t="s">
        <v>2722</v>
      </c>
      <c r="F2219" s="26" t="s">
        <v>1569</v>
      </c>
      <c r="G2219" s="26" t="s">
        <v>8372</v>
      </c>
      <c r="H2219" s="237" t="s">
        <v>2786</v>
      </c>
      <c r="I2219" s="26" t="s">
        <v>1144</v>
      </c>
      <c r="J2219" s="26" t="s">
        <v>8373</v>
      </c>
      <c r="K2219" s="26" t="s">
        <v>8374</v>
      </c>
      <c r="L2219" s="26">
        <v>603</v>
      </c>
      <c r="M2219" s="26">
        <v>3</v>
      </c>
      <c r="N2219" s="26">
        <v>3</v>
      </c>
      <c r="O2219" s="26">
        <v>10</v>
      </c>
      <c r="P2219" s="26">
        <v>0</v>
      </c>
      <c r="Q2219" s="26">
        <v>7</v>
      </c>
      <c r="R2219" s="1209">
        <v>2.5</v>
      </c>
      <c r="S2219" s="1209">
        <v>25</v>
      </c>
      <c r="T2219" s="26" t="s">
        <v>8074</v>
      </c>
      <c r="U2219" s="1859" t="s">
        <v>8263</v>
      </c>
      <c r="V2219" s="26" t="s">
        <v>104</v>
      </c>
      <c r="W2219" s="2065" t="s">
        <v>8375</v>
      </c>
      <c r="X2219" s="18"/>
      <c r="Y2219" s="4"/>
      <c r="Z2219" s="4"/>
    </row>
    <row r="2220" spans="1:26" ht="24.95" hidden="1">
      <c r="A2220" s="20">
        <v>2227</v>
      </c>
      <c r="B2220" s="1063">
        <v>41997</v>
      </c>
      <c r="C2220" s="26" t="s">
        <v>152</v>
      </c>
      <c r="D2220" s="11" t="s">
        <v>6</v>
      </c>
      <c r="E2220" s="26" t="s">
        <v>2722</v>
      </c>
      <c r="F2220" s="26" t="s">
        <v>1569</v>
      </c>
      <c r="G2220" s="26" t="s">
        <v>8376</v>
      </c>
      <c r="H2220" s="237" t="s">
        <v>2786</v>
      </c>
      <c r="I2220" s="26" t="s">
        <v>1144</v>
      </c>
      <c r="J2220" s="26" t="s">
        <v>8377</v>
      </c>
      <c r="K2220" s="26" t="s">
        <v>8378</v>
      </c>
      <c r="L2220" s="26">
        <v>603</v>
      </c>
      <c r="M2220" s="26">
        <v>6</v>
      </c>
      <c r="N2220" s="26">
        <v>6</v>
      </c>
      <c r="O2220" s="26">
        <v>10</v>
      </c>
      <c r="P2220" s="26">
        <v>0</v>
      </c>
      <c r="Q2220" s="26">
        <v>4</v>
      </c>
      <c r="R2220" s="1209">
        <v>2.5</v>
      </c>
      <c r="S2220" s="1209">
        <v>25</v>
      </c>
      <c r="T2220" s="26" t="s">
        <v>8074</v>
      </c>
      <c r="U2220" s="1859" t="s">
        <v>8263</v>
      </c>
      <c r="V2220" s="26" t="s">
        <v>104</v>
      </c>
      <c r="W2220" s="2065" t="s">
        <v>8379</v>
      </c>
      <c r="X2220" s="18"/>
      <c r="Y2220" s="4"/>
      <c r="Z2220" s="4"/>
    </row>
    <row r="2221" spans="1:26" ht="24.95" hidden="1">
      <c r="A2221" s="20">
        <v>2228</v>
      </c>
      <c r="B2221" s="1063">
        <v>41998</v>
      </c>
      <c r="C2221" s="26" t="s">
        <v>8380</v>
      </c>
      <c r="D2221" s="11" t="s">
        <v>6</v>
      </c>
      <c r="E2221" s="26" t="s">
        <v>2722</v>
      </c>
      <c r="F2221" s="26" t="s">
        <v>1569</v>
      </c>
      <c r="G2221" s="26" t="s">
        <v>8381</v>
      </c>
      <c r="H2221" s="237" t="s">
        <v>2786</v>
      </c>
      <c r="I2221" s="26" t="s">
        <v>1144</v>
      </c>
      <c r="J2221" s="26" t="s">
        <v>8382</v>
      </c>
      <c r="K2221" s="26" t="s">
        <v>8383</v>
      </c>
      <c r="L2221" s="26">
        <v>603</v>
      </c>
      <c r="M2221" s="26">
        <v>9</v>
      </c>
      <c r="N2221" s="26">
        <v>9</v>
      </c>
      <c r="O2221" s="26">
        <v>10</v>
      </c>
      <c r="P2221" s="26">
        <v>0</v>
      </c>
      <c r="Q2221" s="26">
        <v>1</v>
      </c>
      <c r="R2221" s="1209">
        <v>2.5</v>
      </c>
      <c r="S2221" s="1209">
        <v>25</v>
      </c>
      <c r="T2221" s="26" t="s">
        <v>8074</v>
      </c>
      <c r="U2221" s="1859" t="s">
        <v>8263</v>
      </c>
      <c r="V2221" s="26" t="s">
        <v>104</v>
      </c>
      <c r="W2221" s="2065" t="s">
        <v>8384</v>
      </c>
      <c r="X2221" s="18"/>
      <c r="Y2221" s="4"/>
      <c r="Z2221" s="4"/>
    </row>
    <row r="2222" spans="1:26" ht="26.1" hidden="1">
      <c r="A2222" s="20">
        <v>2229</v>
      </c>
      <c r="B2222" s="1063">
        <v>41999</v>
      </c>
      <c r="C2222" s="26" t="s">
        <v>8213</v>
      </c>
      <c r="D2222" s="11" t="s">
        <v>6</v>
      </c>
      <c r="E2222" s="26" t="s">
        <v>2722</v>
      </c>
      <c r="F2222" s="26" t="s">
        <v>1569</v>
      </c>
      <c r="G2222" s="26" t="s">
        <v>8385</v>
      </c>
      <c r="H2222" s="237" t="s">
        <v>3243</v>
      </c>
      <c r="I2222" s="26" t="s">
        <v>1144</v>
      </c>
      <c r="J2222" s="26" t="s">
        <v>3248</v>
      </c>
      <c r="K2222" s="26" t="s">
        <v>3249</v>
      </c>
      <c r="L2222" s="26">
        <v>805</v>
      </c>
      <c r="M2222" s="26">
        <v>3</v>
      </c>
      <c r="N2222" s="26">
        <v>3</v>
      </c>
      <c r="O2222" s="26">
        <v>10</v>
      </c>
      <c r="P2222" s="26">
        <v>0</v>
      </c>
      <c r="Q2222" s="26">
        <v>7</v>
      </c>
      <c r="R2222" s="1209">
        <v>29</v>
      </c>
      <c r="S2222" s="1209">
        <v>290</v>
      </c>
      <c r="T2222" s="26" t="s">
        <v>8074</v>
      </c>
      <c r="U2222" s="1859" t="s">
        <v>8263</v>
      </c>
      <c r="V2222" s="26" t="s">
        <v>104</v>
      </c>
      <c r="W2222" s="2065" t="s">
        <v>3250</v>
      </c>
      <c r="X2222" s="18" t="s">
        <v>8386</v>
      </c>
      <c r="Y2222" s="4"/>
      <c r="Z2222" s="4"/>
    </row>
    <row r="2223" spans="1:26" ht="14.1" hidden="1">
      <c r="A2223" s="20">
        <v>2230</v>
      </c>
      <c r="B2223" s="1063">
        <v>42000</v>
      </c>
      <c r="C2223" s="26" t="s">
        <v>5293</v>
      </c>
      <c r="D2223" s="11" t="s">
        <v>6</v>
      </c>
      <c r="E2223" s="26" t="s">
        <v>2722</v>
      </c>
      <c r="F2223" s="26" t="s">
        <v>1569</v>
      </c>
      <c r="G2223" s="26" t="s">
        <v>8387</v>
      </c>
      <c r="H2223" s="237" t="s">
        <v>243</v>
      </c>
      <c r="I2223" s="26" t="s">
        <v>39</v>
      </c>
      <c r="J2223" s="26" t="s">
        <v>8388</v>
      </c>
      <c r="K2223" s="26" t="s">
        <v>4798</v>
      </c>
      <c r="L2223" s="26" t="s">
        <v>4799</v>
      </c>
      <c r="M2223" s="26">
        <v>9</v>
      </c>
      <c r="N2223" s="26">
        <v>9</v>
      </c>
      <c r="O2223" s="26">
        <v>10</v>
      </c>
      <c r="P2223" s="26">
        <v>0</v>
      </c>
      <c r="Q2223" s="26">
        <v>1</v>
      </c>
      <c r="R2223" s="1209">
        <v>331.4</v>
      </c>
      <c r="S2223" s="1209">
        <f>R2223*O2223</f>
        <v>3314</v>
      </c>
      <c r="T2223" s="26" t="s">
        <v>8074</v>
      </c>
      <c r="U2223" s="1859" t="s">
        <v>441</v>
      </c>
      <c r="V2223" s="26" t="s">
        <v>104</v>
      </c>
      <c r="W2223" s="2065" t="s">
        <v>8389</v>
      </c>
      <c r="X2223" s="18"/>
      <c r="Y2223" s="4"/>
      <c r="Z2223" s="4"/>
    </row>
    <row r="2224" spans="1:26" ht="14.1" hidden="1">
      <c r="A2224" s="20">
        <v>2231</v>
      </c>
      <c r="B2224" s="1063">
        <v>42001</v>
      </c>
      <c r="C2224" s="139" t="s">
        <v>1038</v>
      </c>
      <c r="D2224" s="231" t="s">
        <v>6</v>
      </c>
      <c r="E2224" s="139" t="s">
        <v>2722</v>
      </c>
      <c r="F2224" s="139" t="s">
        <v>1569</v>
      </c>
      <c r="G2224" s="139" t="s">
        <v>8390</v>
      </c>
      <c r="H2224" s="269" t="s">
        <v>243</v>
      </c>
      <c r="I2224" s="139" t="s">
        <v>1144</v>
      </c>
      <c r="J2224" s="139" t="s">
        <v>530</v>
      </c>
      <c r="K2224" s="139" t="s">
        <v>8391</v>
      </c>
      <c r="L2224" s="139" t="s">
        <v>8392</v>
      </c>
      <c r="M2224" s="139">
        <v>18</v>
      </c>
      <c r="N2224" s="139">
        <v>18</v>
      </c>
      <c r="O2224" s="139">
        <v>25</v>
      </c>
      <c r="P2224" s="139">
        <v>0</v>
      </c>
      <c r="Q2224" s="139">
        <v>7</v>
      </c>
      <c r="R2224" s="1234">
        <v>228.96</v>
      </c>
      <c r="S2224" s="1234">
        <v>5724</v>
      </c>
      <c r="T2224" s="139" t="s">
        <v>8074</v>
      </c>
      <c r="U2224" s="1861" t="s">
        <v>441</v>
      </c>
      <c r="V2224" s="26" t="s">
        <v>104</v>
      </c>
      <c r="W2224" s="2065" t="s">
        <v>533</v>
      </c>
      <c r="X2224" s="18"/>
      <c r="Y2224" s="4"/>
      <c r="Z2224" s="4"/>
    </row>
    <row r="2225" spans="1:26" ht="14.1" hidden="1">
      <c r="A2225" s="20">
        <v>2232</v>
      </c>
      <c r="B2225" s="1063">
        <v>42002</v>
      </c>
      <c r="C2225" s="26" t="s">
        <v>1797</v>
      </c>
      <c r="D2225" s="11" t="s">
        <v>6</v>
      </c>
      <c r="E2225" s="26" t="s">
        <v>2722</v>
      </c>
      <c r="F2225" s="26" t="s">
        <v>1569</v>
      </c>
      <c r="G2225" s="26" t="s">
        <v>8393</v>
      </c>
      <c r="H2225" s="237" t="s">
        <v>511</v>
      </c>
      <c r="I2225" s="26" t="s">
        <v>1144</v>
      </c>
      <c r="J2225" s="26" t="s">
        <v>8394</v>
      </c>
      <c r="K2225" s="26" t="s">
        <v>6560</v>
      </c>
      <c r="L2225" s="26" t="s">
        <v>513</v>
      </c>
      <c r="M2225" s="26">
        <v>18</v>
      </c>
      <c r="N2225" s="26">
        <v>18</v>
      </c>
      <c r="O2225" s="26">
        <v>20</v>
      </c>
      <c r="P2225" s="26">
        <v>0</v>
      </c>
      <c r="Q2225" s="26">
        <v>2</v>
      </c>
      <c r="R2225" s="1209">
        <v>51.5</v>
      </c>
      <c r="S2225" s="1209">
        <v>1030</v>
      </c>
      <c r="T2225" s="26" t="s">
        <v>8074</v>
      </c>
      <c r="U2225" s="1859" t="s">
        <v>441</v>
      </c>
      <c r="V2225" s="26" t="s">
        <v>104</v>
      </c>
      <c r="W2225" s="2065" t="s">
        <v>3925</v>
      </c>
      <c r="X2225" s="18"/>
      <c r="Y2225" s="4"/>
      <c r="Z2225" s="4"/>
    </row>
    <row r="2226" spans="1:26" ht="14.1" hidden="1">
      <c r="A2226" s="20">
        <v>2233</v>
      </c>
      <c r="B2226" s="1063">
        <v>42003</v>
      </c>
      <c r="C2226" s="26" t="s">
        <v>5315</v>
      </c>
      <c r="D2226" s="11" t="s">
        <v>6</v>
      </c>
      <c r="E2226" s="26" t="s">
        <v>2722</v>
      </c>
      <c r="F2226" s="26" t="s">
        <v>1569</v>
      </c>
      <c r="G2226" s="26" t="s">
        <v>8395</v>
      </c>
      <c r="H2226" s="237" t="s">
        <v>8396</v>
      </c>
      <c r="I2226" s="26" t="s">
        <v>1144</v>
      </c>
      <c r="J2226" s="26" t="s">
        <v>5317</v>
      </c>
      <c r="K2226" s="26" t="s">
        <v>5318</v>
      </c>
      <c r="L2226" s="26" t="s">
        <v>6506</v>
      </c>
      <c r="M2226" s="26">
        <v>6</v>
      </c>
      <c r="N2226" s="26">
        <v>5</v>
      </c>
      <c r="O2226" s="26">
        <v>5</v>
      </c>
      <c r="P2226" s="26">
        <v>1</v>
      </c>
      <c r="Q2226" s="26">
        <v>0</v>
      </c>
      <c r="R2226" s="1209">
        <v>45</v>
      </c>
      <c r="S2226" s="1209">
        <v>225</v>
      </c>
      <c r="T2226" s="26" t="s">
        <v>8074</v>
      </c>
      <c r="U2226" s="1859" t="s">
        <v>441</v>
      </c>
      <c r="V2226" s="26" t="s">
        <v>104</v>
      </c>
      <c r="W2226" s="2065" t="s">
        <v>5319</v>
      </c>
      <c r="X2226" s="18"/>
      <c r="Y2226" s="4"/>
      <c r="Z2226" s="4"/>
    </row>
    <row r="2227" spans="1:26" ht="14.1" hidden="1">
      <c r="A2227" s="20">
        <v>2234</v>
      </c>
      <c r="B2227" s="1063">
        <v>42004</v>
      </c>
      <c r="C2227" s="26" t="s">
        <v>8397</v>
      </c>
      <c r="D2227" s="11" t="s">
        <v>6</v>
      </c>
      <c r="E2227" s="26" t="s">
        <v>2722</v>
      </c>
      <c r="F2227" s="26" t="s">
        <v>1569</v>
      </c>
      <c r="G2227" s="26" t="s">
        <v>8398</v>
      </c>
      <c r="H2227" s="237" t="s">
        <v>8399</v>
      </c>
      <c r="I2227" s="26" t="s">
        <v>1144</v>
      </c>
      <c r="J2227" s="26" t="s">
        <v>2354</v>
      </c>
      <c r="K2227" s="26" t="s">
        <v>3795</v>
      </c>
      <c r="L2227" s="26" t="s">
        <v>8400</v>
      </c>
      <c r="M2227" s="26">
        <v>3</v>
      </c>
      <c r="N2227" s="26">
        <v>3</v>
      </c>
      <c r="O2227" s="26">
        <v>5</v>
      </c>
      <c r="P2227" s="26">
        <v>0</v>
      </c>
      <c r="Q2227" s="26">
        <v>2</v>
      </c>
      <c r="R2227" s="1209">
        <v>264</v>
      </c>
      <c r="S2227" s="1209">
        <v>1320</v>
      </c>
      <c r="T2227" s="26" t="s">
        <v>8074</v>
      </c>
      <c r="U2227" s="1859" t="s">
        <v>441</v>
      </c>
      <c r="V2227" s="26" t="s">
        <v>104</v>
      </c>
      <c r="W2227" s="2065" t="s">
        <v>3802</v>
      </c>
      <c r="X2227" s="18"/>
      <c r="Y2227" s="4"/>
      <c r="Z2227" s="4"/>
    </row>
    <row r="2228" spans="1:26" ht="14.1" hidden="1">
      <c r="A2228" s="20">
        <v>2235</v>
      </c>
      <c r="B2228" s="1063">
        <v>42005</v>
      </c>
      <c r="C2228" s="26" t="s">
        <v>1038</v>
      </c>
      <c r="D2228" s="11" t="s">
        <v>6</v>
      </c>
      <c r="E2228" s="26" t="s">
        <v>2722</v>
      </c>
      <c r="F2228" s="26" t="s">
        <v>1569</v>
      </c>
      <c r="G2228" s="26" t="s">
        <v>8401</v>
      </c>
      <c r="H2228" s="237" t="s">
        <v>8402</v>
      </c>
      <c r="I2228" s="26" t="s">
        <v>1144</v>
      </c>
      <c r="J2228" s="26" t="s">
        <v>585</v>
      </c>
      <c r="K2228" s="26" t="s">
        <v>8403</v>
      </c>
      <c r="L2228" s="26" t="s">
        <v>1907</v>
      </c>
      <c r="M2228" s="26">
        <v>3</v>
      </c>
      <c r="N2228" s="26">
        <v>1</v>
      </c>
      <c r="O2228" s="26">
        <v>5</v>
      </c>
      <c r="P2228" s="26">
        <v>2</v>
      </c>
      <c r="Q2228" s="26">
        <v>4</v>
      </c>
      <c r="R2228" s="1209">
        <v>48</v>
      </c>
      <c r="S2228" s="1209">
        <v>240</v>
      </c>
      <c r="T2228" s="26" t="s">
        <v>8074</v>
      </c>
      <c r="U2228" s="1859" t="s">
        <v>441</v>
      </c>
      <c r="V2228" s="26" t="s">
        <v>104</v>
      </c>
      <c r="W2228" s="2065" t="s">
        <v>5321</v>
      </c>
      <c r="X2228" s="18"/>
      <c r="Y2228" s="4"/>
      <c r="Z2228" s="4"/>
    </row>
    <row r="2229" spans="1:26" ht="14.1" hidden="1">
      <c r="A2229" s="20">
        <v>2236</v>
      </c>
      <c r="B2229" s="1063">
        <v>42006</v>
      </c>
      <c r="C2229" s="26" t="s">
        <v>1038</v>
      </c>
      <c r="D2229" s="11" t="s">
        <v>6</v>
      </c>
      <c r="E2229" s="26" t="s">
        <v>2722</v>
      </c>
      <c r="F2229" s="26" t="s">
        <v>1569</v>
      </c>
      <c r="G2229" s="26" t="s">
        <v>8404</v>
      </c>
      <c r="H2229" s="237" t="s">
        <v>8402</v>
      </c>
      <c r="I2229" s="26" t="s">
        <v>39</v>
      </c>
      <c r="J2229" s="26" t="s">
        <v>8405</v>
      </c>
      <c r="K2229" s="26" t="s">
        <v>8406</v>
      </c>
      <c r="L2229" s="26" t="s">
        <v>8407</v>
      </c>
      <c r="M2229" s="26">
        <v>3</v>
      </c>
      <c r="N2229" s="26">
        <v>3</v>
      </c>
      <c r="O2229" s="26">
        <v>3</v>
      </c>
      <c r="P2229" s="26">
        <v>0</v>
      </c>
      <c r="Q2229" s="26">
        <v>0</v>
      </c>
      <c r="R2229" s="1209">
        <v>98</v>
      </c>
      <c r="S2229" s="1209">
        <v>294</v>
      </c>
      <c r="T2229" s="26" t="s">
        <v>8074</v>
      </c>
      <c r="U2229" s="1859" t="s">
        <v>441</v>
      </c>
      <c r="V2229" s="26" t="s">
        <v>104</v>
      </c>
      <c r="W2229" s="2065" t="s">
        <v>8408</v>
      </c>
      <c r="X2229" s="18"/>
      <c r="Y2229" s="4"/>
      <c r="Z2229" s="4"/>
    </row>
    <row r="2230" spans="1:26" ht="14.1" hidden="1">
      <c r="A2230" s="20">
        <v>2237</v>
      </c>
      <c r="B2230" s="1063">
        <v>42007</v>
      </c>
      <c r="C2230" s="26" t="s">
        <v>1033</v>
      </c>
      <c r="D2230" s="11" t="s">
        <v>6</v>
      </c>
      <c r="E2230" s="26" t="s">
        <v>2722</v>
      </c>
      <c r="F2230" s="26" t="s">
        <v>1569</v>
      </c>
      <c r="G2230" s="26" t="s">
        <v>8409</v>
      </c>
      <c r="H2230" s="237" t="s">
        <v>8410</v>
      </c>
      <c r="I2230" s="26" t="s">
        <v>1144</v>
      </c>
      <c r="J2230" s="26" t="s">
        <v>8411</v>
      </c>
      <c r="K2230" s="26" t="s">
        <v>8412</v>
      </c>
      <c r="L2230" s="26" t="s">
        <v>344</v>
      </c>
      <c r="M2230" s="26">
        <v>6</v>
      </c>
      <c r="N2230" s="26">
        <v>6</v>
      </c>
      <c r="O2230" s="26">
        <v>10</v>
      </c>
      <c r="P2230" s="26">
        <v>0</v>
      </c>
      <c r="Q2230" s="26">
        <v>4</v>
      </c>
      <c r="R2230" s="1209">
        <v>39</v>
      </c>
      <c r="S2230" s="1209">
        <v>390</v>
      </c>
      <c r="T2230" s="26" t="s">
        <v>8074</v>
      </c>
      <c r="U2230" s="1859" t="s">
        <v>441</v>
      </c>
      <c r="V2230" s="26" t="s">
        <v>104</v>
      </c>
      <c r="W2230" s="2065" t="s">
        <v>8413</v>
      </c>
      <c r="X2230" s="18"/>
      <c r="Y2230" s="4"/>
      <c r="Z2230" s="4"/>
    </row>
    <row r="2231" spans="1:26" ht="14.1" hidden="1">
      <c r="A2231" s="20">
        <v>2238</v>
      </c>
      <c r="B2231" s="1063">
        <v>42008</v>
      </c>
      <c r="C2231" s="26" t="s">
        <v>5297</v>
      </c>
      <c r="D2231" s="11" t="s">
        <v>6</v>
      </c>
      <c r="E2231" s="26" t="s">
        <v>2722</v>
      </c>
      <c r="F2231" s="26" t="s">
        <v>1569</v>
      </c>
      <c r="G2231" s="26" t="s">
        <v>8414</v>
      </c>
      <c r="H2231" s="237" t="s">
        <v>1498</v>
      </c>
      <c r="I2231" s="26" t="s">
        <v>39</v>
      </c>
      <c r="J2231" s="26" t="s">
        <v>8415</v>
      </c>
      <c r="K2231" s="26" t="s">
        <v>8416</v>
      </c>
      <c r="L2231" s="26" t="s">
        <v>8417</v>
      </c>
      <c r="M2231" s="26">
        <v>3</v>
      </c>
      <c r="N2231" s="26">
        <v>5</v>
      </c>
      <c r="O2231" s="26">
        <v>5</v>
      </c>
      <c r="P2231" s="26">
        <v>0</v>
      </c>
      <c r="Q2231" s="26">
        <v>0</v>
      </c>
      <c r="R2231" s="1209">
        <v>381.2</v>
      </c>
      <c r="S2231" s="1209">
        <f t="shared" ref="S2231:S2232" si="114">R2231*O2231</f>
        <v>1906</v>
      </c>
      <c r="T2231" s="26" t="s">
        <v>8074</v>
      </c>
      <c r="U2231" s="1859" t="s">
        <v>441</v>
      </c>
      <c r="V2231" s="26" t="s">
        <v>104</v>
      </c>
      <c r="W2231" s="701" t="s">
        <v>8418</v>
      </c>
      <c r="X2231" s="18"/>
      <c r="Y2231" s="4"/>
      <c r="Z2231" s="4"/>
    </row>
    <row r="2232" spans="1:26" ht="14.1" hidden="1">
      <c r="A2232" s="20">
        <v>2239</v>
      </c>
      <c r="B2232" s="1063">
        <v>42009</v>
      </c>
      <c r="C2232" s="26" t="s">
        <v>1794</v>
      </c>
      <c r="D2232" s="11" t="s">
        <v>6</v>
      </c>
      <c r="E2232" s="26" t="s">
        <v>2722</v>
      </c>
      <c r="F2232" s="26" t="s">
        <v>1569</v>
      </c>
      <c r="G2232" s="26" t="s">
        <v>8419</v>
      </c>
      <c r="H2232" s="237" t="s">
        <v>243</v>
      </c>
      <c r="I2232" s="26" t="s">
        <v>39</v>
      </c>
      <c r="J2232" s="26" t="s">
        <v>8420</v>
      </c>
      <c r="K2232" s="26" t="s">
        <v>8421</v>
      </c>
      <c r="L2232" s="26" t="s">
        <v>8422</v>
      </c>
      <c r="M2232" s="26">
        <v>6</v>
      </c>
      <c r="N2232" s="26">
        <v>6</v>
      </c>
      <c r="O2232" s="26">
        <v>6</v>
      </c>
      <c r="P2232" s="26">
        <v>0</v>
      </c>
      <c r="Q2232" s="26">
        <v>0</v>
      </c>
      <c r="R2232" s="1209">
        <v>1317</v>
      </c>
      <c r="S2232" s="1209">
        <f t="shared" si="114"/>
        <v>7902</v>
      </c>
      <c r="T2232" s="26" t="s">
        <v>8074</v>
      </c>
      <c r="U2232" s="1859" t="s">
        <v>441</v>
      </c>
      <c r="V2232" s="26" t="s">
        <v>104</v>
      </c>
      <c r="W2232" s="2065" t="s">
        <v>8423</v>
      </c>
      <c r="X2232" s="18"/>
      <c r="Y2232" s="4"/>
      <c r="Z2232" s="4"/>
    </row>
    <row r="2233" spans="1:26" ht="14.1" hidden="1">
      <c r="A2233" s="20">
        <v>2240</v>
      </c>
      <c r="B2233" s="1063">
        <v>42010</v>
      </c>
      <c r="C2233" s="26" t="s">
        <v>5322</v>
      </c>
      <c r="D2233" s="11" t="s">
        <v>6</v>
      </c>
      <c r="E2233" s="26" t="s">
        <v>2722</v>
      </c>
      <c r="F2233" s="26" t="s">
        <v>1569</v>
      </c>
      <c r="G2233" s="26" t="s">
        <v>8387</v>
      </c>
      <c r="H2233" s="237" t="s">
        <v>460</v>
      </c>
      <c r="I2233" s="26" t="s">
        <v>1144</v>
      </c>
      <c r="J2233" s="26" t="s">
        <v>1979</v>
      </c>
      <c r="K2233" s="26" t="s">
        <v>1980</v>
      </c>
      <c r="L2233" s="26" t="s">
        <v>8424</v>
      </c>
      <c r="M2233" s="26">
        <v>6</v>
      </c>
      <c r="N2233" s="26">
        <v>6</v>
      </c>
      <c r="O2233" s="26">
        <v>10</v>
      </c>
      <c r="P2233" s="26">
        <v>0</v>
      </c>
      <c r="Q2233" s="26">
        <v>4</v>
      </c>
      <c r="R2233" s="1209">
        <v>71.7</v>
      </c>
      <c r="S2233" s="1209">
        <v>717</v>
      </c>
      <c r="T2233" s="26" t="s">
        <v>8074</v>
      </c>
      <c r="U2233" s="1859" t="s">
        <v>441</v>
      </c>
      <c r="V2233" s="26" t="s">
        <v>104</v>
      </c>
      <c r="W2233" s="2074" t="s">
        <v>5324</v>
      </c>
      <c r="X2233" s="18"/>
      <c r="Y2233" s="4"/>
      <c r="Z2233" s="4"/>
    </row>
    <row r="2234" spans="1:26" ht="14.1" hidden="1">
      <c r="A2234" s="20">
        <v>2241</v>
      </c>
      <c r="B2234" s="1063">
        <v>42011</v>
      </c>
      <c r="C2234" s="26" t="s">
        <v>8425</v>
      </c>
      <c r="D2234" s="11" t="s">
        <v>6</v>
      </c>
      <c r="E2234" s="26" t="s">
        <v>2722</v>
      </c>
      <c r="F2234" s="26" t="s">
        <v>1569</v>
      </c>
      <c r="G2234" s="26" t="s">
        <v>8426</v>
      </c>
      <c r="H2234" s="237" t="s">
        <v>2701</v>
      </c>
      <c r="I2234" s="26" t="s">
        <v>39</v>
      </c>
      <c r="J2234" s="26" t="s">
        <v>8427</v>
      </c>
      <c r="K2234" s="26" t="s">
        <v>8428</v>
      </c>
      <c r="L2234" s="26" t="s">
        <v>8429</v>
      </c>
      <c r="M2234" s="26">
        <v>3</v>
      </c>
      <c r="N2234" s="26">
        <v>3</v>
      </c>
      <c r="O2234" s="26">
        <v>5</v>
      </c>
      <c r="P2234" s="26">
        <v>0</v>
      </c>
      <c r="Q2234" s="26">
        <v>2</v>
      </c>
      <c r="R2234" s="1209">
        <v>31.6</v>
      </c>
      <c r="S2234" s="1209">
        <v>158</v>
      </c>
      <c r="T2234" s="26" t="s">
        <v>8074</v>
      </c>
      <c r="U2234" s="1859" t="s">
        <v>441</v>
      </c>
      <c r="V2234" s="26" t="s">
        <v>104</v>
      </c>
      <c r="W2234" s="2074" t="s">
        <v>2704</v>
      </c>
      <c r="X2234" s="18"/>
      <c r="Y2234" s="4"/>
      <c r="Z2234" s="4"/>
    </row>
    <row r="2235" spans="1:26" ht="14.1" hidden="1">
      <c r="A2235" s="20">
        <v>2242</v>
      </c>
      <c r="B2235" s="1063">
        <v>42012</v>
      </c>
      <c r="C2235" s="26" t="s">
        <v>8077</v>
      </c>
      <c r="D2235" s="11" t="s">
        <v>6</v>
      </c>
      <c r="E2235" s="26" t="s">
        <v>2722</v>
      </c>
      <c r="F2235" s="26" t="s">
        <v>1569</v>
      </c>
      <c r="G2235" s="26" t="s">
        <v>8430</v>
      </c>
      <c r="H2235" s="237" t="s">
        <v>2786</v>
      </c>
      <c r="I2235" s="26" t="s">
        <v>1144</v>
      </c>
      <c r="J2235" s="26" t="s">
        <v>8431</v>
      </c>
      <c r="K2235" s="26" t="s">
        <v>8432</v>
      </c>
      <c r="L2235" s="26">
        <v>805</v>
      </c>
      <c r="M2235" s="26">
        <v>18</v>
      </c>
      <c r="N2235" s="26">
        <v>18</v>
      </c>
      <c r="O2235" s="26">
        <v>20</v>
      </c>
      <c r="P2235" s="26">
        <v>0</v>
      </c>
      <c r="Q2235" s="26">
        <v>2</v>
      </c>
      <c r="R2235" s="1209">
        <v>3.8</v>
      </c>
      <c r="S2235" s="1209">
        <v>76</v>
      </c>
      <c r="T2235" s="26" t="s">
        <v>8074</v>
      </c>
      <c r="U2235" s="1859" t="s">
        <v>441</v>
      </c>
      <c r="V2235" s="26" t="s">
        <v>104</v>
      </c>
      <c r="W2235" s="2074" t="s">
        <v>8433</v>
      </c>
      <c r="X2235" s="18"/>
      <c r="Y2235" s="4"/>
      <c r="Z2235" s="4"/>
    </row>
    <row r="2236" spans="1:26" ht="14.1" hidden="1">
      <c r="A2236" s="20">
        <v>2243</v>
      </c>
      <c r="B2236" s="1063">
        <v>42013</v>
      </c>
      <c r="C2236" s="26" t="s">
        <v>8077</v>
      </c>
      <c r="D2236" s="11" t="s">
        <v>6</v>
      </c>
      <c r="E2236" s="26" t="s">
        <v>2722</v>
      </c>
      <c r="F2236" s="26" t="s">
        <v>1569</v>
      </c>
      <c r="G2236" s="26" t="s">
        <v>8434</v>
      </c>
      <c r="H2236" s="237" t="s">
        <v>2786</v>
      </c>
      <c r="I2236" s="26" t="s">
        <v>1144</v>
      </c>
      <c r="J2236" s="26" t="s">
        <v>8435</v>
      </c>
      <c r="K2236" s="26" t="s">
        <v>8436</v>
      </c>
      <c r="L2236" s="26">
        <v>805</v>
      </c>
      <c r="M2236" s="26">
        <v>39</v>
      </c>
      <c r="N2236" s="26">
        <v>39</v>
      </c>
      <c r="O2236" s="26">
        <v>40</v>
      </c>
      <c r="P2236" s="26">
        <v>0</v>
      </c>
      <c r="Q2236" s="26">
        <v>1</v>
      </c>
      <c r="R2236" s="1209">
        <v>3.8</v>
      </c>
      <c r="S2236" s="1209">
        <v>152</v>
      </c>
      <c r="T2236" s="26" t="s">
        <v>8074</v>
      </c>
      <c r="U2236" s="1859" t="s">
        <v>441</v>
      </c>
      <c r="V2236" s="26" t="s">
        <v>104</v>
      </c>
      <c r="W2236" s="2074" t="s">
        <v>8437</v>
      </c>
      <c r="X2236" s="18"/>
      <c r="Y2236" s="4"/>
      <c r="Z2236" s="4"/>
    </row>
    <row r="2237" spans="1:26" ht="14.1" hidden="1">
      <c r="A2237" s="20">
        <v>2244</v>
      </c>
      <c r="B2237" s="1063">
        <v>42014</v>
      </c>
      <c r="C2237" s="26" t="s">
        <v>8077</v>
      </c>
      <c r="D2237" s="11" t="s">
        <v>6</v>
      </c>
      <c r="E2237" s="26" t="s">
        <v>2722</v>
      </c>
      <c r="F2237" s="26" t="s">
        <v>1569</v>
      </c>
      <c r="G2237" s="26" t="s">
        <v>8438</v>
      </c>
      <c r="H2237" s="237" t="s">
        <v>2786</v>
      </c>
      <c r="I2237" s="26" t="s">
        <v>1144</v>
      </c>
      <c r="J2237" s="26" t="s">
        <v>6368</v>
      </c>
      <c r="K2237" s="26" t="s">
        <v>6369</v>
      </c>
      <c r="L2237" s="26">
        <v>805</v>
      </c>
      <c r="M2237" s="26">
        <v>9</v>
      </c>
      <c r="N2237" s="26">
        <v>9</v>
      </c>
      <c r="O2237" s="26">
        <v>10</v>
      </c>
      <c r="P2237" s="26">
        <v>0</v>
      </c>
      <c r="Q2237" s="26">
        <v>1</v>
      </c>
      <c r="R2237" s="1209">
        <v>3.8</v>
      </c>
      <c r="S2237" s="1209">
        <v>38</v>
      </c>
      <c r="T2237" s="26" t="s">
        <v>8074</v>
      </c>
      <c r="U2237" s="1859" t="s">
        <v>441</v>
      </c>
      <c r="V2237" s="26" t="s">
        <v>104</v>
      </c>
      <c r="W2237" s="2074" t="s">
        <v>6370</v>
      </c>
      <c r="X2237" s="18"/>
      <c r="Y2237" s="4"/>
      <c r="Z2237" s="4"/>
    </row>
    <row r="2238" spans="1:26" ht="14.1" hidden="1">
      <c r="A2238" s="20">
        <v>2245</v>
      </c>
      <c r="B2238" s="1063">
        <v>42015</v>
      </c>
      <c r="C2238" s="26" t="s">
        <v>8077</v>
      </c>
      <c r="D2238" s="11" t="s">
        <v>6</v>
      </c>
      <c r="E2238" s="26" t="s">
        <v>2722</v>
      </c>
      <c r="F2238" s="26" t="s">
        <v>1569</v>
      </c>
      <c r="G2238" s="26" t="s">
        <v>8439</v>
      </c>
      <c r="H2238" s="237" t="s">
        <v>2786</v>
      </c>
      <c r="I2238" s="26" t="s">
        <v>1144</v>
      </c>
      <c r="J2238" s="26" t="s">
        <v>8440</v>
      </c>
      <c r="K2238" s="26" t="s">
        <v>8441</v>
      </c>
      <c r="L2238" s="26">
        <v>805</v>
      </c>
      <c r="M2238" s="26">
        <v>9</v>
      </c>
      <c r="N2238" s="26">
        <v>9</v>
      </c>
      <c r="O2238" s="26">
        <v>10</v>
      </c>
      <c r="P2238" s="26">
        <v>0</v>
      </c>
      <c r="Q2238" s="26">
        <v>1</v>
      </c>
      <c r="R2238" s="1209">
        <v>3.8</v>
      </c>
      <c r="S2238" s="1209">
        <v>38</v>
      </c>
      <c r="T2238" s="26" t="s">
        <v>8074</v>
      </c>
      <c r="U2238" s="1859" t="s">
        <v>441</v>
      </c>
      <c r="V2238" s="26" t="s">
        <v>104</v>
      </c>
      <c r="W2238" s="2074" t="s">
        <v>8442</v>
      </c>
      <c r="X2238" s="18"/>
      <c r="Y2238" s="4"/>
      <c r="Z2238" s="4"/>
    </row>
    <row r="2239" spans="1:26" ht="14.1" hidden="1">
      <c r="A2239" s="20">
        <v>2246</v>
      </c>
      <c r="B2239" s="1063">
        <v>42016</v>
      </c>
      <c r="C2239" s="26" t="s">
        <v>8077</v>
      </c>
      <c r="D2239" s="11" t="s">
        <v>6</v>
      </c>
      <c r="E2239" s="26" t="s">
        <v>2722</v>
      </c>
      <c r="F2239" s="26" t="s">
        <v>1569</v>
      </c>
      <c r="G2239" s="26" t="s">
        <v>8443</v>
      </c>
      <c r="H2239" s="237" t="s">
        <v>2786</v>
      </c>
      <c r="I2239" s="26" t="s">
        <v>1144</v>
      </c>
      <c r="J2239" s="26" t="s">
        <v>8444</v>
      </c>
      <c r="K2239" s="26" t="s">
        <v>8445</v>
      </c>
      <c r="L2239" s="26">
        <v>805</v>
      </c>
      <c r="M2239" s="26">
        <v>6</v>
      </c>
      <c r="N2239" s="26">
        <v>6</v>
      </c>
      <c r="O2239" s="26">
        <v>10</v>
      </c>
      <c r="P2239" s="26">
        <v>0</v>
      </c>
      <c r="Q2239" s="26">
        <v>4</v>
      </c>
      <c r="R2239" s="1209">
        <v>3.8</v>
      </c>
      <c r="S2239" s="1209">
        <v>38</v>
      </c>
      <c r="T2239" s="26" t="s">
        <v>8074</v>
      </c>
      <c r="U2239" s="1859" t="s">
        <v>441</v>
      </c>
      <c r="V2239" s="26" t="s">
        <v>104</v>
      </c>
      <c r="W2239" s="2074" t="s">
        <v>8446</v>
      </c>
      <c r="X2239" s="18"/>
      <c r="Y2239" s="4"/>
      <c r="Z2239" s="4"/>
    </row>
    <row r="2240" spans="1:26" ht="14.1" hidden="1">
      <c r="A2240" s="20">
        <v>2247</v>
      </c>
      <c r="B2240" s="1063">
        <v>42017</v>
      </c>
      <c r="C2240" s="26" t="s">
        <v>8077</v>
      </c>
      <c r="D2240" s="11" t="s">
        <v>6</v>
      </c>
      <c r="E2240" s="26" t="s">
        <v>2722</v>
      </c>
      <c r="F2240" s="26" t="s">
        <v>1569</v>
      </c>
      <c r="G2240" s="26" t="s">
        <v>8447</v>
      </c>
      <c r="H2240" s="237" t="s">
        <v>2786</v>
      </c>
      <c r="I2240" s="26" t="s">
        <v>1144</v>
      </c>
      <c r="J2240" s="26" t="s">
        <v>8448</v>
      </c>
      <c r="K2240" s="26" t="s">
        <v>8449</v>
      </c>
      <c r="L2240" s="26">
        <v>805</v>
      </c>
      <c r="M2240" s="26">
        <v>15</v>
      </c>
      <c r="N2240" s="26">
        <v>15</v>
      </c>
      <c r="O2240" s="26">
        <v>15</v>
      </c>
      <c r="P2240" s="26">
        <v>0</v>
      </c>
      <c r="Q2240" s="26">
        <v>0</v>
      </c>
      <c r="R2240" s="1209">
        <v>3.8</v>
      </c>
      <c r="S2240" s="1209">
        <v>57</v>
      </c>
      <c r="T2240" s="26" t="s">
        <v>8074</v>
      </c>
      <c r="U2240" s="1859" t="s">
        <v>441</v>
      </c>
      <c r="V2240" s="26" t="s">
        <v>104</v>
      </c>
      <c r="W2240" s="2074" t="s">
        <v>8450</v>
      </c>
      <c r="X2240" s="18"/>
      <c r="Y2240" s="4"/>
      <c r="Z2240" s="4"/>
    </row>
    <row r="2241" spans="1:26" ht="14.1" hidden="1">
      <c r="A2241" s="20">
        <v>2248</v>
      </c>
      <c r="B2241" s="1063">
        <v>42018</v>
      </c>
      <c r="C2241" s="26" t="s">
        <v>8077</v>
      </c>
      <c r="D2241" s="11" t="s">
        <v>6</v>
      </c>
      <c r="E2241" s="26" t="s">
        <v>2722</v>
      </c>
      <c r="F2241" s="26" t="s">
        <v>1569</v>
      </c>
      <c r="G2241" s="26" t="s">
        <v>8451</v>
      </c>
      <c r="H2241" s="237" t="s">
        <v>2786</v>
      </c>
      <c r="I2241" s="26" t="s">
        <v>1144</v>
      </c>
      <c r="J2241" s="26" t="s">
        <v>8452</v>
      </c>
      <c r="K2241" s="26" t="s">
        <v>8453</v>
      </c>
      <c r="L2241" s="26">
        <v>805</v>
      </c>
      <c r="M2241" s="26">
        <v>3</v>
      </c>
      <c r="N2241" s="26">
        <v>3</v>
      </c>
      <c r="O2241" s="26">
        <v>10</v>
      </c>
      <c r="P2241" s="26">
        <v>0</v>
      </c>
      <c r="Q2241" s="26">
        <v>7</v>
      </c>
      <c r="R2241" s="1209">
        <v>3.8</v>
      </c>
      <c r="S2241" s="1209">
        <v>38</v>
      </c>
      <c r="T2241" s="26" t="s">
        <v>8074</v>
      </c>
      <c r="U2241" s="1859" t="s">
        <v>441</v>
      </c>
      <c r="V2241" s="26" t="s">
        <v>104</v>
      </c>
      <c r="W2241" s="2074" t="s">
        <v>8454</v>
      </c>
      <c r="X2241" s="18"/>
      <c r="Y2241" s="4"/>
      <c r="Z2241" s="4"/>
    </row>
    <row r="2242" spans="1:26" ht="14.1" hidden="1">
      <c r="A2242" s="20">
        <v>2249</v>
      </c>
      <c r="B2242" s="1063">
        <v>42019</v>
      </c>
      <c r="C2242" s="26" t="s">
        <v>8077</v>
      </c>
      <c r="D2242" s="11" t="s">
        <v>6</v>
      </c>
      <c r="E2242" s="26" t="s">
        <v>2722</v>
      </c>
      <c r="F2242" s="26" t="s">
        <v>1569</v>
      </c>
      <c r="G2242" s="26" t="s">
        <v>8455</v>
      </c>
      <c r="H2242" s="237" t="s">
        <v>2786</v>
      </c>
      <c r="I2242" s="26" t="s">
        <v>1144</v>
      </c>
      <c r="J2242" s="26" t="s">
        <v>8456</v>
      </c>
      <c r="K2242" s="26" t="s">
        <v>8457</v>
      </c>
      <c r="L2242" s="26">
        <v>805</v>
      </c>
      <c r="M2242" s="26">
        <v>3</v>
      </c>
      <c r="N2242" s="26">
        <v>3</v>
      </c>
      <c r="O2242" s="26">
        <v>10</v>
      </c>
      <c r="P2242" s="26">
        <v>0</v>
      </c>
      <c r="Q2242" s="26">
        <v>7</v>
      </c>
      <c r="R2242" s="1209">
        <v>3.8</v>
      </c>
      <c r="S2242" s="1209">
        <v>38</v>
      </c>
      <c r="T2242" s="26" t="s">
        <v>8074</v>
      </c>
      <c r="U2242" s="1859" t="s">
        <v>441</v>
      </c>
      <c r="V2242" s="26" t="s">
        <v>104</v>
      </c>
      <c r="W2242" s="2074" t="s">
        <v>8458</v>
      </c>
      <c r="X2242" s="18"/>
      <c r="Y2242" s="4"/>
      <c r="Z2242" s="4"/>
    </row>
    <row r="2243" spans="1:26" ht="14.1" hidden="1">
      <c r="A2243" s="20">
        <v>2250</v>
      </c>
      <c r="B2243" s="1063">
        <v>42020</v>
      </c>
      <c r="C2243" s="26" t="s">
        <v>8139</v>
      </c>
      <c r="D2243" s="11" t="s">
        <v>6</v>
      </c>
      <c r="E2243" s="26" t="s">
        <v>2722</v>
      </c>
      <c r="F2243" s="26" t="s">
        <v>1569</v>
      </c>
      <c r="G2243" s="26" t="s">
        <v>2896</v>
      </c>
      <c r="H2243" s="237" t="s">
        <v>7828</v>
      </c>
      <c r="I2243" s="26" t="s">
        <v>1144</v>
      </c>
      <c r="J2243" s="26" t="s">
        <v>5312</v>
      </c>
      <c r="K2243" s="26" t="s">
        <v>5313</v>
      </c>
      <c r="L2243" s="26">
        <v>805</v>
      </c>
      <c r="M2243" s="26">
        <v>21</v>
      </c>
      <c r="N2243" s="26">
        <v>21</v>
      </c>
      <c r="O2243" s="26">
        <v>21</v>
      </c>
      <c r="P2243" s="26">
        <v>0</v>
      </c>
      <c r="Q2243" s="26">
        <v>0</v>
      </c>
      <c r="R2243" s="1209">
        <v>13.4</v>
      </c>
      <c r="S2243" s="1209">
        <v>281.39999999999998</v>
      </c>
      <c r="T2243" s="26" t="s">
        <v>8074</v>
      </c>
      <c r="U2243" s="1859" t="s">
        <v>441</v>
      </c>
      <c r="V2243" s="26" t="s">
        <v>104</v>
      </c>
      <c r="W2243" s="2074" t="s">
        <v>5314</v>
      </c>
      <c r="X2243" s="18"/>
      <c r="Y2243" s="4"/>
      <c r="Z2243" s="4"/>
    </row>
    <row r="2244" spans="1:26" ht="14.1" hidden="1">
      <c r="A2244" s="20">
        <v>2251</v>
      </c>
      <c r="B2244" s="1063">
        <v>42021</v>
      </c>
      <c r="C2244" s="26" t="s">
        <v>8139</v>
      </c>
      <c r="D2244" s="11" t="s">
        <v>6</v>
      </c>
      <c r="E2244" s="26" t="s">
        <v>2722</v>
      </c>
      <c r="F2244" s="26" t="s">
        <v>1569</v>
      </c>
      <c r="G2244" s="26" t="s">
        <v>8459</v>
      </c>
      <c r="H2244" s="237" t="s">
        <v>1092</v>
      </c>
      <c r="I2244" s="26" t="s">
        <v>1144</v>
      </c>
      <c r="J2244" s="26" t="s">
        <v>8460</v>
      </c>
      <c r="K2244" s="26" t="s">
        <v>8461</v>
      </c>
      <c r="L2244" s="26">
        <v>805</v>
      </c>
      <c r="M2244" s="26">
        <v>6</v>
      </c>
      <c r="N2244" s="26">
        <v>6</v>
      </c>
      <c r="O2244" s="26">
        <v>10</v>
      </c>
      <c r="P2244" s="26">
        <v>0</v>
      </c>
      <c r="Q2244" s="26">
        <v>4</v>
      </c>
      <c r="R2244" s="1209">
        <v>43.5</v>
      </c>
      <c r="S2244" s="1209">
        <v>435</v>
      </c>
      <c r="T2244" s="26" t="s">
        <v>8074</v>
      </c>
      <c r="U2244" s="1859" t="s">
        <v>441</v>
      </c>
      <c r="V2244" s="26" t="s">
        <v>104</v>
      </c>
      <c r="W2244" s="2074" t="s">
        <v>8462</v>
      </c>
      <c r="X2244" s="18"/>
      <c r="Y2244" s="4"/>
      <c r="Z2244" s="4"/>
    </row>
    <row r="2245" spans="1:26" ht="14.1" hidden="1">
      <c r="A2245" s="20">
        <v>2252</v>
      </c>
      <c r="B2245" s="1063">
        <v>42022</v>
      </c>
      <c r="C2245" s="26" t="s">
        <v>8139</v>
      </c>
      <c r="D2245" s="11" t="s">
        <v>6</v>
      </c>
      <c r="E2245" s="26" t="s">
        <v>2722</v>
      </c>
      <c r="F2245" s="26" t="s">
        <v>1569</v>
      </c>
      <c r="G2245" s="26" t="s">
        <v>8463</v>
      </c>
      <c r="H2245" s="237" t="s">
        <v>184</v>
      </c>
      <c r="I2245" s="26" t="s">
        <v>1144</v>
      </c>
      <c r="J2245" s="26" t="s">
        <v>8464</v>
      </c>
      <c r="K2245" s="26" t="s">
        <v>8465</v>
      </c>
      <c r="L2245" s="26">
        <v>805</v>
      </c>
      <c r="M2245" s="26">
        <v>3</v>
      </c>
      <c r="N2245" s="26">
        <v>3</v>
      </c>
      <c r="O2245" s="26">
        <v>5</v>
      </c>
      <c r="P2245" s="26">
        <v>0</v>
      </c>
      <c r="Q2245" s="26">
        <v>2</v>
      </c>
      <c r="R2245" s="1209">
        <v>34</v>
      </c>
      <c r="S2245" s="1209">
        <v>170</v>
      </c>
      <c r="T2245" s="26" t="s">
        <v>8074</v>
      </c>
      <c r="U2245" s="1859" t="s">
        <v>441</v>
      </c>
      <c r="V2245" s="26" t="s">
        <v>104</v>
      </c>
      <c r="W2245" s="2074" t="s">
        <v>8466</v>
      </c>
      <c r="X2245" s="18"/>
      <c r="Y2245" s="4"/>
      <c r="Z2245" s="4"/>
    </row>
    <row r="2246" spans="1:26" ht="14.1" hidden="1">
      <c r="A2246" s="20">
        <v>2253</v>
      </c>
      <c r="B2246" s="1063">
        <v>42023</v>
      </c>
      <c r="C2246" s="26" t="s">
        <v>8139</v>
      </c>
      <c r="D2246" s="11" t="s">
        <v>6</v>
      </c>
      <c r="E2246" s="26" t="s">
        <v>2722</v>
      </c>
      <c r="F2246" s="26" t="s">
        <v>1569</v>
      </c>
      <c r="G2246" s="26" t="s">
        <v>8467</v>
      </c>
      <c r="H2246" s="237" t="s">
        <v>578</v>
      </c>
      <c r="I2246" s="26" t="s">
        <v>1144</v>
      </c>
      <c r="J2246" s="26" t="s">
        <v>5556</v>
      </c>
      <c r="K2246" s="26" t="s">
        <v>5557</v>
      </c>
      <c r="L2246" s="26">
        <v>805</v>
      </c>
      <c r="M2246" s="26">
        <v>3</v>
      </c>
      <c r="N2246" s="26">
        <v>3</v>
      </c>
      <c r="O2246" s="26">
        <v>3</v>
      </c>
      <c r="P2246" s="26">
        <v>0</v>
      </c>
      <c r="Q2246" s="26">
        <v>0</v>
      </c>
      <c r="R2246" s="1209">
        <v>15</v>
      </c>
      <c r="S2246" s="1209">
        <v>45</v>
      </c>
      <c r="T2246" s="26" t="s">
        <v>8074</v>
      </c>
      <c r="U2246" s="1859" t="s">
        <v>441</v>
      </c>
      <c r="V2246" s="26" t="s">
        <v>104</v>
      </c>
      <c r="W2246" s="2074" t="s">
        <v>5558</v>
      </c>
      <c r="X2246" s="18"/>
      <c r="Y2246" s="4"/>
      <c r="Z2246" s="4"/>
    </row>
    <row r="2247" spans="1:26" ht="14.1" hidden="1">
      <c r="A2247" s="20">
        <v>2254</v>
      </c>
      <c r="B2247" s="1063">
        <v>42024</v>
      </c>
      <c r="C2247" s="26" t="s">
        <v>8077</v>
      </c>
      <c r="D2247" s="11" t="s">
        <v>6</v>
      </c>
      <c r="E2247" s="26" t="s">
        <v>2722</v>
      </c>
      <c r="F2247" s="26" t="s">
        <v>1569</v>
      </c>
      <c r="G2247" s="26" t="s">
        <v>8468</v>
      </c>
      <c r="H2247" s="237" t="s">
        <v>1098</v>
      </c>
      <c r="I2247" s="26" t="s">
        <v>1144</v>
      </c>
      <c r="J2247" s="26" t="s">
        <v>3737</v>
      </c>
      <c r="K2247" s="26" t="s">
        <v>3738</v>
      </c>
      <c r="L2247" s="26">
        <v>805</v>
      </c>
      <c r="M2247" s="26">
        <v>18</v>
      </c>
      <c r="N2247" s="26">
        <v>18</v>
      </c>
      <c r="O2247" s="26">
        <v>18</v>
      </c>
      <c r="P2247" s="26">
        <v>0</v>
      </c>
      <c r="Q2247" s="26">
        <v>0</v>
      </c>
      <c r="R2247" s="1209">
        <v>29.6</v>
      </c>
      <c r="S2247" s="1209">
        <v>532.79999999999995</v>
      </c>
      <c r="T2247" s="26" t="s">
        <v>8074</v>
      </c>
      <c r="U2247" s="1859" t="s">
        <v>441</v>
      </c>
      <c r="V2247" s="26" t="s">
        <v>104</v>
      </c>
      <c r="W2247" s="2074" t="s">
        <v>3739</v>
      </c>
      <c r="X2247" s="18"/>
      <c r="Y2247" s="4"/>
      <c r="Z2247" s="4"/>
    </row>
    <row r="2248" spans="1:26" ht="14.1" hidden="1">
      <c r="A2248" s="20">
        <v>2255</v>
      </c>
      <c r="B2248" s="1063">
        <v>42025</v>
      </c>
      <c r="C2248" s="26" t="s">
        <v>8077</v>
      </c>
      <c r="D2248" s="11" t="s">
        <v>6</v>
      </c>
      <c r="E2248" s="26" t="s">
        <v>2722</v>
      </c>
      <c r="F2248" s="26" t="s">
        <v>1569</v>
      </c>
      <c r="G2248" s="26" t="s">
        <v>8469</v>
      </c>
      <c r="H2248" s="237" t="s">
        <v>1098</v>
      </c>
      <c r="I2248" s="26" t="s">
        <v>1144</v>
      </c>
      <c r="J2248" s="26" t="s">
        <v>3727</v>
      </c>
      <c r="K2248" s="26" t="s">
        <v>3728</v>
      </c>
      <c r="L2248" s="26">
        <v>805</v>
      </c>
      <c r="M2248" s="26">
        <v>6</v>
      </c>
      <c r="N2248" s="26">
        <v>6</v>
      </c>
      <c r="O2248" s="26">
        <v>10</v>
      </c>
      <c r="P2248" s="26">
        <v>0</v>
      </c>
      <c r="Q2248" s="26">
        <v>4</v>
      </c>
      <c r="R2248" s="1209">
        <v>32</v>
      </c>
      <c r="S2248" s="1209">
        <v>320</v>
      </c>
      <c r="T2248" s="26" t="s">
        <v>8074</v>
      </c>
      <c r="U2248" s="1859" t="s">
        <v>441</v>
      </c>
      <c r="V2248" s="26" t="s">
        <v>104</v>
      </c>
      <c r="W2248" s="2074" t="s">
        <v>3729</v>
      </c>
      <c r="X2248" s="18"/>
      <c r="Y2248" s="4"/>
      <c r="Z2248" s="4"/>
    </row>
    <row r="2249" spans="1:26" ht="14.1" hidden="1">
      <c r="A2249" s="20">
        <v>2256</v>
      </c>
      <c r="B2249" s="1063">
        <v>42026</v>
      </c>
      <c r="C2249" s="26" t="s">
        <v>8077</v>
      </c>
      <c r="D2249" s="11" t="s">
        <v>6</v>
      </c>
      <c r="E2249" s="26" t="s">
        <v>2722</v>
      </c>
      <c r="F2249" s="26" t="s">
        <v>1569</v>
      </c>
      <c r="G2249" s="26" t="s">
        <v>8470</v>
      </c>
      <c r="H2249" s="237" t="s">
        <v>1653</v>
      </c>
      <c r="I2249" s="26" t="s">
        <v>1144</v>
      </c>
      <c r="J2249" s="26" t="s">
        <v>8471</v>
      </c>
      <c r="K2249" s="26" t="s">
        <v>8472</v>
      </c>
      <c r="L2249" s="26">
        <v>805</v>
      </c>
      <c r="M2249" s="26">
        <v>3</v>
      </c>
      <c r="N2249" s="26">
        <v>3</v>
      </c>
      <c r="O2249" s="26">
        <v>10</v>
      </c>
      <c r="P2249" s="26">
        <v>0</v>
      </c>
      <c r="Q2249" s="26">
        <v>7</v>
      </c>
      <c r="R2249" s="1209">
        <v>4.5999999999999996</v>
      </c>
      <c r="S2249" s="1209">
        <v>46</v>
      </c>
      <c r="T2249" s="26" t="s">
        <v>8074</v>
      </c>
      <c r="U2249" s="1859" t="s">
        <v>441</v>
      </c>
      <c r="V2249" s="26" t="s">
        <v>104</v>
      </c>
      <c r="W2249" s="2074" t="s">
        <v>8473</v>
      </c>
      <c r="X2249" s="18"/>
      <c r="Y2249" s="4"/>
      <c r="Z2249" s="4"/>
    </row>
    <row r="2250" spans="1:26" ht="14.1" hidden="1">
      <c r="A2250" s="20">
        <v>2257</v>
      </c>
      <c r="B2250" s="1063">
        <v>42027</v>
      </c>
      <c r="C2250" s="26" t="s">
        <v>8077</v>
      </c>
      <c r="D2250" s="11" t="s">
        <v>6</v>
      </c>
      <c r="E2250" s="26" t="s">
        <v>2722</v>
      </c>
      <c r="F2250" s="26" t="s">
        <v>1569</v>
      </c>
      <c r="G2250" s="26" t="s">
        <v>8474</v>
      </c>
      <c r="H2250" s="237" t="s">
        <v>8072</v>
      </c>
      <c r="I2250" s="26" t="s">
        <v>39</v>
      </c>
      <c r="J2250" s="26" t="s">
        <v>8475</v>
      </c>
      <c r="K2250" s="26" t="s">
        <v>8476</v>
      </c>
      <c r="L2250" s="26">
        <v>805</v>
      </c>
      <c r="M2250" s="26">
        <v>10</v>
      </c>
      <c r="N2250" s="26">
        <v>10</v>
      </c>
      <c r="O2250" s="26">
        <v>10</v>
      </c>
      <c r="P2250" s="26">
        <v>0</v>
      </c>
      <c r="Q2250" s="26">
        <v>0</v>
      </c>
      <c r="R2250" s="1209">
        <v>42.2</v>
      </c>
      <c r="S2250" s="1209">
        <f>R2250*O2250</f>
        <v>422</v>
      </c>
      <c r="T2250" s="26" t="s">
        <v>8074</v>
      </c>
      <c r="U2250" s="1859" t="s">
        <v>441</v>
      </c>
      <c r="V2250" s="26" t="s">
        <v>104</v>
      </c>
      <c r="W2250" s="2074" t="s">
        <v>8477</v>
      </c>
      <c r="X2250" s="18"/>
      <c r="Y2250" s="4"/>
      <c r="Z2250" s="4"/>
    </row>
    <row r="2251" spans="1:26" ht="14.1" hidden="1">
      <c r="A2251" s="20">
        <v>2258</v>
      </c>
      <c r="B2251" s="1063">
        <v>42028</v>
      </c>
      <c r="C2251" s="26" t="s">
        <v>8478</v>
      </c>
      <c r="D2251" s="11" t="s">
        <v>6</v>
      </c>
      <c r="E2251" s="26" t="s">
        <v>2722</v>
      </c>
      <c r="F2251" s="26" t="s">
        <v>1569</v>
      </c>
      <c r="G2251" s="26" t="s">
        <v>8479</v>
      </c>
      <c r="H2251" s="237" t="s">
        <v>341</v>
      </c>
      <c r="I2251" s="26" t="s">
        <v>1144</v>
      </c>
      <c r="J2251" s="26" t="s">
        <v>453</v>
      </c>
      <c r="K2251" s="26" t="s">
        <v>454</v>
      </c>
      <c r="L2251" s="26" t="s">
        <v>8480</v>
      </c>
      <c r="M2251" s="26">
        <v>18</v>
      </c>
      <c r="N2251" s="26">
        <v>18</v>
      </c>
      <c r="O2251" s="26">
        <v>18</v>
      </c>
      <c r="P2251" s="26">
        <v>0</v>
      </c>
      <c r="Q2251" s="26">
        <v>0</v>
      </c>
      <c r="R2251" s="1209">
        <v>42</v>
      </c>
      <c r="S2251" s="1209">
        <v>756</v>
      </c>
      <c r="T2251" s="26" t="s">
        <v>8074</v>
      </c>
      <c r="U2251" s="1859" t="s">
        <v>8481</v>
      </c>
      <c r="V2251" s="26" t="s">
        <v>104</v>
      </c>
      <c r="W2251" s="2074" t="s">
        <v>8482</v>
      </c>
      <c r="X2251" s="18"/>
      <c r="Y2251" s="4"/>
      <c r="Z2251" s="4"/>
    </row>
    <row r="2252" spans="1:26" ht="14.1" hidden="1">
      <c r="A2252" s="20">
        <v>2259</v>
      </c>
      <c r="B2252" s="1063">
        <v>42029</v>
      </c>
      <c r="C2252" s="26" t="s">
        <v>8483</v>
      </c>
      <c r="D2252" s="11" t="s">
        <v>6</v>
      </c>
      <c r="E2252" s="26" t="s">
        <v>2722</v>
      </c>
      <c r="F2252" s="26" t="s">
        <v>1569</v>
      </c>
      <c r="G2252" s="26" t="s">
        <v>8484</v>
      </c>
      <c r="H2252" s="237" t="s">
        <v>468</v>
      </c>
      <c r="I2252" s="26" t="s">
        <v>5690</v>
      </c>
      <c r="J2252" s="26">
        <v>11317172</v>
      </c>
      <c r="K2252" s="26" t="s">
        <v>469</v>
      </c>
      <c r="L2252" s="26"/>
      <c r="M2252" s="26">
        <v>18</v>
      </c>
      <c r="N2252" s="26">
        <v>18</v>
      </c>
      <c r="O2252" s="26">
        <v>20</v>
      </c>
      <c r="P2252" s="26">
        <v>0</v>
      </c>
      <c r="Q2252" s="26">
        <v>2</v>
      </c>
      <c r="R2252" s="1209">
        <v>699</v>
      </c>
      <c r="S2252" s="1209">
        <v>1398</v>
      </c>
      <c r="T2252" s="26" t="s">
        <v>8074</v>
      </c>
      <c r="U2252" s="1859" t="s">
        <v>8485</v>
      </c>
      <c r="V2252" s="26" t="s">
        <v>104</v>
      </c>
      <c r="W2252" s="2074" t="s">
        <v>8486</v>
      </c>
      <c r="X2252" s="18"/>
      <c r="Y2252" s="4"/>
      <c r="Z2252" s="4"/>
    </row>
    <row r="2253" spans="1:26" ht="14.1" hidden="1">
      <c r="A2253" s="20">
        <v>2260</v>
      </c>
      <c r="B2253" s="1063">
        <v>42030</v>
      </c>
      <c r="C2253" s="26" t="s">
        <v>121</v>
      </c>
      <c r="D2253" s="11" t="s">
        <v>6</v>
      </c>
      <c r="E2253" s="26" t="s">
        <v>2722</v>
      </c>
      <c r="F2253" s="26" t="s">
        <v>1569</v>
      </c>
      <c r="G2253" s="26" t="s">
        <v>8487</v>
      </c>
      <c r="H2253" s="237" t="s">
        <v>8488</v>
      </c>
      <c r="I2253" s="26" t="s">
        <v>1144</v>
      </c>
      <c r="J2253" s="26" t="s">
        <v>461</v>
      </c>
      <c r="K2253" s="26" t="s">
        <v>462</v>
      </c>
      <c r="L2253" s="26" t="s">
        <v>8489</v>
      </c>
      <c r="M2253" s="26">
        <v>15</v>
      </c>
      <c r="N2253" s="26">
        <v>15</v>
      </c>
      <c r="O2253" s="26">
        <v>15</v>
      </c>
      <c r="P2253" s="26">
        <v>0</v>
      </c>
      <c r="Q2253" s="26">
        <v>0</v>
      </c>
      <c r="R2253" s="1209">
        <v>104.3</v>
      </c>
      <c r="S2253" s="1209">
        <v>1564.5</v>
      </c>
      <c r="T2253" s="26" t="s">
        <v>8074</v>
      </c>
      <c r="U2253" s="1859" t="s">
        <v>8481</v>
      </c>
      <c r="V2253" s="26" t="s">
        <v>104</v>
      </c>
      <c r="W2253" s="2074" t="s">
        <v>8490</v>
      </c>
      <c r="X2253" s="18"/>
      <c r="Y2253" s="4"/>
      <c r="Z2253" s="4"/>
    </row>
    <row r="2254" spans="1:26" ht="14.1" hidden="1">
      <c r="A2254" s="20">
        <v>2261</v>
      </c>
      <c r="B2254" s="1063">
        <v>42031</v>
      </c>
      <c r="C2254" s="940" t="s">
        <v>329</v>
      </c>
      <c r="D2254" s="11"/>
      <c r="E2254" s="26" t="s">
        <v>4951</v>
      </c>
      <c r="F2254" s="1047" t="s">
        <v>2006</v>
      </c>
      <c r="G2254" s="668" t="s">
        <v>8491</v>
      </c>
      <c r="H2254" s="668" t="s">
        <v>5730</v>
      </c>
      <c r="I2254" s="668" t="s">
        <v>281</v>
      </c>
      <c r="J2254" s="668" t="s">
        <v>8492</v>
      </c>
      <c r="K2254" s="668" t="s">
        <v>8493</v>
      </c>
      <c r="L2254" s="668" t="s">
        <v>5267</v>
      </c>
      <c r="M2254" s="668">
        <v>12</v>
      </c>
      <c r="N2254" s="668">
        <v>10</v>
      </c>
      <c r="O2254" s="668">
        <v>20</v>
      </c>
      <c r="P2254" s="668">
        <v>0</v>
      </c>
      <c r="Q2254" s="669">
        <f t="shared" ref="Q2254:Q2267" si="115">(O2254+P2254)-M2254</f>
        <v>8</v>
      </c>
      <c r="R2254" s="1268">
        <v>6.5</v>
      </c>
      <c r="S2254" s="1268">
        <f t="shared" ref="S2254:S2266" si="116">R2254*O2254</f>
        <v>130</v>
      </c>
      <c r="T2254" s="668" t="s">
        <v>311</v>
      </c>
      <c r="U2254" s="1909" t="s">
        <v>678</v>
      </c>
      <c r="V2254" s="572" t="s">
        <v>5990</v>
      </c>
      <c r="W2254" s="681" t="s">
        <v>8494</v>
      </c>
      <c r="X2254" s="26"/>
      <c r="Y2254" s="71"/>
      <c r="Z2254" s="71"/>
    </row>
    <row r="2255" spans="1:26" ht="14.1" hidden="1">
      <c r="A2255" s="20">
        <v>2262</v>
      </c>
      <c r="B2255" s="1063">
        <v>42032</v>
      </c>
      <c r="C2255" s="945" t="s">
        <v>329</v>
      </c>
      <c r="D2255" s="11"/>
      <c r="E2255" s="26" t="s">
        <v>4951</v>
      </c>
      <c r="F2255" s="1047" t="s">
        <v>2006</v>
      </c>
      <c r="G2255" s="270" t="s">
        <v>8495</v>
      </c>
      <c r="H2255" s="270" t="s">
        <v>1653</v>
      </c>
      <c r="I2255" s="270" t="s">
        <v>281</v>
      </c>
      <c r="J2255" s="270" t="s">
        <v>8496</v>
      </c>
      <c r="K2255" s="270" t="s">
        <v>8497</v>
      </c>
      <c r="L2255" s="270" t="s">
        <v>5267</v>
      </c>
      <c r="M2255" s="270">
        <v>8</v>
      </c>
      <c r="N2255" s="270">
        <v>10</v>
      </c>
      <c r="O2255" s="270">
        <v>20</v>
      </c>
      <c r="P2255" s="270">
        <v>0</v>
      </c>
      <c r="Q2255" s="669">
        <f t="shared" si="115"/>
        <v>12</v>
      </c>
      <c r="R2255" s="1269">
        <v>14.9</v>
      </c>
      <c r="S2255" s="1268">
        <f t="shared" si="116"/>
        <v>298</v>
      </c>
      <c r="T2255" s="270" t="s">
        <v>311</v>
      </c>
      <c r="U2255" s="1542" t="s">
        <v>678</v>
      </c>
      <c r="V2255" s="572" t="s">
        <v>5990</v>
      </c>
      <c r="W2255" s="681" t="s">
        <v>8498</v>
      </c>
      <c r="X2255" s="26"/>
      <c r="Y2255" s="71"/>
      <c r="Z2255" s="71"/>
    </row>
    <row r="2256" spans="1:26" ht="14.1" hidden="1">
      <c r="A2256" s="20">
        <v>2263</v>
      </c>
      <c r="B2256" s="1063">
        <v>42033</v>
      </c>
      <c r="C2256" s="945" t="s">
        <v>329</v>
      </c>
      <c r="D2256" s="11"/>
      <c r="E2256" s="26" t="s">
        <v>4951</v>
      </c>
      <c r="F2256" s="1047" t="s">
        <v>2006</v>
      </c>
      <c r="G2256" s="270" t="s">
        <v>8499</v>
      </c>
      <c r="H2256" s="270" t="s">
        <v>3243</v>
      </c>
      <c r="I2256" s="270" t="s">
        <v>281</v>
      </c>
      <c r="J2256" s="270" t="s">
        <v>8500</v>
      </c>
      <c r="K2256" s="270" t="s">
        <v>8501</v>
      </c>
      <c r="L2256" s="270" t="s">
        <v>5267</v>
      </c>
      <c r="M2256" s="270">
        <v>4</v>
      </c>
      <c r="N2256" s="270">
        <v>10</v>
      </c>
      <c r="O2256" s="270">
        <v>10</v>
      </c>
      <c r="P2256" s="270">
        <v>0</v>
      </c>
      <c r="Q2256" s="669">
        <f t="shared" si="115"/>
        <v>6</v>
      </c>
      <c r="R2256" s="1269">
        <v>65.3</v>
      </c>
      <c r="S2256" s="1268">
        <f t="shared" si="116"/>
        <v>653</v>
      </c>
      <c r="T2256" s="270" t="s">
        <v>311</v>
      </c>
      <c r="U2256" s="1542" t="s">
        <v>678</v>
      </c>
      <c r="V2256" s="572" t="s">
        <v>5990</v>
      </c>
      <c r="W2256" s="681" t="s">
        <v>8502</v>
      </c>
      <c r="X2256" s="26"/>
      <c r="Y2256" s="71"/>
      <c r="Z2256" s="71"/>
    </row>
    <row r="2257" spans="1:26" ht="14.1" hidden="1">
      <c r="A2257" s="20">
        <v>2264</v>
      </c>
      <c r="B2257" s="1063">
        <v>42034</v>
      </c>
      <c r="C2257" s="945" t="s">
        <v>329</v>
      </c>
      <c r="D2257" s="11"/>
      <c r="E2257" s="26" t="s">
        <v>4951</v>
      </c>
      <c r="F2257" s="1047" t="s">
        <v>2006</v>
      </c>
      <c r="G2257" s="270" t="s">
        <v>8503</v>
      </c>
      <c r="H2257" s="270" t="s">
        <v>5730</v>
      </c>
      <c r="I2257" s="270" t="s">
        <v>281</v>
      </c>
      <c r="J2257" s="270" t="s">
        <v>6318</v>
      </c>
      <c r="K2257" s="270" t="s">
        <v>6319</v>
      </c>
      <c r="L2257" s="270" t="s">
        <v>5267</v>
      </c>
      <c r="M2257" s="270">
        <v>4</v>
      </c>
      <c r="N2257" s="270">
        <v>10</v>
      </c>
      <c r="O2257" s="270">
        <v>10</v>
      </c>
      <c r="P2257" s="270">
        <v>0</v>
      </c>
      <c r="Q2257" s="669">
        <f t="shared" si="115"/>
        <v>6</v>
      </c>
      <c r="R2257" s="1269">
        <v>14.4</v>
      </c>
      <c r="S2257" s="1268">
        <f t="shared" si="116"/>
        <v>144</v>
      </c>
      <c r="T2257" s="270" t="s">
        <v>311</v>
      </c>
      <c r="U2257" s="1542" t="s">
        <v>678</v>
      </c>
      <c r="V2257" s="572" t="s">
        <v>5990</v>
      </c>
      <c r="W2257" s="681" t="s">
        <v>8504</v>
      </c>
      <c r="X2257" s="26"/>
      <c r="Y2257" s="71"/>
      <c r="Z2257" s="71"/>
    </row>
    <row r="2258" spans="1:26" ht="14.1" hidden="1">
      <c r="A2258" s="20">
        <v>2265</v>
      </c>
      <c r="B2258" s="1063">
        <v>42035</v>
      </c>
      <c r="C2258" s="945" t="s">
        <v>5145</v>
      </c>
      <c r="D2258" s="11"/>
      <c r="E2258" s="26" t="s">
        <v>4951</v>
      </c>
      <c r="F2258" s="1047" t="s">
        <v>2006</v>
      </c>
      <c r="G2258" s="270" t="s">
        <v>5146</v>
      </c>
      <c r="H2258" s="270" t="s">
        <v>360</v>
      </c>
      <c r="I2258" s="270" t="s">
        <v>574</v>
      </c>
      <c r="J2258" s="270" t="s">
        <v>5147</v>
      </c>
      <c r="K2258" s="270">
        <v>61304011121</v>
      </c>
      <c r="L2258" s="270" t="s">
        <v>2063</v>
      </c>
      <c r="M2258" s="270">
        <v>2</v>
      </c>
      <c r="N2258" s="270">
        <v>1</v>
      </c>
      <c r="O2258" s="270">
        <v>3</v>
      </c>
      <c r="P2258" s="270">
        <v>0</v>
      </c>
      <c r="Q2258" s="669">
        <f t="shared" si="115"/>
        <v>1</v>
      </c>
      <c r="R2258" s="1269">
        <v>165</v>
      </c>
      <c r="S2258" s="1268">
        <f t="shared" si="116"/>
        <v>495</v>
      </c>
      <c r="T2258" s="270" t="s">
        <v>311</v>
      </c>
      <c r="U2258" s="1542" t="s">
        <v>678</v>
      </c>
      <c r="V2258" s="572" t="s">
        <v>5990</v>
      </c>
      <c r="W2258" s="681" t="s">
        <v>5148</v>
      </c>
      <c r="X2258" s="26"/>
      <c r="Y2258" s="71"/>
      <c r="Z2258" s="71"/>
    </row>
    <row r="2259" spans="1:26" ht="14.1" hidden="1">
      <c r="A2259" s="20">
        <v>2266</v>
      </c>
      <c r="B2259" s="1063">
        <v>42036</v>
      </c>
      <c r="C2259" s="945" t="s">
        <v>8505</v>
      </c>
      <c r="D2259" s="11"/>
      <c r="E2259" s="26" t="s">
        <v>4951</v>
      </c>
      <c r="F2259" s="1047" t="s">
        <v>2006</v>
      </c>
      <c r="G2259" s="270" t="s">
        <v>8506</v>
      </c>
      <c r="H2259" s="270" t="s">
        <v>3898</v>
      </c>
      <c r="I2259" s="270" t="s">
        <v>574</v>
      </c>
      <c r="J2259" s="270" t="s">
        <v>8507</v>
      </c>
      <c r="K2259" s="270" t="s">
        <v>8508</v>
      </c>
      <c r="L2259" s="270" t="s">
        <v>5267</v>
      </c>
      <c r="M2259" s="270">
        <v>2</v>
      </c>
      <c r="N2259" s="270">
        <v>1</v>
      </c>
      <c r="O2259" s="270">
        <v>5</v>
      </c>
      <c r="P2259" s="270">
        <v>0</v>
      </c>
      <c r="Q2259" s="669">
        <f t="shared" si="115"/>
        <v>3</v>
      </c>
      <c r="R2259" s="1269">
        <v>100</v>
      </c>
      <c r="S2259" s="1268">
        <f t="shared" si="116"/>
        <v>500</v>
      </c>
      <c r="T2259" s="270" t="s">
        <v>311</v>
      </c>
      <c r="U2259" s="1542" t="s">
        <v>678</v>
      </c>
      <c r="V2259" s="572" t="s">
        <v>5990</v>
      </c>
      <c r="W2259" s="681" t="s">
        <v>8509</v>
      </c>
      <c r="X2259" s="26"/>
      <c r="Y2259" s="71"/>
      <c r="Z2259" s="71"/>
    </row>
    <row r="2260" spans="1:26" ht="14.1" hidden="1">
      <c r="A2260" s="20">
        <v>2267</v>
      </c>
      <c r="B2260" s="1063">
        <v>42037</v>
      </c>
      <c r="C2260" s="945" t="s">
        <v>5997</v>
      </c>
      <c r="D2260" s="11"/>
      <c r="E2260" s="26" t="s">
        <v>4951</v>
      </c>
      <c r="F2260" s="1047" t="s">
        <v>2006</v>
      </c>
      <c r="G2260" s="270" t="s">
        <v>3639</v>
      </c>
      <c r="H2260" s="270" t="s">
        <v>1143</v>
      </c>
      <c r="I2260" s="270" t="s">
        <v>281</v>
      </c>
      <c r="J2260" s="270" t="s">
        <v>3640</v>
      </c>
      <c r="K2260" s="270">
        <v>554600272</v>
      </c>
      <c r="L2260" s="270" t="s">
        <v>5267</v>
      </c>
      <c r="M2260" s="270">
        <v>8</v>
      </c>
      <c r="N2260" s="270">
        <v>10</v>
      </c>
      <c r="O2260" s="270">
        <v>20</v>
      </c>
      <c r="P2260" s="270">
        <v>0</v>
      </c>
      <c r="Q2260" s="669">
        <f t="shared" si="115"/>
        <v>12</v>
      </c>
      <c r="R2260" s="1269">
        <v>140.6</v>
      </c>
      <c r="S2260" s="1268">
        <f t="shared" si="116"/>
        <v>2812</v>
      </c>
      <c r="T2260" s="270" t="s">
        <v>311</v>
      </c>
      <c r="U2260" s="1542" t="s">
        <v>678</v>
      </c>
      <c r="V2260" s="572" t="s">
        <v>5990</v>
      </c>
      <c r="W2260" s="681" t="s">
        <v>5269</v>
      </c>
      <c r="X2260" s="26"/>
      <c r="Y2260" s="71"/>
      <c r="Z2260" s="71"/>
    </row>
    <row r="2261" spans="1:26" ht="14.1" hidden="1">
      <c r="A2261" s="20">
        <v>2268</v>
      </c>
      <c r="B2261" s="1063">
        <v>42038</v>
      </c>
      <c r="C2261" s="945" t="s">
        <v>8510</v>
      </c>
      <c r="D2261" s="11"/>
      <c r="E2261" s="26" t="s">
        <v>4951</v>
      </c>
      <c r="F2261" s="1047" t="s">
        <v>2006</v>
      </c>
      <c r="G2261" s="270" t="s">
        <v>8511</v>
      </c>
      <c r="H2261" s="270" t="s">
        <v>3898</v>
      </c>
      <c r="I2261" s="270" t="s">
        <v>574</v>
      </c>
      <c r="J2261" s="270" t="s">
        <v>8512</v>
      </c>
      <c r="K2261" s="270" t="s">
        <v>8513</v>
      </c>
      <c r="L2261" s="270" t="s">
        <v>5267</v>
      </c>
      <c r="M2261" s="270">
        <v>6</v>
      </c>
      <c r="N2261" s="270">
        <v>10</v>
      </c>
      <c r="O2261" s="270">
        <v>10</v>
      </c>
      <c r="P2261" s="270">
        <v>0</v>
      </c>
      <c r="Q2261" s="669">
        <f t="shared" si="115"/>
        <v>4</v>
      </c>
      <c r="R2261" s="1269">
        <v>238.3</v>
      </c>
      <c r="S2261" s="1268">
        <f t="shared" si="116"/>
        <v>2383</v>
      </c>
      <c r="T2261" s="270" t="s">
        <v>311</v>
      </c>
      <c r="U2261" s="1542" t="s">
        <v>678</v>
      </c>
      <c r="V2261" s="572" t="s">
        <v>5990</v>
      </c>
      <c r="W2261" s="681" t="s">
        <v>8514</v>
      </c>
      <c r="X2261" s="26"/>
      <c r="Y2261" s="71"/>
      <c r="Z2261" s="71"/>
    </row>
    <row r="2262" spans="1:26" ht="14.1" hidden="1">
      <c r="A2262" s="20">
        <v>2269</v>
      </c>
      <c r="B2262" s="1063">
        <v>42039</v>
      </c>
      <c r="C2262" s="945" t="s">
        <v>6003</v>
      </c>
      <c r="D2262" s="11"/>
      <c r="E2262" s="26" t="s">
        <v>4951</v>
      </c>
      <c r="F2262" s="1047" t="s">
        <v>2006</v>
      </c>
      <c r="G2262" s="270" t="s">
        <v>6004</v>
      </c>
      <c r="H2262" s="270" t="s">
        <v>6005</v>
      </c>
      <c r="I2262" s="270" t="s">
        <v>281</v>
      </c>
      <c r="J2262" s="270" t="s">
        <v>6006</v>
      </c>
      <c r="K2262" s="270" t="s">
        <v>6007</v>
      </c>
      <c r="L2262" s="270" t="s">
        <v>6008</v>
      </c>
      <c r="M2262" s="270">
        <v>4</v>
      </c>
      <c r="N2262" s="270">
        <v>1</v>
      </c>
      <c r="O2262" s="270">
        <v>6</v>
      </c>
      <c r="P2262" s="270">
        <v>0</v>
      </c>
      <c r="Q2262" s="669">
        <f t="shared" si="115"/>
        <v>2</v>
      </c>
      <c r="R2262" s="1269">
        <v>1995</v>
      </c>
      <c r="S2262" s="1268">
        <f t="shared" si="116"/>
        <v>11970</v>
      </c>
      <c r="T2262" s="270" t="s">
        <v>311</v>
      </c>
      <c r="U2262" s="1542" t="s">
        <v>678</v>
      </c>
      <c r="V2262" s="572" t="s">
        <v>5990</v>
      </c>
      <c r="W2262" s="681" t="s">
        <v>8515</v>
      </c>
      <c r="X2262" s="26"/>
      <c r="Y2262" s="71"/>
      <c r="Z2262" s="71"/>
    </row>
    <row r="2263" spans="1:26" ht="14.1" hidden="1">
      <c r="A2263" s="20">
        <v>2270</v>
      </c>
      <c r="B2263" s="1063">
        <v>42040</v>
      </c>
      <c r="C2263" s="945" t="s">
        <v>5992</v>
      </c>
      <c r="D2263" s="11"/>
      <c r="E2263" s="26" t="s">
        <v>4951</v>
      </c>
      <c r="F2263" s="1047" t="s">
        <v>2006</v>
      </c>
      <c r="G2263" s="270" t="s">
        <v>5993</v>
      </c>
      <c r="H2263" s="270" t="s">
        <v>3898</v>
      </c>
      <c r="I2263" s="270" t="s">
        <v>281</v>
      </c>
      <c r="J2263" s="270" t="s">
        <v>5994</v>
      </c>
      <c r="K2263" s="270" t="s">
        <v>5995</v>
      </c>
      <c r="L2263" s="270" t="s">
        <v>3636</v>
      </c>
      <c r="M2263" s="270">
        <v>12</v>
      </c>
      <c r="N2263" s="270">
        <v>10</v>
      </c>
      <c r="O2263" s="270">
        <v>10</v>
      </c>
      <c r="P2263" s="270">
        <v>16</v>
      </c>
      <c r="Q2263" s="669">
        <f t="shared" si="115"/>
        <v>14</v>
      </c>
      <c r="R2263" s="1269">
        <v>145.80000000000001</v>
      </c>
      <c r="S2263" s="1268">
        <f t="shared" si="116"/>
        <v>1458</v>
      </c>
      <c r="T2263" s="270" t="s">
        <v>311</v>
      </c>
      <c r="U2263" s="1542" t="s">
        <v>678</v>
      </c>
      <c r="V2263" s="572" t="s">
        <v>5990</v>
      </c>
      <c r="W2263" s="681" t="s">
        <v>5996</v>
      </c>
      <c r="X2263" s="26"/>
      <c r="Y2263" s="71"/>
      <c r="Z2263" s="71"/>
    </row>
    <row r="2264" spans="1:26" ht="14.1" hidden="1">
      <c r="A2264" s="20">
        <v>2271</v>
      </c>
      <c r="B2264" s="1063">
        <v>42041</v>
      </c>
      <c r="C2264" s="945" t="s">
        <v>5270</v>
      </c>
      <c r="D2264" s="11"/>
      <c r="E2264" s="26" t="s">
        <v>4951</v>
      </c>
      <c r="F2264" s="1047" t="s">
        <v>2006</v>
      </c>
      <c r="G2264" s="270" t="s">
        <v>5271</v>
      </c>
      <c r="H2264" s="270" t="s">
        <v>3898</v>
      </c>
      <c r="I2264" s="270" t="s">
        <v>281</v>
      </c>
      <c r="J2264" s="270" t="s">
        <v>933</v>
      </c>
      <c r="K2264" s="270" t="s">
        <v>5991</v>
      </c>
      <c r="L2264" s="270" t="s">
        <v>3636</v>
      </c>
      <c r="M2264" s="270">
        <v>24</v>
      </c>
      <c r="N2264" s="270">
        <v>10</v>
      </c>
      <c r="O2264" s="270">
        <v>20</v>
      </c>
      <c r="P2264" s="270">
        <v>16</v>
      </c>
      <c r="Q2264" s="669">
        <f t="shared" si="115"/>
        <v>12</v>
      </c>
      <c r="R2264" s="1269">
        <v>480.5</v>
      </c>
      <c r="S2264" s="1268">
        <f t="shared" si="116"/>
        <v>9610</v>
      </c>
      <c r="T2264" s="270" t="s">
        <v>311</v>
      </c>
      <c r="U2264" s="1542" t="s">
        <v>678</v>
      </c>
      <c r="V2264" s="572" t="s">
        <v>5990</v>
      </c>
      <c r="W2264" s="681" t="s">
        <v>5272</v>
      </c>
      <c r="X2264" s="26"/>
      <c r="Y2264" s="71"/>
      <c r="Z2264" s="71"/>
    </row>
    <row r="2265" spans="1:26" ht="14.1" hidden="1">
      <c r="A2265" s="20">
        <v>2272</v>
      </c>
      <c r="B2265" s="1063">
        <v>42042</v>
      </c>
      <c r="C2265" s="945" t="s">
        <v>8516</v>
      </c>
      <c r="D2265" s="11"/>
      <c r="E2265" s="26" t="s">
        <v>4951</v>
      </c>
      <c r="F2265" s="1047" t="s">
        <v>2006</v>
      </c>
      <c r="G2265" s="270" t="s">
        <v>8517</v>
      </c>
      <c r="H2265" s="270" t="s">
        <v>468</v>
      </c>
      <c r="I2265" s="270" t="s">
        <v>3312</v>
      </c>
      <c r="J2265" s="270">
        <v>26354265</v>
      </c>
      <c r="K2265" s="270" t="s">
        <v>8518</v>
      </c>
      <c r="L2265" s="270" t="s">
        <v>3636</v>
      </c>
      <c r="M2265" s="270">
        <v>4</v>
      </c>
      <c r="N2265" s="270">
        <v>50</v>
      </c>
      <c r="O2265" s="270">
        <v>50</v>
      </c>
      <c r="P2265" s="270">
        <v>0</v>
      </c>
      <c r="Q2265" s="669">
        <f t="shared" si="115"/>
        <v>46</v>
      </c>
      <c r="R2265" s="1269">
        <v>39.799999999999997</v>
      </c>
      <c r="S2265" s="1268">
        <f t="shared" si="116"/>
        <v>1989.9999999999998</v>
      </c>
      <c r="T2265" s="270" t="s">
        <v>311</v>
      </c>
      <c r="U2265" s="1542" t="s">
        <v>678</v>
      </c>
      <c r="V2265" s="572" t="s">
        <v>5990</v>
      </c>
      <c r="W2265" s="681" t="s">
        <v>8519</v>
      </c>
      <c r="X2265" s="26"/>
      <c r="Y2265" s="71"/>
      <c r="Z2265" s="71"/>
    </row>
    <row r="2266" spans="1:26" ht="14.1" hidden="1">
      <c r="A2266" s="20">
        <v>2273</v>
      </c>
      <c r="B2266" s="1063">
        <v>42043</v>
      </c>
      <c r="C2266" s="945" t="s">
        <v>8520</v>
      </c>
      <c r="D2266" s="11"/>
      <c r="E2266" s="26" t="s">
        <v>4951</v>
      </c>
      <c r="F2266" s="1047" t="s">
        <v>2006</v>
      </c>
      <c r="G2266" s="270" t="s">
        <v>8521</v>
      </c>
      <c r="H2266" s="270" t="s">
        <v>468</v>
      </c>
      <c r="I2266" s="270" t="s">
        <v>3312</v>
      </c>
      <c r="J2266" s="239">
        <v>11343036</v>
      </c>
      <c r="K2266" s="668" t="s">
        <v>8522</v>
      </c>
      <c r="L2266" s="270" t="s">
        <v>3636</v>
      </c>
      <c r="M2266" s="270">
        <v>2</v>
      </c>
      <c r="N2266" s="270">
        <v>10</v>
      </c>
      <c r="O2266" s="270">
        <v>10</v>
      </c>
      <c r="P2266" s="270">
        <v>0</v>
      </c>
      <c r="Q2266" s="669">
        <f t="shared" si="115"/>
        <v>8</v>
      </c>
      <c r="R2266" s="1269">
        <v>65.900000000000006</v>
      </c>
      <c r="S2266" s="1268">
        <f t="shared" si="116"/>
        <v>659</v>
      </c>
      <c r="T2266" s="270" t="s">
        <v>311</v>
      </c>
      <c r="U2266" s="1542" t="s">
        <v>678</v>
      </c>
      <c r="V2266" s="572" t="s">
        <v>5990</v>
      </c>
      <c r="W2266" s="681" t="s">
        <v>8523</v>
      </c>
      <c r="X2266" s="26"/>
      <c r="Y2266" s="71"/>
      <c r="Z2266" s="71"/>
    </row>
    <row r="2267" spans="1:26" ht="14.1" hidden="1">
      <c r="A2267" s="20">
        <v>2274</v>
      </c>
      <c r="B2267" s="1063">
        <v>42044</v>
      </c>
      <c r="C2267" s="26" t="s">
        <v>8524</v>
      </c>
      <c r="D2267" s="11"/>
      <c r="E2267" s="26" t="s">
        <v>4951</v>
      </c>
      <c r="F2267" s="26" t="s">
        <v>2006</v>
      </c>
      <c r="G2267" s="26" t="s">
        <v>8525</v>
      </c>
      <c r="H2267" s="237" t="s">
        <v>1002</v>
      </c>
      <c r="I2267" s="26" t="s">
        <v>1002</v>
      </c>
      <c r="J2267" s="26" t="s">
        <v>1</v>
      </c>
      <c r="K2267" s="26" t="s">
        <v>1</v>
      </c>
      <c r="L2267" s="26" t="s">
        <v>1</v>
      </c>
      <c r="M2267" s="26">
        <v>5</v>
      </c>
      <c r="N2267" s="26">
        <v>1</v>
      </c>
      <c r="O2267" s="26">
        <v>5</v>
      </c>
      <c r="P2267" s="26">
        <v>0</v>
      </c>
      <c r="Q2267" s="669">
        <f t="shared" si="115"/>
        <v>0</v>
      </c>
      <c r="R2267" s="1209"/>
      <c r="S2267" s="1268">
        <v>189036</v>
      </c>
      <c r="T2267" s="270" t="s">
        <v>311</v>
      </c>
      <c r="U2267" s="1542" t="s">
        <v>678</v>
      </c>
      <c r="V2267" s="572" t="s">
        <v>5990</v>
      </c>
      <c r="W2267" s="2084"/>
      <c r="X2267" s="18"/>
      <c r="Y2267" s="4"/>
      <c r="Z2267" s="4"/>
    </row>
    <row r="2268" spans="1:26" ht="14.45" hidden="1">
      <c r="A2268" s="20">
        <v>2275</v>
      </c>
      <c r="B2268" s="1063">
        <v>42045</v>
      </c>
      <c r="C2268" s="54" t="s">
        <v>8019</v>
      </c>
      <c r="D2268" s="11"/>
      <c r="E2268" s="129" t="s">
        <v>5448</v>
      </c>
      <c r="F2268" s="54" t="s">
        <v>7046</v>
      </c>
      <c r="G2268" s="129" t="s">
        <v>8020</v>
      </c>
      <c r="H2268" s="237" t="s">
        <v>460</v>
      </c>
      <c r="I2268" s="129" t="s">
        <v>39</v>
      </c>
      <c r="J2268" s="129" t="s">
        <v>8021</v>
      </c>
      <c r="K2268" s="129" t="s">
        <v>4923</v>
      </c>
      <c r="L2268" s="183"/>
      <c r="M2268" s="129">
        <v>6</v>
      </c>
      <c r="N2268" s="129">
        <v>4</v>
      </c>
      <c r="O2268" s="129">
        <v>6</v>
      </c>
      <c r="P2268" s="129">
        <v>0</v>
      </c>
      <c r="Q2268" s="129">
        <v>2</v>
      </c>
      <c r="R2268" s="1231">
        <v>1549</v>
      </c>
      <c r="S2268" s="1245">
        <v>9294</v>
      </c>
      <c r="T2268" s="129" t="s">
        <v>311</v>
      </c>
      <c r="U2268" s="1910" t="s">
        <v>7850</v>
      </c>
      <c r="V2268" s="129" t="s">
        <v>7705</v>
      </c>
      <c r="W2268" s="689" t="s">
        <v>8022</v>
      </c>
      <c r="X2268" s="183"/>
      <c r="Y2268" s="272"/>
      <c r="Z2268" s="272"/>
    </row>
    <row r="2269" spans="1:26" ht="14.45" hidden="1">
      <c r="A2269" s="20">
        <v>2276</v>
      </c>
      <c r="B2269" s="1063">
        <v>42046</v>
      </c>
      <c r="C2269" s="54" t="s">
        <v>8023</v>
      </c>
      <c r="D2269" s="11" t="s">
        <v>6</v>
      </c>
      <c r="E2269" s="129" t="s">
        <v>5448</v>
      </c>
      <c r="F2269" s="54" t="s">
        <v>7046</v>
      </c>
      <c r="G2269" s="129" t="s">
        <v>8024</v>
      </c>
      <c r="H2269" s="237" t="s">
        <v>2786</v>
      </c>
      <c r="I2269" s="129" t="s">
        <v>8025</v>
      </c>
      <c r="J2269" s="129" t="s">
        <v>8026</v>
      </c>
      <c r="K2269" s="129" t="s">
        <v>8027</v>
      </c>
      <c r="L2269" s="129" t="s">
        <v>1432</v>
      </c>
      <c r="M2269" s="129">
        <v>10</v>
      </c>
      <c r="N2269" s="129">
        <v>5</v>
      </c>
      <c r="O2269" s="129">
        <v>10</v>
      </c>
      <c r="P2269" s="129">
        <v>0</v>
      </c>
      <c r="Q2269" s="129">
        <v>5</v>
      </c>
      <c r="R2269" s="1231">
        <v>20</v>
      </c>
      <c r="S2269" s="1245">
        <v>200</v>
      </c>
      <c r="T2269" s="129" t="s">
        <v>311</v>
      </c>
      <c r="U2269" s="1910" t="s">
        <v>7850</v>
      </c>
      <c r="V2269" s="129" t="s">
        <v>7705</v>
      </c>
      <c r="W2269" s="689" t="s">
        <v>8029</v>
      </c>
      <c r="X2269" s="183"/>
      <c r="Y2269" s="272"/>
      <c r="Z2269" s="272"/>
    </row>
    <row r="2270" spans="1:26" ht="14.45" hidden="1">
      <c r="A2270" s="20">
        <v>2277</v>
      </c>
      <c r="B2270" s="1063">
        <v>42047</v>
      </c>
      <c r="C2270" s="54" t="s">
        <v>8023</v>
      </c>
      <c r="D2270" s="11" t="s">
        <v>6</v>
      </c>
      <c r="E2270" s="129" t="s">
        <v>5448</v>
      </c>
      <c r="F2270" s="54" t="s">
        <v>7046</v>
      </c>
      <c r="G2270" s="129" t="s">
        <v>8030</v>
      </c>
      <c r="H2270" s="237" t="s">
        <v>2786</v>
      </c>
      <c r="I2270" s="129" t="s">
        <v>8025</v>
      </c>
      <c r="J2270" s="129" t="s">
        <v>8031</v>
      </c>
      <c r="K2270" s="129" t="s">
        <v>8032</v>
      </c>
      <c r="L2270" s="129" t="s">
        <v>1432</v>
      </c>
      <c r="M2270" s="129">
        <v>10</v>
      </c>
      <c r="N2270" s="129">
        <v>5</v>
      </c>
      <c r="O2270" s="129">
        <v>10</v>
      </c>
      <c r="P2270" s="129">
        <v>0</v>
      </c>
      <c r="Q2270" s="129">
        <v>5</v>
      </c>
      <c r="R2270" s="1231">
        <v>20</v>
      </c>
      <c r="S2270" s="1245">
        <v>200</v>
      </c>
      <c r="T2270" s="129" t="s">
        <v>311</v>
      </c>
      <c r="U2270" s="1910" t="s">
        <v>7850</v>
      </c>
      <c r="V2270" s="129" t="s">
        <v>7705</v>
      </c>
      <c r="W2270" s="689" t="s">
        <v>8033</v>
      </c>
      <c r="X2270" s="183"/>
      <c r="Y2270" s="272"/>
      <c r="Z2270" s="272"/>
    </row>
    <row r="2271" spans="1:26" ht="14.45" hidden="1">
      <c r="A2271" s="20">
        <v>2278</v>
      </c>
      <c r="B2271" s="1063">
        <v>42048</v>
      </c>
      <c r="C2271" s="54" t="s">
        <v>8023</v>
      </c>
      <c r="D2271" s="11" t="s">
        <v>6</v>
      </c>
      <c r="E2271" s="129" t="s">
        <v>5448</v>
      </c>
      <c r="F2271" s="54" t="s">
        <v>7046</v>
      </c>
      <c r="G2271" s="129" t="s">
        <v>8034</v>
      </c>
      <c r="H2271" s="237" t="s">
        <v>2786</v>
      </c>
      <c r="I2271" s="129" t="s">
        <v>8025</v>
      </c>
      <c r="J2271" s="129" t="s">
        <v>8035</v>
      </c>
      <c r="K2271" s="129" t="s">
        <v>8036</v>
      </c>
      <c r="L2271" s="129" t="s">
        <v>1432</v>
      </c>
      <c r="M2271" s="129">
        <v>10</v>
      </c>
      <c r="N2271" s="129">
        <v>5</v>
      </c>
      <c r="O2271" s="129">
        <v>10</v>
      </c>
      <c r="P2271" s="129">
        <v>0</v>
      </c>
      <c r="Q2271" s="129">
        <v>5</v>
      </c>
      <c r="R2271" s="1231">
        <v>20</v>
      </c>
      <c r="S2271" s="1245">
        <v>200</v>
      </c>
      <c r="T2271" s="129" t="s">
        <v>311</v>
      </c>
      <c r="U2271" s="1910" t="s">
        <v>7850</v>
      </c>
      <c r="V2271" s="129" t="s">
        <v>7705</v>
      </c>
      <c r="W2271" s="689" t="s">
        <v>8029</v>
      </c>
      <c r="X2271" s="183"/>
      <c r="Y2271" s="272"/>
      <c r="Z2271" s="272"/>
    </row>
    <row r="2272" spans="1:26" ht="14.45" hidden="1">
      <c r="A2272" s="20">
        <v>2279</v>
      </c>
      <c r="B2272" s="1063">
        <v>42049</v>
      </c>
      <c r="C2272" s="54" t="s">
        <v>8023</v>
      </c>
      <c r="D2272" s="11" t="s">
        <v>6</v>
      </c>
      <c r="E2272" s="129" t="s">
        <v>5448</v>
      </c>
      <c r="F2272" s="54" t="s">
        <v>7046</v>
      </c>
      <c r="G2272" s="129" t="s">
        <v>8037</v>
      </c>
      <c r="H2272" s="237" t="s">
        <v>2786</v>
      </c>
      <c r="I2272" s="129" t="s">
        <v>8025</v>
      </c>
      <c r="J2272" s="129" t="s">
        <v>8038</v>
      </c>
      <c r="K2272" s="129" t="s">
        <v>8039</v>
      </c>
      <c r="L2272" s="129" t="s">
        <v>1432</v>
      </c>
      <c r="M2272" s="129">
        <v>10</v>
      </c>
      <c r="N2272" s="129">
        <v>5</v>
      </c>
      <c r="O2272" s="129">
        <v>10</v>
      </c>
      <c r="P2272" s="129">
        <v>0</v>
      </c>
      <c r="Q2272" s="129">
        <v>5</v>
      </c>
      <c r="R2272" s="1231">
        <v>20</v>
      </c>
      <c r="S2272" s="1245">
        <v>200</v>
      </c>
      <c r="T2272" s="129" t="s">
        <v>311</v>
      </c>
      <c r="U2272" s="1910" t="s">
        <v>7850</v>
      </c>
      <c r="V2272" s="129" t="s">
        <v>7705</v>
      </c>
      <c r="W2272" s="689" t="s">
        <v>8040</v>
      </c>
      <c r="X2272" s="183"/>
      <c r="Y2272" s="272"/>
      <c r="Z2272" s="272"/>
    </row>
    <row r="2273" spans="1:26" ht="14.45" hidden="1">
      <c r="A2273" s="20">
        <v>2280</v>
      </c>
      <c r="B2273" s="1063">
        <v>42050</v>
      </c>
      <c r="C2273" s="54" t="s">
        <v>8526</v>
      </c>
      <c r="D2273" s="11" t="s">
        <v>6</v>
      </c>
      <c r="E2273" s="129" t="s">
        <v>5448</v>
      </c>
      <c r="F2273" s="54" t="s">
        <v>7046</v>
      </c>
      <c r="G2273" s="129" t="s">
        <v>8042</v>
      </c>
      <c r="H2273" s="237" t="s">
        <v>8043</v>
      </c>
      <c r="I2273" s="129" t="s">
        <v>8025</v>
      </c>
      <c r="J2273" s="129" t="s">
        <v>8044</v>
      </c>
      <c r="K2273" s="129" t="s">
        <v>8044</v>
      </c>
      <c r="L2273" s="129" t="s">
        <v>1432</v>
      </c>
      <c r="M2273" s="129">
        <v>10</v>
      </c>
      <c r="N2273" s="129">
        <v>5</v>
      </c>
      <c r="O2273" s="129">
        <v>10</v>
      </c>
      <c r="P2273" s="129">
        <v>0</v>
      </c>
      <c r="Q2273" s="129">
        <v>5</v>
      </c>
      <c r="R2273" s="1231">
        <v>50</v>
      </c>
      <c r="S2273" s="1245">
        <v>500</v>
      </c>
      <c r="T2273" s="129" t="s">
        <v>311</v>
      </c>
      <c r="U2273" s="1910" t="s">
        <v>7850</v>
      </c>
      <c r="V2273" s="129" t="s">
        <v>7705</v>
      </c>
      <c r="W2273" s="689" t="s">
        <v>8045</v>
      </c>
      <c r="X2273" s="183"/>
      <c r="Y2273" s="272"/>
      <c r="Z2273" s="272"/>
    </row>
    <row r="2274" spans="1:26" ht="14.45" hidden="1">
      <c r="A2274" s="20">
        <v>2281</v>
      </c>
      <c r="B2274" s="1063">
        <v>42051</v>
      </c>
      <c r="C2274" s="54" t="s">
        <v>8526</v>
      </c>
      <c r="D2274" s="11" t="s">
        <v>6</v>
      </c>
      <c r="E2274" s="129" t="s">
        <v>5448</v>
      </c>
      <c r="F2274" s="54" t="s">
        <v>7046</v>
      </c>
      <c r="G2274" s="129" t="s">
        <v>8046</v>
      </c>
      <c r="H2274" s="237" t="s">
        <v>8043</v>
      </c>
      <c r="I2274" s="129" t="s">
        <v>8025</v>
      </c>
      <c r="J2274" s="129" t="s">
        <v>8047</v>
      </c>
      <c r="K2274" s="129" t="s">
        <v>8047</v>
      </c>
      <c r="L2274" s="129" t="s">
        <v>1432</v>
      </c>
      <c r="M2274" s="129">
        <v>10</v>
      </c>
      <c r="N2274" s="129">
        <v>5</v>
      </c>
      <c r="O2274" s="129">
        <v>10</v>
      </c>
      <c r="P2274" s="129">
        <v>0</v>
      </c>
      <c r="Q2274" s="129">
        <v>5</v>
      </c>
      <c r="R2274" s="1231">
        <v>24</v>
      </c>
      <c r="S2274" s="1245">
        <v>240</v>
      </c>
      <c r="T2274" s="129" t="s">
        <v>311</v>
      </c>
      <c r="U2274" s="1910" t="s">
        <v>7850</v>
      </c>
      <c r="V2274" s="129" t="s">
        <v>7705</v>
      </c>
      <c r="W2274" s="689" t="s">
        <v>8048</v>
      </c>
      <c r="X2274" s="183"/>
      <c r="Y2274" s="272"/>
      <c r="Z2274" s="272"/>
    </row>
    <row r="2275" spans="1:26" ht="14.45" hidden="1">
      <c r="A2275" s="20">
        <v>2282</v>
      </c>
      <c r="B2275" s="1063">
        <v>42052</v>
      </c>
      <c r="C2275" s="54" t="s">
        <v>8527</v>
      </c>
      <c r="D2275" s="11" t="s">
        <v>6</v>
      </c>
      <c r="E2275" s="129" t="s">
        <v>5448</v>
      </c>
      <c r="F2275" s="54" t="s">
        <v>7046</v>
      </c>
      <c r="G2275" s="129" t="s">
        <v>8050</v>
      </c>
      <c r="H2275" s="237" t="s">
        <v>201</v>
      </c>
      <c r="I2275" s="129" t="s">
        <v>8025</v>
      </c>
      <c r="J2275" s="129" t="s">
        <v>8051</v>
      </c>
      <c r="K2275" s="129" t="s">
        <v>8051</v>
      </c>
      <c r="L2275" s="129" t="s">
        <v>8052</v>
      </c>
      <c r="M2275" s="129">
        <v>10</v>
      </c>
      <c r="N2275" s="129">
        <v>5</v>
      </c>
      <c r="O2275" s="129">
        <v>10</v>
      </c>
      <c r="P2275" s="129">
        <v>0</v>
      </c>
      <c r="Q2275" s="129">
        <v>5</v>
      </c>
      <c r="R2275" s="1231">
        <v>140</v>
      </c>
      <c r="S2275" s="1245">
        <v>1400</v>
      </c>
      <c r="T2275" s="129" t="s">
        <v>311</v>
      </c>
      <c r="U2275" s="1910" t="s">
        <v>7850</v>
      </c>
      <c r="V2275" s="129" t="s">
        <v>7705</v>
      </c>
      <c r="W2275" s="689" t="s">
        <v>8053</v>
      </c>
      <c r="X2275" s="183"/>
      <c r="Y2275" s="272"/>
      <c r="Z2275" s="272"/>
    </row>
    <row r="2276" spans="1:26" ht="14.45" hidden="1">
      <c r="A2276" s="20">
        <v>2283</v>
      </c>
      <c r="B2276" s="1063">
        <v>42053</v>
      </c>
      <c r="C2276" s="54" t="s">
        <v>8527</v>
      </c>
      <c r="D2276" s="11" t="s">
        <v>6</v>
      </c>
      <c r="E2276" s="129" t="s">
        <v>5448</v>
      </c>
      <c r="F2276" s="54" t="s">
        <v>7046</v>
      </c>
      <c r="G2276" s="129" t="s">
        <v>8054</v>
      </c>
      <c r="H2276" s="237" t="s">
        <v>201</v>
      </c>
      <c r="I2276" s="129" t="s">
        <v>8025</v>
      </c>
      <c r="J2276" s="129" t="s">
        <v>8055</v>
      </c>
      <c r="K2276" s="129" t="s">
        <v>8055</v>
      </c>
      <c r="L2276" s="129" t="s">
        <v>8052</v>
      </c>
      <c r="M2276" s="129">
        <v>10</v>
      </c>
      <c r="N2276" s="129">
        <v>10</v>
      </c>
      <c r="O2276" s="129">
        <v>10</v>
      </c>
      <c r="P2276" s="129">
        <v>0</v>
      </c>
      <c r="Q2276" s="129">
        <v>0</v>
      </c>
      <c r="R2276" s="1231">
        <v>140</v>
      </c>
      <c r="S2276" s="1245">
        <v>1400</v>
      </c>
      <c r="T2276" s="129" t="s">
        <v>311</v>
      </c>
      <c r="U2276" s="1910" t="s">
        <v>7850</v>
      </c>
      <c r="V2276" s="129" t="s">
        <v>7705</v>
      </c>
      <c r="W2276" s="689" t="s">
        <v>8056</v>
      </c>
      <c r="X2276" s="183"/>
      <c r="Y2276" s="272"/>
      <c r="Z2276" s="272"/>
    </row>
    <row r="2277" spans="1:26" ht="14.45" hidden="1">
      <c r="A2277" s="20">
        <v>2284</v>
      </c>
      <c r="B2277" s="1063">
        <v>42054</v>
      </c>
      <c r="C2277" s="54" t="s">
        <v>4832</v>
      </c>
      <c r="D2277" s="11" t="s">
        <v>6</v>
      </c>
      <c r="E2277" s="129" t="s">
        <v>5448</v>
      </c>
      <c r="F2277" s="54" t="s">
        <v>7046</v>
      </c>
      <c r="G2277" s="129" t="s">
        <v>8058</v>
      </c>
      <c r="H2277" s="237" t="s">
        <v>8059</v>
      </c>
      <c r="I2277" s="129" t="s">
        <v>8025</v>
      </c>
      <c r="J2277" s="129" t="s">
        <v>8060</v>
      </c>
      <c r="K2277" s="129" t="s">
        <v>8060</v>
      </c>
      <c r="L2277" s="183"/>
      <c r="M2277" s="129">
        <v>4</v>
      </c>
      <c r="N2277" s="129">
        <v>2</v>
      </c>
      <c r="O2277" s="129">
        <v>4</v>
      </c>
      <c r="P2277" s="129">
        <v>0</v>
      </c>
      <c r="Q2277" s="129">
        <v>2</v>
      </c>
      <c r="R2277" s="1231">
        <v>118</v>
      </c>
      <c r="S2277" s="1245">
        <v>472</v>
      </c>
      <c r="T2277" s="129" t="s">
        <v>311</v>
      </c>
      <c r="U2277" s="1910" t="s">
        <v>7850</v>
      </c>
      <c r="V2277" s="129" t="s">
        <v>7705</v>
      </c>
      <c r="W2277" s="689" t="s">
        <v>8061</v>
      </c>
      <c r="X2277" s="183"/>
      <c r="Y2277" s="272"/>
      <c r="Z2277" s="272"/>
    </row>
    <row r="2278" spans="1:26" ht="14.45" hidden="1">
      <c r="A2278" s="20">
        <v>2285</v>
      </c>
      <c r="B2278" s="1063">
        <v>42055</v>
      </c>
      <c r="C2278" s="54" t="s">
        <v>8062</v>
      </c>
      <c r="D2278" s="11" t="s">
        <v>6</v>
      </c>
      <c r="E2278" s="129" t="s">
        <v>5448</v>
      </c>
      <c r="F2278" s="54" t="s">
        <v>7046</v>
      </c>
      <c r="G2278" s="129" t="s">
        <v>8063</v>
      </c>
      <c r="H2278" s="237" t="s">
        <v>5763</v>
      </c>
      <c r="I2278" s="129" t="s">
        <v>8025</v>
      </c>
      <c r="J2278" s="129" t="s">
        <v>8064</v>
      </c>
      <c r="K2278" s="129" t="s">
        <v>8064</v>
      </c>
      <c r="L2278" s="183"/>
      <c r="M2278" s="129">
        <v>1</v>
      </c>
      <c r="N2278" s="129">
        <v>1</v>
      </c>
      <c r="O2278" s="129">
        <v>1</v>
      </c>
      <c r="P2278" s="129">
        <v>0</v>
      </c>
      <c r="Q2278" s="129">
        <v>0</v>
      </c>
      <c r="R2278" s="1231">
        <v>600</v>
      </c>
      <c r="S2278" s="1245">
        <v>600</v>
      </c>
      <c r="T2278" s="129" t="s">
        <v>311</v>
      </c>
      <c r="U2278" s="1910" t="s">
        <v>7850</v>
      </c>
      <c r="V2278" s="129" t="s">
        <v>7705</v>
      </c>
      <c r="W2278" s="689" t="s">
        <v>8065</v>
      </c>
      <c r="X2278" s="183"/>
      <c r="Y2278" s="272"/>
      <c r="Z2278" s="272"/>
    </row>
    <row r="2279" spans="1:26" ht="14.45" hidden="1">
      <c r="A2279" s="20">
        <v>2286</v>
      </c>
      <c r="B2279" s="1063">
        <v>42056</v>
      </c>
      <c r="C2279" s="924" t="s">
        <v>8528</v>
      </c>
      <c r="D2279" s="11" t="s">
        <v>6</v>
      </c>
      <c r="E2279" s="129" t="s">
        <v>5448</v>
      </c>
      <c r="F2279" s="924" t="s">
        <v>7046</v>
      </c>
      <c r="G2279" s="183" t="s">
        <v>8529</v>
      </c>
      <c r="H2279" s="237" t="s">
        <v>8059</v>
      </c>
      <c r="I2279" s="183" t="s">
        <v>8025</v>
      </c>
      <c r="J2279" s="273" t="s">
        <v>8530</v>
      </c>
      <c r="K2279" s="183" t="s">
        <v>8531</v>
      </c>
      <c r="L2279" s="129" t="s">
        <v>1432</v>
      </c>
      <c r="M2279" s="183">
        <v>20</v>
      </c>
      <c r="N2279" s="183">
        <v>20</v>
      </c>
      <c r="O2279" s="183">
        <v>20</v>
      </c>
      <c r="P2279" s="183">
        <v>0</v>
      </c>
      <c r="Q2279" s="183">
        <v>0</v>
      </c>
      <c r="R2279" s="1245">
        <v>33</v>
      </c>
      <c r="S2279" s="1245">
        <v>660</v>
      </c>
      <c r="T2279" s="183" t="s">
        <v>311</v>
      </c>
      <c r="U2279" s="375" t="s">
        <v>7850</v>
      </c>
      <c r="V2279" s="183" t="s">
        <v>7705</v>
      </c>
      <c r="W2279" s="689" t="s">
        <v>8532</v>
      </c>
      <c r="X2279" s="183"/>
      <c r="Y2279" s="272"/>
      <c r="Z2279" s="272"/>
    </row>
    <row r="2280" spans="1:26" ht="14.45" hidden="1">
      <c r="A2280" s="20">
        <v>2287</v>
      </c>
      <c r="B2280" s="1063">
        <v>42057</v>
      </c>
      <c r="C2280" s="924" t="s">
        <v>8533</v>
      </c>
      <c r="D2280" s="11" t="s">
        <v>6</v>
      </c>
      <c r="E2280" s="129" t="s">
        <v>5448</v>
      </c>
      <c r="F2280" s="54" t="s">
        <v>7046</v>
      </c>
      <c r="G2280" s="183" t="s">
        <v>8534</v>
      </c>
      <c r="H2280" s="237" t="s">
        <v>8535</v>
      </c>
      <c r="I2280" s="183" t="s">
        <v>8025</v>
      </c>
      <c r="J2280" s="183" t="s">
        <v>8536</v>
      </c>
      <c r="K2280" s="183" t="s">
        <v>8536</v>
      </c>
      <c r="L2280" s="183"/>
      <c r="M2280" s="183">
        <v>1</v>
      </c>
      <c r="N2280" s="183">
        <v>1</v>
      </c>
      <c r="O2280" s="183">
        <v>1</v>
      </c>
      <c r="P2280" s="183">
        <v>0</v>
      </c>
      <c r="Q2280" s="183">
        <v>0</v>
      </c>
      <c r="R2280" s="1245">
        <v>2410</v>
      </c>
      <c r="S2280" s="1245">
        <v>2410</v>
      </c>
      <c r="T2280" s="129" t="s">
        <v>5448</v>
      </c>
      <c r="U2280" s="1910" t="s">
        <v>1886</v>
      </c>
      <c r="V2280" s="129" t="s">
        <v>7705</v>
      </c>
      <c r="W2280" s="689" t="s">
        <v>8537</v>
      </c>
      <c r="X2280" s="183"/>
      <c r="Y2280" s="272"/>
      <c r="Z2280" s="272"/>
    </row>
    <row r="2281" spans="1:26" ht="14.45" hidden="1">
      <c r="A2281" s="20">
        <v>2288</v>
      </c>
      <c r="B2281" s="1063">
        <v>42058</v>
      </c>
      <c r="C2281" s="924" t="s">
        <v>8538</v>
      </c>
      <c r="D2281" s="11" t="s">
        <v>6</v>
      </c>
      <c r="E2281" s="129" t="s">
        <v>5448</v>
      </c>
      <c r="F2281" s="54" t="s">
        <v>7046</v>
      </c>
      <c r="G2281" s="183" t="s">
        <v>8538</v>
      </c>
      <c r="H2281" s="237" t="s">
        <v>8535</v>
      </c>
      <c r="I2281" s="183" t="s">
        <v>8025</v>
      </c>
      <c r="J2281" s="183" t="s">
        <v>8539</v>
      </c>
      <c r="K2281" s="183" t="s">
        <v>8539</v>
      </c>
      <c r="L2281" s="183"/>
      <c r="M2281" s="183">
        <v>2</v>
      </c>
      <c r="N2281" s="183">
        <v>2</v>
      </c>
      <c r="O2281" s="183">
        <v>2</v>
      </c>
      <c r="P2281" s="183">
        <v>0</v>
      </c>
      <c r="Q2281" s="183">
        <v>0</v>
      </c>
      <c r="R2281" s="1245">
        <v>390</v>
      </c>
      <c r="S2281" s="1245">
        <v>780</v>
      </c>
      <c r="T2281" s="183" t="s">
        <v>5448</v>
      </c>
      <c r="U2281" s="375" t="s">
        <v>1886</v>
      </c>
      <c r="V2281" s="129" t="s">
        <v>7705</v>
      </c>
      <c r="W2281" s="689" t="s">
        <v>8540</v>
      </c>
      <c r="X2281" s="183"/>
      <c r="Y2281" s="272"/>
      <c r="Z2281" s="272"/>
    </row>
    <row r="2282" spans="1:26" ht="14.45" hidden="1">
      <c r="A2282" s="20">
        <v>2289</v>
      </c>
      <c r="B2282" s="1063">
        <v>42059</v>
      </c>
      <c r="C2282" s="924" t="s">
        <v>8541</v>
      </c>
      <c r="D2282" s="11" t="s">
        <v>6</v>
      </c>
      <c r="E2282" s="129" t="s">
        <v>5448</v>
      </c>
      <c r="F2282" s="54" t="s">
        <v>7046</v>
      </c>
      <c r="G2282" s="183" t="s">
        <v>8542</v>
      </c>
      <c r="H2282" s="237" t="s">
        <v>8535</v>
      </c>
      <c r="I2282" s="183" t="s">
        <v>8025</v>
      </c>
      <c r="J2282" s="183" t="s">
        <v>8543</v>
      </c>
      <c r="K2282" s="183" t="s">
        <v>8543</v>
      </c>
      <c r="L2282" s="183"/>
      <c r="M2282" s="183">
        <v>1</v>
      </c>
      <c r="N2282" s="183">
        <v>1</v>
      </c>
      <c r="O2282" s="183">
        <v>1</v>
      </c>
      <c r="P2282" s="183">
        <v>0</v>
      </c>
      <c r="Q2282" s="183">
        <v>0</v>
      </c>
      <c r="R2282" s="1245">
        <v>440</v>
      </c>
      <c r="S2282" s="1245">
        <v>440</v>
      </c>
      <c r="T2282" s="183" t="s">
        <v>5448</v>
      </c>
      <c r="U2282" s="375" t="s">
        <v>1886</v>
      </c>
      <c r="V2282" s="129" t="s">
        <v>7705</v>
      </c>
      <c r="W2282" s="689" t="s">
        <v>8544</v>
      </c>
      <c r="X2282" s="183"/>
      <c r="Y2282" s="272"/>
      <c r="Z2282" s="272"/>
    </row>
    <row r="2283" spans="1:26" ht="14.45" hidden="1">
      <c r="A2283" s="20">
        <v>2290</v>
      </c>
      <c r="B2283" s="1063">
        <v>42060</v>
      </c>
      <c r="C2283" s="924" t="s">
        <v>8545</v>
      </c>
      <c r="D2283" s="11" t="s">
        <v>6</v>
      </c>
      <c r="E2283" s="129" t="s">
        <v>5448</v>
      </c>
      <c r="F2283" s="54" t="s">
        <v>7046</v>
      </c>
      <c r="G2283" s="183" t="s">
        <v>8546</v>
      </c>
      <c r="H2283" s="237" t="s">
        <v>8535</v>
      </c>
      <c r="I2283" s="183" t="s">
        <v>8025</v>
      </c>
      <c r="J2283" s="183" t="s">
        <v>8547</v>
      </c>
      <c r="K2283" s="183" t="s">
        <v>8547</v>
      </c>
      <c r="L2283" s="183"/>
      <c r="M2283" s="183">
        <v>1</v>
      </c>
      <c r="N2283" s="183">
        <v>1</v>
      </c>
      <c r="O2283" s="183">
        <v>1</v>
      </c>
      <c r="P2283" s="183">
        <v>0</v>
      </c>
      <c r="Q2283" s="183">
        <v>0</v>
      </c>
      <c r="R2283" s="1245">
        <v>370</v>
      </c>
      <c r="S2283" s="1245">
        <v>370</v>
      </c>
      <c r="T2283" s="183" t="s">
        <v>5448</v>
      </c>
      <c r="U2283" s="375" t="s">
        <v>1886</v>
      </c>
      <c r="V2283" s="129" t="s">
        <v>7705</v>
      </c>
      <c r="W2283" s="689" t="s">
        <v>8548</v>
      </c>
      <c r="X2283" s="183"/>
      <c r="Y2283" s="272"/>
      <c r="Z2283" s="272"/>
    </row>
    <row r="2284" spans="1:26" ht="14.45" hidden="1">
      <c r="A2284" s="20">
        <v>2291</v>
      </c>
      <c r="B2284" s="1063">
        <v>42061</v>
      </c>
      <c r="C2284" s="924" t="s">
        <v>8549</v>
      </c>
      <c r="D2284" s="11" t="s">
        <v>6</v>
      </c>
      <c r="E2284" s="129" t="s">
        <v>5448</v>
      </c>
      <c r="F2284" s="54" t="s">
        <v>7046</v>
      </c>
      <c r="G2284" s="183" t="s">
        <v>8550</v>
      </c>
      <c r="H2284" s="237" t="s">
        <v>8535</v>
      </c>
      <c r="I2284" s="183" t="s">
        <v>8025</v>
      </c>
      <c r="J2284" s="183" t="s">
        <v>8551</v>
      </c>
      <c r="K2284" s="183" t="s">
        <v>8551</v>
      </c>
      <c r="L2284" s="183"/>
      <c r="M2284" s="183">
        <v>1</v>
      </c>
      <c r="N2284" s="183">
        <v>1</v>
      </c>
      <c r="O2284" s="183">
        <v>1</v>
      </c>
      <c r="P2284" s="183">
        <v>0</v>
      </c>
      <c r="Q2284" s="183">
        <v>0</v>
      </c>
      <c r="R2284" s="1245">
        <v>4580</v>
      </c>
      <c r="S2284" s="1245">
        <v>4580</v>
      </c>
      <c r="T2284" s="183" t="s">
        <v>5448</v>
      </c>
      <c r="U2284" s="375" t="s">
        <v>1886</v>
      </c>
      <c r="V2284" s="129" t="s">
        <v>7705</v>
      </c>
      <c r="W2284" s="689" t="s">
        <v>8552</v>
      </c>
      <c r="X2284" s="183"/>
      <c r="Y2284" s="272"/>
      <c r="Z2284" s="272"/>
    </row>
    <row r="2285" spans="1:26" ht="14.45" hidden="1">
      <c r="A2285" s="20">
        <v>2292</v>
      </c>
      <c r="B2285" s="1063">
        <v>42062</v>
      </c>
      <c r="C2285" s="924" t="s">
        <v>8553</v>
      </c>
      <c r="D2285" s="11" t="s">
        <v>6</v>
      </c>
      <c r="E2285" s="129" t="s">
        <v>5448</v>
      </c>
      <c r="F2285" s="54" t="s">
        <v>7046</v>
      </c>
      <c r="G2285" s="183" t="s">
        <v>8553</v>
      </c>
      <c r="H2285" s="237" t="s">
        <v>8535</v>
      </c>
      <c r="I2285" s="183" t="s">
        <v>8025</v>
      </c>
      <c r="J2285" s="183" t="s">
        <v>8554</v>
      </c>
      <c r="K2285" s="183" t="s">
        <v>8554</v>
      </c>
      <c r="L2285" s="183"/>
      <c r="M2285" s="183">
        <v>5</v>
      </c>
      <c r="N2285" s="183">
        <v>5</v>
      </c>
      <c r="O2285" s="183">
        <v>5</v>
      </c>
      <c r="P2285" s="183">
        <v>0</v>
      </c>
      <c r="Q2285" s="183">
        <v>0</v>
      </c>
      <c r="R2285" s="1245">
        <v>140</v>
      </c>
      <c r="S2285" s="1245">
        <v>700</v>
      </c>
      <c r="T2285" s="183" t="s">
        <v>5448</v>
      </c>
      <c r="U2285" s="375" t="s">
        <v>1886</v>
      </c>
      <c r="V2285" s="129" t="s">
        <v>7705</v>
      </c>
      <c r="W2285" s="689" t="s">
        <v>8555</v>
      </c>
      <c r="X2285" s="183"/>
      <c r="Y2285" s="272"/>
      <c r="Z2285" s="272"/>
    </row>
    <row r="2286" spans="1:26" ht="14.45" hidden="1">
      <c r="A2286" s="20">
        <v>2293</v>
      </c>
      <c r="B2286" s="1063">
        <v>42063</v>
      </c>
      <c r="C2286" s="924" t="s">
        <v>8556</v>
      </c>
      <c r="D2286" s="11" t="s">
        <v>6</v>
      </c>
      <c r="E2286" s="129" t="s">
        <v>5448</v>
      </c>
      <c r="F2286" s="54" t="s">
        <v>7046</v>
      </c>
      <c r="G2286" s="183" t="s">
        <v>8557</v>
      </c>
      <c r="H2286" s="237" t="s">
        <v>8558</v>
      </c>
      <c r="I2286" s="183" t="s">
        <v>8025</v>
      </c>
      <c r="J2286" s="183" t="s">
        <v>8559</v>
      </c>
      <c r="K2286" s="183" t="s">
        <v>8560</v>
      </c>
      <c r="L2286" s="183"/>
      <c r="M2286" s="183">
        <v>5</v>
      </c>
      <c r="N2286" s="183">
        <v>5</v>
      </c>
      <c r="O2286" s="183">
        <v>5</v>
      </c>
      <c r="P2286" s="183">
        <v>0</v>
      </c>
      <c r="Q2286" s="183">
        <v>0</v>
      </c>
      <c r="R2286" s="1245">
        <v>37</v>
      </c>
      <c r="S2286" s="1245">
        <v>185</v>
      </c>
      <c r="T2286" s="183" t="s">
        <v>5448</v>
      </c>
      <c r="U2286" s="375" t="s">
        <v>1886</v>
      </c>
      <c r="V2286" s="129" t="s">
        <v>7705</v>
      </c>
      <c r="W2286" s="689" t="s">
        <v>8561</v>
      </c>
      <c r="X2286" s="183"/>
      <c r="Y2286" s="272"/>
      <c r="Z2286" s="272"/>
    </row>
    <row r="2287" spans="1:26" ht="14.45" hidden="1">
      <c r="A2287" s="20">
        <v>2294</v>
      </c>
      <c r="B2287" s="1063">
        <v>42064</v>
      </c>
      <c r="C2287" s="924" t="s">
        <v>8562</v>
      </c>
      <c r="D2287" s="11" t="s">
        <v>6</v>
      </c>
      <c r="E2287" s="129" t="s">
        <v>5448</v>
      </c>
      <c r="F2287" s="924" t="s">
        <v>7046</v>
      </c>
      <c r="G2287" s="183" t="s">
        <v>8563</v>
      </c>
      <c r="H2287" s="237" t="s">
        <v>2786</v>
      </c>
      <c r="I2287" s="183" t="s">
        <v>8025</v>
      </c>
      <c r="J2287" s="183" t="s">
        <v>8564</v>
      </c>
      <c r="K2287" s="183" t="s">
        <v>8564</v>
      </c>
      <c r="L2287" s="129" t="s">
        <v>8052</v>
      </c>
      <c r="M2287" s="183">
        <v>15</v>
      </c>
      <c r="N2287" s="183">
        <v>15</v>
      </c>
      <c r="O2287" s="183">
        <v>15</v>
      </c>
      <c r="P2287" s="183">
        <v>0</v>
      </c>
      <c r="Q2287" s="183">
        <v>0</v>
      </c>
      <c r="R2287" s="1245">
        <v>5</v>
      </c>
      <c r="S2287" s="1245">
        <v>75</v>
      </c>
      <c r="T2287" s="183" t="s">
        <v>5448</v>
      </c>
      <c r="U2287" s="375" t="s">
        <v>1886</v>
      </c>
      <c r="V2287" s="129" t="s">
        <v>7705</v>
      </c>
      <c r="W2287" s="689" t="s">
        <v>8565</v>
      </c>
      <c r="X2287" s="183"/>
      <c r="Y2287" s="272"/>
      <c r="Z2287" s="272"/>
    </row>
    <row r="2288" spans="1:26" ht="14.45" hidden="1">
      <c r="A2288" s="20">
        <v>2295</v>
      </c>
      <c r="B2288" s="1063">
        <v>42065</v>
      </c>
      <c r="C2288" s="924" t="s">
        <v>8562</v>
      </c>
      <c r="D2288" s="11" t="s">
        <v>6</v>
      </c>
      <c r="E2288" s="129" t="s">
        <v>5448</v>
      </c>
      <c r="F2288" s="924" t="s">
        <v>7046</v>
      </c>
      <c r="G2288" s="183" t="s">
        <v>8566</v>
      </c>
      <c r="H2288" s="237" t="s">
        <v>2786</v>
      </c>
      <c r="I2288" s="183" t="s">
        <v>8025</v>
      </c>
      <c r="J2288" s="183" t="s">
        <v>8567</v>
      </c>
      <c r="K2288" s="183" t="s">
        <v>8567</v>
      </c>
      <c r="L2288" s="129" t="s">
        <v>8052</v>
      </c>
      <c r="M2288" s="183">
        <v>15</v>
      </c>
      <c r="N2288" s="183">
        <v>15</v>
      </c>
      <c r="O2288" s="183">
        <v>15</v>
      </c>
      <c r="P2288" s="183">
        <v>0</v>
      </c>
      <c r="Q2288" s="183">
        <v>0</v>
      </c>
      <c r="R2288" s="1245">
        <v>5</v>
      </c>
      <c r="S2288" s="1245">
        <v>75</v>
      </c>
      <c r="T2288" s="183" t="s">
        <v>5448</v>
      </c>
      <c r="U2288" s="375" t="s">
        <v>1886</v>
      </c>
      <c r="V2288" s="183" t="s">
        <v>7705</v>
      </c>
      <c r="W2288" s="689" t="s">
        <v>8568</v>
      </c>
      <c r="X2288" s="183"/>
      <c r="Y2288" s="272"/>
      <c r="Z2288" s="272"/>
    </row>
    <row r="2289" spans="1:26" ht="14.45" hidden="1">
      <c r="A2289" s="20">
        <v>2296</v>
      </c>
      <c r="B2289" s="1063">
        <v>42066</v>
      </c>
      <c r="C2289" s="924" t="s">
        <v>8562</v>
      </c>
      <c r="D2289" s="11" t="s">
        <v>6</v>
      </c>
      <c r="E2289" s="129" t="s">
        <v>5448</v>
      </c>
      <c r="F2289" s="924" t="s">
        <v>7046</v>
      </c>
      <c r="G2289" s="183" t="s">
        <v>8569</v>
      </c>
      <c r="H2289" s="237" t="s">
        <v>2786</v>
      </c>
      <c r="I2289" s="183" t="s">
        <v>8025</v>
      </c>
      <c r="J2289" s="183" t="s">
        <v>8570</v>
      </c>
      <c r="K2289" s="183" t="s">
        <v>8570</v>
      </c>
      <c r="L2289" s="129" t="s">
        <v>8052</v>
      </c>
      <c r="M2289" s="183">
        <v>15</v>
      </c>
      <c r="N2289" s="183">
        <v>15</v>
      </c>
      <c r="O2289" s="183">
        <v>15</v>
      </c>
      <c r="P2289" s="183">
        <v>0</v>
      </c>
      <c r="Q2289" s="183">
        <v>0</v>
      </c>
      <c r="R2289" s="1245">
        <v>5</v>
      </c>
      <c r="S2289" s="1245">
        <v>75</v>
      </c>
      <c r="T2289" s="183" t="s">
        <v>5448</v>
      </c>
      <c r="U2289" s="375" t="s">
        <v>1886</v>
      </c>
      <c r="V2289" s="183" t="s">
        <v>7705</v>
      </c>
      <c r="W2289" s="689" t="s">
        <v>8571</v>
      </c>
      <c r="X2289" s="183"/>
      <c r="Y2289" s="272"/>
      <c r="Z2289" s="272"/>
    </row>
    <row r="2290" spans="1:26" ht="14.45" hidden="1">
      <c r="A2290" s="20">
        <v>2297</v>
      </c>
      <c r="B2290" s="1063">
        <v>42067</v>
      </c>
      <c r="C2290" s="924" t="s">
        <v>8562</v>
      </c>
      <c r="D2290" s="11" t="s">
        <v>6</v>
      </c>
      <c r="E2290" s="129" t="s">
        <v>5448</v>
      </c>
      <c r="F2290" s="924" t="s">
        <v>7046</v>
      </c>
      <c r="G2290" s="183" t="s">
        <v>8572</v>
      </c>
      <c r="H2290" s="237" t="s">
        <v>2786</v>
      </c>
      <c r="I2290" s="183" t="s">
        <v>8025</v>
      </c>
      <c r="J2290" s="183" t="s">
        <v>8573</v>
      </c>
      <c r="K2290" s="183" t="s">
        <v>8573</v>
      </c>
      <c r="L2290" s="129" t="s">
        <v>8052</v>
      </c>
      <c r="M2290" s="183">
        <v>15</v>
      </c>
      <c r="N2290" s="183">
        <v>15</v>
      </c>
      <c r="O2290" s="183">
        <v>15</v>
      </c>
      <c r="P2290" s="183">
        <v>0</v>
      </c>
      <c r="Q2290" s="183">
        <v>0</v>
      </c>
      <c r="R2290" s="1245">
        <v>5</v>
      </c>
      <c r="S2290" s="1245">
        <v>75</v>
      </c>
      <c r="T2290" s="183" t="s">
        <v>5448</v>
      </c>
      <c r="U2290" s="375" t="s">
        <v>1886</v>
      </c>
      <c r="V2290" s="183" t="s">
        <v>7705</v>
      </c>
      <c r="W2290" s="689" t="s">
        <v>8574</v>
      </c>
      <c r="X2290" s="183"/>
      <c r="Y2290" s="272"/>
      <c r="Z2290" s="272"/>
    </row>
    <row r="2291" spans="1:26" ht="14.45" hidden="1">
      <c r="A2291" s="20">
        <v>2298</v>
      </c>
      <c r="B2291" s="1063">
        <v>42068</v>
      </c>
      <c r="C2291" s="924" t="s">
        <v>8562</v>
      </c>
      <c r="D2291" s="11" t="s">
        <v>6</v>
      </c>
      <c r="E2291" s="129" t="s">
        <v>5448</v>
      </c>
      <c r="F2291" s="924" t="s">
        <v>7046</v>
      </c>
      <c r="G2291" s="183" t="s">
        <v>8575</v>
      </c>
      <c r="H2291" s="237" t="s">
        <v>2786</v>
      </c>
      <c r="I2291" s="183" t="s">
        <v>8025</v>
      </c>
      <c r="J2291" s="183" t="s">
        <v>8576</v>
      </c>
      <c r="K2291" s="183" t="s">
        <v>8576</v>
      </c>
      <c r="L2291" s="129" t="s">
        <v>8052</v>
      </c>
      <c r="M2291" s="183">
        <v>15</v>
      </c>
      <c r="N2291" s="183">
        <v>15</v>
      </c>
      <c r="O2291" s="183">
        <v>15</v>
      </c>
      <c r="P2291" s="183">
        <v>0</v>
      </c>
      <c r="Q2291" s="183">
        <v>0</v>
      </c>
      <c r="R2291" s="1245">
        <v>5</v>
      </c>
      <c r="S2291" s="1245">
        <v>75</v>
      </c>
      <c r="T2291" s="183" t="s">
        <v>5448</v>
      </c>
      <c r="U2291" s="375" t="s">
        <v>1886</v>
      </c>
      <c r="V2291" s="183" t="s">
        <v>7705</v>
      </c>
      <c r="W2291" s="689" t="s">
        <v>8577</v>
      </c>
      <c r="X2291" s="183"/>
      <c r="Y2291" s="272"/>
      <c r="Z2291" s="272"/>
    </row>
    <row r="2292" spans="1:26" ht="14.45" hidden="1">
      <c r="A2292" s="20">
        <v>2299</v>
      </c>
      <c r="B2292" s="1063">
        <v>42069</v>
      </c>
      <c r="C2292" s="924" t="s">
        <v>8562</v>
      </c>
      <c r="D2292" s="11" t="s">
        <v>6</v>
      </c>
      <c r="E2292" s="129" t="s">
        <v>5448</v>
      </c>
      <c r="F2292" s="924" t="s">
        <v>7046</v>
      </c>
      <c r="G2292" s="183" t="s">
        <v>8578</v>
      </c>
      <c r="H2292" s="237" t="s">
        <v>2786</v>
      </c>
      <c r="I2292" s="183" t="s">
        <v>8025</v>
      </c>
      <c r="J2292" s="183" t="s">
        <v>8579</v>
      </c>
      <c r="K2292" s="183" t="s">
        <v>8579</v>
      </c>
      <c r="L2292" s="129" t="s">
        <v>8052</v>
      </c>
      <c r="M2292" s="183">
        <v>15</v>
      </c>
      <c r="N2292" s="183">
        <v>15</v>
      </c>
      <c r="O2292" s="183">
        <v>15</v>
      </c>
      <c r="P2292" s="183">
        <v>0</v>
      </c>
      <c r="Q2292" s="183">
        <v>0</v>
      </c>
      <c r="R2292" s="1245">
        <v>5</v>
      </c>
      <c r="S2292" s="1245">
        <v>75</v>
      </c>
      <c r="T2292" s="183" t="s">
        <v>5448</v>
      </c>
      <c r="U2292" s="375" t="s">
        <v>1886</v>
      </c>
      <c r="V2292" s="183" t="s">
        <v>7705</v>
      </c>
      <c r="W2292" s="689" t="s">
        <v>8580</v>
      </c>
      <c r="X2292" s="183"/>
      <c r="Y2292" s="272"/>
      <c r="Z2292" s="272"/>
    </row>
    <row r="2293" spans="1:26" ht="14.45" hidden="1">
      <c r="A2293" s="20">
        <v>2300</v>
      </c>
      <c r="B2293" s="1063">
        <v>42070</v>
      </c>
      <c r="C2293" s="924" t="s">
        <v>8581</v>
      </c>
      <c r="D2293" s="11" t="s">
        <v>6</v>
      </c>
      <c r="E2293" s="129" t="s">
        <v>5448</v>
      </c>
      <c r="F2293" s="924" t="s">
        <v>7046</v>
      </c>
      <c r="G2293" s="183" t="s">
        <v>8582</v>
      </c>
      <c r="H2293" s="237" t="s">
        <v>8535</v>
      </c>
      <c r="I2293" s="183" t="s">
        <v>8025</v>
      </c>
      <c r="J2293" s="183" t="s">
        <v>8583</v>
      </c>
      <c r="K2293" s="183" t="s">
        <v>8583</v>
      </c>
      <c r="L2293" s="183"/>
      <c r="M2293" s="183">
        <v>3</v>
      </c>
      <c r="N2293" s="183">
        <v>3</v>
      </c>
      <c r="O2293" s="183">
        <v>3</v>
      </c>
      <c r="P2293" s="183">
        <v>0</v>
      </c>
      <c r="Q2293" s="183">
        <v>0</v>
      </c>
      <c r="R2293" s="1245">
        <v>530</v>
      </c>
      <c r="S2293" s="1245">
        <v>1590</v>
      </c>
      <c r="T2293" s="183" t="s">
        <v>5448</v>
      </c>
      <c r="U2293" s="375" t="s">
        <v>1886</v>
      </c>
      <c r="V2293" s="183" t="s">
        <v>7705</v>
      </c>
      <c r="W2293" s="689" t="s">
        <v>8584</v>
      </c>
      <c r="X2293" s="183"/>
      <c r="Y2293" s="272"/>
      <c r="Z2293" s="272"/>
    </row>
    <row r="2294" spans="1:26" ht="14.45" hidden="1">
      <c r="A2294" s="20">
        <v>2301</v>
      </c>
      <c r="B2294" s="1063">
        <v>42071</v>
      </c>
      <c r="C2294" s="924" t="s">
        <v>8581</v>
      </c>
      <c r="D2294" s="11" t="s">
        <v>6</v>
      </c>
      <c r="E2294" s="129" t="s">
        <v>5448</v>
      </c>
      <c r="F2294" s="924" t="s">
        <v>7046</v>
      </c>
      <c r="G2294" s="183" t="s">
        <v>8585</v>
      </c>
      <c r="H2294" s="237" t="s">
        <v>8535</v>
      </c>
      <c r="I2294" s="183" t="s">
        <v>8025</v>
      </c>
      <c r="J2294" s="183" t="s">
        <v>8586</v>
      </c>
      <c r="K2294" s="183" t="s">
        <v>8586</v>
      </c>
      <c r="L2294" s="183"/>
      <c r="M2294" s="183">
        <v>3</v>
      </c>
      <c r="N2294" s="183">
        <v>3</v>
      </c>
      <c r="O2294" s="183">
        <v>3</v>
      </c>
      <c r="P2294" s="183">
        <v>0</v>
      </c>
      <c r="Q2294" s="183">
        <v>0</v>
      </c>
      <c r="R2294" s="1245">
        <v>530</v>
      </c>
      <c r="S2294" s="1245">
        <v>1590</v>
      </c>
      <c r="T2294" s="183" t="s">
        <v>5448</v>
      </c>
      <c r="U2294" s="375" t="s">
        <v>1886</v>
      </c>
      <c r="V2294" s="183" t="s">
        <v>7705</v>
      </c>
      <c r="W2294" s="689" t="s">
        <v>8587</v>
      </c>
      <c r="X2294" s="183"/>
      <c r="Y2294" s="272"/>
      <c r="Z2294" s="272"/>
    </row>
    <row r="2295" spans="1:26" ht="14.45" hidden="1">
      <c r="A2295" s="20">
        <v>2302</v>
      </c>
      <c r="B2295" s="1063">
        <v>42072</v>
      </c>
      <c r="C2295" s="924" t="s">
        <v>8588</v>
      </c>
      <c r="D2295" s="11" t="s">
        <v>6</v>
      </c>
      <c r="E2295" s="129" t="s">
        <v>5448</v>
      </c>
      <c r="F2295" s="924" t="s">
        <v>7046</v>
      </c>
      <c r="G2295" s="183" t="s">
        <v>8589</v>
      </c>
      <c r="H2295" s="237" t="s">
        <v>5609</v>
      </c>
      <c r="I2295" s="183" t="s">
        <v>366</v>
      </c>
      <c r="J2295" s="183" t="s">
        <v>8590</v>
      </c>
      <c r="K2295" s="183" t="s">
        <v>8590</v>
      </c>
      <c r="L2295" s="183"/>
      <c r="M2295" s="183">
        <v>30</v>
      </c>
      <c r="N2295" s="183">
        <v>30</v>
      </c>
      <c r="O2295" s="183">
        <v>30</v>
      </c>
      <c r="P2295" s="183">
        <v>0</v>
      </c>
      <c r="Q2295" s="183">
        <v>0</v>
      </c>
      <c r="R2295" s="1245">
        <v>16</v>
      </c>
      <c r="S2295" s="1245">
        <v>480</v>
      </c>
      <c r="T2295" s="183" t="s">
        <v>5448</v>
      </c>
      <c r="U2295" s="375" t="s">
        <v>1886</v>
      </c>
      <c r="V2295" s="183" t="s">
        <v>7705</v>
      </c>
      <c r="W2295" s="689" t="s">
        <v>8591</v>
      </c>
      <c r="X2295" s="183"/>
      <c r="Y2295" s="272"/>
      <c r="Z2295" s="272"/>
    </row>
    <row r="2296" spans="1:26" ht="14.45" hidden="1">
      <c r="A2296" s="20">
        <v>2303</v>
      </c>
      <c r="B2296" s="1063">
        <v>42073</v>
      </c>
      <c r="C2296" s="924" t="s">
        <v>8592</v>
      </c>
      <c r="D2296" s="11" t="s">
        <v>6</v>
      </c>
      <c r="E2296" s="129" t="s">
        <v>5448</v>
      </c>
      <c r="F2296" s="924" t="s">
        <v>7046</v>
      </c>
      <c r="G2296" s="183" t="s">
        <v>8593</v>
      </c>
      <c r="H2296" s="237" t="s">
        <v>686</v>
      </c>
      <c r="I2296" s="183" t="s">
        <v>366</v>
      </c>
      <c r="J2296" s="183" t="s">
        <v>8594</v>
      </c>
      <c r="K2296" s="183" t="s">
        <v>8594</v>
      </c>
      <c r="L2296" s="183"/>
      <c r="M2296" s="183">
        <v>30</v>
      </c>
      <c r="N2296" s="183">
        <v>30</v>
      </c>
      <c r="O2296" s="183">
        <v>30</v>
      </c>
      <c r="P2296" s="183">
        <v>0</v>
      </c>
      <c r="Q2296" s="183">
        <v>0</v>
      </c>
      <c r="R2296" s="1245">
        <v>29</v>
      </c>
      <c r="S2296" s="1245">
        <v>870</v>
      </c>
      <c r="T2296" s="183" t="s">
        <v>5448</v>
      </c>
      <c r="U2296" s="375" t="s">
        <v>1886</v>
      </c>
      <c r="V2296" s="183" t="s">
        <v>7705</v>
      </c>
      <c r="W2296" s="689" t="s">
        <v>8595</v>
      </c>
      <c r="X2296" s="183"/>
      <c r="Y2296" s="272"/>
      <c r="Z2296" s="272"/>
    </row>
    <row r="2297" spans="1:26" ht="14.1" hidden="1">
      <c r="A2297" s="20">
        <v>2304</v>
      </c>
      <c r="B2297" s="1063">
        <v>42074</v>
      </c>
      <c r="C2297" s="26" t="s">
        <v>7036</v>
      </c>
      <c r="D2297" s="11" t="s">
        <v>6</v>
      </c>
      <c r="E2297" s="26" t="s">
        <v>2722</v>
      </c>
      <c r="F2297" s="26" t="s">
        <v>1569</v>
      </c>
      <c r="G2297" s="26" t="s">
        <v>8596</v>
      </c>
      <c r="H2297" s="237" t="s">
        <v>1111</v>
      </c>
      <c r="I2297" s="26" t="s">
        <v>281</v>
      </c>
      <c r="J2297" s="26" t="s">
        <v>7042</v>
      </c>
      <c r="K2297" s="26" t="s">
        <v>7043</v>
      </c>
      <c r="L2297" s="26"/>
      <c r="M2297" s="26">
        <v>20</v>
      </c>
      <c r="N2297" s="26">
        <v>20</v>
      </c>
      <c r="O2297" s="26">
        <v>20</v>
      </c>
      <c r="P2297" s="26">
        <v>0</v>
      </c>
      <c r="Q2297" s="26">
        <v>0</v>
      </c>
      <c r="R2297" s="1209">
        <v>29.1</v>
      </c>
      <c r="S2297" s="1209">
        <f t="shared" ref="S2297:S2300" si="117">R2297*O2297</f>
        <v>582</v>
      </c>
      <c r="T2297" s="26" t="s">
        <v>929</v>
      </c>
      <c r="U2297" s="1859" t="s">
        <v>5864</v>
      </c>
      <c r="V2297" s="26" t="s">
        <v>104</v>
      </c>
      <c r="W2297" s="2074" t="s">
        <v>7044</v>
      </c>
      <c r="X2297" s="18"/>
      <c r="Y2297" s="4"/>
      <c r="Z2297" s="4"/>
    </row>
    <row r="2298" spans="1:26" ht="14.1" hidden="1">
      <c r="A2298" s="20">
        <v>2305</v>
      </c>
      <c r="B2298" s="1063">
        <v>42075</v>
      </c>
      <c r="C2298" s="26" t="s">
        <v>7036</v>
      </c>
      <c r="D2298" s="11" t="s">
        <v>6</v>
      </c>
      <c r="E2298" s="26" t="s">
        <v>2722</v>
      </c>
      <c r="F2298" s="26" t="s">
        <v>1569</v>
      </c>
      <c r="G2298" s="26" t="s">
        <v>8596</v>
      </c>
      <c r="H2298" s="237" t="s">
        <v>1111</v>
      </c>
      <c r="I2298" s="26" t="s">
        <v>281</v>
      </c>
      <c r="J2298" s="26" t="s">
        <v>7038</v>
      </c>
      <c r="K2298" s="26" t="s">
        <v>7039</v>
      </c>
      <c r="L2298" s="26"/>
      <c r="M2298" s="26">
        <v>20</v>
      </c>
      <c r="N2298" s="26">
        <v>20</v>
      </c>
      <c r="O2298" s="26">
        <v>20</v>
      </c>
      <c r="P2298" s="26">
        <v>0</v>
      </c>
      <c r="Q2298" s="26">
        <v>0</v>
      </c>
      <c r="R2298" s="1209">
        <v>27.3</v>
      </c>
      <c r="S2298" s="1209">
        <f t="shared" si="117"/>
        <v>546</v>
      </c>
      <c r="T2298" s="26" t="s">
        <v>929</v>
      </c>
      <c r="U2298" s="1859" t="s">
        <v>5864</v>
      </c>
      <c r="V2298" s="26" t="s">
        <v>104</v>
      </c>
      <c r="W2298" s="2074" t="s">
        <v>7041</v>
      </c>
      <c r="X2298" s="18"/>
      <c r="Y2298" s="4"/>
      <c r="Z2298" s="4"/>
    </row>
    <row r="2299" spans="1:26" ht="14.1" hidden="1">
      <c r="A2299" s="20">
        <v>2306</v>
      </c>
      <c r="B2299" s="1063">
        <v>42076</v>
      </c>
      <c r="C2299" s="26" t="s">
        <v>8597</v>
      </c>
      <c r="D2299" s="11" t="s">
        <v>6</v>
      </c>
      <c r="E2299" s="26" t="s">
        <v>2722</v>
      </c>
      <c r="F2299" s="26" t="s">
        <v>1569</v>
      </c>
      <c r="G2299" s="26" t="s">
        <v>8598</v>
      </c>
      <c r="H2299" s="237" t="s">
        <v>3293</v>
      </c>
      <c r="I2299" s="26" t="s">
        <v>281</v>
      </c>
      <c r="J2299" s="26" t="s">
        <v>3292</v>
      </c>
      <c r="K2299" s="26" t="s">
        <v>3294</v>
      </c>
      <c r="L2299" s="26"/>
      <c r="M2299" s="26">
        <v>10</v>
      </c>
      <c r="N2299" s="26">
        <v>10</v>
      </c>
      <c r="O2299" s="26">
        <v>10</v>
      </c>
      <c r="P2299" s="26">
        <v>0</v>
      </c>
      <c r="Q2299" s="26">
        <v>0</v>
      </c>
      <c r="R2299" s="1209">
        <v>41</v>
      </c>
      <c r="S2299" s="1209">
        <f t="shared" si="117"/>
        <v>410</v>
      </c>
      <c r="T2299" s="26" t="s">
        <v>929</v>
      </c>
      <c r="U2299" s="1859" t="s">
        <v>5864</v>
      </c>
      <c r="V2299" s="26" t="s">
        <v>104</v>
      </c>
      <c r="W2299" s="2074" t="s">
        <v>3295</v>
      </c>
      <c r="X2299" s="18"/>
      <c r="Y2299" s="4"/>
      <c r="Z2299" s="4"/>
    </row>
    <row r="2300" spans="1:26" ht="14.1" hidden="1">
      <c r="A2300" s="20">
        <v>2307</v>
      </c>
      <c r="B2300" s="1063">
        <v>42077</v>
      </c>
      <c r="C2300" s="26" t="s">
        <v>8597</v>
      </c>
      <c r="D2300" s="11" t="s">
        <v>6</v>
      </c>
      <c r="E2300" s="26" t="s">
        <v>2722</v>
      </c>
      <c r="F2300" s="26" t="s">
        <v>1569</v>
      </c>
      <c r="G2300" s="26" t="s">
        <v>8599</v>
      </c>
      <c r="H2300" s="237" t="s">
        <v>3293</v>
      </c>
      <c r="I2300" s="26" t="s">
        <v>281</v>
      </c>
      <c r="J2300" s="26" t="s">
        <v>3296</v>
      </c>
      <c r="K2300" s="26" t="s">
        <v>3297</v>
      </c>
      <c r="L2300" s="26"/>
      <c r="M2300" s="26">
        <v>10</v>
      </c>
      <c r="N2300" s="26">
        <v>10</v>
      </c>
      <c r="O2300" s="26">
        <v>10</v>
      </c>
      <c r="P2300" s="26">
        <v>0</v>
      </c>
      <c r="Q2300" s="26">
        <v>0</v>
      </c>
      <c r="R2300" s="1209">
        <v>41</v>
      </c>
      <c r="S2300" s="1209">
        <f t="shared" si="117"/>
        <v>410</v>
      </c>
      <c r="T2300" s="26" t="s">
        <v>929</v>
      </c>
      <c r="U2300" s="1859" t="s">
        <v>5864</v>
      </c>
      <c r="V2300" s="26" t="s">
        <v>104</v>
      </c>
      <c r="W2300" s="2074" t="s">
        <v>3298</v>
      </c>
      <c r="X2300" s="18"/>
      <c r="Y2300" s="4"/>
      <c r="Z2300" s="4"/>
    </row>
    <row r="2301" spans="1:26" ht="14.1" hidden="1">
      <c r="A2301" s="20">
        <v>2308</v>
      </c>
      <c r="B2301" s="1063">
        <v>42078</v>
      </c>
      <c r="C2301" s="26" t="s">
        <v>8600</v>
      </c>
      <c r="D2301" s="11" t="s">
        <v>6</v>
      </c>
      <c r="E2301" s="26" t="s">
        <v>4926</v>
      </c>
      <c r="F2301" s="26" t="s">
        <v>439</v>
      </c>
      <c r="G2301" s="26"/>
      <c r="H2301" s="237" t="s">
        <v>8601</v>
      </c>
      <c r="I2301" s="26"/>
      <c r="J2301" s="26"/>
      <c r="K2301" s="26"/>
      <c r="L2301" s="26"/>
      <c r="M2301" s="26">
        <v>1</v>
      </c>
      <c r="N2301" s="26">
        <v>1</v>
      </c>
      <c r="O2301" s="26" t="s">
        <v>8602</v>
      </c>
      <c r="P2301" s="26">
        <v>0</v>
      </c>
      <c r="Q2301" s="26" t="s">
        <v>8603</v>
      </c>
      <c r="R2301" s="1209">
        <v>13425</v>
      </c>
      <c r="S2301" s="1209"/>
      <c r="T2301" s="26" t="s">
        <v>6634</v>
      </c>
      <c r="U2301" s="1859" t="s">
        <v>8604</v>
      </c>
      <c r="V2301" s="26" t="s">
        <v>3140</v>
      </c>
      <c r="W2301" s="2085" t="s">
        <v>401</v>
      </c>
      <c r="X2301" s="18"/>
      <c r="Y2301" s="4"/>
      <c r="Z2301" s="4"/>
    </row>
    <row r="2302" spans="1:26" ht="14.1" hidden="1">
      <c r="A2302" s="20">
        <v>2309</v>
      </c>
      <c r="B2302" s="1063">
        <v>42079</v>
      </c>
      <c r="C2302" s="26" t="s">
        <v>8605</v>
      </c>
      <c r="D2302" s="11" t="s">
        <v>6</v>
      </c>
      <c r="E2302" s="26" t="s">
        <v>4926</v>
      </c>
      <c r="F2302" s="26" t="s">
        <v>439</v>
      </c>
      <c r="G2302" s="26"/>
      <c r="H2302" s="237" t="s">
        <v>8601</v>
      </c>
      <c r="I2302" s="26"/>
      <c r="J2302" s="26"/>
      <c r="K2302" s="26"/>
      <c r="L2302" s="26"/>
      <c r="M2302" s="26">
        <v>1</v>
      </c>
      <c r="N2302" s="26">
        <v>1</v>
      </c>
      <c r="O2302" s="26" t="s">
        <v>8602</v>
      </c>
      <c r="P2302" s="26">
        <v>0</v>
      </c>
      <c r="Q2302" s="26" t="s">
        <v>8606</v>
      </c>
      <c r="R2302" s="1209">
        <v>13425</v>
      </c>
      <c r="S2302" s="1209"/>
      <c r="T2302" s="26" t="s">
        <v>6634</v>
      </c>
      <c r="U2302" s="1859" t="s">
        <v>8607</v>
      </c>
      <c r="V2302" s="26" t="s">
        <v>3140</v>
      </c>
      <c r="W2302" s="2085" t="s">
        <v>401</v>
      </c>
      <c r="X2302" s="18"/>
      <c r="Y2302" s="4"/>
      <c r="Z2302" s="4"/>
    </row>
    <row r="2303" spans="1:26" ht="14.1" hidden="1">
      <c r="A2303" s="20">
        <v>2310</v>
      </c>
      <c r="B2303" s="1063">
        <v>42080</v>
      </c>
      <c r="C2303" s="26" t="s">
        <v>8608</v>
      </c>
      <c r="D2303" s="11"/>
      <c r="E2303" s="26" t="s">
        <v>4926</v>
      </c>
      <c r="F2303" s="26" t="s">
        <v>131</v>
      </c>
      <c r="G2303" s="26" t="s">
        <v>8609</v>
      </c>
      <c r="H2303" s="237" t="s">
        <v>8610</v>
      </c>
      <c r="I2303" s="26" t="s">
        <v>574</v>
      </c>
      <c r="J2303" s="26" t="s">
        <v>8611</v>
      </c>
      <c r="K2303" s="26" t="s">
        <v>8612</v>
      </c>
      <c r="L2303" s="26" t="s">
        <v>8613</v>
      </c>
      <c r="M2303" s="26">
        <v>1</v>
      </c>
      <c r="N2303" s="26">
        <v>1</v>
      </c>
      <c r="O2303" s="26">
        <v>2</v>
      </c>
      <c r="P2303" s="26">
        <v>0</v>
      </c>
      <c r="Q2303" s="26">
        <v>1</v>
      </c>
      <c r="R2303" s="1270">
        <v>4015</v>
      </c>
      <c r="S2303" s="1271">
        <f t="shared" ref="S2303:S2325" si="118">R2303*O2303</f>
        <v>8030</v>
      </c>
      <c r="T2303" s="26" t="s">
        <v>5448</v>
      </c>
      <c r="U2303" s="1859" t="s">
        <v>8614</v>
      </c>
      <c r="V2303" s="26" t="s">
        <v>150</v>
      </c>
      <c r="W2303" s="2086" t="s">
        <v>8615</v>
      </c>
      <c r="X2303" s="18"/>
      <c r="Y2303" s="4"/>
      <c r="Z2303" s="4"/>
    </row>
    <row r="2304" spans="1:26" ht="14.1" hidden="1">
      <c r="A2304" s="20">
        <v>2311</v>
      </c>
      <c r="B2304" s="1063">
        <v>42081</v>
      </c>
      <c r="C2304" s="26" t="s">
        <v>8616</v>
      </c>
      <c r="D2304" s="11"/>
      <c r="E2304" s="26" t="s">
        <v>4926</v>
      </c>
      <c r="F2304" s="26" t="s">
        <v>131</v>
      </c>
      <c r="G2304" s="26" t="s">
        <v>8617</v>
      </c>
      <c r="H2304" s="237" t="s">
        <v>1715</v>
      </c>
      <c r="I2304" s="26" t="s">
        <v>574</v>
      </c>
      <c r="J2304" s="26" t="s">
        <v>8618</v>
      </c>
      <c r="K2304" s="26" t="s">
        <v>8619</v>
      </c>
      <c r="L2304" s="26" t="s">
        <v>8620</v>
      </c>
      <c r="M2304" s="26">
        <v>1</v>
      </c>
      <c r="N2304" s="26">
        <v>1</v>
      </c>
      <c r="O2304" s="26">
        <v>5</v>
      </c>
      <c r="P2304" s="26">
        <v>0</v>
      </c>
      <c r="Q2304" s="26">
        <v>4</v>
      </c>
      <c r="R2304" s="1272">
        <v>13</v>
      </c>
      <c r="S2304" s="1271">
        <f t="shared" si="118"/>
        <v>65</v>
      </c>
      <c r="T2304" s="26" t="s">
        <v>5448</v>
      </c>
      <c r="U2304" s="1859" t="s">
        <v>8614</v>
      </c>
      <c r="V2304" s="26" t="s">
        <v>150</v>
      </c>
      <c r="W2304" s="2086" t="s">
        <v>8621</v>
      </c>
      <c r="X2304" s="18"/>
      <c r="Y2304" s="4"/>
      <c r="Z2304" s="4"/>
    </row>
    <row r="2305" spans="1:26" ht="14.1" hidden="1">
      <c r="A2305" s="20">
        <v>2312</v>
      </c>
      <c r="B2305" s="1063">
        <v>42082</v>
      </c>
      <c r="C2305" s="26" t="s">
        <v>8622</v>
      </c>
      <c r="D2305" s="11"/>
      <c r="E2305" s="26" t="s">
        <v>4926</v>
      </c>
      <c r="F2305" s="26" t="s">
        <v>131</v>
      </c>
      <c r="G2305" s="26" t="s">
        <v>8623</v>
      </c>
      <c r="H2305" s="237" t="s">
        <v>2008</v>
      </c>
      <c r="I2305" s="26" t="s">
        <v>574</v>
      </c>
      <c r="J2305" s="26" t="s">
        <v>8624</v>
      </c>
      <c r="K2305" s="26" t="s">
        <v>8625</v>
      </c>
      <c r="L2305" s="26"/>
      <c r="M2305" s="26">
        <v>1</v>
      </c>
      <c r="N2305" s="26">
        <v>1</v>
      </c>
      <c r="O2305" s="26">
        <v>3</v>
      </c>
      <c r="P2305" s="26">
        <v>0</v>
      </c>
      <c r="Q2305" s="26">
        <v>2</v>
      </c>
      <c r="R2305" s="1272">
        <v>180</v>
      </c>
      <c r="S2305" s="1271">
        <f t="shared" si="118"/>
        <v>540</v>
      </c>
      <c r="T2305" s="26" t="s">
        <v>5448</v>
      </c>
      <c r="U2305" s="1859" t="s">
        <v>8614</v>
      </c>
      <c r="V2305" s="26" t="s">
        <v>150</v>
      </c>
      <c r="W2305" s="2087" t="s">
        <v>8626</v>
      </c>
      <c r="X2305" s="18"/>
      <c r="Y2305" s="4"/>
      <c r="Z2305" s="4"/>
    </row>
    <row r="2306" spans="1:26" ht="14.1" hidden="1">
      <c r="A2306" s="20">
        <v>2313</v>
      </c>
      <c r="B2306" s="1063">
        <v>42083</v>
      </c>
      <c r="C2306" s="26" t="s">
        <v>8627</v>
      </c>
      <c r="D2306" s="11"/>
      <c r="E2306" s="26" t="s">
        <v>4926</v>
      </c>
      <c r="F2306" s="26" t="s">
        <v>131</v>
      </c>
      <c r="G2306" s="26" t="s">
        <v>8628</v>
      </c>
      <c r="H2306" s="237" t="s">
        <v>8629</v>
      </c>
      <c r="I2306" s="26" t="s">
        <v>574</v>
      </c>
      <c r="J2306" s="26" t="s">
        <v>525</v>
      </c>
      <c r="K2306" s="26" t="s">
        <v>522</v>
      </c>
      <c r="L2306" s="26" t="s">
        <v>526</v>
      </c>
      <c r="M2306" s="26">
        <v>2</v>
      </c>
      <c r="N2306" s="26">
        <v>1</v>
      </c>
      <c r="O2306" s="26">
        <v>5</v>
      </c>
      <c r="P2306" s="26">
        <v>0</v>
      </c>
      <c r="Q2306" s="26">
        <v>3</v>
      </c>
      <c r="R2306" s="1272">
        <v>500</v>
      </c>
      <c r="S2306" s="1271">
        <f t="shared" si="118"/>
        <v>2500</v>
      </c>
      <c r="T2306" s="26" t="s">
        <v>5448</v>
      </c>
      <c r="U2306" s="1859" t="s">
        <v>8614</v>
      </c>
      <c r="V2306" s="26" t="s">
        <v>150</v>
      </c>
      <c r="W2306" s="2086" t="s">
        <v>8630</v>
      </c>
      <c r="X2306" s="18"/>
      <c r="Y2306" s="4"/>
      <c r="Z2306" s="4"/>
    </row>
    <row r="2307" spans="1:26" ht="14.45" hidden="1">
      <c r="A2307" s="20">
        <v>2314</v>
      </c>
      <c r="B2307" s="1063">
        <v>42084</v>
      </c>
      <c r="C2307" s="26" t="s">
        <v>8631</v>
      </c>
      <c r="D2307" s="11"/>
      <c r="E2307" s="26" t="s">
        <v>4926</v>
      </c>
      <c r="F2307" s="26" t="s">
        <v>131</v>
      </c>
      <c r="G2307" s="26"/>
      <c r="H2307" s="237" t="s">
        <v>1715</v>
      </c>
      <c r="I2307" s="26" t="s">
        <v>574</v>
      </c>
      <c r="J2307" s="26" t="s">
        <v>8632</v>
      </c>
      <c r="K2307" s="26" t="s">
        <v>8633</v>
      </c>
      <c r="L2307" s="26" t="s">
        <v>8634</v>
      </c>
      <c r="M2307" s="26">
        <v>2</v>
      </c>
      <c r="N2307" s="26">
        <v>1</v>
      </c>
      <c r="O2307" s="26">
        <v>5</v>
      </c>
      <c r="P2307" s="26">
        <v>0</v>
      </c>
      <c r="Q2307" s="26">
        <v>3</v>
      </c>
      <c r="R2307" s="1272">
        <v>27</v>
      </c>
      <c r="S2307" s="1271">
        <f t="shared" si="118"/>
        <v>135</v>
      </c>
      <c r="T2307" s="26" t="s">
        <v>5448</v>
      </c>
      <c r="U2307" s="1859" t="s">
        <v>8614</v>
      </c>
      <c r="V2307" s="26" t="s">
        <v>150</v>
      </c>
      <c r="W2307" s="689" t="s">
        <v>8635</v>
      </c>
      <c r="X2307" s="18"/>
      <c r="Y2307" s="4"/>
      <c r="Z2307" s="4"/>
    </row>
    <row r="2308" spans="1:26" ht="14.45" hidden="1">
      <c r="A2308" s="20">
        <v>2315</v>
      </c>
      <c r="B2308" s="1063">
        <v>42085</v>
      </c>
      <c r="C2308" s="26" t="s">
        <v>8636</v>
      </c>
      <c r="D2308" s="11"/>
      <c r="E2308" s="26" t="s">
        <v>4926</v>
      </c>
      <c r="F2308" s="26" t="s">
        <v>131</v>
      </c>
      <c r="G2308" s="26" t="s">
        <v>2896</v>
      </c>
      <c r="H2308" s="237" t="s">
        <v>5730</v>
      </c>
      <c r="I2308" s="26" t="s">
        <v>574</v>
      </c>
      <c r="J2308" s="26" t="s">
        <v>8637</v>
      </c>
      <c r="K2308" s="26" t="s">
        <v>8638</v>
      </c>
      <c r="L2308" s="26" t="s">
        <v>8639</v>
      </c>
      <c r="M2308" s="26">
        <v>5</v>
      </c>
      <c r="N2308" s="26">
        <v>1</v>
      </c>
      <c r="O2308" s="26">
        <v>50</v>
      </c>
      <c r="P2308" s="26">
        <v>0</v>
      </c>
      <c r="Q2308" s="26">
        <v>45</v>
      </c>
      <c r="R2308" s="1272">
        <v>18.3</v>
      </c>
      <c r="S2308" s="1271">
        <f t="shared" si="118"/>
        <v>915</v>
      </c>
      <c r="T2308" s="26" t="s">
        <v>5448</v>
      </c>
      <c r="U2308" s="1859" t="s">
        <v>8614</v>
      </c>
      <c r="V2308" s="26" t="s">
        <v>150</v>
      </c>
      <c r="W2308" s="689" t="s">
        <v>8640</v>
      </c>
      <c r="X2308" s="18"/>
      <c r="Y2308" s="4"/>
      <c r="Z2308" s="4"/>
    </row>
    <row r="2309" spans="1:26" ht="14.1" hidden="1">
      <c r="A2309" s="20">
        <v>2316</v>
      </c>
      <c r="B2309" s="1063">
        <v>42086</v>
      </c>
      <c r="C2309" s="26" t="s">
        <v>8641</v>
      </c>
      <c r="D2309" s="11"/>
      <c r="E2309" s="26" t="s">
        <v>4926</v>
      </c>
      <c r="F2309" s="26" t="s">
        <v>131</v>
      </c>
      <c r="G2309" s="26" t="s">
        <v>8642</v>
      </c>
      <c r="H2309" s="237" t="s">
        <v>1073</v>
      </c>
      <c r="I2309" s="26" t="s">
        <v>4634</v>
      </c>
      <c r="J2309" s="26" t="s">
        <v>8643</v>
      </c>
      <c r="K2309" s="26" t="s">
        <v>8644</v>
      </c>
      <c r="L2309" s="26" t="s">
        <v>1868</v>
      </c>
      <c r="M2309" s="26">
        <v>1</v>
      </c>
      <c r="N2309" s="26">
        <v>1</v>
      </c>
      <c r="O2309" s="26">
        <v>5</v>
      </c>
      <c r="P2309" s="26">
        <v>0</v>
      </c>
      <c r="Q2309" s="26">
        <v>4</v>
      </c>
      <c r="R2309" s="1272">
        <v>393</v>
      </c>
      <c r="S2309" s="1271">
        <f t="shared" si="118"/>
        <v>1965</v>
      </c>
      <c r="T2309" s="26" t="s">
        <v>5448</v>
      </c>
      <c r="U2309" s="1859" t="s">
        <v>8614</v>
      </c>
      <c r="V2309" s="26" t="s">
        <v>150</v>
      </c>
      <c r="W2309" s="2086" t="s">
        <v>8645</v>
      </c>
      <c r="X2309" s="18"/>
      <c r="Y2309" s="4"/>
      <c r="Z2309" s="4"/>
    </row>
    <row r="2310" spans="1:26" ht="24.95" hidden="1">
      <c r="A2310" s="20">
        <v>2317</v>
      </c>
      <c r="B2310" s="1063">
        <v>42087</v>
      </c>
      <c r="C2310" s="26" t="s">
        <v>7127</v>
      </c>
      <c r="D2310" s="11"/>
      <c r="E2310" s="26" t="s">
        <v>4926</v>
      </c>
      <c r="F2310" s="26" t="s">
        <v>131</v>
      </c>
      <c r="G2310" s="26" t="s">
        <v>8646</v>
      </c>
      <c r="H2310" s="237" t="s">
        <v>1853</v>
      </c>
      <c r="I2310" s="26" t="s">
        <v>4634</v>
      </c>
      <c r="J2310" s="26" t="s">
        <v>8647</v>
      </c>
      <c r="K2310" s="26" t="s">
        <v>1991</v>
      </c>
      <c r="L2310" s="26" t="s">
        <v>8648</v>
      </c>
      <c r="M2310" s="26">
        <v>1</v>
      </c>
      <c r="N2310" s="26">
        <v>1</v>
      </c>
      <c r="O2310" s="26">
        <v>5</v>
      </c>
      <c r="P2310" s="26">
        <v>0</v>
      </c>
      <c r="Q2310" s="26">
        <v>4</v>
      </c>
      <c r="R2310" s="1272">
        <v>22</v>
      </c>
      <c r="S2310" s="1271">
        <f t="shared" si="118"/>
        <v>110</v>
      </c>
      <c r="T2310" s="26" t="s">
        <v>5448</v>
      </c>
      <c r="U2310" s="1859" t="s">
        <v>8614</v>
      </c>
      <c r="V2310" s="26" t="s">
        <v>150</v>
      </c>
      <c r="W2310" s="2086" t="s">
        <v>8649</v>
      </c>
      <c r="X2310" s="18"/>
      <c r="Y2310" s="4"/>
      <c r="Z2310" s="4"/>
    </row>
    <row r="2311" spans="1:26" ht="14.1" hidden="1">
      <c r="A2311" s="20">
        <v>2318</v>
      </c>
      <c r="B2311" s="1063">
        <v>42088</v>
      </c>
      <c r="C2311" s="26" t="s">
        <v>6889</v>
      </c>
      <c r="D2311" s="11"/>
      <c r="E2311" s="26" t="s">
        <v>4926</v>
      </c>
      <c r="F2311" s="26" t="s">
        <v>131</v>
      </c>
      <c r="G2311" s="26" t="s">
        <v>5511</v>
      </c>
      <c r="H2311" s="237" t="s">
        <v>3898</v>
      </c>
      <c r="I2311" s="26" t="s">
        <v>574</v>
      </c>
      <c r="J2311" s="26" t="s">
        <v>6890</v>
      </c>
      <c r="K2311" s="26" t="s">
        <v>6891</v>
      </c>
      <c r="L2311" s="26"/>
      <c r="M2311" s="26">
        <v>3</v>
      </c>
      <c r="N2311" s="26">
        <v>1</v>
      </c>
      <c r="O2311" s="26">
        <v>6</v>
      </c>
      <c r="P2311" s="26">
        <v>4</v>
      </c>
      <c r="Q2311" s="26">
        <v>3</v>
      </c>
      <c r="R2311" s="1272">
        <v>482</v>
      </c>
      <c r="S2311" s="1271">
        <f t="shared" si="118"/>
        <v>2892</v>
      </c>
      <c r="T2311" s="26" t="s">
        <v>5448</v>
      </c>
      <c r="U2311" s="1859" t="s">
        <v>8614</v>
      </c>
      <c r="V2311" s="26" t="s">
        <v>150</v>
      </c>
      <c r="W2311" s="2086" t="s">
        <v>6892</v>
      </c>
      <c r="X2311" s="18"/>
      <c r="Y2311" s="4"/>
      <c r="Z2311" s="4"/>
    </row>
    <row r="2312" spans="1:26" ht="14.1" hidden="1">
      <c r="A2312" s="20">
        <v>2319</v>
      </c>
      <c r="B2312" s="1063">
        <v>42089</v>
      </c>
      <c r="C2312" s="26" t="s">
        <v>3287</v>
      </c>
      <c r="D2312" s="11"/>
      <c r="E2312" s="26" t="s">
        <v>4926</v>
      </c>
      <c r="F2312" s="26" t="s">
        <v>131</v>
      </c>
      <c r="G2312" s="26" t="s">
        <v>5511</v>
      </c>
      <c r="H2312" s="237" t="s">
        <v>7066</v>
      </c>
      <c r="I2312" s="26" t="s">
        <v>574</v>
      </c>
      <c r="J2312" s="26" t="s">
        <v>673</v>
      </c>
      <c r="K2312" s="26" t="s">
        <v>3288</v>
      </c>
      <c r="L2312" s="26"/>
      <c r="M2312" s="26">
        <v>2</v>
      </c>
      <c r="N2312" s="26">
        <v>1</v>
      </c>
      <c r="O2312" s="26">
        <v>4</v>
      </c>
      <c r="P2312" s="26">
        <v>0</v>
      </c>
      <c r="Q2312" s="26">
        <v>2</v>
      </c>
      <c r="R2312" s="1272">
        <v>701</v>
      </c>
      <c r="S2312" s="1271">
        <f t="shared" si="118"/>
        <v>2804</v>
      </c>
      <c r="T2312" s="26" t="s">
        <v>5448</v>
      </c>
      <c r="U2312" s="1859" t="s">
        <v>8614</v>
      </c>
      <c r="V2312" s="26" t="s">
        <v>150</v>
      </c>
      <c r="W2312" s="2086" t="s">
        <v>8650</v>
      </c>
      <c r="X2312" s="18"/>
      <c r="Y2312" s="4"/>
      <c r="Z2312" s="4"/>
    </row>
    <row r="2313" spans="1:26" ht="14.1" hidden="1">
      <c r="A2313" s="20">
        <v>2320</v>
      </c>
      <c r="B2313" s="1063">
        <v>42090</v>
      </c>
      <c r="C2313" s="26" t="s">
        <v>8651</v>
      </c>
      <c r="D2313" s="11"/>
      <c r="E2313" s="26" t="s">
        <v>4926</v>
      </c>
      <c r="F2313" s="26" t="s">
        <v>131</v>
      </c>
      <c r="G2313" s="26" t="s">
        <v>8652</v>
      </c>
      <c r="H2313" s="237" t="s">
        <v>7066</v>
      </c>
      <c r="I2313" s="26" t="s">
        <v>574</v>
      </c>
      <c r="J2313" s="26" t="s">
        <v>8653</v>
      </c>
      <c r="K2313" s="26" t="s">
        <v>8654</v>
      </c>
      <c r="L2313" s="26"/>
      <c r="M2313" s="26">
        <v>1</v>
      </c>
      <c r="N2313" s="26">
        <v>1</v>
      </c>
      <c r="O2313" s="26">
        <v>2</v>
      </c>
      <c r="P2313" s="26">
        <v>0</v>
      </c>
      <c r="Q2313" s="26">
        <v>1</v>
      </c>
      <c r="R2313" s="1272">
        <v>2355</v>
      </c>
      <c r="S2313" s="1271">
        <f t="shared" si="118"/>
        <v>4710</v>
      </c>
      <c r="T2313" s="26" t="s">
        <v>5448</v>
      </c>
      <c r="U2313" s="1859" t="s">
        <v>8614</v>
      </c>
      <c r="V2313" s="26" t="s">
        <v>150</v>
      </c>
      <c r="W2313" s="2086" t="s">
        <v>8655</v>
      </c>
      <c r="X2313" s="18"/>
      <c r="Y2313" s="4"/>
      <c r="Z2313" s="4"/>
    </row>
    <row r="2314" spans="1:26" ht="14.45" hidden="1">
      <c r="A2314" s="20">
        <v>2321</v>
      </c>
      <c r="B2314" s="1063">
        <v>42091</v>
      </c>
      <c r="C2314" s="922" t="s">
        <v>8656</v>
      </c>
      <c r="D2314" s="11"/>
      <c r="E2314" s="26" t="s">
        <v>4926</v>
      </c>
      <c r="F2314" s="26" t="s">
        <v>131</v>
      </c>
      <c r="G2314" s="26" t="s">
        <v>2903</v>
      </c>
      <c r="H2314" s="237" t="s">
        <v>651</v>
      </c>
      <c r="I2314" s="26" t="s">
        <v>574</v>
      </c>
      <c r="J2314" s="26" t="s">
        <v>8657</v>
      </c>
      <c r="K2314" s="26" t="s">
        <v>8658</v>
      </c>
      <c r="L2314" s="26" t="s">
        <v>8659</v>
      </c>
      <c r="M2314" s="26">
        <v>3</v>
      </c>
      <c r="N2314" s="26">
        <v>1</v>
      </c>
      <c r="O2314" s="26">
        <v>20</v>
      </c>
      <c r="P2314" s="26">
        <v>0</v>
      </c>
      <c r="Q2314" s="26">
        <f t="shared" ref="Q2314:Q2323" si="119">O2314-M2314</f>
        <v>17</v>
      </c>
      <c r="R2314" s="1209">
        <v>34.299999999999997</v>
      </c>
      <c r="S2314" s="1209">
        <f t="shared" si="118"/>
        <v>686</v>
      </c>
      <c r="T2314" s="26" t="s">
        <v>5448</v>
      </c>
      <c r="U2314" s="1859" t="s">
        <v>8614</v>
      </c>
      <c r="V2314" s="26" t="s">
        <v>150</v>
      </c>
      <c r="W2314" s="689" t="s">
        <v>8660</v>
      </c>
      <c r="X2314" s="18"/>
      <c r="Y2314" s="4"/>
      <c r="Z2314" s="4"/>
    </row>
    <row r="2315" spans="1:26" ht="14.45" hidden="1">
      <c r="A2315" s="20">
        <v>2322</v>
      </c>
      <c r="B2315" s="1063">
        <v>42092</v>
      </c>
      <c r="C2315" s="35" t="s">
        <v>8661</v>
      </c>
      <c r="D2315" s="11"/>
      <c r="E2315" s="26" t="s">
        <v>4926</v>
      </c>
      <c r="F2315" s="26" t="s">
        <v>131</v>
      </c>
      <c r="G2315" s="26" t="s">
        <v>8662</v>
      </c>
      <c r="H2315" s="237" t="s">
        <v>5730</v>
      </c>
      <c r="I2315" s="26" t="s">
        <v>574</v>
      </c>
      <c r="J2315" s="26" t="s">
        <v>8663</v>
      </c>
      <c r="K2315" s="26" t="s">
        <v>8664</v>
      </c>
      <c r="L2315" s="26" t="s">
        <v>8665</v>
      </c>
      <c r="M2315" s="26">
        <v>6</v>
      </c>
      <c r="N2315" s="26">
        <v>1</v>
      </c>
      <c r="O2315" s="26">
        <v>30</v>
      </c>
      <c r="P2315" s="26">
        <v>0</v>
      </c>
      <c r="Q2315" s="26">
        <f t="shared" si="119"/>
        <v>24</v>
      </c>
      <c r="R2315" s="1209">
        <v>59.3</v>
      </c>
      <c r="S2315" s="1209">
        <f t="shared" si="118"/>
        <v>1779</v>
      </c>
      <c r="T2315" s="26" t="s">
        <v>5448</v>
      </c>
      <c r="U2315" s="1859" t="s">
        <v>8614</v>
      </c>
      <c r="V2315" s="26" t="s">
        <v>150</v>
      </c>
      <c r="W2315" s="689" t="s">
        <v>8666</v>
      </c>
      <c r="X2315" s="18"/>
      <c r="Y2315" s="4"/>
      <c r="Z2315" s="4"/>
    </row>
    <row r="2316" spans="1:26" ht="14.45" hidden="1">
      <c r="A2316" s="20">
        <v>2323</v>
      </c>
      <c r="B2316" s="1063">
        <v>42093</v>
      </c>
      <c r="C2316" s="35" t="s">
        <v>8667</v>
      </c>
      <c r="D2316" s="11"/>
      <c r="E2316" s="26" t="s">
        <v>4926</v>
      </c>
      <c r="F2316" s="26" t="s">
        <v>131</v>
      </c>
      <c r="G2316" s="26" t="s">
        <v>8668</v>
      </c>
      <c r="H2316" s="237" t="s">
        <v>5550</v>
      </c>
      <c r="I2316" s="26" t="s">
        <v>574</v>
      </c>
      <c r="J2316" s="26" t="s">
        <v>8669</v>
      </c>
      <c r="K2316" s="26" t="s">
        <v>8670</v>
      </c>
      <c r="L2316" s="26" t="s">
        <v>1095</v>
      </c>
      <c r="M2316" s="26">
        <v>6</v>
      </c>
      <c r="N2316" s="26">
        <v>1</v>
      </c>
      <c r="O2316" s="26">
        <v>100</v>
      </c>
      <c r="P2316" s="26">
        <v>0</v>
      </c>
      <c r="Q2316" s="26">
        <f t="shared" si="119"/>
        <v>94</v>
      </c>
      <c r="R2316" s="1209">
        <v>17.12</v>
      </c>
      <c r="S2316" s="1209">
        <f t="shared" si="118"/>
        <v>1712</v>
      </c>
      <c r="T2316" s="26" t="s">
        <v>5448</v>
      </c>
      <c r="U2316" s="1859" t="s">
        <v>8614</v>
      </c>
      <c r="V2316" s="26" t="s">
        <v>150</v>
      </c>
      <c r="W2316" s="689" t="s">
        <v>8671</v>
      </c>
      <c r="X2316" s="18"/>
      <c r="Y2316" s="4"/>
      <c r="Z2316" s="4"/>
    </row>
    <row r="2317" spans="1:26" ht="14.45" hidden="1">
      <c r="A2317" s="20">
        <v>2324</v>
      </c>
      <c r="B2317" s="1063">
        <v>42094</v>
      </c>
      <c r="C2317" s="35" t="s">
        <v>8672</v>
      </c>
      <c r="D2317" s="11"/>
      <c r="E2317" s="26" t="s">
        <v>4926</v>
      </c>
      <c r="F2317" s="26" t="s">
        <v>131</v>
      </c>
      <c r="G2317" s="26" t="s">
        <v>8673</v>
      </c>
      <c r="H2317" s="237" t="s">
        <v>5730</v>
      </c>
      <c r="I2317" s="26" t="s">
        <v>574</v>
      </c>
      <c r="J2317" s="26" t="s">
        <v>8674</v>
      </c>
      <c r="K2317" s="26" t="s">
        <v>8675</v>
      </c>
      <c r="L2317" s="26" t="s">
        <v>1095</v>
      </c>
      <c r="M2317" s="26">
        <v>2</v>
      </c>
      <c r="N2317" s="26">
        <v>1</v>
      </c>
      <c r="O2317" s="26">
        <v>10</v>
      </c>
      <c r="P2317" s="26">
        <v>0</v>
      </c>
      <c r="Q2317" s="26">
        <f t="shared" si="119"/>
        <v>8</v>
      </c>
      <c r="R2317" s="1209">
        <v>11.3</v>
      </c>
      <c r="S2317" s="1209">
        <f t="shared" si="118"/>
        <v>113</v>
      </c>
      <c r="T2317" s="26" t="s">
        <v>5448</v>
      </c>
      <c r="U2317" s="1859" t="s">
        <v>8614</v>
      </c>
      <c r="V2317" s="26" t="s">
        <v>150</v>
      </c>
      <c r="W2317" s="689" t="s">
        <v>8676</v>
      </c>
      <c r="X2317" s="18"/>
      <c r="Y2317" s="4"/>
      <c r="Z2317" s="4"/>
    </row>
    <row r="2318" spans="1:26" ht="14.45" hidden="1">
      <c r="A2318" s="20">
        <v>2325</v>
      </c>
      <c r="B2318" s="1063">
        <v>42095</v>
      </c>
      <c r="C2318" s="35" t="s">
        <v>8677</v>
      </c>
      <c r="D2318" s="11"/>
      <c r="E2318" s="26" t="s">
        <v>4926</v>
      </c>
      <c r="F2318" s="26" t="s">
        <v>131</v>
      </c>
      <c r="G2318" s="26" t="s">
        <v>8678</v>
      </c>
      <c r="H2318" s="237" t="s">
        <v>2008</v>
      </c>
      <c r="I2318" s="26" t="s">
        <v>574</v>
      </c>
      <c r="J2318" s="26" t="s">
        <v>8679</v>
      </c>
      <c r="K2318" s="26" t="s">
        <v>8680</v>
      </c>
      <c r="L2318" s="26" t="s">
        <v>1</v>
      </c>
      <c r="M2318" s="26">
        <v>2</v>
      </c>
      <c r="N2318" s="26">
        <v>1</v>
      </c>
      <c r="O2318" s="26">
        <v>10</v>
      </c>
      <c r="P2318" s="26">
        <v>0</v>
      </c>
      <c r="Q2318" s="26">
        <f t="shared" si="119"/>
        <v>8</v>
      </c>
      <c r="R2318" s="1209">
        <v>50.7</v>
      </c>
      <c r="S2318" s="1209">
        <f t="shared" si="118"/>
        <v>507</v>
      </c>
      <c r="T2318" s="26" t="s">
        <v>5448</v>
      </c>
      <c r="U2318" s="1859" t="s">
        <v>8614</v>
      </c>
      <c r="V2318" s="26" t="s">
        <v>150</v>
      </c>
      <c r="W2318" s="689" t="s">
        <v>8681</v>
      </c>
      <c r="X2318" s="18"/>
      <c r="Y2318" s="4"/>
      <c r="Z2318" s="4"/>
    </row>
    <row r="2319" spans="1:26" ht="14.45" hidden="1">
      <c r="A2319" s="20">
        <v>2326</v>
      </c>
      <c r="B2319" s="1063">
        <v>42096</v>
      </c>
      <c r="C2319" s="35" t="s">
        <v>8682</v>
      </c>
      <c r="D2319" s="11"/>
      <c r="E2319" s="26" t="s">
        <v>4926</v>
      </c>
      <c r="F2319" s="26" t="s">
        <v>131</v>
      </c>
      <c r="G2319" s="26" t="s">
        <v>8683</v>
      </c>
      <c r="H2319" s="237" t="s">
        <v>1740</v>
      </c>
      <c r="I2319" s="26" t="s">
        <v>574</v>
      </c>
      <c r="J2319" s="26" t="s">
        <v>8684</v>
      </c>
      <c r="K2319" s="26" t="s">
        <v>8685</v>
      </c>
      <c r="L2319" s="26" t="s">
        <v>526</v>
      </c>
      <c r="M2319" s="26">
        <v>1</v>
      </c>
      <c r="N2319" s="26">
        <v>1</v>
      </c>
      <c r="O2319" s="26">
        <v>5</v>
      </c>
      <c r="P2319" s="26">
        <v>0</v>
      </c>
      <c r="Q2319" s="26">
        <f t="shared" si="119"/>
        <v>4</v>
      </c>
      <c r="R2319" s="1209">
        <v>109</v>
      </c>
      <c r="S2319" s="1209">
        <f t="shared" si="118"/>
        <v>545</v>
      </c>
      <c r="T2319" s="26" t="s">
        <v>5448</v>
      </c>
      <c r="U2319" s="1859" t="s">
        <v>8614</v>
      </c>
      <c r="V2319" s="26" t="s">
        <v>150</v>
      </c>
      <c r="W2319" s="689" t="s">
        <v>8686</v>
      </c>
      <c r="X2319" s="18"/>
      <c r="Y2319" s="4"/>
      <c r="Z2319" s="4"/>
    </row>
    <row r="2320" spans="1:26" ht="14.45" hidden="1">
      <c r="A2320" s="20">
        <v>2327</v>
      </c>
      <c r="B2320" s="1063">
        <v>42097</v>
      </c>
      <c r="C2320" s="35" t="s">
        <v>3692</v>
      </c>
      <c r="D2320" s="11"/>
      <c r="E2320" s="26" t="s">
        <v>4926</v>
      </c>
      <c r="F2320" s="26" t="s">
        <v>131</v>
      </c>
      <c r="G2320" s="26"/>
      <c r="H2320" s="237" t="s">
        <v>1498</v>
      </c>
      <c r="I2320" s="26" t="s">
        <v>4634</v>
      </c>
      <c r="J2320" s="26" t="s">
        <v>8687</v>
      </c>
      <c r="K2320" s="26" t="s">
        <v>8221</v>
      </c>
      <c r="L2320" s="26" t="s">
        <v>3695</v>
      </c>
      <c r="M2320" s="26">
        <v>3</v>
      </c>
      <c r="N2320" s="26">
        <v>1</v>
      </c>
      <c r="O2320" s="26">
        <v>8</v>
      </c>
      <c r="P2320" s="26">
        <v>0</v>
      </c>
      <c r="Q2320" s="26">
        <f t="shared" si="119"/>
        <v>5</v>
      </c>
      <c r="R2320" s="1209">
        <v>459</v>
      </c>
      <c r="S2320" s="1209">
        <f t="shared" si="118"/>
        <v>3672</v>
      </c>
      <c r="T2320" s="26" t="s">
        <v>5448</v>
      </c>
      <c r="U2320" s="1859" t="s">
        <v>8614</v>
      </c>
      <c r="V2320" s="26" t="s">
        <v>150</v>
      </c>
      <c r="W2320" s="689" t="s">
        <v>8688</v>
      </c>
      <c r="X2320" s="18"/>
      <c r="Y2320" s="4"/>
      <c r="Z2320" s="4"/>
    </row>
    <row r="2321" spans="1:26" ht="14.45" hidden="1">
      <c r="A2321" s="20">
        <v>2328</v>
      </c>
      <c r="B2321" s="1063">
        <v>42098</v>
      </c>
      <c r="C2321" s="35" t="s">
        <v>8689</v>
      </c>
      <c r="D2321" s="11"/>
      <c r="E2321" s="26" t="s">
        <v>4926</v>
      </c>
      <c r="F2321" s="26" t="s">
        <v>131</v>
      </c>
      <c r="G2321" s="26" t="s">
        <v>5518</v>
      </c>
      <c r="H2321" s="237" t="s">
        <v>8690</v>
      </c>
      <c r="I2321" s="26" t="s">
        <v>574</v>
      </c>
      <c r="J2321" s="26" t="s">
        <v>8691</v>
      </c>
      <c r="K2321" s="26" t="s">
        <v>8692</v>
      </c>
      <c r="L2321" s="26" t="s">
        <v>8665</v>
      </c>
      <c r="M2321" s="26">
        <v>3</v>
      </c>
      <c r="N2321" s="26">
        <v>1</v>
      </c>
      <c r="O2321" s="26">
        <v>10</v>
      </c>
      <c r="P2321" s="26">
        <v>0</v>
      </c>
      <c r="Q2321" s="26">
        <f t="shared" si="119"/>
        <v>7</v>
      </c>
      <c r="R2321" s="1209">
        <v>41.4</v>
      </c>
      <c r="S2321" s="1209">
        <f t="shared" si="118"/>
        <v>414</v>
      </c>
      <c r="T2321" s="26" t="s">
        <v>5448</v>
      </c>
      <c r="U2321" s="1859" t="s">
        <v>8614</v>
      </c>
      <c r="V2321" s="26" t="s">
        <v>150</v>
      </c>
      <c r="W2321" s="689" t="s">
        <v>8693</v>
      </c>
      <c r="X2321" s="18"/>
      <c r="Y2321" s="4"/>
      <c r="Z2321" s="4"/>
    </row>
    <row r="2322" spans="1:26" ht="14.45" hidden="1">
      <c r="A2322" s="20">
        <v>2329</v>
      </c>
      <c r="B2322" s="1063">
        <v>42099</v>
      </c>
      <c r="C2322" s="35" t="s">
        <v>7147</v>
      </c>
      <c r="D2322" s="11"/>
      <c r="E2322" s="26" t="s">
        <v>4926</v>
      </c>
      <c r="F2322" s="26" t="s">
        <v>131</v>
      </c>
      <c r="G2322" s="26"/>
      <c r="H2322" s="237" t="s">
        <v>1715</v>
      </c>
      <c r="I2322" s="26" t="s">
        <v>574</v>
      </c>
      <c r="J2322" s="26" t="s">
        <v>7150</v>
      </c>
      <c r="K2322" s="26" t="s">
        <v>7151</v>
      </c>
      <c r="L2322" s="26"/>
      <c r="M2322" s="26">
        <v>1</v>
      </c>
      <c r="N2322" s="26">
        <v>1</v>
      </c>
      <c r="O2322" s="26">
        <v>3</v>
      </c>
      <c r="P2322" s="26">
        <v>0</v>
      </c>
      <c r="Q2322" s="26">
        <f t="shared" si="119"/>
        <v>2</v>
      </c>
      <c r="R2322" s="1209" t="s">
        <v>7151</v>
      </c>
      <c r="S2322" s="1209" t="e">
        <f t="shared" si="118"/>
        <v>#VALUE!</v>
      </c>
      <c r="T2322" s="26" t="s">
        <v>5448</v>
      </c>
      <c r="U2322" s="1859" t="s">
        <v>8614</v>
      </c>
      <c r="V2322" s="26" t="s">
        <v>150</v>
      </c>
      <c r="W2322" s="689" t="s">
        <v>8694</v>
      </c>
      <c r="X2322" s="18"/>
      <c r="Y2322" s="4"/>
      <c r="Z2322" s="4"/>
    </row>
    <row r="2323" spans="1:26" ht="14.45" hidden="1">
      <c r="A2323" s="20">
        <v>2330</v>
      </c>
      <c r="B2323" s="1063">
        <v>42100</v>
      </c>
      <c r="C2323" s="35" t="s">
        <v>8695</v>
      </c>
      <c r="D2323" s="11"/>
      <c r="E2323" s="26" t="s">
        <v>4926</v>
      </c>
      <c r="F2323" s="26" t="s">
        <v>131</v>
      </c>
      <c r="G2323" s="26" t="s">
        <v>8696</v>
      </c>
      <c r="H2323" s="237" t="s">
        <v>7079</v>
      </c>
      <c r="I2323" s="26" t="s">
        <v>574</v>
      </c>
      <c r="J2323" s="26" t="s">
        <v>8697</v>
      </c>
      <c r="K2323" s="26" t="s">
        <v>8698</v>
      </c>
      <c r="L2323" s="26"/>
      <c r="M2323" s="26">
        <v>1</v>
      </c>
      <c r="N2323" s="26">
        <v>1</v>
      </c>
      <c r="O2323" s="26">
        <v>2</v>
      </c>
      <c r="P2323" s="26">
        <v>0</v>
      </c>
      <c r="Q2323" s="26">
        <f t="shared" si="119"/>
        <v>1</v>
      </c>
      <c r="R2323" s="1209">
        <v>509</v>
      </c>
      <c r="S2323" s="1209">
        <f t="shared" si="118"/>
        <v>1018</v>
      </c>
      <c r="T2323" s="26" t="s">
        <v>5448</v>
      </c>
      <c r="U2323" s="1859" t="s">
        <v>8614</v>
      </c>
      <c r="V2323" s="26" t="s">
        <v>150</v>
      </c>
      <c r="W2323" s="689" t="s">
        <v>8699</v>
      </c>
      <c r="X2323" s="18"/>
      <c r="Y2323" s="4"/>
      <c r="Z2323" s="4"/>
    </row>
    <row r="2324" spans="1:26" ht="14.1" hidden="1">
      <c r="A2324" s="20">
        <v>2331</v>
      </c>
      <c r="B2324" s="1063">
        <v>42101</v>
      </c>
      <c r="C2324" s="26" t="s">
        <v>8700</v>
      </c>
      <c r="D2324" s="11" t="s">
        <v>6</v>
      </c>
      <c r="E2324" s="26" t="s">
        <v>7956</v>
      </c>
      <c r="F2324" s="26" t="s">
        <v>2143</v>
      </c>
      <c r="G2324" s="26" t="s">
        <v>8701</v>
      </c>
      <c r="H2324" s="237" t="s">
        <v>4508</v>
      </c>
      <c r="I2324" s="26" t="s">
        <v>574</v>
      </c>
      <c r="J2324" s="26" t="s">
        <v>8702</v>
      </c>
      <c r="K2324" s="26" t="s">
        <v>8703</v>
      </c>
      <c r="L2324" s="26"/>
      <c r="M2324" s="26">
        <v>2</v>
      </c>
      <c r="N2324" s="26">
        <v>1</v>
      </c>
      <c r="O2324" s="26">
        <v>3</v>
      </c>
      <c r="P2324" s="26">
        <v>0</v>
      </c>
      <c r="Q2324" s="26">
        <v>1</v>
      </c>
      <c r="R2324" s="1209">
        <v>617</v>
      </c>
      <c r="S2324" s="1209">
        <f t="shared" si="118"/>
        <v>1851</v>
      </c>
      <c r="T2324" s="26" t="s">
        <v>5448</v>
      </c>
      <c r="U2324" s="1859" t="s">
        <v>138</v>
      </c>
      <c r="V2324" s="26" t="s">
        <v>150</v>
      </c>
      <c r="W2324" s="701" t="s">
        <v>8704</v>
      </c>
      <c r="X2324" s="18"/>
      <c r="Y2324" s="4"/>
      <c r="Z2324" s="4"/>
    </row>
    <row r="2325" spans="1:26" ht="14.1" hidden="1">
      <c r="A2325" s="20">
        <v>2332</v>
      </c>
      <c r="B2325" s="1063">
        <v>42102</v>
      </c>
      <c r="C2325" s="26" t="s">
        <v>8705</v>
      </c>
      <c r="D2325" s="11" t="s">
        <v>6</v>
      </c>
      <c r="E2325" s="26" t="s">
        <v>7956</v>
      </c>
      <c r="F2325" s="26" t="s">
        <v>2143</v>
      </c>
      <c r="G2325" s="26" t="s">
        <v>8706</v>
      </c>
      <c r="H2325" s="237" t="s">
        <v>1078</v>
      </c>
      <c r="I2325" s="26" t="s">
        <v>574</v>
      </c>
      <c r="J2325" s="26" t="s">
        <v>1079</v>
      </c>
      <c r="K2325" s="26" t="s">
        <v>1080</v>
      </c>
      <c r="L2325" s="26" t="s">
        <v>1269</v>
      </c>
      <c r="M2325" s="26">
        <v>8</v>
      </c>
      <c r="N2325" s="26">
        <v>1</v>
      </c>
      <c r="O2325" s="26">
        <v>10</v>
      </c>
      <c r="P2325" s="26">
        <v>0</v>
      </c>
      <c r="Q2325" s="26">
        <v>9</v>
      </c>
      <c r="R2325" s="1209">
        <v>916.8</v>
      </c>
      <c r="S2325" s="1209">
        <f t="shared" si="118"/>
        <v>9168</v>
      </c>
      <c r="T2325" s="26" t="s">
        <v>5448</v>
      </c>
      <c r="U2325" s="1859" t="s">
        <v>138</v>
      </c>
      <c r="V2325" s="26" t="s">
        <v>150</v>
      </c>
      <c r="W2325" s="2065" t="s">
        <v>8707</v>
      </c>
      <c r="X2325" s="18"/>
      <c r="Y2325" s="4"/>
      <c r="Z2325" s="4"/>
    </row>
    <row r="2326" spans="1:26" ht="24.95" hidden="1">
      <c r="A2326" s="20">
        <v>2333</v>
      </c>
      <c r="B2326" s="1063">
        <v>42103</v>
      </c>
      <c r="C2326" s="26" t="s">
        <v>8708</v>
      </c>
      <c r="D2326" s="11" t="s">
        <v>6</v>
      </c>
      <c r="E2326" s="26" t="s">
        <v>5448</v>
      </c>
      <c r="F2326" s="26" t="s">
        <v>8709</v>
      </c>
      <c r="G2326" s="26" t="s">
        <v>8710</v>
      </c>
      <c r="H2326" s="237" t="s">
        <v>8711</v>
      </c>
      <c r="I2326" s="274" t="s">
        <v>8712</v>
      </c>
      <c r="J2326" s="26"/>
      <c r="K2326" s="26" t="s">
        <v>8713</v>
      </c>
      <c r="L2326" s="26" t="s">
        <v>8714</v>
      </c>
      <c r="M2326" s="26">
        <v>6</v>
      </c>
      <c r="N2326" s="26"/>
      <c r="O2326" s="26"/>
      <c r="P2326" s="26">
        <v>6</v>
      </c>
      <c r="Q2326" s="26">
        <v>6</v>
      </c>
      <c r="R2326" s="1209"/>
      <c r="S2326" s="1209">
        <v>142000</v>
      </c>
      <c r="T2326" s="26" t="s">
        <v>5448</v>
      </c>
      <c r="U2326" s="1859" t="s">
        <v>8715</v>
      </c>
      <c r="V2326" s="26" t="s">
        <v>150</v>
      </c>
      <c r="W2326" s="2084" t="s">
        <v>8716</v>
      </c>
      <c r="X2326" s="18"/>
      <c r="Y2326" s="4"/>
      <c r="Z2326" s="4"/>
    </row>
    <row r="2327" spans="1:26" ht="14.1" hidden="1">
      <c r="A2327" s="20">
        <v>2334</v>
      </c>
      <c r="B2327" s="1063">
        <v>42104</v>
      </c>
      <c r="C2327" s="26" t="s">
        <v>8717</v>
      </c>
      <c r="D2327" s="11" t="s">
        <v>6</v>
      </c>
      <c r="E2327" s="26" t="s">
        <v>5448</v>
      </c>
      <c r="F2327" s="26" t="s">
        <v>439</v>
      </c>
      <c r="G2327" s="26" t="s">
        <v>8718</v>
      </c>
      <c r="H2327" s="237" t="s">
        <v>4110</v>
      </c>
      <c r="I2327" s="26" t="s">
        <v>574</v>
      </c>
      <c r="J2327" s="26" t="s">
        <v>8719</v>
      </c>
      <c r="K2327" s="26" t="s">
        <v>8720</v>
      </c>
      <c r="L2327" s="26" t="s">
        <v>8721</v>
      </c>
      <c r="M2327" s="26">
        <v>8</v>
      </c>
      <c r="N2327" s="26">
        <v>1</v>
      </c>
      <c r="O2327" s="26">
        <v>10</v>
      </c>
      <c r="P2327" s="26">
        <v>2</v>
      </c>
      <c r="Q2327" s="26">
        <v>4</v>
      </c>
      <c r="R2327" s="1209">
        <v>1230.7</v>
      </c>
      <c r="S2327" s="1209">
        <v>12307</v>
      </c>
      <c r="T2327" s="26" t="s">
        <v>5448</v>
      </c>
      <c r="U2327" s="1859" t="s">
        <v>8722</v>
      </c>
      <c r="V2327" s="26" t="s">
        <v>150</v>
      </c>
      <c r="W2327" s="649" t="s">
        <v>6670</v>
      </c>
      <c r="X2327" s="18"/>
      <c r="Y2327" s="4"/>
      <c r="Z2327" s="4"/>
    </row>
    <row r="2328" spans="1:26" ht="14.1" hidden="1">
      <c r="A2328" s="20">
        <v>2335</v>
      </c>
      <c r="B2328" s="1063">
        <v>42105</v>
      </c>
      <c r="C2328" s="26" t="s">
        <v>8723</v>
      </c>
      <c r="D2328" s="11" t="s">
        <v>6</v>
      </c>
      <c r="E2328" s="26" t="s">
        <v>5448</v>
      </c>
      <c r="F2328" s="26" t="s">
        <v>439</v>
      </c>
      <c r="G2328" s="26" t="s">
        <v>8724</v>
      </c>
      <c r="H2328" s="237" t="s">
        <v>6679</v>
      </c>
      <c r="I2328" s="208" t="s">
        <v>6680</v>
      </c>
      <c r="J2328" s="26" t="s">
        <v>1479</v>
      </c>
      <c r="K2328" s="26"/>
      <c r="L2328" s="26" t="s">
        <v>8721</v>
      </c>
      <c r="M2328" s="26">
        <v>5</v>
      </c>
      <c r="N2328" s="26">
        <v>1</v>
      </c>
      <c r="O2328" s="26">
        <v>6</v>
      </c>
      <c r="P2328" s="26">
        <v>1</v>
      </c>
      <c r="Q2328" s="26">
        <v>2</v>
      </c>
      <c r="R2328" s="1209">
        <v>35</v>
      </c>
      <c r="S2328" s="1209">
        <v>210</v>
      </c>
      <c r="T2328" s="26" t="s">
        <v>5448</v>
      </c>
      <c r="U2328" s="1859" t="s">
        <v>8722</v>
      </c>
      <c r="V2328" s="26" t="s">
        <v>150</v>
      </c>
      <c r="W2328" s="649" t="s">
        <v>1481</v>
      </c>
      <c r="X2328" s="18"/>
      <c r="Y2328" s="4"/>
      <c r="Z2328" s="4"/>
    </row>
    <row r="2329" spans="1:26" ht="24.95" hidden="1">
      <c r="A2329" s="20">
        <v>2336</v>
      </c>
      <c r="B2329" s="1063">
        <v>42106</v>
      </c>
      <c r="C2329" s="26" t="s">
        <v>6657</v>
      </c>
      <c r="D2329" s="11"/>
      <c r="E2329" s="26" t="s">
        <v>4951</v>
      </c>
      <c r="F2329" s="26" t="s">
        <v>131</v>
      </c>
      <c r="G2329" s="26" t="s">
        <v>6658</v>
      </c>
      <c r="H2329" s="187" t="s">
        <v>6659</v>
      </c>
      <c r="I2329" s="187" t="s">
        <v>5723</v>
      </c>
      <c r="J2329" s="212" t="s">
        <v>6660</v>
      </c>
      <c r="K2329" s="26" t="s">
        <v>6660</v>
      </c>
      <c r="L2329" s="26" t="s">
        <v>6661</v>
      </c>
      <c r="M2329" s="26">
        <v>30</v>
      </c>
      <c r="N2329" s="26">
        <v>1</v>
      </c>
      <c r="O2329" s="26">
        <v>20</v>
      </c>
      <c r="P2329" s="26">
        <v>20</v>
      </c>
      <c r="Q2329" s="26">
        <v>10</v>
      </c>
      <c r="R2329" s="1209">
        <v>580.79999999999995</v>
      </c>
      <c r="S2329" s="1209">
        <v>11616</v>
      </c>
      <c r="T2329" s="26" t="s">
        <v>5448</v>
      </c>
      <c r="U2329" s="1871" t="s">
        <v>8725</v>
      </c>
      <c r="V2329" s="26" t="s">
        <v>6663</v>
      </c>
      <c r="W2329" s="2065" t="s">
        <v>3270</v>
      </c>
      <c r="X2329" s="18"/>
      <c r="Y2329" s="4"/>
      <c r="Z2329" s="4"/>
    </row>
    <row r="2330" spans="1:26" ht="14.1" hidden="1">
      <c r="A2330" s="20">
        <v>2337</v>
      </c>
      <c r="B2330" s="1063">
        <v>42107</v>
      </c>
      <c r="C2330" s="26" t="s">
        <v>8726</v>
      </c>
      <c r="D2330" s="11" t="s">
        <v>6</v>
      </c>
      <c r="E2330" s="26" t="s">
        <v>62</v>
      </c>
      <c r="F2330" s="26" t="s">
        <v>2143</v>
      </c>
      <c r="G2330" s="26" t="s">
        <v>8727</v>
      </c>
      <c r="H2330" s="237" t="s">
        <v>4066</v>
      </c>
      <c r="I2330" s="26" t="s">
        <v>4066</v>
      </c>
      <c r="J2330" s="26"/>
      <c r="K2330" s="26"/>
      <c r="L2330" s="26"/>
      <c r="M2330" s="26">
        <v>1</v>
      </c>
      <c r="N2330" s="26">
        <v>1</v>
      </c>
      <c r="O2330" s="26">
        <v>1</v>
      </c>
      <c r="P2330" s="26">
        <v>0</v>
      </c>
      <c r="Q2330" s="26">
        <v>0</v>
      </c>
      <c r="R2330" s="1209">
        <v>300</v>
      </c>
      <c r="S2330" s="1209">
        <v>300</v>
      </c>
      <c r="T2330" s="26" t="s">
        <v>8728</v>
      </c>
      <c r="U2330" s="1859" t="s">
        <v>118</v>
      </c>
      <c r="V2330" s="26"/>
      <c r="W2330" s="2084"/>
      <c r="X2330" s="18"/>
      <c r="Y2330" s="4"/>
      <c r="Z2330" s="4"/>
    </row>
    <row r="2331" spans="1:26" ht="12.95" hidden="1">
      <c r="A2331" s="20">
        <v>2338</v>
      </c>
      <c r="B2331" s="1063">
        <v>42108</v>
      </c>
      <c r="C2331" s="946"/>
      <c r="D2331" s="426"/>
      <c r="E2331" s="272"/>
      <c r="F2331" s="946"/>
      <c r="G2331" s="426"/>
      <c r="R2331" s="1273"/>
      <c r="S2331" s="1273"/>
      <c r="W2331" s="2079"/>
      <c r="X2331" s="18"/>
      <c r="Y2331" s="4"/>
      <c r="Z2331" s="4"/>
    </row>
    <row r="2332" spans="1:26" ht="12.95" hidden="1">
      <c r="A2332" s="20">
        <v>2339</v>
      </c>
      <c r="B2332" s="1063">
        <v>42109</v>
      </c>
      <c r="C2332" s="946"/>
      <c r="D2332" s="426"/>
      <c r="E2332" s="272"/>
      <c r="F2332" s="946"/>
      <c r="G2332" s="426"/>
      <c r="R2332" s="1273"/>
      <c r="S2332" s="1273"/>
      <c r="W2332" s="2079"/>
      <c r="X2332" s="18"/>
      <c r="Y2332" s="4"/>
      <c r="Z2332" s="4"/>
    </row>
    <row r="2333" spans="1:26" ht="12.95" hidden="1">
      <c r="A2333" s="20">
        <v>2340</v>
      </c>
      <c r="B2333" s="1063">
        <v>42110</v>
      </c>
      <c r="C2333" s="946"/>
      <c r="D2333" s="426" t="s">
        <v>8729</v>
      </c>
      <c r="E2333" s="272"/>
      <c r="F2333" s="946"/>
      <c r="G2333" s="426"/>
      <c r="R2333" s="1273"/>
      <c r="S2333" s="1273"/>
      <c r="W2333" s="2079"/>
      <c r="X2333" s="18"/>
      <c r="Y2333" s="4"/>
      <c r="Z2333" s="4"/>
    </row>
    <row r="2334" spans="1:26" ht="12.95" hidden="1">
      <c r="A2334" s="20">
        <v>2341</v>
      </c>
      <c r="B2334" s="1063">
        <v>42111</v>
      </c>
      <c r="C2334" s="946"/>
      <c r="D2334" s="426"/>
      <c r="E2334" s="272"/>
      <c r="F2334" s="946"/>
      <c r="G2334" s="426"/>
      <c r="R2334" s="1273"/>
      <c r="S2334" s="1273"/>
      <c r="W2334" s="2079"/>
      <c r="X2334" s="18"/>
      <c r="Y2334" s="4"/>
      <c r="Z2334" s="4"/>
    </row>
    <row r="2335" spans="1:26" ht="12.95" hidden="1">
      <c r="A2335" s="20">
        <v>2342</v>
      </c>
      <c r="B2335" s="1063">
        <v>42112</v>
      </c>
      <c r="C2335" s="946"/>
      <c r="D2335" s="426"/>
      <c r="E2335" s="272"/>
      <c r="F2335" s="946"/>
      <c r="G2335" s="426"/>
      <c r="R2335" s="1273"/>
      <c r="S2335" s="1273"/>
      <c r="W2335" s="2079"/>
      <c r="X2335" s="18"/>
      <c r="Y2335" s="4"/>
      <c r="Z2335" s="4"/>
    </row>
    <row r="2336" spans="1:26" ht="12.95" hidden="1">
      <c r="A2336" s="20">
        <v>2343</v>
      </c>
      <c r="B2336" s="1063">
        <v>42113</v>
      </c>
      <c r="C2336" s="946"/>
      <c r="D2336" s="426"/>
      <c r="E2336" s="272"/>
      <c r="F2336" s="946"/>
      <c r="G2336" s="426"/>
      <c r="R2336" s="1273"/>
      <c r="S2336" s="1273"/>
      <c r="W2336" s="2079"/>
      <c r="X2336" s="18"/>
      <c r="Y2336" s="4"/>
      <c r="Z2336" s="4"/>
    </row>
    <row r="2337" spans="1:26" ht="36" hidden="1">
      <c r="A2337" s="20">
        <v>2344</v>
      </c>
      <c r="B2337" s="1063">
        <v>42114</v>
      </c>
      <c r="C2337" s="22" t="s">
        <v>442</v>
      </c>
      <c r="D2337" s="11"/>
      <c r="E2337" s="26" t="s">
        <v>5448</v>
      </c>
      <c r="F2337" s="22" t="s">
        <v>404</v>
      </c>
      <c r="G2337" s="22" t="s">
        <v>443</v>
      </c>
      <c r="H2337" s="35" t="s">
        <v>184</v>
      </c>
      <c r="I2337" s="35" t="s">
        <v>281</v>
      </c>
      <c r="J2337" s="35" t="s">
        <v>444</v>
      </c>
      <c r="K2337" s="35" t="s">
        <v>445</v>
      </c>
      <c r="L2337" s="35" t="s">
        <v>446</v>
      </c>
      <c r="M2337" s="35">
        <v>10</v>
      </c>
      <c r="N2337" s="35">
        <v>1</v>
      </c>
      <c r="O2337" s="35">
        <v>25</v>
      </c>
      <c r="P2337" s="35">
        <v>0</v>
      </c>
      <c r="Q2337" s="35">
        <v>15</v>
      </c>
      <c r="R2337" s="1203">
        <v>12.6</v>
      </c>
      <c r="S2337" s="1203">
        <v>315</v>
      </c>
      <c r="T2337" s="35" t="s">
        <v>5448</v>
      </c>
      <c r="U2337" s="1855" t="s">
        <v>8730</v>
      </c>
      <c r="V2337" s="22" t="s">
        <v>8731</v>
      </c>
      <c r="W2337" s="2010" t="s">
        <v>8732</v>
      </c>
      <c r="X2337" s="18"/>
      <c r="Y2337" s="4"/>
      <c r="Z2337" s="4"/>
    </row>
    <row r="2338" spans="1:26" ht="14.1" hidden="1">
      <c r="A2338" s="20">
        <v>2345</v>
      </c>
      <c r="B2338" s="1063">
        <v>42115</v>
      </c>
      <c r="C2338" s="22" t="s">
        <v>450</v>
      </c>
      <c r="D2338" s="11"/>
      <c r="E2338" s="26" t="s">
        <v>5448</v>
      </c>
      <c r="F2338" s="22" t="s">
        <v>404</v>
      </c>
      <c r="G2338" s="22" t="s">
        <v>451</v>
      </c>
      <c r="H2338" s="35" t="s">
        <v>452</v>
      </c>
      <c r="I2338" s="35" t="s">
        <v>281</v>
      </c>
      <c r="J2338" s="35" t="s">
        <v>453</v>
      </c>
      <c r="K2338" s="35" t="s">
        <v>454</v>
      </c>
      <c r="L2338" s="35" t="s">
        <v>455</v>
      </c>
      <c r="M2338" s="35">
        <v>10</v>
      </c>
      <c r="N2338" s="35">
        <v>1</v>
      </c>
      <c r="O2338" s="35">
        <v>25</v>
      </c>
      <c r="P2338" s="35">
        <v>0</v>
      </c>
      <c r="Q2338" s="35">
        <v>15</v>
      </c>
      <c r="R2338" s="1203">
        <v>39.520000000000003</v>
      </c>
      <c r="S2338" s="1203">
        <v>988</v>
      </c>
      <c r="T2338" s="35" t="s">
        <v>5448</v>
      </c>
      <c r="U2338" s="1855" t="s">
        <v>8730</v>
      </c>
      <c r="V2338" s="22" t="s">
        <v>8731</v>
      </c>
      <c r="W2338" s="2065" t="s">
        <v>457</v>
      </c>
      <c r="X2338" s="18"/>
      <c r="Y2338" s="4"/>
      <c r="Z2338" s="4"/>
    </row>
    <row r="2339" spans="1:26" ht="27.95" hidden="1">
      <c r="A2339" s="20">
        <v>2346</v>
      </c>
      <c r="B2339" s="1063">
        <v>42116</v>
      </c>
      <c r="C2339" s="22" t="s">
        <v>458</v>
      </c>
      <c r="D2339" s="11"/>
      <c r="E2339" s="26" t="s">
        <v>5448</v>
      </c>
      <c r="F2339" s="22" t="s">
        <v>404</v>
      </c>
      <c r="G2339" s="22" t="s">
        <v>459</v>
      </c>
      <c r="H2339" s="35" t="s">
        <v>460</v>
      </c>
      <c r="I2339" s="35" t="s">
        <v>281</v>
      </c>
      <c r="J2339" s="35" t="s">
        <v>461</v>
      </c>
      <c r="K2339" s="35" t="s">
        <v>462</v>
      </c>
      <c r="L2339" s="35" t="s">
        <v>463</v>
      </c>
      <c r="M2339" s="35">
        <v>5</v>
      </c>
      <c r="N2339" s="35">
        <v>1</v>
      </c>
      <c r="O2339" s="35">
        <v>15</v>
      </c>
      <c r="P2339" s="35">
        <v>0</v>
      </c>
      <c r="Q2339" s="35">
        <v>10</v>
      </c>
      <c r="R2339" s="1203">
        <v>105.2</v>
      </c>
      <c r="S2339" s="1203">
        <v>1578</v>
      </c>
      <c r="T2339" s="35" t="s">
        <v>5448</v>
      </c>
      <c r="U2339" s="1855" t="s">
        <v>8730</v>
      </c>
      <c r="V2339" s="22" t="s">
        <v>8731</v>
      </c>
      <c r="W2339" s="2065" t="s">
        <v>465</v>
      </c>
      <c r="X2339" s="18"/>
      <c r="Y2339" s="4"/>
      <c r="Z2339" s="4"/>
    </row>
    <row r="2340" spans="1:26" ht="15.6" hidden="1">
      <c r="A2340" s="20">
        <v>2347</v>
      </c>
      <c r="B2340" s="1063">
        <v>42117</v>
      </c>
      <c r="C2340" s="26" t="s">
        <v>8733</v>
      </c>
      <c r="D2340" s="11"/>
      <c r="E2340" s="26" t="s">
        <v>5448</v>
      </c>
      <c r="F2340" s="22" t="s">
        <v>404</v>
      </c>
      <c r="G2340" s="207" t="s">
        <v>6387</v>
      </c>
      <c r="H2340" s="207" t="s">
        <v>1653</v>
      </c>
      <c r="I2340" s="207" t="s">
        <v>574</v>
      </c>
      <c r="J2340" s="207" t="s">
        <v>8734</v>
      </c>
      <c r="K2340" s="207" t="s">
        <v>6389</v>
      </c>
      <c r="L2340" s="207">
        <v>805</v>
      </c>
      <c r="M2340" s="207">
        <v>10</v>
      </c>
      <c r="N2340" s="207">
        <v>1</v>
      </c>
      <c r="O2340" s="207">
        <v>20</v>
      </c>
      <c r="P2340" s="207">
        <v>0</v>
      </c>
      <c r="Q2340" s="207">
        <v>10</v>
      </c>
      <c r="R2340" s="1251">
        <v>4</v>
      </c>
      <c r="S2340" s="1251">
        <v>80</v>
      </c>
      <c r="T2340" s="26" t="s">
        <v>5448</v>
      </c>
      <c r="U2340" s="1855" t="s">
        <v>8730</v>
      </c>
      <c r="V2340" s="22" t="s">
        <v>8731</v>
      </c>
      <c r="W2340" s="2065" t="s">
        <v>8735</v>
      </c>
      <c r="X2340" s="18"/>
      <c r="Y2340" s="4"/>
      <c r="Z2340" s="4"/>
    </row>
    <row r="2341" spans="1:26" ht="15.6" hidden="1">
      <c r="A2341" s="20">
        <v>2348</v>
      </c>
      <c r="B2341" s="1063">
        <v>42118</v>
      </c>
      <c r="C2341" s="26" t="s">
        <v>8736</v>
      </c>
      <c r="D2341" s="11"/>
      <c r="E2341" s="26" t="s">
        <v>5448</v>
      </c>
      <c r="F2341" s="22" t="s">
        <v>404</v>
      </c>
      <c r="G2341" s="26" t="s">
        <v>8737</v>
      </c>
      <c r="H2341" s="237" t="s">
        <v>3898</v>
      </c>
      <c r="I2341" s="207" t="s">
        <v>574</v>
      </c>
      <c r="J2341" s="26" t="s">
        <v>5994</v>
      </c>
      <c r="K2341" s="26" t="s">
        <v>5995</v>
      </c>
      <c r="L2341" s="26" t="s">
        <v>6668</v>
      </c>
      <c r="M2341" s="26">
        <v>10</v>
      </c>
      <c r="N2341" s="26">
        <v>1</v>
      </c>
      <c r="O2341" s="26">
        <v>20</v>
      </c>
      <c r="P2341" s="26">
        <v>0</v>
      </c>
      <c r="Q2341" s="26">
        <v>10</v>
      </c>
      <c r="R2341" s="1209">
        <v>147</v>
      </c>
      <c r="S2341" s="1209">
        <v>2940</v>
      </c>
      <c r="T2341" s="26" t="s">
        <v>5448</v>
      </c>
      <c r="U2341" s="1908" t="s">
        <v>678</v>
      </c>
      <c r="V2341" s="22" t="s">
        <v>8731</v>
      </c>
      <c r="W2341" s="2065" t="s">
        <v>5996</v>
      </c>
      <c r="X2341" s="18"/>
      <c r="Y2341" s="4"/>
      <c r="Z2341" s="4"/>
    </row>
    <row r="2342" spans="1:26" ht="14.1" hidden="1">
      <c r="A2342" s="20">
        <v>2349</v>
      </c>
      <c r="B2342" s="1063">
        <v>42119</v>
      </c>
      <c r="C2342" s="26" t="s">
        <v>8738</v>
      </c>
      <c r="D2342" s="11"/>
      <c r="E2342" s="26" t="s">
        <v>5448</v>
      </c>
      <c r="F2342" s="22" t="s">
        <v>404</v>
      </c>
      <c r="G2342" s="26" t="s">
        <v>8739</v>
      </c>
      <c r="H2342" s="237" t="s">
        <v>468</v>
      </c>
      <c r="I2342" s="26" t="s">
        <v>84</v>
      </c>
      <c r="J2342" s="26">
        <v>11350167</v>
      </c>
      <c r="K2342" s="26" t="s">
        <v>8740</v>
      </c>
      <c r="L2342" s="26" t="s">
        <v>6668</v>
      </c>
      <c r="M2342" s="26">
        <v>10</v>
      </c>
      <c r="N2342" s="26">
        <v>10</v>
      </c>
      <c r="O2342" s="26">
        <v>20</v>
      </c>
      <c r="P2342" s="26">
        <v>0</v>
      </c>
      <c r="Q2342" s="26">
        <v>10</v>
      </c>
      <c r="R2342" s="1209" t="s">
        <v>8741</v>
      </c>
      <c r="S2342" s="1209">
        <v>1298</v>
      </c>
      <c r="T2342" s="26" t="s">
        <v>5448</v>
      </c>
      <c r="U2342" s="1855" t="s">
        <v>8730</v>
      </c>
      <c r="V2342" s="22" t="s">
        <v>8731</v>
      </c>
      <c r="W2342" s="649" t="s">
        <v>8742</v>
      </c>
      <c r="X2342" s="18"/>
      <c r="Y2342" s="4"/>
      <c r="Z2342" s="4"/>
    </row>
    <row r="2343" spans="1:26" ht="14.1" hidden="1">
      <c r="A2343" s="20">
        <v>2350</v>
      </c>
      <c r="B2343" s="1063">
        <v>42120</v>
      </c>
      <c r="C2343" s="26" t="s">
        <v>8743</v>
      </c>
      <c r="D2343" s="11"/>
      <c r="E2343" s="26" t="s">
        <v>5448</v>
      </c>
      <c r="F2343" s="22" t="s">
        <v>404</v>
      </c>
      <c r="G2343" s="26" t="s">
        <v>8744</v>
      </c>
      <c r="H2343" s="237" t="s">
        <v>468</v>
      </c>
      <c r="I2343" s="26" t="s">
        <v>84</v>
      </c>
      <c r="J2343" s="26">
        <v>11350544</v>
      </c>
      <c r="K2343" s="26" t="s">
        <v>8745</v>
      </c>
      <c r="L2343" s="26" t="s">
        <v>6668</v>
      </c>
      <c r="M2343" s="26">
        <v>1</v>
      </c>
      <c r="N2343" s="26">
        <v>10</v>
      </c>
      <c r="O2343" s="26">
        <v>10</v>
      </c>
      <c r="P2343" s="26">
        <v>0</v>
      </c>
      <c r="Q2343" s="26">
        <v>9</v>
      </c>
      <c r="R2343" s="1209" t="s">
        <v>8746</v>
      </c>
      <c r="S2343" s="1209">
        <v>869</v>
      </c>
      <c r="T2343" s="26" t="s">
        <v>5448</v>
      </c>
      <c r="U2343" s="1855" t="s">
        <v>8730</v>
      </c>
      <c r="V2343" s="22" t="s">
        <v>8731</v>
      </c>
      <c r="W2343" s="649" t="s">
        <v>8747</v>
      </c>
      <c r="X2343" s="18"/>
      <c r="Y2343" s="4"/>
      <c r="Z2343" s="4"/>
    </row>
    <row r="2344" spans="1:26" ht="14.1" hidden="1">
      <c r="A2344" s="20">
        <v>2351</v>
      </c>
      <c r="B2344" s="1063">
        <v>42121</v>
      </c>
      <c r="C2344" s="26" t="s">
        <v>8748</v>
      </c>
      <c r="D2344" s="11"/>
      <c r="E2344" s="26" t="s">
        <v>5448</v>
      </c>
      <c r="F2344" s="22" t="s">
        <v>404</v>
      </c>
      <c r="G2344" s="26" t="s">
        <v>8749</v>
      </c>
      <c r="H2344" s="237" t="s">
        <v>468</v>
      </c>
      <c r="I2344" s="26" t="s">
        <v>84</v>
      </c>
      <c r="J2344" s="26">
        <v>11347717</v>
      </c>
      <c r="K2344" s="26" t="s">
        <v>8750</v>
      </c>
      <c r="L2344" s="26" t="s">
        <v>6668</v>
      </c>
      <c r="M2344" s="26">
        <v>2</v>
      </c>
      <c r="N2344" s="26">
        <v>10</v>
      </c>
      <c r="O2344" s="26">
        <v>10</v>
      </c>
      <c r="P2344" s="26">
        <v>0</v>
      </c>
      <c r="Q2344" s="26">
        <v>8</v>
      </c>
      <c r="R2344" s="1209" t="s">
        <v>8751</v>
      </c>
      <c r="S2344" s="1209">
        <v>659</v>
      </c>
      <c r="T2344" s="26" t="s">
        <v>5448</v>
      </c>
      <c r="U2344" s="1855" t="s">
        <v>8730</v>
      </c>
      <c r="V2344" s="22" t="s">
        <v>8731</v>
      </c>
      <c r="W2344" s="2074" t="s">
        <v>8752</v>
      </c>
      <c r="X2344" s="18"/>
      <c r="Y2344" s="4"/>
      <c r="Z2344" s="4"/>
    </row>
    <row r="2345" spans="1:26" ht="14.1" hidden="1">
      <c r="A2345" s="20">
        <v>2352</v>
      </c>
      <c r="B2345" s="1063">
        <v>42122</v>
      </c>
      <c r="C2345" s="26" t="s">
        <v>8753</v>
      </c>
      <c r="D2345" s="11"/>
      <c r="E2345" s="26" t="s">
        <v>5448</v>
      </c>
      <c r="F2345" s="22" t="s">
        <v>404</v>
      </c>
      <c r="G2345" s="26" t="s">
        <v>8754</v>
      </c>
      <c r="H2345" s="237" t="s">
        <v>468</v>
      </c>
      <c r="I2345" s="26" t="s">
        <v>84</v>
      </c>
      <c r="J2345" s="26">
        <v>11348925</v>
      </c>
      <c r="K2345" s="26" t="s">
        <v>8755</v>
      </c>
      <c r="L2345" s="26" t="s">
        <v>6668</v>
      </c>
      <c r="M2345" s="26">
        <v>4</v>
      </c>
      <c r="N2345" s="26">
        <v>10</v>
      </c>
      <c r="O2345" s="26">
        <v>10</v>
      </c>
      <c r="P2345" s="26">
        <v>0</v>
      </c>
      <c r="Q2345" s="26">
        <v>6</v>
      </c>
      <c r="R2345" s="1209">
        <v>329</v>
      </c>
      <c r="S2345" s="1209">
        <v>329</v>
      </c>
      <c r="T2345" s="26" t="s">
        <v>5448</v>
      </c>
      <c r="U2345" s="1855" t="s">
        <v>8730</v>
      </c>
      <c r="V2345" s="22" t="s">
        <v>8731</v>
      </c>
      <c r="W2345" s="649" t="s">
        <v>8756</v>
      </c>
      <c r="X2345" s="18"/>
      <c r="Y2345" s="4"/>
      <c r="Z2345" s="4"/>
    </row>
    <row r="2346" spans="1:26" ht="14.1" hidden="1">
      <c r="A2346" s="20">
        <v>2353</v>
      </c>
      <c r="B2346" s="1063">
        <v>42123</v>
      </c>
      <c r="C2346" s="26" t="s">
        <v>8757</v>
      </c>
      <c r="D2346" s="11"/>
      <c r="E2346" s="26" t="s">
        <v>5448</v>
      </c>
      <c r="F2346" s="22" t="s">
        <v>404</v>
      </c>
      <c r="G2346" s="26" t="s">
        <v>8754</v>
      </c>
      <c r="H2346" s="237" t="s">
        <v>468</v>
      </c>
      <c r="I2346" s="26" t="s">
        <v>84</v>
      </c>
      <c r="J2346" s="26">
        <v>11348934</v>
      </c>
      <c r="K2346" s="26" t="s">
        <v>8758</v>
      </c>
      <c r="L2346" s="26" t="s">
        <v>6668</v>
      </c>
      <c r="M2346" s="26">
        <v>4</v>
      </c>
      <c r="N2346" s="26">
        <v>10</v>
      </c>
      <c r="O2346" s="26">
        <v>10</v>
      </c>
      <c r="P2346" s="26">
        <v>0</v>
      </c>
      <c r="Q2346" s="26">
        <v>6</v>
      </c>
      <c r="R2346" s="1209">
        <v>339</v>
      </c>
      <c r="S2346" s="1209">
        <v>339</v>
      </c>
      <c r="T2346" s="26" t="s">
        <v>5448</v>
      </c>
      <c r="U2346" s="1855" t="s">
        <v>8730</v>
      </c>
      <c r="V2346" s="22" t="s">
        <v>8731</v>
      </c>
      <c r="W2346" s="649" t="s">
        <v>8759</v>
      </c>
      <c r="X2346" s="18"/>
      <c r="Y2346" s="4"/>
      <c r="Z2346" s="4"/>
    </row>
    <row r="2347" spans="1:26" ht="14.1" hidden="1">
      <c r="A2347" s="20">
        <v>2354</v>
      </c>
      <c r="B2347" s="1063">
        <v>42124</v>
      </c>
      <c r="C2347" s="26" t="s">
        <v>8760</v>
      </c>
      <c r="D2347" s="11"/>
      <c r="E2347" s="26" t="s">
        <v>5448</v>
      </c>
      <c r="F2347" s="26" t="s">
        <v>404</v>
      </c>
      <c r="G2347" s="26" t="s">
        <v>8761</v>
      </c>
      <c r="H2347" s="237" t="s">
        <v>1002</v>
      </c>
      <c r="I2347" s="26" t="s">
        <v>1002</v>
      </c>
      <c r="J2347" s="26"/>
      <c r="K2347" s="26"/>
      <c r="L2347" s="26"/>
      <c r="M2347" s="26">
        <v>1</v>
      </c>
      <c r="N2347" s="26">
        <v>1</v>
      </c>
      <c r="O2347" s="26">
        <v>5</v>
      </c>
      <c r="P2347" s="26">
        <v>0</v>
      </c>
      <c r="Q2347" s="26">
        <v>4</v>
      </c>
      <c r="R2347" s="1209">
        <v>30316</v>
      </c>
      <c r="S2347" s="1209">
        <v>30316</v>
      </c>
      <c r="T2347" s="26" t="s">
        <v>5448</v>
      </c>
      <c r="U2347" s="1855" t="s">
        <v>8730</v>
      </c>
      <c r="V2347" s="22" t="s">
        <v>8731</v>
      </c>
      <c r="W2347" s="649" t="s">
        <v>8762</v>
      </c>
      <c r="X2347" s="18"/>
      <c r="Y2347" s="4"/>
      <c r="Z2347" s="4"/>
    </row>
    <row r="2348" spans="1:26" ht="14.1" hidden="1">
      <c r="A2348" s="20">
        <v>2355</v>
      </c>
      <c r="B2348" s="1063">
        <v>42125</v>
      </c>
      <c r="C2348" s="26" t="s">
        <v>8763</v>
      </c>
      <c r="D2348" s="11" t="s">
        <v>6</v>
      </c>
      <c r="E2348" s="26" t="s">
        <v>5448</v>
      </c>
      <c r="F2348" s="26" t="s">
        <v>7782</v>
      </c>
      <c r="G2348" s="26" t="s">
        <v>8764</v>
      </c>
      <c r="H2348" s="237" t="s">
        <v>1002</v>
      </c>
      <c r="I2348" s="26" t="s">
        <v>1002</v>
      </c>
      <c r="J2348" s="26"/>
      <c r="K2348" s="26"/>
      <c r="L2348" s="26"/>
      <c r="M2348" s="26">
        <v>1</v>
      </c>
      <c r="N2348" s="26">
        <v>1</v>
      </c>
      <c r="O2348" s="26">
        <v>3</v>
      </c>
      <c r="P2348" s="26">
        <v>0</v>
      </c>
      <c r="Q2348" s="26">
        <v>2</v>
      </c>
      <c r="R2348" s="1209">
        <v>63951</v>
      </c>
      <c r="S2348" s="1209">
        <v>63951</v>
      </c>
      <c r="T2348" s="26" t="s">
        <v>5448</v>
      </c>
      <c r="U2348" s="1859" t="s">
        <v>8765</v>
      </c>
      <c r="V2348" s="22" t="s">
        <v>8731</v>
      </c>
      <c r="W2348" s="649" t="s">
        <v>8762</v>
      </c>
      <c r="X2348" s="18"/>
      <c r="Y2348" s="4"/>
      <c r="Z2348" s="4"/>
    </row>
    <row r="2349" spans="1:26" ht="14.1" hidden="1">
      <c r="A2349" s="20">
        <v>2356</v>
      </c>
      <c r="B2349" s="1063">
        <v>42126</v>
      </c>
      <c r="C2349" s="26" t="s">
        <v>8766</v>
      </c>
      <c r="D2349" s="11"/>
      <c r="E2349" s="26" t="s">
        <v>5448</v>
      </c>
      <c r="F2349" s="26" t="s">
        <v>8767</v>
      </c>
      <c r="G2349" s="26" t="s">
        <v>8768</v>
      </c>
      <c r="H2349" s="237" t="s">
        <v>1002</v>
      </c>
      <c r="I2349" s="237" t="s">
        <v>1002</v>
      </c>
      <c r="J2349" s="26"/>
      <c r="K2349" s="26"/>
      <c r="L2349" s="26"/>
      <c r="M2349" s="26">
        <v>1</v>
      </c>
      <c r="N2349" s="26">
        <v>1</v>
      </c>
      <c r="O2349" s="26">
        <v>4</v>
      </c>
      <c r="P2349" s="26">
        <v>0</v>
      </c>
      <c r="Q2349" s="26">
        <v>3</v>
      </c>
      <c r="R2349" s="1209">
        <v>133920</v>
      </c>
      <c r="S2349" s="1209">
        <v>133920</v>
      </c>
      <c r="T2349" s="26" t="s">
        <v>5448</v>
      </c>
      <c r="U2349" s="1859" t="s">
        <v>5939</v>
      </c>
      <c r="V2349" s="22" t="s">
        <v>8731</v>
      </c>
      <c r="W2349" s="2084"/>
      <c r="X2349" s="18"/>
      <c r="Y2349" s="4"/>
      <c r="Z2349" s="4"/>
    </row>
    <row r="2350" spans="1:26" ht="14.1" hidden="1">
      <c r="A2350" s="20">
        <v>2357</v>
      </c>
      <c r="B2350" s="1063">
        <v>42127</v>
      </c>
      <c r="C2350" s="924" t="s">
        <v>8769</v>
      </c>
      <c r="D2350" s="11" t="s">
        <v>6</v>
      </c>
      <c r="E2350" s="26" t="s">
        <v>5448</v>
      </c>
      <c r="F2350" s="26" t="s">
        <v>7782</v>
      </c>
      <c r="G2350" s="26" t="s">
        <v>8770</v>
      </c>
      <c r="H2350" s="237" t="s">
        <v>184</v>
      </c>
      <c r="I2350" s="26" t="s">
        <v>8771</v>
      </c>
      <c r="J2350" s="26" t="s">
        <v>8772</v>
      </c>
      <c r="K2350" s="26" t="s">
        <v>8773</v>
      </c>
      <c r="L2350" s="26" t="s">
        <v>8774</v>
      </c>
      <c r="M2350" s="26">
        <v>15</v>
      </c>
      <c r="N2350" s="26">
        <v>1</v>
      </c>
      <c r="O2350" s="26">
        <v>20</v>
      </c>
      <c r="P2350" s="26">
        <v>0</v>
      </c>
      <c r="Q2350" s="26">
        <f t="shared" ref="Q2350:Q2378" si="120">O2350-M2350</f>
        <v>5</v>
      </c>
      <c r="R2350" s="1235">
        <v>111</v>
      </c>
      <c r="S2350" s="1209">
        <f t="shared" ref="S2350:S2410" si="121">R2350*O2350</f>
        <v>2220</v>
      </c>
      <c r="T2350" s="26" t="s">
        <v>5448</v>
      </c>
      <c r="U2350" s="1859" t="s">
        <v>8765</v>
      </c>
      <c r="V2350" s="22" t="s">
        <v>8731</v>
      </c>
      <c r="W2350" s="649" t="s">
        <v>8775</v>
      </c>
      <c r="X2350" s="18"/>
      <c r="Y2350" s="4"/>
      <c r="Z2350" s="4"/>
    </row>
    <row r="2351" spans="1:26" ht="14.1" hidden="1">
      <c r="A2351" s="20">
        <v>2358</v>
      </c>
      <c r="B2351" s="1063">
        <v>42128</v>
      </c>
      <c r="C2351" s="924" t="s">
        <v>3709</v>
      </c>
      <c r="D2351" s="11" t="s">
        <v>6</v>
      </c>
      <c r="E2351" s="26" t="s">
        <v>5448</v>
      </c>
      <c r="F2351" s="26" t="s">
        <v>7782</v>
      </c>
      <c r="G2351" s="26" t="s">
        <v>8776</v>
      </c>
      <c r="H2351" s="237" t="s">
        <v>184</v>
      </c>
      <c r="I2351" s="26" t="s">
        <v>8771</v>
      </c>
      <c r="J2351" s="26" t="s">
        <v>8777</v>
      </c>
      <c r="K2351" s="26" t="s">
        <v>8778</v>
      </c>
      <c r="L2351" s="26" t="s">
        <v>732</v>
      </c>
      <c r="M2351" s="26">
        <v>54</v>
      </c>
      <c r="N2351" s="26">
        <v>1</v>
      </c>
      <c r="O2351" s="26">
        <v>60</v>
      </c>
      <c r="P2351" s="26">
        <v>0</v>
      </c>
      <c r="Q2351" s="26">
        <f t="shared" si="120"/>
        <v>6</v>
      </c>
      <c r="R2351" s="1209">
        <v>55</v>
      </c>
      <c r="S2351" s="1209">
        <f t="shared" si="121"/>
        <v>3300</v>
      </c>
      <c r="T2351" s="26" t="s">
        <v>5448</v>
      </c>
      <c r="U2351" s="1859" t="s">
        <v>8765</v>
      </c>
      <c r="V2351" s="22" t="s">
        <v>8731</v>
      </c>
      <c r="W2351" s="649" t="s">
        <v>8779</v>
      </c>
      <c r="X2351" s="18"/>
      <c r="Y2351" s="4"/>
      <c r="Z2351" s="4"/>
    </row>
    <row r="2352" spans="1:26" ht="14.1" hidden="1">
      <c r="A2352" s="20">
        <v>2359</v>
      </c>
      <c r="B2352" s="1063">
        <v>42129</v>
      </c>
      <c r="C2352" s="924" t="s">
        <v>8780</v>
      </c>
      <c r="D2352" s="11" t="s">
        <v>6</v>
      </c>
      <c r="E2352" s="26" t="s">
        <v>5448</v>
      </c>
      <c r="F2352" s="26" t="s">
        <v>7782</v>
      </c>
      <c r="G2352" s="26" t="s">
        <v>8776</v>
      </c>
      <c r="H2352" s="237" t="s">
        <v>184</v>
      </c>
      <c r="I2352" s="26" t="s">
        <v>8771</v>
      </c>
      <c r="J2352" s="26" t="s">
        <v>8781</v>
      </c>
      <c r="K2352" s="26" t="s">
        <v>8782</v>
      </c>
      <c r="L2352" s="26" t="s">
        <v>732</v>
      </c>
      <c r="M2352" s="26">
        <v>6</v>
      </c>
      <c r="N2352" s="26">
        <v>1</v>
      </c>
      <c r="O2352" s="26">
        <v>10</v>
      </c>
      <c r="P2352" s="26">
        <v>0</v>
      </c>
      <c r="Q2352" s="26">
        <f t="shared" si="120"/>
        <v>4</v>
      </c>
      <c r="R2352" s="1209">
        <v>24</v>
      </c>
      <c r="S2352" s="1209">
        <f t="shared" si="121"/>
        <v>240</v>
      </c>
      <c r="T2352" s="26" t="s">
        <v>5448</v>
      </c>
      <c r="U2352" s="1859" t="s">
        <v>8765</v>
      </c>
      <c r="V2352" s="22" t="s">
        <v>8731</v>
      </c>
      <c r="W2352" s="649" t="s">
        <v>8783</v>
      </c>
      <c r="X2352" s="18"/>
      <c r="Y2352" s="4"/>
      <c r="Z2352" s="4"/>
    </row>
    <row r="2353" spans="1:26" ht="14.1" hidden="1">
      <c r="A2353" s="20">
        <v>2360</v>
      </c>
      <c r="B2353" s="1063">
        <v>42130</v>
      </c>
      <c r="C2353" s="924" t="s">
        <v>8784</v>
      </c>
      <c r="D2353" s="11" t="s">
        <v>6</v>
      </c>
      <c r="E2353" s="26" t="s">
        <v>5448</v>
      </c>
      <c r="F2353" s="26" t="s">
        <v>7782</v>
      </c>
      <c r="G2353" s="26" t="s">
        <v>8776</v>
      </c>
      <c r="H2353" s="237" t="s">
        <v>184</v>
      </c>
      <c r="I2353" s="26" t="s">
        <v>8771</v>
      </c>
      <c r="J2353" s="26" t="s">
        <v>8785</v>
      </c>
      <c r="K2353" s="26" t="s">
        <v>8786</v>
      </c>
      <c r="L2353" s="26" t="s">
        <v>732</v>
      </c>
      <c r="M2353" s="26">
        <v>18</v>
      </c>
      <c r="N2353" s="26">
        <v>1</v>
      </c>
      <c r="O2353" s="26">
        <v>25</v>
      </c>
      <c r="P2353" s="26">
        <v>0</v>
      </c>
      <c r="Q2353" s="26">
        <f t="shared" si="120"/>
        <v>7</v>
      </c>
      <c r="R2353" s="1209">
        <v>42</v>
      </c>
      <c r="S2353" s="1209">
        <f t="shared" si="121"/>
        <v>1050</v>
      </c>
      <c r="T2353" s="26" t="s">
        <v>5448</v>
      </c>
      <c r="U2353" s="1859" t="s">
        <v>8765</v>
      </c>
      <c r="V2353" s="22" t="s">
        <v>8731</v>
      </c>
      <c r="W2353" s="2074" t="s">
        <v>8787</v>
      </c>
      <c r="X2353" s="18"/>
      <c r="Y2353" s="4"/>
      <c r="Z2353" s="4"/>
    </row>
    <row r="2354" spans="1:26" ht="14.1" hidden="1">
      <c r="A2354" s="20">
        <v>2361</v>
      </c>
      <c r="B2354" s="1063">
        <v>42131</v>
      </c>
      <c r="C2354" s="924" t="s">
        <v>8788</v>
      </c>
      <c r="D2354" s="11" t="s">
        <v>6</v>
      </c>
      <c r="E2354" s="26" t="s">
        <v>5448</v>
      </c>
      <c r="F2354" s="26" t="s">
        <v>7782</v>
      </c>
      <c r="G2354" s="26" t="s">
        <v>8776</v>
      </c>
      <c r="H2354" s="237" t="s">
        <v>184</v>
      </c>
      <c r="I2354" s="26" t="s">
        <v>8771</v>
      </c>
      <c r="J2354" s="26" t="s">
        <v>8789</v>
      </c>
      <c r="K2354" s="26" t="s">
        <v>8790</v>
      </c>
      <c r="L2354" s="26" t="s">
        <v>732</v>
      </c>
      <c r="M2354" s="26">
        <v>12</v>
      </c>
      <c r="N2354" s="26">
        <v>1</v>
      </c>
      <c r="O2354" s="26">
        <v>15</v>
      </c>
      <c r="P2354" s="26">
        <v>0</v>
      </c>
      <c r="Q2354" s="26">
        <f t="shared" si="120"/>
        <v>3</v>
      </c>
      <c r="R2354" s="1209">
        <v>36</v>
      </c>
      <c r="S2354" s="1209">
        <f t="shared" si="121"/>
        <v>540</v>
      </c>
      <c r="T2354" s="26" t="s">
        <v>5448</v>
      </c>
      <c r="U2354" s="1859" t="s">
        <v>8765</v>
      </c>
      <c r="V2354" s="22" t="s">
        <v>8731</v>
      </c>
      <c r="W2354" s="2074" t="s">
        <v>8791</v>
      </c>
      <c r="X2354" s="18"/>
      <c r="Y2354" s="4"/>
      <c r="Z2354" s="4"/>
    </row>
    <row r="2355" spans="1:26" ht="14.1" hidden="1">
      <c r="A2355" s="20">
        <v>2362</v>
      </c>
      <c r="B2355" s="1063">
        <v>42132</v>
      </c>
      <c r="C2355" s="924" t="s">
        <v>8792</v>
      </c>
      <c r="D2355" s="11" t="s">
        <v>6</v>
      </c>
      <c r="E2355" s="26" t="s">
        <v>5448</v>
      </c>
      <c r="F2355" s="26" t="s">
        <v>7782</v>
      </c>
      <c r="G2355" s="26" t="s">
        <v>8776</v>
      </c>
      <c r="H2355" s="237" t="s">
        <v>184</v>
      </c>
      <c r="I2355" s="26" t="s">
        <v>8771</v>
      </c>
      <c r="J2355" s="26" t="s">
        <v>8793</v>
      </c>
      <c r="K2355" s="26" t="s">
        <v>8794</v>
      </c>
      <c r="L2355" s="26" t="s">
        <v>732</v>
      </c>
      <c r="M2355" s="26">
        <v>3</v>
      </c>
      <c r="N2355" s="26">
        <v>1</v>
      </c>
      <c r="O2355" s="26">
        <v>5</v>
      </c>
      <c r="P2355" s="26">
        <v>0</v>
      </c>
      <c r="Q2355" s="26">
        <f t="shared" si="120"/>
        <v>2</v>
      </c>
      <c r="R2355" s="1209">
        <v>13</v>
      </c>
      <c r="S2355" s="1209">
        <f t="shared" si="121"/>
        <v>65</v>
      </c>
      <c r="T2355" s="26" t="s">
        <v>5448</v>
      </c>
      <c r="U2355" s="1859" t="s">
        <v>8765</v>
      </c>
      <c r="V2355" s="22" t="s">
        <v>8731</v>
      </c>
      <c r="W2355" s="2074" t="s">
        <v>8795</v>
      </c>
      <c r="X2355" s="18"/>
      <c r="Y2355" s="4"/>
      <c r="Z2355" s="4"/>
    </row>
    <row r="2356" spans="1:26" ht="14.1" hidden="1">
      <c r="A2356" s="20">
        <v>2363</v>
      </c>
      <c r="B2356" s="1063">
        <v>42133</v>
      </c>
      <c r="C2356" s="924" t="s">
        <v>8796</v>
      </c>
      <c r="D2356" s="11" t="s">
        <v>6</v>
      </c>
      <c r="E2356" s="26" t="s">
        <v>5448</v>
      </c>
      <c r="F2356" s="26" t="s">
        <v>7782</v>
      </c>
      <c r="G2356" s="26" t="s">
        <v>8776</v>
      </c>
      <c r="H2356" s="237" t="s">
        <v>184</v>
      </c>
      <c r="I2356" s="26" t="s">
        <v>8771</v>
      </c>
      <c r="J2356" s="26" t="s">
        <v>8797</v>
      </c>
      <c r="K2356" s="26" t="s">
        <v>8798</v>
      </c>
      <c r="L2356" s="26" t="s">
        <v>732</v>
      </c>
      <c r="M2356" s="26">
        <v>6</v>
      </c>
      <c r="N2356" s="26">
        <v>1</v>
      </c>
      <c r="O2356" s="26">
        <v>10</v>
      </c>
      <c r="P2356" s="26">
        <v>0</v>
      </c>
      <c r="Q2356" s="26">
        <f t="shared" si="120"/>
        <v>4</v>
      </c>
      <c r="R2356" s="1209">
        <v>33</v>
      </c>
      <c r="S2356" s="1209">
        <f t="shared" si="121"/>
        <v>330</v>
      </c>
      <c r="T2356" s="26" t="s">
        <v>5448</v>
      </c>
      <c r="U2356" s="1859" t="s">
        <v>8765</v>
      </c>
      <c r="V2356" s="22" t="s">
        <v>8731</v>
      </c>
      <c r="W2356" s="2074" t="s">
        <v>8799</v>
      </c>
      <c r="X2356" s="18"/>
      <c r="Y2356" s="4"/>
      <c r="Z2356" s="4"/>
    </row>
    <row r="2357" spans="1:26" ht="14.1" hidden="1">
      <c r="A2357" s="20">
        <v>2364</v>
      </c>
      <c r="B2357" s="1063">
        <v>42134</v>
      </c>
      <c r="C2357" s="924" t="s">
        <v>3703</v>
      </c>
      <c r="D2357" s="11" t="s">
        <v>6</v>
      </c>
      <c r="E2357" s="26" t="s">
        <v>5448</v>
      </c>
      <c r="F2357" s="26" t="s">
        <v>7782</v>
      </c>
      <c r="G2357" s="26" t="s">
        <v>8776</v>
      </c>
      <c r="H2357" s="237" t="s">
        <v>184</v>
      </c>
      <c r="I2357" s="26" t="s">
        <v>8771</v>
      </c>
      <c r="J2357" s="26" t="s">
        <v>8800</v>
      </c>
      <c r="K2357" s="26" t="s">
        <v>8801</v>
      </c>
      <c r="L2357" s="26" t="s">
        <v>732</v>
      </c>
      <c r="M2357" s="26">
        <v>18</v>
      </c>
      <c r="N2357" s="26">
        <v>1</v>
      </c>
      <c r="O2357" s="26">
        <v>20</v>
      </c>
      <c r="P2357" s="26">
        <v>0</v>
      </c>
      <c r="Q2357" s="26">
        <f t="shared" si="120"/>
        <v>2</v>
      </c>
      <c r="R2357" s="1209">
        <v>61</v>
      </c>
      <c r="S2357" s="1209">
        <f t="shared" si="121"/>
        <v>1220</v>
      </c>
      <c r="T2357" s="26" t="s">
        <v>5448</v>
      </c>
      <c r="U2357" s="1859" t="s">
        <v>8765</v>
      </c>
      <c r="V2357" s="22" t="s">
        <v>8731</v>
      </c>
      <c r="W2357" s="2074" t="s">
        <v>8802</v>
      </c>
      <c r="X2357" s="18"/>
      <c r="Y2357" s="4"/>
      <c r="Z2357" s="4"/>
    </row>
    <row r="2358" spans="1:26" ht="14.1" hidden="1">
      <c r="A2358" s="20">
        <v>2365</v>
      </c>
      <c r="B2358" s="1063">
        <v>42135</v>
      </c>
      <c r="C2358" s="924" t="s">
        <v>8803</v>
      </c>
      <c r="D2358" s="11" t="s">
        <v>6</v>
      </c>
      <c r="E2358" s="26" t="s">
        <v>5448</v>
      </c>
      <c r="F2358" s="26" t="s">
        <v>7782</v>
      </c>
      <c r="G2358" s="26" t="s">
        <v>8776</v>
      </c>
      <c r="H2358" s="237" t="s">
        <v>184</v>
      </c>
      <c r="I2358" s="26" t="s">
        <v>8771</v>
      </c>
      <c r="J2358" s="26" t="s">
        <v>8804</v>
      </c>
      <c r="K2358" s="26" t="s">
        <v>8805</v>
      </c>
      <c r="L2358" s="26" t="s">
        <v>732</v>
      </c>
      <c r="M2358" s="26">
        <v>3</v>
      </c>
      <c r="N2358" s="26">
        <v>1</v>
      </c>
      <c r="O2358" s="26">
        <v>5</v>
      </c>
      <c r="P2358" s="26">
        <v>0</v>
      </c>
      <c r="Q2358" s="26">
        <f t="shared" si="120"/>
        <v>2</v>
      </c>
      <c r="R2358" s="1209">
        <v>12</v>
      </c>
      <c r="S2358" s="1209">
        <f t="shared" si="121"/>
        <v>60</v>
      </c>
      <c r="T2358" s="26" t="s">
        <v>5448</v>
      </c>
      <c r="U2358" s="1859" t="s">
        <v>8765</v>
      </c>
      <c r="V2358" s="22" t="s">
        <v>8731</v>
      </c>
      <c r="W2358" s="2074" t="s">
        <v>8806</v>
      </c>
      <c r="X2358" s="18"/>
      <c r="Y2358" s="4"/>
      <c r="Z2358" s="4"/>
    </row>
    <row r="2359" spans="1:26" ht="14.1" hidden="1">
      <c r="A2359" s="20">
        <v>2366</v>
      </c>
      <c r="B2359" s="1063">
        <v>42136</v>
      </c>
      <c r="C2359" s="924" t="s">
        <v>8807</v>
      </c>
      <c r="D2359" s="11" t="s">
        <v>6</v>
      </c>
      <c r="E2359" s="26" t="s">
        <v>5448</v>
      </c>
      <c r="F2359" s="26" t="s">
        <v>7782</v>
      </c>
      <c r="G2359" s="26" t="s">
        <v>8776</v>
      </c>
      <c r="H2359" s="237" t="s">
        <v>184</v>
      </c>
      <c r="I2359" s="26" t="s">
        <v>8771</v>
      </c>
      <c r="J2359" s="26" t="s">
        <v>8808</v>
      </c>
      <c r="K2359" s="26" t="s">
        <v>8809</v>
      </c>
      <c r="L2359" s="26" t="s">
        <v>732</v>
      </c>
      <c r="M2359" s="26">
        <v>6</v>
      </c>
      <c r="N2359" s="26">
        <v>1</v>
      </c>
      <c r="O2359" s="26">
        <v>10</v>
      </c>
      <c r="P2359" s="26">
        <v>0</v>
      </c>
      <c r="Q2359" s="26">
        <f t="shared" si="120"/>
        <v>4</v>
      </c>
      <c r="R2359" s="1209">
        <v>43</v>
      </c>
      <c r="S2359" s="1209">
        <f t="shared" si="121"/>
        <v>430</v>
      </c>
      <c r="T2359" s="26" t="s">
        <v>5448</v>
      </c>
      <c r="U2359" s="1859" t="s">
        <v>8765</v>
      </c>
      <c r="V2359" s="22" t="s">
        <v>8731</v>
      </c>
      <c r="W2359" s="2074" t="s">
        <v>8810</v>
      </c>
      <c r="X2359" s="18"/>
      <c r="Y2359" s="4"/>
      <c r="Z2359" s="4"/>
    </row>
    <row r="2360" spans="1:26" ht="14.1" hidden="1">
      <c r="A2360" s="20">
        <v>2367</v>
      </c>
      <c r="B2360" s="1063">
        <v>42137</v>
      </c>
      <c r="C2360" s="924" t="s">
        <v>8811</v>
      </c>
      <c r="D2360" s="11" t="s">
        <v>6</v>
      </c>
      <c r="E2360" s="26" t="s">
        <v>5448</v>
      </c>
      <c r="F2360" s="26" t="s">
        <v>7782</v>
      </c>
      <c r="G2360" s="26" t="s">
        <v>8776</v>
      </c>
      <c r="H2360" s="237" t="s">
        <v>184</v>
      </c>
      <c r="I2360" s="26" t="s">
        <v>8771</v>
      </c>
      <c r="J2360" s="26" t="s">
        <v>8812</v>
      </c>
      <c r="K2360" s="26" t="s">
        <v>8813</v>
      </c>
      <c r="L2360" s="26" t="s">
        <v>732</v>
      </c>
      <c r="M2360" s="26">
        <v>9</v>
      </c>
      <c r="N2360" s="26">
        <v>1</v>
      </c>
      <c r="O2360" s="26">
        <v>15</v>
      </c>
      <c r="P2360" s="26">
        <v>0</v>
      </c>
      <c r="Q2360" s="26">
        <f t="shared" si="120"/>
        <v>6</v>
      </c>
      <c r="R2360" s="1209">
        <v>61</v>
      </c>
      <c r="S2360" s="1209">
        <f t="shared" si="121"/>
        <v>915</v>
      </c>
      <c r="T2360" s="26" t="s">
        <v>5448</v>
      </c>
      <c r="U2360" s="1859" t="s">
        <v>8765</v>
      </c>
      <c r="V2360" s="22" t="s">
        <v>8731</v>
      </c>
      <c r="W2360" s="2074" t="s">
        <v>8814</v>
      </c>
      <c r="X2360" s="18"/>
      <c r="Y2360" s="4"/>
      <c r="Z2360" s="4"/>
    </row>
    <row r="2361" spans="1:26" ht="14.1" hidden="1">
      <c r="A2361" s="20">
        <v>2368</v>
      </c>
      <c r="B2361" s="1063">
        <v>42138</v>
      </c>
      <c r="C2361" s="924" t="s">
        <v>3714</v>
      </c>
      <c r="D2361" s="11" t="s">
        <v>6</v>
      </c>
      <c r="E2361" s="26" t="s">
        <v>5448</v>
      </c>
      <c r="F2361" s="26" t="s">
        <v>7782</v>
      </c>
      <c r="G2361" s="26" t="s">
        <v>8776</v>
      </c>
      <c r="H2361" s="237" t="s">
        <v>184</v>
      </c>
      <c r="I2361" s="26" t="s">
        <v>8771</v>
      </c>
      <c r="J2361" s="26" t="s">
        <v>8815</v>
      </c>
      <c r="K2361" s="26" t="s">
        <v>8816</v>
      </c>
      <c r="L2361" s="26" t="s">
        <v>732</v>
      </c>
      <c r="M2361" s="26">
        <v>9</v>
      </c>
      <c r="N2361" s="26">
        <v>1</v>
      </c>
      <c r="O2361" s="26">
        <v>15</v>
      </c>
      <c r="P2361" s="26">
        <v>0</v>
      </c>
      <c r="Q2361" s="26">
        <f t="shared" si="120"/>
        <v>6</v>
      </c>
      <c r="R2361" s="1209">
        <v>16</v>
      </c>
      <c r="S2361" s="1209">
        <f t="shared" si="121"/>
        <v>240</v>
      </c>
      <c r="T2361" s="26" t="s">
        <v>5448</v>
      </c>
      <c r="U2361" s="1859" t="s">
        <v>8765</v>
      </c>
      <c r="V2361" s="22" t="s">
        <v>8731</v>
      </c>
      <c r="W2361" s="2074" t="s">
        <v>8817</v>
      </c>
      <c r="X2361" s="18"/>
      <c r="Y2361" s="4"/>
      <c r="Z2361" s="4"/>
    </row>
    <row r="2362" spans="1:26" ht="14.1" hidden="1">
      <c r="A2362" s="20">
        <v>2369</v>
      </c>
      <c r="B2362" s="1063">
        <v>42139</v>
      </c>
      <c r="C2362" s="924" t="s">
        <v>8818</v>
      </c>
      <c r="D2362" s="11" t="s">
        <v>6</v>
      </c>
      <c r="E2362" s="26" t="s">
        <v>5448</v>
      </c>
      <c r="F2362" s="26" t="s">
        <v>7782</v>
      </c>
      <c r="G2362" s="26" t="s">
        <v>8776</v>
      </c>
      <c r="H2362" s="237" t="s">
        <v>5730</v>
      </c>
      <c r="I2362" s="26" t="s">
        <v>8819</v>
      </c>
      <c r="J2362" s="26" t="s">
        <v>8820</v>
      </c>
      <c r="K2362" s="26" t="s">
        <v>8821</v>
      </c>
      <c r="L2362" s="26" t="s">
        <v>732</v>
      </c>
      <c r="M2362" s="26">
        <v>9</v>
      </c>
      <c r="N2362" s="26">
        <v>1</v>
      </c>
      <c r="O2362" s="26">
        <v>15</v>
      </c>
      <c r="P2362" s="26">
        <v>0</v>
      </c>
      <c r="Q2362" s="26">
        <f t="shared" si="120"/>
        <v>6</v>
      </c>
      <c r="R2362" s="1209">
        <v>68</v>
      </c>
      <c r="S2362" s="1209">
        <f t="shared" si="121"/>
        <v>1020</v>
      </c>
      <c r="T2362" s="26" t="s">
        <v>5448</v>
      </c>
      <c r="U2362" s="1859" t="s">
        <v>8765</v>
      </c>
      <c r="V2362" s="22" t="s">
        <v>8731</v>
      </c>
      <c r="W2362" s="2074" t="s">
        <v>8822</v>
      </c>
      <c r="X2362" s="18"/>
      <c r="Y2362" s="4"/>
      <c r="Z2362" s="4"/>
    </row>
    <row r="2363" spans="1:26" ht="14.1" hidden="1">
      <c r="A2363" s="20">
        <v>2370</v>
      </c>
      <c r="B2363" s="1063">
        <v>42140</v>
      </c>
      <c r="C2363" s="924" t="s">
        <v>8823</v>
      </c>
      <c r="D2363" s="11" t="s">
        <v>6</v>
      </c>
      <c r="E2363" s="26" t="s">
        <v>5448</v>
      </c>
      <c r="F2363" s="26" t="s">
        <v>7782</v>
      </c>
      <c r="G2363" s="26" t="s">
        <v>8776</v>
      </c>
      <c r="H2363" s="237" t="s">
        <v>184</v>
      </c>
      <c r="I2363" s="26" t="s">
        <v>8771</v>
      </c>
      <c r="J2363" s="26" t="s">
        <v>8824</v>
      </c>
      <c r="K2363" s="26" t="s">
        <v>8825</v>
      </c>
      <c r="L2363" s="26" t="s">
        <v>732</v>
      </c>
      <c r="M2363" s="26">
        <v>3</v>
      </c>
      <c r="N2363" s="26">
        <v>1</v>
      </c>
      <c r="O2363" s="26">
        <v>5</v>
      </c>
      <c r="P2363" s="26">
        <v>0</v>
      </c>
      <c r="Q2363" s="26">
        <f t="shared" si="120"/>
        <v>2</v>
      </c>
      <c r="R2363" s="1209">
        <v>110</v>
      </c>
      <c r="S2363" s="1209">
        <f t="shared" si="121"/>
        <v>550</v>
      </c>
      <c r="T2363" s="26" t="s">
        <v>5448</v>
      </c>
      <c r="U2363" s="1859" t="s">
        <v>8765</v>
      </c>
      <c r="V2363" s="22" t="s">
        <v>8731</v>
      </c>
      <c r="W2363" s="2074" t="s">
        <v>8826</v>
      </c>
      <c r="X2363" s="18"/>
      <c r="Y2363" s="4"/>
      <c r="Z2363" s="4"/>
    </row>
    <row r="2364" spans="1:26" ht="14.1" hidden="1">
      <c r="A2364" s="20">
        <v>2371</v>
      </c>
      <c r="B2364" s="1063">
        <v>42141</v>
      </c>
      <c r="C2364" s="924" t="s">
        <v>8827</v>
      </c>
      <c r="D2364" s="11" t="s">
        <v>6</v>
      </c>
      <c r="E2364" s="26" t="s">
        <v>5448</v>
      </c>
      <c r="F2364" s="26" t="s">
        <v>7782</v>
      </c>
      <c r="G2364" s="26" t="s">
        <v>8776</v>
      </c>
      <c r="H2364" s="237" t="s">
        <v>5174</v>
      </c>
      <c r="I2364" s="26" t="s">
        <v>8771</v>
      </c>
      <c r="J2364" s="26" t="s">
        <v>8828</v>
      </c>
      <c r="K2364" s="26" t="s">
        <v>8829</v>
      </c>
      <c r="L2364" s="26" t="s">
        <v>4291</v>
      </c>
      <c r="M2364" s="26">
        <v>18</v>
      </c>
      <c r="N2364" s="26">
        <v>1</v>
      </c>
      <c r="O2364" s="26">
        <v>20</v>
      </c>
      <c r="P2364" s="26">
        <v>0</v>
      </c>
      <c r="Q2364" s="26">
        <f t="shared" si="120"/>
        <v>2</v>
      </c>
      <c r="R2364" s="1209">
        <v>12</v>
      </c>
      <c r="S2364" s="1209">
        <f t="shared" si="121"/>
        <v>240</v>
      </c>
      <c r="T2364" s="26" t="s">
        <v>5448</v>
      </c>
      <c r="U2364" s="1859" t="s">
        <v>8765</v>
      </c>
      <c r="V2364" s="22" t="s">
        <v>8731</v>
      </c>
      <c r="W2364" s="2074" t="s">
        <v>8830</v>
      </c>
      <c r="X2364" s="18"/>
      <c r="Y2364" s="4"/>
      <c r="Z2364" s="4"/>
    </row>
    <row r="2365" spans="1:26" ht="14.1" hidden="1">
      <c r="A2365" s="20">
        <v>2372</v>
      </c>
      <c r="B2365" s="1063">
        <v>42142</v>
      </c>
      <c r="C2365" s="924" t="s">
        <v>8831</v>
      </c>
      <c r="D2365" s="11" t="s">
        <v>6</v>
      </c>
      <c r="E2365" s="26" t="s">
        <v>5448</v>
      </c>
      <c r="F2365" s="26" t="s">
        <v>7782</v>
      </c>
      <c r="G2365" s="26" t="s">
        <v>8776</v>
      </c>
      <c r="H2365" s="237" t="s">
        <v>5550</v>
      </c>
      <c r="I2365" s="26" t="s">
        <v>8771</v>
      </c>
      <c r="J2365" s="26" t="s">
        <v>8669</v>
      </c>
      <c r="K2365" s="26" t="s">
        <v>8670</v>
      </c>
      <c r="L2365" s="26" t="s">
        <v>4291</v>
      </c>
      <c r="M2365" s="26">
        <v>15</v>
      </c>
      <c r="N2365" s="26">
        <v>1</v>
      </c>
      <c r="O2365" s="26">
        <v>25</v>
      </c>
      <c r="P2365" s="26">
        <v>0</v>
      </c>
      <c r="Q2365" s="26">
        <f t="shared" si="120"/>
        <v>10</v>
      </c>
      <c r="R2365" s="1209">
        <v>53</v>
      </c>
      <c r="S2365" s="1209">
        <f t="shared" si="121"/>
        <v>1325</v>
      </c>
      <c r="T2365" s="26" t="s">
        <v>5448</v>
      </c>
      <c r="U2365" s="1859" t="s">
        <v>8765</v>
      </c>
      <c r="V2365" s="22" t="s">
        <v>8731</v>
      </c>
      <c r="W2365" s="2074" t="s">
        <v>8671</v>
      </c>
      <c r="X2365" s="18"/>
      <c r="Y2365" s="4"/>
      <c r="Z2365" s="4"/>
    </row>
    <row r="2366" spans="1:26" ht="14.1" hidden="1">
      <c r="A2366" s="20">
        <v>2373</v>
      </c>
      <c r="B2366" s="1063">
        <v>42143</v>
      </c>
      <c r="C2366" s="924" t="s">
        <v>8832</v>
      </c>
      <c r="D2366" s="11" t="s">
        <v>6</v>
      </c>
      <c r="E2366" s="26" t="s">
        <v>5448</v>
      </c>
      <c r="F2366" s="26" t="s">
        <v>7782</v>
      </c>
      <c r="G2366" s="26" t="s">
        <v>8776</v>
      </c>
      <c r="H2366" s="237" t="s">
        <v>5174</v>
      </c>
      <c r="I2366" s="26" t="s">
        <v>8771</v>
      </c>
      <c r="J2366" s="26" t="s">
        <v>8833</v>
      </c>
      <c r="K2366" s="26" t="s">
        <v>8834</v>
      </c>
      <c r="L2366" s="26" t="s">
        <v>4291</v>
      </c>
      <c r="M2366" s="26">
        <v>30</v>
      </c>
      <c r="N2366" s="26">
        <v>1</v>
      </c>
      <c r="O2366" s="26">
        <v>35</v>
      </c>
      <c r="P2366" s="26">
        <v>0</v>
      </c>
      <c r="Q2366" s="26">
        <f t="shared" si="120"/>
        <v>5</v>
      </c>
      <c r="R2366" s="1209">
        <v>12</v>
      </c>
      <c r="S2366" s="1209">
        <f t="shared" si="121"/>
        <v>420</v>
      </c>
      <c r="T2366" s="26" t="s">
        <v>5448</v>
      </c>
      <c r="U2366" s="1859" t="s">
        <v>8765</v>
      </c>
      <c r="V2366" s="22" t="s">
        <v>8731</v>
      </c>
      <c r="W2366" s="2074" t="s">
        <v>8835</v>
      </c>
      <c r="X2366" s="18"/>
      <c r="Y2366" s="4"/>
      <c r="Z2366" s="4"/>
    </row>
    <row r="2367" spans="1:26" ht="14.1" hidden="1">
      <c r="A2367" s="20">
        <v>2374</v>
      </c>
      <c r="B2367" s="1063">
        <v>42144</v>
      </c>
      <c r="C2367" s="924" t="s">
        <v>8836</v>
      </c>
      <c r="D2367" s="11" t="s">
        <v>6</v>
      </c>
      <c r="E2367" s="26" t="s">
        <v>5448</v>
      </c>
      <c r="F2367" s="26" t="s">
        <v>7782</v>
      </c>
      <c r="G2367" s="26" t="s">
        <v>8776</v>
      </c>
      <c r="H2367" s="237" t="s">
        <v>5174</v>
      </c>
      <c r="I2367" s="26" t="s">
        <v>8771</v>
      </c>
      <c r="J2367" s="26" t="s">
        <v>8837</v>
      </c>
      <c r="K2367" s="26" t="s">
        <v>8838</v>
      </c>
      <c r="L2367" s="26" t="s">
        <v>4291</v>
      </c>
      <c r="M2367" s="26">
        <v>12</v>
      </c>
      <c r="N2367" s="26">
        <v>1</v>
      </c>
      <c r="O2367" s="26">
        <v>15</v>
      </c>
      <c r="P2367" s="26">
        <v>0</v>
      </c>
      <c r="Q2367" s="26">
        <f t="shared" si="120"/>
        <v>3</v>
      </c>
      <c r="R2367" s="1209">
        <v>12</v>
      </c>
      <c r="S2367" s="1209">
        <f t="shared" si="121"/>
        <v>180</v>
      </c>
      <c r="T2367" s="26" t="s">
        <v>5448</v>
      </c>
      <c r="U2367" s="1859" t="s">
        <v>8765</v>
      </c>
      <c r="V2367" s="22" t="s">
        <v>8731</v>
      </c>
      <c r="W2367" s="2074" t="s">
        <v>8839</v>
      </c>
      <c r="X2367" s="18"/>
      <c r="Y2367" s="4"/>
      <c r="Z2367" s="4"/>
    </row>
    <row r="2368" spans="1:26" ht="14.1" hidden="1">
      <c r="A2368" s="20">
        <v>2375</v>
      </c>
      <c r="B2368" s="1063">
        <v>42145</v>
      </c>
      <c r="C2368" s="924" t="s">
        <v>8840</v>
      </c>
      <c r="D2368" s="11" t="s">
        <v>6</v>
      </c>
      <c r="E2368" s="26" t="s">
        <v>5448</v>
      </c>
      <c r="F2368" s="26" t="s">
        <v>7782</v>
      </c>
      <c r="G2368" s="26" t="s">
        <v>8776</v>
      </c>
      <c r="H2368" s="237" t="s">
        <v>5174</v>
      </c>
      <c r="I2368" s="26" t="s">
        <v>8771</v>
      </c>
      <c r="J2368" s="26" t="s">
        <v>8841</v>
      </c>
      <c r="K2368" s="26" t="s">
        <v>8842</v>
      </c>
      <c r="L2368" s="26" t="s">
        <v>4291</v>
      </c>
      <c r="M2368" s="26">
        <v>12</v>
      </c>
      <c r="N2368" s="26">
        <v>1</v>
      </c>
      <c r="O2368" s="26">
        <v>15</v>
      </c>
      <c r="P2368" s="26">
        <v>0</v>
      </c>
      <c r="Q2368" s="26">
        <f t="shared" si="120"/>
        <v>3</v>
      </c>
      <c r="R2368" s="1209">
        <v>12</v>
      </c>
      <c r="S2368" s="1209">
        <f t="shared" si="121"/>
        <v>180</v>
      </c>
      <c r="T2368" s="26" t="s">
        <v>5448</v>
      </c>
      <c r="U2368" s="1859" t="s">
        <v>8765</v>
      </c>
      <c r="V2368" s="22" t="s">
        <v>8731</v>
      </c>
      <c r="W2368" s="2074" t="s">
        <v>8843</v>
      </c>
      <c r="X2368" s="18"/>
      <c r="Y2368" s="4"/>
      <c r="Z2368" s="4"/>
    </row>
    <row r="2369" spans="1:26" ht="14.1" hidden="1">
      <c r="A2369" s="20">
        <v>2376</v>
      </c>
      <c r="B2369" s="1063">
        <v>42146</v>
      </c>
      <c r="C2369" s="924" t="s">
        <v>8844</v>
      </c>
      <c r="D2369" s="11" t="s">
        <v>6</v>
      </c>
      <c r="E2369" s="26" t="s">
        <v>5448</v>
      </c>
      <c r="F2369" s="26" t="s">
        <v>7782</v>
      </c>
      <c r="G2369" s="26" t="s">
        <v>8776</v>
      </c>
      <c r="H2369" s="237" t="s">
        <v>5174</v>
      </c>
      <c r="I2369" s="26" t="s">
        <v>8771</v>
      </c>
      <c r="J2369" s="26" t="s">
        <v>8845</v>
      </c>
      <c r="K2369" s="26" t="s">
        <v>8846</v>
      </c>
      <c r="L2369" s="26" t="s">
        <v>4291</v>
      </c>
      <c r="M2369" s="26">
        <v>12</v>
      </c>
      <c r="N2369" s="26">
        <v>1</v>
      </c>
      <c r="O2369" s="26">
        <v>15</v>
      </c>
      <c r="P2369" s="26">
        <v>0</v>
      </c>
      <c r="Q2369" s="26">
        <f t="shared" si="120"/>
        <v>3</v>
      </c>
      <c r="R2369" s="1209">
        <v>12</v>
      </c>
      <c r="S2369" s="1209">
        <f t="shared" si="121"/>
        <v>180</v>
      </c>
      <c r="T2369" s="26" t="s">
        <v>5448</v>
      </c>
      <c r="U2369" s="1859" t="s">
        <v>8765</v>
      </c>
      <c r="V2369" s="22" t="s">
        <v>8731</v>
      </c>
      <c r="W2369" s="2074" t="s">
        <v>8847</v>
      </c>
      <c r="X2369" s="18"/>
      <c r="Y2369" s="4"/>
      <c r="Z2369" s="4"/>
    </row>
    <row r="2370" spans="1:26" ht="14.1" hidden="1">
      <c r="A2370" s="20">
        <v>2377</v>
      </c>
      <c r="B2370" s="1063">
        <v>42147</v>
      </c>
      <c r="C2370" s="924" t="s">
        <v>8848</v>
      </c>
      <c r="D2370" s="11" t="s">
        <v>6</v>
      </c>
      <c r="E2370" s="26" t="s">
        <v>5448</v>
      </c>
      <c r="F2370" s="26" t="s">
        <v>7782</v>
      </c>
      <c r="G2370" s="26" t="s">
        <v>8776</v>
      </c>
      <c r="H2370" s="237" t="s">
        <v>5174</v>
      </c>
      <c r="I2370" s="26" t="s">
        <v>8771</v>
      </c>
      <c r="J2370" s="26" t="s">
        <v>8849</v>
      </c>
      <c r="K2370" s="26" t="s">
        <v>8850</v>
      </c>
      <c r="L2370" s="26" t="s">
        <v>4291</v>
      </c>
      <c r="M2370" s="26">
        <v>9</v>
      </c>
      <c r="N2370" s="26">
        <v>1</v>
      </c>
      <c r="O2370" s="26">
        <v>15</v>
      </c>
      <c r="P2370" s="26">
        <v>0</v>
      </c>
      <c r="Q2370" s="26">
        <f t="shared" si="120"/>
        <v>6</v>
      </c>
      <c r="R2370" s="1209">
        <v>13</v>
      </c>
      <c r="S2370" s="1209">
        <f t="shared" si="121"/>
        <v>195</v>
      </c>
      <c r="T2370" s="26" t="s">
        <v>5448</v>
      </c>
      <c r="U2370" s="1859" t="s">
        <v>8765</v>
      </c>
      <c r="V2370" s="22" t="s">
        <v>8731</v>
      </c>
      <c r="W2370" s="2074" t="s">
        <v>8851</v>
      </c>
      <c r="X2370" s="18"/>
      <c r="Y2370" s="4"/>
      <c r="Z2370" s="4"/>
    </row>
    <row r="2371" spans="1:26" ht="14.1" hidden="1">
      <c r="A2371" s="20">
        <v>2378</v>
      </c>
      <c r="B2371" s="1063">
        <v>42148</v>
      </c>
      <c r="C2371" s="924" t="s">
        <v>8852</v>
      </c>
      <c r="D2371" s="11" t="s">
        <v>6</v>
      </c>
      <c r="E2371" s="26" t="s">
        <v>5448</v>
      </c>
      <c r="F2371" s="26" t="s">
        <v>7782</v>
      </c>
      <c r="G2371" s="26" t="s">
        <v>8776</v>
      </c>
      <c r="H2371" s="237" t="s">
        <v>3676</v>
      </c>
      <c r="I2371" s="26" t="s">
        <v>8771</v>
      </c>
      <c r="J2371" s="26" t="s">
        <v>8853</v>
      </c>
      <c r="K2371" s="26" t="s">
        <v>8854</v>
      </c>
      <c r="L2371" s="26" t="s">
        <v>4291</v>
      </c>
      <c r="M2371" s="26">
        <v>3</v>
      </c>
      <c r="N2371" s="26">
        <v>1</v>
      </c>
      <c r="O2371" s="26">
        <v>5</v>
      </c>
      <c r="P2371" s="26">
        <v>0</v>
      </c>
      <c r="Q2371" s="26">
        <f t="shared" si="120"/>
        <v>2</v>
      </c>
      <c r="R2371" s="1209">
        <v>12</v>
      </c>
      <c r="S2371" s="1209">
        <f t="shared" si="121"/>
        <v>60</v>
      </c>
      <c r="T2371" s="26" t="s">
        <v>5448</v>
      </c>
      <c r="U2371" s="1859" t="s">
        <v>8765</v>
      </c>
      <c r="V2371" s="22" t="s">
        <v>8731</v>
      </c>
      <c r="W2371" s="2074" t="s">
        <v>8855</v>
      </c>
      <c r="X2371" s="18"/>
      <c r="Y2371" s="4"/>
      <c r="Z2371" s="4"/>
    </row>
    <row r="2372" spans="1:26" ht="14.1" hidden="1">
      <c r="A2372" s="20">
        <v>2379</v>
      </c>
      <c r="B2372" s="1063">
        <v>42149</v>
      </c>
      <c r="C2372" s="924" t="s">
        <v>8856</v>
      </c>
      <c r="D2372" s="11" t="s">
        <v>6</v>
      </c>
      <c r="E2372" s="26" t="s">
        <v>5448</v>
      </c>
      <c r="F2372" s="26" t="s">
        <v>7782</v>
      </c>
      <c r="G2372" s="26" t="s">
        <v>8776</v>
      </c>
      <c r="H2372" s="237" t="s">
        <v>5174</v>
      </c>
      <c r="I2372" s="26" t="s">
        <v>8771</v>
      </c>
      <c r="J2372" s="26" t="s">
        <v>8857</v>
      </c>
      <c r="K2372" s="26" t="s">
        <v>8858</v>
      </c>
      <c r="L2372" s="26" t="s">
        <v>4291</v>
      </c>
      <c r="M2372" s="26">
        <v>3</v>
      </c>
      <c r="N2372" s="26">
        <v>1</v>
      </c>
      <c r="O2372" s="26">
        <v>5</v>
      </c>
      <c r="P2372" s="26">
        <v>0</v>
      </c>
      <c r="Q2372" s="26">
        <f t="shared" si="120"/>
        <v>2</v>
      </c>
      <c r="R2372" s="1209">
        <v>12</v>
      </c>
      <c r="S2372" s="1209">
        <f t="shared" si="121"/>
        <v>60</v>
      </c>
      <c r="T2372" s="26" t="s">
        <v>5448</v>
      </c>
      <c r="U2372" s="1859" t="s">
        <v>8765</v>
      </c>
      <c r="V2372" s="22" t="s">
        <v>8731</v>
      </c>
      <c r="W2372" s="2074" t="s">
        <v>8859</v>
      </c>
      <c r="X2372" s="18"/>
      <c r="Y2372" s="4"/>
      <c r="Z2372" s="4"/>
    </row>
    <row r="2373" spans="1:26" ht="14.1" hidden="1">
      <c r="A2373" s="20">
        <v>2380</v>
      </c>
      <c r="B2373" s="1063">
        <v>42150</v>
      </c>
      <c r="C2373" s="924" t="s">
        <v>8860</v>
      </c>
      <c r="D2373" s="11" t="s">
        <v>6</v>
      </c>
      <c r="E2373" s="26" t="s">
        <v>5448</v>
      </c>
      <c r="F2373" s="26" t="s">
        <v>7782</v>
      </c>
      <c r="G2373" s="26" t="s">
        <v>8776</v>
      </c>
      <c r="H2373" s="237" t="s">
        <v>5174</v>
      </c>
      <c r="I2373" s="26" t="s">
        <v>8771</v>
      </c>
      <c r="J2373" s="26" t="s">
        <v>8861</v>
      </c>
      <c r="K2373" s="26" t="s">
        <v>8862</v>
      </c>
      <c r="L2373" s="26" t="s">
        <v>4291</v>
      </c>
      <c r="M2373" s="26">
        <v>3</v>
      </c>
      <c r="N2373" s="26">
        <v>1</v>
      </c>
      <c r="O2373" s="26">
        <v>5</v>
      </c>
      <c r="P2373" s="26">
        <v>0</v>
      </c>
      <c r="Q2373" s="26">
        <f t="shared" si="120"/>
        <v>2</v>
      </c>
      <c r="R2373" s="1209">
        <v>12</v>
      </c>
      <c r="S2373" s="1209">
        <f t="shared" si="121"/>
        <v>60</v>
      </c>
      <c r="T2373" s="26" t="s">
        <v>5448</v>
      </c>
      <c r="U2373" s="1859" t="s">
        <v>8765</v>
      </c>
      <c r="V2373" s="22" t="s">
        <v>8731</v>
      </c>
      <c r="W2373" s="2074" t="s">
        <v>8863</v>
      </c>
      <c r="X2373" s="18"/>
      <c r="Y2373" s="4"/>
      <c r="Z2373" s="4"/>
    </row>
    <row r="2374" spans="1:26" ht="14.1" hidden="1">
      <c r="A2374" s="20">
        <v>2381</v>
      </c>
      <c r="B2374" s="1063">
        <v>42151</v>
      </c>
      <c r="C2374" s="924" t="s">
        <v>8864</v>
      </c>
      <c r="D2374" s="11" t="s">
        <v>6</v>
      </c>
      <c r="E2374" s="26" t="s">
        <v>5448</v>
      </c>
      <c r="F2374" s="26" t="s">
        <v>7782</v>
      </c>
      <c r="G2374" s="26" t="s">
        <v>8776</v>
      </c>
      <c r="H2374" s="237" t="s">
        <v>5174</v>
      </c>
      <c r="I2374" s="26" t="s">
        <v>8771</v>
      </c>
      <c r="J2374" s="26" t="s">
        <v>8865</v>
      </c>
      <c r="K2374" s="26" t="s">
        <v>8866</v>
      </c>
      <c r="L2374" s="26" t="s">
        <v>4291</v>
      </c>
      <c r="M2374" s="26">
        <v>9</v>
      </c>
      <c r="N2374" s="26">
        <v>1</v>
      </c>
      <c r="O2374" s="26">
        <v>15</v>
      </c>
      <c r="P2374" s="26">
        <v>0</v>
      </c>
      <c r="Q2374" s="26">
        <f t="shared" si="120"/>
        <v>6</v>
      </c>
      <c r="R2374" s="1209">
        <v>12</v>
      </c>
      <c r="S2374" s="1209">
        <f t="shared" si="121"/>
        <v>180</v>
      </c>
      <c r="T2374" s="26" t="s">
        <v>5448</v>
      </c>
      <c r="U2374" s="1859" t="s">
        <v>8765</v>
      </c>
      <c r="V2374" s="22" t="s">
        <v>8731</v>
      </c>
      <c r="W2374" s="2074" t="s">
        <v>8867</v>
      </c>
      <c r="X2374" s="18"/>
      <c r="Y2374" s="4"/>
      <c r="Z2374" s="4"/>
    </row>
    <row r="2375" spans="1:26" ht="14.1" hidden="1">
      <c r="A2375" s="20">
        <v>2382</v>
      </c>
      <c r="B2375" s="1063">
        <v>42152</v>
      </c>
      <c r="C2375" s="924" t="s">
        <v>8868</v>
      </c>
      <c r="D2375" s="11" t="s">
        <v>6</v>
      </c>
      <c r="E2375" s="26" t="s">
        <v>5448</v>
      </c>
      <c r="F2375" s="26" t="s">
        <v>7782</v>
      </c>
      <c r="G2375" s="26" t="s">
        <v>8776</v>
      </c>
      <c r="H2375" s="237" t="s">
        <v>5174</v>
      </c>
      <c r="I2375" s="26" t="s">
        <v>8771</v>
      </c>
      <c r="J2375" s="26" t="s">
        <v>8869</v>
      </c>
      <c r="K2375" s="26" t="s">
        <v>8870</v>
      </c>
      <c r="L2375" s="26" t="s">
        <v>4291</v>
      </c>
      <c r="M2375" s="26">
        <v>6</v>
      </c>
      <c r="N2375" s="26">
        <v>1</v>
      </c>
      <c r="O2375" s="26">
        <v>10</v>
      </c>
      <c r="P2375" s="26">
        <v>0</v>
      </c>
      <c r="Q2375" s="26">
        <f t="shared" si="120"/>
        <v>4</v>
      </c>
      <c r="R2375" s="1209">
        <v>12</v>
      </c>
      <c r="S2375" s="1209">
        <f t="shared" si="121"/>
        <v>120</v>
      </c>
      <c r="T2375" s="26" t="s">
        <v>5448</v>
      </c>
      <c r="U2375" s="1859" t="s">
        <v>8765</v>
      </c>
      <c r="V2375" s="22" t="s">
        <v>8731</v>
      </c>
      <c r="W2375" s="2074" t="s">
        <v>8871</v>
      </c>
      <c r="X2375" s="18"/>
      <c r="Y2375" s="4"/>
      <c r="Z2375" s="4"/>
    </row>
    <row r="2376" spans="1:26" ht="14.1" hidden="1">
      <c r="A2376" s="20">
        <v>2383</v>
      </c>
      <c r="B2376" s="1063">
        <v>42153</v>
      </c>
      <c r="C2376" s="924" t="s">
        <v>8872</v>
      </c>
      <c r="D2376" s="11" t="s">
        <v>6</v>
      </c>
      <c r="E2376" s="26" t="s">
        <v>5448</v>
      </c>
      <c r="F2376" s="26" t="s">
        <v>7782</v>
      </c>
      <c r="G2376" s="26" t="s">
        <v>8776</v>
      </c>
      <c r="H2376" s="237" t="s">
        <v>5174</v>
      </c>
      <c r="I2376" s="26" t="s">
        <v>8771</v>
      </c>
      <c r="J2376" s="26" t="s">
        <v>8873</v>
      </c>
      <c r="K2376" s="26" t="s">
        <v>8874</v>
      </c>
      <c r="L2376" s="26" t="s">
        <v>4291</v>
      </c>
      <c r="M2376" s="26">
        <v>9</v>
      </c>
      <c r="N2376" s="26">
        <v>1</v>
      </c>
      <c r="O2376" s="26">
        <v>15</v>
      </c>
      <c r="P2376" s="26">
        <v>0</v>
      </c>
      <c r="Q2376" s="26">
        <f t="shared" si="120"/>
        <v>6</v>
      </c>
      <c r="R2376" s="1209">
        <v>12</v>
      </c>
      <c r="S2376" s="1209">
        <f t="shared" si="121"/>
        <v>180</v>
      </c>
      <c r="T2376" s="26" t="s">
        <v>5448</v>
      </c>
      <c r="U2376" s="1859" t="s">
        <v>8765</v>
      </c>
      <c r="V2376" s="22" t="s">
        <v>8731</v>
      </c>
      <c r="W2376" s="2074" t="s">
        <v>8875</v>
      </c>
      <c r="X2376" s="18"/>
      <c r="Y2376" s="4"/>
      <c r="Z2376" s="4"/>
    </row>
    <row r="2377" spans="1:26" ht="14.1" hidden="1">
      <c r="A2377" s="20">
        <v>2384</v>
      </c>
      <c r="B2377" s="1063">
        <v>42154</v>
      </c>
      <c r="C2377" s="924" t="s">
        <v>8876</v>
      </c>
      <c r="D2377" s="11" t="s">
        <v>6</v>
      </c>
      <c r="E2377" s="26" t="s">
        <v>5448</v>
      </c>
      <c r="F2377" s="26" t="s">
        <v>7782</v>
      </c>
      <c r="G2377" s="26" t="s">
        <v>8776</v>
      </c>
      <c r="H2377" s="237" t="s">
        <v>5174</v>
      </c>
      <c r="I2377" s="26" t="s">
        <v>8771</v>
      </c>
      <c r="J2377" s="26" t="s">
        <v>8877</v>
      </c>
      <c r="K2377" s="26" t="s">
        <v>8878</v>
      </c>
      <c r="L2377" s="26" t="s">
        <v>4291</v>
      </c>
      <c r="M2377" s="26">
        <v>9</v>
      </c>
      <c r="N2377" s="26">
        <v>1</v>
      </c>
      <c r="O2377" s="26">
        <v>15</v>
      </c>
      <c r="P2377" s="26">
        <v>0</v>
      </c>
      <c r="Q2377" s="26">
        <f t="shared" si="120"/>
        <v>6</v>
      </c>
      <c r="R2377" s="1209">
        <v>12</v>
      </c>
      <c r="S2377" s="1209">
        <f t="shared" si="121"/>
        <v>180</v>
      </c>
      <c r="T2377" s="26" t="s">
        <v>5448</v>
      </c>
      <c r="U2377" s="1859" t="s">
        <v>8765</v>
      </c>
      <c r="V2377" s="22" t="s">
        <v>8731</v>
      </c>
      <c r="W2377" s="2074" t="s">
        <v>8879</v>
      </c>
      <c r="X2377" s="18"/>
      <c r="Y2377" s="4"/>
      <c r="Z2377" s="4"/>
    </row>
    <row r="2378" spans="1:26" ht="14.1" hidden="1">
      <c r="A2378" s="20">
        <v>2385</v>
      </c>
      <c r="B2378" s="1063">
        <v>42155</v>
      </c>
      <c r="C2378" s="924" t="s">
        <v>8880</v>
      </c>
      <c r="D2378" s="11" t="s">
        <v>6</v>
      </c>
      <c r="E2378" s="26" t="s">
        <v>5448</v>
      </c>
      <c r="F2378" s="26" t="s">
        <v>7782</v>
      </c>
      <c r="G2378" s="26" t="s">
        <v>8776</v>
      </c>
      <c r="H2378" s="237" t="s">
        <v>5174</v>
      </c>
      <c r="I2378" s="26" t="s">
        <v>8771</v>
      </c>
      <c r="J2378" s="26" t="s">
        <v>8881</v>
      </c>
      <c r="K2378" s="26" t="s">
        <v>8882</v>
      </c>
      <c r="L2378" s="26" t="s">
        <v>4291</v>
      </c>
      <c r="M2378" s="26">
        <v>9</v>
      </c>
      <c r="N2378" s="26">
        <v>1</v>
      </c>
      <c r="O2378" s="26">
        <v>15</v>
      </c>
      <c r="P2378" s="26">
        <v>0</v>
      </c>
      <c r="Q2378" s="26">
        <f t="shared" si="120"/>
        <v>6</v>
      </c>
      <c r="R2378" s="1209">
        <v>12</v>
      </c>
      <c r="S2378" s="1209">
        <f t="shared" si="121"/>
        <v>180</v>
      </c>
      <c r="T2378" s="26" t="s">
        <v>5448</v>
      </c>
      <c r="U2378" s="1859" t="s">
        <v>8765</v>
      </c>
      <c r="V2378" s="22" t="s">
        <v>8731</v>
      </c>
      <c r="W2378" s="2074" t="s">
        <v>8883</v>
      </c>
      <c r="X2378" s="18"/>
      <c r="Y2378" s="4"/>
      <c r="Z2378" s="4"/>
    </row>
    <row r="2379" spans="1:26" ht="14.1" hidden="1">
      <c r="A2379" s="20">
        <v>2386</v>
      </c>
      <c r="B2379" s="1063">
        <v>42156</v>
      </c>
      <c r="C2379" s="924" t="s">
        <v>8884</v>
      </c>
      <c r="D2379" s="11" t="s">
        <v>6</v>
      </c>
      <c r="E2379" s="26" t="s">
        <v>5448</v>
      </c>
      <c r="F2379" s="26" t="s">
        <v>7782</v>
      </c>
      <c r="G2379" s="26" t="s">
        <v>8885</v>
      </c>
      <c r="H2379" s="237" t="s">
        <v>7079</v>
      </c>
      <c r="I2379" s="26" t="s">
        <v>8771</v>
      </c>
      <c r="J2379" s="26" t="s">
        <v>7080</v>
      </c>
      <c r="K2379" s="26" t="s">
        <v>7081</v>
      </c>
      <c r="L2379" s="26" t="s">
        <v>5267</v>
      </c>
      <c r="M2379" s="26">
        <v>3</v>
      </c>
      <c r="N2379" s="26">
        <v>1</v>
      </c>
      <c r="O2379" s="26">
        <v>3</v>
      </c>
      <c r="P2379" s="26">
        <v>3</v>
      </c>
      <c r="Q2379" s="26">
        <v>3</v>
      </c>
      <c r="R2379" s="1209">
        <v>488</v>
      </c>
      <c r="S2379" s="1209">
        <f t="shared" si="121"/>
        <v>1464</v>
      </c>
      <c r="T2379" s="26" t="s">
        <v>5448</v>
      </c>
      <c r="U2379" s="1859" t="s">
        <v>8765</v>
      </c>
      <c r="V2379" s="22" t="s">
        <v>8731</v>
      </c>
      <c r="W2379" s="2074" t="s">
        <v>7083</v>
      </c>
      <c r="X2379" s="18"/>
      <c r="Y2379" s="4"/>
      <c r="Z2379" s="4"/>
    </row>
    <row r="2380" spans="1:26" ht="14.1" hidden="1">
      <c r="A2380" s="20">
        <v>2387</v>
      </c>
      <c r="B2380" s="1063">
        <v>42157</v>
      </c>
      <c r="C2380" s="924" t="s">
        <v>8886</v>
      </c>
      <c r="D2380" s="11" t="s">
        <v>6</v>
      </c>
      <c r="E2380" s="26" t="s">
        <v>5448</v>
      </c>
      <c r="F2380" s="26" t="s">
        <v>7782</v>
      </c>
      <c r="G2380" s="26" t="s">
        <v>8887</v>
      </c>
      <c r="H2380" s="237" t="s">
        <v>8888</v>
      </c>
      <c r="I2380" s="26" t="s">
        <v>8771</v>
      </c>
      <c r="J2380" s="26" t="s">
        <v>8889</v>
      </c>
      <c r="K2380" s="26">
        <v>532610271</v>
      </c>
      <c r="L2380" s="26" t="s">
        <v>1088</v>
      </c>
      <c r="M2380" s="26">
        <v>15</v>
      </c>
      <c r="N2380" s="26">
        <v>1</v>
      </c>
      <c r="O2380" s="26">
        <v>20</v>
      </c>
      <c r="P2380" s="26">
        <v>0</v>
      </c>
      <c r="Q2380" s="26">
        <f t="shared" ref="Q2380:Q2395" si="122">O2380-M2380</f>
        <v>5</v>
      </c>
      <c r="R2380" s="1209">
        <v>59</v>
      </c>
      <c r="S2380" s="1209">
        <f t="shared" si="121"/>
        <v>1180</v>
      </c>
      <c r="T2380" s="26" t="s">
        <v>5448</v>
      </c>
      <c r="U2380" s="1859" t="s">
        <v>8765</v>
      </c>
      <c r="V2380" s="22" t="s">
        <v>8731</v>
      </c>
      <c r="W2380" s="2074" t="s">
        <v>8890</v>
      </c>
      <c r="X2380" s="18"/>
      <c r="Y2380" s="4"/>
      <c r="Z2380" s="4"/>
    </row>
    <row r="2381" spans="1:26" ht="14.1" hidden="1">
      <c r="A2381" s="20">
        <v>2388</v>
      </c>
      <c r="B2381" s="1063">
        <v>42158</v>
      </c>
      <c r="C2381" s="924" t="s">
        <v>8891</v>
      </c>
      <c r="D2381" s="11" t="s">
        <v>6</v>
      </c>
      <c r="E2381" s="26" t="s">
        <v>5448</v>
      </c>
      <c r="F2381" s="26" t="s">
        <v>7782</v>
      </c>
      <c r="G2381" s="26" t="s">
        <v>8892</v>
      </c>
      <c r="H2381" s="237" t="s">
        <v>2280</v>
      </c>
      <c r="I2381" s="26" t="s">
        <v>8771</v>
      </c>
      <c r="J2381" s="26" t="s">
        <v>512</v>
      </c>
      <c r="K2381" s="26" t="s">
        <v>2281</v>
      </c>
      <c r="L2381" s="26" t="s">
        <v>8893</v>
      </c>
      <c r="M2381" s="26">
        <v>6</v>
      </c>
      <c r="N2381" s="26">
        <v>1</v>
      </c>
      <c r="O2381" s="26">
        <v>10</v>
      </c>
      <c r="P2381" s="26">
        <v>0</v>
      </c>
      <c r="Q2381" s="26">
        <f t="shared" si="122"/>
        <v>4</v>
      </c>
      <c r="R2381" s="1209">
        <v>61</v>
      </c>
      <c r="S2381" s="1209">
        <f t="shared" si="121"/>
        <v>610</v>
      </c>
      <c r="T2381" s="26" t="s">
        <v>5448</v>
      </c>
      <c r="U2381" s="1859" t="s">
        <v>8765</v>
      </c>
      <c r="V2381" s="22" t="s">
        <v>8731</v>
      </c>
      <c r="W2381" s="2074" t="s">
        <v>8894</v>
      </c>
      <c r="X2381" s="18"/>
      <c r="Y2381" s="4"/>
      <c r="Z2381" s="4"/>
    </row>
    <row r="2382" spans="1:26" ht="14.1" hidden="1">
      <c r="A2382" s="20">
        <v>2389</v>
      </c>
      <c r="B2382" s="1063">
        <v>42159</v>
      </c>
      <c r="C2382" s="924" t="s">
        <v>8895</v>
      </c>
      <c r="D2382" s="11" t="s">
        <v>6</v>
      </c>
      <c r="E2382" s="26" t="s">
        <v>5448</v>
      </c>
      <c r="F2382" s="26" t="s">
        <v>7782</v>
      </c>
      <c r="G2382" s="26" t="s">
        <v>8896</v>
      </c>
      <c r="H2382" s="237" t="s">
        <v>1498</v>
      </c>
      <c r="I2382" s="275" t="s">
        <v>8819</v>
      </c>
      <c r="J2382" s="26" t="s">
        <v>8897</v>
      </c>
      <c r="K2382" s="26" t="s">
        <v>8898</v>
      </c>
      <c r="L2382" s="26" t="s">
        <v>8899</v>
      </c>
      <c r="M2382" s="26">
        <v>9</v>
      </c>
      <c r="N2382" s="26">
        <v>1</v>
      </c>
      <c r="O2382" s="26">
        <v>15</v>
      </c>
      <c r="P2382" s="26">
        <v>0</v>
      </c>
      <c r="Q2382" s="26">
        <f t="shared" si="122"/>
        <v>6</v>
      </c>
      <c r="R2382" s="1209">
        <v>905</v>
      </c>
      <c r="S2382" s="1209">
        <f t="shared" si="121"/>
        <v>13575</v>
      </c>
      <c r="T2382" s="26" t="s">
        <v>5448</v>
      </c>
      <c r="U2382" s="1859" t="s">
        <v>8765</v>
      </c>
      <c r="V2382" s="22" t="s">
        <v>8731</v>
      </c>
      <c r="W2382" s="2065" t="s">
        <v>8900</v>
      </c>
      <c r="X2382" s="18" t="s">
        <v>8901</v>
      </c>
      <c r="Y2382" s="4"/>
      <c r="Z2382" s="4"/>
    </row>
    <row r="2383" spans="1:26" ht="14.1" hidden="1">
      <c r="A2383" s="20">
        <v>2390</v>
      </c>
      <c r="B2383" s="1063">
        <v>42160</v>
      </c>
      <c r="C2383" s="924" t="s">
        <v>8902</v>
      </c>
      <c r="D2383" s="11" t="s">
        <v>6</v>
      </c>
      <c r="E2383" s="26" t="s">
        <v>5448</v>
      </c>
      <c r="F2383" s="26" t="s">
        <v>7782</v>
      </c>
      <c r="G2383" s="26" t="s">
        <v>8903</v>
      </c>
      <c r="H2383" s="237" t="s">
        <v>1498</v>
      </c>
      <c r="I2383" s="275" t="s">
        <v>8819</v>
      </c>
      <c r="J2383" s="26" t="s">
        <v>8687</v>
      </c>
      <c r="K2383" s="26" t="s">
        <v>8221</v>
      </c>
      <c r="L2383" s="26" t="s">
        <v>8904</v>
      </c>
      <c r="M2383" s="26">
        <v>6</v>
      </c>
      <c r="N2383" s="26">
        <v>1</v>
      </c>
      <c r="O2383" s="26">
        <v>15</v>
      </c>
      <c r="P2383" s="26">
        <v>0</v>
      </c>
      <c r="Q2383" s="26">
        <f t="shared" si="122"/>
        <v>9</v>
      </c>
      <c r="R2383" s="1209">
        <v>459</v>
      </c>
      <c r="S2383" s="1209">
        <f t="shared" si="121"/>
        <v>6885</v>
      </c>
      <c r="T2383" s="26" t="s">
        <v>5448</v>
      </c>
      <c r="U2383" s="1859" t="s">
        <v>8765</v>
      </c>
      <c r="V2383" s="22" t="s">
        <v>8731</v>
      </c>
      <c r="W2383" s="2065" t="s">
        <v>8905</v>
      </c>
      <c r="X2383" s="18" t="s">
        <v>8901</v>
      </c>
      <c r="Y2383" s="4"/>
      <c r="Z2383" s="4"/>
    </row>
    <row r="2384" spans="1:26" ht="14.1" hidden="1">
      <c r="A2384" s="20">
        <v>2391</v>
      </c>
      <c r="B2384" s="1063">
        <v>42161</v>
      </c>
      <c r="C2384" s="924" t="s">
        <v>8906</v>
      </c>
      <c r="D2384" s="11" t="s">
        <v>6</v>
      </c>
      <c r="E2384" s="26" t="s">
        <v>5448</v>
      </c>
      <c r="F2384" s="26" t="s">
        <v>7782</v>
      </c>
      <c r="G2384" s="26" t="s">
        <v>8887</v>
      </c>
      <c r="H2384" s="237" t="s">
        <v>8888</v>
      </c>
      <c r="I2384" s="26" t="s">
        <v>8771</v>
      </c>
      <c r="J2384" s="26" t="s">
        <v>3640</v>
      </c>
      <c r="K2384" s="26">
        <v>554600272</v>
      </c>
      <c r="L2384" s="26" t="s">
        <v>1088</v>
      </c>
      <c r="M2384" s="26">
        <v>3</v>
      </c>
      <c r="N2384" s="26">
        <v>1</v>
      </c>
      <c r="O2384" s="26">
        <v>5</v>
      </c>
      <c r="P2384" s="26">
        <v>0</v>
      </c>
      <c r="Q2384" s="26">
        <f t="shared" si="122"/>
        <v>2</v>
      </c>
      <c r="R2384" s="1209">
        <v>162</v>
      </c>
      <c r="S2384" s="1209">
        <f t="shared" si="121"/>
        <v>810</v>
      </c>
      <c r="T2384" s="26" t="s">
        <v>5448</v>
      </c>
      <c r="U2384" s="1859" t="s">
        <v>8765</v>
      </c>
      <c r="V2384" s="22" t="s">
        <v>8731</v>
      </c>
      <c r="W2384" s="2074" t="s">
        <v>5269</v>
      </c>
      <c r="X2384" s="18"/>
      <c r="Y2384" s="4"/>
      <c r="Z2384" s="4"/>
    </row>
    <row r="2385" spans="1:26" ht="14.1" hidden="1">
      <c r="A2385" s="20">
        <v>2392</v>
      </c>
      <c r="B2385" s="1063">
        <v>42162</v>
      </c>
      <c r="C2385" s="924" t="s">
        <v>8907</v>
      </c>
      <c r="D2385" s="11" t="s">
        <v>6</v>
      </c>
      <c r="E2385" s="26" t="s">
        <v>5448</v>
      </c>
      <c r="F2385" s="26" t="s">
        <v>7782</v>
      </c>
      <c r="G2385" s="26" t="s">
        <v>8908</v>
      </c>
      <c r="H2385" s="237" t="s">
        <v>7079</v>
      </c>
      <c r="I2385" s="26" t="s">
        <v>8771</v>
      </c>
      <c r="J2385" s="26" t="s">
        <v>8697</v>
      </c>
      <c r="K2385" s="26" t="s">
        <v>8698</v>
      </c>
      <c r="L2385" s="26" t="s">
        <v>1088</v>
      </c>
      <c r="M2385" s="26">
        <v>3</v>
      </c>
      <c r="N2385" s="26">
        <v>1</v>
      </c>
      <c r="O2385" s="26">
        <v>3</v>
      </c>
      <c r="P2385" s="26">
        <v>0</v>
      </c>
      <c r="Q2385" s="26">
        <f t="shared" si="122"/>
        <v>0</v>
      </c>
      <c r="R2385" s="1209">
        <v>513</v>
      </c>
      <c r="S2385" s="1209">
        <f t="shared" si="121"/>
        <v>1539</v>
      </c>
      <c r="T2385" s="26" t="s">
        <v>5448</v>
      </c>
      <c r="U2385" s="1859" t="s">
        <v>8765</v>
      </c>
      <c r="V2385" s="22" t="s">
        <v>8731</v>
      </c>
      <c r="W2385" s="2074" t="s">
        <v>8699</v>
      </c>
      <c r="X2385" s="18"/>
      <c r="Y2385" s="4"/>
      <c r="Z2385" s="4"/>
    </row>
    <row r="2386" spans="1:26" ht="14.1" hidden="1">
      <c r="A2386" s="20">
        <v>2393</v>
      </c>
      <c r="B2386" s="1063">
        <v>42163</v>
      </c>
      <c r="C2386" s="924" t="s">
        <v>8909</v>
      </c>
      <c r="D2386" s="11" t="s">
        <v>6</v>
      </c>
      <c r="E2386" s="26" t="s">
        <v>5448</v>
      </c>
      <c r="F2386" s="26" t="s">
        <v>7782</v>
      </c>
      <c r="G2386" s="26" t="s">
        <v>8910</v>
      </c>
      <c r="H2386" s="237" t="s">
        <v>8911</v>
      </c>
      <c r="I2386" s="26" t="s">
        <v>8771</v>
      </c>
      <c r="J2386" s="26" t="s">
        <v>8912</v>
      </c>
      <c r="K2386" s="26" t="s">
        <v>8913</v>
      </c>
      <c r="L2386" s="26" t="s">
        <v>2063</v>
      </c>
      <c r="M2386" s="26">
        <v>3</v>
      </c>
      <c r="N2386" s="26">
        <v>1</v>
      </c>
      <c r="O2386" s="26">
        <v>8</v>
      </c>
      <c r="P2386" s="26">
        <v>0</v>
      </c>
      <c r="Q2386" s="26">
        <f t="shared" si="122"/>
        <v>5</v>
      </c>
      <c r="R2386" s="1209">
        <v>453</v>
      </c>
      <c r="S2386" s="1209">
        <f t="shared" si="121"/>
        <v>3624</v>
      </c>
      <c r="T2386" s="26" t="s">
        <v>5448</v>
      </c>
      <c r="U2386" s="1859" t="s">
        <v>8765</v>
      </c>
      <c r="V2386" s="22" t="s">
        <v>8731</v>
      </c>
      <c r="W2386" s="2074" t="s">
        <v>8914</v>
      </c>
      <c r="X2386" s="18"/>
      <c r="Y2386" s="4"/>
      <c r="Z2386" s="4"/>
    </row>
    <row r="2387" spans="1:26" ht="14.1" hidden="1">
      <c r="A2387" s="20">
        <v>2394</v>
      </c>
      <c r="B2387" s="1063">
        <v>42164</v>
      </c>
      <c r="C2387" s="924" t="s">
        <v>8915</v>
      </c>
      <c r="D2387" s="11" t="s">
        <v>6</v>
      </c>
      <c r="E2387" s="26" t="s">
        <v>5448</v>
      </c>
      <c r="F2387" s="26" t="s">
        <v>7782</v>
      </c>
      <c r="G2387" s="26" t="s">
        <v>8916</v>
      </c>
      <c r="H2387" s="237" t="s">
        <v>5730</v>
      </c>
      <c r="I2387" s="26" t="s">
        <v>8771</v>
      </c>
      <c r="J2387" s="26" t="s">
        <v>6025</v>
      </c>
      <c r="K2387" s="26" t="s">
        <v>6026</v>
      </c>
      <c r="L2387" s="26">
        <v>603</v>
      </c>
      <c r="M2387" s="26">
        <v>6</v>
      </c>
      <c r="N2387" s="26">
        <v>1</v>
      </c>
      <c r="O2387" s="26">
        <v>10</v>
      </c>
      <c r="P2387" s="26">
        <v>0</v>
      </c>
      <c r="Q2387" s="26">
        <f t="shared" si="122"/>
        <v>4</v>
      </c>
      <c r="R2387" s="1209">
        <v>12</v>
      </c>
      <c r="S2387" s="1209">
        <f t="shared" si="121"/>
        <v>120</v>
      </c>
      <c r="T2387" s="26" t="s">
        <v>5448</v>
      </c>
      <c r="U2387" s="1859" t="s">
        <v>8765</v>
      </c>
      <c r="V2387" s="22" t="s">
        <v>8731</v>
      </c>
      <c r="W2387" s="2074" t="s">
        <v>6027</v>
      </c>
      <c r="X2387" s="18"/>
      <c r="Y2387" s="4"/>
      <c r="Z2387" s="4"/>
    </row>
    <row r="2388" spans="1:26" ht="14.1" hidden="1">
      <c r="A2388" s="20">
        <v>2395</v>
      </c>
      <c r="B2388" s="1063">
        <v>42165</v>
      </c>
      <c r="C2388" s="924" t="s">
        <v>8917</v>
      </c>
      <c r="D2388" s="11" t="s">
        <v>6</v>
      </c>
      <c r="E2388" s="26" t="s">
        <v>5448</v>
      </c>
      <c r="F2388" s="26" t="s">
        <v>7782</v>
      </c>
      <c r="G2388" s="26" t="s">
        <v>8918</v>
      </c>
      <c r="H2388" s="237" t="s">
        <v>452</v>
      </c>
      <c r="I2388" s="26" t="s">
        <v>8771</v>
      </c>
      <c r="J2388" s="26" t="s">
        <v>6454</v>
      </c>
      <c r="K2388" s="26" t="s">
        <v>6455</v>
      </c>
      <c r="L2388" s="26" t="s">
        <v>8919</v>
      </c>
      <c r="M2388" s="26">
        <v>6</v>
      </c>
      <c r="N2388" s="26">
        <v>1</v>
      </c>
      <c r="O2388" s="26">
        <v>10</v>
      </c>
      <c r="P2388" s="26">
        <v>0</v>
      </c>
      <c r="Q2388" s="26">
        <f t="shared" si="122"/>
        <v>4</v>
      </c>
      <c r="R2388" s="1209">
        <v>16</v>
      </c>
      <c r="S2388" s="1209">
        <f t="shared" si="121"/>
        <v>160</v>
      </c>
      <c r="T2388" s="26" t="s">
        <v>5448</v>
      </c>
      <c r="U2388" s="1859" t="s">
        <v>8765</v>
      </c>
      <c r="V2388" s="22" t="s">
        <v>8731</v>
      </c>
      <c r="W2388" s="2074" t="s">
        <v>8920</v>
      </c>
      <c r="X2388" s="18"/>
      <c r="Y2388" s="4"/>
      <c r="Z2388" s="4"/>
    </row>
    <row r="2389" spans="1:26" ht="14.1" hidden="1">
      <c r="A2389" s="20">
        <v>2396</v>
      </c>
      <c r="B2389" s="1063">
        <v>42166</v>
      </c>
      <c r="C2389" s="924" t="s">
        <v>8921</v>
      </c>
      <c r="D2389" s="11" t="s">
        <v>6</v>
      </c>
      <c r="E2389" s="26" t="s">
        <v>5448</v>
      </c>
      <c r="F2389" s="26" t="s">
        <v>7782</v>
      </c>
      <c r="G2389" s="26" t="s">
        <v>8922</v>
      </c>
      <c r="H2389" s="237" t="s">
        <v>1740</v>
      </c>
      <c r="I2389" s="26" t="s">
        <v>8771</v>
      </c>
      <c r="J2389" s="26" t="s">
        <v>8923</v>
      </c>
      <c r="K2389" s="26" t="s">
        <v>8924</v>
      </c>
      <c r="L2389" s="26" t="s">
        <v>526</v>
      </c>
      <c r="M2389" s="26">
        <v>3</v>
      </c>
      <c r="N2389" s="26">
        <v>1</v>
      </c>
      <c r="O2389" s="26">
        <v>5</v>
      </c>
      <c r="P2389" s="26">
        <v>0</v>
      </c>
      <c r="Q2389" s="26">
        <f t="shared" si="122"/>
        <v>2</v>
      </c>
      <c r="R2389" s="1209">
        <v>120</v>
      </c>
      <c r="S2389" s="1209">
        <f t="shared" si="121"/>
        <v>600</v>
      </c>
      <c r="T2389" s="26" t="s">
        <v>5448</v>
      </c>
      <c r="U2389" s="1859" t="s">
        <v>8765</v>
      </c>
      <c r="V2389" s="22" t="s">
        <v>8731</v>
      </c>
      <c r="W2389" s="2074" t="s">
        <v>8925</v>
      </c>
      <c r="X2389" s="18"/>
      <c r="Y2389" s="4"/>
      <c r="Z2389" s="4"/>
    </row>
    <row r="2390" spans="1:26" ht="14.1" hidden="1">
      <c r="A2390" s="20">
        <v>2397</v>
      </c>
      <c r="B2390" s="1063">
        <v>42167</v>
      </c>
      <c r="C2390" s="924" t="s">
        <v>8891</v>
      </c>
      <c r="D2390" s="11" t="s">
        <v>6</v>
      </c>
      <c r="E2390" s="26" t="s">
        <v>5448</v>
      </c>
      <c r="F2390" s="26" t="s">
        <v>7782</v>
      </c>
      <c r="G2390" s="26" t="s">
        <v>8926</v>
      </c>
      <c r="H2390" s="237" t="s">
        <v>3097</v>
      </c>
      <c r="I2390" s="26" t="s">
        <v>8771</v>
      </c>
      <c r="J2390" s="26" t="s">
        <v>7104</v>
      </c>
      <c r="K2390" s="26" t="s">
        <v>7105</v>
      </c>
      <c r="L2390" s="26" t="s">
        <v>7106</v>
      </c>
      <c r="M2390" s="26">
        <v>3</v>
      </c>
      <c r="N2390" s="26">
        <v>1</v>
      </c>
      <c r="O2390" s="26">
        <v>5</v>
      </c>
      <c r="P2390" s="26">
        <v>0</v>
      </c>
      <c r="Q2390" s="26">
        <f t="shared" si="122"/>
        <v>2</v>
      </c>
      <c r="R2390" s="1209">
        <v>33</v>
      </c>
      <c r="S2390" s="1209">
        <f t="shared" si="121"/>
        <v>165</v>
      </c>
      <c r="T2390" s="26" t="s">
        <v>5448</v>
      </c>
      <c r="U2390" s="1859" t="s">
        <v>8765</v>
      </c>
      <c r="V2390" s="22" t="s">
        <v>8731</v>
      </c>
      <c r="W2390" s="2074" t="s">
        <v>8927</v>
      </c>
      <c r="X2390" s="18"/>
      <c r="Y2390" s="4"/>
      <c r="Z2390" s="4"/>
    </row>
    <row r="2391" spans="1:26" ht="14.1" hidden="1">
      <c r="A2391" s="20">
        <v>2398</v>
      </c>
      <c r="B2391" s="1063">
        <v>42168</v>
      </c>
      <c r="C2391" s="924" t="s">
        <v>8891</v>
      </c>
      <c r="D2391" s="11" t="s">
        <v>6</v>
      </c>
      <c r="E2391" s="26" t="s">
        <v>5448</v>
      </c>
      <c r="F2391" s="26" t="s">
        <v>7782</v>
      </c>
      <c r="G2391" s="26" t="s">
        <v>8928</v>
      </c>
      <c r="H2391" s="237" t="s">
        <v>2280</v>
      </c>
      <c r="I2391" s="26" t="s">
        <v>8771</v>
      </c>
      <c r="J2391" s="26" t="s">
        <v>8929</v>
      </c>
      <c r="K2391" s="26" t="s">
        <v>8930</v>
      </c>
      <c r="L2391" s="26" t="s">
        <v>8931</v>
      </c>
      <c r="M2391" s="26">
        <v>18</v>
      </c>
      <c r="N2391" s="26">
        <v>1</v>
      </c>
      <c r="O2391" s="26">
        <v>25</v>
      </c>
      <c r="P2391" s="26">
        <v>0</v>
      </c>
      <c r="Q2391" s="26">
        <f t="shared" si="122"/>
        <v>7</v>
      </c>
      <c r="R2391" s="1209">
        <v>52</v>
      </c>
      <c r="S2391" s="1209">
        <f t="shared" si="121"/>
        <v>1300</v>
      </c>
      <c r="T2391" s="26" t="s">
        <v>5448</v>
      </c>
      <c r="U2391" s="1859" t="s">
        <v>8765</v>
      </c>
      <c r="V2391" s="22" t="s">
        <v>8731</v>
      </c>
      <c r="W2391" s="2074" t="s">
        <v>8932</v>
      </c>
      <c r="X2391" s="18"/>
      <c r="Y2391" s="4"/>
      <c r="Z2391" s="4"/>
    </row>
    <row r="2392" spans="1:26" ht="14.1" hidden="1">
      <c r="A2392" s="20">
        <v>2399</v>
      </c>
      <c r="B2392" s="1063">
        <v>42169</v>
      </c>
      <c r="C2392" s="924" t="s">
        <v>8933</v>
      </c>
      <c r="D2392" s="11" t="s">
        <v>6</v>
      </c>
      <c r="E2392" s="26" t="s">
        <v>5448</v>
      </c>
      <c r="F2392" s="26" t="s">
        <v>7782</v>
      </c>
      <c r="G2392" s="26" t="s">
        <v>8934</v>
      </c>
      <c r="H2392" s="237" t="s">
        <v>3898</v>
      </c>
      <c r="I2392" s="26" t="s">
        <v>8771</v>
      </c>
      <c r="J2392" s="26" t="s">
        <v>8512</v>
      </c>
      <c r="K2392" s="26" t="s">
        <v>8513</v>
      </c>
      <c r="L2392" s="26" t="s">
        <v>2011</v>
      </c>
      <c r="M2392" s="26">
        <v>3</v>
      </c>
      <c r="N2392" s="26">
        <v>1</v>
      </c>
      <c r="O2392" s="26">
        <v>5</v>
      </c>
      <c r="P2392" s="26">
        <v>0</v>
      </c>
      <c r="Q2392" s="26">
        <f t="shared" si="122"/>
        <v>2</v>
      </c>
      <c r="R2392" s="1209">
        <v>265</v>
      </c>
      <c r="S2392" s="1209">
        <f t="shared" si="121"/>
        <v>1325</v>
      </c>
      <c r="T2392" s="26" t="s">
        <v>5448</v>
      </c>
      <c r="U2392" s="1859" t="s">
        <v>8765</v>
      </c>
      <c r="V2392" s="22" t="s">
        <v>8731</v>
      </c>
      <c r="W2392" s="2074" t="s">
        <v>8514</v>
      </c>
      <c r="X2392" s="18"/>
      <c r="Y2392" s="4"/>
      <c r="Z2392" s="4"/>
    </row>
    <row r="2393" spans="1:26" ht="14.1" hidden="1">
      <c r="A2393" s="20">
        <v>2400</v>
      </c>
      <c r="B2393" s="1063">
        <v>42170</v>
      </c>
      <c r="C2393" s="924" t="s">
        <v>8281</v>
      </c>
      <c r="D2393" s="11" t="s">
        <v>6</v>
      </c>
      <c r="E2393" s="26" t="s">
        <v>5448</v>
      </c>
      <c r="F2393" s="26" t="s">
        <v>7782</v>
      </c>
      <c r="G2393" s="26" t="s">
        <v>8935</v>
      </c>
      <c r="H2393" s="237" t="s">
        <v>460</v>
      </c>
      <c r="I2393" s="26" t="s">
        <v>8771</v>
      </c>
      <c r="J2393" s="26" t="s">
        <v>6487</v>
      </c>
      <c r="K2393" s="26" t="s">
        <v>6488</v>
      </c>
      <c r="L2393" s="26" t="s">
        <v>5959</v>
      </c>
      <c r="M2393" s="26">
        <v>3</v>
      </c>
      <c r="N2393" s="26">
        <v>1</v>
      </c>
      <c r="O2393" s="26">
        <v>5</v>
      </c>
      <c r="P2393" s="26">
        <v>0</v>
      </c>
      <c r="Q2393" s="26">
        <f t="shared" si="122"/>
        <v>2</v>
      </c>
      <c r="R2393" s="1209">
        <v>121</v>
      </c>
      <c r="S2393" s="1209">
        <f t="shared" si="121"/>
        <v>605</v>
      </c>
      <c r="T2393" s="26" t="s">
        <v>5448</v>
      </c>
      <c r="U2393" s="1859" t="s">
        <v>8765</v>
      </c>
      <c r="V2393" s="22" t="s">
        <v>8731</v>
      </c>
      <c r="W2393" s="2074" t="s">
        <v>5960</v>
      </c>
      <c r="X2393" s="18"/>
      <c r="Y2393" s="4"/>
      <c r="Z2393" s="4"/>
    </row>
    <row r="2394" spans="1:26" ht="14.1" hidden="1">
      <c r="A2394" s="20">
        <v>2401</v>
      </c>
      <c r="B2394" s="1063">
        <v>42171</v>
      </c>
      <c r="C2394" s="924" t="s">
        <v>8936</v>
      </c>
      <c r="D2394" s="11" t="s">
        <v>6</v>
      </c>
      <c r="E2394" s="26" t="s">
        <v>5448</v>
      </c>
      <c r="F2394" s="26" t="s">
        <v>7782</v>
      </c>
      <c r="G2394" s="26" t="s">
        <v>8937</v>
      </c>
      <c r="H2394" s="237" t="s">
        <v>8938</v>
      </c>
      <c r="I2394" s="26" t="s">
        <v>8771</v>
      </c>
      <c r="J2394" s="26" t="s">
        <v>8939</v>
      </c>
      <c r="K2394" s="26" t="s">
        <v>8940</v>
      </c>
      <c r="L2394" s="26" t="s">
        <v>1088</v>
      </c>
      <c r="M2394" s="26">
        <v>3</v>
      </c>
      <c r="N2394" s="26">
        <v>1</v>
      </c>
      <c r="O2394" s="26">
        <v>5</v>
      </c>
      <c r="P2394" s="26">
        <v>0</v>
      </c>
      <c r="Q2394" s="26">
        <f t="shared" si="122"/>
        <v>2</v>
      </c>
      <c r="R2394" s="1209">
        <v>66</v>
      </c>
      <c r="S2394" s="1209">
        <f t="shared" si="121"/>
        <v>330</v>
      </c>
      <c r="T2394" s="26" t="s">
        <v>5448</v>
      </c>
      <c r="U2394" s="1859" t="s">
        <v>8765</v>
      </c>
      <c r="V2394" s="22" t="s">
        <v>8731</v>
      </c>
      <c r="W2394" s="2074" t="s">
        <v>8941</v>
      </c>
      <c r="X2394" s="18"/>
      <c r="Y2394" s="4"/>
      <c r="Z2394" s="4"/>
    </row>
    <row r="2395" spans="1:26" ht="14.1" hidden="1">
      <c r="A2395" s="20">
        <v>2402</v>
      </c>
      <c r="B2395" s="1063">
        <v>42172</v>
      </c>
      <c r="C2395" s="924" t="s">
        <v>8942</v>
      </c>
      <c r="D2395" s="11" t="s">
        <v>6</v>
      </c>
      <c r="E2395" s="26" t="s">
        <v>5448</v>
      </c>
      <c r="F2395" s="26" t="s">
        <v>7782</v>
      </c>
      <c r="G2395" s="26" t="s">
        <v>8937</v>
      </c>
      <c r="H2395" s="237" t="s">
        <v>8938</v>
      </c>
      <c r="I2395" s="26" t="s">
        <v>8771</v>
      </c>
      <c r="J2395" s="26" t="s">
        <v>8943</v>
      </c>
      <c r="K2395" s="26" t="s">
        <v>8944</v>
      </c>
      <c r="L2395" s="26" t="s">
        <v>1088</v>
      </c>
      <c r="M2395" s="26">
        <v>6</v>
      </c>
      <c r="N2395" s="26">
        <v>1</v>
      </c>
      <c r="O2395" s="26">
        <v>10</v>
      </c>
      <c r="P2395" s="26">
        <v>0</v>
      </c>
      <c r="Q2395" s="26">
        <f t="shared" si="122"/>
        <v>4</v>
      </c>
      <c r="R2395" s="1209">
        <v>54</v>
      </c>
      <c r="S2395" s="1209">
        <f t="shared" si="121"/>
        <v>540</v>
      </c>
      <c r="T2395" s="26" t="s">
        <v>5448</v>
      </c>
      <c r="U2395" s="1859" t="s">
        <v>8765</v>
      </c>
      <c r="V2395" s="22" t="s">
        <v>8731</v>
      </c>
      <c r="W2395" s="2074" t="s">
        <v>8945</v>
      </c>
      <c r="X2395" s="18"/>
      <c r="Y2395" s="4"/>
      <c r="Z2395" s="4"/>
    </row>
    <row r="2396" spans="1:26" ht="14.1" hidden="1">
      <c r="A2396" s="20">
        <v>2403</v>
      </c>
      <c r="B2396" s="1063">
        <v>42173</v>
      </c>
      <c r="C2396" s="924" t="s">
        <v>8946</v>
      </c>
      <c r="D2396" s="11" t="s">
        <v>6</v>
      </c>
      <c r="E2396" s="26" t="s">
        <v>5448</v>
      </c>
      <c r="F2396" s="26" t="s">
        <v>7782</v>
      </c>
      <c r="G2396" s="26" t="s">
        <v>8947</v>
      </c>
      <c r="H2396" s="237" t="s">
        <v>8948</v>
      </c>
      <c r="I2396" s="26" t="s">
        <v>8771</v>
      </c>
      <c r="J2396" s="26" t="s">
        <v>7150</v>
      </c>
      <c r="K2396" s="26" t="s">
        <v>7151</v>
      </c>
      <c r="L2396" s="26" t="s">
        <v>8949</v>
      </c>
      <c r="M2396" s="26">
        <v>3</v>
      </c>
      <c r="N2396" s="26">
        <v>1</v>
      </c>
      <c r="O2396" s="26">
        <v>2</v>
      </c>
      <c r="P2396" s="26">
        <v>3</v>
      </c>
      <c r="Q2396" s="26">
        <v>2</v>
      </c>
      <c r="R2396" s="1209">
        <v>853</v>
      </c>
      <c r="S2396" s="1209">
        <f t="shared" si="121"/>
        <v>1706</v>
      </c>
      <c r="T2396" s="26" t="s">
        <v>5448</v>
      </c>
      <c r="U2396" s="1859" t="s">
        <v>8765</v>
      </c>
      <c r="V2396" s="22" t="s">
        <v>8731</v>
      </c>
      <c r="W2396" s="2074" t="s">
        <v>7153</v>
      </c>
      <c r="X2396" s="18"/>
      <c r="Y2396" s="4"/>
      <c r="Z2396" s="4"/>
    </row>
    <row r="2397" spans="1:26" ht="51.95" hidden="1">
      <c r="A2397" s="20">
        <v>2404</v>
      </c>
      <c r="B2397" s="1063">
        <v>42174</v>
      </c>
      <c r="C2397" s="190" t="s">
        <v>8950</v>
      </c>
      <c r="D2397" s="11" t="s">
        <v>6</v>
      </c>
      <c r="E2397" s="26" t="s">
        <v>5448</v>
      </c>
      <c r="F2397" s="26" t="s">
        <v>7782</v>
      </c>
      <c r="G2397" s="26" t="s">
        <v>8951</v>
      </c>
      <c r="H2397" s="237" t="s">
        <v>8952</v>
      </c>
      <c r="I2397" s="275" t="s">
        <v>8819</v>
      </c>
      <c r="J2397" s="26" t="s">
        <v>8953</v>
      </c>
      <c r="K2397" s="26" t="s">
        <v>8954</v>
      </c>
      <c r="L2397" s="26" t="s">
        <v>8955</v>
      </c>
      <c r="M2397" s="26">
        <v>1</v>
      </c>
      <c r="N2397" s="26">
        <v>1</v>
      </c>
      <c r="O2397" s="26">
        <v>3</v>
      </c>
      <c r="P2397" s="26">
        <v>0</v>
      </c>
      <c r="Q2397" s="26">
        <f t="shared" ref="Q2397:Q2402" si="123">O2397-M2397</f>
        <v>2</v>
      </c>
      <c r="R2397" s="1274">
        <v>2455</v>
      </c>
      <c r="S2397" s="1209">
        <f t="shared" si="121"/>
        <v>7365</v>
      </c>
      <c r="T2397" s="26" t="s">
        <v>5448</v>
      </c>
      <c r="U2397" s="1859" t="s">
        <v>8765</v>
      </c>
      <c r="V2397" s="22" t="s">
        <v>8731</v>
      </c>
      <c r="W2397" s="649" t="s">
        <v>8956</v>
      </c>
      <c r="X2397" s="18" t="s">
        <v>8957</v>
      </c>
      <c r="Y2397" s="4"/>
      <c r="Z2397" s="4"/>
    </row>
    <row r="2398" spans="1:26" ht="14.1" hidden="1">
      <c r="A2398" s="20">
        <v>2405</v>
      </c>
      <c r="B2398" s="1063">
        <v>42175</v>
      </c>
      <c r="C2398" s="190" t="s">
        <v>8958</v>
      </c>
      <c r="D2398" s="11" t="s">
        <v>6</v>
      </c>
      <c r="E2398" s="26" t="s">
        <v>5448</v>
      </c>
      <c r="F2398" s="26" t="s">
        <v>7782</v>
      </c>
      <c r="G2398" s="26" t="s">
        <v>8959</v>
      </c>
      <c r="H2398" s="237" t="s">
        <v>8911</v>
      </c>
      <c r="I2398" s="26" t="s">
        <v>8771</v>
      </c>
      <c r="J2398" s="26" t="s">
        <v>8960</v>
      </c>
      <c r="K2398" s="26" t="s">
        <v>8961</v>
      </c>
      <c r="L2398" s="26" t="s">
        <v>8955</v>
      </c>
      <c r="M2398" s="26">
        <v>1</v>
      </c>
      <c r="N2398" s="26">
        <v>1</v>
      </c>
      <c r="O2398" s="26">
        <v>10</v>
      </c>
      <c r="P2398" s="26">
        <v>0</v>
      </c>
      <c r="Q2398" s="26">
        <f t="shared" si="123"/>
        <v>9</v>
      </c>
      <c r="R2398" s="1209">
        <v>50</v>
      </c>
      <c r="S2398" s="1209">
        <f t="shared" si="121"/>
        <v>500</v>
      </c>
      <c r="T2398" s="26" t="s">
        <v>5448</v>
      </c>
      <c r="U2398" s="1859" t="s">
        <v>8765</v>
      </c>
      <c r="V2398" s="22" t="s">
        <v>8731</v>
      </c>
      <c r="W2398" s="2074" t="s">
        <v>8962</v>
      </c>
      <c r="X2398" s="18"/>
      <c r="Y2398" s="4"/>
      <c r="Z2398" s="4"/>
    </row>
    <row r="2399" spans="1:26" ht="14.1" hidden="1">
      <c r="A2399" s="20">
        <v>2406</v>
      </c>
      <c r="B2399" s="1063">
        <v>42176</v>
      </c>
      <c r="C2399" s="924" t="s">
        <v>8963</v>
      </c>
      <c r="D2399" s="11" t="s">
        <v>6</v>
      </c>
      <c r="E2399" s="26" t="s">
        <v>5448</v>
      </c>
      <c r="F2399" s="26" t="s">
        <v>7782</v>
      </c>
      <c r="G2399" s="26" t="s">
        <v>8964</v>
      </c>
      <c r="H2399" s="237" t="s">
        <v>6989</v>
      </c>
      <c r="I2399" s="26" t="s">
        <v>8819</v>
      </c>
      <c r="J2399" s="26" t="s">
        <v>8965</v>
      </c>
      <c r="K2399" s="26">
        <v>2744830</v>
      </c>
      <c r="L2399" s="26" t="s">
        <v>8966</v>
      </c>
      <c r="M2399" s="26">
        <v>1</v>
      </c>
      <c r="N2399" s="26">
        <v>1</v>
      </c>
      <c r="O2399" s="26">
        <v>2</v>
      </c>
      <c r="P2399" s="26">
        <v>0</v>
      </c>
      <c r="Q2399" s="26">
        <f t="shared" si="123"/>
        <v>1</v>
      </c>
      <c r="R2399" s="1209">
        <v>811</v>
      </c>
      <c r="S2399" s="1209">
        <f t="shared" si="121"/>
        <v>1622</v>
      </c>
      <c r="T2399" s="26" t="s">
        <v>5448</v>
      </c>
      <c r="U2399" s="1859" t="s">
        <v>8765</v>
      </c>
      <c r="V2399" s="22" t="s">
        <v>8731</v>
      </c>
      <c r="W2399" s="2074" t="s">
        <v>8967</v>
      </c>
      <c r="X2399" s="18"/>
      <c r="Y2399" s="4"/>
      <c r="Z2399" s="4"/>
    </row>
    <row r="2400" spans="1:26" ht="14.1" hidden="1">
      <c r="A2400" s="20">
        <v>2407</v>
      </c>
      <c r="B2400" s="1063">
        <v>42177</v>
      </c>
      <c r="C2400" s="924" t="s">
        <v>8968</v>
      </c>
      <c r="D2400" s="11" t="s">
        <v>6</v>
      </c>
      <c r="E2400" s="26" t="s">
        <v>5448</v>
      </c>
      <c r="F2400" s="26" t="s">
        <v>7782</v>
      </c>
      <c r="G2400" s="26" t="s">
        <v>8887</v>
      </c>
      <c r="H2400" s="237" t="s">
        <v>8888</v>
      </c>
      <c r="I2400" s="26" t="s">
        <v>8771</v>
      </c>
      <c r="J2400" s="26" t="s">
        <v>8969</v>
      </c>
      <c r="K2400" s="26">
        <v>510210200</v>
      </c>
      <c r="L2400" s="26" t="s">
        <v>8955</v>
      </c>
      <c r="M2400" s="26">
        <v>5</v>
      </c>
      <c r="N2400" s="26">
        <v>1</v>
      </c>
      <c r="O2400" s="26">
        <v>15</v>
      </c>
      <c r="P2400" s="26">
        <v>0</v>
      </c>
      <c r="Q2400" s="26">
        <f t="shared" si="123"/>
        <v>10</v>
      </c>
      <c r="R2400" s="1209">
        <v>22</v>
      </c>
      <c r="S2400" s="1209">
        <f t="shared" si="121"/>
        <v>330</v>
      </c>
      <c r="T2400" s="26" t="s">
        <v>5448</v>
      </c>
      <c r="U2400" s="1859" t="s">
        <v>8765</v>
      </c>
      <c r="V2400" s="22" t="s">
        <v>8731</v>
      </c>
      <c r="W2400" s="2074" t="s">
        <v>8970</v>
      </c>
      <c r="X2400" s="18"/>
      <c r="Y2400" s="4"/>
      <c r="Z2400" s="4"/>
    </row>
    <row r="2401" spans="1:26" ht="14.1" hidden="1">
      <c r="A2401" s="20">
        <v>2408</v>
      </c>
      <c r="B2401" s="1063">
        <v>42178</v>
      </c>
      <c r="C2401" s="191" t="s">
        <v>8971</v>
      </c>
      <c r="D2401" s="11" t="s">
        <v>6</v>
      </c>
      <c r="E2401" s="26" t="s">
        <v>5448</v>
      </c>
      <c r="F2401" s="26" t="s">
        <v>7782</v>
      </c>
      <c r="G2401" s="26" t="s">
        <v>8887</v>
      </c>
      <c r="H2401" s="237" t="s">
        <v>8888</v>
      </c>
      <c r="I2401" s="26" t="s">
        <v>8771</v>
      </c>
      <c r="J2401" s="26" t="s">
        <v>8972</v>
      </c>
      <c r="K2401" s="26">
        <v>510900200</v>
      </c>
      <c r="L2401" s="26" t="s">
        <v>8955</v>
      </c>
      <c r="M2401" s="26">
        <v>1</v>
      </c>
      <c r="N2401" s="26">
        <v>1</v>
      </c>
      <c r="O2401" s="26">
        <v>5</v>
      </c>
      <c r="P2401" s="26">
        <v>0</v>
      </c>
      <c r="Q2401" s="26">
        <f t="shared" si="123"/>
        <v>4</v>
      </c>
      <c r="R2401" s="1209">
        <v>75</v>
      </c>
      <c r="S2401" s="1209">
        <f t="shared" si="121"/>
        <v>375</v>
      </c>
      <c r="T2401" s="26" t="s">
        <v>5448</v>
      </c>
      <c r="U2401" s="1859" t="s">
        <v>8765</v>
      </c>
      <c r="V2401" s="22" t="s">
        <v>8731</v>
      </c>
      <c r="W2401" s="2074" t="s">
        <v>8973</v>
      </c>
      <c r="X2401" s="18"/>
      <c r="Y2401" s="4"/>
      <c r="Z2401" s="4"/>
    </row>
    <row r="2402" spans="1:26" ht="14.1" hidden="1">
      <c r="A2402" s="20">
        <v>2409</v>
      </c>
      <c r="B2402" s="1063">
        <v>42179</v>
      </c>
      <c r="C2402" s="26" t="s">
        <v>8974</v>
      </c>
      <c r="D2402" s="11" t="s">
        <v>6</v>
      </c>
      <c r="E2402" s="26" t="s">
        <v>5448</v>
      </c>
      <c r="F2402" s="26" t="s">
        <v>7782</v>
      </c>
      <c r="G2402" s="26" t="s">
        <v>8975</v>
      </c>
      <c r="H2402" s="237" t="s">
        <v>2060</v>
      </c>
      <c r="I2402" s="26" t="s">
        <v>8771</v>
      </c>
      <c r="J2402" s="26" t="s">
        <v>8976</v>
      </c>
      <c r="K2402" s="26" t="s">
        <v>8977</v>
      </c>
      <c r="L2402" s="26" t="s">
        <v>3269</v>
      </c>
      <c r="M2402" s="26">
        <v>2</v>
      </c>
      <c r="N2402" s="26">
        <v>1</v>
      </c>
      <c r="O2402" s="26">
        <v>8</v>
      </c>
      <c r="P2402" s="26">
        <v>0</v>
      </c>
      <c r="Q2402" s="26">
        <f t="shared" si="123"/>
        <v>6</v>
      </c>
      <c r="R2402" s="1209">
        <v>102</v>
      </c>
      <c r="S2402" s="1209">
        <f t="shared" si="121"/>
        <v>816</v>
      </c>
      <c r="T2402" s="26" t="s">
        <v>5448</v>
      </c>
      <c r="U2402" s="1859" t="s">
        <v>8765</v>
      </c>
      <c r="V2402" s="22" t="s">
        <v>8731</v>
      </c>
      <c r="W2402" s="2074" t="s">
        <v>8978</v>
      </c>
      <c r="X2402" s="18"/>
      <c r="Y2402" s="4"/>
      <c r="Z2402" s="4"/>
    </row>
    <row r="2403" spans="1:26" ht="14.1" hidden="1">
      <c r="A2403" s="20">
        <v>2410</v>
      </c>
      <c r="B2403" s="1063">
        <v>42180</v>
      </c>
      <c r="C2403" s="924" t="s">
        <v>8979</v>
      </c>
      <c r="D2403" s="11" t="s">
        <v>6</v>
      </c>
      <c r="E2403" s="26" t="s">
        <v>5448</v>
      </c>
      <c r="F2403" s="26" t="s">
        <v>7782</v>
      </c>
      <c r="G2403" s="26" t="s">
        <v>8980</v>
      </c>
      <c r="H2403" s="237" t="s">
        <v>184</v>
      </c>
      <c r="I2403" s="26" t="s">
        <v>8771</v>
      </c>
      <c r="J2403" s="26" t="s">
        <v>8981</v>
      </c>
      <c r="K2403" s="26" t="s">
        <v>8982</v>
      </c>
      <c r="L2403" s="26" t="s">
        <v>1088</v>
      </c>
      <c r="M2403" s="26">
        <v>10</v>
      </c>
      <c r="N2403" s="26">
        <v>1</v>
      </c>
      <c r="O2403" s="26">
        <v>10</v>
      </c>
      <c r="P2403" s="26">
        <v>0</v>
      </c>
      <c r="Q2403" s="26">
        <v>0</v>
      </c>
      <c r="R2403" s="1209">
        <v>24</v>
      </c>
      <c r="S2403" s="1209">
        <f t="shared" si="121"/>
        <v>240</v>
      </c>
      <c r="T2403" s="26" t="s">
        <v>5448</v>
      </c>
      <c r="U2403" s="1859" t="s">
        <v>448</v>
      </c>
      <c r="V2403" s="22" t="s">
        <v>8731</v>
      </c>
      <c r="W2403" s="2074" t="s">
        <v>8983</v>
      </c>
      <c r="X2403" s="18" t="s">
        <v>8984</v>
      </c>
      <c r="Y2403" s="4"/>
      <c r="Z2403" s="4"/>
    </row>
    <row r="2404" spans="1:26" ht="14.1" hidden="1">
      <c r="A2404" s="20">
        <v>2411</v>
      </c>
      <c r="B2404" s="1063">
        <v>42181</v>
      </c>
      <c r="C2404" s="924" t="s">
        <v>8832</v>
      </c>
      <c r="D2404" s="11" t="s">
        <v>6</v>
      </c>
      <c r="E2404" s="26" t="s">
        <v>5448</v>
      </c>
      <c r="F2404" s="26" t="s">
        <v>7782</v>
      </c>
      <c r="G2404" s="26" t="s">
        <v>8980</v>
      </c>
      <c r="H2404" s="237" t="s">
        <v>3676</v>
      </c>
      <c r="I2404" s="26" t="s">
        <v>8771</v>
      </c>
      <c r="J2404" s="26" t="s">
        <v>6350</v>
      </c>
      <c r="K2404" s="26" t="s">
        <v>6351</v>
      </c>
      <c r="L2404" s="26" t="s">
        <v>1088</v>
      </c>
      <c r="M2404" s="26">
        <v>10</v>
      </c>
      <c r="N2404" s="26">
        <v>1</v>
      </c>
      <c r="O2404" s="26">
        <v>10</v>
      </c>
      <c r="P2404" s="26">
        <v>0</v>
      </c>
      <c r="Q2404" s="26">
        <v>0</v>
      </c>
      <c r="R2404" s="1209">
        <v>12</v>
      </c>
      <c r="S2404" s="1209">
        <f t="shared" si="121"/>
        <v>120</v>
      </c>
      <c r="T2404" s="26" t="s">
        <v>5448</v>
      </c>
      <c r="U2404" s="1859" t="s">
        <v>448</v>
      </c>
      <c r="V2404" s="22" t="s">
        <v>8731</v>
      </c>
      <c r="W2404" s="2074" t="s">
        <v>6352</v>
      </c>
      <c r="X2404" s="18" t="s">
        <v>8984</v>
      </c>
      <c r="Y2404" s="4"/>
      <c r="Z2404" s="4"/>
    </row>
    <row r="2405" spans="1:26" ht="14.1" hidden="1">
      <c r="A2405" s="20">
        <v>2412</v>
      </c>
      <c r="B2405" s="1063">
        <v>42182</v>
      </c>
      <c r="C2405" s="26" t="s">
        <v>8985</v>
      </c>
      <c r="D2405" s="11" t="s">
        <v>6</v>
      </c>
      <c r="E2405" s="26" t="s">
        <v>5448</v>
      </c>
      <c r="F2405" s="26" t="s">
        <v>7782</v>
      </c>
      <c r="G2405" s="26" t="s">
        <v>8986</v>
      </c>
      <c r="H2405" s="189" t="s">
        <v>6567</v>
      </c>
      <c r="I2405" s="26" t="s">
        <v>8771</v>
      </c>
      <c r="J2405" s="26" t="s">
        <v>8987</v>
      </c>
      <c r="K2405" s="26" t="s">
        <v>8988</v>
      </c>
      <c r="L2405" s="26" t="s">
        <v>1276</v>
      </c>
      <c r="M2405" s="26">
        <v>10</v>
      </c>
      <c r="N2405" s="26">
        <v>1</v>
      </c>
      <c r="O2405" s="26">
        <v>10</v>
      </c>
      <c r="P2405" s="26">
        <v>0</v>
      </c>
      <c r="Q2405" s="26">
        <v>0</v>
      </c>
      <c r="R2405" s="1209">
        <v>190</v>
      </c>
      <c r="S2405" s="1209">
        <f t="shared" si="121"/>
        <v>1900</v>
      </c>
      <c r="T2405" s="26" t="s">
        <v>5448</v>
      </c>
      <c r="U2405" s="1859" t="s">
        <v>8989</v>
      </c>
      <c r="V2405" s="22" t="s">
        <v>8731</v>
      </c>
      <c r="W2405" s="649" t="s">
        <v>8990</v>
      </c>
      <c r="X2405" s="18"/>
      <c r="Y2405" s="4"/>
      <c r="Z2405" s="4"/>
    </row>
    <row r="2406" spans="1:26" ht="14.1" hidden="1">
      <c r="A2406" s="20">
        <v>2413</v>
      </c>
      <c r="B2406" s="1063">
        <v>42183</v>
      </c>
      <c r="C2406" s="26" t="s">
        <v>8991</v>
      </c>
      <c r="D2406" s="11" t="s">
        <v>6</v>
      </c>
      <c r="E2406" s="26" t="s">
        <v>5448</v>
      </c>
      <c r="F2406" s="26" t="s">
        <v>7782</v>
      </c>
      <c r="G2406" s="26" t="s">
        <v>8992</v>
      </c>
      <c r="H2406" s="189" t="s">
        <v>6567</v>
      </c>
      <c r="I2406" s="26" t="s">
        <v>8771</v>
      </c>
      <c r="J2406" s="26" t="s">
        <v>8993</v>
      </c>
      <c r="K2406" s="26" t="s">
        <v>8994</v>
      </c>
      <c r="L2406" s="26" t="s">
        <v>1276</v>
      </c>
      <c r="M2406" s="26">
        <v>5</v>
      </c>
      <c r="N2406" s="26">
        <v>1</v>
      </c>
      <c r="O2406" s="26">
        <v>5</v>
      </c>
      <c r="P2406" s="26">
        <v>0</v>
      </c>
      <c r="Q2406" s="26">
        <v>0</v>
      </c>
      <c r="R2406" s="1209">
        <v>285</v>
      </c>
      <c r="S2406" s="1209">
        <f t="shared" si="121"/>
        <v>1425</v>
      </c>
      <c r="T2406" s="26" t="s">
        <v>5448</v>
      </c>
      <c r="U2406" s="1859" t="s">
        <v>8989</v>
      </c>
      <c r="V2406" s="22" t="s">
        <v>8731</v>
      </c>
      <c r="W2406" s="2074" t="s">
        <v>8995</v>
      </c>
      <c r="X2406" s="18"/>
      <c r="Y2406" s="4"/>
      <c r="Z2406" s="4"/>
    </row>
    <row r="2407" spans="1:26" ht="14.1" hidden="1">
      <c r="A2407" s="20">
        <v>2414</v>
      </c>
      <c r="B2407" s="1063">
        <v>42184</v>
      </c>
      <c r="C2407" s="26" t="s">
        <v>8996</v>
      </c>
      <c r="D2407" s="11" t="s">
        <v>6</v>
      </c>
      <c r="E2407" s="26" t="s">
        <v>5448</v>
      </c>
      <c r="F2407" s="26" t="s">
        <v>7782</v>
      </c>
      <c r="G2407" s="26" t="s">
        <v>8248</v>
      </c>
      <c r="H2407" s="237" t="s">
        <v>3898</v>
      </c>
      <c r="I2407" s="26" t="s">
        <v>8771</v>
      </c>
      <c r="J2407" s="26" t="s">
        <v>8249</v>
      </c>
      <c r="K2407" s="26" t="s">
        <v>8250</v>
      </c>
      <c r="L2407" s="26" t="s">
        <v>1088</v>
      </c>
      <c r="M2407" s="26">
        <v>6</v>
      </c>
      <c r="N2407" s="26">
        <v>1</v>
      </c>
      <c r="O2407" s="26">
        <v>6</v>
      </c>
      <c r="P2407" s="26">
        <v>0</v>
      </c>
      <c r="Q2407" s="26">
        <v>0</v>
      </c>
      <c r="R2407" s="1209">
        <v>151</v>
      </c>
      <c r="S2407" s="1209">
        <f t="shared" si="121"/>
        <v>906</v>
      </c>
      <c r="T2407" s="26" t="s">
        <v>5448</v>
      </c>
      <c r="U2407" s="1859" t="s">
        <v>5939</v>
      </c>
      <c r="V2407" s="22" t="s">
        <v>8731</v>
      </c>
      <c r="W2407" s="649" t="s">
        <v>8997</v>
      </c>
      <c r="X2407" s="18"/>
      <c r="Y2407" s="4"/>
      <c r="Z2407" s="4"/>
    </row>
    <row r="2408" spans="1:26" ht="24.95" hidden="1">
      <c r="A2408" s="20">
        <v>2415</v>
      </c>
      <c r="B2408" s="1063">
        <v>42185</v>
      </c>
      <c r="C2408" s="26" t="s">
        <v>8998</v>
      </c>
      <c r="D2408" s="11" t="s">
        <v>6</v>
      </c>
      <c r="E2408" s="26" t="s">
        <v>5448</v>
      </c>
      <c r="F2408" s="26" t="s">
        <v>7782</v>
      </c>
      <c r="G2408" s="26" t="s">
        <v>8999</v>
      </c>
      <c r="H2408" s="237" t="s">
        <v>3898</v>
      </c>
      <c r="I2408" s="26" t="s">
        <v>8771</v>
      </c>
      <c r="J2408" s="26" t="s">
        <v>9000</v>
      </c>
      <c r="K2408" s="26" t="s">
        <v>9001</v>
      </c>
      <c r="L2408" s="26" t="s">
        <v>8966</v>
      </c>
      <c r="M2408" s="26">
        <v>2</v>
      </c>
      <c r="N2408" s="26">
        <v>1</v>
      </c>
      <c r="O2408" s="26">
        <v>2</v>
      </c>
      <c r="P2408" s="26">
        <v>0</v>
      </c>
      <c r="Q2408" s="26">
        <v>0</v>
      </c>
      <c r="R2408" s="1209">
        <v>698</v>
      </c>
      <c r="S2408" s="1209">
        <f t="shared" si="121"/>
        <v>1396</v>
      </c>
      <c r="T2408" s="26" t="s">
        <v>5448</v>
      </c>
      <c r="U2408" s="1859" t="s">
        <v>5939</v>
      </c>
      <c r="V2408" s="22" t="s">
        <v>8731</v>
      </c>
      <c r="W2408" s="649" t="s">
        <v>9002</v>
      </c>
      <c r="X2408" s="18"/>
      <c r="Y2408" s="4"/>
      <c r="Z2408" s="4"/>
    </row>
    <row r="2409" spans="1:26" ht="14.1" hidden="1">
      <c r="A2409" s="20">
        <v>2416</v>
      </c>
      <c r="B2409" s="1063">
        <v>42186</v>
      </c>
      <c r="C2409" s="26" t="s">
        <v>9003</v>
      </c>
      <c r="D2409" s="11" t="s">
        <v>6</v>
      </c>
      <c r="E2409" s="26" t="s">
        <v>5448</v>
      </c>
      <c r="F2409" s="26" t="s">
        <v>9004</v>
      </c>
      <c r="G2409" s="26" t="s">
        <v>9005</v>
      </c>
      <c r="H2409" s="237" t="s">
        <v>9006</v>
      </c>
      <c r="I2409" s="26" t="s">
        <v>84</v>
      </c>
      <c r="J2409" s="26">
        <v>40589764</v>
      </c>
      <c r="K2409" s="26" t="s">
        <v>9007</v>
      </c>
      <c r="L2409" s="26" t="s">
        <v>9008</v>
      </c>
      <c r="M2409" s="26">
        <v>1</v>
      </c>
      <c r="N2409" s="26">
        <v>1</v>
      </c>
      <c r="O2409" s="26">
        <v>1</v>
      </c>
      <c r="P2409" s="26">
        <v>0</v>
      </c>
      <c r="Q2409" s="26">
        <v>0</v>
      </c>
      <c r="R2409" s="1209">
        <v>13101</v>
      </c>
      <c r="S2409" s="1209">
        <f t="shared" si="121"/>
        <v>13101</v>
      </c>
      <c r="T2409" s="26" t="s">
        <v>5448</v>
      </c>
      <c r="U2409" s="1859" t="s">
        <v>448</v>
      </c>
      <c r="V2409" s="22" t="s">
        <v>8731</v>
      </c>
      <c r="W2409" s="649" t="s">
        <v>9009</v>
      </c>
      <c r="X2409" s="18"/>
      <c r="Y2409" s="4"/>
      <c r="Z2409" s="4"/>
    </row>
    <row r="2410" spans="1:26" ht="14.1" hidden="1">
      <c r="A2410" s="20">
        <v>2417</v>
      </c>
      <c r="B2410" s="1063">
        <v>42187</v>
      </c>
      <c r="C2410" s="26" t="s">
        <v>9010</v>
      </c>
      <c r="D2410" s="11" t="s">
        <v>6</v>
      </c>
      <c r="E2410" s="26" t="s">
        <v>5448</v>
      </c>
      <c r="F2410" s="26" t="s">
        <v>9004</v>
      </c>
      <c r="G2410" s="26" t="s">
        <v>9011</v>
      </c>
      <c r="H2410" s="237" t="s">
        <v>9012</v>
      </c>
      <c r="I2410" s="26" t="s">
        <v>84</v>
      </c>
      <c r="J2410" s="26">
        <v>39075452</v>
      </c>
      <c r="K2410" s="26" t="s">
        <v>2417</v>
      </c>
      <c r="L2410" s="26" t="s">
        <v>9013</v>
      </c>
      <c r="M2410" s="26">
        <v>3</v>
      </c>
      <c r="N2410" s="26">
        <v>3</v>
      </c>
      <c r="O2410" s="26">
        <v>6</v>
      </c>
      <c r="P2410" s="26">
        <v>0</v>
      </c>
      <c r="Q2410" s="26">
        <v>3</v>
      </c>
      <c r="R2410" s="1209">
        <v>1990</v>
      </c>
      <c r="S2410" s="1209">
        <f t="shared" si="121"/>
        <v>11940</v>
      </c>
      <c r="T2410" s="26" t="s">
        <v>5448</v>
      </c>
      <c r="U2410" s="1859" t="s">
        <v>448</v>
      </c>
      <c r="V2410" s="22" t="s">
        <v>8731</v>
      </c>
      <c r="W2410" s="649" t="s">
        <v>9014</v>
      </c>
      <c r="X2410" s="18"/>
      <c r="Y2410" s="4"/>
      <c r="Z2410" s="4"/>
    </row>
    <row r="2411" spans="1:26" ht="14.1" hidden="1">
      <c r="A2411" s="20">
        <v>2418</v>
      </c>
      <c r="B2411" s="1063">
        <v>42188</v>
      </c>
      <c r="C2411" s="26" t="s">
        <v>9015</v>
      </c>
      <c r="D2411" s="11" t="s">
        <v>6</v>
      </c>
      <c r="E2411" s="26" t="s">
        <v>5448</v>
      </c>
      <c r="F2411" s="26" t="s">
        <v>7782</v>
      </c>
      <c r="G2411" s="26" t="s">
        <v>9016</v>
      </c>
      <c r="H2411" s="237" t="s">
        <v>9017</v>
      </c>
      <c r="I2411" s="237" t="s">
        <v>9017</v>
      </c>
      <c r="J2411" s="26" t="s">
        <v>9018</v>
      </c>
      <c r="K2411" s="26" t="s">
        <v>9018</v>
      </c>
      <c r="L2411" s="26" t="s">
        <v>8955</v>
      </c>
      <c r="M2411" s="26">
        <v>1</v>
      </c>
      <c r="N2411" s="26">
        <v>1</v>
      </c>
      <c r="O2411" s="26">
        <v>5</v>
      </c>
      <c r="P2411" s="26">
        <v>0</v>
      </c>
      <c r="Q2411" s="26">
        <v>4</v>
      </c>
      <c r="R2411" s="1209" t="s">
        <v>9019</v>
      </c>
      <c r="S2411" s="1209" t="s">
        <v>9019</v>
      </c>
      <c r="T2411" s="26" t="s">
        <v>5448</v>
      </c>
      <c r="U2411" s="1859" t="s">
        <v>8765</v>
      </c>
      <c r="V2411" s="22" t="s">
        <v>8731</v>
      </c>
      <c r="W2411" s="649" t="s">
        <v>9020</v>
      </c>
      <c r="X2411" s="18" t="s">
        <v>9021</v>
      </c>
      <c r="Y2411" s="4"/>
      <c r="Z2411" s="4"/>
    </row>
    <row r="2412" spans="1:26" ht="14.1" hidden="1">
      <c r="A2412" s="20">
        <v>2419</v>
      </c>
      <c r="B2412" s="1063">
        <v>42189</v>
      </c>
      <c r="C2412" s="26" t="s">
        <v>9022</v>
      </c>
      <c r="D2412" s="11" t="s">
        <v>6</v>
      </c>
      <c r="E2412" s="26" t="s">
        <v>5448</v>
      </c>
      <c r="F2412" s="191" t="s">
        <v>439</v>
      </c>
      <c r="G2412" s="26"/>
      <c r="H2412" s="237" t="s">
        <v>8601</v>
      </c>
      <c r="I2412" s="26"/>
      <c r="J2412" s="26"/>
      <c r="K2412" s="26"/>
      <c r="L2412" s="26"/>
      <c r="M2412" s="26">
        <v>1</v>
      </c>
      <c r="N2412" s="26">
        <v>1</v>
      </c>
      <c r="O2412" s="26">
        <v>4</v>
      </c>
      <c r="P2412" s="26">
        <v>0</v>
      </c>
      <c r="Q2412" s="26">
        <v>3</v>
      </c>
      <c r="R2412" s="1209">
        <v>9814</v>
      </c>
      <c r="S2412" s="1209">
        <v>39256</v>
      </c>
      <c r="T2412" s="26" t="s">
        <v>5448</v>
      </c>
      <c r="U2412" s="1859" t="s">
        <v>9023</v>
      </c>
      <c r="V2412" s="26" t="s">
        <v>8731</v>
      </c>
      <c r="W2412" s="2088" t="s">
        <v>401</v>
      </c>
      <c r="X2412" s="18"/>
      <c r="Y2412" s="4"/>
      <c r="Z2412" s="4"/>
    </row>
    <row r="2413" spans="1:26" ht="14.1" hidden="1">
      <c r="A2413" s="20">
        <v>2420</v>
      </c>
      <c r="B2413" s="1063">
        <v>42190</v>
      </c>
      <c r="C2413" s="26" t="s">
        <v>9024</v>
      </c>
      <c r="D2413" s="11" t="s">
        <v>6</v>
      </c>
      <c r="E2413" s="26" t="s">
        <v>5448</v>
      </c>
      <c r="F2413" s="26" t="s">
        <v>439</v>
      </c>
      <c r="G2413" s="26"/>
      <c r="H2413" s="237" t="s">
        <v>8601</v>
      </c>
      <c r="I2413" s="26"/>
      <c r="J2413" s="26"/>
      <c r="K2413" s="26"/>
      <c r="L2413" s="26"/>
      <c r="M2413" s="26">
        <v>1</v>
      </c>
      <c r="N2413" s="26">
        <v>1</v>
      </c>
      <c r="O2413" s="26">
        <v>4</v>
      </c>
      <c r="P2413" s="26">
        <v>0</v>
      </c>
      <c r="Q2413" s="26">
        <v>3</v>
      </c>
      <c r="R2413" s="1209">
        <v>9814</v>
      </c>
      <c r="S2413" s="1209">
        <v>39256</v>
      </c>
      <c r="T2413" s="26" t="s">
        <v>5448</v>
      </c>
      <c r="U2413" s="1859" t="s">
        <v>9025</v>
      </c>
      <c r="V2413" s="26" t="s">
        <v>8731</v>
      </c>
      <c r="W2413" s="2088" t="s">
        <v>401</v>
      </c>
      <c r="X2413" s="18"/>
      <c r="Y2413" s="4"/>
      <c r="Z2413" s="4"/>
    </row>
    <row r="2414" spans="1:26" ht="14.1" hidden="1">
      <c r="A2414" s="20">
        <v>2421</v>
      </c>
      <c r="B2414" s="1063">
        <v>42191</v>
      </c>
      <c r="C2414" s="26" t="s">
        <v>9026</v>
      </c>
      <c r="D2414" s="11" t="s">
        <v>6</v>
      </c>
      <c r="E2414" s="26" t="s">
        <v>2722</v>
      </c>
      <c r="F2414" s="26" t="s">
        <v>2143</v>
      </c>
      <c r="G2414" s="26" t="s">
        <v>9027</v>
      </c>
      <c r="H2414" s="237" t="s">
        <v>9028</v>
      </c>
      <c r="I2414" s="26" t="s">
        <v>9029</v>
      </c>
      <c r="J2414" s="26"/>
      <c r="K2414" s="26"/>
      <c r="L2414" s="26"/>
      <c r="M2414" s="26">
        <v>3</v>
      </c>
      <c r="N2414" s="26">
        <v>1</v>
      </c>
      <c r="O2414" s="26">
        <v>3</v>
      </c>
      <c r="P2414" s="26">
        <v>0</v>
      </c>
      <c r="Q2414" s="26">
        <v>0</v>
      </c>
      <c r="R2414" s="1209">
        <v>4300</v>
      </c>
      <c r="S2414" s="1209">
        <f>R2414*O2414</f>
        <v>12900</v>
      </c>
      <c r="T2414" s="26" t="s">
        <v>929</v>
      </c>
      <c r="U2414" s="1859" t="s">
        <v>118</v>
      </c>
      <c r="V2414" s="26" t="s">
        <v>9030</v>
      </c>
      <c r="W2414" s="2065" t="s">
        <v>9031</v>
      </c>
      <c r="X2414" s="18"/>
      <c r="Y2414" s="4"/>
      <c r="Z2414" s="4"/>
    </row>
    <row r="2415" spans="1:26" ht="14.1" hidden="1">
      <c r="A2415" s="20">
        <v>2422</v>
      </c>
      <c r="B2415" s="1063">
        <v>42192</v>
      </c>
      <c r="C2415" s="26" t="s">
        <v>9032</v>
      </c>
      <c r="D2415" s="11"/>
      <c r="E2415" s="26" t="s">
        <v>5448</v>
      </c>
      <c r="F2415" s="26" t="s">
        <v>2006</v>
      </c>
      <c r="G2415" s="26" t="s">
        <v>8525</v>
      </c>
      <c r="H2415" s="237" t="s">
        <v>1002</v>
      </c>
      <c r="I2415" s="26" t="s">
        <v>1002</v>
      </c>
      <c r="J2415" s="26" t="s">
        <v>1</v>
      </c>
      <c r="K2415" s="26" t="s">
        <v>1</v>
      </c>
      <c r="L2415" s="26" t="s">
        <v>1</v>
      </c>
      <c r="M2415" s="26">
        <v>5</v>
      </c>
      <c r="N2415" s="26">
        <v>1</v>
      </c>
      <c r="O2415" s="26">
        <v>5</v>
      </c>
      <c r="P2415" s="26">
        <v>0</v>
      </c>
      <c r="Q2415" s="669">
        <f>(O2415+P2415)-M2415</f>
        <v>0</v>
      </c>
      <c r="R2415" s="1209"/>
      <c r="S2415" s="1268">
        <v>91600</v>
      </c>
      <c r="T2415" s="270" t="s">
        <v>311</v>
      </c>
      <c r="U2415" s="1542" t="s">
        <v>678</v>
      </c>
      <c r="V2415" s="572" t="s">
        <v>5990</v>
      </c>
      <c r="W2415" s="2084"/>
      <c r="X2415" s="18"/>
      <c r="Y2415" s="4"/>
      <c r="Z2415" s="4"/>
    </row>
    <row r="2416" spans="1:26" ht="14.1" hidden="1">
      <c r="A2416" s="20">
        <v>2423</v>
      </c>
      <c r="B2416" s="1063">
        <v>42193</v>
      </c>
      <c r="C2416" s="26" t="s">
        <v>9033</v>
      </c>
      <c r="D2416" s="11"/>
      <c r="E2416" s="26" t="s">
        <v>5448</v>
      </c>
      <c r="F2416" s="26" t="s">
        <v>7046</v>
      </c>
      <c r="G2416" s="26" t="s">
        <v>9034</v>
      </c>
      <c r="H2416" s="237" t="s">
        <v>8601</v>
      </c>
      <c r="I2416" s="237" t="s">
        <v>8601</v>
      </c>
      <c r="J2416" s="26"/>
      <c r="K2416" s="26"/>
      <c r="L2416" s="26"/>
      <c r="M2416" s="26">
        <v>1</v>
      </c>
      <c r="N2416" s="26">
        <v>1</v>
      </c>
      <c r="O2416" s="26" t="s">
        <v>8602</v>
      </c>
      <c r="P2416" s="26">
        <v>0</v>
      </c>
      <c r="Q2416" s="26" t="s">
        <v>8603</v>
      </c>
      <c r="R2416" s="1209">
        <v>53006</v>
      </c>
      <c r="S2416" s="1209">
        <v>53006</v>
      </c>
      <c r="T2416" s="26" t="s">
        <v>6634</v>
      </c>
      <c r="U2416" s="1859" t="s">
        <v>8604</v>
      </c>
      <c r="V2416" s="26" t="s">
        <v>3140</v>
      </c>
      <c r="W2416" s="2085" t="s">
        <v>401</v>
      </c>
      <c r="X2416" s="18"/>
      <c r="Y2416" s="4"/>
      <c r="Z2416" s="4"/>
    </row>
    <row r="2417" spans="1:26" ht="14.1" hidden="1">
      <c r="A2417" s="20">
        <v>2424</v>
      </c>
      <c r="B2417" s="1063">
        <v>42194</v>
      </c>
      <c r="C2417" s="26" t="s">
        <v>329</v>
      </c>
      <c r="D2417" s="11"/>
      <c r="E2417" s="26" t="s">
        <v>5448</v>
      </c>
      <c r="F2417" s="26" t="s">
        <v>2006</v>
      </c>
      <c r="G2417" s="26" t="s">
        <v>8491</v>
      </c>
      <c r="H2417" s="237" t="s">
        <v>5730</v>
      </c>
      <c r="I2417" s="26" t="s">
        <v>281</v>
      </c>
      <c r="J2417" s="26" t="s">
        <v>8492</v>
      </c>
      <c r="K2417" s="26" t="s">
        <v>8493</v>
      </c>
      <c r="L2417" s="26" t="s">
        <v>5267</v>
      </c>
      <c r="M2417" s="26">
        <v>12</v>
      </c>
      <c r="N2417" s="26">
        <v>10</v>
      </c>
      <c r="O2417" s="26">
        <v>10</v>
      </c>
      <c r="P2417" s="26">
        <v>8</v>
      </c>
      <c r="Q2417" s="26">
        <f t="shared" ref="Q2417:Q2418" si="124">(O2417+P2417)-M2417</f>
        <v>6</v>
      </c>
      <c r="R2417" s="1209">
        <v>6.6</v>
      </c>
      <c r="S2417" s="1209">
        <f t="shared" ref="S2417:S2424" si="125">R2417*O2417</f>
        <v>66</v>
      </c>
      <c r="T2417" s="26" t="s">
        <v>311</v>
      </c>
      <c r="U2417" s="1859" t="s">
        <v>678</v>
      </c>
      <c r="V2417" s="26" t="s">
        <v>5990</v>
      </c>
      <c r="W2417" s="2065" t="s">
        <v>8494</v>
      </c>
      <c r="X2417" s="18"/>
      <c r="Y2417" s="4"/>
      <c r="Z2417" s="4"/>
    </row>
    <row r="2418" spans="1:26" ht="14.1" hidden="1">
      <c r="A2418" s="20">
        <v>2425</v>
      </c>
      <c r="B2418" s="1063">
        <v>42195</v>
      </c>
      <c r="C2418" s="26" t="s">
        <v>5270</v>
      </c>
      <c r="D2418" s="11"/>
      <c r="E2418" s="26" t="s">
        <v>5448</v>
      </c>
      <c r="F2418" s="26" t="s">
        <v>2006</v>
      </c>
      <c r="G2418" s="26" t="s">
        <v>5271</v>
      </c>
      <c r="H2418" s="237" t="s">
        <v>3898</v>
      </c>
      <c r="I2418" s="26" t="s">
        <v>281</v>
      </c>
      <c r="J2418" s="26" t="s">
        <v>933</v>
      </c>
      <c r="K2418" s="26" t="s">
        <v>5991</v>
      </c>
      <c r="L2418" s="26" t="s">
        <v>3636</v>
      </c>
      <c r="M2418" s="26">
        <v>24</v>
      </c>
      <c r="N2418" s="26">
        <v>10</v>
      </c>
      <c r="O2418" s="26">
        <v>20</v>
      </c>
      <c r="P2418" s="26">
        <v>10</v>
      </c>
      <c r="Q2418" s="26">
        <f t="shared" si="124"/>
        <v>6</v>
      </c>
      <c r="R2418" s="1209">
        <v>484.6</v>
      </c>
      <c r="S2418" s="1209">
        <f t="shared" si="125"/>
        <v>9692</v>
      </c>
      <c r="T2418" s="26" t="s">
        <v>311</v>
      </c>
      <c r="U2418" s="1859" t="s">
        <v>678</v>
      </c>
      <c r="V2418" s="26" t="s">
        <v>5990</v>
      </c>
      <c r="W2418" s="2074" t="s">
        <v>5272</v>
      </c>
      <c r="X2418" s="18"/>
      <c r="Y2418" s="4"/>
      <c r="Z2418" s="4"/>
    </row>
    <row r="2419" spans="1:26" ht="14.1" hidden="1">
      <c r="A2419" s="20">
        <v>2426</v>
      </c>
      <c r="B2419" s="1063">
        <v>42196</v>
      </c>
      <c r="C2419" s="26" t="s">
        <v>9035</v>
      </c>
      <c r="D2419" s="8" t="s">
        <v>6</v>
      </c>
      <c r="E2419" s="26" t="s">
        <v>5448</v>
      </c>
      <c r="F2419" s="26" t="s">
        <v>2693</v>
      </c>
      <c r="G2419" s="26"/>
      <c r="H2419" s="237" t="s">
        <v>429</v>
      </c>
      <c r="I2419" s="26" t="s">
        <v>429</v>
      </c>
      <c r="J2419" s="26" t="s">
        <v>9036</v>
      </c>
      <c r="K2419" s="26"/>
      <c r="L2419" s="26"/>
      <c r="M2419" s="26">
        <v>1</v>
      </c>
      <c r="N2419" s="26">
        <v>1</v>
      </c>
      <c r="O2419" s="26">
        <v>1</v>
      </c>
      <c r="P2419" s="26">
        <v>0</v>
      </c>
      <c r="Q2419" s="26">
        <v>1</v>
      </c>
      <c r="R2419" s="1209">
        <v>7859</v>
      </c>
      <c r="S2419" s="1209">
        <f t="shared" si="125"/>
        <v>7859</v>
      </c>
      <c r="T2419" s="26" t="s">
        <v>5448</v>
      </c>
      <c r="U2419" s="1859" t="s">
        <v>9037</v>
      </c>
      <c r="V2419" s="26" t="s">
        <v>5990</v>
      </c>
      <c r="W2419" s="2074" t="s">
        <v>9038</v>
      </c>
      <c r="X2419" s="18"/>
      <c r="Y2419" s="4"/>
      <c r="Z2419" s="4"/>
    </row>
    <row r="2420" spans="1:26" ht="14.1" hidden="1">
      <c r="A2420" s="20">
        <v>2427</v>
      </c>
      <c r="B2420" s="1063">
        <v>42197</v>
      </c>
      <c r="C2420" s="26" t="s">
        <v>9039</v>
      </c>
      <c r="D2420" s="8" t="s">
        <v>6</v>
      </c>
      <c r="E2420" s="26" t="s">
        <v>5448</v>
      </c>
      <c r="F2420" s="26" t="s">
        <v>2693</v>
      </c>
      <c r="G2420" s="26"/>
      <c r="H2420" s="237" t="s">
        <v>429</v>
      </c>
      <c r="I2420" s="26" t="s">
        <v>429</v>
      </c>
      <c r="J2420" s="26" t="s">
        <v>9040</v>
      </c>
      <c r="K2420" s="26"/>
      <c r="L2420" s="26"/>
      <c r="M2420" s="26">
        <v>1</v>
      </c>
      <c r="N2420" s="26">
        <v>1</v>
      </c>
      <c r="O2420" s="26">
        <v>1</v>
      </c>
      <c r="P2420" s="26">
        <v>0</v>
      </c>
      <c r="Q2420" s="26">
        <v>1</v>
      </c>
      <c r="R2420" s="1209">
        <v>8925</v>
      </c>
      <c r="S2420" s="1209">
        <f t="shared" si="125"/>
        <v>8925</v>
      </c>
      <c r="T2420" s="26" t="s">
        <v>5448</v>
      </c>
      <c r="U2420" s="1859" t="s">
        <v>9037</v>
      </c>
      <c r="V2420" s="26" t="s">
        <v>5990</v>
      </c>
      <c r="W2420" s="2074" t="s">
        <v>9038</v>
      </c>
      <c r="X2420" s="18"/>
      <c r="Y2420" s="4"/>
      <c r="Z2420" s="4"/>
    </row>
    <row r="2421" spans="1:26" ht="14.1" hidden="1">
      <c r="A2421" s="20">
        <v>2428</v>
      </c>
      <c r="B2421" s="1063">
        <v>42198</v>
      </c>
      <c r="C2421" s="26" t="s">
        <v>9041</v>
      </c>
      <c r="D2421" s="8" t="s">
        <v>6</v>
      </c>
      <c r="E2421" s="26" t="s">
        <v>5448</v>
      </c>
      <c r="F2421" s="26" t="s">
        <v>2693</v>
      </c>
      <c r="G2421" s="26"/>
      <c r="H2421" s="237" t="s">
        <v>429</v>
      </c>
      <c r="I2421" s="26" t="s">
        <v>429</v>
      </c>
      <c r="J2421" s="26" t="s">
        <v>9042</v>
      </c>
      <c r="K2421" s="26"/>
      <c r="L2421" s="26"/>
      <c r="M2421" s="26">
        <v>1</v>
      </c>
      <c r="N2421" s="26">
        <v>1</v>
      </c>
      <c r="O2421" s="26">
        <v>1</v>
      </c>
      <c r="P2421" s="26">
        <v>0</v>
      </c>
      <c r="Q2421" s="26">
        <v>1</v>
      </c>
      <c r="R2421" s="1209">
        <v>8925</v>
      </c>
      <c r="S2421" s="1209">
        <f t="shared" si="125"/>
        <v>8925</v>
      </c>
      <c r="T2421" s="26" t="s">
        <v>5448</v>
      </c>
      <c r="U2421" s="1859" t="s">
        <v>9037</v>
      </c>
      <c r="V2421" s="26" t="s">
        <v>5990</v>
      </c>
      <c r="W2421" s="2074" t="s">
        <v>9038</v>
      </c>
      <c r="X2421" s="18"/>
      <c r="Y2421" s="4"/>
      <c r="Z2421" s="4"/>
    </row>
    <row r="2422" spans="1:26" ht="14.1" hidden="1">
      <c r="A2422" s="20">
        <v>2429</v>
      </c>
      <c r="B2422" s="1063">
        <v>42199</v>
      </c>
      <c r="C2422" s="26" t="s">
        <v>9043</v>
      </c>
      <c r="D2422" s="8" t="s">
        <v>6</v>
      </c>
      <c r="E2422" s="26" t="s">
        <v>5448</v>
      </c>
      <c r="F2422" s="26" t="s">
        <v>2693</v>
      </c>
      <c r="G2422" s="26"/>
      <c r="H2422" s="237" t="s">
        <v>429</v>
      </c>
      <c r="I2422" s="26" t="s">
        <v>429</v>
      </c>
      <c r="J2422" s="26" t="s">
        <v>9044</v>
      </c>
      <c r="K2422" s="26"/>
      <c r="L2422" s="26"/>
      <c r="M2422" s="26">
        <v>1</v>
      </c>
      <c r="N2422" s="26">
        <v>1</v>
      </c>
      <c r="O2422" s="26">
        <v>1</v>
      </c>
      <c r="P2422" s="26">
        <v>0</v>
      </c>
      <c r="Q2422" s="26">
        <v>1</v>
      </c>
      <c r="R2422" s="1209">
        <v>12949</v>
      </c>
      <c r="S2422" s="1209">
        <f t="shared" si="125"/>
        <v>12949</v>
      </c>
      <c r="T2422" s="26" t="s">
        <v>5448</v>
      </c>
      <c r="U2422" s="1859" t="s">
        <v>9037</v>
      </c>
      <c r="V2422" s="26" t="s">
        <v>5990</v>
      </c>
      <c r="W2422" s="2074" t="s">
        <v>9038</v>
      </c>
      <c r="X2422" s="18"/>
      <c r="Y2422" s="4"/>
      <c r="Z2422" s="4"/>
    </row>
    <row r="2423" spans="1:26" ht="14.1" hidden="1">
      <c r="A2423" s="20">
        <v>2430</v>
      </c>
      <c r="B2423" s="1063">
        <v>42200</v>
      </c>
      <c r="C2423" s="26" t="s">
        <v>9045</v>
      </c>
      <c r="D2423" s="8" t="s">
        <v>6</v>
      </c>
      <c r="E2423" s="26" t="s">
        <v>5448</v>
      </c>
      <c r="F2423" s="26" t="s">
        <v>2693</v>
      </c>
      <c r="G2423" s="26"/>
      <c r="H2423" s="237" t="s">
        <v>429</v>
      </c>
      <c r="I2423" s="26" t="s">
        <v>429</v>
      </c>
      <c r="J2423" s="26" t="s">
        <v>9046</v>
      </c>
      <c r="K2423" s="26"/>
      <c r="L2423" s="26"/>
      <c r="M2423" s="26">
        <v>1</v>
      </c>
      <c r="N2423" s="26">
        <v>1</v>
      </c>
      <c r="O2423" s="26">
        <v>1</v>
      </c>
      <c r="P2423" s="26">
        <v>0</v>
      </c>
      <c r="Q2423" s="26">
        <v>1</v>
      </c>
      <c r="R2423" s="1209">
        <v>7859</v>
      </c>
      <c r="S2423" s="1209">
        <f t="shared" si="125"/>
        <v>7859</v>
      </c>
      <c r="T2423" s="26" t="s">
        <v>5448</v>
      </c>
      <c r="U2423" s="1859" t="s">
        <v>9037</v>
      </c>
      <c r="V2423" s="26" t="s">
        <v>5990</v>
      </c>
      <c r="W2423" s="2074" t="s">
        <v>9038</v>
      </c>
      <c r="X2423" s="18"/>
      <c r="Y2423" s="4"/>
      <c r="Z2423" s="4"/>
    </row>
    <row r="2424" spans="1:26" ht="14.1" hidden="1">
      <c r="A2424" s="20">
        <v>2431</v>
      </c>
      <c r="B2424" s="1063">
        <v>42201</v>
      </c>
      <c r="C2424" s="26" t="s">
        <v>9047</v>
      </c>
      <c r="D2424" s="8" t="s">
        <v>6</v>
      </c>
      <c r="E2424" s="26" t="s">
        <v>5448</v>
      </c>
      <c r="F2424" s="26" t="s">
        <v>2693</v>
      </c>
      <c r="G2424" s="26"/>
      <c r="H2424" s="237" t="s">
        <v>429</v>
      </c>
      <c r="I2424" s="26" t="s">
        <v>429</v>
      </c>
      <c r="J2424" s="26" t="s">
        <v>9048</v>
      </c>
      <c r="K2424" s="26"/>
      <c r="L2424" s="26"/>
      <c r="M2424" s="26">
        <v>1</v>
      </c>
      <c r="N2424" s="26">
        <v>1</v>
      </c>
      <c r="O2424" s="26">
        <v>1</v>
      </c>
      <c r="P2424" s="26">
        <v>0</v>
      </c>
      <c r="Q2424" s="26">
        <v>1</v>
      </c>
      <c r="R2424" s="1209">
        <v>11446</v>
      </c>
      <c r="S2424" s="1209">
        <f t="shared" si="125"/>
        <v>11446</v>
      </c>
      <c r="T2424" s="26" t="s">
        <v>5448</v>
      </c>
      <c r="U2424" s="1859" t="s">
        <v>9037</v>
      </c>
      <c r="V2424" s="26" t="s">
        <v>5990</v>
      </c>
      <c r="W2424" s="2074" t="s">
        <v>9038</v>
      </c>
      <c r="X2424" s="18"/>
      <c r="Y2424" s="4"/>
      <c r="Z2424" s="4"/>
    </row>
    <row r="2425" spans="1:26" ht="24.95" hidden="1">
      <c r="A2425" s="20">
        <v>2432</v>
      </c>
      <c r="B2425" s="1063">
        <v>42202</v>
      </c>
      <c r="C2425" s="26" t="s">
        <v>9049</v>
      </c>
      <c r="D2425" s="11"/>
      <c r="E2425" s="26" t="s">
        <v>5448</v>
      </c>
      <c r="F2425" s="26" t="s">
        <v>2006</v>
      </c>
      <c r="G2425" s="26" t="s">
        <v>9050</v>
      </c>
      <c r="H2425" s="237" t="s">
        <v>6005</v>
      </c>
      <c r="I2425" s="237" t="s">
        <v>6005</v>
      </c>
      <c r="J2425" s="26"/>
      <c r="K2425" s="26"/>
      <c r="L2425" s="26"/>
      <c r="M2425" s="26">
        <v>1</v>
      </c>
      <c r="N2425" s="26">
        <v>1</v>
      </c>
      <c r="O2425" s="26">
        <v>1</v>
      </c>
      <c r="P2425" s="26">
        <v>0</v>
      </c>
      <c r="Q2425" s="26">
        <v>0</v>
      </c>
      <c r="R2425" s="1209" t="s">
        <v>9051</v>
      </c>
      <c r="S2425" s="1209" t="s">
        <v>9051</v>
      </c>
      <c r="T2425" s="26" t="s">
        <v>311</v>
      </c>
      <c r="U2425" s="1859" t="s">
        <v>678</v>
      </c>
      <c r="V2425" s="26" t="s">
        <v>9052</v>
      </c>
      <c r="W2425" s="649" t="s">
        <v>9053</v>
      </c>
      <c r="X2425" s="18"/>
      <c r="Y2425" s="4"/>
      <c r="Z2425" s="4"/>
    </row>
    <row r="2426" spans="1:26" ht="14.1" hidden="1">
      <c r="A2426" s="20">
        <v>2433</v>
      </c>
      <c r="B2426" s="1063">
        <v>42203</v>
      </c>
      <c r="C2426" s="26" t="s">
        <v>9054</v>
      </c>
      <c r="D2426" s="11" t="s">
        <v>6</v>
      </c>
      <c r="E2426" s="26" t="s">
        <v>5448</v>
      </c>
      <c r="F2426" s="26" t="s">
        <v>2143</v>
      </c>
      <c r="G2426" s="26" t="s">
        <v>9055</v>
      </c>
      <c r="H2426" s="237"/>
      <c r="I2426" s="26" t="s">
        <v>1379</v>
      </c>
      <c r="J2426" s="26"/>
      <c r="K2426" s="26"/>
      <c r="L2426" s="26"/>
      <c r="M2426" s="26">
        <v>1</v>
      </c>
      <c r="N2426" s="26">
        <v>1</v>
      </c>
      <c r="O2426" s="26">
        <v>1</v>
      </c>
      <c r="P2426" s="26">
        <v>0</v>
      </c>
      <c r="Q2426" s="26">
        <v>0</v>
      </c>
      <c r="R2426" s="1209">
        <v>95645</v>
      </c>
      <c r="S2426" s="1209">
        <v>95645</v>
      </c>
      <c r="T2426" s="26" t="s">
        <v>5448</v>
      </c>
      <c r="U2426" s="1859" t="s">
        <v>138</v>
      </c>
      <c r="V2426" s="26" t="s">
        <v>5990</v>
      </c>
      <c r="W2426" s="2084"/>
      <c r="X2426" s="18"/>
      <c r="Y2426" s="4"/>
      <c r="Z2426" s="4"/>
    </row>
    <row r="2427" spans="1:26" ht="14.1" hidden="1">
      <c r="A2427" s="20">
        <v>2434</v>
      </c>
      <c r="B2427" s="1063">
        <v>42204</v>
      </c>
      <c r="C2427" s="26" t="s">
        <v>9056</v>
      </c>
      <c r="D2427" s="11" t="s">
        <v>6</v>
      </c>
      <c r="E2427" s="26" t="s">
        <v>5448</v>
      </c>
      <c r="F2427" s="26" t="s">
        <v>2143</v>
      </c>
      <c r="G2427" s="26" t="s">
        <v>9055</v>
      </c>
      <c r="H2427" s="237"/>
      <c r="I2427" s="26" t="s">
        <v>1379</v>
      </c>
      <c r="J2427" s="26"/>
      <c r="K2427" s="26"/>
      <c r="L2427" s="26"/>
      <c r="M2427" s="26">
        <v>1</v>
      </c>
      <c r="N2427" s="26">
        <v>1</v>
      </c>
      <c r="O2427" s="26">
        <v>1</v>
      </c>
      <c r="P2427" s="26">
        <v>0</v>
      </c>
      <c r="Q2427" s="26">
        <v>0</v>
      </c>
      <c r="R2427" s="1209">
        <v>95645</v>
      </c>
      <c r="S2427" s="1209">
        <v>95645</v>
      </c>
      <c r="T2427" s="26" t="s">
        <v>5448</v>
      </c>
      <c r="U2427" s="1859" t="s">
        <v>138</v>
      </c>
      <c r="V2427" s="26" t="s">
        <v>5990</v>
      </c>
      <c r="W2427" s="2084"/>
      <c r="X2427" s="18"/>
      <c r="Y2427" s="4"/>
      <c r="Z2427" s="4"/>
    </row>
    <row r="2428" spans="1:26" ht="14.1" hidden="1">
      <c r="A2428" s="20">
        <v>2435</v>
      </c>
      <c r="B2428" s="1063">
        <v>42205</v>
      </c>
      <c r="C2428" s="26" t="s">
        <v>9057</v>
      </c>
      <c r="D2428" s="11" t="s">
        <v>6</v>
      </c>
      <c r="E2428" s="26" t="s">
        <v>5448</v>
      </c>
      <c r="F2428" s="26" t="s">
        <v>2143</v>
      </c>
      <c r="G2428" s="26" t="s">
        <v>9055</v>
      </c>
      <c r="H2428" s="237"/>
      <c r="I2428" s="26" t="s">
        <v>1379</v>
      </c>
      <c r="J2428" s="26"/>
      <c r="K2428" s="26"/>
      <c r="L2428" s="26"/>
      <c r="M2428" s="26">
        <v>1</v>
      </c>
      <c r="N2428" s="26">
        <v>1</v>
      </c>
      <c r="O2428" s="26">
        <v>1</v>
      </c>
      <c r="P2428" s="26">
        <v>0</v>
      </c>
      <c r="Q2428" s="26">
        <v>0</v>
      </c>
      <c r="R2428" s="1209">
        <v>91564</v>
      </c>
      <c r="S2428" s="1209">
        <v>91564</v>
      </c>
      <c r="T2428" s="26" t="s">
        <v>5448</v>
      </c>
      <c r="U2428" s="1859" t="s">
        <v>138</v>
      </c>
      <c r="V2428" s="26" t="s">
        <v>5990</v>
      </c>
      <c r="W2428" s="2084"/>
      <c r="X2428" s="18"/>
      <c r="Y2428" s="4"/>
      <c r="Z2428" s="4"/>
    </row>
    <row r="2429" spans="1:26" ht="14.1" hidden="1">
      <c r="A2429" s="20">
        <v>2436</v>
      </c>
      <c r="B2429" s="1063">
        <v>42206</v>
      </c>
      <c r="C2429" s="26" t="s">
        <v>9058</v>
      </c>
      <c r="D2429" s="11" t="s">
        <v>6</v>
      </c>
      <c r="E2429" s="26" t="s">
        <v>5448</v>
      </c>
      <c r="F2429" s="26" t="s">
        <v>2143</v>
      </c>
      <c r="G2429" s="26" t="s">
        <v>9055</v>
      </c>
      <c r="H2429" s="237"/>
      <c r="I2429" s="26" t="s">
        <v>1379</v>
      </c>
      <c r="J2429" s="26"/>
      <c r="K2429" s="26"/>
      <c r="L2429" s="26"/>
      <c r="M2429" s="26">
        <v>1</v>
      </c>
      <c r="N2429" s="26">
        <v>1</v>
      </c>
      <c r="O2429" s="26">
        <v>1</v>
      </c>
      <c r="P2429" s="26">
        <v>0</v>
      </c>
      <c r="Q2429" s="26">
        <v>0</v>
      </c>
      <c r="R2429" s="1209">
        <v>91564</v>
      </c>
      <c r="S2429" s="1209">
        <v>91564</v>
      </c>
      <c r="T2429" s="26" t="s">
        <v>5448</v>
      </c>
      <c r="U2429" s="1859" t="s">
        <v>138</v>
      </c>
      <c r="V2429" s="26" t="s">
        <v>5990</v>
      </c>
      <c r="W2429" s="2084"/>
      <c r="X2429" s="18"/>
      <c r="Y2429" s="4"/>
      <c r="Z2429" s="4"/>
    </row>
    <row r="2430" spans="1:26" ht="14.1" hidden="1">
      <c r="A2430" s="20">
        <v>2437</v>
      </c>
      <c r="B2430" s="1063">
        <v>42207</v>
      </c>
      <c r="C2430" s="26" t="s">
        <v>9059</v>
      </c>
      <c r="D2430" s="11" t="s">
        <v>6</v>
      </c>
      <c r="E2430" s="26" t="s">
        <v>5448</v>
      </c>
      <c r="F2430" s="26" t="s">
        <v>2143</v>
      </c>
      <c r="G2430" s="26" t="s">
        <v>9060</v>
      </c>
      <c r="H2430" s="237"/>
      <c r="I2430" s="26" t="s">
        <v>1379</v>
      </c>
      <c r="J2430" s="26"/>
      <c r="K2430" s="26"/>
      <c r="L2430" s="26"/>
      <c r="M2430" s="26">
        <v>1</v>
      </c>
      <c r="N2430" s="26">
        <v>1</v>
      </c>
      <c r="O2430" s="26">
        <v>1</v>
      </c>
      <c r="P2430" s="26">
        <v>0</v>
      </c>
      <c r="Q2430" s="26">
        <v>0</v>
      </c>
      <c r="R2430" s="1209">
        <v>24871</v>
      </c>
      <c r="S2430" s="1209">
        <v>24871</v>
      </c>
      <c r="T2430" s="26" t="s">
        <v>5448</v>
      </c>
      <c r="U2430" s="1859" t="s">
        <v>138</v>
      </c>
      <c r="V2430" s="26" t="s">
        <v>5990</v>
      </c>
      <c r="W2430" s="2084"/>
      <c r="X2430" s="18"/>
      <c r="Y2430" s="4"/>
      <c r="Z2430" s="4"/>
    </row>
    <row r="2431" spans="1:26" ht="14.1" hidden="1">
      <c r="A2431" s="20">
        <v>2438</v>
      </c>
      <c r="B2431" s="1063">
        <v>42208</v>
      </c>
      <c r="C2431" s="26" t="s">
        <v>9059</v>
      </c>
      <c r="D2431" s="11" t="s">
        <v>6</v>
      </c>
      <c r="E2431" s="26" t="s">
        <v>5448</v>
      </c>
      <c r="F2431" s="26" t="s">
        <v>2143</v>
      </c>
      <c r="G2431" s="26" t="s">
        <v>9060</v>
      </c>
      <c r="H2431" s="237"/>
      <c r="I2431" s="26" t="s">
        <v>1379</v>
      </c>
      <c r="J2431" s="26"/>
      <c r="K2431" s="26"/>
      <c r="L2431" s="26"/>
      <c r="M2431" s="26">
        <v>1</v>
      </c>
      <c r="N2431" s="26">
        <v>1</v>
      </c>
      <c r="O2431" s="26">
        <v>1</v>
      </c>
      <c r="P2431" s="26">
        <v>0</v>
      </c>
      <c r="Q2431" s="26">
        <v>0</v>
      </c>
      <c r="R2431" s="1209">
        <v>24871</v>
      </c>
      <c r="S2431" s="1209">
        <v>24871</v>
      </c>
      <c r="T2431" s="26" t="s">
        <v>5448</v>
      </c>
      <c r="U2431" s="1859" t="s">
        <v>138</v>
      </c>
      <c r="V2431" s="26" t="s">
        <v>5990</v>
      </c>
      <c r="W2431" s="2084"/>
      <c r="X2431" s="18"/>
      <c r="Y2431" s="4"/>
      <c r="Z2431" s="4"/>
    </row>
    <row r="2432" spans="1:26" ht="14.1" hidden="1">
      <c r="A2432" s="20">
        <v>2439</v>
      </c>
      <c r="B2432" s="1063">
        <v>42209</v>
      </c>
      <c r="C2432" s="26" t="s">
        <v>9061</v>
      </c>
      <c r="D2432" s="11" t="s">
        <v>6</v>
      </c>
      <c r="E2432" s="26" t="s">
        <v>2722</v>
      </c>
      <c r="F2432" s="26" t="s">
        <v>1569</v>
      </c>
      <c r="G2432" s="26" t="s">
        <v>9062</v>
      </c>
      <c r="H2432" s="237"/>
      <c r="I2432" s="26" t="s">
        <v>1379</v>
      </c>
      <c r="J2432" s="26"/>
      <c r="K2432" s="26"/>
      <c r="L2432" s="26"/>
      <c r="M2432" s="26">
        <v>5</v>
      </c>
      <c r="N2432" s="26">
        <v>1</v>
      </c>
      <c r="O2432" s="26">
        <v>5</v>
      </c>
      <c r="P2432" s="26">
        <v>0</v>
      </c>
      <c r="Q2432" s="26">
        <v>0</v>
      </c>
      <c r="R2432" s="1209">
        <f t="shared" ref="R2432:R2436" si="126">S2432/5</f>
        <v>8089.4</v>
      </c>
      <c r="S2432" s="1209">
        <v>40447</v>
      </c>
      <c r="T2432" s="26" t="s">
        <v>9063</v>
      </c>
      <c r="U2432" s="1859" t="s">
        <v>441</v>
      </c>
      <c r="V2432" s="26" t="s">
        <v>9064</v>
      </c>
      <c r="W2432" s="2084"/>
      <c r="X2432" s="18"/>
      <c r="Y2432" s="4"/>
      <c r="Z2432" s="4"/>
    </row>
    <row r="2433" spans="1:26" ht="14.1" hidden="1">
      <c r="A2433" s="20">
        <v>2440</v>
      </c>
      <c r="B2433" s="1063">
        <v>42210</v>
      </c>
      <c r="C2433" s="26" t="s">
        <v>9065</v>
      </c>
      <c r="D2433" s="11" t="s">
        <v>6</v>
      </c>
      <c r="E2433" s="26" t="s">
        <v>2722</v>
      </c>
      <c r="F2433" s="26" t="s">
        <v>1569</v>
      </c>
      <c r="G2433" s="26" t="s">
        <v>9062</v>
      </c>
      <c r="H2433" s="237"/>
      <c r="I2433" s="26" t="s">
        <v>1379</v>
      </c>
      <c r="J2433" s="26"/>
      <c r="K2433" s="26"/>
      <c r="L2433" s="26"/>
      <c r="M2433" s="26">
        <v>5</v>
      </c>
      <c r="N2433" s="26">
        <v>1</v>
      </c>
      <c r="O2433" s="26">
        <v>5</v>
      </c>
      <c r="P2433" s="26">
        <v>0</v>
      </c>
      <c r="Q2433" s="26">
        <v>0</v>
      </c>
      <c r="R2433" s="1209">
        <f t="shared" si="126"/>
        <v>8089.4</v>
      </c>
      <c r="S2433" s="1209">
        <v>40447</v>
      </c>
      <c r="T2433" s="26" t="s">
        <v>9063</v>
      </c>
      <c r="U2433" s="1859" t="s">
        <v>8263</v>
      </c>
      <c r="V2433" s="26" t="s">
        <v>9064</v>
      </c>
      <c r="W2433" s="2084"/>
      <c r="X2433" s="18"/>
      <c r="Y2433" s="4"/>
      <c r="Z2433" s="4"/>
    </row>
    <row r="2434" spans="1:26" ht="14.1" hidden="1">
      <c r="A2434" s="20">
        <v>2441</v>
      </c>
      <c r="B2434" s="1063">
        <v>42211</v>
      </c>
      <c r="C2434" s="26" t="s">
        <v>9066</v>
      </c>
      <c r="D2434" s="11" t="s">
        <v>6</v>
      </c>
      <c r="E2434" s="26" t="s">
        <v>2722</v>
      </c>
      <c r="F2434" s="26" t="s">
        <v>1569</v>
      </c>
      <c r="G2434" s="26" t="s">
        <v>9062</v>
      </c>
      <c r="H2434" s="237"/>
      <c r="I2434" s="26" t="s">
        <v>1379</v>
      </c>
      <c r="J2434" s="26"/>
      <c r="K2434" s="26"/>
      <c r="L2434" s="26"/>
      <c r="M2434" s="26">
        <v>5</v>
      </c>
      <c r="N2434" s="26">
        <v>1</v>
      </c>
      <c r="O2434" s="26">
        <v>5</v>
      </c>
      <c r="P2434" s="26">
        <v>0</v>
      </c>
      <c r="Q2434" s="26">
        <v>0</v>
      </c>
      <c r="R2434" s="1209">
        <f t="shared" si="126"/>
        <v>8089.4</v>
      </c>
      <c r="S2434" s="1209">
        <v>40447</v>
      </c>
      <c r="T2434" s="26" t="s">
        <v>9063</v>
      </c>
      <c r="U2434" s="1859" t="s">
        <v>8125</v>
      </c>
      <c r="V2434" s="26" t="s">
        <v>9064</v>
      </c>
      <c r="W2434" s="2084"/>
      <c r="X2434" s="18"/>
      <c r="Y2434" s="4"/>
      <c r="Z2434" s="4"/>
    </row>
    <row r="2435" spans="1:26" ht="14.1" hidden="1">
      <c r="A2435" s="20">
        <v>2442</v>
      </c>
      <c r="B2435" s="1063">
        <v>42212</v>
      </c>
      <c r="C2435" s="26" t="s">
        <v>9067</v>
      </c>
      <c r="D2435" s="11" t="s">
        <v>6</v>
      </c>
      <c r="E2435" s="26" t="s">
        <v>2722</v>
      </c>
      <c r="F2435" s="26" t="s">
        <v>1569</v>
      </c>
      <c r="G2435" s="26" t="s">
        <v>9068</v>
      </c>
      <c r="H2435" s="237"/>
      <c r="I2435" s="26" t="s">
        <v>1379</v>
      </c>
      <c r="J2435" s="26"/>
      <c r="K2435" s="26"/>
      <c r="L2435" s="26"/>
      <c r="M2435" s="26">
        <v>5</v>
      </c>
      <c r="N2435" s="26">
        <v>1</v>
      </c>
      <c r="O2435" s="26">
        <v>5</v>
      </c>
      <c r="P2435" s="26">
        <v>0</v>
      </c>
      <c r="Q2435" s="26">
        <v>0</v>
      </c>
      <c r="R2435" s="1209">
        <f t="shared" si="126"/>
        <v>14478.2</v>
      </c>
      <c r="S2435" s="1209">
        <v>72391</v>
      </c>
      <c r="T2435" s="26" t="s">
        <v>9063</v>
      </c>
      <c r="U2435" s="1859" t="s">
        <v>8109</v>
      </c>
      <c r="V2435" s="26" t="s">
        <v>9064</v>
      </c>
      <c r="W2435" s="2084"/>
      <c r="X2435" s="18"/>
      <c r="Y2435" s="4"/>
      <c r="Z2435" s="4"/>
    </row>
    <row r="2436" spans="1:26" ht="14.1" hidden="1">
      <c r="A2436" s="20">
        <v>2443</v>
      </c>
      <c r="B2436" s="1063">
        <v>42213</v>
      </c>
      <c r="C2436" s="26" t="s">
        <v>9069</v>
      </c>
      <c r="D2436" s="11" t="s">
        <v>6</v>
      </c>
      <c r="E2436" s="26" t="s">
        <v>2722</v>
      </c>
      <c r="F2436" s="26" t="s">
        <v>1569</v>
      </c>
      <c r="G2436" s="26" t="s">
        <v>9062</v>
      </c>
      <c r="H2436" s="237"/>
      <c r="I2436" s="26" t="s">
        <v>1379</v>
      </c>
      <c r="J2436" s="26"/>
      <c r="K2436" s="26"/>
      <c r="L2436" s="26"/>
      <c r="M2436" s="26">
        <v>5</v>
      </c>
      <c r="N2436" s="26">
        <v>1</v>
      </c>
      <c r="O2436" s="26">
        <v>5</v>
      </c>
      <c r="P2436" s="26">
        <v>0</v>
      </c>
      <c r="Q2436" s="26">
        <v>0</v>
      </c>
      <c r="R2436" s="1209">
        <f t="shared" si="126"/>
        <v>8124.6</v>
      </c>
      <c r="S2436" s="1209">
        <v>40623</v>
      </c>
      <c r="T2436" s="26" t="s">
        <v>9063</v>
      </c>
      <c r="U2436" s="1859" t="s">
        <v>9070</v>
      </c>
      <c r="V2436" s="26" t="s">
        <v>9064</v>
      </c>
      <c r="W2436" s="2084"/>
      <c r="X2436" s="18"/>
      <c r="Y2436" s="4"/>
      <c r="Z2436" s="4"/>
    </row>
    <row r="2437" spans="1:26" ht="14.1" hidden="1">
      <c r="A2437" s="20">
        <v>2444</v>
      </c>
      <c r="B2437" s="1063">
        <v>42214</v>
      </c>
      <c r="C2437" s="26" t="s">
        <v>9071</v>
      </c>
      <c r="D2437" s="8" t="s">
        <v>6</v>
      </c>
      <c r="E2437" s="26" t="s">
        <v>2722</v>
      </c>
      <c r="F2437" s="26" t="s">
        <v>2693</v>
      </c>
      <c r="G2437" s="26" t="s">
        <v>3431</v>
      </c>
      <c r="H2437" s="237" t="s">
        <v>4205</v>
      </c>
      <c r="I2437" s="26" t="s">
        <v>4206</v>
      </c>
      <c r="J2437" s="26"/>
      <c r="K2437" s="26" t="s">
        <v>9072</v>
      </c>
      <c r="L2437" s="26"/>
      <c r="M2437" s="26">
        <v>1</v>
      </c>
      <c r="N2437" s="26">
        <v>1</v>
      </c>
      <c r="O2437" s="26">
        <v>1</v>
      </c>
      <c r="P2437" s="26">
        <v>0</v>
      </c>
      <c r="Q2437" s="26">
        <v>1</v>
      </c>
      <c r="R2437" s="1209">
        <v>1520</v>
      </c>
      <c r="S2437" s="1209">
        <v>1520</v>
      </c>
      <c r="T2437" s="26" t="s">
        <v>3064</v>
      </c>
      <c r="U2437" s="1859" t="s">
        <v>1136</v>
      </c>
      <c r="V2437" s="26" t="s">
        <v>9064</v>
      </c>
      <c r="W2437" s="2065" t="s">
        <v>9073</v>
      </c>
      <c r="X2437" s="18"/>
      <c r="Y2437" s="4"/>
      <c r="Z2437" s="4"/>
    </row>
    <row r="2438" spans="1:26" ht="14.1" hidden="1">
      <c r="A2438" s="20">
        <v>2445</v>
      </c>
      <c r="B2438" s="1063">
        <v>42215</v>
      </c>
      <c r="C2438" s="26" t="s">
        <v>9074</v>
      </c>
      <c r="D2438" s="11" t="s">
        <v>6</v>
      </c>
      <c r="E2438" s="26" t="s">
        <v>5448</v>
      </c>
      <c r="F2438" s="26" t="s">
        <v>2143</v>
      </c>
      <c r="G2438" s="26" t="s">
        <v>9075</v>
      </c>
      <c r="H2438" s="189" t="s">
        <v>366</v>
      </c>
      <c r="I2438" s="26" t="s">
        <v>366</v>
      </c>
      <c r="J2438" s="26"/>
      <c r="K2438" s="26"/>
      <c r="L2438" s="26"/>
      <c r="M2438" s="26">
        <v>1</v>
      </c>
      <c r="N2438" s="26">
        <v>1</v>
      </c>
      <c r="O2438" s="26">
        <v>1</v>
      </c>
      <c r="P2438" s="26">
        <v>0</v>
      </c>
      <c r="Q2438" s="26">
        <v>0</v>
      </c>
      <c r="R2438" s="1209">
        <v>10460</v>
      </c>
      <c r="S2438" s="1209">
        <v>10460</v>
      </c>
      <c r="T2438" s="26" t="s">
        <v>5448</v>
      </c>
      <c r="U2438" s="1859" t="s">
        <v>9076</v>
      </c>
      <c r="V2438" s="26" t="s">
        <v>5990</v>
      </c>
      <c r="W2438" s="701" t="s">
        <v>9077</v>
      </c>
      <c r="X2438" s="18"/>
      <c r="Y2438" s="4"/>
      <c r="Z2438" s="4"/>
    </row>
    <row r="2439" spans="1:26" ht="27.95" hidden="1">
      <c r="A2439" s="20">
        <v>2446</v>
      </c>
      <c r="B2439" s="1063">
        <v>42216</v>
      </c>
      <c r="C2439" s="26" t="s">
        <v>1535</v>
      </c>
      <c r="D2439" s="11" t="s">
        <v>6</v>
      </c>
      <c r="E2439" s="26" t="s">
        <v>5448</v>
      </c>
      <c r="F2439" s="26" t="s">
        <v>2143</v>
      </c>
      <c r="G2439" s="22" t="s">
        <v>9078</v>
      </c>
      <c r="H2439" s="44"/>
      <c r="I2439" s="22" t="s">
        <v>9079</v>
      </c>
      <c r="J2439" s="22"/>
      <c r="K2439" s="22"/>
      <c r="L2439" s="22"/>
      <c r="M2439" s="22">
        <v>1</v>
      </c>
      <c r="N2439" s="22">
        <v>1</v>
      </c>
      <c r="O2439" s="22">
        <v>5</v>
      </c>
      <c r="P2439" s="22">
        <v>0</v>
      </c>
      <c r="Q2439" s="22">
        <v>4</v>
      </c>
      <c r="R2439" s="1201">
        <v>1542</v>
      </c>
      <c r="S2439" s="1201">
        <v>7710</v>
      </c>
      <c r="T2439" s="22" t="s">
        <v>3064</v>
      </c>
      <c r="U2439" s="1854" t="s">
        <v>118</v>
      </c>
      <c r="V2439" s="22" t="s">
        <v>9064</v>
      </c>
      <c r="W2439" s="2006" t="s">
        <v>9080</v>
      </c>
      <c r="X2439" s="18"/>
      <c r="Y2439" s="4"/>
      <c r="Z2439" s="4"/>
    </row>
    <row r="2440" spans="1:26" ht="14.1" hidden="1">
      <c r="A2440" s="20">
        <v>2447</v>
      </c>
      <c r="B2440" s="1063">
        <v>42217</v>
      </c>
      <c r="C2440" s="26" t="s">
        <v>9081</v>
      </c>
      <c r="D2440" s="11" t="s">
        <v>6</v>
      </c>
      <c r="E2440" s="26" t="s">
        <v>5448</v>
      </c>
      <c r="F2440" s="26" t="s">
        <v>2143</v>
      </c>
      <c r="G2440" s="26" t="s">
        <v>9082</v>
      </c>
      <c r="H2440" s="237"/>
      <c r="I2440" s="26" t="s">
        <v>574</v>
      </c>
      <c r="J2440" s="26"/>
      <c r="K2440" s="26"/>
      <c r="L2440" s="26"/>
      <c r="M2440" s="26">
        <v>1</v>
      </c>
      <c r="N2440" s="26">
        <v>1</v>
      </c>
      <c r="O2440" s="26">
        <v>2</v>
      </c>
      <c r="P2440" s="26">
        <v>0</v>
      </c>
      <c r="Q2440" s="26">
        <v>1</v>
      </c>
      <c r="R2440" s="1209">
        <v>242</v>
      </c>
      <c r="S2440" s="1209">
        <f t="shared" ref="S2440:S2441" si="127">R2440*O2440</f>
        <v>484</v>
      </c>
      <c r="T2440" s="26" t="s">
        <v>5448</v>
      </c>
      <c r="U2440" s="1859" t="s">
        <v>9076</v>
      </c>
      <c r="V2440" s="26" t="s">
        <v>5990</v>
      </c>
      <c r="W2440" s="701" t="s">
        <v>9083</v>
      </c>
      <c r="X2440" s="18"/>
      <c r="Y2440" s="4"/>
      <c r="Z2440" s="4"/>
    </row>
    <row r="2441" spans="1:26" ht="14.1" hidden="1">
      <c r="A2441" s="20">
        <v>2448</v>
      </c>
      <c r="B2441" s="1063">
        <v>42218</v>
      </c>
      <c r="C2441" s="26" t="s">
        <v>9084</v>
      </c>
      <c r="D2441" s="11" t="s">
        <v>6</v>
      </c>
      <c r="E2441" s="26" t="s">
        <v>5448</v>
      </c>
      <c r="F2441" s="26" t="s">
        <v>2143</v>
      </c>
      <c r="G2441" s="26" t="s">
        <v>1088</v>
      </c>
      <c r="H2441" s="237"/>
      <c r="I2441" s="26" t="s">
        <v>574</v>
      </c>
      <c r="J2441" s="26"/>
      <c r="K2441" s="26"/>
      <c r="L2441" s="26"/>
      <c r="M2441" s="26">
        <v>2</v>
      </c>
      <c r="N2441" s="26">
        <v>1</v>
      </c>
      <c r="O2441" s="26">
        <v>10</v>
      </c>
      <c r="P2441" s="26">
        <v>0</v>
      </c>
      <c r="Q2441" s="26">
        <v>8</v>
      </c>
      <c r="R2441" s="1209">
        <v>132.69999999999999</v>
      </c>
      <c r="S2441" s="1209">
        <f t="shared" si="127"/>
        <v>1327</v>
      </c>
      <c r="T2441" s="26" t="s">
        <v>5448</v>
      </c>
      <c r="U2441" s="1859" t="s">
        <v>9076</v>
      </c>
      <c r="V2441" s="26" t="s">
        <v>5990</v>
      </c>
      <c r="W2441" s="701" t="s">
        <v>9085</v>
      </c>
      <c r="X2441" s="18"/>
      <c r="Y2441" s="4"/>
      <c r="Z2441" s="4"/>
    </row>
    <row r="2442" spans="1:26" ht="14.1" hidden="1">
      <c r="A2442" s="20">
        <v>2449</v>
      </c>
      <c r="B2442" s="1063">
        <v>42219</v>
      </c>
      <c r="C2442" s="26" t="s">
        <v>9086</v>
      </c>
      <c r="D2442" s="11" t="s">
        <v>6</v>
      </c>
      <c r="E2442" s="26" t="s">
        <v>5448</v>
      </c>
      <c r="F2442" s="26" t="s">
        <v>2143</v>
      </c>
      <c r="G2442" s="26" t="s">
        <v>9087</v>
      </c>
      <c r="H2442" s="237"/>
      <c r="I2442" s="26" t="s">
        <v>84</v>
      </c>
      <c r="J2442" s="26"/>
      <c r="K2442" s="26"/>
      <c r="L2442" s="26"/>
      <c r="M2442" s="26">
        <v>1</v>
      </c>
      <c r="N2442" s="26">
        <v>1</v>
      </c>
      <c r="O2442" s="26">
        <v>1</v>
      </c>
      <c r="P2442" s="26">
        <v>0</v>
      </c>
      <c r="Q2442" s="26">
        <v>0</v>
      </c>
      <c r="R2442" s="1209">
        <v>459</v>
      </c>
      <c r="S2442" s="1209">
        <v>459</v>
      </c>
      <c r="T2442" s="26" t="s">
        <v>5448</v>
      </c>
      <c r="U2442" s="1859" t="s">
        <v>9076</v>
      </c>
      <c r="V2442" s="26" t="s">
        <v>5990</v>
      </c>
      <c r="W2442" s="701" t="s">
        <v>9088</v>
      </c>
      <c r="X2442" s="18"/>
      <c r="Y2442" s="4"/>
      <c r="Z2442" s="4"/>
    </row>
    <row r="2443" spans="1:26" ht="14.1" hidden="1">
      <c r="A2443" s="20">
        <v>2450</v>
      </c>
      <c r="B2443" s="1063">
        <v>42220</v>
      </c>
      <c r="C2443" s="26" t="s">
        <v>6242</v>
      </c>
      <c r="D2443" s="11" t="s">
        <v>6</v>
      </c>
      <c r="E2443" s="26" t="s">
        <v>5448</v>
      </c>
      <c r="F2443" s="26" t="s">
        <v>2143</v>
      </c>
      <c r="G2443" s="26" t="s">
        <v>9089</v>
      </c>
      <c r="H2443" s="237"/>
      <c r="I2443" s="26" t="s">
        <v>84</v>
      </c>
      <c r="J2443" s="26"/>
      <c r="K2443" s="26"/>
      <c r="L2443" s="26"/>
      <c r="M2443" s="26">
        <v>1</v>
      </c>
      <c r="N2443" s="26">
        <v>1</v>
      </c>
      <c r="O2443" s="26">
        <v>1</v>
      </c>
      <c r="P2443" s="26">
        <v>0</v>
      </c>
      <c r="Q2443" s="26">
        <v>0</v>
      </c>
      <c r="R2443" s="1209">
        <v>719</v>
      </c>
      <c r="S2443" s="1209">
        <v>719</v>
      </c>
      <c r="T2443" s="26" t="s">
        <v>5448</v>
      </c>
      <c r="U2443" s="1859" t="s">
        <v>9076</v>
      </c>
      <c r="V2443" s="26" t="s">
        <v>5990</v>
      </c>
      <c r="W2443" s="701" t="s">
        <v>9090</v>
      </c>
      <c r="X2443" s="18"/>
      <c r="Y2443" s="4"/>
      <c r="Z2443" s="4"/>
    </row>
    <row r="2444" spans="1:26" ht="14.1" hidden="1">
      <c r="A2444" s="20">
        <v>2451</v>
      </c>
      <c r="B2444" s="1063">
        <v>42221</v>
      </c>
      <c r="C2444" s="26" t="s">
        <v>9091</v>
      </c>
      <c r="D2444" s="11" t="s">
        <v>6</v>
      </c>
      <c r="E2444" s="26" t="s">
        <v>5448</v>
      </c>
      <c r="F2444" s="26" t="s">
        <v>2143</v>
      </c>
      <c r="G2444" s="26" t="s">
        <v>9092</v>
      </c>
      <c r="H2444" s="237"/>
      <c r="I2444" s="26" t="s">
        <v>84</v>
      </c>
      <c r="J2444" s="26"/>
      <c r="K2444" s="26"/>
      <c r="L2444" s="26"/>
      <c r="M2444" s="26">
        <v>1</v>
      </c>
      <c r="N2444" s="26">
        <v>1</v>
      </c>
      <c r="O2444" s="26">
        <v>3</v>
      </c>
      <c r="P2444" s="26">
        <v>0</v>
      </c>
      <c r="Q2444" s="26">
        <v>2</v>
      </c>
      <c r="R2444" s="1209">
        <v>710</v>
      </c>
      <c r="S2444" s="1209">
        <v>2130</v>
      </c>
      <c r="T2444" s="26" t="s">
        <v>5448</v>
      </c>
      <c r="U2444" s="1859" t="s">
        <v>9076</v>
      </c>
      <c r="V2444" s="26" t="s">
        <v>5990</v>
      </c>
      <c r="W2444" s="2065" t="s">
        <v>9093</v>
      </c>
      <c r="X2444" s="18"/>
      <c r="Y2444" s="4"/>
      <c r="Z2444" s="4"/>
    </row>
    <row r="2445" spans="1:26" ht="14.1" hidden="1">
      <c r="A2445" s="20">
        <v>2452</v>
      </c>
      <c r="B2445" s="1063">
        <v>42222</v>
      </c>
      <c r="C2445" s="26" t="s">
        <v>9094</v>
      </c>
      <c r="D2445" s="11" t="s">
        <v>6</v>
      </c>
      <c r="E2445" s="26" t="s">
        <v>5448</v>
      </c>
      <c r="F2445" s="26" t="s">
        <v>2143</v>
      </c>
      <c r="G2445" s="26" t="s">
        <v>9095</v>
      </c>
      <c r="H2445" s="237" t="s">
        <v>9096</v>
      </c>
      <c r="I2445" s="26" t="s">
        <v>366</v>
      </c>
      <c r="J2445" s="26"/>
      <c r="K2445" s="26"/>
      <c r="L2445" s="26"/>
      <c r="M2445" s="26">
        <v>1</v>
      </c>
      <c r="N2445" s="26">
        <v>1</v>
      </c>
      <c r="O2445" s="26">
        <v>10</v>
      </c>
      <c r="P2445" s="26">
        <v>0</v>
      </c>
      <c r="Q2445" s="26">
        <v>9</v>
      </c>
      <c r="R2445" s="1209">
        <v>185</v>
      </c>
      <c r="S2445" s="1209">
        <v>1850</v>
      </c>
      <c r="T2445" s="26" t="s">
        <v>5448</v>
      </c>
      <c r="U2445" s="1859" t="s">
        <v>9097</v>
      </c>
      <c r="V2445" s="26" t="s">
        <v>5990</v>
      </c>
      <c r="W2445" s="701" t="s">
        <v>9098</v>
      </c>
      <c r="X2445" s="18"/>
      <c r="Y2445" s="4"/>
      <c r="Z2445" s="4"/>
    </row>
    <row r="2446" spans="1:26" ht="15.6" hidden="1">
      <c r="A2446" s="20">
        <v>2453</v>
      </c>
      <c r="B2446" s="1063">
        <v>42223</v>
      </c>
      <c r="C2446" s="943" t="s">
        <v>9099</v>
      </c>
      <c r="D2446" s="11"/>
      <c r="E2446" s="26" t="s">
        <v>5448</v>
      </c>
      <c r="F2446" s="947" t="s">
        <v>73</v>
      </c>
      <c r="G2446" s="195" t="s">
        <v>9100</v>
      </c>
      <c r="H2446" s="195" t="s">
        <v>382</v>
      </c>
      <c r="I2446" s="195" t="s">
        <v>366</v>
      </c>
      <c r="J2446" s="195" t="s">
        <v>1524</v>
      </c>
      <c r="K2446" s="195" t="s">
        <v>1524</v>
      </c>
      <c r="L2446" s="207"/>
      <c r="M2446" s="195">
        <v>24</v>
      </c>
      <c r="N2446" s="207">
        <v>1</v>
      </c>
      <c r="O2446" s="207">
        <v>28</v>
      </c>
      <c r="P2446" s="207">
        <v>0</v>
      </c>
      <c r="Q2446" s="207">
        <v>4</v>
      </c>
      <c r="R2446" s="1251">
        <v>51</v>
      </c>
      <c r="S2446" s="1251">
        <v>1428</v>
      </c>
      <c r="T2446" s="207" t="s">
        <v>5448</v>
      </c>
      <c r="U2446" s="1911" t="s">
        <v>9101</v>
      </c>
      <c r="V2446" s="207" t="s">
        <v>5990</v>
      </c>
      <c r="W2446" s="2089" t="s">
        <v>9102</v>
      </c>
      <c r="X2446" s="18"/>
      <c r="Y2446" s="4"/>
      <c r="Z2446" s="4"/>
    </row>
    <row r="2447" spans="1:26" ht="15.6" hidden="1">
      <c r="A2447" s="20">
        <v>2454</v>
      </c>
      <c r="B2447" s="1063">
        <v>42224</v>
      </c>
      <c r="C2447" s="943" t="s">
        <v>9103</v>
      </c>
      <c r="D2447" s="11"/>
      <c r="E2447" s="26" t="s">
        <v>5448</v>
      </c>
      <c r="F2447" s="947" t="s">
        <v>73</v>
      </c>
      <c r="G2447" s="195" t="s">
        <v>9104</v>
      </c>
      <c r="H2447" s="195" t="s">
        <v>382</v>
      </c>
      <c r="I2447" s="195" t="s">
        <v>366</v>
      </c>
      <c r="J2447" s="195" t="s">
        <v>2604</v>
      </c>
      <c r="K2447" s="195" t="s">
        <v>2604</v>
      </c>
      <c r="L2447" s="207"/>
      <c r="M2447" s="195">
        <v>18</v>
      </c>
      <c r="N2447" s="207">
        <v>1</v>
      </c>
      <c r="O2447" s="207">
        <v>22</v>
      </c>
      <c r="P2447" s="207">
        <v>0</v>
      </c>
      <c r="Q2447" s="207">
        <v>4</v>
      </c>
      <c r="R2447" s="1251">
        <v>144</v>
      </c>
      <c r="S2447" s="1251">
        <v>3168</v>
      </c>
      <c r="T2447" s="207" t="s">
        <v>5448</v>
      </c>
      <c r="U2447" s="1911" t="s">
        <v>9101</v>
      </c>
      <c r="V2447" s="207" t="s">
        <v>5990</v>
      </c>
      <c r="W2447" s="2089" t="s">
        <v>9105</v>
      </c>
      <c r="X2447" s="18"/>
      <c r="Y2447" s="4"/>
      <c r="Z2447" s="4"/>
    </row>
    <row r="2448" spans="1:26" ht="15.6" hidden="1">
      <c r="A2448" s="20">
        <v>2455</v>
      </c>
      <c r="B2448" s="1063">
        <v>42225</v>
      </c>
      <c r="C2448" s="943" t="s">
        <v>9103</v>
      </c>
      <c r="D2448" s="11"/>
      <c r="E2448" s="26" t="s">
        <v>5448</v>
      </c>
      <c r="F2448" s="947" t="s">
        <v>73</v>
      </c>
      <c r="G2448" s="195" t="s">
        <v>9106</v>
      </c>
      <c r="H2448" s="195" t="s">
        <v>382</v>
      </c>
      <c r="I2448" s="195" t="s">
        <v>366</v>
      </c>
      <c r="J2448" s="195" t="s">
        <v>9107</v>
      </c>
      <c r="K2448" s="195" t="s">
        <v>9107</v>
      </c>
      <c r="L2448" s="207"/>
      <c r="M2448" s="195">
        <v>32</v>
      </c>
      <c r="N2448" s="207">
        <v>1</v>
      </c>
      <c r="O2448" s="207">
        <v>36</v>
      </c>
      <c r="P2448" s="207">
        <v>0</v>
      </c>
      <c r="Q2448" s="207">
        <v>4</v>
      </c>
      <c r="R2448" s="1251">
        <v>144</v>
      </c>
      <c r="S2448" s="1251">
        <v>5184</v>
      </c>
      <c r="T2448" s="207" t="s">
        <v>5448</v>
      </c>
      <c r="U2448" s="1911" t="s">
        <v>9101</v>
      </c>
      <c r="V2448" s="207" t="s">
        <v>5990</v>
      </c>
      <c r="W2448" s="2089" t="s">
        <v>9108</v>
      </c>
      <c r="X2448" s="18"/>
      <c r="Y2448" s="4"/>
      <c r="Z2448" s="4"/>
    </row>
    <row r="2449" spans="1:26" ht="15.6" hidden="1">
      <c r="A2449" s="20">
        <v>2456</v>
      </c>
      <c r="B2449" s="1063">
        <v>42226</v>
      </c>
      <c r="C2449" s="943" t="s">
        <v>9103</v>
      </c>
      <c r="D2449" s="11"/>
      <c r="E2449" s="26" t="s">
        <v>5448</v>
      </c>
      <c r="F2449" s="947" t="s">
        <v>73</v>
      </c>
      <c r="G2449" s="195" t="s">
        <v>9109</v>
      </c>
      <c r="H2449" s="195" t="s">
        <v>382</v>
      </c>
      <c r="I2449" s="195" t="s">
        <v>366</v>
      </c>
      <c r="J2449" s="195" t="s">
        <v>2612</v>
      </c>
      <c r="K2449" s="195" t="s">
        <v>2612</v>
      </c>
      <c r="L2449" s="207"/>
      <c r="M2449" s="195">
        <v>34</v>
      </c>
      <c r="N2449" s="207">
        <v>1</v>
      </c>
      <c r="O2449" s="207">
        <v>38</v>
      </c>
      <c r="P2449" s="207">
        <v>0</v>
      </c>
      <c r="Q2449" s="207">
        <v>4</v>
      </c>
      <c r="R2449" s="1251">
        <v>144</v>
      </c>
      <c r="S2449" s="1251">
        <v>5472</v>
      </c>
      <c r="T2449" s="207" t="s">
        <v>5448</v>
      </c>
      <c r="U2449" s="1911" t="s">
        <v>9101</v>
      </c>
      <c r="V2449" s="207" t="s">
        <v>5990</v>
      </c>
      <c r="W2449" s="2089" t="s">
        <v>5530</v>
      </c>
      <c r="X2449" s="18"/>
      <c r="Y2449" s="4"/>
      <c r="Z2449" s="4"/>
    </row>
    <row r="2450" spans="1:26" ht="15.6" hidden="1">
      <c r="A2450" s="20">
        <v>2457</v>
      </c>
      <c r="B2450" s="1063">
        <v>42227</v>
      </c>
      <c r="C2450" s="943" t="s">
        <v>9110</v>
      </c>
      <c r="D2450" s="11"/>
      <c r="E2450" s="26" t="s">
        <v>5448</v>
      </c>
      <c r="F2450" s="947" t="s">
        <v>73</v>
      </c>
      <c r="G2450" s="195" t="s">
        <v>9109</v>
      </c>
      <c r="H2450" s="195" t="s">
        <v>382</v>
      </c>
      <c r="I2450" s="195" t="s">
        <v>366</v>
      </c>
      <c r="J2450" s="195" t="s">
        <v>9111</v>
      </c>
      <c r="K2450" s="195" t="s">
        <v>9111</v>
      </c>
      <c r="L2450" s="207"/>
      <c r="M2450" s="195">
        <v>64</v>
      </c>
      <c r="N2450" s="207">
        <v>1</v>
      </c>
      <c r="O2450" s="207">
        <v>68</v>
      </c>
      <c r="P2450" s="207">
        <v>0</v>
      </c>
      <c r="Q2450" s="207">
        <v>4</v>
      </c>
      <c r="R2450" s="1251">
        <v>68</v>
      </c>
      <c r="S2450" s="1251">
        <v>4624</v>
      </c>
      <c r="T2450" s="207" t="s">
        <v>5448</v>
      </c>
      <c r="U2450" s="1911" t="s">
        <v>9101</v>
      </c>
      <c r="V2450" s="207" t="s">
        <v>5990</v>
      </c>
      <c r="W2450" s="2089" t="s">
        <v>9112</v>
      </c>
      <c r="X2450" s="18"/>
      <c r="Y2450" s="4"/>
      <c r="Z2450" s="4"/>
    </row>
    <row r="2451" spans="1:26" ht="15.6" hidden="1">
      <c r="A2451" s="20">
        <v>2458</v>
      </c>
      <c r="B2451" s="1063">
        <v>42228</v>
      </c>
      <c r="C2451" s="943" t="s">
        <v>9113</v>
      </c>
      <c r="D2451" s="11"/>
      <c r="E2451" s="26" t="s">
        <v>5448</v>
      </c>
      <c r="F2451" s="947" t="s">
        <v>73</v>
      </c>
      <c r="G2451" s="195" t="s">
        <v>9109</v>
      </c>
      <c r="H2451" s="195" t="s">
        <v>382</v>
      </c>
      <c r="I2451" s="195" t="s">
        <v>366</v>
      </c>
      <c r="J2451" s="195" t="s">
        <v>2595</v>
      </c>
      <c r="K2451" s="195" t="s">
        <v>2595</v>
      </c>
      <c r="L2451" s="207"/>
      <c r="M2451" s="195">
        <v>8</v>
      </c>
      <c r="N2451" s="207">
        <v>1</v>
      </c>
      <c r="O2451" s="207">
        <v>12</v>
      </c>
      <c r="P2451" s="207">
        <v>0</v>
      </c>
      <c r="Q2451" s="207">
        <v>4</v>
      </c>
      <c r="R2451" s="1251">
        <v>92</v>
      </c>
      <c r="S2451" s="1251">
        <v>1104</v>
      </c>
      <c r="T2451" s="207" t="s">
        <v>5448</v>
      </c>
      <c r="U2451" s="1911" t="s">
        <v>9101</v>
      </c>
      <c r="V2451" s="207" t="s">
        <v>5990</v>
      </c>
      <c r="W2451" s="2089" t="s">
        <v>5535</v>
      </c>
      <c r="X2451" s="18"/>
      <c r="Y2451" s="4"/>
      <c r="Z2451" s="4"/>
    </row>
    <row r="2452" spans="1:26" ht="15.6" hidden="1">
      <c r="A2452" s="20">
        <v>2459</v>
      </c>
      <c r="B2452" s="1063">
        <v>42229</v>
      </c>
      <c r="C2452" s="943" t="s">
        <v>9113</v>
      </c>
      <c r="D2452" s="11"/>
      <c r="E2452" s="26" t="s">
        <v>5448</v>
      </c>
      <c r="F2452" s="947" t="s">
        <v>73</v>
      </c>
      <c r="G2452" s="195" t="s">
        <v>9114</v>
      </c>
      <c r="H2452" s="195" t="s">
        <v>382</v>
      </c>
      <c r="I2452" s="195" t="s">
        <v>366</v>
      </c>
      <c r="J2452" s="195" t="s">
        <v>2597</v>
      </c>
      <c r="K2452" s="195" t="s">
        <v>2597</v>
      </c>
      <c r="L2452" s="207"/>
      <c r="M2452" s="195">
        <v>8</v>
      </c>
      <c r="N2452" s="207">
        <v>1</v>
      </c>
      <c r="O2452" s="207">
        <v>12</v>
      </c>
      <c r="P2452" s="207">
        <v>0</v>
      </c>
      <c r="Q2452" s="207">
        <v>4</v>
      </c>
      <c r="R2452" s="1251">
        <v>92</v>
      </c>
      <c r="S2452" s="1251">
        <v>1104</v>
      </c>
      <c r="T2452" s="207" t="s">
        <v>5448</v>
      </c>
      <c r="U2452" s="1911" t="s">
        <v>9101</v>
      </c>
      <c r="V2452" s="207" t="s">
        <v>5990</v>
      </c>
      <c r="W2452" s="2089" t="s">
        <v>5536</v>
      </c>
      <c r="X2452" s="18"/>
      <c r="Y2452" s="4"/>
      <c r="Z2452" s="4"/>
    </row>
    <row r="2453" spans="1:26" ht="15.6" hidden="1">
      <c r="A2453" s="20">
        <v>2460</v>
      </c>
      <c r="B2453" s="1063">
        <v>42230</v>
      </c>
      <c r="C2453" s="943" t="s">
        <v>9103</v>
      </c>
      <c r="D2453" s="11"/>
      <c r="E2453" s="26" t="s">
        <v>5448</v>
      </c>
      <c r="F2453" s="947" t="s">
        <v>73</v>
      </c>
      <c r="G2453" s="195" t="s">
        <v>9115</v>
      </c>
      <c r="H2453" s="195" t="s">
        <v>382</v>
      </c>
      <c r="I2453" s="195" t="s">
        <v>366</v>
      </c>
      <c r="J2453" s="195" t="s">
        <v>9116</v>
      </c>
      <c r="K2453" s="195" t="s">
        <v>9116</v>
      </c>
      <c r="L2453" s="207"/>
      <c r="M2453" s="195">
        <v>20</v>
      </c>
      <c r="N2453" s="207">
        <v>1</v>
      </c>
      <c r="O2453" s="207">
        <v>24</v>
      </c>
      <c r="P2453" s="207">
        <v>0</v>
      </c>
      <c r="Q2453" s="207">
        <v>4</v>
      </c>
      <c r="R2453" s="1251">
        <v>113</v>
      </c>
      <c r="S2453" s="1251">
        <v>2712</v>
      </c>
      <c r="T2453" s="207" t="s">
        <v>5448</v>
      </c>
      <c r="U2453" s="1911" t="s">
        <v>9101</v>
      </c>
      <c r="V2453" s="207" t="s">
        <v>5990</v>
      </c>
      <c r="W2453" s="2089" t="s">
        <v>9117</v>
      </c>
      <c r="X2453" s="18"/>
      <c r="Y2453" s="4"/>
      <c r="Z2453" s="4"/>
    </row>
    <row r="2454" spans="1:26" ht="15.6" hidden="1">
      <c r="A2454" s="20">
        <v>2461</v>
      </c>
      <c r="B2454" s="1063">
        <v>42231</v>
      </c>
      <c r="C2454" s="943" t="s">
        <v>9110</v>
      </c>
      <c r="D2454" s="11"/>
      <c r="E2454" s="26" t="s">
        <v>5448</v>
      </c>
      <c r="F2454" s="947" t="s">
        <v>73</v>
      </c>
      <c r="G2454" s="195" t="s">
        <v>9118</v>
      </c>
      <c r="H2454" s="195" t="s">
        <v>382</v>
      </c>
      <c r="I2454" s="195" t="s">
        <v>366</v>
      </c>
      <c r="J2454" s="195" t="s">
        <v>9119</v>
      </c>
      <c r="K2454" s="195" t="s">
        <v>9119</v>
      </c>
      <c r="L2454" s="207"/>
      <c r="M2454" s="195">
        <v>4</v>
      </c>
      <c r="N2454" s="207">
        <v>1</v>
      </c>
      <c r="O2454" s="207">
        <v>8</v>
      </c>
      <c r="P2454" s="207">
        <v>0</v>
      </c>
      <c r="Q2454" s="207">
        <v>4</v>
      </c>
      <c r="R2454" s="1251">
        <v>69</v>
      </c>
      <c r="S2454" s="1251">
        <v>552</v>
      </c>
      <c r="T2454" s="207" t="s">
        <v>5448</v>
      </c>
      <c r="U2454" s="1911" t="s">
        <v>9101</v>
      </c>
      <c r="V2454" s="207" t="s">
        <v>5990</v>
      </c>
      <c r="W2454" s="2089" t="s">
        <v>9120</v>
      </c>
      <c r="X2454" s="18"/>
      <c r="Y2454" s="4"/>
      <c r="Z2454" s="4"/>
    </row>
    <row r="2455" spans="1:26" ht="15.6" hidden="1">
      <c r="A2455" s="20">
        <v>2462</v>
      </c>
      <c r="B2455" s="1063">
        <v>42232</v>
      </c>
      <c r="C2455" s="943" t="s">
        <v>9110</v>
      </c>
      <c r="D2455" s="11"/>
      <c r="E2455" s="26" t="s">
        <v>5448</v>
      </c>
      <c r="F2455" s="947" t="s">
        <v>73</v>
      </c>
      <c r="G2455" s="195" t="s">
        <v>9121</v>
      </c>
      <c r="H2455" s="195" t="s">
        <v>382</v>
      </c>
      <c r="I2455" s="195" t="s">
        <v>366</v>
      </c>
      <c r="J2455" s="195" t="s">
        <v>9122</v>
      </c>
      <c r="K2455" s="195" t="s">
        <v>9122</v>
      </c>
      <c r="L2455" s="207"/>
      <c r="M2455" s="195">
        <v>21</v>
      </c>
      <c r="N2455" s="207">
        <v>1</v>
      </c>
      <c r="O2455" s="207">
        <v>25</v>
      </c>
      <c r="P2455" s="207">
        <v>0</v>
      </c>
      <c r="Q2455" s="207">
        <v>4</v>
      </c>
      <c r="R2455" s="1251">
        <v>53</v>
      </c>
      <c r="S2455" s="1251">
        <v>1325</v>
      </c>
      <c r="T2455" s="207" t="s">
        <v>5448</v>
      </c>
      <c r="U2455" s="1911" t="s">
        <v>9101</v>
      </c>
      <c r="V2455" s="207" t="s">
        <v>5990</v>
      </c>
      <c r="W2455" s="2089" t="s">
        <v>9123</v>
      </c>
      <c r="X2455" s="18"/>
      <c r="Y2455" s="4"/>
      <c r="Z2455" s="4"/>
    </row>
    <row r="2456" spans="1:26" ht="15.6" hidden="1">
      <c r="A2456" s="20">
        <v>2463</v>
      </c>
      <c r="B2456" s="1063">
        <v>42233</v>
      </c>
      <c r="C2456" s="943" t="s">
        <v>9110</v>
      </c>
      <c r="D2456" s="11"/>
      <c r="E2456" s="26" t="s">
        <v>5448</v>
      </c>
      <c r="F2456" s="947" t="s">
        <v>73</v>
      </c>
      <c r="G2456" s="195" t="s">
        <v>9118</v>
      </c>
      <c r="H2456" s="195" t="s">
        <v>382</v>
      </c>
      <c r="I2456" s="195" t="s">
        <v>366</v>
      </c>
      <c r="J2456" s="195" t="s">
        <v>9124</v>
      </c>
      <c r="K2456" s="195" t="s">
        <v>9124</v>
      </c>
      <c r="L2456" s="207"/>
      <c r="M2456" s="195">
        <v>4</v>
      </c>
      <c r="N2456" s="207">
        <v>1</v>
      </c>
      <c r="O2456" s="207">
        <v>8</v>
      </c>
      <c r="P2456" s="207">
        <v>0</v>
      </c>
      <c r="Q2456" s="207">
        <v>4</v>
      </c>
      <c r="R2456" s="1251">
        <v>59</v>
      </c>
      <c r="S2456" s="1251">
        <v>472</v>
      </c>
      <c r="T2456" s="207" t="s">
        <v>5448</v>
      </c>
      <c r="U2456" s="1911" t="s">
        <v>9101</v>
      </c>
      <c r="V2456" s="207" t="s">
        <v>5990</v>
      </c>
      <c r="W2456" s="2089" t="s">
        <v>9125</v>
      </c>
      <c r="X2456" s="18"/>
      <c r="Y2456" s="4"/>
      <c r="Z2456" s="4"/>
    </row>
    <row r="2457" spans="1:26" ht="15.6" hidden="1">
      <c r="A2457" s="20">
        <v>2464</v>
      </c>
      <c r="B2457" s="1063">
        <v>42234</v>
      </c>
      <c r="C2457" s="943" t="s">
        <v>9113</v>
      </c>
      <c r="D2457" s="11"/>
      <c r="E2457" s="26" t="s">
        <v>5448</v>
      </c>
      <c r="F2457" s="947" t="s">
        <v>73</v>
      </c>
      <c r="G2457" s="195" t="s">
        <v>9126</v>
      </c>
      <c r="H2457" s="195" t="s">
        <v>382</v>
      </c>
      <c r="I2457" s="195" t="s">
        <v>366</v>
      </c>
      <c r="J2457" s="195" t="s">
        <v>9127</v>
      </c>
      <c r="K2457" s="195" t="s">
        <v>9127</v>
      </c>
      <c r="L2457" s="207"/>
      <c r="M2457" s="195">
        <v>12</v>
      </c>
      <c r="N2457" s="207">
        <v>1</v>
      </c>
      <c r="O2457" s="207">
        <v>16</v>
      </c>
      <c r="P2457" s="207">
        <v>0</v>
      </c>
      <c r="Q2457" s="207">
        <v>4</v>
      </c>
      <c r="R2457" s="1251">
        <v>101</v>
      </c>
      <c r="S2457" s="1251">
        <v>1616</v>
      </c>
      <c r="T2457" s="207" t="s">
        <v>5448</v>
      </c>
      <c r="U2457" s="1911" t="s">
        <v>9101</v>
      </c>
      <c r="V2457" s="207" t="s">
        <v>5990</v>
      </c>
      <c r="W2457" s="2089" t="s">
        <v>9128</v>
      </c>
      <c r="X2457" s="18"/>
      <c r="Y2457" s="4"/>
      <c r="Z2457" s="4"/>
    </row>
    <row r="2458" spans="1:26" ht="15.6" hidden="1">
      <c r="A2458" s="20">
        <v>2465</v>
      </c>
      <c r="B2458" s="1063">
        <v>42235</v>
      </c>
      <c r="C2458" s="943" t="s">
        <v>9129</v>
      </c>
      <c r="D2458" s="11"/>
      <c r="E2458" s="26" t="s">
        <v>5448</v>
      </c>
      <c r="F2458" s="947" t="s">
        <v>73</v>
      </c>
      <c r="G2458" s="195" t="s">
        <v>9118</v>
      </c>
      <c r="H2458" s="195" t="s">
        <v>382</v>
      </c>
      <c r="I2458" s="195" t="s">
        <v>366</v>
      </c>
      <c r="J2458" s="195" t="s">
        <v>9130</v>
      </c>
      <c r="K2458" s="195" t="s">
        <v>9130</v>
      </c>
      <c r="L2458" s="207"/>
      <c r="M2458" s="195">
        <v>8</v>
      </c>
      <c r="N2458" s="207">
        <v>1</v>
      </c>
      <c r="O2458" s="207">
        <v>12</v>
      </c>
      <c r="P2458" s="207">
        <v>0</v>
      </c>
      <c r="Q2458" s="207">
        <v>4</v>
      </c>
      <c r="R2458" s="1251">
        <v>75</v>
      </c>
      <c r="S2458" s="1251">
        <v>900</v>
      </c>
      <c r="T2458" s="207" t="s">
        <v>5448</v>
      </c>
      <c r="U2458" s="1911" t="s">
        <v>9101</v>
      </c>
      <c r="V2458" s="207" t="s">
        <v>5990</v>
      </c>
      <c r="W2458" s="2089" t="s">
        <v>9131</v>
      </c>
      <c r="X2458" s="18"/>
      <c r="Y2458" s="4"/>
      <c r="Z2458" s="4"/>
    </row>
    <row r="2459" spans="1:26" ht="20.100000000000001" hidden="1">
      <c r="A2459" s="20">
        <v>2466</v>
      </c>
      <c r="B2459" s="1063">
        <v>42236</v>
      </c>
      <c r="C2459" s="943" t="s">
        <v>9129</v>
      </c>
      <c r="D2459" s="11"/>
      <c r="E2459" s="26" t="s">
        <v>5448</v>
      </c>
      <c r="F2459" s="947" t="s">
        <v>73</v>
      </c>
      <c r="G2459" s="195" t="s">
        <v>9126</v>
      </c>
      <c r="H2459" s="195" t="s">
        <v>382</v>
      </c>
      <c r="I2459" s="195" t="s">
        <v>366</v>
      </c>
      <c r="J2459" s="195" t="s">
        <v>9132</v>
      </c>
      <c r="K2459" s="195" t="s">
        <v>9132</v>
      </c>
      <c r="L2459" s="207"/>
      <c r="M2459" s="195">
        <v>8</v>
      </c>
      <c r="N2459" s="207">
        <v>1</v>
      </c>
      <c r="O2459" s="195">
        <v>12</v>
      </c>
      <c r="P2459" s="207">
        <v>0</v>
      </c>
      <c r="Q2459" s="207">
        <v>4</v>
      </c>
      <c r="R2459" s="1248">
        <v>75</v>
      </c>
      <c r="S2459" s="1251">
        <v>900</v>
      </c>
      <c r="T2459" s="207" t="s">
        <v>5448</v>
      </c>
      <c r="U2459" s="1911" t="s">
        <v>9101</v>
      </c>
      <c r="V2459" s="207" t="s">
        <v>5990</v>
      </c>
      <c r="W2459" s="2090" t="s">
        <v>9133</v>
      </c>
      <c r="X2459" s="18"/>
      <c r="Y2459" s="4"/>
      <c r="Z2459" s="4"/>
    </row>
    <row r="2460" spans="1:26" ht="20.100000000000001" hidden="1">
      <c r="A2460" s="20">
        <v>2467</v>
      </c>
      <c r="B2460" s="1063">
        <v>42237</v>
      </c>
      <c r="C2460" s="943" t="s">
        <v>9129</v>
      </c>
      <c r="D2460" s="11"/>
      <c r="E2460" s="26" t="s">
        <v>5448</v>
      </c>
      <c r="F2460" s="947" t="s">
        <v>73</v>
      </c>
      <c r="G2460" s="195" t="s">
        <v>9134</v>
      </c>
      <c r="H2460" s="195" t="s">
        <v>382</v>
      </c>
      <c r="I2460" s="195" t="s">
        <v>366</v>
      </c>
      <c r="J2460" s="195" t="s">
        <v>9135</v>
      </c>
      <c r="K2460" s="195" t="s">
        <v>9135</v>
      </c>
      <c r="L2460" s="207"/>
      <c r="M2460" s="195">
        <v>2</v>
      </c>
      <c r="N2460" s="207">
        <v>1</v>
      </c>
      <c r="O2460" s="195">
        <v>6</v>
      </c>
      <c r="P2460" s="207">
        <v>0</v>
      </c>
      <c r="Q2460" s="207">
        <v>4</v>
      </c>
      <c r="R2460" s="1248">
        <v>107</v>
      </c>
      <c r="S2460" s="1251">
        <v>642</v>
      </c>
      <c r="T2460" s="207" t="s">
        <v>5448</v>
      </c>
      <c r="U2460" s="1911" t="s">
        <v>9101</v>
      </c>
      <c r="V2460" s="207" t="s">
        <v>5990</v>
      </c>
      <c r="W2460" s="2090" t="s">
        <v>9136</v>
      </c>
      <c r="X2460" s="18"/>
      <c r="Y2460" s="4"/>
      <c r="Z2460" s="4"/>
    </row>
    <row r="2461" spans="1:26" ht="15.6" hidden="1">
      <c r="A2461" s="20">
        <v>2468</v>
      </c>
      <c r="B2461" s="1063">
        <v>42238</v>
      </c>
      <c r="C2461" s="943" t="s">
        <v>9137</v>
      </c>
      <c r="D2461" s="11"/>
      <c r="E2461" s="26" t="s">
        <v>5448</v>
      </c>
      <c r="F2461" s="947" t="s">
        <v>73</v>
      </c>
      <c r="G2461" s="195" t="s">
        <v>9138</v>
      </c>
      <c r="H2461" s="195" t="s">
        <v>382</v>
      </c>
      <c r="I2461" s="195" t="s">
        <v>366</v>
      </c>
      <c r="J2461" s="195" t="s">
        <v>9139</v>
      </c>
      <c r="K2461" s="195" t="s">
        <v>9139</v>
      </c>
      <c r="L2461" s="207"/>
      <c r="M2461" s="195">
        <v>2</v>
      </c>
      <c r="N2461" s="207">
        <v>1</v>
      </c>
      <c r="O2461" s="207">
        <v>6</v>
      </c>
      <c r="P2461" s="207">
        <v>0</v>
      </c>
      <c r="Q2461" s="207">
        <v>4</v>
      </c>
      <c r="R2461" s="1251">
        <v>72</v>
      </c>
      <c r="S2461" s="1251">
        <v>432</v>
      </c>
      <c r="T2461" s="207" t="s">
        <v>5448</v>
      </c>
      <c r="U2461" s="1911" t="s">
        <v>9101</v>
      </c>
      <c r="V2461" s="207" t="s">
        <v>5990</v>
      </c>
      <c r="W2461" s="2071" t="s">
        <v>9140</v>
      </c>
      <c r="X2461" s="18"/>
      <c r="Y2461" s="4"/>
      <c r="Z2461" s="4"/>
    </row>
    <row r="2462" spans="1:26" ht="15.6" hidden="1">
      <c r="A2462" s="20">
        <v>2469</v>
      </c>
      <c r="B2462" s="1063">
        <v>42239</v>
      </c>
      <c r="C2462" s="947" t="s">
        <v>9141</v>
      </c>
      <c r="D2462" s="11"/>
      <c r="E2462" s="26" t="s">
        <v>5448</v>
      </c>
      <c r="F2462" s="947" t="s">
        <v>73</v>
      </c>
      <c r="G2462" s="195" t="s">
        <v>9126</v>
      </c>
      <c r="H2462" s="195" t="s">
        <v>382</v>
      </c>
      <c r="I2462" s="195" t="s">
        <v>366</v>
      </c>
      <c r="J2462" s="195" t="s">
        <v>9142</v>
      </c>
      <c r="K2462" s="195" t="s">
        <v>9142</v>
      </c>
      <c r="L2462" s="207"/>
      <c r="M2462" s="195">
        <v>4</v>
      </c>
      <c r="N2462" s="207">
        <v>1</v>
      </c>
      <c r="O2462" s="207">
        <v>8</v>
      </c>
      <c r="P2462" s="207">
        <v>0</v>
      </c>
      <c r="Q2462" s="207">
        <v>4</v>
      </c>
      <c r="R2462" s="1251">
        <v>49</v>
      </c>
      <c r="S2462" s="1251">
        <v>392</v>
      </c>
      <c r="T2462" s="207" t="s">
        <v>5448</v>
      </c>
      <c r="U2462" s="1911" t="s">
        <v>9101</v>
      </c>
      <c r="V2462" s="207" t="s">
        <v>5990</v>
      </c>
      <c r="W2462" s="2071" t="s">
        <v>9143</v>
      </c>
      <c r="X2462" s="18"/>
      <c r="Y2462" s="4"/>
      <c r="Z2462" s="4"/>
    </row>
    <row r="2463" spans="1:26" ht="15.6" hidden="1">
      <c r="A2463" s="20">
        <v>2470</v>
      </c>
      <c r="B2463" s="1063">
        <v>42240</v>
      </c>
      <c r="C2463" s="947" t="s">
        <v>2619</v>
      </c>
      <c r="D2463" s="11"/>
      <c r="E2463" s="26" t="s">
        <v>5448</v>
      </c>
      <c r="F2463" s="947" t="s">
        <v>73</v>
      </c>
      <c r="G2463" s="195" t="s">
        <v>9144</v>
      </c>
      <c r="H2463" s="195" t="s">
        <v>382</v>
      </c>
      <c r="I2463" s="195" t="s">
        <v>366</v>
      </c>
      <c r="J2463" s="195" t="s">
        <v>9145</v>
      </c>
      <c r="K2463" s="195" t="s">
        <v>9145</v>
      </c>
      <c r="L2463" s="207"/>
      <c r="M2463" s="195">
        <v>24</v>
      </c>
      <c r="N2463" s="207">
        <v>1</v>
      </c>
      <c r="O2463" s="207">
        <v>28</v>
      </c>
      <c r="P2463" s="207">
        <v>0</v>
      </c>
      <c r="Q2463" s="207">
        <v>4</v>
      </c>
      <c r="R2463" s="1251">
        <v>32</v>
      </c>
      <c r="S2463" s="1251">
        <v>896</v>
      </c>
      <c r="T2463" s="207" t="s">
        <v>5448</v>
      </c>
      <c r="U2463" s="1911" t="s">
        <v>9101</v>
      </c>
      <c r="V2463" s="207" t="s">
        <v>5990</v>
      </c>
      <c r="W2463" s="2071" t="s">
        <v>9146</v>
      </c>
      <c r="X2463" s="18"/>
      <c r="Y2463" s="4"/>
      <c r="Z2463" s="4"/>
    </row>
    <row r="2464" spans="1:26" ht="15.6" hidden="1">
      <c r="A2464" s="20">
        <v>2471</v>
      </c>
      <c r="B2464" s="1063">
        <v>42241</v>
      </c>
      <c r="C2464" s="947" t="s">
        <v>2619</v>
      </c>
      <c r="D2464" s="11"/>
      <c r="E2464" s="26" t="s">
        <v>5448</v>
      </c>
      <c r="F2464" s="947" t="s">
        <v>73</v>
      </c>
      <c r="G2464" s="195" t="s">
        <v>9147</v>
      </c>
      <c r="H2464" s="195" t="s">
        <v>382</v>
      </c>
      <c r="I2464" s="195" t="s">
        <v>366</v>
      </c>
      <c r="J2464" s="195" t="s">
        <v>1148</v>
      </c>
      <c r="K2464" s="195" t="s">
        <v>1148</v>
      </c>
      <c r="L2464" s="207"/>
      <c r="M2464" s="195">
        <v>30</v>
      </c>
      <c r="N2464" s="207">
        <v>1</v>
      </c>
      <c r="O2464" s="207">
        <v>34</v>
      </c>
      <c r="P2464" s="207">
        <v>0</v>
      </c>
      <c r="Q2464" s="207">
        <v>4</v>
      </c>
      <c r="R2464" s="1251">
        <v>19</v>
      </c>
      <c r="S2464" s="1251">
        <v>646</v>
      </c>
      <c r="T2464" s="207" t="s">
        <v>5448</v>
      </c>
      <c r="U2464" s="1911" t="s">
        <v>9101</v>
      </c>
      <c r="V2464" s="207" t="s">
        <v>5990</v>
      </c>
      <c r="W2464" s="2071" t="s">
        <v>9148</v>
      </c>
      <c r="X2464" s="18"/>
      <c r="Y2464" s="4"/>
      <c r="Z2464" s="4"/>
    </row>
    <row r="2465" spans="1:26" ht="15.6" hidden="1">
      <c r="A2465" s="20">
        <v>2472</v>
      </c>
      <c r="B2465" s="1063">
        <v>42242</v>
      </c>
      <c r="C2465" s="947" t="s">
        <v>9110</v>
      </c>
      <c r="D2465" s="11"/>
      <c r="E2465" s="26" t="s">
        <v>5448</v>
      </c>
      <c r="F2465" s="947" t="s">
        <v>73</v>
      </c>
      <c r="G2465" s="195" t="s">
        <v>9106</v>
      </c>
      <c r="H2465" s="195" t="s">
        <v>366</v>
      </c>
      <c r="I2465" s="195" t="s">
        <v>366</v>
      </c>
      <c r="J2465" s="195" t="s">
        <v>367</v>
      </c>
      <c r="K2465" s="195" t="s">
        <v>367</v>
      </c>
      <c r="L2465" s="207"/>
      <c r="M2465" s="195">
        <v>12</v>
      </c>
      <c r="N2465" s="207">
        <v>1</v>
      </c>
      <c r="O2465" s="207">
        <v>16</v>
      </c>
      <c r="P2465" s="207">
        <v>0</v>
      </c>
      <c r="Q2465" s="207">
        <v>4</v>
      </c>
      <c r="R2465" s="1251">
        <v>230</v>
      </c>
      <c r="S2465" s="1251">
        <v>3680</v>
      </c>
      <c r="T2465" s="207" t="s">
        <v>5448</v>
      </c>
      <c r="U2465" s="1911" t="s">
        <v>9101</v>
      </c>
      <c r="V2465" s="207" t="s">
        <v>5990</v>
      </c>
      <c r="W2465" s="2071" t="s">
        <v>9149</v>
      </c>
      <c r="X2465" s="18"/>
      <c r="Y2465" s="4"/>
      <c r="Z2465" s="4"/>
    </row>
    <row r="2466" spans="1:26" ht="15.6" hidden="1">
      <c r="A2466" s="20">
        <v>2473</v>
      </c>
      <c r="B2466" s="1063">
        <v>42243</v>
      </c>
      <c r="C2466" s="947" t="s">
        <v>9110</v>
      </c>
      <c r="D2466" s="11"/>
      <c r="E2466" s="26" t="s">
        <v>5448</v>
      </c>
      <c r="F2466" s="947" t="s">
        <v>73</v>
      </c>
      <c r="G2466" s="195" t="s">
        <v>9109</v>
      </c>
      <c r="H2466" s="195" t="s">
        <v>366</v>
      </c>
      <c r="I2466" s="195" t="s">
        <v>366</v>
      </c>
      <c r="J2466" s="195" t="s">
        <v>370</v>
      </c>
      <c r="K2466" s="195" t="s">
        <v>370</v>
      </c>
      <c r="L2466" s="207"/>
      <c r="M2466" s="195">
        <v>12</v>
      </c>
      <c r="N2466" s="207">
        <v>1</v>
      </c>
      <c r="O2466" s="207">
        <v>16</v>
      </c>
      <c r="P2466" s="207">
        <v>0</v>
      </c>
      <c r="Q2466" s="207">
        <v>4</v>
      </c>
      <c r="R2466" s="1251">
        <v>230</v>
      </c>
      <c r="S2466" s="1251">
        <v>3680</v>
      </c>
      <c r="T2466" s="207" t="s">
        <v>5448</v>
      </c>
      <c r="U2466" s="1911" t="s">
        <v>9101</v>
      </c>
      <c r="V2466" s="207" t="s">
        <v>5990</v>
      </c>
      <c r="W2466" s="2071" t="s">
        <v>2615</v>
      </c>
      <c r="X2466" s="18"/>
      <c r="Y2466" s="4"/>
      <c r="Z2466" s="4"/>
    </row>
    <row r="2467" spans="1:26" ht="15.6" hidden="1">
      <c r="A2467" s="20">
        <v>2474</v>
      </c>
      <c r="B2467" s="1063">
        <v>42244</v>
      </c>
      <c r="C2467" s="947" t="s">
        <v>9110</v>
      </c>
      <c r="D2467" s="11"/>
      <c r="E2467" s="26" t="s">
        <v>5448</v>
      </c>
      <c r="F2467" s="947" t="s">
        <v>73</v>
      </c>
      <c r="G2467" s="195" t="s">
        <v>9150</v>
      </c>
      <c r="H2467" s="195" t="s">
        <v>366</v>
      </c>
      <c r="I2467" s="195" t="s">
        <v>366</v>
      </c>
      <c r="J2467" s="195" t="s">
        <v>9151</v>
      </c>
      <c r="K2467" s="195" t="s">
        <v>9151</v>
      </c>
      <c r="L2467" s="207"/>
      <c r="M2467" s="195">
        <v>2</v>
      </c>
      <c r="N2467" s="207">
        <v>1</v>
      </c>
      <c r="O2467" s="207">
        <v>6</v>
      </c>
      <c r="P2467" s="207">
        <v>0</v>
      </c>
      <c r="Q2467" s="207">
        <v>4</v>
      </c>
      <c r="R2467" s="1251">
        <v>260</v>
      </c>
      <c r="S2467" s="1251">
        <v>1560</v>
      </c>
      <c r="T2467" s="207" t="s">
        <v>5448</v>
      </c>
      <c r="U2467" s="1911" t="s">
        <v>9101</v>
      </c>
      <c r="V2467" s="207" t="s">
        <v>5990</v>
      </c>
      <c r="W2467" s="2071" t="s">
        <v>9152</v>
      </c>
      <c r="X2467" s="18"/>
      <c r="Y2467" s="4"/>
      <c r="Z2467" s="4"/>
    </row>
    <row r="2468" spans="1:26" ht="15.6" hidden="1">
      <c r="A2468" s="20">
        <v>2475</v>
      </c>
      <c r="B2468" s="1063">
        <v>42245</v>
      </c>
      <c r="C2468" s="947" t="s">
        <v>9110</v>
      </c>
      <c r="D2468" s="11"/>
      <c r="E2468" s="26" t="s">
        <v>5448</v>
      </c>
      <c r="F2468" s="947" t="s">
        <v>73</v>
      </c>
      <c r="G2468" s="195" t="s">
        <v>9153</v>
      </c>
      <c r="H2468" s="195" t="s">
        <v>366</v>
      </c>
      <c r="I2468" s="195" t="s">
        <v>366</v>
      </c>
      <c r="J2468" s="195" t="s">
        <v>9154</v>
      </c>
      <c r="K2468" s="195" t="s">
        <v>9154</v>
      </c>
      <c r="L2468" s="207"/>
      <c r="M2468" s="195">
        <v>4</v>
      </c>
      <c r="N2468" s="207">
        <v>1</v>
      </c>
      <c r="O2468" s="207">
        <v>8</v>
      </c>
      <c r="P2468" s="207">
        <v>0</v>
      </c>
      <c r="Q2468" s="207">
        <v>4</v>
      </c>
      <c r="R2468" s="1251">
        <v>300</v>
      </c>
      <c r="S2468" s="1251">
        <v>2400</v>
      </c>
      <c r="T2468" s="207" t="s">
        <v>5448</v>
      </c>
      <c r="U2468" s="1911" t="s">
        <v>9101</v>
      </c>
      <c r="V2468" s="207" t="s">
        <v>5990</v>
      </c>
      <c r="W2468" s="2071" t="s">
        <v>9155</v>
      </c>
      <c r="X2468" s="18"/>
      <c r="Y2468" s="4"/>
      <c r="Z2468" s="4"/>
    </row>
    <row r="2469" spans="1:26" ht="15.6" hidden="1">
      <c r="A2469" s="20">
        <v>2476</v>
      </c>
      <c r="B2469" s="1063">
        <v>42246</v>
      </c>
      <c r="C2469" s="947" t="s">
        <v>9110</v>
      </c>
      <c r="D2469" s="11"/>
      <c r="E2469" s="26" t="s">
        <v>5448</v>
      </c>
      <c r="F2469" s="947" t="s">
        <v>73</v>
      </c>
      <c r="G2469" s="195" t="s">
        <v>9118</v>
      </c>
      <c r="H2469" s="195" t="s">
        <v>366</v>
      </c>
      <c r="I2469" s="195" t="s">
        <v>366</v>
      </c>
      <c r="J2469" s="195" t="s">
        <v>9156</v>
      </c>
      <c r="K2469" s="195" t="s">
        <v>9156</v>
      </c>
      <c r="L2469" s="207"/>
      <c r="M2469" s="195">
        <v>6</v>
      </c>
      <c r="N2469" s="207">
        <v>1</v>
      </c>
      <c r="O2469" s="207">
        <v>10</v>
      </c>
      <c r="P2469" s="207">
        <v>0</v>
      </c>
      <c r="Q2469" s="207">
        <v>4</v>
      </c>
      <c r="R2469" s="1251">
        <v>270</v>
      </c>
      <c r="S2469" s="1251">
        <v>2700</v>
      </c>
      <c r="T2469" s="207" t="s">
        <v>5448</v>
      </c>
      <c r="U2469" s="1911" t="s">
        <v>9101</v>
      </c>
      <c r="V2469" s="207" t="s">
        <v>5990</v>
      </c>
      <c r="W2469" s="2071" t="s">
        <v>9157</v>
      </c>
      <c r="X2469" s="18"/>
      <c r="Y2469" s="4"/>
      <c r="Z2469" s="4"/>
    </row>
    <row r="2470" spans="1:26" ht="15.6" hidden="1">
      <c r="A2470" s="20">
        <v>2477</v>
      </c>
      <c r="B2470" s="1063">
        <v>42247</v>
      </c>
      <c r="C2470" s="947" t="s">
        <v>9110</v>
      </c>
      <c r="D2470" s="11"/>
      <c r="E2470" s="26" t="s">
        <v>5448</v>
      </c>
      <c r="F2470" s="947" t="s">
        <v>73</v>
      </c>
      <c r="G2470" s="195" t="s">
        <v>9121</v>
      </c>
      <c r="H2470" s="195" t="s">
        <v>366</v>
      </c>
      <c r="I2470" s="195" t="s">
        <v>366</v>
      </c>
      <c r="J2470" s="195" t="s">
        <v>9158</v>
      </c>
      <c r="K2470" s="195" t="s">
        <v>9158</v>
      </c>
      <c r="L2470" s="207"/>
      <c r="M2470" s="195">
        <v>6</v>
      </c>
      <c r="N2470" s="207">
        <v>1</v>
      </c>
      <c r="O2470" s="207">
        <v>10</v>
      </c>
      <c r="P2470" s="207">
        <v>0</v>
      </c>
      <c r="Q2470" s="207">
        <v>4</v>
      </c>
      <c r="R2470" s="1251">
        <v>270</v>
      </c>
      <c r="S2470" s="1251">
        <v>2700</v>
      </c>
      <c r="T2470" s="207" t="s">
        <v>5448</v>
      </c>
      <c r="U2470" s="1911" t="s">
        <v>9101</v>
      </c>
      <c r="V2470" s="207" t="s">
        <v>5990</v>
      </c>
      <c r="W2470" s="2071" t="s">
        <v>9159</v>
      </c>
      <c r="X2470" s="18"/>
      <c r="Y2470" s="4"/>
      <c r="Z2470" s="4"/>
    </row>
    <row r="2471" spans="1:26" ht="15.6" hidden="1">
      <c r="A2471" s="20">
        <v>2478</v>
      </c>
      <c r="B2471" s="1063">
        <v>42248</v>
      </c>
      <c r="C2471" s="947" t="s">
        <v>9110</v>
      </c>
      <c r="D2471" s="11"/>
      <c r="E2471" s="26" t="s">
        <v>5448</v>
      </c>
      <c r="F2471" s="947" t="s">
        <v>73</v>
      </c>
      <c r="G2471" s="195" t="s">
        <v>9126</v>
      </c>
      <c r="H2471" s="195" t="s">
        <v>366</v>
      </c>
      <c r="I2471" s="195" t="s">
        <v>366</v>
      </c>
      <c r="J2471" s="195" t="s">
        <v>372</v>
      </c>
      <c r="K2471" s="195" t="s">
        <v>372</v>
      </c>
      <c r="L2471" s="207"/>
      <c r="M2471" s="195">
        <v>8</v>
      </c>
      <c r="N2471" s="207">
        <v>1</v>
      </c>
      <c r="O2471" s="207">
        <v>12</v>
      </c>
      <c r="P2471" s="207">
        <v>0</v>
      </c>
      <c r="Q2471" s="207">
        <v>4</v>
      </c>
      <c r="R2471" s="1251">
        <v>270</v>
      </c>
      <c r="S2471" s="1251">
        <v>3240</v>
      </c>
      <c r="T2471" s="207" t="s">
        <v>5448</v>
      </c>
      <c r="U2471" s="1911" t="s">
        <v>9101</v>
      </c>
      <c r="V2471" s="207" t="s">
        <v>5990</v>
      </c>
      <c r="W2471" s="2071" t="s">
        <v>2614</v>
      </c>
      <c r="X2471" s="18"/>
      <c r="Y2471" s="4"/>
      <c r="Z2471" s="4"/>
    </row>
    <row r="2472" spans="1:26" ht="15.6" hidden="1">
      <c r="A2472" s="20">
        <v>2479</v>
      </c>
      <c r="B2472" s="1063">
        <v>42249</v>
      </c>
      <c r="C2472" s="947" t="s">
        <v>9129</v>
      </c>
      <c r="D2472" s="11"/>
      <c r="E2472" s="26" t="s">
        <v>5448</v>
      </c>
      <c r="F2472" s="947" t="s">
        <v>73</v>
      </c>
      <c r="G2472" s="195" t="s">
        <v>9160</v>
      </c>
      <c r="H2472" s="195" t="s">
        <v>366</v>
      </c>
      <c r="I2472" s="195" t="s">
        <v>366</v>
      </c>
      <c r="J2472" s="195" t="s">
        <v>9161</v>
      </c>
      <c r="K2472" s="195" t="s">
        <v>9161</v>
      </c>
      <c r="L2472" s="207"/>
      <c r="M2472" s="195">
        <v>6</v>
      </c>
      <c r="N2472" s="207">
        <v>1</v>
      </c>
      <c r="O2472" s="207">
        <v>10</v>
      </c>
      <c r="P2472" s="207">
        <v>0</v>
      </c>
      <c r="Q2472" s="207">
        <v>4</v>
      </c>
      <c r="R2472" s="1251">
        <v>28</v>
      </c>
      <c r="S2472" s="1251">
        <v>280</v>
      </c>
      <c r="T2472" s="207" t="s">
        <v>5448</v>
      </c>
      <c r="U2472" s="1911" t="s">
        <v>9101</v>
      </c>
      <c r="V2472" s="207" t="s">
        <v>5990</v>
      </c>
      <c r="W2472" s="2071" t="s">
        <v>9162</v>
      </c>
      <c r="X2472" s="18"/>
      <c r="Y2472" s="4"/>
      <c r="Z2472" s="4"/>
    </row>
    <row r="2473" spans="1:26" ht="15.6" hidden="1">
      <c r="A2473" s="20">
        <v>2480</v>
      </c>
      <c r="B2473" s="1063">
        <v>42250</v>
      </c>
      <c r="C2473" s="947" t="s">
        <v>9129</v>
      </c>
      <c r="D2473" s="11"/>
      <c r="E2473" s="26" t="s">
        <v>5448</v>
      </c>
      <c r="F2473" s="947" t="s">
        <v>73</v>
      </c>
      <c r="G2473" s="195" t="s">
        <v>9114</v>
      </c>
      <c r="H2473" s="195" t="s">
        <v>366</v>
      </c>
      <c r="I2473" s="195" t="s">
        <v>366</v>
      </c>
      <c r="J2473" s="195" t="s">
        <v>9163</v>
      </c>
      <c r="K2473" s="195" t="s">
        <v>9163</v>
      </c>
      <c r="L2473" s="207"/>
      <c r="M2473" s="195">
        <v>4</v>
      </c>
      <c r="N2473" s="207">
        <v>1</v>
      </c>
      <c r="O2473" s="207">
        <v>8</v>
      </c>
      <c r="P2473" s="207">
        <v>0</v>
      </c>
      <c r="Q2473" s="207">
        <v>4</v>
      </c>
      <c r="R2473" s="1251">
        <v>367</v>
      </c>
      <c r="S2473" s="1251">
        <v>2936</v>
      </c>
      <c r="T2473" s="207" t="s">
        <v>5448</v>
      </c>
      <c r="U2473" s="1911" t="s">
        <v>9101</v>
      </c>
      <c r="V2473" s="207" t="s">
        <v>5990</v>
      </c>
      <c r="W2473" s="2071" t="s">
        <v>9164</v>
      </c>
      <c r="X2473" s="18"/>
      <c r="Y2473" s="4"/>
      <c r="Z2473" s="4"/>
    </row>
    <row r="2474" spans="1:26" ht="15.6" hidden="1">
      <c r="A2474" s="20">
        <v>2481</v>
      </c>
      <c r="B2474" s="1063">
        <v>42251</v>
      </c>
      <c r="C2474" s="947" t="s">
        <v>9129</v>
      </c>
      <c r="D2474" s="11"/>
      <c r="E2474" s="26" t="s">
        <v>5448</v>
      </c>
      <c r="F2474" s="947" t="s">
        <v>73</v>
      </c>
      <c r="G2474" s="195" t="s">
        <v>9121</v>
      </c>
      <c r="H2474" s="195" t="s">
        <v>366</v>
      </c>
      <c r="I2474" s="195" t="s">
        <v>366</v>
      </c>
      <c r="J2474" s="195" t="s">
        <v>9165</v>
      </c>
      <c r="K2474" s="195" t="s">
        <v>9165</v>
      </c>
      <c r="L2474" s="207"/>
      <c r="M2474" s="195">
        <v>4</v>
      </c>
      <c r="N2474" s="207">
        <v>1</v>
      </c>
      <c r="O2474" s="207">
        <v>8</v>
      </c>
      <c r="P2474" s="207">
        <v>0</v>
      </c>
      <c r="Q2474" s="207">
        <v>4</v>
      </c>
      <c r="R2474" s="1251">
        <v>198</v>
      </c>
      <c r="S2474" s="1251">
        <v>1584</v>
      </c>
      <c r="T2474" s="207" t="s">
        <v>5448</v>
      </c>
      <c r="U2474" s="1911" t="s">
        <v>9101</v>
      </c>
      <c r="V2474" s="207" t="s">
        <v>5990</v>
      </c>
      <c r="W2474" s="2071" t="s">
        <v>9166</v>
      </c>
      <c r="X2474" s="18"/>
      <c r="Y2474" s="4"/>
      <c r="Z2474" s="4"/>
    </row>
    <row r="2475" spans="1:26" ht="15.6" hidden="1">
      <c r="A2475" s="20">
        <v>2482</v>
      </c>
      <c r="B2475" s="1063">
        <v>42252</v>
      </c>
      <c r="C2475" s="947" t="s">
        <v>9129</v>
      </c>
      <c r="D2475" s="11"/>
      <c r="E2475" s="26" t="s">
        <v>5448</v>
      </c>
      <c r="F2475" s="947" t="s">
        <v>73</v>
      </c>
      <c r="G2475" s="195" t="s">
        <v>9167</v>
      </c>
      <c r="H2475" s="195" t="s">
        <v>366</v>
      </c>
      <c r="I2475" s="195" t="s">
        <v>366</v>
      </c>
      <c r="J2475" s="195" t="s">
        <v>9168</v>
      </c>
      <c r="K2475" s="195" t="s">
        <v>9168</v>
      </c>
      <c r="L2475" s="207"/>
      <c r="M2475" s="195">
        <v>2</v>
      </c>
      <c r="N2475" s="207">
        <v>1</v>
      </c>
      <c r="O2475" s="207">
        <v>6</v>
      </c>
      <c r="P2475" s="207">
        <v>0</v>
      </c>
      <c r="Q2475" s="207">
        <v>4</v>
      </c>
      <c r="R2475" s="1251">
        <v>212</v>
      </c>
      <c r="S2475" s="1251">
        <v>1272</v>
      </c>
      <c r="T2475" s="207" t="s">
        <v>5448</v>
      </c>
      <c r="U2475" s="1911" t="s">
        <v>9101</v>
      </c>
      <c r="V2475" s="207" t="s">
        <v>5990</v>
      </c>
      <c r="W2475" s="2071" t="s">
        <v>9169</v>
      </c>
      <c r="X2475" s="18"/>
      <c r="Y2475" s="4"/>
      <c r="Z2475" s="4"/>
    </row>
    <row r="2476" spans="1:26" ht="15.6" hidden="1">
      <c r="A2476" s="20">
        <v>2483</v>
      </c>
      <c r="B2476" s="1063">
        <v>42253</v>
      </c>
      <c r="C2476" s="948" t="s">
        <v>9170</v>
      </c>
      <c r="D2476" s="11"/>
      <c r="E2476" s="26" t="s">
        <v>5448</v>
      </c>
      <c r="F2476" s="947" t="s">
        <v>73</v>
      </c>
      <c r="G2476" s="195" t="s">
        <v>9171</v>
      </c>
      <c r="H2476" s="195" t="s">
        <v>366</v>
      </c>
      <c r="I2476" s="195" t="s">
        <v>366</v>
      </c>
      <c r="J2476" s="195" t="s">
        <v>9172</v>
      </c>
      <c r="K2476" s="195" t="s">
        <v>9172</v>
      </c>
      <c r="L2476" s="207"/>
      <c r="M2476" s="195">
        <v>4</v>
      </c>
      <c r="N2476" s="207">
        <v>1</v>
      </c>
      <c r="O2476" s="207">
        <v>8</v>
      </c>
      <c r="P2476" s="207">
        <v>0</v>
      </c>
      <c r="Q2476" s="207">
        <v>4</v>
      </c>
      <c r="R2476" s="1251">
        <v>103</v>
      </c>
      <c r="S2476" s="1251">
        <v>824</v>
      </c>
      <c r="T2476" s="207" t="s">
        <v>5448</v>
      </c>
      <c r="U2476" s="1911" t="s">
        <v>9101</v>
      </c>
      <c r="V2476" s="207" t="s">
        <v>5990</v>
      </c>
      <c r="W2476" s="2071" t="s">
        <v>9173</v>
      </c>
      <c r="X2476" s="18"/>
      <c r="Y2476" s="4"/>
      <c r="Z2476" s="4"/>
    </row>
    <row r="2477" spans="1:26" ht="15.6" hidden="1">
      <c r="A2477" s="20">
        <v>2484</v>
      </c>
      <c r="B2477" s="1063">
        <v>42254</v>
      </c>
      <c r="C2477" s="947" t="s">
        <v>2621</v>
      </c>
      <c r="D2477" s="11"/>
      <c r="E2477" s="26" t="s">
        <v>5448</v>
      </c>
      <c r="F2477" s="947" t="s">
        <v>73</v>
      </c>
      <c r="G2477" s="276" t="s">
        <v>9174</v>
      </c>
      <c r="H2477" s="195" t="s">
        <v>366</v>
      </c>
      <c r="I2477" s="195" t="s">
        <v>366</v>
      </c>
      <c r="J2477" s="195" t="s">
        <v>9175</v>
      </c>
      <c r="K2477" s="195" t="s">
        <v>9175</v>
      </c>
      <c r="L2477" s="207"/>
      <c r="M2477" s="195">
        <v>4</v>
      </c>
      <c r="N2477" s="207">
        <v>1</v>
      </c>
      <c r="O2477" s="207">
        <v>8</v>
      </c>
      <c r="P2477" s="207">
        <v>0</v>
      </c>
      <c r="Q2477" s="207">
        <v>4</v>
      </c>
      <c r="R2477" s="1251">
        <v>300</v>
      </c>
      <c r="S2477" s="1251">
        <v>2400</v>
      </c>
      <c r="T2477" s="207" t="s">
        <v>5448</v>
      </c>
      <c r="U2477" s="1911" t="s">
        <v>9101</v>
      </c>
      <c r="V2477" s="207" t="s">
        <v>5990</v>
      </c>
      <c r="W2477" s="2071" t="s">
        <v>9176</v>
      </c>
      <c r="X2477" s="18"/>
      <c r="Y2477" s="4"/>
      <c r="Z2477" s="4"/>
    </row>
    <row r="2478" spans="1:26" ht="15.6" hidden="1">
      <c r="A2478" s="20">
        <v>2485</v>
      </c>
      <c r="B2478" s="1063">
        <v>42255</v>
      </c>
      <c r="C2478" s="947" t="s">
        <v>9177</v>
      </c>
      <c r="D2478" s="11"/>
      <c r="E2478" s="26" t="s">
        <v>5448</v>
      </c>
      <c r="F2478" s="947" t="s">
        <v>73</v>
      </c>
      <c r="G2478" s="195" t="s">
        <v>9178</v>
      </c>
      <c r="H2478" s="195" t="s">
        <v>366</v>
      </c>
      <c r="I2478" s="195" t="s">
        <v>366</v>
      </c>
      <c r="J2478" s="195" t="s">
        <v>9179</v>
      </c>
      <c r="K2478" s="195" t="s">
        <v>9179</v>
      </c>
      <c r="L2478" s="207"/>
      <c r="M2478" s="195">
        <v>4</v>
      </c>
      <c r="N2478" s="207">
        <v>1</v>
      </c>
      <c r="O2478" s="207">
        <v>8</v>
      </c>
      <c r="P2478" s="207">
        <v>0</v>
      </c>
      <c r="Q2478" s="207">
        <v>4</v>
      </c>
      <c r="R2478" s="1251">
        <v>470</v>
      </c>
      <c r="S2478" s="1251">
        <v>3760</v>
      </c>
      <c r="T2478" s="207" t="s">
        <v>5448</v>
      </c>
      <c r="U2478" s="1911" t="s">
        <v>9101</v>
      </c>
      <c r="V2478" s="207" t="s">
        <v>5990</v>
      </c>
      <c r="W2478" s="2071" t="s">
        <v>9180</v>
      </c>
      <c r="X2478" s="18"/>
      <c r="Y2478" s="4"/>
      <c r="Z2478" s="4"/>
    </row>
    <row r="2479" spans="1:26" ht="15.6" hidden="1">
      <c r="A2479" s="20">
        <v>2486</v>
      </c>
      <c r="B2479" s="1063">
        <v>42256</v>
      </c>
      <c r="C2479" s="947" t="s">
        <v>9177</v>
      </c>
      <c r="D2479" s="11"/>
      <c r="E2479" s="26" t="s">
        <v>5448</v>
      </c>
      <c r="F2479" s="947" t="s">
        <v>73</v>
      </c>
      <c r="G2479" s="195" t="s">
        <v>9181</v>
      </c>
      <c r="H2479" s="195" t="s">
        <v>9182</v>
      </c>
      <c r="I2479" s="195" t="s">
        <v>366</v>
      </c>
      <c r="J2479" s="195" t="s">
        <v>9183</v>
      </c>
      <c r="K2479" s="195" t="s">
        <v>9183</v>
      </c>
      <c r="L2479" s="207"/>
      <c r="M2479" s="195">
        <v>4</v>
      </c>
      <c r="N2479" s="207">
        <v>10</v>
      </c>
      <c r="O2479" s="207">
        <v>10</v>
      </c>
      <c r="P2479" s="207">
        <v>0</v>
      </c>
      <c r="Q2479" s="207">
        <v>6</v>
      </c>
      <c r="R2479" s="1251">
        <v>428</v>
      </c>
      <c r="S2479" s="1251">
        <v>4280</v>
      </c>
      <c r="T2479" s="207" t="s">
        <v>5448</v>
      </c>
      <c r="U2479" s="1911" t="s">
        <v>9101</v>
      </c>
      <c r="V2479" s="207" t="s">
        <v>5990</v>
      </c>
      <c r="W2479" s="2071" t="s">
        <v>9184</v>
      </c>
      <c r="X2479" s="18"/>
      <c r="Y2479" s="4"/>
      <c r="Z2479" s="4"/>
    </row>
    <row r="2480" spans="1:26" ht="15.6" hidden="1">
      <c r="A2480" s="20">
        <v>2487</v>
      </c>
      <c r="B2480" s="1063">
        <v>42257</v>
      </c>
      <c r="C2480" s="947" t="s">
        <v>4133</v>
      </c>
      <c r="D2480" s="11"/>
      <c r="E2480" s="26" t="s">
        <v>5448</v>
      </c>
      <c r="F2480" s="947" t="s">
        <v>73</v>
      </c>
      <c r="G2480" s="195" t="s">
        <v>9185</v>
      </c>
      <c r="H2480" s="195" t="s">
        <v>9182</v>
      </c>
      <c r="I2480" s="195" t="s">
        <v>366</v>
      </c>
      <c r="J2480" s="195" t="s">
        <v>9186</v>
      </c>
      <c r="K2480" s="195" t="s">
        <v>9186</v>
      </c>
      <c r="L2480" s="207"/>
      <c r="M2480" s="195">
        <v>24</v>
      </c>
      <c r="N2480" s="207">
        <v>50</v>
      </c>
      <c r="O2480" s="207">
        <v>50</v>
      </c>
      <c r="P2480" s="207">
        <v>0</v>
      </c>
      <c r="Q2480" s="207">
        <v>26</v>
      </c>
      <c r="R2480" s="1251">
        <v>7</v>
      </c>
      <c r="S2480" s="1251">
        <v>350</v>
      </c>
      <c r="T2480" s="207" t="s">
        <v>5448</v>
      </c>
      <c r="U2480" s="1911" t="s">
        <v>9101</v>
      </c>
      <c r="V2480" s="207" t="s">
        <v>5990</v>
      </c>
      <c r="W2480" s="2089" t="s">
        <v>9187</v>
      </c>
      <c r="X2480" s="18"/>
      <c r="Y2480" s="4"/>
      <c r="Z2480" s="4"/>
    </row>
    <row r="2481" spans="1:26" ht="20.100000000000001" hidden="1">
      <c r="A2481" s="20">
        <v>2488</v>
      </c>
      <c r="B2481" s="1063">
        <v>42258</v>
      </c>
      <c r="C2481" s="947" t="s">
        <v>4133</v>
      </c>
      <c r="D2481" s="11"/>
      <c r="E2481" s="26" t="s">
        <v>5448</v>
      </c>
      <c r="F2481" s="947" t="s">
        <v>73</v>
      </c>
      <c r="G2481" s="276" t="s">
        <v>9188</v>
      </c>
      <c r="H2481" s="195" t="s">
        <v>9182</v>
      </c>
      <c r="I2481" s="195" t="s">
        <v>366</v>
      </c>
      <c r="J2481" s="195" t="s">
        <v>9189</v>
      </c>
      <c r="K2481" s="195" t="s">
        <v>9189</v>
      </c>
      <c r="L2481" s="207"/>
      <c r="M2481" s="195">
        <v>8</v>
      </c>
      <c r="N2481" s="207">
        <v>50</v>
      </c>
      <c r="O2481" s="207">
        <v>50</v>
      </c>
      <c r="P2481" s="207">
        <v>0</v>
      </c>
      <c r="Q2481" s="207">
        <v>42</v>
      </c>
      <c r="R2481" s="1251">
        <v>7</v>
      </c>
      <c r="S2481" s="1251">
        <v>350</v>
      </c>
      <c r="T2481" s="207" t="s">
        <v>5448</v>
      </c>
      <c r="U2481" s="1911" t="s">
        <v>9101</v>
      </c>
      <c r="V2481" s="207" t="s">
        <v>5990</v>
      </c>
      <c r="W2481" s="2090" t="s">
        <v>9190</v>
      </c>
      <c r="X2481" s="18"/>
      <c r="Y2481" s="4"/>
      <c r="Z2481" s="4"/>
    </row>
    <row r="2482" spans="1:26" ht="15.6" hidden="1">
      <c r="A2482" s="20">
        <v>2489</v>
      </c>
      <c r="B2482" s="1063">
        <v>42259</v>
      </c>
      <c r="C2482" s="947" t="s">
        <v>2621</v>
      </c>
      <c r="D2482" s="11"/>
      <c r="E2482" s="26" t="s">
        <v>5448</v>
      </c>
      <c r="F2482" s="947" t="s">
        <v>73</v>
      </c>
      <c r="G2482" s="195" t="s">
        <v>9138</v>
      </c>
      <c r="H2482" s="195" t="s">
        <v>9182</v>
      </c>
      <c r="I2482" s="195" t="s">
        <v>366</v>
      </c>
      <c r="J2482" s="195" t="s">
        <v>9191</v>
      </c>
      <c r="K2482" s="195" t="s">
        <v>9191</v>
      </c>
      <c r="L2482" s="207"/>
      <c r="M2482" s="195">
        <v>4</v>
      </c>
      <c r="N2482" s="207">
        <v>50</v>
      </c>
      <c r="O2482" s="207">
        <v>50</v>
      </c>
      <c r="P2482" s="207">
        <v>0</v>
      </c>
      <c r="Q2482" s="207">
        <v>46</v>
      </c>
      <c r="R2482" s="1251">
        <v>115</v>
      </c>
      <c r="S2482" s="1251">
        <v>5750</v>
      </c>
      <c r="T2482" s="207" t="s">
        <v>5448</v>
      </c>
      <c r="U2482" s="1911" t="s">
        <v>9101</v>
      </c>
      <c r="V2482" s="207" t="s">
        <v>5990</v>
      </c>
      <c r="W2482" s="2071" t="s">
        <v>9192</v>
      </c>
      <c r="X2482" s="18"/>
      <c r="Y2482" s="4"/>
      <c r="Z2482" s="4"/>
    </row>
    <row r="2483" spans="1:26" ht="15.6" hidden="1">
      <c r="A2483" s="20">
        <v>2490</v>
      </c>
      <c r="B2483" s="1063">
        <v>42260</v>
      </c>
      <c r="C2483" s="947" t="s">
        <v>2621</v>
      </c>
      <c r="D2483" s="11"/>
      <c r="E2483" s="26" t="s">
        <v>5448</v>
      </c>
      <c r="F2483" s="947" t="s">
        <v>73</v>
      </c>
      <c r="G2483" s="195" t="s">
        <v>9138</v>
      </c>
      <c r="H2483" s="195" t="s">
        <v>9182</v>
      </c>
      <c r="I2483" s="195" t="s">
        <v>366</v>
      </c>
      <c r="J2483" s="195" t="s">
        <v>9193</v>
      </c>
      <c r="K2483" s="195" t="s">
        <v>9193</v>
      </c>
      <c r="L2483" s="207"/>
      <c r="M2483" s="195">
        <v>4</v>
      </c>
      <c r="N2483" s="207">
        <v>50</v>
      </c>
      <c r="O2483" s="207">
        <v>50</v>
      </c>
      <c r="P2483" s="207">
        <v>0</v>
      </c>
      <c r="Q2483" s="207">
        <v>46</v>
      </c>
      <c r="R2483" s="1251">
        <v>207</v>
      </c>
      <c r="S2483" s="1251">
        <v>10350</v>
      </c>
      <c r="T2483" s="207" t="s">
        <v>5448</v>
      </c>
      <c r="U2483" s="1911" t="s">
        <v>9101</v>
      </c>
      <c r="V2483" s="207" t="s">
        <v>5990</v>
      </c>
      <c r="W2483" s="2071" t="s">
        <v>9194</v>
      </c>
      <c r="X2483" s="18"/>
      <c r="Y2483" s="4"/>
      <c r="Z2483" s="4"/>
    </row>
    <row r="2484" spans="1:26" ht="15.6" hidden="1">
      <c r="A2484" s="20">
        <v>2491</v>
      </c>
      <c r="B2484" s="1063">
        <v>42261</v>
      </c>
      <c r="C2484" s="947" t="s">
        <v>2621</v>
      </c>
      <c r="D2484" s="11"/>
      <c r="E2484" s="26" t="s">
        <v>5448</v>
      </c>
      <c r="F2484" s="947" t="s">
        <v>73</v>
      </c>
      <c r="G2484" s="276" t="s">
        <v>9195</v>
      </c>
      <c r="H2484" s="195" t="s">
        <v>9182</v>
      </c>
      <c r="I2484" s="195" t="s">
        <v>366</v>
      </c>
      <c r="J2484" s="195" t="s">
        <v>9196</v>
      </c>
      <c r="K2484" s="195" t="s">
        <v>9196</v>
      </c>
      <c r="L2484" s="207"/>
      <c r="M2484" s="195">
        <v>12</v>
      </c>
      <c r="N2484" s="207">
        <v>1</v>
      </c>
      <c r="O2484" s="207">
        <v>16</v>
      </c>
      <c r="P2484" s="207">
        <v>0</v>
      </c>
      <c r="Q2484" s="207">
        <v>4</v>
      </c>
      <c r="R2484" s="1251">
        <v>19</v>
      </c>
      <c r="S2484" s="1251">
        <v>304</v>
      </c>
      <c r="T2484" s="207" t="s">
        <v>5448</v>
      </c>
      <c r="U2484" s="1911" t="s">
        <v>9101</v>
      </c>
      <c r="V2484" s="207" t="s">
        <v>5990</v>
      </c>
      <c r="W2484" s="2071" t="s">
        <v>9197</v>
      </c>
      <c r="X2484" s="18"/>
      <c r="Y2484" s="4"/>
      <c r="Z2484" s="4"/>
    </row>
    <row r="2485" spans="1:26" ht="15.6" hidden="1">
      <c r="A2485" s="20">
        <v>2492</v>
      </c>
      <c r="B2485" s="1063">
        <v>42262</v>
      </c>
      <c r="C2485" s="947" t="s">
        <v>2621</v>
      </c>
      <c r="D2485" s="11"/>
      <c r="E2485" s="26" t="s">
        <v>5448</v>
      </c>
      <c r="F2485" s="947" t="s">
        <v>73</v>
      </c>
      <c r="G2485" s="276" t="s">
        <v>9198</v>
      </c>
      <c r="H2485" s="195" t="s">
        <v>9182</v>
      </c>
      <c r="I2485" s="195" t="s">
        <v>366</v>
      </c>
      <c r="J2485" s="195" t="s">
        <v>9199</v>
      </c>
      <c r="K2485" s="195" t="s">
        <v>9199</v>
      </c>
      <c r="L2485" s="207"/>
      <c r="M2485" s="195">
        <v>8</v>
      </c>
      <c r="N2485" s="207">
        <v>1</v>
      </c>
      <c r="O2485" s="207">
        <v>12</v>
      </c>
      <c r="P2485" s="207">
        <v>0</v>
      </c>
      <c r="Q2485" s="207">
        <v>4</v>
      </c>
      <c r="R2485" s="1251">
        <v>204</v>
      </c>
      <c r="S2485" s="1251">
        <v>2448</v>
      </c>
      <c r="T2485" s="207" t="s">
        <v>5448</v>
      </c>
      <c r="U2485" s="1911" t="s">
        <v>9101</v>
      </c>
      <c r="V2485" s="207" t="s">
        <v>5990</v>
      </c>
      <c r="W2485" s="2071" t="s">
        <v>9200</v>
      </c>
      <c r="X2485" s="18"/>
      <c r="Y2485" s="4"/>
      <c r="Z2485" s="4"/>
    </row>
    <row r="2486" spans="1:26" ht="15.6" hidden="1">
      <c r="A2486" s="20">
        <v>2493</v>
      </c>
      <c r="B2486" s="1063">
        <v>42263</v>
      </c>
      <c r="C2486" s="947" t="s">
        <v>2621</v>
      </c>
      <c r="D2486" s="11"/>
      <c r="E2486" s="26" t="s">
        <v>5448</v>
      </c>
      <c r="F2486" s="947" t="s">
        <v>73</v>
      </c>
      <c r="G2486" s="276" t="s">
        <v>9201</v>
      </c>
      <c r="H2486" s="195" t="s">
        <v>9182</v>
      </c>
      <c r="I2486" s="195" t="s">
        <v>366</v>
      </c>
      <c r="J2486" s="195" t="s">
        <v>9202</v>
      </c>
      <c r="K2486" s="195" t="s">
        <v>9202</v>
      </c>
      <c r="L2486" s="207"/>
      <c r="M2486" s="195">
        <v>2</v>
      </c>
      <c r="N2486" s="207">
        <v>50</v>
      </c>
      <c r="O2486" s="207">
        <v>50</v>
      </c>
      <c r="P2486" s="207">
        <v>0</v>
      </c>
      <c r="Q2486" s="207">
        <v>48</v>
      </c>
      <c r="R2486" s="1251">
        <v>17</v>
      </c>
      <c r="S2486" s="1251">
        <v>850</v>
      </c>
      <c r="T2486" s="207" t="s">
        <v>5448</v>
      </c>
      <c r="U2486" s="1911" t="s">
        <v>9101</v>
      </c>
      <c r="V2486" s="207" t="s">
        <v>5990</v>
      </c>
      <c r="W2486" s="2071" t="s">
        <v>9203</v>
      </c>
      <c r="X2486" s="18"/>
      <c r="Y2486" s="4"/>
      <c r="Z2486" s="4"/>
    </row>
    <row r="2487" spans="1:26" ht="15.6" hidden="1">
      <c r="A2487" s="20">
        <v>2494</v>
      </c>
      <c r="B2487" s="1063">
        <v>42264</v>
      </c>
      <c r="C2487" s="947" t="s">
        <v>2621</v>
      </c>
      <c r="D2487" s="11"/>
      <c r="E2487" s="26" t="s">
        <v>5448</v>
      </c>
      <c r="F2487" s="947" t="s">
        <v>73</v>
      </c>
      <c r="G2487" s="276" t="s">
        <v>9204</v>
      </c>
      <c r="H2487" s="195" t="s">
        <v>9182</v>
      </c>
      <c r="I2487" s="195" t="s">
        <v>366</v>
      </c>
      <c r="J2487" s="195" t="s">
        <v>3987</v>
      </c>
      <c r="K2487" s="195" t="s">
        <v>3987</v>
      </c>
      <c r="L2487" s="207"/>
      <c r="M2487" s="195">
        <v>4</v>
      </c>
      <c r="N2487" s="207">
        <v>1</v>
      </c>
      <c r="O2487" s="207">
        <v>8</v>
      </c>
      <c r="P2487" s="207">
        <v>0</v>
      </c>
      <c r="Q2487" s="207">
        <v>4</v>
      </c>
      <c r="R2487" s="1251">
        <v>15</v>
      </c>
      <c r="S2487" s="1251">
        <v>120</v>
      </c>
      <c r="T2487" s="207" t="s">
        <v>5448</v>
      </c>
      <c r="U2487" s="1911" t="s">
        <v>9101</v>
      </c>
      <c r="V2487" s="207" t="s">
        <v>5990</v>
      </c>
      <c r="W2487" s="2071" t="s">
        <v>9205</v>
      </c>
      <c r="X2487" s="18"/>
      <c r="Y2487" s="4"/>
      <c r="Z2487" s="4"/>
    </row>
    <row r="2488" spans="1:26" ht="15.6" hidden="1">
      <c r="A2488" s="20">
        <v>2495</v>
      </c>
      <c r="B2488" s="1063">
        <v>42265</v>
      </c>
      <c r="C2488" s="947" t="s">
        <v>2621</v>
      </c>
      <c r="D2488" s="11"/>
      <c r="E2488" s="26" t="s">
        <v>5448</v>
      </c>
      <c r="F2488" s="947" t="s">
        <v>73</v>
      </c>
      <c r="G2488" s="276" t="s">
        <v>9206</v>
      </c>
      <c r="H2488" s="195" t="s">
        <v>9182</v>
      </c>
      <c r="I2488" s="195" t="s">
        <v>366</v>
      </c>
      <c r="J2488" s="195" t="s">
        <v>9207</v>
      </c>
      <c r="K2488" s="195" t="s">
        <v>9207</v>
      </c>
      <c r="L2488" s="207"/>
      <c r="M2488" s="195">
        <v>18</v>
      </c>
      <c r="N2488" s="207">
        <v>1</v>
      </c>
      <c r="O2488" s="207">
        <v>22</v>
      </c>
      <c r="P2488" s="207">
        <v>0</v>
      </c>
      <c r="Q2488" s="207">
        <v>4</v>
      </c>
      <c r="R2488" s="1251">
        <v>19</v>
      </c>
      <c r="S2488" s="1251">
        <v>418</v>
      </c>
      <c r="T2488" s="207" t="s">
        <v>5448</v>
      </c>
      <c r="U2488" s="1911" t="s">
        <v>9101</v>
      </c>
      <c r="V2488" s="207" t="s">
        <v>5990</v>
      </c>
      <c r="W2488" s="2071" t="s">
        <v>9208</v>
      </c>
      <c r="X2488" s="18"/>
      <c r="Y2488" s="4"/>
      <c r="Z2488" s="4"/>
    </row>
    <row r="2489" spans="1:26" ht="15.6" hidden="1">
      <c r="A2489" s="20">
        <v>2496</v>
      </c>
      <c r="B2489" s="1063">
        <v>42266</v>
      </c>
      <c r="C2489" s="947" t="s">
        <v>2621</v>
      </c>
      <c r="D2489" s="11"/>
      <c r="E2489" s="26" t="s">
        <v>5448</v>
      </c>
      <c r="F2489" s="947" t="s">
        <v>73</v>
      </c>
      <c r="G2489" s="276" t="s">
        <v>9209</v>
      </c>
      <c r="H2489" s="195" t="s">
        <v>9182</v>
      </c>
      <c r="I2489" s="195" t="s">
        <v>366</v>
      </c>
      <c r="J2489" s="195" t="s">
        <v>9210</v>
      </c>
      <c r="K2489" s="195" t="s">
        <v>9210</v>
      </c>
      <c r="L2489" s="207"/>
      <c r="M2489" s="195">
        <v>8</v>
      </c>
      <c r="N2489" s="207">
        <v>1</v>
      </c>
      <c r="O2489" s="207">
        <v>12</v>
      </c>
      <c r="P2489" s="207">
        <v>0</v>
      </c>
      <c r="Q2489" s="207">
        <v>4</v>
      </c>
      <c r="R2489" s="1251">
        <v>19</v>
      </c>
      <c r="S2489" s="1251">
        <v>228</v>
      </c>
      <c r="T2489" s="207" t="s">
        <v>5448</v>
      </c>
      <c r="U2489" s="1911" t="s">
        <v>9101</v>
      </c>
      <c r="V2489" s="207" t="s">
        <v>5990</v>
      </c>
      <c r="W2489" s="2071" t="s">
        <v>9211</v>
      </c>
      <c r="X2489" s="18"/>
      <c r="Y2489" s="4"/>
      <c r="Z2489" s="4"/>
    </row>
    <row r="2490" spans="1:26" ht="15.6" hidden="1">
      <c r="A2490" s="20">
        <v>2497</v>
      </c>
      <c r="B2490" s="1063">
        <v>42267</v>
      </c>
      <c r="C2490" s="947" t="s">
        <v>2621</v>
      </c>
      <c r="D2490" s="11"/>
      <c r="E2490" s="26" t="s">
        <v>5448</v>
      </c>
      <c r="F2490" s="947" t="s">
        <v>73</v>
      </c>
      <c r="G2490" s="195" t="s">
        <v>9212</v>
      </c>
      <c r="H2490" s="195" t="s">
        <v>9182</v>
      </c>
      <c r="I2490" s="195" t="s">
        <v>366</v>
      </c>
      <c r="J2490" s="195" t="s">
        <v>9213</v>
      </c>
      <c r="K2490" s="195" t="s">
        <v>9213</v>
      </c>
      <c r="L2490" s="207"/>
      <c r="M2490" s="195">
        <v>4</v>
      </c>
      <c r="N2490" s="207">
        <v>1</v>
      </c>
      <c r="O2490" s="207">
        <v>8</v>
      </c>
      <c r="P2490" s="207">
        <v>0</v>
      </c>
      <c r="Q2490" s="207">
        <v>4</v>
      </c>
      <c r="R2490" s="1251">
        <v>15</v>
      </c>
      <c r="S2490" s="1251">
        <v>120</v>
      </c>
      <c r="T2490" s="207" t="s">
        <v>5448</v>
      </c>
      <c r="U2490" s="1911" t="s">
        <v>9101</v>
      </c>
      <c r="V2490" s="207" t="s">
        <v>5990</v>
      </c>
      <c r="W2490" s="2071" t="s">
        <v>9214</v>
      </c>
      <c r="X2490" s="18"/>
      <c r="Y2490" s="4"/>
      <c r="Z2490" s="4"/>
    </row>
    <row r="2491" spans="1:26" ht="15.6" hidden="1">
      <c r="A2491" s="20">
        <v>2498</v>
      </c>
      <c r="B2491" s="1063">
        <v>42268</v>
      </c>
      <c r="C2491" s="947" t="s">
        <v>2621</v>
      </c>
      <c r="D2491" s="11"/>
      <c r="E2491" s="26" t="s">
        <v>5448</v>
      </c>
      <c r="F2491" s="947" t="s">
        <v>73</v>
      </c>
      <c r="G2491" s="195" t="s">
        <v>9215</v>
      </c>
      <c r="H2491" s="195" t="s">
        <v>9182</v>
      </c>
      <c r="I2491" s="195" t="s">
        <v>366</v>
      </c>
      <c r="J2491" s="195" t="s">
        <v>9216</v>
      </c>
      <c r="K2491" s="195" t="s">
        <v>9216</v>
      </c>
      <c r="L2491" s="207"/>
      <c r="M2491" s="195">
        <v>4</v>
      </c>
      <c r="N2491" s="207">
        <v>50</v>
      </c>
      <c r="O2491" s="207">
        <v>50</v>
      </c>
      <c r="P2491" s="207">
        <v>0</v>
      </c>
      <c r="Q2491" s="207">
        <v>41</v>
      </c>
      <c r="R2491" s="1251">
        <v>18</v>
      </c>
      <c r="S2491" s="1251">
        <v>900</v>
      </c>
      <c r="T2491" s="207" t="s">
        <v>5448</v>
      </c>
      <c r="U2491" s="1911" t="s">
        <v>9101</v>
      </c>
      <c r="V2491" s="207" t="s">
        <v>5990</v>
      </c>
      <c r="W2491" s="2071" t="s">
        <v>9217</v>
      </c>
      <c r="X2491" s="18"/>
      <c r="Y2491" s="4"/>
      <c r="Z2491" s="4"/>
    </row>
    <row r="2492" spans="1:26" ht="15.6" hidden="1">
      <c r="A2492" s="20">
        <v>2499</v>
      </c>
      <c r="B2492" s="1063">
        <v>42269</v>
      </c>
      <c r="C2492" s="947" t="s">
        <v>2621</v>
      </c>
      <c r="D2492" s="11"/>
      <c r="E2492" s="26" t="s">
        <v>5448</v>
      </c>
      <c r="F2492" s="947" t="s">
        <v>73</v>
      </c>
      <c r="G2492" s="195" t="s">
        <v>9218</v>
      </c>
      <c r="H2492" s="195" t="s">
        <v>9182</v>
      </c>
      <c r="I2492" s="195" t="s">
        <v>366</v>
      </c>
      <c r="J2492" s="195" t="s">
        <v>9219</v>
      </c>
      <c r="K2492" s="195" t="s">
        <v>9219</v>
      </c>
      <c r="L2492" s="207"/>
      <c r="M2492" s="195">
        <v>2</v>
      </c>
      <c r="N2492" s="207">
        <v>50</v>
      </c>
      <c r="O2492" s="207">
        <v>50</v>
      </c>
      <c r="P2492" s="207">
        <v>0</v>
      </c>
      <c r="Q2492" s="207">
        <v>43</v>
      </c>
      <c r="R2492" s="1251">
        <v>24</v>
      </c>
      <c r="S2492" s="1251">
        <v>1200</v>
      </c>
      <c r="T2492" s="207" t="s">
        <v>5448</v>
      </c>
      <c r="U2492" s="1911" t="s">
        <v>9101</v>
      </c>
      <c r="V2492" s="207" t="s">
        <v>5990</v>
      </c>
      <c r="W2492" s="2071" t="s">
        <v>9220</v>
      </c>
      <c r="X2492" s="18"/>
      <c r="Y2492" s="4"/>
      <c r="Z2492" s="4"/>
    </row>
    <row r="2493" spans="1:26" ht="15.6" hidden="1">
      <c r="A2493" s="20">
        <v>2500</v>
      </c>
      <c r="B2493" s="1063">
        <v>42270</v>
      </c>
      <c r="C2493" s="947" t="s">
        <v>2621</v>
      </c>
      <c r="D2493" s="11"/>
      <c r="E2493" s="26" t="s">
        <v>5448</v>
      </c>
      <c r="F2493" s="947" t="s">
        <v>73</v>
      </c>
      <c r="G2493" s="276" t="s">
        <v>9221</v>
      </c>
      <c r="H2493" s="195" t="s">
        <v>9182</v>
      </c>
      <c r="I2493" s="195" t="s">
        <v>366</v>
      </c>
      <c r="J2493" s="195" t="s">
        <v>9222</v>
      </c>
      <c r="K2493" s="195" t="s">
        <v>9222</v>
      </c>
      <c r="L2493" s="207"/>
      <c r="M2493" s="195">
        <v>4</v>
      </c>
      <c r="N2493" s="207">
        <v>50</v>
      </c>
      <c r="O2493" s="207">
        <v>50</v>
      </c>
      <c r="P2493" s="207">
        <v>0</v>
      </c>
      <c r="Q2493" s="207">
        <v>41</v>
      </c>
      <c r="R2493" s="1251">
        <v>21</v>
      </c>
      <c r="S2493" s="1251">
        <v>1050</v>
      </c>
      <c r="T2493" s="207" t="s">
        <v>5448</v>
      </c>
      <c r="U2493" s="1911" t="s">
        <v>9101</v>
      </c>
      <c r="V2493" s="207" t="s">
        <v>5990</v>
      </c>
      <c r="W2493" s="2071" t="s">
        <v>9223</v>
      </c>
      <c r="X2493" s="18"/>
      <c r="Y2493" s="4"/>
      <c r="Z2493" s="4"/>
    </row>
    <row r="2494" spans="1:26" ht="15.6" hidden="1">
      <c r="A2494" s="20">
        <v>2501</v>
      </c>
      <c r="B2494" s="1063">
        <v>42271</v>
      </c>
      <c r="C2494" s="947" t="s">
        <v>2621</v>
      </c>
      <c r="D2494" s="11"/>
      <c r="E2494" s="26" t="s">
        <v>5448</v>
      </c>
      <c r="F2494" s="947" t="s">
        <v>73</v>
      </c>
      <c r="G2494" s="276" t="s">
        <v>9224</v>
      </c>
      <c r="H2494" s="195" t="s">
        <v>9182</v>
      </c>
      <c r="I2494" s="195" t="s">
        <v>366</v>
      </c>
      <c r="J2494" s="195" t="s">
        <v>9225</v>
      </c>
      <c r="K2494" s="195" t="s">
        <v>9225</v>
      </c>
      <c r="L2494" s="207"/>
      <c r="M2494" s="195">
        <v>4</v>
      </c>
      <c r="N2494" s="207">
        <v>50</v>
      </c>
      <c r="O2494" s="207">
        <v>50</v>
      </c>
      <c r="P2494" s="207">
        <v>0</v>
      </c>
      <c r="Q2494" s="207">
        <v>41</v>
      </c>
      <c r="R2494" s="1251">
        <v>21</v>
      </c>
      <c r="S2494" s="1251">
        <v>1050</v>
      </c>
      <c r="T2494" s="207" t="s">
        <v>5448</v>
      </c>
      <c r="U2494" s="1911" t="s">
        <v>9101</v>
      </c>
      <c r="V2494" s="207" t="s">
        <v>5990</v>
      </c>
      <c r="W2494" s="2071" t="s">
        <v>9226</v>
      </c>
      <c r="X2494" s="18"/>
      <c r="Y2494" s="4"/>
      <c r="Z2494" s="4"/>
    </row>
    <row r="2495" spans="1:26" ht="15.6" hidden="1">
      <c r="A2495" s="20">
        <v>2502</v>
      </c>
      <c r="B2495" s="1063">
        <v>42272</v>
      </c>
      <c r="C2495" s="947" t="s">
        <v>2621</v>
      </c>
      <c r="D2495" s="11"/>
      <c r="E2495" s="26" t="s">
        <v>5448</v>
      </c>
      <c r="F2495" s="947" t="s">
        <v>73</v>
      </c>
      <c r="G2495" s="195" t="s">
        <v>9227</v>
      </c>
      <c r="H2495" s="195" t="s">
        <v>9182</v>
      </c>
      <c r="I2495" s="195" t="s">
        <v>366</v>
      </c>
      <c r="J2495" s="195" t="s">
        <v>9228</v>
      </c>
      <c r="K2495" s="195" t="s">
        <v>9228</v>
      </c>
      <c r="L2495" s="207"/>
      <c r="M2495" s="195">
        <v>2</v>
      </c>
      <c r="N2495" s="207">
        <v>50</v>
      </c>
      <c r="O2495" s="207">
        <v>50</v>
      </c>
      <c r="P2495" s="207">
        <v>0</v>
      </c>
      <c r="Q2495" s="207">
        <v>43</v>
      </c>
      <c r="R2495" s="1251">
        <v>26</v>
      </c>
      <c r="S2495" s="1251">
        <v>1300</v>
      </c>
      <c r="T2495" s="207" t="s">
        <v>5448</v>
      </c>
      <c r="U2495" s="1911" t="s">
        <v>9101</v>
      </c>
      <c r="V2495" s="207" t="s">
        <v>5990</v>
      </c>
      <c r="W2495" s="2071" t="s">
        <v>9229</v>
      </c>
      <c r="X2495" s="18"/>
      <c r="Y2495" s="4"/>
      <c r="Z2495" s="4"/>
    </row>
    <row r="2496" spans="1:26" ht="15.6" hidden="1">
      <c r="A2496" s="20">
        <v>2503</v>
      </c>
      <c r="B2496" s="1063">
        <v>42273</v>
      </c>
      <c r="C2496" s="947" t="s">
        <v>2621</v>
      </c>
      <c r="D2496" s="11"/>
      <c r="E2496" s="26" t="s">
        <v>5448</v>
      </c>
      <c r="F2496" s="947" t="s">
        <v>73</v>
      </c>
      <c r="G2496" s="276" t="s">
        <v>9230</v>
      </c>
      <c r="H2496" s="195" t="s">
        <v>9182</v>
      </c>
      <c r="I2496" s="195" t="s">
        <v>366</v>
      </c>
      <c r="J2496" s="195" t="s">
        <v>9231</v>
      </c>
      <c r="K2496" s="195" t="s">
        <v>9231</v>
      </c>
      <c r="L2496" s="207"/>
      <c r="M2496" s="195">
        <v>4</v>
      </c>
      <c r="N2496" s="207">
        <v>50</v>
      </c>
      <c r="O2496" s="207">
        <v>50</v>
      </c>
      <c r="P2496" s="207">
        <v>0</v>
      </c>
      <c r="Q2496" s="207">
        <v>41</v>
      </c>
      <c r="R2496" s="1251">
        <v>13</v>
      </c>
      <c r="S2496" s="1251">
        <v>650</v>
      </c>
      <c r="T2496" s="207" t="s">
        <v>5448</v>
      </c>
      <c r="U2496" s="1911" t="s">
        <v>9101</v>
      </c>
      <c r="V2496" s="207" t="s">
        <v>5990</v>
      </c>
      <c r="W2496" s="2071" t="s">
        <v>9232</v>
      </c>
      <c r="X2496" s="18"/>
      <c r="Y2496" s="4"/>
      <c r="Z2496" s="4"/>
    </row>
    <row r="2497" spans="1:26" ht="15.6" hidden="1">
      <c r="A2497" s="20">
        <v>2504</v>
      </c>
      <c r="B2497" s="1063">
        <v>42274</v>
      </c>
      <c r="C2497" s="947" t="s">
        <v>2621</v>
      </c>
      <c r="D2497" s="11"/>
      <c r="E2497" s="26" t="s">
        <v>5448</v>
      </c>
      <c r="F2497" s="947" t="s">
        <v>73</v>
      </c>
      <c r="G2497" s="276" t="s">
        <v>9233</v>
      </c>
      <c r="H2497" s="195" t="s">
        <v>9182</v>
      </c>
      <c r="I2497" s="195" t="s">
        <v>366</v>
      </c>
      <c r="J2497" s="195" t="s">
        <v>9234</v>
      </c>
      <c r="K2497" s="195" t="s">
        <v>9234</v>
      </c>
      <c r="L2497" s="207"/>
      <c r="M2497" s="195">
        <v>4</v>
      </c>
      <c r="N2497" s="207">
        <v>50</v>
      </c>
      <c r="O2497" s="207">
        <v>50</v>
      </c>
      <c r="P2497" s="207">
        <v>0</v>
      </c>
      <c r="Q2497" s="207">
        <v>41</v>
      </c>
      <c r="R2497" s="1251">
        <v>12</v>
      </c>
      <c r="S2497" s="1251">
        <v>600</v>
      </c>
      <c r="T2497" s="207" t="s">
        <v>5448</v>
      </c>
      <c r="U2497" s="1911" t="s">
        <v>9101</v>
      </c>
      <c r="V2497" s="207" t="s">
        <v>5990</v>
      </c>
      <c r="W2497" s="2071" t="s">
        <v>9235</v>
      </c>
      <c r="X2497" s="18"/>
      <c r="Y2497" s="4"/>
      <c r="Z2497" s="4"/>
    </row>
    <row r="2498" spans="1:26" ht="15.6" hidden="1">
      <c r="A2498" s="20">
        <v>2505</v>
      </c>
      <c r="B2498" s="1063">
        <v>42275</v>
      </c>
      <c r="C2498" s="947" t="s">
        <v>2621</v>
      </c>
      <c r="D2498" s="11"/>
      <c r="E2498" s="26" t="s">
        <v>5448</v>
      </c>
      <c r="F2498" s="947" t="s">
        <v>73</v>
      </c>
      <c r="G2498" s="276" t="s">
        <v>9236</v>
      </c>
      <c r="H2498" s="195" t="s">
        <v>9182</v>
      </c>
      <c r="I2498" s="195" t="s">
        <v>366</v>
      </c>
      <c r="J2498" s="195" t="s">
        <v>9237</v>
      </c>
      <c r="K2498" s="195" t="s">
        <v>9237</v>
      </c>
      <c r="L2498" s="207"/>
      <c r="M2498" s="195">
        <v>2</v>
      </c>
      <c r="N2498" s="207">
        <v>50</v>
      </c>
      <c r="O2498" s="207">
        <v>50</v>
      </c>
      <c r="P2498" s="207">
        <v>0</v>
      </c>
      <c r="Q2498" s="207">
        <v>43</v>
      </c>
      <c r="R2498" s="1251">
        <v>13</v>
      </c>
      <c r="S2498" s="1251">
        <v>650</v>
      </c>
      <c r="T2498" s="207" t="s">
        <v>5448</v>
      </c>
      <c r="U2498" s="1911" t="s">
        <v>9101</v>
      </c>
      <c r="V2498" s="207" t="s">
        <v>5990</v>
      </c>
      <c r="W2498" s="2071" t="s">
        <v>9238</v>
      </c>
      <c r="X2498" s="18"/>
      <c r="Y2498" s="4"/>
      <c r="Z2498" s="4"/>
    </row>
    <row r="2499" spans="1:26" ht="15.6" hidden="1">
      <c r="A2499" s="20">
        <v>2506</v>
      </c>
      <c r="B2499" s="1063">
        <v>42276</v>
      </c>
      <c r="C2499" s="947" t="s">
        <v>9239</v>
      </c>
      <c r="D2499" s="11" t="s">
        <v>6</v>
      </c>
      <c r="E2499" s="26" t="s">
        <v>5448</v>
      </c>
      <c r="F2499" s="947" t="s">
        <v>7782</v>
      </c>
      <c r="G2499" s="195" t="s">
        <v>9240</v>
      </c>
      <c r="H2499" s="195" t="s">
        <v>3898</v>
      </c>
      <c r="I2499" s="195" t="s">
        <v>8819</v>
      </c>
      <c r="J2499" s="195" t="s">
        <v>9241</v>
      </c>
      <c r="K2499" s="671" t="s">
        <v>9242</v>
      </c>
      <c r="L2499" s="195" t="s">
        <v>3960</v>
      </c>
      <c r="M2499" s="195">
        <v>2</v>
      </c>
      <c r="N2499" s="207">
        <v>1</v>
      </c>
      <c r="O2499" s="207">
        <v>10</v>
      </c>
      <c r="P2499" s="207">
        <v>0</v>
      </c>
      <c r="Q2499" s="207">
        <v>8</v>
      </c>
      <c r="R2499" s="1251">
        <v>48.5</v>
      </c>
      <c r="S2499" s="1251">
        <v>485</v>
      </c>
      <c r="T2499" s="207" t="s">
        <v>5448</v>
      </c>
      <c r="U2499" s="1859" t="s">
        <v>8765</v>
      </c>
      <c r="V2499" s="207" t="s">
        <v>5990</v>
      </c>
      <c r="W2499" s="2091" t="s">
        <v>9243</v>
      </c>
      <c r="X2499" s="18"/>
      <c r="Y2499" s="4"/>
      <c r="Z2499" s="4"/>
    </row>
    <row r="2500" spans="1:26" ht="15.6" hidden="1">
      <c r="A2500" s="20">
        <v>2507</v>
      </c>
      <c r="B2500" s="1063">
        <v>42277</v>
      </c>
      <c r="C2500" s="947" t="s">
        <v>9244</v>
      </c>
      <c r="D2500" s="11" t="s">
        <v>6</v>
      </c>
      <c r="E2500" s="26" t="s">
        <v>5448</v>
      </c>
      <c r="F2500" s="26" t="s">
        <v>7782</v>
      </c>
      <c r="G2500" s="195" t="s">
        <v>9245</v>
      </c>
      <c r="H2500" s="195" t="s">
        <v>3898</v>
      </c>
      <c r="I2500" s="195" t="s">
        <v>8819</v>
      </c>
      <c r="J2500" s="195" t="s">
        <v>9246</v>
      </c>
      <c r="K2500" s="671" t="s">
        <v>9247</v>
      </c>
      <c r="L2500" s="195" t="s">
        <v>9248</v>
      </c>
      <c r="M2500" s="26">
        <v>60</v>
      </c>
      <c r="N2500" s="26">
        <v>1</v>
      </c>
      <c r="O2500" s="26">
        <v>300</v>
      </c>
      <c r="P2500" s="26">
        <v>0</v>
      </c>
      <c r="Q2500" s="26">
        <v>240</v>
      </c>
      <c r="R2500" s="1209">
        <v>2.8</v>
      </c>
      <c r="S2500" s="1209">
        <v>840</v>
      </c>
      <c r="T2500" s="207" t="s">
        <v>5448</v>
      </c>
      <c r="U2500" s="1859" t="s">
        <v>8765</v>
      </c>
      <c r="V2500" s="207" t="s">
        <v>5990</v>
      </c>
      <c r="W2500" s="2091" t="s">
        <v>9249</v>
      </c>
      <c r="X2500" s="18"/>
      <c r="Y2500" s="4"/>
      <c r="Z2500" s="4"/>
    </row>
    <row r="2501" spans="1:26" ht="15.6" hidden="1">
      <c r="A2501" s="20">
        <v>2508</v>
      </c>
      <c r="B2501" s="1063">
        <v>42278</v>
      </c>
      <c r="C2501" s="949" t="s">
        <v>9250</v>
      </c>
      <c r="D2501" s="11" t="s">
        <v>6</v>
      </c>
      <c r="E2501" s="26" t="s">
        <v>5448</v>
      </c>
      <c r="F2501" s="26" t="s">
        <v>7782</v>
      </c>
      <c r="G2501" s="195" t="s">
        <v>9251</v>
      </c>
      <c r="H2501" s="195" t="s">
        <v>3898</v>
      </c>
      <c r="I2501" s="195" t="s">
        <v>8819</v>
      </c>
      <c r="J2501" s="26" t="s">
        <v>9252</v>
      </c>
      <c r="K2501" s="26" t="s">
        <v>9253</v>
      </c>
      <c r="L2501" s="195" t="s">
        <v>3960</v>
      </c>
      <c r="M2501" s="26">
        <v>10</v>
      </c>
      <c r="N2501" s="26">
        <v>1</v>
      </c>
      <c r="O2501" s="26">
        <v>10</v>
      </c>
      <c r="P2501" s="26">
        <v>0</v>
      </c>
      <c r="Q2501" s="26">
        <v>0</v>
      </c>
      <c r="R2501" s="1209">
        <v>25.4</v>
      </c>
      <c r="S2501" s="1209">
        <v>254</v>
      </c>
      <c r="T2501" s="207" t="s">
        <v>5448</v>
      </c>
      <c r="U2501" s="1859" t="s">
        <v>9254</v>
      </c>
      <c r="V2501" s="207" t="s">
        <v>5990</v>
      </c>
      <c r="W2501" s="701" t="s">
        <v>9255</v>
      </c>
      <c r="X2501" s="18"/>
      <c r="Y2501" s="4"/>
      <c r="Z2501" s="4"/>
    </row>
    <row r="2502" spans="1:26" ht="15.6" hidden="1">
      <c r="A2502" s="20">
        <v>2509</v>
      </c>
      <c r="B2502" s="1063">
        <v>42279</v>
      </c>
      <c r="C2502" s="18" t="s">
        <v>9256</v>
      </c>
      <c r="D2502" s="11" t="s">
        <v>6</v>
      </c>
      <c r="E2502" s="26" t="s">
        <v>5448</v>
      </c>
      <c r="F2502" s="26" t="s">
        <v>7782</v>
      </c>
      <c r="G2502" s="32" t="s">
        <v>9257</v>
      </c>
      <c r="H2502" s="210" t="s">
        <v>9258</v>
      </c>
      <c r="I2502" s="195" t="s">
        <v>8819</v>
      </c>
      <c r="J2502" s="195" t="s">
        <v>9259</v>
      </c>
      <c r="K2502" s="671" t="s">
        <v>9260</v>
      </c>
      <c r="L2502" s="26" t="s">
        <v>9261</v>
      </c>
      <c r="M2502" s="26">
        <v>1</v>
      </c>
      <c r="N2502" s="26">
        <v>1</v>
      </c>
      <c r="O2502" s="26">
        <v>1</v>
      </c>
      <c r="P2502" s="26">
        <v>0</v>
      </c>
      <c r="Q2502" s="26">
        <v>0</v>
      </c>
      <c r="R2502" s="1209">
        <v>4000</v>
      </c>
      <c r="S2502" s="1209">
        <v>4000</v>
      </c>
      <c r="T2502" s="207" t="s">
        <v>5448</v>
      </c>
      <c r="U2502" s="1859" t="s">
        <v>8765</v>
      </c>
      <c r="V2502" s="207" t="s">
        <v>5990</v>
      </c>
      <c r="W2502" s="2065" t="s">
        <v>9262</v>
      </c>
      <c r="X2502" s="18"/>
      <c r="Y2502" s="4"/>
      <c r="Z2502" s="4"/>
    </row>
    <row r="2503" spans="1:26" ht="15.6" hidden="1">
      <c r="A2503" s="20">
        <v>2510</v>
      </c>
      <c r="B2503" s="1063">
        <v>42280</v>
      </c>
      <c r="C2503" s="26" t="s">
        <v>9263</v>
      </c>
      <c r="D2503" s="11" t="s">
        <v>6</v>
      </c>
      <c r="E2503" s="26" t="s">
        <v>5448</v>
      </c>
      <c r="F2503" s="26" t="s">
        <v>7782</v>
      </c>
      <c r="G2503" s="26" t="s">
        <v>9264</v>
      </c>
      <c r="H2503" s="237" t="s">
        <v>7716</v>
      </c>
      <c r="I2503" s="26" t="s">
        <v>574</v>
      </c>
      <c r="J2503" s="277" t="s">
        <v>9265</v>
      </c>
      <c r="K2503" s="277" t="s">
        <v>9266</v>
      </c>
      <c r="L2503" s="26" t="s">
        <v>9267</v>
      </c>
      <c r="M2503" s="26">
        <v>1</v>
      </c>
      <c r="N2503" s="26">
        <v>1</v>
      </c>
      <c r="O2503" s="26">
        <v>3</v>
      </c>
      <c r="P2503" s="26">
        <v>0</v>
      </c>
      <c r="Q2503" s="26">
        <v>2</v>
      </c>
      <c r="R2503" s="1209">
        <v>587</v>
      </c>
      <c r="S2503" s="1209">
        <v>1761</v>
      </c>
      <c r="T2503" s="207" t="s">
        <v>5448</v>
      </c>
      <c r="U2503" s="1859" t="s">
        <v>9268</v>
      </c>
      <c r="V2503" s="207" t="s">
        <v>5990</v>
      </c>
      <c r="W2503" s="701" t="s">
        <v>9269</v>
      </c>
      <c r="X2503" s="18"/>
      <c r="Y2503" s="4"/>
      <c r="Z2503" s="4"/>
    </row>
    <row r="2504" spans="1:26" ht="15.6" hidden="1">
      <c r="A2504" s="20">
        <v>2511</v>
      </c>
      <c r="B2504" s="1063">
        <v>42281</v>
      </c>
      <c r="C2504" s="26" t="s">
        <v>9270</v>
      </c>
      <c r="D2504" s="11" t="s">
        <v>6</v>
      </c>
      <c r="E2504" s="26" t="s">
        <v>5448</v>
      </c>
      <c r="F2504" s="26" t="s">
        <v>7782</v>
      </c>
      <c r="G2504" s="26" t="s">
        <v>9271</v>
      </c>
      <c r="H2504" s="237" t="s">
        <v>7716</v>
      </c>
      <c r="I2504" s="26" t="s">
        <v>574</v>
      </c>
      <c r="J2504" s="277" t="s">
        <v>9272</v>
      </c>
      <c r="K2504" s="277" t="s">
        <v>9273</v>
      </c>
      <c r="L2504" s="26" t="s">
        <v>9267</v>
      </c>
      <c r="M2504" s="26">
        <v>1</v>
      </c>
      <c r="N2504" s="26">
        <v>1</v>
      </c>
      <c r="O2504" s="26">
        <v>3</v>
      </c>
      <c r="P2504" s="26">
        <v>0</v>
      </c>
      <c r="Q2504" s="26">
        <v>2</v>
      </c>
      <c r="R2504" s="1209">
        <v>587</v>
      </c>
      <c r="S2504" s="1209">
        <v>1761</v>
      </c>
      <c r="T2504" s="207" t="s">
        <v>5448</v>
      </c>
      <c r="U2504" s="1859" t="s">
        <v>9268</v>
      </c>
      <c r="V2504" s="207" t="s">
        <v>5990</v>
      </c>
      <c r="W2504" s="2065" t="s">
        <v>9274</v>
      </c>
      <c r="X2504" s="18"/>
      <c r="Y2504" s="4"/>
      <c r="Z2504" s="4"/>
    </row>
    <row r="2505" spans="1:26" ht="27.95" hidden="1">
      <c r="A2505" s="20">
        <v>2512</v>
      </c>
      <c r="B2505" s="1063">
        <v>42282</v>
      </c>
      <c r="C2505" s="22" t="s">
        <v>9275</v>
      </c>
      <c r="D2505" s="11" t="s">
        <v>6</v>
      </c>
      <c r="E2505" s="22" t="s">
        <v>683</v>
      </c>
      <c r="F2505" s="22" t="s">
        <v>2143</v>
      </c>
      <c r="G2505" s="22" t="s">
        <v>9276</v>
      </c>
      <c r="H2505" s="22" t="s">
        <v>76</v>
      </c>
      <c r="I2505" s="22" t="s">
        <v>76</v>
      </c>
      <c r="J2505" s="22">
        <v>9665143</v>
      </c>
      <c r="K2505" s="22" t="s">
        <v>9277</v>
      </c>
      <c r="L2505" s="22"/>
      <c r="M2505" s="22">
        <v>5</v>
      </c>
      <c r="N2505" s="22">
        <v>1</v>
      </c>
      <c r="O2505" s="22">
        <v>5</v>
      </c>
      <c r="P2505" s="22">
        <v>1</v>
      </c>
      <c r="Q2505" s="22">
        <v>5</v>
      </c>
      <c r="R2505" s="1201">
        <v>468</v>
      </c>
      <c r="S2505" s="1201">
        <f t="shared" ref="S2505:S2506" si="128">R2505*O2505</f>
        <v>2340</v>
      </c>
      <c r="T2505" s="22" t="s">
        <v>9278</v>
      </c>
      <c r="U2505" s="1854" t="s">
        <v>9279</v>
      </c>
      <c r="V2505" s="22" t="s">
        <v>9279</v>
      </c>
      <c r="W2505" s="701" t="s">
        <v>9280</v>
      </c>
      <c r="X2505" s="18"/>
      <c r="Y2505" s="4"/>
      <c r="Z2505" s="4"/>
    </row>
    <row r="2506" spans="1:26" ht="14.1" hidden="1">
      <c r="A2506" s="20">
        <v>2513</v>
      </c>
      <c r="B2506" s="1063">
        <v>42283</v>
      </c>
      <c r="C2506" s="22" t="s">
        <v>9281</v>
      </c>
      <c r="D2506" s="11" t="s">
        <v>6</v>
      </c>
      <c r="E2506" s="22" t="s">
        <v>683</v>
      </c>
      <c r="F2506" s="22" t="s">
        <v>2143</v>
      </c>
      <c r="G2506" s="110" t="s">
        <v>9282</v>
      </c>
      <c r="H2506" s="22" t="s">
        <v>76</v>
      </c>
      <c r="I2506" s="22" t="s">
        <v>76</v>
      </c>
      <c r="J2506" s="26">
        <v>9665152</v>
      </c>
      <c r="K2506" s="26">
        <v>4535164051378</v>
      </c>
      <c r="L2506" s="26"/>
      <c r="M2506" s="26">
        <v>5</v>
      </c>
      <c r="N2506" s="26">
        <v>1</v>
      </c>
      <c r="O2506" s="26">
        <v>5</v>
      </c>
      <c r="P2506" s="26">
        <v>2</v>
      </c>
      <c r="Q2506" s="26">
        <v>6</v>
      </c>
      <c r="R2506" s="1209">
        <v>468</v>
      </c>
      <c r="S2506" s="1201">
        <f t="shared" si="128"/>
        <v>2340</v>
      </c>
      <c r="T2506" s="22" t="s">
        <v>9278</v>
      </c>
      <c r="U2506" s="1854" t="s">
        <v>9279</v>
      </c>
      <c r="V2506" s="22" t="s">
        <v>9279</v>
      </c>
      <c r="W2506" s="701" t="s">
        <v>9283</v>
      </c>
      <c r="X2506" s="18"/>
      <c r="Y2506" s="4"/>
      <c r="Z2506" s="4"/>
    </row>
    <row r="2507" spans="1:26" ht="27.95" hidden="1">
      <c r="A2507" s="20">
        <v>2514</v>
      </c>
      <c r="B2507" s="1063">
        <v>42284</v>
      </c>
      <c r="C2507" s="22" t="s">
        <v>9284</v>
      </c>
      <c r="D2507" s="11" t="s">
        <v>6</v>
      </c>
      <c r="E2507" s="22" t="s">
        <v>683</v>
      </c>
      <c r="F2507" s="22" t="s">
        <v>2143</v>
      </c>
      <c r="G2507" s="22" t="s">
        <v>9285</v>
      </c>
      <c r="H2507" s="237" t="s">
        <v>9286</v>
      </c>
      <c r="I2507" s="22" t="s">
        <v>76</v>
      </c>
      <c r="J2507" s="26" t="s">
        <v>9287</v>
      </c>
      <c r="K2507" s="26" t="s">
        <v>9288</v>
      </c>
      <c r="L2507" s="26"/>
      <c r="M2507" s="26">
        <v>1</v>
      </c>
      <c r="N2507" s="26">
        <v>1</v>
      </c>
      <c r="O2507" s="26">
        <v>1</v>
      </c>
      <c r="P2507" s="26">
        <v>0</v>
      </c>
      <c r="Q2507" s="26">
        <v>0</v>
      </c>
      <c r="R2507" s="1209">
        <v>11300</v>
      </c>
      <c r="S2507" s="1209">
        <v>11300</v>
      </c>
      <c r="T2507" s="22" t="s">
        <v>9278</v>
      </c>
      <c r="U2507" s="1854" t="s">
        <v>9279</v>
      </c>
      <c r="V2507" s="22" t="s">
        <v>9279</v>
      </c>
      <c r="W2507" s="649" t="s">
        <v>9289</v>
      </c>
      <c r="X2507" s="18"/>
      <c r="Y2507" s="4"/>
      <c r="Z2507" s="4"/>
    </row>
    <row r="2508" spans="1:26" ht="27.95" hidden="1">
      <c r="A2508" s="20">
        <v>2515</v>
      </c>
      <c r="B2508" s="1063">
        <v>42285</v>
      </c>
      <c r="C2508" s="22" t="s">
        <v>9290</v>
      </c>
      <c r="D2508" s="11" t="s">
        <v>6</v>
      </c>
      <c r="E2508" s="22" t="s">
        <v>683</v>
      </c>
      <c r="F2508" s="22" t="s">
        <v>2143</v>
      </c>
      <c r="G2508" s="22" t="s">
        <v>9291</v>
      </c>
      <c r="H2508" s="237" t="s">
        <v>9286</v>
      </c>
      <c r="I2508" s="22" t="s">
        <v>76</v>
      </c>
      <c r="J2508" s="26" t="s">
        <v>9292</v>
      </c>
      <c r="K2508" s="26" t="s">
        <v>9293</v>
      </c>
      <c r="L2508" s="26"/>
      <c r="M2508" s="26">
        <v>1</v>
      </c>
      <c r="N2508" s="26">
        <v>1</v>
      </c>
      <c r="O2508" s="26">
        <v>1</v>
      </c>
      <c r="P2508" s="26">
        <v>0</v>
      </c>
      <c r="Q2508" s="26">
        <v>0</v>
      </c>
      <c r="R2508" s="1209">
        <v>11300</v>
      </c>
      <c r="S2508" s="1209">
        <v>11300</v>
      </c>
      <c r="T2508" s="22" t="s">
        <v>9278</v>
      </c>
      <c r="U2508" s="1854" t="s">
        <v>9279</v>
      </c>
      <c r="V2508" s="22" t="s">
        <v>9279</v>
      </c>
      <c r="W2508" s="649" t="s">
        <v>9289</v>
      </c>
      <c r="X2508" s="18"/>
      <c r="Y2508" s="4"/>
      <c r="Z2508" s="4"/>
    </row>
    <row r="2509" spans="1:26" ht="14.1" hidden="1">
      <c r="A2509" s="20">
        <v>2516</v>
      </c>
      <c r="B2509" s="1063">
        <v>42286</v>
      </c>
      <c r="C2509" s="22" t="s">
        <v>9294</v>
      </c>
      <c r="D2509" s="11" t="s">
        <v>6</v>
      </c>
      <c r="E2509" s="22" t="s">
        <v>7956</v>
      </c>
      <c r="F2509" s="22" t="s">
        <v>2143</v>
      </c>
      <c r="G2509" s="22" t="s">
        <v>9294</v>
      </c>
      <c r="H2509" s="237" t="s">
        <v>2786</v>
      </c>
      <c r="I2509" s="26" t="s">
        <v>366</v>
      </c>
      <c r="J2509" s="26" t="s">
        <v>9295</v>
      </c>
      <c r="K2509" s="26" t="s">
        <v>9295</v>
      </c>
      <c r="L2509" s="26"/>
      <c r="M2509" s="26">
        <v>4</v>
      </c>
      <c r="N2509" s="26">
        <v>250</v>
      </c>
      <c r="O2509" s="26">
        <v>250</v>
      </c>
      <c r="P2509" s="26">
        <v>0</v>
      </c>
      <c r="Q2509" s="26">
        <v>246</v>
      </c>
      <c r="R2509" s="1209">
        <v>2</v>
      </c>
      <c r="S2509" s="1209">
        <v>500</v>
      </c>
      <c r="T2509" s="26" t="s">
        <v>5448</v>
      </c>
      <c r="U2509" s="1859" t="s">
        <v>9076</v>
      </c>
      <c r="V2509" s="26" t="s">
        <v>5990</v>
      </c>
      <c r="W2509" s="701" t="s">
        <v>9296</v>
      </c>
      <c r="X2509" s="18"/>
      <c r="Y2509" s="4"/>
      <c r="Z2509" s="4"/>
    </row>
    <row r="2510" spans="1:26" ht="14.1" hidden="1">
      <c r="A2510" s="20">
        <v>2517</v>
      </c>
      <c r="B2510" s="1063">
        <v>42287</v>
      </c>
      <c r="C2510" s="26" t="s">
        <v>1183</v>
      </c>
      <c r="D2510" s="11" t="s">
        <v>6</v>
      </c>
      <c r="E2510" s="22" t="s">
        <v>7956</v>
      </c>
      <c r="F2510" s="22" t="s">
        <v>2143</v>
      </c>
      <c r="G2510" s="26" t="s">
        <v>9297</v>
      </c>
      <c r="H2510" s="237" t="s">
        <v>9298</v>
      </c>
      <c r="I2510" s="26" t="s">
        <v>366</v>
      </c>
      <c r="J2510" s="26" t="s">
        <v>9299</v>
      </c>
      <c r="K2510" s="26" t="s">
        <v>9299</v>
      </c>
      <c r="L2510" s="26"/>
      <c r="M2510" s="26">
        <v>1</v>
      </c>
      <c r="N2510" s="26">
        <v>1</v>
      </c>
      <c r="O2510" s="26">
        <v>1</v>
      </c>
      <c r="P2510" s="26">
        <v>0</v>
      </c>
      <c r="Q2510" s="26">
        <v>0</v>
      </c>
      <c r="R2510" s="1209">
        <v>1148</v>
      </c>
      <c r="S2510" s="1209">
        <v>1148</v>
      </c>
      <c r="T2510" s="26" t="s">
        <v>5448</v>
      </c>
      <c r="U2510" s="1859" t="s">
        <v>9300</v>
      </c>
      <c r="V2510" s="26" t="s">
        <v>5990</v>
      </c>
      <c r="W2510" s="701" t="s">
        <v>9301</v>
      </c>
      <c r="X2510" s="18"/>
      <c r="Y2510" s="4"/>
      <c r="Z2510" s="4"/>
    </row>
    <row r="2511" spans="1:26" ht="14.1" hidden="1">
      <c r="A2511" s="20">
        <v>2518</v>
      </c>
      <c r="B2511" s="1063">
        <v>42288</v>
      </c>
      <c r="C2511" s="26" t="s">
        <v>9302</v>
      </c>
      <c r="D2511" s="11" t="s">
        <v>6</v>
      </c>
      <c r="E2511" s="22" t="s">
        <v>7956</v>
      </c>
      <c r="F2511" s="22" t="s">
        <v>2143</v>
      </c>
      <c r="G2511" s="26" t="s">
        <v>9303</v>
      </c>
      <c r="H2511" s="237" t="s">
        <v>9304</v>
      </c>
      <c r="I2511" s="26" t="s">
        <v>76</v>
      </c>
      <c r="J2511" s="26">
        <v>310952</v>
      </c>
      <c r="K2511" s="26">
        <v>31031</v>
      </c>
      <c r="L2511" s="26"/>
      <c r="M2511" s="26">
        <v>2</v>
      </c>
      <c r="N2511" s="26">
        <v>1</v>
      </c>
      <c r="O2511" s="26">
        <v>3</v>
      </c>
      <c r="P2511" s="26">
        <v>0</v>
      </c>
      <c r="Q2511" s="26">
        <v>0</v>
      </c>
      <c r="R2511" s="1209">
        <v>1300</v>
      </c>
      <c r="S2511" s="1209">
        <f>R2511*O2511</f>
        <v>3900</v>
      </c>
      <c r="T2511" s="26" t="s">
        <v>5448</v>
      </c>
      <c r="U2511" s="1859" t="s">
        <v>9300</v>
      </c>
      <c r="V2511" s="26" t="s">
        <v>5990</v>
      </c>
      <c r="W2511" s="701" t="s">
        <v>9305</v>
      </c>
      <c r="X2511" s="18"/>
      <c r="Y2511" s="4"/>
      <c r="Z2511" s="4"/>
    </row>
    <row r="2512" spans="1:26" ht="14.1" hidden="1">
      <c r="A2512" s="20">
        <v>2519</v>
      </c>
      <c r="B2512" s="1063">
        <v>42289</v>
      </c>
      <c r="C2512" s="26" t="s">
        <v>9306</v>
      </c>
      <c r="D2512" s="11" t="s">
        <v>6</v>
      </c>
      <c r="E2512" s="22" t="s">
        <v>7956</v>
      </c>
      <c r="F2512" s="22" t="s">
        <v>2143</v>
      </c>
      <c r="G2512" s="26" t="s">
        <v>9307</v>
      </c>
      <c r="H2512" s="237" t="s">
        <v>5763</v>
      </c>
      <c r="I2512" s="26" t="s">
        <v>8025</v>
      </c>
      <c r="J2512" s="26" t="s">
        <v>9308</v>
      </c>
      <c r="K2512" s="26" t="s">
        <v>9308</v>
      </c>
      <c r="L2512" s="26"/>
      <c r="M2512" s="26">
        <v>1</v>
      </c>
      <c r="N2512" s="26">
        <v>1</v>
      </c>
      <c r="O2512" s="26">
        <v>1</v>
      </c>
      <c r="P2512" s="26">
        <v>0</v>
      </c>
      <c r="Q2512" s="26">
        <v>0</v>
      </c>
      <c r="R2512" s="1209">
        <v>340</v>
      </c>
      <c r="S2512" s="1209">
        <v>340</v>
      </c>
      <c r="T2512" s="26" t="s">
        <v>5448</v>
      </c>
      <c r="U2512" s="1859" t="s">
        <v>9076</v>
      </c>
      <c r="V2512" s="26" t="s">
        <v>5990</v>
      </c>
      <c r="W2512" s="701" t="s">
        <v>9309</v>
      </c>
      <c r="X2512" s="18"/>
      <c r="Y2512" s="4"/>
      <c r="Z2512" s="4"/>
    </row>
    <row r="2513" spans="1:26" ht="14.1" hidden="1">
      <c r="A2513" s="20">
        <v>2520</v>
      </c>
      <c r="B2513" s="1063">
        <v>42290</v>
      </c>
      <c r="C2513" s="26" t="s">
        <v>9310</v>
      </c>
      <c r="D2513" s="11" t="s">
        <v>6</v>
      </c>
      <c r="E2513" s="22" t="s">
        <v>7956</v>
      </c>
      <c r="F2513" s="22" t="s">
        <v>2143</v>
      </c>
      <c r="G2513" s="26" t="s">
        <v>9311</v>
      </c>
      <c r="H2513" s="237" t="s">
        <v>5763</v>
      </c>
      <c r="I2513" s="26" t="s">
        <v>8025</v>
      </c>
      <c r="J2513" s="26" t="s">
        <v>9312</v>
      </c>
      <c r="K2513" s="26" t="s">
        <v>9312</v>
      </c>
      <c r="L2513" s="26"/>
      <c r="M2513" s="26">
        <v>1</v>
      </c>
      <c r="N2513" s="26">
        <v>1</v>
      </c>
      <c r="O2513" s="26">
        <v>1</v>
      </c>
      <c r="P2513" s="26">
        <v>0</v>
      </c>
      <c r="Q2513" s="26">
        <v>0</v>
      </c>
      <c r="R2513" s="1209">
        <v>360</v>
      </c>
      <c r="S2513" s="1209">
        <v>360</v>
      </c>
      <c r="T2513" s="26" t="s">
        <v>5448</v>
      </c>
      <c r="U2513" s="1859" t="s">
        <v>9076</v>
      </c>
      <c r="V2513" s="26" t="s">
        <v>5990</v>
      </c>
      <c r="W2513" s="701" t="s">
        <v>9313</v>
      </c>
      <c r="X2513" s="18"/>
      <c r="Y2513" s="4"/>
      <c r="Z2513" s="4"/>
    </row>
    <row r="2514" spans="1:26" ht="14.1" hidden="1">
      <c r="A2514" s="20">
        <v>2521</v>
      </c>
      <c r="B2514" s="1063">
        <v>42291</v>
      </c>
      <c r="C2514" s="26" t="s">
        <v>9314</v>
      </c>
      <c r="D2514" s="11" t="s">
        <v>6</v>
      </c>
      <c r="E2514" s="22" t="s">
        <v>7956</v>
      </c>
      <c r="F2514" s="22" t="s">
        <v>2143</v>
      </c>
      <c r="G2514" s="26" t="s">
        <v>9315</v>
      </c>
      <c r="H2514" s="237" t="s">
        <v>5763</v>
      </c>
      <c r="I2514" s="26" t="s">
        <v>8025</v>
      </c>
      <c r="J2514" s="26" t="s">
        <v>9316</v>
      </c>
      <c r="K2514" s="26" t="s">
        <v>9316</v>
      </c>
      <c r="L2514" s="26"/>
      <c r="M2514" s="20">
        <v>1</v>
      </c>
      <c r="N2514" s="26">
        <v>1</v>
      </c>
      <c r="O2514" s="26">
        <v>1</v>
      </c>
      <c r="P2514" s="26">
        <v>0</v>
      </c>
      <c r="Q2514" s="26">
        <v>0</v>
      </c>
      <c r="R2514" s="1209">
        <v>430</v>
      </c>
      <c r="S2514" s="1209">
        <v>430</v>
      </c>
      <c r="T2514" s="26" t="s">
        <v>5448</v>
      </c>
      <c r="U2514" s="1859" t="s">
        <v>9076</v>
      </c>
      <c r="V2514" s="26" t="s">
        <v>5990</v>
      </c>
      <c r="W2514" s="701" t="s">
        <v>9317</v>
      </c>
      <c r="X2514" s="18"/>
      <c r="Y2514" s="4"/>
      <c r="Z2514" s="4"/>
    </row>
    <row r="2515" spans="1:26" ht="14.1" hidden="1">
      <c r="A2515" s="20">
        <v>2522</v>
      </c>
      <c r="B2515" s="1063">
        <v>42292</v>
      </c>
      <c r="C2515" s="26" t="s">
        <v>9318</v>
      </c>
      <c r="D2515" s="11" t="s">
        <v>6</v>
      </c>
      <c r="E2515" s="22" t="s">
        <v>7956</v>
      </c>
      <c r="F2515" s="22" t="s">
        <v>2143</v>
      </c>
      <c r="G2515" s="26" t="s">
        <v>9319</v>
      </c>
      <c r="H2515" s="237" t="s">
        <v>5763</v>
      </c>
      <c r="I2515" s="26" t="s">
        <v>8025</v>
      </c>
      <c r="J2515" s="26" t="s">
        <v>5766</v>
      </c>
      <c r="K2515" s="26" t="s">
        <v>5766</v>
      </c>
      <c r="L2515" s="26"/>
      <c r="M2515" s="26">
        <v>1</v>
      </c>
      <c r="N2515" s="26">
        <v>1</v>
      </c>
      <c r="O2515" s="26">
        <v>1</v>
      </c>
      <c r="P2515" s="26">
        <v>0</v>
      </c>
      <c r="Q2515" s="26">
        <v>0</v>
      </c>
      <c r="R2515" s="1209">
        <v>480</v>
      </c>
      <c r="S2515" s="1209">
        <v>480</v>
      </c>
      <c r="T2515" s="26" t="s">
        <v>5448</v>
      </c>
      <c r="U2515" s="1859" t="s">
        <v>9076</v>
      </c>
      <c r="V2515" s="26" t="s">
        <v>5990</v>
      </c>
      <c r="W2515" s="2065" t="s">
        <v>5768</v>
      </c>
      <c r="X2515" s="18"/>
      <c r="Y2515" s="4"/>
      <c r="Z2515" s="4"/>
    </row>
    <row r="2516" spans="1:26" ht="14.1" hidden="1">
      <c r="A2516" s="20">
        <v>2523</v>
      </c>
      <c r="B2516" s="1063">
        <v>42293</v>
      </c>
      <c r="C2516" s="26" t="s">
        <v>9320</v>
      </c>
      <c r="D2516" s="11" t="s">
        <v>6</v>
      </c>
      <c r="E2516" s="22" t="s">
        <v>7956</v>
      </c>
      <c r="F2516" s="22" t="s">
        <v>2143</v>
      </c>
      <c r="G2516" s="26" t="s">
        <v>9321</v>
      </c>
      <c r="H2516" s="237" t="s">
        <v>5763</v>
      </c>
      <c r="I2516" s="26" t="s">
        <v>8025</v>
      </c>
      <c r="J2516" s="26" t="s">
        <v>9322</v>
      </c>
      <c r="K2516" s="26" t="s">
        <v>9322</v>
      </c>
      <c r="L2516" s="26"/>
      <c r="M2516" s="26">
        <v>1</v>
      </c>
      <c r="N2516" s="26">
        <v>1</v>
      </c>
      <c r="O2516" s="26">
        <v>1</v>
      </c>
      <c r="P2516" s="26">
        <v>0</v>
      </c>
      <c r="Q2516" s="26">
        <v>0</v>
      </c>
      <c r="R2516" s="1209">
        <v>530</v>
      </c>
      <c r="S2516" s="1209">
        <v>530</v>
      </c>
      <c r="T2516" s="26" t="s">
        <v>5448</v>
      </c>
      <c r="U2516" s="1859" t="s">
        <v>9076</v>
      </c>
      <c r="V2516" s="26" t="s">
        <v>5990</v>
      </c>
      <c r="W2516" s="2065" t="s">
        <v>9323</v>
      </c>
      <c r="X2516" s="18"/>
      <c r="Y2516" s="4"/>
      <c r="Z2516" s="4"/>
    </row>
    <row r="2517" spans="1:26" ht="14.1" hidden="1">
      <c r="A2517" s="20">
        <v>2524</v>
      </c>
      <c r="B2517" s="1063">
        <v>42294</v>
      </c>
      <c r="C2517" s="26" t="s">
        <v>480</v>
      </c>
      <c r="D2517" s="11"/>
      <c r="E2517" s="26" t="s">
        <v>5448</v>
      </c>
      <c r="F2517" s="26" t="s">
        <v>131</v>
      </c>
      <c r="G2517" s="26" t="s">
        <v>9324</v>
      </c>
      <c r="H2517" s="237" t="s">
        <v>482</v>
      </c>
      <c r="I2517" s="26" t="s">
        <v>482</v>
      </c>
      <c r="J2517" s="26">
        <v>9445364</v>
      </c>
      <c r="K2517" s="26">
        <v>9445364</v>
      </c>
      <c r="L2517" s="26"/>
      <c r="M2517" s="26">
        <v>1</v>
      </c>
      <c r="N2517" s="26">
        <v>1</v>
      </c>
      <c r="O2517" s="26">
        <v>1</v>
      </c>
      <c r="P2517" s="26">
        <v>0</v>
      </c>
      <c r="Q2517" s="26">
        <v>0</v>
      </c>
      <c r="R2517" s="1209">
        <v>598</v>
      </c>
      <c r="S2517" s="1209">
        <v>598</v>
      </c>
      <c r="T2517" s="26" t="s">
        <v>5448</v>
      </c>
      <c r="U2517" s="1871" t="s">
        <v>484</v>
      </c>
      <c r="V2517" s="26" t="s">
        <v>5990</v>
      </c>
      <c r="W2517" s="2008" t="s">
        <v>486</v>
      </c>
      <c r="X2517" s="18"/>
      <c r="Y2517" s="4"/>
      <c r="Z2517" s="4"/>
    </row>
    <row r="2518" spans="1:26" ht="14.1" hidden="1">
      <c r="A2518" s="20">
        <v>2525</v>
      </c>
      <c r="B2518" s="1063">
        <v>42295</v>
      </c>
      <c r="C2518" s="26" t="s">
        <v>487</v>
      </c>
      <c r="D2518" s="11"/>
      <c r="E2518" s="26" t="s">
        <v>5448</v>
      </c>
      <c r="F2518" s="26" t="s">
        <v>131</v>
      </c>
      <c r="G2518" s="26" t="s">
        <v>9325</v>
      </c>
      <c r="H2518" s="237" t="s">
        <v>482</v>
      </c>
      <c r="I2518" s="26" t="s">
        <v>482</v>
      </c>
      <c r="J2518" s="26">
        <v>9445589</v>
      </c>
      <c r="K2518" s="26">
        <v>9445589</v>
      </c>
      <c r="L2518" s="26"/>
      <c r="M2518" s="26">
        <v>1</v>
      </c>
      <c r="N2518" s="26">
        <v>1</v>
      </c>
      <c r="O2518" s="26">
        <v>1</v>
      </c>
      <c r="P2518" s="26">
        <v>0</v>
      </c>
      <c r="Q2518" s="26">
        <v>0</v>
      </c>
      <c r="R2518" s="1209">
        <v>272</v>
      </c>
      <c r="S2518" s="1209">
        <v>272</v>
      </c>
      <c r="T2518" s="26" t="s">
        <v>5448</v>
      </c>
      <c r="U2518" s="1871" t="s">
        <v>484</v>
      </c>
      <c r="V2518" s="26" t="s">
        <v>5990</v>
      </c>
      <c r="W2518" s="2065" t="s">
        <v>9326</v>
      </c>
      <c r="X2518" s="18"/>
      <c r="Y2518" s="4"/>
      <c r="Z2518" s="4"/>
    </row>
    <row r="2519" spans="1:26" ht="24.95" hidden="1">
      <c r="A2519" s="20">
        <v>2526</v>
      </c>
      <c r="B2519" s="1063">
        <v>42296</v>
      </c>
      <c r="C2519" s="26" t="s">
        <v>9327</v>
      </c>
      <c r="D2519" s="11"/>
      <c r="E2519" s="26" t="s">
        <v>5448</v>
      </c>
      <c r="F2519" s="26" t="s">
        <v>131</v>
      </c>
      <c r="G2519" s="26" t="s">
        <v>9328</v>
      </c>
      <c r="H2519" s="237" t="s">
        <v>482</v>
      </c>
      <c r="I2519" s="26" t="s">
        <v>482</v>
      </c>
      <c r="J2519" s="26">
        <v>9445598</v>
      </c>
      <c r="K2519" s="26">
        <v>9445598</v>
      </c>
      <c r="L2519" s="26"/>
      <c r="M2519" s="26">
        <v>1</v>
      </c>
      <c r="N2519" s="26">
        <v>1</v>
      </c>
      <c r="O2519" s="26">
        <v>1</v>
      </c>
      <c r="P2519" s="26">
        <v>0</v>
      </c>
      <c r="Q2519" s="26">
        <v>0</v>
      </c>
      <c r="R2519" s="1209">
        <v>268</v>
      </c>
      <c r="S2519" s="1209">
        <v>268</v>
      </c>
      <c r="T2519" s="26" t="s">
        <v>5448</v>
      </c>
      <c r="U2519" s="1871" t="s">
        <v>484</v>
      </c>
      <c r="V2519" s="26" t="s">
        <v>5990</v>
      </c>
      <c r="W2519" s="2008" t="s">
        <v>9329</v>
      </c>
      <c r="X2519" s="18"/>
      <c r="Y2519" s="4"/>
      <c r="Z2519" s="4"/>
    </row>
    <row r="2520" spans="1:26" ht="24.95" hidden="1">
      <c r="A2520" s="20">
        <v>2527</v>
      </c>
      <c r="B2520" s="1063">
        <v>42297</v>
      </c>
      <c r="C2520" s="26" t="s">
        <v>9330</v>
      </c>
      <c r="D2520" s="11"/>
      <c r="E2520" s="26" t="s">
        <v>62</v>
      </c>
      <c r="F2520" s="26" t="s">
        <v>784</v>
      </c>
      <c r="G2520" s="26" t="s">
        <v>9331</v>
      </c>
      <c r="H2520" s="237" t="s">
        <v>154</v>
      </c>
      <c r="I2520" s="26" t="s">
        <v>574</v>
      </c>
      <c r="J2520" s="26" t="s">
        <v>9332</v>
      </c>
      <c r="K2520" s="26" t="s">
        <v>9333</v>
      </c>
      <c r="L2520" s="26" t="s">
        <v>9334</v>
      </c>
      <c r="M2520" s="26">
        <v>1</v>
      </c>
      <c r="N2520" s="26">
        <v>1</v>
      </c>
      <c r="O2520" s="26">
        <v>1</v>
      </c>
      <c r="P2520" s="26">
        <v>0</v>
      </c>
      <c r="Q2520" s="26">
        <v>0</v>
      </c>
      <c r="R2520" s="1209">
        <v>4905</v>
      </c>
      <c r="S2520" s="1209">
        <v>4905</v>
      </c>
      <c r="T2520" s="22" t="s">
        <v>1009</v>
      </c>
      <c r="U2520" s="1859" t="s">
        <v>448</v>
      </c>
      <c r="V2520" s="26" t="s">
        <v>931</v>
      </c>
      <c r="W2520" s="2084" t="s">
        <v>9335</v>
      </c>
      <c r="X2520" s="18" t="s">
        <v>9336</v>
      </c>
      <c r="Y2520" s="4"/>
      <c r="Z2520" s="4"/>
    </row>
    <row r="2521" spans="1:26" ht="14.1" hidden="1">
      <c r="A2521" s="20">
        <v>2528</v>
      </c>
      <c r="B2521" s="1063">
        <v>42298</v>
      </c>
      <c r="C2521" s="26" t="s">
        <v>9337</v>
      </c>
      <c r="D2521" s="11"/>
      <c r="E2521" s="26" t="s">
        <v>7956</v>
      </c>
      <c r="F2521" s="26" t="s">
        <v>131</v>
      </c>
      <c r="G2521" s="26" t="s">
        <v>9338</v>
      </c>
      <c r="H2521" s="237" t="s">
        <v>6337</v>
      </c>
      <c r="I2521" s="26" t="s">
        <v>574</v>
      </c>
      <c r="J2521" s="26" t="s">
        <v>9339</v>
      </c>
      <c r="K2521" s="26">
        <v>66036011210420</v>
      </c>
      <c r="L2521" s="26"/>
      <c r="M2521" s="26">
        <v>8</v>
      </c>
      <c r="N2521" s="26">
        <v>1</v>
      </c>
      <c r="O2521" s="26">
        <v>10</v>
      </c>
      <c r="P2521" s="26">
        <v>0</v>
      </c>
      <c r="Q2521" s="26">
        <v>2</v>
      </c>
      <c r="R2521" s="1209">
        <v>678</v>
      </c>
      <c r="S2521" s="1209">
        <f t="shared" ref="S2521:S2525" si="129">R2521*O2521</f>
        <v>6780</v>
      </c>
      <c r="T2521" s="26" t="s">
        <v>5448</v>
      </c>
      <c r="U2521" s="1859" t="s">
        <v>138</v>
      </c>
      <c r="V2521" s="26" t="s">
        <v>5990</v>
      </c>
      <c r="W2521" s="701" t="s">
        <v>9340</v>
      </c>
      <c r="X2521" s="18"/>
      <c r="Y2521" s="4"/>
      <c r="Z2521" s="4"/>
    </row>
    <row r="2522" spans="1:26" ht="14.1" hidden="1">
      <c r="A2522" s="20">
        <v>2529</v>
      </c>
      <c r="B2522" s="1063">
        <v>42299</v>
      </c>
      <c r="C2522" s="26" t="s">
        <v>9341</v>
      </c>
      <c r="D2522" s="11"/>
      <c r="E2522" s="26" t="s">
        <v>7956</v>
      </c>
      <c r="F2522" s="26" t="s">
        <v>131</v>
      </c>
      <c r="G2522" s="26" t="s">
        <v>9342</v>
      </c>
      <c r="H2522" s="237" t="s">
        <v>2944</v>
      </c>
      <c r="I2522" s="26" t="s">
        <v>574</v>
      </c>
      <c r="J2522" s="26" t="s">
        <v>9343</v>
      </c>
      <c r="K2522" s="26" t="s">
        <v>9344</v>
      </c>
      <c r="L2522" s="26"/>
      <c r="M2522" s="26">
        <v>8</v>
      </c>
      <c r="N2522" s="26">
        <v>1</v>
      </c>
      <c r="O2522" s="26">
        <v>10</v>
      </c>
      <c r="P2522" s="26">
        <v>0</v>
      </c>
      <c r="Q2522" s="26">
        <v>2</v>
      </c>
      <c r="R2522" s="1209">
        <v>305</v>
      </c>
      <c r="S2522" s="1209">
        <f t="shared" si="129"/>
        <v>3050</v>
      </c>
      <c r="T2522" s="26" t="s">
        <v>5448</v>
      </c>
      <c r="U2522" s="1859" t="s">
        <v>138</v>
      </c>
      <c r="V2522" s="26" t="s">
        <v>5990</v>
      </c>
      <c r="W2522" s="2065" t="s">
        <v>9345</v>
      </c>
      <c r="X2522" s="18"/>
      <c r="Y2522" s="4"/>
      <c r="Z2522" s="4"/>
    </row>
    <row r="2523" spans="1:26" ht="62.45" hidden="1">
      <c r="A2523" s="20">
        <v>2530</v>
      </c>
      <c r="B2523" s="1063">
        <v>42300</v>
      </c>
      <c r="C2523" s="26" t="s">
        <v>2594</v>
      </c>
      <c r="D2523" s="11"/>
      <c r="E2523" s="26" t="s">
        <v>2722</v>
      </c>
      <c r="F2523" s="26" t="s">
        <v>2332</v>
      </c>
      <c r="G2523" s="26" t="s">
        <v>2612</v>
      </c>
      <c r="H2523" s="26" t="s">
        <v>382</v>
      </c>
      <c r="I2523" s="26" t="s">
        <v>366</v>
      </c>
      <c r="J2523" s="26" t="s">
        <v>2612</v>
      </c>
      <c r="K2523" s="26"/>
      <c r="L2523" s="26"/>
      <c r="M2523" s="26">
        <v>54</v>
      </c>
      <c r="N2523" s="26">
        <v>10</v>
      </c>
      <c r="O2523" s="26">
        <v>50</v>
      </c>
      <c r="P2523" s="26">
        <v>7</v>
      </c>
      <c r="Q2523" s="26">
        <f t="shared" ref="Q2523:Q2525" si="130">O2523+P2523-M2523</f>
        <v>3</v>
      </c>
      <c r="R2523" s="1227">
        <v>144.1</v>
      </c>
      <c r="S2523" s="1228">
        <f t="shared" si="129"/>
        <v>7205</v>
      </c>
      <c r="T2523" s="175" t="s">
        <v>929</v>
      </c>
      <c r="U2523" s="1871" t="s">
        <v>301</v>
      </c>
      <c r="V2523" s="26" t="s">
        <v>931</v>
      </c>
      <c r="W2523" s="2008" t="s">
        <v>5530</v>
      </c>
      <c r="X2523" s="18"/>
      <c r="Y2523" s="4"/>
      <c r="Z2523" s="4"/>
    </row>
    <row r="2524" spans="1:26" ht="37.5" hidden="1">
      <c r="A2524" s="20">
        <v>2531</v>
      </c>
      <c r="B2524" s="1063">
        <v>42301</v>
      </c>
      <c r="C2524" s="26" t="s">
        <v>2594</v>
      </c>
      <c r="D2524" s="11"/>
      <c r="E2524" s="26" t="s">
        <v>2722</v>
      </c>
      <c r="F2524" s="26" t="s">
        <v>2332</v>
      </c>
      <c r="G2524" s="26" t="s">
        <v>2602</v>
      </c>
      <c r="H2524" s="26" t="s">
        <v>366</v>
      </c>
      <c r="I2524" s="26" t="s">
        <v>366</v>
      </c>
      <c r="J2524" s="26" t="s">
        <v>2602</v>
      </c>
      <c r="K2524" s="26"/>
      <c r="L2524" s="26"/>
      <c r="M2524" s="26">
        <v>42</v>
      </c>
      <c r="N2524" s="26">
        <v>10</v>
      </c>
      <c r="O2524" s="26">
        <v>40</v>
      </c>
      <c r="P2524" s="26">
        <v>6</v>
      </c>
      <c r="Q2524" s="26">
        <f t="shared" si="130"/>
        <v>4</v>
      </c>
      <c r="R2524" s="1227">
        <v>36.200000000000003</v>
      </c>
      <c r="S2524" s="1228">
        <f t="shared" si="129"/>
        <v>1448</v>
      </c>
      <c r="T2524" s="175" t="s">
        <v>929</v>
      </c>
      <c r="U2524" s="1871" t="s">
        <v>301</v>
      </c>
      <c r="V2524" s="26" t="s">
        <v>931</v>
      </c>
      <c r="W2524" s="2042" t="s">
        <v>5534</v>
      </c>
      <c r="X2524" s="18"/>
      <c r="Y2524" s="4"/>
      <c r="Z2524" s="4"/>
    </row>
    <row r="2525" spans="1:26" ht="37.5" hidden="1">
      <c r="A2525" s="20">
        <v>2532</v>
      </c>
      <c r="B2525" s="1063">
        <v>42302</v>
      </c>
      <c r="C2525" s="26" t="s">
        <v>4722</v>
      </c>
      <c r="D2525" s="11"/>
      <c r="E2525" s="26" t="s">
        <v>2722</v>
      </c>
      <c r="F2525" s="26" t="s">
        <v>1148</v>
      </c>
      <c r="G2525" s="26" t="s">
        <v>2737</v>
      </c>
      <c r="H2525" s="26" t="s">
        <v>366</v>
      </c>
      <c r="I2525" s="26" t="s">
        <v>366</v>
      </c>
      <c r="J2525" s="26" t="s">
        <v>2737</v>
      </c>
      <c r="K2525" s="26"/>
      <c r="L2525" s="26"/>
      <c r="M2525" s="26">
        <v>42</v>
      </c>
      <c r="N2525" s="26">
        <v>1</v>
      </c>
      <c r="O2525" s="26">
        <v>7</v>
      </c>
      <c r="P2525" s="26">
        <v>35</v>
      </c>
      <c r="Q2525" s="26">
        <f t="shared" si="130"/>
        <v>0</v>
      </c>
      <c r="R2525" s="1227">
        <v>203</v>
      </c>
      <c r="S2525" s="1228">
        <f t="shared" si="129"/>
        <v>1421</v>
      </c>
      <c r="T2525" s="175" t="s">
        <v>929</v>
      </c>
      <c r="U2525" s="1871" t="s">
        <v>301</v>
      </c>
      <c r="V2525" s="26" t="s">
        <v>931</v>
      </c>
      <c r="W2525" s="2016" t="s">
        <v>4723</v>
      </c>
      <c r="X2525" s="18"/>
      <c r="Y2525" s="4"/>
      <c r="Z2525" s="4"/>
    </row>
    <row r="2526" spans="1:26" ht="14.1" hidden="1">
      <c r="A2526" s="20">
        <v>2533</v>
      </c>
      <c r="B2526" s="1063">
        <v>42303</v>
      </c>
      <c r="C2526" s="26" t="s">
        <v>9346</v>
      </c>
      <c r="D2526" s="11" t="s">
        <v>6</v>
      </c>
      <c r="E2526" s="26" t="s">
        <v>5448</v>
      </c>
      <c r="F2526" s="26" t="s">
        <v>2143</v>
      </c>
      <c r="G2526" s="26" t="s">
        <v>9347</v>
      </c>
      <c r="H2526" s="237" t="s">
        <v>9348</v>
      </c>
      <c r="I2526" s="26" t="s">
        <v>84</v>
      </c>
      <c r="J2526" s="26">
        <v>38805313</v>
      </c>
      <c r="K2526" s="26">
        <v>38805313</v>
      </c>
      <c r="L2526" s="26"/>
      <c r="M2526" s="26">
        <v>1</v>
      </c>
      <c r="N2526" s="26">
        <v>1</v>
      </c>
      <c r="O2526" s="26">
        <v>1</v>
      </c>
      <c r="P2526" s="26">
        <v>0</v>
      </c>
      <c r="Q2526" s="26">
        <v>0</v>
      </c>
      <c r="R2526" s="1209">
        <v>289</v>
      </c>
      <c r="S2526" s="1209">
        <v>289</v>
      </c>
      <c r="T2526" s="26" t="s">
        <v>5448</v>
      </c>
      <c r="U2526" s="1859" t="s">
        <v>9349</v>
      </c>
      <c r="V2526" s="26" t="s">
        <v>3140</v>
      </c>
      <c r="W2526" s="701" t="s">
        <v>9350</v>
      </c>
      <c r="X2526" s="18"/>
      <c r="Y2526" s="4"/>
      <c r="Z2526" s="4"/>
    </row>
    <row r="2527" spans="1:26" ht="14.1" hidden="1">
      <c r="A2527" s="20">
        <v>2534</v>
      </c>
      <c r="B2527" s="1063">
        <v>42304</v>
      </c>
      <c r="C2527" s="946" t="s">
        <v>9351</v>
      </c>
      <c r="D2527" s="11" t="s">
        <v>6</v>
      </c>
      <c r="E2527" s="26" t="s">
        <v>5448</v>
      </c>
      <c r="F2527" s="26" t="s">
        <v>2143</v>
      </c>
      <c r="G2527" s="26" t="s">
        <v>9352</v>
      </c>
      <c r="H2527" s="237" t="s">
        <v>9353</v>
      </c>
      <c r="I2527" s="26" t="s">
        <v>84</v>
      </c>
      <c r="J2527" s="26">
        <v>7510755</v>
      </c>
      <c r="K2527" s="26" t="s">
        <v>1</v>
      </c>
      <c r="L2527" s="26"/>
      <c r="M2527" s="26">
        <v>1</v>
      </c>
      <c r="N2527" s="26">
        <v>1</v>
      </c>
      <c r="O2527" s="26">
        <v>1</v>
      </c>
      <c r="P2527" s="26">
        <v>0</v>
      </c>
      <c r="Q2527" s="26">
        <v>0</v>
      </c>
      <c r="R2527" s="1209">
        <v>8165</v>
      </c>
      <c r="S2527" s="1209">
        <v>8165</v>
      </c>
      <c r="T2527" s="26" t="s">
        <v>5448</v>
      </c>
      <c r="U2527" s="1859" t="s">
        <v>9349</v>
      </c>
      <c r="V2527" s="26" t="s">
        <v>3140</v>
      </c>
      <c r="W2527" s="701" t="s">
        <v>9354</v>
      </c>
      <c r="X2527" s="18"/>
      <c r="Y2527" s="4"/>
      <c r="Z2527" s="4"/>
    </row>
    <row r="2528" spans="1:26" ht="14.1" hidden="1">
      <c r="A2528" s="20">
        <v>2535</v>
      </c>
      <c r="B2528" s="1063">
        <v>42305</v>
      </c>
      <c r="C2528" s="26" t="s">
        <v>9355</v>
      </c>
      <c r="D2528" s="11" t="s">
        <v>6</v>
      </c>
      <c r="E2528" s="26" t="s">
        <v>5448</v>
      </c>
      <c r="F2528" s="26" t="s">
        <v>2143</v>
      </c>
      <c r="G2528" s="26" t="s">
        <v>9356</v>
      </c>
      <c r="H2528" s="237" t="s">
        <v>5943</v>
      </c>
      <c r="I2528" s="26" t="s">
        <v>84</v>
      </c>
      <c r="J2528" s="26">
        <v>89233846</v>
      </c>
      <c r="K2528" s="26" t="s">
        <v>1</v>
      </c>
      <c r="L2528" s="26"/>
      <c r="M2528" s="26">
        <v>2</v>
      </c>
      <c r="N2528" s="26">
        <v>1</v>
      </c>
      <c r="O2528" s="26">
        <v>2</v>
      </c>
      <c r="P2528" s="26">
        <v>0</v>
      </c>
      <c r="Q2528" s="26">
        <v>0</v>
      </c>
      <c r="R2528" s="1209">
        <v>5990</v>
      </c>
      <c r="S2528" s="1209">
        <f>R2528*O2528</f>
        <v>11980</v>
      </c>
      <c r="T2528" s="26" t="s">
        <v>5448</v>
      </c>
      <c r="U2528" s="1859" t="s">
        <v>9349</v>
      </c>
      <c r="V2528" s="26" t="s">
        <v>3140</v>
      </c>
      <c r="W2528" s="701" t="s">
        <v>9357</v>
      </c>
      <c r="X2528" s="18"/>
      <c r="Y2528" s="4"/>
      <c r="Z2528" s="4"/>
    </row>
    <row r="2529" spans="1:26" ht="14.1" hidden="1">
      <c r="A2529" s="20">
        <v>2536</v>
      </c>
      <c r="B2529" s="1063">
        <v>42306</v>
      </c>
      <c r="C2529" s="26" t="s">
        <v>9355</v>
      </c>
      <c r="D2529" s="11" t="s">
        <v>6</v>
      </c>
      <c r="E2529" s="26" t="s">
        <v>5448</v>
      </c>
      <c r="F2529" s="26" t="s">
        <v>2143</v>
      </c>
      <c r="G2529" s="26" t="s">
        <v>9358</v>
      </c>
      <c r="H2529" s="237" t="s">
        <v>5943</v>
      </c>
      <c r="I2529" s="26" t="s">
        <v>84</v>
      </c>
      <c r="J2529" s="26">
        <v>89233855</v>
      </c>
      <c r="K2529" s="26" t="s">
        <v>1</v>
      </c>
      <c r="L2529" s="26"/>
      <c r="M2529" s="26">
        <v>1</v>
      </c>
      <c r="N2529" s="26">
        <v>1</v>
      </c>
      <c r="O2529" s="26">
        <v>1</v>
      </c>
      <c r="P2529" s="26">
        <v>0</v>
      </c>
      <c r="Q2529" s="26">
        <v>0</v>
      </c>
      <c r="R2529" s="1209">
        <v>4990</v>
      </c>
      <c r="S2529" s="1209">
        <v>4990</v>
      </c>
      <c r="T2529" s="26" t="s">
        <v>5448</v>
      </c>
      <c r="U2529" s="1859" t="s">
        <v>9349</v>
      </c>
      <c r="V2529" s="26" t="s">
        <v>3140</v>
      </c>
      <c r="W2529" s="2065" t="s">
        <v>9359</v>
      </c>
      <c r="X2529" s="18"/>
      <c r="Y2529" s="4"/>
      <c r="Z2529" s="4"/>
    </row>
    <row r="2530" spans="1:26" ht="14.1" hidden="1">
      <c r="A2530" s="20">
        <v>2537</v>
      </c>
      <c r="B2530" s="1063">
        <v>42307</v>
      </c>
      <c r="C2530" s="26" t="s">
        <v>9360</v>
      </c>
      <c r="D2530" s="11" t="s">
        <v>6</v>
      </c>
      <c r="E2530" s="26" t="s">
        <v>5448</v>
      </c>
      <c r="F2530" s="26" t="s">
        <v>2143</v>
      </c>
      <c r="G2530" s="26" t="s">
        <v>9361</v>
      </c>
      <c r="H2530" s="237" t="s">
        <v>5943</v>
      </c>
      <c r="I2530" s="26" t="s">
        <v>84</v>
      </c>
      <c r="J2530" s="26">
        <v>52898606</v>
      </c>
      <c r="K2530" s="26" t="s">
        <v>1</v>
      </c>
      <c r="L2530" s="26"/>
      <c r="M2530" s="26">
        <v>1</v>
      </c>
      <c r="N2530" s="26">
        <v>1</v>
      </c>
      <c r="O2530" s="26">
        <v>1</v>
      </c>
      <c r="P2530" s="26">
        <v>0</v>
      </c>
      <c r="Q2530" s="26">
        <v>0</v>
      </c>
      <c r="R2530" s="1209">
        <v>3595</v>
      </c>
      <c r="S2530" s="1209">
        <v>3595</v>
      </c>
      <c r="T2530" s="26" t="s">
        <v>5448</v>
      </c>
      <c r="U2530" s="1859" t="s">
        <v>9349</v>
      </c>
      <c r="V2530" s="26" t="s">
        <v>3140</v>
      </c>
      <c r="W2530" s="701" t="s">
        <v>9362</v>
      </c>
      <c r="X2530" s="18"/>
      <c r="Y2530" s="4"/>
      <c r="Z2530" s="4"/>
    </row>
    <row r="2531" spans="1:26" ht="14.1" hidden="1">
      <c r="A2531" s="20">
        <v>2538</v>
      </c>
      <c r="B2531" s="1063">
        <v>42308</v>
      </c>
      <c r="C2531" s="26" t="s">
        <v>9363</v>
      </c>
      <c r="D2531" s="11" t="s">
        <v>6</v>
      </c>
      <c r="E2531" s="26" t="s">
        <v>5448</v>
      </c>
      <c r="F2531" s="26" t="s">
        <v>2143</v>
      </c>
      <c r="G2531" s="26" t="s">
        <v>9364</v>
      </c>
      <c r="H2531" s="237" t="s">
        <v>7673</v>
      </c>
      <c r="I2531" s="26" t="s">
        <v>84</v>
      </c>
      <c r="J2531" s="26">
        <v>41463134</v>
      </c>
      <c r="K2531" s="26" t="s">
        <v>1</v>
      </c>
      <c r="L2531" s="26"/>
      <c r="M2531" s="26">
        <v>10</v>
      </c>
      <c r="N2531" s="26">
        <v>1</v>
      </c>
      <c r="O2531" s="26">
        <v>10</v>
      </c>
      <c r="P2531" s="26">
        <v>0</v>
      </c>
      <c r="Q2531" s="26">
        <v>0</v>
      </c>
      <c r="R2531" s="1209">
        <v>399</v>
      </c>
      <c r="S2531" s="1209">
        <f>R2531*O2531</f>
        <v>3990</v>
      </c>
      <c r="T2531" s="26" t="s">
        <v>5448</v>
      </c>
      <c r="U2531" s="1859" t="s">
        <v>9349</v>
      </c>
      <c r="V2531" s="26" t="s">
        <v>3140</v>
      </c>
      <c r="W2531" s="701" t="s">
        <v>9365</v>
      </c>
      <c r="X2531" s="18"/>
      <c r="Y2531" s="4"/>
      <c r="Z2531" s="4"/>
    </row>
    <row r="2532" spans="1:26" ht="16.5" hidden="1">
      <c r="A2532" s="20">
        <v>2539</v>
      </c>
      <c r="B2532" s="1063">
        <v>42309</v>
      </c>
      <c r="C2532" s="950" t="s">
        <v>9366</v>
      </c>
      <c r="D2532" s="11"/>
      <c r="E2532" s="26" t="s">
        <v>683</v>
      </c>
      <c r="F2532" s="926" t="s">
        <v>73</v>
      </c>
      <c r="G2532" s="186" t="s">
        <v>9367</v>
      </c>
      <c r="H2532" s="186" t="s">
        <v>366</v>
      </c>
      <c r="I2532" s="186" t="s">
        <v>366</v>
      </c>
      <c r="J2532" s="186" t="s">
        <v>9368</v>
      </c>
      <c r="K2532" s="186" t="s">
        <v>9368</v>
      </c>
      <c r="L2532" s="186">
        <v>1</v>
      </c>
      <c r="M2532" s="186">
        <v>4</v>
      </c>
      <c r="N2532" s="186">
        <v>1</v>
      </c>
      <c r="O2532" s="186">
        <v>4</v>
      </c>
      <c r="P2532" s="186">
        <v>0</v>
      </c>
      <c r="Q2532" s="186">
        <v>4</v>
      </c>
      <c r="R2532" s="1275">
        <v>1410</v>
      </c>
      <c r="S2532" s="1275">
        <v>5640</v>
      </c>
      <c r="T2532" s="186" t="s">
        <v>4220</v>
      </c>
      <c r="U2532" s="1912" t="s">
        <v>684</v>
      </c>
      <c r="V2532" s="186" t="s">
        <v>689</v>
      </c>
      <c r="W2532" s="2092" t="s">
        <v>9369</v>
      </c>
      <c r="X2532" s="18"/>
      <c r="Y2532" s="4"/>
      <c r="Z2532" s="4"/>
    </row>
    <row r="2533" spans="1:26" ht="16.5" hidden="1">
      <c r="A2533" s="20">
        <v>2540</v>
      </c>
      <c r="B2533" s="1063">
        <v>42310</v>
      </c>
      <c r="C2533" s="26" t="s">
        <v>9370</v>
      </c>
      <c r="D2533" s="11"/>
      <c r="E2533" s="26" t="s">
        <v>7498</v>
      </c>
      <c r="F2533" s="26" t="s">
        <v>7243</v>
      </c>
      <c r="G2533" s="26" t="s">
        <v>9371</v>
      </c>
      <c r="H2533" s="186" t="s">
        <v>366</v>
      </c>
      <c r="I2533" s="186" t="s">
        <v>366</v>
      </c>
      <c r="J2533" s="26" t="s">
        <v>4132</v>
      </c>
      <c r="K2533" s="26" t="s">
        <v>1</v>
      </c>
      <c r="L2533" s="26"/>
      <c r="M2533" s="26">
        <v>24</v>
      </c>
      <c r="N2533" s="26">
        <v>24</v>
      </c>
      <c r="O2533" s="26">
        <v>50</v>
      </c>
      <c r="P2533" s="26">
        <v>0</v>
      </c>
      <c r="Q2533" s="26">
        <v>26</v>
      </c>
      <c r="R2533" s="1209">
        <v>18</v>
      </c>
      <c r="S2533" s="1209">
        <v>900</v>
      </c>
      <c r="T2533" s="26" t="s">
        <v>422</v>
      </c>
      <c r="U2533" s="1859" t="s">
        <v>422</v>
      </c>
      <c r="V2533" s="26" t="s">
        <v>104</v>
      </c>
      <c r="W2533" s="2065" t="s">
        <v>9372</v>
      </c>
      <c r="X2533" s="18"/>
      <c r="Y2533" s="4"/>
      <c r="Z2533" s="4"/>
    </row>
    <row r="2534" spans="1:26" ht="16.5" hidden="1">
      <c r="A2534" s="20">
        <v>2541</v>
      </c>
      <c r="B2534" s="1063">
        <v>42311</v>
      </c>
      <c r="C2534" s="26" t="s">
        <v>9373</v>
      </c>
      <c r="D2534" s="11"/>
      <c r="E2534" s="26" t="s">
        <v>7498</v>
      </c>
      <c r="F2534" s="26" t="s">
        <v>7243</v>
      </c>
      <c r="G2534" s="26" t="s">
        <v>9374</v>
      </c>
      <c r="H2534" s="186" t="s">
        <v>366</v>
      </c>
      <c r="I2534" s="186" t="s">
        <v>366</v>
      </c>
      <c r="J2534" s="26" t="s">
        <v>5537</v>
      </c>
      <c r="K2534" s="26" t="s">
        <v>1</v>
      </c>
      <c r="L2534" s="26"/>
      <c r="M2534" s="26">
        <v>8</v>
      </c>
      <c r="N2534" s="26">
        <v>8</v>
      </c>
      <c r="O2534" s="26">
        <v>8</v>
      </c>
      <c r="P2534" s="26">
        <v>0</v>
      </c>
      <c r="Q2534" s="26">
        <v>8</v>
      </c>
      <c r="R2534" s="1209">
        <v>260</v>
      </c>
      <c r="S2534" s="1209">
        <v>2080</v>
      </c>
      <c r="T2534" s="26" t="s">
        <v>422</v>
      </c>
      <c r="U2534" s="1859" t="s">
        <v>422</v>
      </c>
      <c r="V2534" s="26" t="s">
        <v>104</v>
      </c>
      <c r="W2534" s="2065" t="s">
        <v>9375</v>
      </c>
      <c r="X2534" s="18"/>
      <c r="Y2534" s="4"/>
      <c r="Z2534" s="4"/>
    </row>
    <row r="2535" spans="1:26" ht="16.5" hidden="1">
      <c r="A2535" s="20">
        <v>2542</v>
      </c>
      <c r="B2535" s="1063">
        <v>42312</v>
      </c>
      <c r="C2535" s="26" t="s">
        <v>9373</v>
      </c>
      <c r="D2535" s="11"/>
      <c r="E2535" s="26" t="s">
        <v>7498</v>
      </c>
      <c r="F2535" s="26" t="s">
        <v>7243</v>
      </c>
      <c r="G2535" s="26" t="s">
        <v>9376</v>
      </c>
      <c r="H2535" s="186" t="s">
        <v>366</v>
      </c>
      <c r="I2535" s="186" t="s">
        <v>366</v>
      </c>
      <c r="J2535" s="26" t="s">
        <v>370</v>
      </c>
      <c r="K2535" s="26" t="s">
        <v>1</v>
      </c>
      <c r="L2535" s="26"/>
      <c r="M2535" s="26">
        <v>2</v>
      </c>
      <c r="N2535" s="26">
        <v>2</v>
      </c>
      <c r="O2535" s="26">
        <v>4</v>
      </c>
      <c r="P2535" s="26">
        <v>0</v>
      </c>
      <c r="Q2535" s="26">
        <v>4</v>
      </c>
      <c r="R2535" s="1209">
        <v>260</v>
      </c>
      <c r="S2535" s="1209">
        <v>1040</v>
      </c>
      <c r="T2535" s="26" t="s">
        <v>422</v>
      </c>
      <c r="U2535" s="1859" t="s">
        <v>422</v>
      </c>
      <c r="V2535" s="26" t="s">
        <v>104</v>
      </c>
      <c r="W2535" s="2065" t="s">
        <v>9372</v>
      </c>
      <c r="X2535" s="18"/>
      <c r="Y2535" s="4"/>
      <c r="Z2535" s="4"/>
    </row>
    <row r="2536" spans="1:26" ht="16.5" hidden="1">
      <c r="A2536" s="20">
        <v>2543</v>
      </c>
      <c r="B2536" s="1063">
        <v>42313</v>
      </c>
      <c r="C2536" s="26" t="s">
        <v>9373</v>
      </c>
      <c r="D2536" s="11"/>
      <c r="E2536" s="26" t="s">
        <v>7498</v>
      </c>
      <c r="F2536" s="26" t="s">
        <v>7243</v>
      </c>
      <c r="G2536" s="26" t="s">
        <v>9377</v>
      </c>
      <c r="H2536" s="186" t="s">
        <v>366</v>
      </c>
      <c r="I2536" s="186" t="s">
        <v>366</v>
      </c>
      <c r="J2536" s="26" t="s">
        <v>9378</v>
      </c>
      <c r="K2536" s="26" t="s">
        <v>1</v>
      </c>
      <c r="L2536" s="26"/>
      <c r="M2536" s="26">
        <v>2</v>
      </c>
      <c r="N2536" s="26">
        <v>2</v>
      </c>
      <c r="O2536" s="26">
        <v>4</v>
      </c>
      <c r="P2536" s="26">
        <v>0</v>
      </c>
      <c r="Q2536" s="26">
        <v>4</v>
      </c>
      <c r="R2536" s="1209">
        <v>260</v>
      </c>
      <c r="S2536" s="1209">
        <v>1040</v>
      </c>
      <c r="T2536" s="26" t="s">
        <v>422</v>
      </c>
      <c r="U2536" s="1859" t="s">
        <v>422</v>
      </c>
      <c r="V2536" s="26" t="s">
        <v>104</v>
      </c>
      <c r="W2536" s="2065" t="s">
        <v>9379</v>
      </c>
      <c r="X2536" s="18"/>
      <c r="Y2536" s="4"/>
      <c r="Z2536" s="4"/>
    </row>
    <row r="2537" spans="1:26" ht="16.5" hidden="1">
      <c r="A2537" s="20">
        <v>2544</v>
      </c>
      <c r="B2537" s="1063">
        <v>42314</v>
      </c>
      <c r="C2537" s="26" t="s">
        <v>9373</v>
      </c>
      <c r="D2537" s="11"/>
      <c r="E2537" s="26" t="s">
        <v>7498</v>
      </c>
      <c r="F2537" s="26" t="s">
        <v>7243</v>
      </c>
      <c r="G2537" s="26" t="s">
        <v>9380</v>
      </c>
      <c r="H2537" s="237" t="s">
        <v>686</v>
      </c>
      <c r="I2537" s="186" t="s">
        <v>366</v>
      </c>
      <c r="J2537" s="26" t="s">
        <v>9381</v>
      </c>
      <c r="K2537" s="26" t="s">
        <v>1</v>
      </c>
      <c r="L2537" s="26" t="s">
        <v>9382</v>
      </c>
      <c r="M2537" s="26">
        <v>8</v>
      </c>
      <c r="N2537" s="26">
        <v>16</v>
      </c>
      <c r="O2537" s="26" t="s">
        <v>9383</v>
      </c>
      <c r="P2537" s="26">
        <v>0</v>
      </c>
      <c r="Q2537" s="26">
        <v>84</v>
      </c>
      <c r="R2537" s="1209">
        <v>1200</v>
      </c>
      <c r="S2537" s="1209">
        <v>1200</v>
      </c>
      <c r="T2537" s="26" t="s">
        <v>422</v>
      </c>
      <c r="U2537" s="1859" t="s">
        <v>422</v>
      </c>
      <c r="V2537" s="26" t="s">
        <v>104</v>
      </c>
      <c r="W2537" s="2065" t="s">
        <v>9384</v>
      </c>
      <c r="X2537" s="18"/>
      <c r="Y2537" s="4"/>
      <c r="Z2537" s="4"/>
    </row>
    <row r="2538" spans="1:26" ht="16.5" hidden="1">
      <c r="A2538" s="20">
        <v>2545</v>
      </c>
      <c r="B2538" s="1063">
        <v>42315</v>
      </c>
      <c r="C2538" s="26" t="s">
        <v>9373</v>
      </c>
      <c r="D2538" s="11"/>
      <c r="E2538" s="26" t="s">
        <v>7498</v>
      </c>
      <c r="F2538" s="26" t="s">
        <v>7243</v>
      </c>
      <c r="G2538" s="26" t="s">
        <v>9385</v>
      </c>
      <c r="H2538" s="237" t="s">
        <v>686</v>
      </c>
      <c r="I2538" s="186" t="s">
        <v>366</v>
      </c>
      <c r="J2538" s="672" t="s">
        <v>9386</v>
      </c>
      <c r="K2538" s="26" t="s">
        <v>1</v>
      </c>
      <c r="L2538" s="26"/>
      <c r="M2538" s="26">
        <v>4</v>
      </c>
      <c r="N2538" s="26">
        <v>8</v>
      </c>
      <c r="O2538" s="26">
        <v>8</v>
      </c>
      <c r="P2538" s="26">
        <v>0</v>
      </c>
      <c r="Q2538" s="26">
        <v>4</v>
      </c>
      <c r="R2538" s="1209">
        <v>32</v>
      </c>
      <c r="S2538" s="1209">
        <v>256</v>
      </c>
      <c r="T2538" s="26" t="s">
        <v>422</v>
      </c>
      <c r="U2538" s="1859" t="s">
        <v>422</v>
      </c>
      <c r="V2538" s="26" t="s">
        <v>104</v>
      </c>
      <c r="W2538" s="2065" t="s">
        <v>9387</v>
      </c>
      <c r="X2538" s="18"/>
      <c r="Y2538" s="4"/>
      <c r="Z2538" s="4"/>
    </row>
    <row r="2539" spans="1:26" ht="24.95" hidden="1">
      <c r="A2539" s="20">
        <v>2546</v>
      </c>
      <c r="B2539" s="1063">
        <v>42316</v>
      </c>
      <c r="C2539" s="26" t="s">
        <v>9388</v>
      </c>
      <c r="D2539" s="11"/>
      <c r="E2539" s="26" t="s">
        <v>5448</v>
      </c>
      <c r="F2539" s="26" t="s">
        <v>8767</v>
      </c>
      <c r="G2539" s="26" t="s">
        <v>5478</v>
      </c>
      <c r="H2539" s="237" t="s">
        <v>5496</v>
      </c>
      <c r="I2539" s="26" t="s">
        <v>574</v>
      </c>
      <c r="J2539" s="26" t="s">
        <v>9389</v>
      </c>
      <c r="K2539" s="26" t="s">
        <v>9390</v>
      </c>
      <c r="L2539" s="26"/>
      <c r="M2539" s="26">
        <v>1</v>
      </c>
      <c r="N2539" s="26">
        <v>1</v>
      </c>
      <c r="O2539" s="26">
        <v>1</v>
      </c>
      <c r="P2539" s="26">
        <v>0</v>
      </c>
      <c r="Q2539" s="26">
        <v>0</v>
      </c>
      <c r="R2539" s="1209">
        <v>1363</v>
      </c>
      <c r="S2539" s="1209">
        <v>1363</v>
      </c>
      <c r="T2539" s="26" t="s">
        <v>9391</v>
      </c>
      <c r="U2539" s="1859" t="s">
        <v>9392</v>
      </c>
      <c r="V2539" s="26" t="s">
        <v>3140</v>
      </c>
      <c r="W2539" s="2065" t="s">
        <v>9393</v>
      </c>
      <c r="X2539" s="18"/>
      <c r="Y2539" s="4"/>
      <c r="Z2539" s="4"/>
    </row>
    <row r="2540" spans="1:26" ht="14.1" hidden="1">
      <c r="A2540" s="20">
        <v>2547</v>
      </c>
      <c r="B2540" s="1063">
        <v>42317</v>
      </c>
      <c r="C2540" s="26" t="s">
        <v>9394</v>
      </c>
      <c r="D2540" s="11"/>
      <c r="E2540" s="26" t="s">
        <v>5448</v>
      </c>
      <c r="F2540" s="26" t="s">
        <v>8767</v>
      </c>
      <c r="G2540" s="26" t="s">
        <v>9395</v>
      </c>
      <c r="H2540" s="237" t="s">
        <v>9396</v>
      </c>
      <c r="I2540" s="26" t="s">
        <v>574</v>
      </c>
      <c r="J2540" s="189" t="s">
        <v>9397</v>
      </c>
      <c r="K2540" s="26" t="s">
        <v>9398</v>
      </c>
      <c r="L2540" s="26"/>
      <c r="M2540" s="26">
        <v>1</v>
      </c>
      <c r="N2540" s="26">
        <v>1</v>
      </c>
      <c r="O2540" s="26">
        <v>1</v>
      </c>
      <c r="P2540" s="26">
        <v>0</v>
      </c>
      <c r="Q2540" s="26">
        <v>0</v>
      </c>
      <c r="R2540" s="1209">
        <v>1795</v>
      </c>
      <c r="S2540" s="1209">
        <v>1795</v>
      </c>
      <c r="T2540" s="26" t="s">
        <v>9391</v>
      </c>
      <c r="U2540" s="1859" t="s">
        <v>9392</v>
      </c>
      <c r="V2540" s="26" t="s">
        <v>3140</v>
      </c>
      <c r="W2540" s="2065" t="s">
        <v>9399</v>
      </c>
      <c r="X2540" s="18"/>
      <c r="Y2540" s="4"/>
      <c r="Z2540" s="4"/>
    </row>
    <row r="2541" spans="1:26" ht="24.95" hidden="1">
      <c r="A2541" s="20">
        <v>2548</v>
      </c>
      <c r="B2541" s="1063">
        <v>42318</v>
      </c>
      <c r="C2541" s="26" t="s">
        <v>9400</v>
      </c>
      <c r="D2541" s="11"/>
      <c r="E2541" s="26" t="s">
        <v>5448</v>
      </c>
      <c r="F2541" s="26" t="s">
        <v>8767</v>
      </c>
      <c r="G2541" s="26" t="s">
        <v>9401</v>
      </c>
      <c r="H2541" s="237" t="s">
        <v>8911</v>
      </c>
      <c r="I2541" s="26" t="s">
        <v>574</v>
      </c>
      <c r="J2541" s="26" t="s">
        <v>9402</v>
      </c>
      <c r="K2541" s="26" t="s">
        <v>9403</v>
      </c>
      <c r="L2541" s="26"/>
      <c r="M2541" s="26">
        <v>2</v>
      </c>
      <c r="N2541" s="26">
        <v>2</v>
      </c>
      <c r="O2541" s="26">
        <v>2</v>
      </c>
      <c r="P2541" s="26">
        <v>0</v>
      </c>
      <c r="Q2541" s="26">
        <v>0</v>
      </c>
      <c r="R2541" s="1209">
        <v>535</v>
      </c>
      <c r="S2541" s="1209">
        <v>535</v>
      </c>
      <c r="T2541" s="26" t="s">
        <v>9391</v>
      </c>
      <c r="U2541" s="1859" t="s">
        <v>9404</v>
      </c>
      <c r="V2541" s="26" t="s">
        <v>3140</v>
      </c>
      <c r="W2541" s="2065" t="s">
        <v>9405</v>
      </c>
      <c r="X2541" s="18"/>
      <c r="Y2541" s="4"/>
      <c r="Z2541" s="4"/>
    </row>
    <row r="2542" spans="1:26" ht="14.1" hidden="1">
      <c r="A2542" s="20">
        <v>2549</v>
      </c>
      <c r="B2542" s="1063">
        <v>42319</v>
      </c>
      <c r="C2542" s="26" t="s">
        <v>9406</v>
      </c>
      <c r="D2542" s="11"/>
      <c r="E2542" s="26" t="s">
        <v>5448</v>
      </c>
      <c r="F2542" s="26" t="s">
        <v>131</v>
      </c>
      <c r="G2542" s="26"/>
      <c r="H2542" s="237"/>
      <c r="I2542" s="26" t="s">
        <v>113</v>
      </c>
      <c r="J2542" s="26">
        <v>67387784</v>
      </c>
      <c r="K2542" s="26"/>
      <c r="L2542" s="26"/>
      <c r="M2542" s="26">
        <v>5</v>
      </c>
      <c r="N2542" s="26">
        <v>1</v>
      </c>
      <c r="O2542" s="26">
        <v>5</v>
      </c>
      <c r="P2542" s="26">
        <v>0</v>
      </c>
      <c r="Q2542" s="26">
        <v>5</v>
      </c>
      <c r="R2542" s="1209">
        <v>899</v>
      </c>
      <c r="S2542" s="1209">
        <f t="shared" ref="S2542:S2543" si="131">R2542*O2542</f>
        <v>4495</v>
      </c>
      <c r="T2542" s="26" t="s">
        <v>9407</v>
      </c>
      <c r="U2542" s="1859" t="s">
        <v>1</v>
      </c>
      <c r="V2542" s="26" t="s">
        <v>3140</v>
      </c>
      <c r="W2542" s="2065" t="s">
        <v>9408</v>
      </c>
      <c r="X2542" s="18"/>
      <c r="Y2542" s="4"/>
      <c r="Z2542" s="4"/>
    </row>
    <row r="2543" spans="1:26" ht="14.1" hidden="1">
      <c r="A2543" s="20">
        <v>2550</v>
      </c>
      <c r="B2543" s="1063">
        <v>42320</v>
      </c>
      <c r="C2543" s="26" t="s">
        <v>9409</v>
      </c>
      <c r="D2543" s="11"/>
      <c r="E2543" s="26" t="s">
        <v>5448</v>
      </c>
      <c r="F2543" s="26" t="s">
        <v>131</v>
      </c>
      <c r="G2543" s="26" t="s">
        <v>9410</v>
      </c>
      <c r="H2543" s="237" t="s">
        <v>7518</v>
      </c>
      <c r="I2543" s="26" t="s">
        <v>113</v>
      </c>
      <c r="J2543" s="26">
        <v>20046854</v>
      </c>
      <c r="K2543" s="26" t="s">
        <v>9411</v>
      </c>
      <c r="L2543" s="26"/>
      <c r="M2543" s="26">
        <v>3</v>
      </c>
      <c r="N2543" s="26">
        <v>1</v>
      </c>
      <c r="O2543" s="26">
        <v>2</v>
      </c>
      <c r="P2543" s="26">
        <v>2</v>
      </c>
      <c r="Q2543" s="26">
        <v>1</v>
      </c>
      <c r="R2543" s="1209">
        <v>2390</v>
      </c>
      <c r="S2543" s="1209">
        <f t="shared" si="131"/>
        <v>4780</v>
      </c>
      <c r="T2543" s="26" t="s">
        <v>5448</v>
      </c>
      <c r="U2543" s="1859" t="s">
        <v>1</v>
      </c>
      <c r="V2543" s="26" t="s">
        <v>3140</v>
      </c>
      <c r="W2543" s="2074" t="s">
        <v>9412</v>
      </c>
      <c r="X2543" s="18"/>
      <c r="Y2543" s="4"/>
      <c r="Z2543" s="4"/>
    </row>
    <row r="2544" spans="1:26" ht="27.95" hidden="1">
      <c r="A2544" s="20">
        <v>2551</v>
      </c>
      <c r="B2544" s="1063">
        <v>42321</v>
      </c>
      <c r="C2544" s="26" t="s">
        <v>797</v>
      </c>
      <c r="D2544" s="8" t="s">
        <v>6</v>
      </c>
      <c r="E2544" s="22" t="s">
        <v>2722</v>
      </c>
      <c r="F2544" s="22" t="s">
        <v>313</v>
      </c>
      <c r="G2544" s="22" t="s">
        <v>798</v>
      </c>
      <c r="H2544" s="22" t="s">
        <v>799</v>
      </c>
      <c r="I2544" s="22" t="s">
        <v>322</v>
      </c>
      <c r="J2544" s="22" t="s">
        <v>800</v>
      </c>
      <c r="K2544" s="22" t="s">
        <v>1</v>
      </c>
      <c r="L2544" s="22" t="s">
        <v>1</v>
      </c>
      <c r="M2544" s="22">
        <v>3</v>
      </c>
      <c r="N2544" s="22">
        <v>1</v>
      </c>
      <c r="O2544" s="22">
        <v>3</v>
      </c>
      <c r="P2544" s="22">
        <v>0</v>
      </c>
      <c r="Q2544" s="22">
        <v>0</v>
      </c>
      <c r="R2544" s="1201">
        <v>10900</v>
      </c>
      <c r="S2544" s="1201">
        <f>R2544*3</f>
        <v>32700</v>
      </c>
      <c r="T2544" s="22" t="s">
        <v>1957</v>
      </c>
      <c r="U2544" s="1854" t="s">
        <v>9413</v>
      </c>
      <c r="V2544" s="22" t="s">
        <v>9414</v>
      </c>
      <c r="W2544" s="2006" t="s">
        <v>802</v>
      </c>
      <c r="X2544" s="18"/>
      <c r="Y2544" s="4"/>
      <c r="Z2544" s="4"/>
    </row>
    <row r="2545" spans="1:26" ht="14.1" hidden="1">
      <c r="A2545" s="20">
        <v>2552</v>
      </c>
      <c r="B2545" s="1063">
        <v>42322</v>
      </c>
      <c r="C2545" s="26" t="s">
        <v>9415</v>
      </c>
      <c r="D2545" s="11"/>
      <c r="E2545" s="26" t="s">
        <v>5448</v>
      </c>
      <c r="F2545" s="26" t="s">
        <v>131</v>
      </c>
      <c r="G2545" s="26" t="s">
        <v>9416</v>
      </c>
      <c r="H2545" s="237" t="s">
        <v>9417</v>
      </c>
      <c r="I2545" s="26" t="s">
        <v>113</v>
      </c>
      <c r="J2545" s="26">
        <v>68548365</v>
      </c>
      <c r="K2545" s="26" t="s">
        <v>9418</v>
      </c>
      <c r="L2545" s="26"/>
      <c r="M2545" s="26">
        <v>10</v>
      </c>
      <c r="N2545" s="26">
        <v>1</v>
      </c>
      <c r="O2545" s="26">
        <v>10</v>
      </c>
      <c r="P2545" s="26">
        <v>2</v>
      </c>
      <c r="Q2545" s="26">
        <v>0</v>
      </c>
      <c r="R2545" s="1209">
        <v>3490</v>
      </c>
      <c r="S2545" s="1209">
        <f t="shared" ref="S2545:S2546" si="132">R2545*M2545</f>
        <v>34900</v>
      </c>
      <c r="T2545" s="26" t="s">
        <v>5448</v>
      </c>
      <c r="U2545" s="1859" t="s">
        <v>1</v>
      </c>
      <c r="V2545" s="26" t="s">
        <v>3140</v>
      </c>
      <c r="W2545" s="2065" t="s">
        <v>9419</v>
      </c>
      <c r="X2545" s="18"/>
      <c r="Y2545" s="4"/>
      <c r="Z2545" s="4"/>
    </row>
    <row r="2546" spans="1:26" ht="24.95" hidden="1">
      <c r="A2546" s="20">
        <v>2553</v>
      </c>
      <c r="B2546" s="1063">
        <v>42323</v>
      </c>
      <c r="C2546" s="26" t="s">
        <v>9420</v>
      </c>
      <c r="D2546" s="11"/>
      <c r="E2546" s="26" t="s">
        <v>5448</v>
      </c>
      <c r="F2546" s="26" t="s">
        <v>131</v>
      </c>
      <c r="G2546" s="26" t="s">
        <v>9421</v>
      </c>
      <c r="H2546" s="237" t="s">
        <v>166</v>
      </c>
      <c r="I2546" s="26" t="s">
        <v>113</v>
      </c>
      <c r="J2546" s="26">
        <v>10419552</v>
      </c>
      <c r="K2546" s="26" t="s">
        <v>9422</v>
      </c>
      <c r="L2546" s="26"/>
      <c r="M2546" s="26">
        <v>2</v>
      </c>
      <c r="N2546" s="26">
        <v>1</v>
      </c>
      <c r="O2546" s="26">
        <v>2</v>
      </c>
      <c r="P2546" s="26">
        <v>0</v>
      </c>
      <c r="Q2546" s="26">
        <v>0</v>
      </c>
      <c r="R2546" s="1209">
        <v>2290</v>
      </c>
      <c r="S2546" s="1209">
        <f t="shared" si="132"/>
        <v>4580</v>
      </c>
      <c r="T2546" s="26" t="s">
        <v>5448</v>
      </c>
      <c r="U2546" s="1859" t="s">
        <v>1</v>
      </c>
      <c r="V2546" s="26" t="s">
        <v>150</v>
      </c>
      <c r="W2546" s="2065" t="s">
        <v>9423</v>
      </c>
      <c r="X2546" s="18"/>
      <c r="Y2546" s="4"/>
      <c r="Z2546" s="4"/>
    </row>
    <row r="2547" spans="1:26" ht="14.1" hidden="1">
      <c r="A2547" s="20">
        <v>2554</v>
      </c>
      <c r="B2547" s="1063">
        <v>42324</v>
      </c>
      <c r="C2547" s="26" t="s">
        <v>9424</v>
      </c>
      <c r="D2547" s="11" t="s">
        <v>6</v>
      </c>
      <c r="E2547" s="26" t="s">
        <v>2722</v>
      </c>
      <c r="F2547" s="26" t="s">
        <v>1569</v>
      </c>
      <c r="G2547" s="26" t="s">
        <v>9425</v>
      </c>
      <c r="H2547" s="26" t="s">
        <v>1884</v>
      </c>
      <c r="I2547" s="26" t="s">
        <v>1884</v>
      </c>
      <c r="J2547" s="26" t="s">
        <v>9426</v>
      </c>
      <c r="K2547" s="26" t="s">
        <v>9426</v>
      </c>
      <c r="L2547" s="26" t="s">
        <v>1</v>
      </c>
      <c r="M2547" s="26">
        <v>3</v>
      </c>
      <c r="N2547" s="26">
        <v>1</v>
      </c>
      <c r="O2547" s="26">
        <v>3</v>
      </c>
      <c r="P2547" s="26">
        <v>0</v>
      </c>
      <c r="Q2547" s="26">
        <v>0</v>
      </c>
      <c r="R2547" s="1209">
        <v>30000</v>
      </c>
      <c r="S2547" s="1209">
        <v>90000</v>
      </c>
      <c r="T2547" s="26" t="s">
        <v>8074</v>
      </c>
      <c r="U2547" s="1871" t="s">
        <v>1886</v>
      </c>
      <c r="V2547" s="26" t="s">
        <v>104</v>
      </c>
      <c r="W2547" s="2015"/>
      <c r="X2547" s="18"/>
      <c r="Y2547" s="4"/>
      <c r="Z2547" s="4"/>
    </row>
    <row r="2548" spans="1:26" ht="14.1" hidden="1">
      <c r="A2548" s="20">
        <v>2555</v>
      </c>
      <c r="B2548" s="1063">
        <v>42325</v>
      </c>
      <c r="C2548" s="26" t="s">
        <v>9427</v>
      </c>
      <c r="D2548" s="11" t="s">
        <v>6</v>
      </c>
      <c r="E2548" s="26" t="s">
        <v>7956</v>
      </c>
      <c r="F2548" s="26" t="s">
        <v>2143</v>
      </c>
      <c r="G2548" s="26" t="s">
        <v>9428</v>
      </c>
      <c r="H2548" s="237" t="s">
        <v>9429</v>
      </c>
      <c r="I2548" s="26" t="s">
        <v>113</v>
      </c>
      <c r="J2548" s="26" t="s">
        <v>9430</v>
      </c>
      <c r="K2548" s="26" t="s">
        <v>9430</v>
      </c>
      <c r="L2548" s="26"/>
      <c r="M2548" s="26">
        <v>3</v>
      </c>
      <c r="N2548" s="26">
        <v>1</v>
      </c>
      <c r="O2548" s="26">
        <v>3</v>
      </c>
      <c r="P2548" s="26">
        <v>0</v>
      </c>
      <c r="Q2548" s="26">
        <v>0</v>
      </c>
      <c r="R2548" s="1209">
        <v>710</v>
      </c>
      <c r="S2548" s="1209">
        <f>R2548*O2548</f>
        <v>2130</v>
      </c>
      <c r="T2548" s="26" t="s">
        <v>5448</v>
      </c>
      <c r="U2548" s="1859" t="s">
        <v>138</v>
      </c>
      <c r="V2548" s="26" t="s">
        <v>104</v>
      </c>
      <c r="W2548" s="701" t="s">
        <v>9431</v>
      </c>
      <c r="X2548" s="18"/>
      <c r="Y2548" s="4"/>
      <c r="Z2548" s="4"/>
    </row>
    <row r="2549" spans="1:26" ht="14.1" hidden="1">
      <c r="A2549" s="20">
        <v>2556</v>
      </c>
      <c r="B2549" s="1063">
        <v>42326</v>
      </c>
      <c r="C2549" s="26" t="s">
        <v>797</v>
      </c>
      <c r="D2549" s="11"/>
      <c r="E2549" s="22" t="s">
        <v>5448</v>
      </c>
      <c r="F2549" s="22" t="s">
        <v>404</v>
      </c>
      <c r="G2549" s="22" t="s">
        <v>798</v>
      </c>
      <c r="H2549" s="22" t="s">
        <v>799</v>
      </c>
      <c r="I2549" s="22" t="s">
        <v>322</v>
      </c>
      <c r="J2549" s="22" t="s">
        <v>800</v>
      </c>
      <c r="K2549" s="22" t="s">
        <v>1</v>
      </c>
      <c r="L2549" s="22" t="s">
        <v>1</v>
      </c>
      <c r="M2549" s="22">
        <v>1</v>
      </c>
      <c r="N2549" s="22">
        <v>1</v>
      </c>
      <c r="O2549" s="22">
        <v>1</v>
      </c>
      <c r="P2549" s="22">
        <v>0</v>
      </c>
      <c r="Q2549" s="22">
        <v>0</v>
      </c>
      <c r="R2549" s="1201">
        <v>10900</v>
      </c>
      <c r="S2549" s="1201">
        <f>R2549*3</f>
        <v>32700</v>
      </c>
      <c r="T2549" s="22" t="s">
        <v>5448</v>
      </c>
      <c r="U2549" s="1854" t="s">
        <v>9413</v>
      </c>
      <c r="V2549" s="22" t="s">
        <v>801</v>
      </c>
      <c r="W2549" s="2006" t="s">
        <v>802</v>
      </c>
      <c r="X2549" s="18"/>
      <c r="Y2549" s="4"/>
      <c r="Z2549" s="4"/>
    </row>
    <row r="2550" spans="1:26" ht="42" hidden="1">
      <c r="A2550" s="20">
        <v>2557</v>
      </c>
      <c r="B2550" s="1063">
        <v>42327</v>
      </c>
      <c r="C2550" s="22" t="s">
        <v>9432</v>
      </c>
      <c r="D2550" s="11"/>
      <c r="E2550" s="22" t="s">
        <v>5448</v>
      </c>
      <c r="F2550" s="22" t="s">
        <v>404</v>
      </c>
      <c r="G2550" s="22" t="s">
        <v>100</v>
      </c>
      <c r="H2550" s="22" t="s">
        <v>101</v>
      </c>
      <c r="I2550" s="22" t="s">
        <v>102</v>
      </c>
      <c r="J2550" s="22" t="s">
        <v>103</v>
      </c>
      <c r="K2550" s="22"/>
      <c r="L2550" s="22"/>
      <c r="M2550" s="22">
        <v>50</v>
      </c>
      <c r="N2550" s="22">
        <v>200</v>
      </c>
      <c r="O2550" s="22">
        <v>200</v>
      </c>
      <c r="P2550" s="22">
        <v>0</v>
      </c>
      <c r="Q2550" s="22">
        <v>150</v>
      </c>
      <c r="R2550" s="1201">
        <v>3469</v>
      </c>
      <c r="S2550" s="1201">
        <v>3469</v>
      </c>
      <c r="T2550" s="22" t="s">
        <v>5448</v>
      </c>
      <c r="U2550" s="1854" t="s">
        <v>9413</v>
      </c>
      <c r="V2550" s="22" t="s">
        <v>801</v>
      </c>
      <c r="W2550" s="2006" t="s">
        <v>105</v>
      </c>
      <c r="X2550" s="18"/>
      <c r="Y2550" s="4"/>
      <c r="Z2550" s="4"/>
    </row>
    <row r="2551" spans="1:26" ht="14.1" hidden="1">
      <c r="A2551" s="20">
        <v>2558</v>
      </c>
      <c r="B2551" s="1063">
        <v>42328</v>
      </c>
      <c r="C2551" s="26" t="s">
        <v>9433</v>
      </c>
      <c r="D2551" s="11" t="s">
        <v>6</v>
      </c>
      <c r="E2551" s="22" t="s">
        <v>5448</v>
      </c>
      <c r="F2551" s="26" t="s">
        <v>2143</v>
      </c>
      <c r="G2551" s="26" t="s">
        <v>9434</v>
      </c>
      <c r="H2551" s="237" t="s">
        <v>84</v>
      </c>
      <c r="I2551" s="26" t="s">
        <v>84</v>
      </c>
      <c r="J2551" s="26">
        <v>52253426</v>
      </c>
      <c r="K2551" s="26" t="s">
        <v>9435</v>
      </c>
      <c r="L2551" s="26"/>
      <c r="M2551" s="26">
        <v>6</v>
      </c>
      <c r="N2551" s="26">
        <v>1</v>
      </c>
      <c r="O2551" s="26">
        <v>6</v>
      </c>
      <c r="P2551" s="26">
        <v>0</v>
      </c>
      <c r="Q2551" s="26">
        <v>0</v>
      </c>
      <c r="R2551" s="1209">
        <v>419</v>
      </c>
      <c r="S2551" s="1209">
        <f>R2551*O2551</f>
        <v>2514</v>
      </c>
      <c r="T2551" s="26" t="s">
        <v>5448</v>
      </c>
      <c r="U2551" s="1859" t="s">
        <v>9349</v>
      </c>
      <c r="V2551" s="26" t="s">
        <v>801</v>
      </c>
      <c r="W2551" s="649" t="s">
        <v>9436</v>
      </c>
      <c r="X2551" s="18"/>
      <c r="Y2551" s="4"/>
      <c r="Z2551" s="4"/>
    </row>
    <row r="2552" spans="1:26" ht="14.1" hidden="1">
      <c r="A2552" s="20">
        <v>2559</v>
      </c>
      <c r="B2552" s="1063">
        <v>42329</v>
      </c>
      <c r="C2552" s="26" t="s">
        <v>9437</v>
      </c>
      <c r="D2552" s="11" t="s">
        <v>6</v>
      </c>
      <c r="E2552" s="22" t="s">
        <v>5448</v>
      </c>
      <c r="F2552" s="26" t="s">
        <v>2143</v>
      </c>
      <c r="G2552" s="26" t="s">
        <v>9438</v>
      </c>
      <c r="H2552" s="237" t="s">
        <v>7673</v>
      </c>
      <c r="I2552" s="26" t="s">
        <v>84</v>
      </c>
      <c r="J2552" s="26">
        <v>5526071</v>
      </c>
      <c r="K2552" s="26" t="s">
        <v>9439</v>
      </c>
      <c r="L2552" s="26"/>
      <c r="M2552" s="26">
        <v>1</v>
      </c>
      <c r="N2552" s="26">
        <v>1</v>
      </c>
      <c r="O2552" s="26">
        <v>1</v>
      </c>
      <c r="P2552" s="26">
        <v>0</v>
      </c>
      <c r="Q2552" s="26">
        <v>0</v>
      </c>
      <c r="R2552" s="1209">
        <v>519</v>
      </c>
      <c r="S2552" s="1209">
        <v>519</v>
      </c>
      <c r="T2552" s="26" t="s">
        <v>5448</v>
      </c>
      <c r="U2552" s="1859" t="s">
        <v>9349</v>
      </c>
      <c r="V2552" s="26" t="s">
        <v>801</v>
      </c>
      <c r="W2552" s="701" t="s">
        <v>9440</v>
      </c>
      <c r="X2552" s="18"/>
      <c r="Y2552" s="4"/>
      <c r="Z2552" s="4"/>
    </row>
    <row r="2553" spans="1:26" ht="24.95" hidden="1">
      <c r="A2553" s="20">
        <v>2560</v>
      </c>
      <c r="B2553" s="1063">
        <v>42330</v>
      </c>
      <c r="C2553" s="26" t="s">
        <v>9441</v>
      </c>
      <c r="D2553" s="11" t="s">
        <v>6</v>
      </c>
      <c r="E2553" s="26" t="s">
        <v>2722</v>
      </c>
      <c r="F2553" s="26" t="s">
        <v>2332</v>
      </c>
      <c r="G2553" s="26" t="s">
        <v>9442</v>
      </c>
      <c r="H2553" s="26" t="s">
        <v>9443</v>
      </c>
      <c r="I2553" s="26" t="s">
        <v>84</v>
      </c>
      <c r="J2553" s="26">
        <v>7319751</v>
      </c>
      <c r="K2553" s="26" t="s">
        <v>9444</v>
      </c>
      <c r="L2553" s="26"/>
      <c r="M2553" s="26">
        <v>1</v>
      </c>
      <c r="N2553" s="26">
        <v>1</v>
      </c>
      <c r="O2553" s="26">
        <v>1</v>
      </c>
      <c r="P2553" s="26">
        <v>0</v>
      </c>
      <c r="Q2553" s="26">
        <f t="shared" ref="Q2553:Q2554" si="133">O2553+P2553-M2553</f>
        <v>0</v>
      </c>
      <c r="R2553" s="1227">
        <v>4790</v>
      </c>
      <c r="S2553" s="1228">
        <f t="shared" ref="S2553:S2554" si="134">R2553*O2553</f>
        <v>4790</v>
      </c>
      <c r="T2553" s="189"/>
      <c r="U2553" s="1871"/>
      <c r="V2553" s="673" t="s">
        <v>9445</v>
      </c>
      <c r="W2553" s="2042" t="s">
        <v>9446</v>
      </c>
      <c r="X2553" s="18"/>
      <c r="Y2553" s="4"/>
      <c r="Z2553" s="4"/>
    </row>
    <row r="2554" spans="1:26" ht="37.5" hidden="1">
      <c r="A2554" s="20">
        <v>2561</v>
      </c>
      <c r="B2554" s="1063">
        <v>42331</v>
      </c>
      <c r="C2554" s="26" t="s">
        <v>9447</v>
      </c>
      <c r="D2554" s="11" t="s">
        <v>1881</v>
      </c>
      <c r="E2554" s="26" t="s">
        <v>2722</v>
      </c>
      <c r="F2554" s="26" t="s">
        <v>2332</v>
      </c>
      <c r="G2554" s="26" t="s">
        <v>9448</v>
      </c>
      <c r="H2554" s="26" t="s">
        <v>9449</v>
      </c>
      <c r="I2554" s="26" t="s">
        <v>366</v>
      </c>
      <c r="J2554" s="189">
        <v>4984798000557</v>
      </c>
      <c r="K2554" s="26" t="s">
        <v>9450</v>
      </c>
      <c r="L2554" s="26"/>
      <c r="M2554" s="26">
        <v>1</v>
      </c>
      <c r="N2554" s="26">
        <v>1</v>
      </c>
      <c r="O2554" s="26">
        <v>1</v>
      </c>
      <c r="P2554" s="26">
        <v>0</v>
      </c>
      <c r="Q2554" s="26">
        <f t="shared" si="133"/>
        <v>0</v>
      </c>
      <c r="R2554" s="1227">
        <v>1277</v>
      </c>
      <c r="S2554" s="1228">
        <f t="shared" si="134"/>
        <v>1277</v>
      </c>
      <c r="T2554" s="673"/>
      <c r="U2554" s="1871"/>
      <c r="V2554" s="673" t="s">
        <v>9445</v>
      </c>
      <c r="W2554" s="2042" t="s">
        <v>9451</v>
      </c>
      <c r="X2554" s="18" t="s">
        <v>9452</v>
      </c>
      <c r="Y2554" s="4"/>
      <c r="Z2554" s="4"/>
    </row>
    <row r="2555" spans="1:26" ht="24.95" hidden="1">
      <c r="A2555" s="20">
        <v>2562</v>
      </c>
      <c r="B2555" s="1063">
        <v>42332</v>
      </c>
      <c r="C2555" s="26" t="s">
        <v>9453</v>
      </c>
      <c r="D2555" s="278" t="s">
        <v>6</v>
      </c>
      <c r="E2555" s="26" t="s">
        <v>5448</v>
      </c>
      <c r="F2555" s="26" t="s">
        <v>9454</v>
      </c>
      <c r="G2555" s="26" t="s">
        <v>9455</v>
      </c>
      <c r="H2555" s="237" t="s">
        <v>9456</v>
      </c>
      <c r="I2555" s="26" t="s">
        <v>84</v>
      </c>
      <c r="J2555" s="26">
        <v>37066041</v>
      </c>
      <c r="K2555" s="26" t="s">
        <v>9457</v>
      </c>
      <c r="L2555" s="26"/>
      <c r="M2555" s="26">
        <v>1</v>
      </c>
      <c r="N2555" s="26">
        <v>1</v>
      </c>
      <c r="O2555" s="26">
        <v>1</v>
      </c>
      <c r="P2555" s="26">
        <v>0</v>
      </c>
      <c r="Q2555" s="205">
        <v>0</v>
      </c>
      <c r="R2555" s="1209">
        <v>2090</v>
      </c>
      <c r="S2555" s="1209">
        <v>2090</v>
      </c>
      <c r="T2555" s="26" t="s">
        <v>5448</v>
      </c>
      <c r="U2555" s="1859" t="s">
        <v>9458</v>
      </c>
      <c r="V2555" s="26" t="s">
        <v>9445</v>
      </c>
      <c r="W2555" s="2074" t="s">
        <v>9459</v>
      </c>
      <c r="X2555" s="18"/>
      <c r="Y2555" s="4"/>
      <c r="Z2555" s="4"/>
    </row>
    <row r="2556" spans="1:26" ht="24.95" hidden="1">
      <c r="A2556" s="20">
        <v>2563</v>
      </c>
      <c r="B2556" s="1063">
        <v>42333</v>
      </c>
      <c r="C2556" s="26" t="s">
        <v>9460</v>
      </c>
      <c r="D2556" s="278" t="s">
        <v>6</v>
      </c>
      <c r="E2556" s="26" t="s">
        <v>5448</v>
      </c>
      <c r="F2556" s="26" t="s">
        <v>9454</v>
      </c>
      <c r="G2556" s="26" t="s">
        <v>9461</v>
      </c>
      <c r="H2556" s="237" t="s">
        <v>9456</v>
      </c>
      <c r="I2556" s="26" t="s">
        <v>84</v>
      </c>
      <c r="J2556" s="26">
        <v>37066066</v>
      </c>
      <c r="K2556" s="26" t="s">
        <v>9462</v>
      </c>
      <c r="L2556" s="26"/>
      <c r="M2556" s="26">
        <v>1</v>
      </c>
      <c r="N2556" s="26">
        <v>1</v>
      </c>
      <c r="O2556" s="26">
        <v>1</v>
      </c>
      <c r="P2556" s="26">
        <v>0</v>
      </c>
      <c r="Q2556" s="26">
        <v>0</v>
      </c>
      <c r="R2556" s="1209">
        <v>1990</v>
      </c>
      <c r="S2556" s="1209">
        <v>1990</v>
      </c>
      <c r="T2556" s="26" t="s">
        <v>5448</v>
      </c>
      <c r="U2556" s="1859" t="s">
        <v>9458</v>
      </c>
      <c r="V2556" s="26" t="s">
        <v>9445</v>
      </c>
      <c r="W2556" s="2093" t="s">
        <v>9463</v>
      </c>
      <c r="X2556" s="18"/>
      <c r="Y2556" s="4"/>
      <c r="Z2556" s="4"/>
    </row>
    <row r="2557" spans="1:26" ht="15.95" hidden="1">
      <c r="A2557" s="20">
        <v>2564</v>
      </c>
      <c r="B2557" s="1063">
        <v>42334</v>
      </c>
      <c r="C2557" s="26" t="s">
        <v>9464</v>
      </c>
      <c r="D2557" s="11" t="s">
        <v>6</v>
      </c>
      <c r="E2557" s="26" t="s">
        <v>5448</v>
      </c>
      <c r="F2557" s="26" t="s">
        <v>131</v>
      </c>
      <c r="G2557" s="26" t="s">
        <v>9465</v>
      </c>
      <c r="H2557" s="642" t="s">
        <v>9466</v>
      </c>
      <c r="I2557" s="26" t="s">
        <v>84</v>
      </c>
      <c r="J2557" s="26">
        <v>37099754</v>
      </c>
      <c r="K2557" s="26" t="s">
        <v>9467</v>
      </c>
      <c r="L2557" s="26"/>
      <c r="M2557" s="26">
        <v>4</v>
      </c>
      <c r="N2557" s="26">
        <v>1</v>
      </c>
      <c r="O2557" s="26">
        <v>5</v>
      </c>
      <c r="P2557" s="26">
        <v>0</v>
      </c>
      <c r="Q2557" s="26">
        <v>1</v>
      </c>
      <c r="R2557" s="1209">
        <v>749</v>
      </c>
      <c r="S2557" s="1209">
        <f>R2557*O2557</f>
        <v>3745</v>
      </c>
      <c r="T2557" s="26" t="s">
        <v>5448</v>
      </c>
      <c r="U2557" s="1859" t="s">
        <v>1</v>
      </c>
      <c r="V2557" s="26" t="s">
        <v>3140</v>
      </c>
      <c r="W2557" s="2065" t="s">
        <v>9468</v>
      </c>
      <c r="X2557" s="18"/>
      <c r="Y2557" s="4"/>
      <c r="Z2557" s="4"/>
    </row>
    <row r="2558" spans="1:26" ht="14.1" hidden="1">
      <c r="A2558" s="20">
        <v>2565</v>
      </c>
      <c r="B2558" s="1063">
        <v>42335</v>
      </c>
      <c r="C2558" s="26" t="s">
        <v>9469</v>
      </c>
      <c r="D2558" s="11" t="s">
        <v>6</v>
      </c>
      <c r="E2558" s="26" t="s">
        <v>5448</v>
      </c>
      <c r="F2558" s="26" t="s">
        <v>131</v>
      </c>
      <c r="G2558" s="26" t="s">
        <v>9470</v>
      </c>
      <c r="H2558" s="237" t="s">
        <v>101</v>
      </c>
      <c r="I2558" s="26" t="s">
        <v>84</v>
      </c>
      <c r="J2558" s="26">
        <v>33510827</v>
      </c>
      <c r="K2558" s="26" t="s">
        <v>9471</v>
      </c>
      <c r="L2558" s="26"/>
      <c r="M2558" s="26">
        <v>10</v>
      </c>
      <c r="N2558" s="26">
        <v>10</v>
      </c>
      <c r="O2558" s="26">
        <v>10</v>
      </c>
      <c r="P2558" s="26">
        <v>0</v>
      </c>
      <c r="Q2558" s="26">
        <v>0</v>
      </c>
      <c r="R2558" s="1209">
        <v>162</v>
      </c>
      <c r="S2558" s="1209">
        <v>1620</v>
      </c>
      <c r="T2558" s="26" t="s">
        <v>5448</v>
      </c>
      <c r="U2558" s="1859" t="s">
        <v>1</v>
      </c>
      <c r="V2558" s="26" t="s">
        <v>3140</v>
      </c>
      <c r="W2558" s="2065" t="s">
        <v>9472</v>
      </c>
      <c r="X2558" s="18"/>
      <c r="Y2558" s="4"/>
      <c r="Z2558" s="4"/>
    </row>
    <row r="2559" spans="1:26" ht="14.1" hidden="1">
      <c r="A2559" s="20">
        <v>2566</v>
      </c>
      <c r="B2559" s="1063">
        <v>42336</v>
      </c>
      <c r="C2559" s="26" t="s">
        <v>9469</v>
      </c>
      <c r="D2559" s="11" t="s">
        <v>6</v>
      </c>
      <c r="E2559" s="26" t="s">
        <v>5448</v>
      </c>
      <c r="F2559" s="26" t="s">
        <v>131</v>
      </c>
      <c r="G2559" s="26" t="s">
        <v>9473</v>
      </c>
      <c r="H2559" s="237" t="s">
        <v>101</v>
      </c>
      <c r="I2559" s="26" t="s">
        <v>84</v>
      </c>
      <c r="J2559" s="26">
        <v>33510863</v>
      </c>
      <c r="K2559" s="26" t="s">
        <v>9474</v>
      </c>
      <c r="L2559" s="26"/>
      <c r="M2559" s="26">
        <v>10</v>
      </c>
      <c r="N2559" s="26">
        <v>10</v>
      </c>
      <c r="O2559" s="26">
        <v>10</v>
      </c>
      <c r="P2559" s="26">
        <v>0</v>
      </c>
      <c r="Q2559" s="26">
        <v>0</v>
      </c>
      <c r="R2559" s="1209">
        <v>162</v>
      </c>
      <c r="S2559" s="1209">
        <v>1620</v>
      </c>
      <c r="T2559" s="26" t="s">
        <v>5448</v>
      </c>
      <c r="U2559" s="1859" t="s">
        <v>1</v>
      </c>
      <c r="V2559" s="26" t="s">
        <v>3140</v>
      </c>
      <c r="W2559" s="2065" t="s">
        <v>9472</v>
      </c>
      <c r="X2559" s="18"/>
      <c r="Y2559" s="4"/>
      <c r="Z2559" s="4"/>
    </row>
    <row r="2560" spans="1:26" ht="14.1" hidden="1">
      <c r="A2560" s="20">
        <v>2567</v>
      </c>
      <c r="B2560" s="1063">
        <v>42337</v>
      </c>
      <c r="C2560" s="26" t="s">
        <v>8717</v>
      </c>
      <c r="D2560" s="11" t="s">
        <v>6</v>
      </c>
      <c r="E2560" s="26" t="s">
        <v>5448</v>
      </c>
      <c r="F2560" s="26" t="s">
        <v>439</v>
      </c>
      <c r="G2560" s="26" t="s">
        <v>8718</v>
      </c>
      <c r="H2560" s="237" t="s">
        <v>4110</v>
      </c>
      <c r="I2560" s="26" t="s">
        <v>574</v>
      </c>
      <c r="J2560" s="26" t="s">
        <v>8719</v>
      </c>
      <c r="K2560" s="26" t="s">
        <v>8720</v>
      </c>
      <c r="L2560" s="26" t="s">
        <v>8721</v>
      </c>
      <c r="M2560" s="26">
        <v>6</v>
      </c>
      <c r="N2560" s="26">
        <v>1</v>
      </c>
      <c r="O2560" s="26">
        <v>12</v>
      </c>
      <c r="P2560" s="26">
        <v>0</v>
      </c>
      <c r="Q2560" s="26">
        <v>6</v>
      </c>
      <c r="R2560" s="1209">
        <v>1284</v>
      </c>
      <c r="S2560" s="1209">
        <v>15408</v>
      </c>
      <c r="T2560" s="26" t="s">
        <v>5448</v>
      </c>
      <c r="U2560" s="1859" t="s">
        <v>8722</v>
      </c>
      <c r="V2560" s="26" t="s">
        <v>150</v>
      </c>
      <c r="W2560" s="2065" t="s">
        <v>6670</v>
      </c>
      <c r="X2560" s="18"/>
      <c r="Y2560" s="4"/>
      <c r="Z2560" s="4"/>
    </row>
    <row r="2561" spans="1:26" ht="14.1" hidden="1">
      <c r="A2561" s="20">
        <v>2568</v>
      </c>
      <c r="B2561" s="1063">
        <v>42338</v>
      </c>
      <c r="C2561" s="26" t="s">
        <v>9475</v>
      </c>
      <c r="D2561" s="11" t="s">
        <v>6</v>
      </c>
      <c r="E2561" s="26" t="s">
        <v>5448</v>
      </c>
      <c r="F2561" s="26" t="s">
        <v>2143</v>
      </c>
      <c r="G2561" s="26" t="s">
        <v>9476</v>
      </c>
      <c r="H2561" s="237" t="s">
        <v>7673</v>
      </c>
      <c r="I2561" s="26" t="s">
        <v>84</v>
      </c>
      <c r="J2561" s="26">
        <v>5526132</v>
      </c>
      <c r="K2561" s="26" t="s">
        <v>9477</v>
      </c>
      <c r="L2561" s="26"/>
      <c r="M2561" s="26">
        <v>1</v>
      </c>
      <c r="N2561" s="26">
        <v>1</v>
      </c>
      <c r="O2561" s="26">
        <v>1</v>
      </c>
      <c r="P2561" s="26">
        <v>0</v>
      </c>
      <c r="Q2561" s="26">
        <v>0</v>
      </c>
      <c r="R2561" s="1209">
        <v>519</v>
      </c>
      <c r="S2561" s="1209">
        <v>519</v>
      </c>
      <c r="T2561" s="26" t="s">
        <v>5448</v>
      </c>
      <c r="U2561" s="1859" t="s">
        <v>9349</v>
      </c>
      <c r="V2561" s="26" t="s">
        <v>801</v>
      </c>
      <c r="W2561" s="649" t="s">
        <v>9478</v>
      </c>
      <c r="X2561" s="18"/>
      <c r="Y2561" s="4"/>
      <c r="Z2561" s="4"/>
    </row>
    <row r="2562" spans="1:26" ht="14.45" hidden="1">
      <c r="A2562" s="20">
        <v>2569</v>
      </c>
      <c r="B2562" s="1063">
        <v>42339</v>
      </c>
      <c r="C2562" s="951" t="s">
        <v>9479</v>
      </c>
      <c r="D2562" s="279" t="s">
        <v>9480</v>
      </c>
      <c r="E2562" s="675"/>
      <c r="F2562" s="951" t="s">
        <v>9481</v>
      </c>
      <c r="G2562" s="674" t="s">
        <v>9482</v>
      </c>
      <c r="H2562" s="676" t="s">
        <v>9483</v>
      </c>
      <c r="I2562" s="674" t="s">
        <v>84</v>
      </c>
      <c r="J2562" s="674">
        <v>56420716</v>
      </c>
      <c r="K2562" s="674" t="s">
        <v>9484</v>
      </c>
      <c r="L2562" s="675"/>
      <c r="M2562" s="674">
        <v>1</v>
      </c>
      <c r="N2562" s="674">
        <v>1</v>
      </c>
      <c r="O2562" s="674">
        <v>1</v>
      </c>
      <c r="P2562" s="674">
        <v>0</v>
      </c>
      <c r="Q2562" s="674">
        <v>1</v>
      </c>
      <c r="R2562" s="1276">
        <v>12900</v>
      </c>
      <c r="S2562" s="1276">
        <v>14190</v>
      </c>
      <c r="T2562" s="674" t="s">
        <v>9485</v>
      </c>
      <c r="U2562" s="1913" t="s">
        <v>9486</v>
      </c>
      <c r="V2562" s="1489" t="s">
        <v>104</v>
      </c>
      <c r="W2562" s="677" t="s">
        <v>9487</v>
      </c>
      <c r="X2562" s="678"/>
      <c r="Y2562" s="272"/>
      <c r="Z2562" s="272"/>
    </row>
    <row r="2563" spans="1:26" ht="14.45" hidden="1">
      <c r="A2563" s="20">
        <v>2570</v>
      </c>
      <c r="B2563" s="1063">
        <v>42340</v>
      </c>
      <c r="C2563" s="952" t="s">
        <v>9488</v>
      </c>
      <c r="D2563" s="279" t="s">
        <v>1288</v>
      </c>
      <c r="E2563" s="679"/>
      <c r="F2563" s="1048" t="s">
        <v>9481</v>
      </c>
      <c r="G2563" s="679" t="s">
        <v>9489</v>
      </c>
      <c r="H2563" s="280" t="s">
        <v>9490</v>
      </c>
      <c r="I2563" s="680" t="s">
        <v>84</v>
      </c>
      <c r="J2563" s="679">
        <v>1037566</v>
      </c>
      <c r="K2563" s="679" t="s">
        <v>9491</v>
      </c>
      <c r="L2563" s="679"/>
      <c r="M2563" s="680">
        <v>1</v>
      </c>
      <c r="N2563" s="680">
        <v>1</v>
      </c>
      <c r="O2563" s="680">
        <v>1</v>
      </c>
      <c r="P2563" s="679">
        <v>0</v>
      </c>
      <c r="Q2563" s="679">
        <v>1</v>
      </c>
      <c r="R2563" s="1277">
        <v>2990</v>
      </c>
      <c r="S2563" s="1277">
        <v>3289</v>
      </c>
      <c r="T2563" s="680" t="s">
        <v>9485</v>
      </c>
      <c r="U2563" s="1914" t="s">
        <v>9486</v>
      </c>
      <c r="V2563" s="1489" t="s">
        <v>104</v>
      </c>
      <c r="W2563" s="281" t="s">
        <v>9492</v>
      </c>
      <c r="X2563" s="282"/>
      <c r="Y2563" s="272"/>
      <c r="Z2563" s="272"/>
    </row>
    <row r="2564" spans="1:26" ht="62.45" hidden="1">
      <c r="A2564" s="20">
        <v>2571</v>
      </c>
      <c r="B2564" s="1063">
        <v>42341</v>
      </c>
      <c r="C2564" s="26" t="s">
        <v>2594</v>
      </c>
      <c r="D2564" s="11"/>
      <c r="E2564" s="26" t="s">
        <v>2722</v>
      </c>
      <c r="F2564" s="26" t="s">
        <v>2332</v>
      </c>
      <c r="G2564" s="26" t="s">
        <v>2612</v>
      </c>
      <c r="H2564" s="26" t="s">
        <v>382</v>
      </c>
      <c r="I2564" s="26" t="s">
        <v>366</v>
      </c>
      <c r="J2564" s="26" t="s">
        <v>2612</v>
      </c>
      <c r="K2564" s="26"/>
      <c r="L2564" s="26"/>
      <c r="M2564" s="26">
        <v>24</v>
      </c>
      <c r="N2564" s="26">
        <v>10</v>
      </c>
      <c r="O2564" s="26">
        <v>30</v>
      </c>
      <c r="P2564" s="26">
        <v>3</v>
      </c>
      <c r="Q2564" s="26">
        <f t="shared" ref="Q2564:Q2567" si="135">O2564+P2564-M2564</f>
        <v>9</v>
      </c>
      <c r="R2564" s="1278">
        <v>144.1</v>
      </c>
      <c r="S2564" s="1279">
        <f t="shared" ref="S2564:S2567" si="136">R2564*O2564</f>
        <v>4323</v>
      </c>
      <c r="T2564" s="175" t="s">
        <v>929</v>
      </c>
      <c r="U2564" s="1871" t="s">
        <v>301</v>
      </c>
      <c r="V2564" s="26" t="s">
        <v>931</v>
      </c>
      <c r="W2564" s="2008" t="s">
        <v>5530</v>
      </c>
      <c r="X2564" s="282" t="s">
        <v>9493</v>
      </c>
      <c r="Y2564" s="272"/>
      <c r="Z2564" s="272"/>
    </row>
    <row r="2565" spans="1:26" ht="50.1" hidden="1">
      <c r="A2565" s="20">
        <v>2572</v>
      </c>
      <c r="B2565" s="1063">
        <v>42342</v>
      </c>
      <c r="C2565" s="26" t="s">
        <v>2619</v>
      </c>
      <c r="D2565" s="11"/>
      <c r="E2565" s="26" t="s">
        <v>2722</v>
      </c>
      <c r="F2565" s="26" t="s">
        <v>2332</v>
      </c>
      <c r="G2565" s="26" t="s">
        <v>9494</v>
      </c>
      <c r="H2565" s="26" t="s">
        <v>382</v>
      </c>
      <c r="I2565" s="26" t="s">
        <v>366</v>
      </c>
      <c r="J2565" s="26" t="s">
        <v>9494</v>
      </c>
      <c r="K2565" s="26"/>
      <c r="L2565" s="26"/>
      <c r="M2565" s="26">
        <v>4</v>
      </c>
      <c r="N2565" s="26">
        <v>1</v>
      </c>
      <c r="O2565" s="26">
        <v>6</v>
      </c>
      <c r="P2565" s="26">
        <v>0</v>
      </c>
      <c r="Q2565" s="26">
        <f t="shared" si="135"/>
        <v>2</v>
      </c>
      <c r="R2565" s="1278">
        <v>76</v>
      </c>
      <c r="S2565" s="1279">
        <f t="shared" si="136"/>
        <v>456</v>
      </c>
      <c r="T2565" s="175" t="s">
        <v>929</v>
      </c>
      <c r="U2565" s="1871" t="s">
        <v>301</v>
      </c>
      <c r="V2565" s="26" t="s">
        <v>931</v>
      </c>
      <c r="W2565" s="2008" t="s">
        <v>9495</v>
      </c>
      <c r="X2565" s="282" t="s">
        <v>9493</v>
      </c>
      <c r="Y2565" s="272"/>
      <c r="Z2565" s="272"/>
    </row>
    <row r="2566" spans="1:26" ht="26.1" hidden="1">
      <c r="A2566" s="20">
        <v>2573</v>
      </c>
      <c r="B2566" s="1063">
        <v>42343</v>
      </c>
      <c r="C2566" s="26" t="s">
        <v>9496</v>
      </c>
      <c r="D2566" s="11"/>
      <c r="E2566" s="26" t="s">
        <v>2722</v>
      </c>
      <c r="F2566" s="26" t="s">
        <v>2332</v>
      </c>
      <c r="G2566" s="26" t="s">
        <v>9497</v>
      </c>
      <c r="H2566" s="237" t="s">
        <v>9498</v>
      </c>
      <c r="I2566" s="26" t="s">
        <v>84</v>
      </c>
      <c r="J2566" s="26" t="s">
        <v>9499</v>
      </c>
      <c r="K2566" s="26">
        <v>2469223</v>
      </c>
      <c r="L2566" s="26"/>
      <c r="M2566" s="26">
        <v>3</v>
      </c>
      <c r="N2566" s="26">
        <v>1</v>
      </c>
      <c r="O2566" s="26">
        <v>3</v>
      </c>
      <c r="P2566" s="26">
        <v>0</v>
      </c>
      <c r="Q2566" s="26">
        <f t="shared" si="135"/>
        <v>0</v>
      </c>
      <c r="R2566" s="1278">
        <v>1490</v>
      </c>
      <c r="S2566" s="1279">
        <f t="shared" si="136"/>
        <v>4470</v>
      </c>
      <c r="T2566" s="175" t="s">
        <v>929</v>
      </c>
      <c r="U2566" s="1871" t="s">
        <v>301</v>
      </c>
      <c r="V2566" s="129" t="s">
        <v>9500</v>
      </c>
      <c r="W2566" s="2074" t="s">
        <v>9501</v>
      </c>
      <c r="X2566" s="18" t="s">
        <v>9502</v>
      </c>
      <c r="Y2566" s="4"/>
      <c r="Z2566" s="4"/>
    </row>
    <row r="2567" spans="1:26" ht="26.1" hidden="1">
      <c r="A2567" s="20">
        <v>2574</v>
      </c>
      <c r="B2567" s="1063">
        <v>42344</v>
      </c>
      <c r="C2567" s="26" t="s">
        <v>9496</v>
      </c>
      <c r="D2567" s="11"/>
      <c r="E2567" s="26" t="s">
        <v>2722</v>
      </c>
      <c r="F2567" s="26" t="s">
        <v>2332</v>
      </c>
      <c r="G2567" s="26" t="s">
        <v>9503</v>
      </c>
      <c r="H2567" s="237" t="s">
        <v>9498</v>
      </c>
      <c r="I2567" s="26" t="s">
        <v>84</v>
      </c>
      <c r="J2567" s="26" t="s">
        <v>9504</v>
      </c>
      <c r="K2567" s="26">
        <v>2469232</v>
      </c>
      <c r="L2567" s="26"/>
      <c r="M2567" s="26">
        <v>3</v>
      </c>
      <c r="N2567" s="26">
        <v>1</v>
      </c>
      <c r="O2567" s="26">
        <v>3</v>
      </c>
      <c r="P2567" s="26">
        <v>0</v>
      </c>
      <c r="Q2567" s="26">
        <f t="shared" si="135"/>
        <v>0</v>
      </c>
      <c r="R2567" s="1278">
        <v>1490</v>
      </c>
      <c r="S2567" s="1279">
        <f t="shared" si="136"/>
        <v>4470</v>
      </c>
      <c r="T2567" s="175" t="s">
        <v>929</v>
      </c>
      <c r="U2567" s="1871" t="s">
        <v>301</v>
      </c>
      <c r="V2567" s="129" t="s">
        <v>9500</v>
      </c>
      <c r="W2567" s="2074" t="s">
        <v>9501</v>
      </c>
      <c r="X2567" s="18" t="s">
        <v>9502</v>
      </c>
      <c r="Y2567" s="4"/>
      <c r="Z2567" s="4"/>
    </row>
    <row r="2568" spans="1:26" ht="14.1" hidden="1">
      <c r="A2568" s="20">
        <v>2575</v>
      </c>
      <c r="B2568" s="1063">
        <v>42345</v>
      </c>
      <c r="C2568" s="26" t="s">
        <v>9505</v>
      </c>
      <c r="D2568" s="11" t="s">
        <v>6</v>
      </c>
      <c r="E2568" s="26" t="s">
        <v>7956</v>
      </c>
      <c r="F2568" s="26" t="s">
        <v>2143</v>
      </c>
      <c r="G2568" s="26" t="s">
        <v>9506</v>
      </c>
      <c r="H2568" s="237" t="s">
        <v>366</v>
      </c>
      <c r="I2568" s="26" t="s">
        <v>366</v>
      </c>
      <c r="J2568" s="26" t="s">
        <v>9507</v>
      </c>
      <c r="K2568" s="26" t="s">
        <v>9507</v>
      </c>
      <c r="L2568" s="26"/>
      <c r="M2568" s="26">
        <v>1</v>
      </c>
      <c r="N2568" s="26">
        <v>1</v>
      </c>
      <c r="O2568" s="26">
        <v>1</v>
      </c>
      <c r="P2568" s="26">
        <v>0</v>
      </c>
      <c r="Q2568" s="26">
        <v>0</v>
      </c>
      <c r="R2568" s="1209">
        <v>573</v>
      </c>
      <c r="S2568" s="1209">
        <v>573</v>
      </c>
      <c r="T2568" s="26" t="s">
        <v>5448</v>
      </c>
      <c r="U2568" s="1859" t="s">
        <v>9349</v>
      </c>
      <c r="V2568" s="26" t="s">
        <v>801</v>
      </c>
      <c r="W2568" s="701" t="s">
        <v>9508</v>
      </c>
      <c r="X2568" s="18"/>
      <c r="Y2568" s="4"/>
      <c r="Z2568" s="4"/>
    </row>
    <row r="2569" spans="1:26" ht="14.1" hidden="1">
      <c r="A2569" s="20">
        <v>2576</v>
      </c>
      <c r="B2569" s="1063">
        <v>42346</v>
      </c>
      <c r="C2569" s="26" t="s">
        <v>9509</v>
      </c>
      <c r="D2569" s="11" t="s">
        <v>6</v>
      </c>
      <c r="E2569" s="26" t="s">
        <v>7956</v>
      </c>
      <c r="F2569" s="26" t="s">
        <v>2143</v>
      </c>
      <c r="G2569" s="26" t="s">
        <v>9510</v>
      </c>
      <c r="H2569" s="237" t="s">
        <v>366</v>
      </c>
      <c r="I2569" s="26" t="s">
        <v>366</v>
      </c>
      <c r="J2569" s="26" t="s">
        <v>9511</v>
      </c>
      <c r="K2569" s="189" t="s">
        <v>9511</v>
      </c>
      <c r="L2569" s="26"/>
      <c r="M2569" s="26">
        <v>36</v>
      </c>
      <c r="N2569" s="26">
        <v>1</v>
      </c>
      <c r="O2569" s="26">
        <v>50</v>
      </c>
      <c r="P2569" s="26">
        <v>0</v>
      </c>
      <c r="Q2569" s="26">
        <v>0</v>
      </c>
      <c r="R2569" s="1209">
        <v>2650</v>
      </c>
      <c r="S2569" s="1209">
        <v>2650</v>
      </c>
      <c r="T2569" s="26" t="s">
        <v>5448</v>
      </c>
      <c r="U2569" s="1859" t="s">
        <v>9349</v>
      </c>
      <c r="V2569" s="26" t="s">
        <v>801</v>
      </c>
      <c r="W2569" s="701" t="s">
        <v>9512</v>
      </c>
      <c r="X2569" s="18"/>
      <c r="Y2569" s="4"/>
      <c r="Z2569" s="4"/>
    </row>
    <row r="2570" spans="1:26" ht="14.1" hidden="1">
      <c r="A2570" s="20">
        <v>2577</v>
      </c>
      <c r="B2570" s="1063">
        <v>42347</v>
      </c>
      <c r="C2570" s="26" t="s">
        <v>7168</v>
      </c>
      <c r="D2570" s="11" t="s">
        <v>6</v>
      </c>
      <c r="E2570" s="26" t="s">
        <v>7956</v>
      </c>
      <c r="F2570" s="26" t="s">
        <v>2143</v>
      </c>
      <c r="G2570" s="26" t="s">
        <v>9513</v>
      </c>
      <c r="H2570" s="237" t="s">
        <v>366</v>
      </c>
      <c r="I2570" s="26" t="s">
        <v>366</v>
      </c>
      <c r="J2570" s="26" t="s">
        <v>9514</v>
      </c>
      <c r="K2570" s="26" t="s">
        <v>9514</v>
      </c>
      <c r="L2570" s="26"/>
      <c r="M2570" s="26">
        <v>6</v>
      </c>
      <c r="N2570" s="26">
        <v>1</v>
      </c>
      <c r="O2570" s="26">
        <v>6</v>
      </c>
      <c r="P2570" s="26">
        <v>0</v>
      </c>
      <c r="Q2570" s="26">
        <v>0</v>
      </c>
      <c r="R2570" s="1209">
        <v>330</v>
      </c>
      <c r="S2570" s="1209">
        <v>1980</v>
      </c>
      <c r="T2570" s="26" t="s">
        <v>5448</v>
      </c>
      <c r="U2570" s="1859" t="s">
        <v>138</v>
      </c>
      <c r="V2570" s="26" t="s">
        <v>150</v>
      </c>
      <c r="W2570" s="2065" t="s">
        <v>9515</v>
      </c>
      <c r="X2570" s="18"/>
      <c r="Y2570" s="4"/>
      <c r="Z2570" s="4"/>
    </row>
    <row r="2571" spans="1:26" ht="14.1" hidden="1">
      <c r="A2571" s="20">
        <v>2578</v>
      </c>
      <c r="B2571" s="1063">
        <v>42348</v>
      </c>
      <c r="C2571" s="26" t="s">
        <v>9516</v>
      </c>
      <c r="D2571" s="11" t="s">
        <v>6</v>
      </c>
      <c r="E2571" s="26" t="s">
        <v>7956</v>
      </c>
      <c r="F2571" s="26" t="s">
        <v>2143</v>
      </c>
      <c r="G2571" s="26" t="s">
        <v>9517</v>
      </c>
      <c r="H2571" s="237" t="s">
        <v>366</v>
      </c>
      <c r="I2571" s="26" t="s">
        <v>366</v>
      </c>
      <c r="J2571" s="26" t="s">
        <v>9518</v>
      </c>
      <c r="K2571" s="26" t="s">
        <v>9518</v>
      </c>
      <c r="L2571" s="26"/>
      <c r="M2571" s="26">
        <v>14</v>
      </c>
      <c r="N2571" s="26">
        <v>1</v>
      </c>
      <c r="O2571" s="26">
        <v>14</v>
      </c>
      <c r="P2571" s="26">
        <v>0</v>
      </c>
      <c r="Q2571" s="26">
        <v>0</v>
      </c>
      <c r="R2571" s="1209">
        <v>212</v>
      </c>
      <c r="S2571" s="1209">
        <f>R2571*O2571</f>
        <v>2968</v>
      </c>
      <c r="T2571" s="26" t="s">
        <v>5448</v>
      </c>
      <c r="U2571" s="1859" t="s">
        <v>138</v>
      </c>
      <c r="V2571" s="26" t="s">
        <v>150</v>
      </c>
      <c r="W2571" s="701" t="s">
        <v>9519</v>
      </c>
      <c r="X2571" s="18"/>
      <c r="Y2571" s="4"/>
      <c r="Z2571" s="4"/>
    </row>
    <row r="2572" spans="1:26" ht="14.1" hidden="1">
      <c r="A2572" s="20">
        <v>2579</v>
      </c>
      <c r="B2572" s="1063">
        <v>42349</v>
      </c>
      <c r="C2572" s="924" t="s">
        <v>9520</v>
      </c>
      <c r="D2572" s="11" t="s">
        <v>6</v>
      </c>
      <c r="E2572" s="26" t="s">
        <v>7956</v>
      </c>
      <c r="F2572" s="26" t="s">
        <v>2143</v>
      </c>
      <c r="G2572" s="26" t="s">
        <v>9521</v>
      </c>
      <c r="H2572" s="237" t="s">
        <v>366</v>
      </c>
      <c r="I2572" s="26" t="s">
        <v>366</v>
      </c>
      <c r="J2572" s="26" t="s">
        <v>9522</v>
      </c>
      <c r="K2572" s="26" t="s">
        <v>9522</v>
      </c>
      <c r="L2572" s="26"/>
      <c r="M2572" s="26">
        <v>4</v>
      </c>
      <c r="N2572" s="26">
        <v>1</v>
      </c>
      <c r="O2572" s="26">
        <v>4</v>
      </c>
      <c r="P2572" s="26">
        <v>0</v>
      </c>
      <c r="Q2572" s="26">
        <v>0</v>
      </c>
      <c r="R2572" s="1209">
        <v>33</v>
      </c>
      <c r="S2572" s="1209">
        <v>132</v>
      </c>
      <c r="T2572" s="26" t="s">
        <v>5448</v>
      </c>
      <c r="U2572" s="1859" t="s">
        <v>138</v>
      </c>
      <c r="V2572" s="26" t="s">
        <v>150</v>
      </c>
      <c r="W2572" s="701" t="s">
        <v>9523</v>
      </c>
      <c r="X2572" s="18"/>
      <c r="Y2572" s="4"/>
      <c r="Z2572" s="4"/>
    </row>
    <row r="2573" spans="1:26" ht="15.6" hidden="1">
      <c r="A2573" s="20">
        <v>2580</v>
      </c>
      <c r="B2573" s="1063">
        <v>42350</v>
      </c>
      <c r="C2573" s="191" t="s">
        <v>9244</v>
      </c>
      <c r="D2573" s="11" t="s">
        <v>6</v>
      </c>
      <c r="E2573" s="189" t="s">
        <v>5448</v>
      </c>
      <c r="F2573" s="191" t="s">
        <v>7782</v>
      </c>
      <c r="G2573" s="189" t="s">
        <v>9524</v>
      </c>
      <c r="H2573" s="189" t="s">
        <v>8888</v>
      </c>
      <c r="I2573" s="189" t="s">
        <v>8819</v>
      </c>
      <c r="J2573" s="189" t="s">
        <v>9525</v>
      </c>
      <c r="K2573" s="189" t="s">
        <v>9526</v>
      </c>
      <c r="L2573" s="189" t="s">
        <v>9527</v>
      </c>
      <c r="M2573" s="189">
        <v>20</v>
      </c>
      <c r="N2573" s="189">
        <v>100</v>
      </c>
      <c r="O2573" s="189">
        <v>200</v>
      </c>
      <c r="P2573" s="189">
        <v>0</v>
      </c>
      <c r="Q2573" s="189">
        <v>180</v>
      </c>
      <c r="R2573" s="1273">
        <v>42</v>
      </c>
      <c r="S2573" s="1273">
        <v>840</v>
      </c>
      <c r="T2573" s="207" t="s">
        <v>5448</v>
      </c>
      <c r="U2573" s="1859" t="s">
        <v>8765</v>
      </c>
      <c r="V2573" s="26" t="s">
        <v>150</v>
      </c>
      <c r="W2573" s="701" t="s">
        <v>9528</v>
      </c>
      <c r="X2573" s="18"/>
      <c r="Y2573" s="4"/>
      <c r="Z2573" s="4"/>
    </row>
    <row r="2574" spans="1:26" ht="15.6" hidden="1">
      <c r="A2574" s="20">
        <v>2581</v>
      </c>
      <c r="B2574" s="1063">
        <v>42351</v>
      </c>
      <c r="C2574" s="947" t="s">
        <v>9239</v>
      </c>
      <c r="D2574" s="11" t="s">
        <v>6</v>
      </c>
      <c r="E2574" s="189" t="s">
        <v>5448</v>
      </c>
      <c r="F2574" s="947" t="s">
        <v>7782</v>
      </c>
      <c r="G2574" s="195" t="s">
        <v>9240</v>
      </c>
      <c r="H2574" s="195" t="s">
        <v>3898</v>
      </c>
      <c r="I2574" s="195" t="s">
        <v>8819</v>
      </c>
      <c r="J2574" s="195" t="s">
        <v>9241</v>
      </c>
      <c r="K2574" s="671" t="s">
        <v>9242</v>
      </c>
      <c r="L2574" s="195" t="s">
        <v>3960</v>
      </c>
      <c r="M2574" s="195">
        <v>2</v>
      </c>
      <c r="N2574" s="207">
        <v>1</v>
      </c>
      <c r="O2574" s="207">
        <v>10</v>
      </c>
      <c r="P2574" s="207">
        <v>2</v>
      </c>
      <c r="Q2574" s="207">
        <v>10</v>
      </c>
      <c r="R2574" s="1251">
        <v>48.5</v>
      </c>
      <c r="S2574" s="1251">
        <v>485</v>
      </c>
      <c r="T2574" s="207" t="s">
        <v>5448</v>
      </c>
      <c r="U2574" s="1859" t="s">
        <v>8765</v>
      </c>
      <c r="V2574" s="26" t="s">
        <v>150</v>
      </c>
      <c r="W2574" s="2091" t="s">
        <v>9243</v>
      </c>
      <c r="X2574" s="18"/>
      <c r="Y2574" s="4"/>
      <c r="Z2574" s="4"/>
    </row>
    <row r="2575" spans="1:26" ht="15.6" hidden="1">
      <c r="A2575" s="20">
        <v>2582</v>
      </c>
      <c r="B2575" s="1063">
        <v>42352</v>
      </c>
      <c r="C2575" s="947" t="s">
        <v>9244</v>
      </c>
      <c r="D2575" s="11" t="s">
        <v>6</v>
      </c>
      <c r="E2575" s="189" t="s">
        <v>5448</v>
      </c>
      <c r="F2575" s="26" t="s">
        <v>7782</v>
      </c>
      <c r="G2575" s="195" t="s">
        <v>9245</v>
      </c>
      <c r="H2575" s="195" t="s">
        <v>3898</v>
      </c>
      <c r="I2575" s="195" t="s">
        <v>8819</v>
      </c>
      <c r="J2575" s="195" t="s">
        <v>9246</v>
      </c>
      <c r="K2575" s="671" t="s">
        <v>9247</v>
      </c>
      <c r="L2575" s="195" t="s">
        <v>9248</v>
      </c>
      <c r="M2575" s="26">
        <v>60</v>
      </c>
      <c r="N2575" s="26">
        <v>1</v>
      </c>
      <c r="O2575" s="26">
        <v>150</v>
      </c>
      <c r="P2575" s="26">
        <v>50</v>
      </c>
      <c r="Q2575" s="26">
        <v>140</v>
      </c>
      <c r="R2575" s="1209">
        <v>2.8</v>
      </c>
      <c r="S2575" s="1209">
        <v>420</v>
      </c>
      <c r="T2575" s="207" t="s">
        <v>5448</v>
      </c>
      <c r="U2575" s="1859" t="s">
        <v>8765</v>
      </c>
      <c r="V2575" s="26" t="s">
        <v>150</v>
      </c>
      <c r="W2575" s="2091" t="s">
        <v>9249</v>
      </c>
      <c r="X2575" s="18"/>
      <c r="Y2575" s="4"/>
      <c r="Z2575" s="4"/>
    </row>
    <row r="2576" spans="1:26" ht="14.1" hidden="1">
      <c r="A2576" s="20">
        <v>2583</v>
      </c>
      <c r="B2576" s="1063">
        <v>42353</v>
      </c>
      <c r="C2576" s="26" t="s">
        <v>9529</v>
      </c>
      <c r="D2576" s="11" t="s">
        <v>6</v>
      </c>
      <c r="E2576" s="189" t="s">
        <v>7956</v>
      </c>
      <c r="F2576" s="26" t="s">
        <v>2143</v>
      </c>
      <c r="G2576" s="26" t="s">
        <v>9530</v>
      </c>
      <c r="H2576" s="237"/>
      <c r="I2576" s="26" t="s">
        <v>9531</v>
      </c>
      <c r="J2576" s="26"/>
      <c r="K2576" s="26"/>
      <c r="L2576" s="26"/>
      <c r="M2576" s="26">
        <v>1</v>
      </c>
      <c r="N2576" s="26">
        <v>1</v>
      </c>
      <c r="O2576" s="26">
        <v>1</v>
      </c>
      <c r="P2576" s="26">
        <v>0</v>
      </c>
      <c r="Q2576" s="26">
        <v>0</v>
      </c>
      <c r="R2576" s="1209">
        <v>550</v>
      </c>
      <c r="S2576" s="1209">
        <v>550</v>
      </c>
      <c r="T2576" s="26" t="s">
        <v>5448</v>
      </c>
      <c r="U2576" s="1859" t="s">
        <v>138</v>
      </c>
      <c r="V2576" s="26" t="s">
        <v>2962</v>
      </c>
      <c r="W2576" s="2084"/>
      <c r="X2576" s="18" t="s">
        <v>9532</v>
      </c>
      <c r="Y2576" s="4"/>
      <c r="Z2576" s="4"/>
    </row>
    <row r="2577" spans="1:26" ht="14.1" hidden="1">
      <c r="A2577" s="20">
        <v>2584</v>
      </c>
      <c r="B2577" s="1063">
        <v>42354</v>
      </c>
      <c r="C2577" s="940" t="s">
        <v>9533</v>
      </c>
      <c r="D2577" s="11"/>
      <c r="E2577" s="668" t="s">
        <v>4951</v>
      </c>
      <c r="F2577" s="1047" t="s">
        <v>2006</v>
      </c>
      <c r="G2577" s="668" t="s">
        <v>9534</v>
      </c>
      <c r="H2577" s="668" t="s">
        <v>9535</v>
      </c>
      <c r="I2577" s="668" t="s">
        <v>714</v>
      </c>
      <c r="J2577" s="668" t="s">
        <v>9536</v>
      </c>
      <c r="K2577" s="668" t="s">
        <v>9537</v>
      </c>
      <c r="L2577" s="668" t="s">
        <v>3362</v>
      </c>
      <c r="M2577" s="668">
        <v>16</v>
      </c>
      <c r="N2577" s="668">
        <v>1</v>
      </c>
      <c r="O2577" s="668">
        <v>20</v>
      </c>
      <c r="P2577" s="668">
        <v>0</v>
      </c>
      <c r="Q2577" s="668">
        <f t="shared" ref="Q2577:Q2579" si="137">(O2577+P2577)-M2577</f>
        <v>4</v>
      </c>
      <c r="R2577" s="1268">
        <v>20</v>
      </c>
      <c r="S2577" s="1268">
        <f>O2577*R2577</f>
        <v>400</v>
      </c>
      <c r="T2577" s="668" t="s">
        <v>311</v>
      </c>
      <c r="U2577" s="1915" t="s">
        <v>678</v>
      </c>
      <c r="V2577" s="239" t="s">
        <v>5990</v>
      </c>
      <c r="W2577" s="681" t="s">
        <v>9538</v>
      </c>
      <c r="X2577" s="18"/>
      <c r="Y2577" s="4"/>
      <c r="Z2577" s="4"/>
    </row>
    <row r="2578" spans="1:26" ht="14.1" hidden="1">
      <c r="A2578" s="20">
        <v>2585</v>
      </c>
      <c r="B2578" s="1063">
        <v>42355</v>
      </c>
      <c r="C2578" s="945" t="s">
        <v>9539</v>
      </c>
      <c r="D2578" s="11"/>
      <c r="E2578" s="270" t="s">
        <v>4951</v>
      </c>
      <c r="F2578" s="1047" t="s">
        <v>2006</v>
      </c>
      <c r="G2578" s="270" t="s">
        <v>9540</v>
      </c>
      <c r="H2578" s="270" t="s">
        <v>9535</v>
      </c>
      <c r="I2578" s="270" t="s">
        <v>714</v>
      </c>
      <c r="J2578" s="270" t="s">
        <v>9541</v>
      </c>
      <c r="K2578" s="270" t="s">
        <v>9542</v>
      </c>
      <c r="L2578" s="270" t="s">
        <v>3362</v>
      </c>
      <c r="M2578" s="270">
        <v>8</v>
      </c>
      <c r="N2578" s="270">
        <v>1</v>
      </c>
      <c r="O2578" s="270">
        <v>10</v>
      </c>
      <c r="P2578" s="270">
        <v>0</v>
      </c>
      <c r="Q2578" s="668">
        <f t="shared" si="137"/>
        <v>2</v>
      </c>
      <c r="R2578" s="1269">
        <v>15</v>
      </c>
      <c r="S2578" s="1269">
        <v>150</v>
      </c>
      <c r="T2578" s="270" t="s">
        <v>311</v>
      </c>
      <c r="U2578" s="1916" t="s">
        <v>678</v>
      </c>
      <c r="V2578" s="239" t="s">
        <v>5990</v>
      </c>
      <c r="W2578" s="682" t="s">
        <v>9543</v>
      </c>
      <c r="X2578" s="18"/>
      <c r="Y2578" s="4"/>
      <c r="Z2578" s="4"/>
    </row>
    <row r="2579" spans="1:26" ht="14.1" hidden="1">
      <c r="A2579" s="20">
        <v>2586</v>
      </c>
      <c r="B2579" s="1063">
        <v>42356</v>
      </c>
      <c r="C2579" s="945" t="s">
        <v>9544</v>
      </c>
      <c r="D2579" s="11"/>
      <c r="E2579" s="270" t="s">
        <v>4951</v>
      </c>
      <c r="F2579" s="1047" t="s">
        <v>2006</v>
      </c>
      <c r="G2579" s="270" t="s">
        <v>9545</v>
      </c>
      <c r="H2579" s="270" t="s">
        <v>9535</v>
      </c>
      <c r="I2579" s="270" t="s">
        <v>714</v>
      </c>
      <c r="J2579" s="270" t="s">
        <v>9546</v>
      </c>
      <c r="K2579" s="270" t="s">
        <v>9547</v>
      </c>
      <c r="L2579" s="270" t="s">
        <v>3362</v>
      </c>
      <c r="M2579" s="270">
        <v>24</v>
      </c>
      <c r="N2579" s="270">
        <v>1</v>
      </c>
      <c r="O2579" s="270">
        <v>30</v>
      </c>
      <c r="P2579" s="270">
        <v>0</v>
      </c>
      <c r="Q2579" s="668">
        <f t="shared" si="137"/>
        <v>6</v>
      </c>
      <c r="R2579" s="1269">
        <v>10</v>
      </c>
      <c r="S2579" s="1269">
        <v>300</v>
      </c>
      <c r="T2579" s="270" t="s">
        <v>311</v>
      </c>
      <c r="U2579" s="1916" t="s">
        <v>678</v>
      </c>
      <c r="V2579" s="239" t="s">
        <v>5990</v>
      </c>
      <c r="W2579" s="682" t="s">
        <v>9548</v>
      </c>
      <c r="X2579" s="18"/>
      <c r="Y2579" s="4"/>
      <c r="Z2579" s="4"/>
    </row>
    <row r="2580" spans="1:26" ht="14.1" hidden="1">
      <c r="A2580" s="20">
        <v>2587</v>
      </c>
      <c r="B2580" s="1063">
        <v>42357</v>
      </c>
      <c r="C2580" s="26" t="s">
        <v>7657</v>
      </c>
      <c r="D2580" s="11" t="s">
        <v>6</v>
      </c>
      <c r="E2580" s="26" t="s">
        <v>5448</v>
      </c>
      <c r="F2580" s="26" t="s">
        <v>2143</v>
      </c>
      <c r="G2580" s="26" t="s">
        <v>9549</v>
      </c>
      <c r="H2580" s="237"/>
      <c r="I2580" s="26" t="s">
        <v>7659</v>
      </c>
      <c r="J2580" s="26"/>
      <c r="K2580" s="26"/>
      <c r="L2580" s="26"/>
      <c r="M2580" s="26">
        <v>8</v>
      </c>
      <c r="N2580" s="26">
        <v>1</v>
      </c>
      <c r="O2580" s="26">
        <v>12</v>
      </c>
      <c r="P2580" s="26">
        <v>0</v>
      </c>
      <c r="Q2580" s="26">
        <v>0</v>
      </c>
      <c r="R2580" s="1209"/>
      <c r="S2580" s="1209">
        <v>2278</v>
      </c>
      <c r="T2580" s="26" t="s">
        <v>5448</v>
      </c>
      <c r="U2580" s="1859" t="s">
        <v>9550</v>
      </c>
      <c r="V2580" s="26" t="s">
        <v>5990</v>
      </c>
      <c r="W2580" s="701" t="s">
        <v>9551</v>
      </c>
      <c r="X2580" s="18"/>
      <c r="Y2580" s="4"/>
      <c r="Z2580" s="4"/>
    </row>
    <row r="2581" spans="1:26" ht="16.5" hidden="1" customHeight="1">
      <c r="A2581" s="20">
        <v>2588</v>
      </c>
      <c r="B2581" s="1063">
        <v>42358</v>
      </c>
      <c r="C2581" s="26" t="s">
        <v>9552</v>
      </c>
      <c r="D2581" s="10" t="s">
        <v>6</v>
      </c>
      <c r="E2581" s="26" t="s">
        <v>2722</v>
      </c>
      <c r="F2581" s="26" t="s">
        <v>9481</v>
      </c>
      <c r="G2581" s="26" t="s">
        <v>9553</v>
      </c>
      <c r="H2581" s="237" t="s">
        <v>1881</v>
      </c>
      <c r="I2581" s="26" t="s">
        <v>84</v>
      </c>
      <c r="J2581" s="26">
        <v>7571384</v>
      </c>
      <c r="K2581" s="26" t="s">
        <v>9554</v>
      </c>
      <c r="L2581" s="26" t="s">
        <v>1</v>
      </c>
      <c r="M2581" s="26">
        <v>1</v>
      </c>
      <c r="N2581" s="26">
        <v>1</v>
      </c>
      <c r="O2581" s="26">
        <v>1</v>
      </c>
      <c r="P2581" s="26">
        <v>0</v>
      </c>
      <c r="Q2581" s="26">
        <v>1</v>
      </c>
      <c r="R2581" s="1209">
        <v>119</v>
      </c>
      <c r="S2581" s="1209">
        <v>119</v>
      </c>
      <c r="T2581" s="26" t="s">
        <v>9485</v>
      </c>
      <c r="U2581" s="1859" t="s">
        <v>9486</v>
      </c>
      <c r="V2581" s="26" t="s">
        <v>2962</v>
      </c>
      <c r="W2581" s="2074" t="s">
        <v>9555</v>
      </c>
      <c r="X2581" s="18"/>
      <c r="Y2581" s="4"/>
      <c r="Z2581" s="4"/>
    </row>
    <row r="2582" spans="1:26" ht="24.95" hidden="1">
      <c r="A2582" s="20">
        <v>2589</v>
      </c>
      <c r="B2582" s="1063">
        <v>42359</v>
      </c>
      <c r="C2582" s="26" t="s">
        <v>9556</v>
      </c>
      <c r="D2582" s="278"/>
      <c r="E2582" s="26" t="s">
        <v>6634</v>
      </c>
      <c r="F2582" s="26" t="s">
        <v>9454</v>
      </c>
      <c r="G2582" s="26" t="s">
        <v>9557</v>
      </c>
      <c r="H2582" s="237" t="s">
        <v>1172</v>
      </c>
      <c r="I2582" s="26" t="s">
        <v>84</v>
      </c>
      <c r="J2582" s="26">
        <v>9206154</v>
      </c>
      <c r="K2582" s="26" t="s">
        <v>9558</v>
      </c>
      <c r="L2582" s="26"/>
      <c r="M2582" s="26">
        <v>1</v>
      </c>
      <c r="N2582" s="26">
        <v>1</v>
      </c>
      <c r="O2582" s="26">
        <v>1</v>
      </c>
      <c r="P2582" s="26">
        <v>0</v>
      </c>
      <c r="Q2582" s="26">
        <v>0</v>
      </c>
      <c r="R2582" s="1209">
        <v>799</v>
      </c>
      <c r="S2582" s="1209">
        <v>799</v>
      </c>
      <c r="T2582" s="26" t="s">
        <v>5448</v>
      </c>
      <c r="U2582" s="1859" t="s">
        <v>9458</v>
      </c>
      <c r="V2582" s="26" t="s">
        <v>9445</v>
      </c>
      <c r="W2582" s="2074" t="s">
        <v>9559</v>
      </c>
      <c r="X2582" s="18"/>
      <c r="Y2582" s="4"/>
      <c r="Z2582" s="4"/>
    </row>
    <row r="2583" spans="1:26" ht="14.1" hidden="1">
      <c r="A2583" s="20">
        <v>2590</v>
      </c>
      <c r="B2583" s="1063">
        <v>42360</v>
      </c>
      <c r="C2583" s="26" t="s">
        <v>9560</v>
      </c>
      <c r="D2583" s="11" t="s">
        <v>6</v>
      </c>
      <c r="E2583" s="26" t="s">
        <v>7956</v>
      </c>
      <c r="F2583" s="26" t="s">
        <v>2143</v>
      </c>
      <c r="G2583" s="26" t="s">
        <v>9561</v>
      </c>
      <c r="H2583" s="237" t="s">
        <v>7673</v>
      </c>
      <c r="I2583" s="26" t="s">
        <v>84</v>
      </c>
      <c r="J2583" s="26">
        <v>68910293</v>
      </c>
      <c r="K2583" s="26" t="s">
        <v>9562</v>
      </c>
      <c r="L2583" s="26"/>
      <c r="M2583" s="26">
        <v>1</v>
      </c>
      <c r="N2583" s="26">
        <v>1</v>
      </c>
      <c r="O2583" s="26">
        <v>1</v>
      </c>
      <c r="P2583" s="26">
        <v>0</v>
      </c>
      <c r="Q2583" s="26">
        <v>0</v>
      </c>
      <c r="R2583" s="1209">
        <v>539</v>
      </c>
      <c r="S2583" s="1209">
        <v>539</v>
      </c>
      <c r="T2583" s="26" t="s">
        <v>5448</v>
      </c>
      <c r="U2583" s="1859" t="s">
        <v>1136</v>
      </c>
      <c r="V2583" s="26" t="s">
        <v>3140</v>
      </c>
      <c r="W2583" s="649" t="s">
        <v>9563</v>
      </c>
      <c r="X2583" s="18"/>
      <c r="Y2583" s="4"/>
      <c r="Z2583" s="4"/>
    </row>
    <row r="2584" spans="1:26" ht="14.1" hidden="1">
      <c r="A2584" s="20">
        <v>2591</v>
      </c>
      <c r="B2584" s="1063">
        <v>42361</v>
      </c>
      <c r="C2584" s="26" t="s">
        <v>9564</v>
      </c>
      <c r="D2584" s="11" t="s">
        <v>6</v>
      </c>
      <c r="E2584" s="26" t="s">
        <v>7956</v>
      </c>
      <c r="F2584" s="26" t="s">
        <v>2143</v>
      </c>
      <c r="G2584" s="26" t="s">
        <v>9565</v>
      </c>
      <c r="H2584" s="237" t="s">
        <v>5609</v>
      </c>
      <c r="I2584" s="26" t="s">
        <v>84</v>
      </c>
      <c r="J2584" s="26">
        <v>49277803</v>
      </c>
      <c r="K2584" s="26" t="s">
        <v>2595</v>
      </c>
      <c r="L2584" s="26"/>
      <c r="M2584" s="26">
        <v>1</v>
      </c>
      <c r="N2584" s="26">
        <v>1</v>
      </c>
      <c r="O2584" s="26">
        <v>1</v>
      </c>
      <c r="P2584" s="26">
        <v>0</v>
      </c>
      <c r="Q2584" s="26">
        <v>0</v>
      </c>
      <c r="R2584" s="1209">
        <v>789</v>
      </c>
      <c r="S2584" s="1209">
        <v>789</v>
      </c>
      <c r="T2584" s="26" t="s">
        <v>5448</v>
      </c>
      <c r="U2584" s="1859" t="s">
        <v>1136</v>
      </c>
      <c r="V2584" s="26" t="s">
        <v>3140</v>
      </c>
      <c r="W2584" s="2074" t="s">
        <v>9566</v>
      </c>
      <c r="X2584" s="18"/>
      <c r="Y2584" s="4"/>
      <c r="Z2584" s="4"/>
    </row>
    <row r="2585" spans="1:26" ht="14.1" hidden="1">
      <c r="A2585" s="20">
        <v>2592</v>
      </c>
      <c r="B2585" s="1063">
        <v>42362</v>
      </c>
      <c r="C2585" s="26" t="s">
        <v>9567</v>
      </c>
      <c r="D2585" s="11" t="s">
        <v>6</v>
      </c>
      <c r="E2585" s="26" t="s">
        <v>7956</v>
      </c>
      <c r="F2585" s="26" t="s">
        <v>2143</v>
      </c>
      <c r="G2585" s="26" t="s">
        <v>9568</v>
      </c>
      <c r="H2585" s="237" t="s">
        <v>7673</v>
      </c>
      <c r="I2585" s="26" t="s">
        <v>84</v>
      </c>
      <c r="J2585" s="26">
        <v>23442642</v>
      </c>
      <c r="K2585" s="26" t="s">
        <v>1005</v>
      </c>
      <c r="L2585" s="26"/>
      <c r="M2585" s="26">
        <v>1</v>
      </c>
      <c r="N2585" s="26">
        <v>1</v>
      </c>
      <c r="O2585" s="26">
        <v>1</v>
      </c>
      <c r="P2585" s="26">
        <v>0</v>
      </c>
      <c r="Q2585" s="26">
        <v>0</v>
      </c>
      <c r="R2585" s="1209">
        <v>429</v>
      </c>
      <c r="S2585" s="1209">
        <v>429</v>
      </c>
      <c r="T2585" s="26" t="s">
        <v>5448</v>
      </c>
      <c r="U2585" s="1859" t="s">
        <v>1136</v>
      </c>
      <c r="V2585" s="26" t="s">
        <v>3140</v>
      </c>
      <c r="W2585" s="649" t="s">
        <v>9569</v>
      </c>
      <c r="X2585" s="18"/>
      <c r="Y2585" s="4"/>
      <c r="Z2585" s="4"/>
    </row>
    <row r="2586" spans="1:26" ht="14.1" hidden="1">
      <c r="A2586" s="20">
        <v>2593</v>
      </c>
      <c r="B2586" s="1063">
        <v>42363</v>
      </c>
      <c r="C2586" s="26" t="s">
        <v>9570</v>
      </c>
      <c r="D2586" s="11" t="s">
        <v>6</v>
      </c>
      <c r="E2586" s="26" t="s">
        <v>7956</v>
      </c>
      <c r="F2586" s="26" t="s">
        <v>2143</v>
      </c>
      <c r="G2586" s="26" t="s">
        <v>9571</v>
      </c>
      <c r="H2586" s="237" t="s">
        <v>7673</v>
      </c>
      <c r="I2586" s="26" t="s">
        <v>84</v>
      </c>
      <c r="J2586" s="26">
        <v>5526105</v>
      </c>
      <c r="K2586" s="26" t="s">
        <v>9572</v>
      </c>
      <c r="L2586" s="26"/>
      <c r="M2586" s="26">
        <v>1</v>
      </c>
      <c r="N2586" s="26">
        <v>1</v>
      </c>
      <c r="O2586" s="26">
        <v>1</v>
      </c>
      <c r="P2586" s="26">
        <v>0</v>
      </c>
      <c r="Q2586" s="26">
        <v>0</v>
      </c>
      <c r="R2586" s="1209">
        <v>519</v>
      </c>
      <c r="S2586" s="1209">
        <v>519</v>
      </c>
      <c r="T2586" s="26" t="s">
        <v>5448</v>
      </c>
      <c r="U2586" s="1859" t="s">
        <v>1136</v>
      </c>
      <c r="V2586" s="26" t="s">
        <v>3140</v>
      </c>
      <c r="W2586" s="649" t="s">
        <v>9573</v>
      </c>
      <c r="X2586" s="18"/>
      <c r="Y2586" s="4"/>
      <c r="Z2586" s="4"/>
    </row>
    <row r="2587" spans="1:26" ht="14.1" hidden="1">
      <c r="A2587" s="20">
        <v>2594</v>
      </c>
      <c r="B2587" s="1063">
        <v>42364</v>
      </c>
      <c r="C2587" s="26" t="s">
        <v>9574</v>
      </c>
      <c r="D2587" s="11" t="s">
        <v>6</v>
      </c>
      <c r="E2587" s="26" t="s">
        <v>7956</v>
      </c>
      <c r="F2587" s="26" t="s">
        <v>2143</v>
      </c>
      <c r="G2587" s="26" t="s">
        <v>9575</v>
      </c>
      <c r="H2587" s="237" t="s">
        <v>7673</v>
      </c>
      <c r="I2587" s="26" t="s">
        <v>84</v>
      </c>
      <c r="J2587" s="26">
        <v>34666667</v>
      </c>
      <c r="K2587" s="26" t="s">
        <v>9576</v>
      </c>
      <c r="L2587" s="26"/>
      <c r="M2587" s="26">
        <v>1</v>
      </c>
      <c r="N2587" s="26">
        <v>1</v>
      </c>
      <c r="O2587" s="26">
        <v>1</v>
      </c>
      <c r="P2587" s="26">
        <v>0</v>
      </c>
      <c r="Q2587" s="26">
        <v>0</v>
      </c>
      <c r="R2587" s="1209">
        <v>409</v>
      </c>
      <c r="S2587" s="1209">
        <v>409</v>
      </c>
      <c r="T2587" s="26" t="s">
        <v>5448</v>
      </c>
      <c r="U2587" s="1859" t="s">
        <v>1136</v>
      </c>
      <c r="V2587" s="26" t="s">
        <v>3140</v>
      </c>
      <c r="W2587" s="649" t="s">
        <v>9577</v>
      </c>
      <c r="X2587" s="18"/>
      <c r="Y2587" s="4"/>
      <c r="Z2587" s="4"/>
    </row>
    <row r="2588" spans="1:26" ht="14.1" hidden="1">
      <c r="A2588" s="20">
        <v>2595</v>
      </c>
      <c r="B2588" s="1063">
        <v>42365</v>
      </c>
      <c r="C2588" s="26" t="s">
        <v>9578</v>
      </c>
      <c r="D2588" s="11" t="s">
        <v>6</v>
      </c>
      <c r="E2588" s="26" t="s">
        <v>7956</v>
      </c>
      <c r="F2588" s="26" t="s">
        <v>2143</v>
      </c>
      <c r="G2588" s="26" t="s">
        <v>9579</v>
      </c>
      <c r="H2588" s="237" t="s">
        <v>5609</v>
      </c>
      <c r="I2588" s="26" t="s">
        <v>84</v>
      </c>
      <c r="J2588" s="26">
        <v>49277812</v>
      </c>
      <c r="K2588" s="26" t="s">
        <v>2597</v>
      </c>
      <c r="L2588" s="26"/>
      <c r="M2588" s="26">
        <v>1</v>
      </c>
      <c r="N2588" s="26">
        <v>1</v>
      </c>
      <c r="O2588" s="26">
        <v>1</v>
      </c>
      <c r="P2588" s="26">
        <v>0</v>
      </c>
      <c r="Q2588" s="26">
        <v>0</v>
      </c>
      <c r="R2588" s="1209">
        <v>788</v>
      </c>
      <c r="S2588" s="1209">
        <v>789</v>
      </c>
      <c r="T2588" s="26" t="s">
        <v>5448</v>
      </c>
      <c r="U2588" s="1859" t="s">
        <v>1136</v>
      </c>
      <c r="V2588" s="26" t="s">
        <v>3140</v>
      </c>
      <c r="W2588" s="701" t="s">
        <v>9580</v>
      </c>
      <c r="X2588" s="18"/>
      <c r="Y2588" s="4"/>
      <c r="Z2588" s="4"/>
    </row>
    <row r="2589" spans="1:26" ht="37.5" hidden="1">
      <c r="A2589" s="20">
        <v>2596</v>
      </c>
      <c r="B2589" s="1063">
        <v>42366</v>
      </c>
      <c r="C2589" s="26" t="s">
        <v>2594</v>
      </c>
      <c r="D2589" s="11" t="s">
        <v>6</v>
      </c>
      <c r="E2589" s="26" t="s">
        <v>2722</v>
      </c>
      <c r="F2589" s="26" t="s">
        <v>2332</v>
      </c>
      <c r="G2589" s="205" t="s">
        <v>2595</v>
      </c>
      <c r="H2589" s="26" t="s">
        <v>382</v>
      </c>
      <c r="I2589" s="26" t="s">
        <v>366</v>
      </c>
      <c r="J2589" s="205" t="s">
        <v>2595</v>
      </c>
      <c r="K2589" s="205" t="s">
        <v>2595</v>
      </c>
      <c r="L2589" s="26"/>
      <c r="M2589" s="26">
        <v>16</v>
      </c>
      <c r="N2589" s="26">
        <v>10</v>
      </c>
      <c r="O2589" s="26">
        <v>10</v>
      </c>
      <c r="P2589" s="26">
        <v>8</v>
      </c>
      <c r="Q2589" s="26">
        <f>O2589+P2589-M2589</f>
        <v>2</v>
      </c>
      <c r="R2589" s="1278">
        <v>78.599999999999994</v>
      </c>
      <c r="S2589" s="1279">
        <f t="shared" ref="S2589:S2590" si="138">R2589*O2589</f>
        <v>786</v>
      </c>
      <c r="T2589" s="175" t="s">
        <v>929</v>
      </c>
      <c r="U2589" s="1859" t="s">
        <v>1136</v>
      </c>
      <c r="V2589" s="129" t="s">
        <v>9500</v>
      </c>
      <c r="W2589" s="2008" t="s">
        <v>4727</v>
      </c>
      <c r="X2589" s="282" t="s">
        <v>9581</v>
      </c>
      <c r="Y2589" s="272"/>
      <c r="Z2589" s="272"/>
    </row>
    <row r="2590" spans="1:26" ht="14.45" hidden="1">
      <c r="A2590" s="20">
        <v>2597</v>
      </c>
      <c r="B2590" s="1063">
        <v>42367</v>
      </c>
      <c r="C2590" s="953" t="s">
        <v>9582</v>
      </c>
      <c r="D2590" s="10" t="s">
        <v>6</v>
      </c>
      <c r="E2590" s="26" t="s">
        <v>2722</v>
      </c>
      <c r="F2590" s="954" t="s">
        <v>7243</v>
      </c>
      <c r="G2590" s="283" t="s">
        <v>9583</v>
      </c>
      <c r="H2590" s="283" t="s">
        <v>9584</v>
      </c>
      <c r="I2590" s="283" t="s">
        <v>1144</v>
      </c>
      <c r="J2590" s="283" t="s">
        <v>9585</v>
      </c>
      <c r="K2590" s="283" t="s">
        <v>9586</v>
      </c>
      <c r="L2590" s="283"/>
      <c r="M2590" s="283">
        <v>1</v>
      </c>
      <c r="N2590" s="283">
        <v>1</v>
      </c>
      <c r="O2590" s="283">
        <v>3</v>
      </c>
      <c r="P2590" s="283">
        <v>0</v>
      </c>
      <c r="Q2590" s="283">
        <v>3</v>
      </c>
      <c r="R2590" s="1280">
        <v>9742</v>
      </c>
      <c r="S2590" s="1280">
        <f t="shared" si="138"/>
        <v>29226</v>
      </c>
      <c r="T2590" s="283" t="s">
        <v>311</v>
      </c>
      <c r="U2590" s="1917"/>
      <c r="V2590" s="283" t="s">
        <v>6170</v>
      </c>
      <c r="W2590" s="705" t="s">
        <v>9587</v>
      </c>
      <c r="X2590" s="18"/>
      <c r="Y2590" s="4"/>
      <c r="Z2590" s="4"/>
    </row>
    <row r="2591" spans="1:26" ht="14.45" hidden="1">
      <c r="A2591" s="20">
        <v>2598</v>
      </c>
      <c r="B2591" s="1063">
        <v>42368</v>
      </c>
      <c r="C2591" s="954" t="s">
        <v>9582</v>
      </c>
      <c r="D2591" s="10" t="s">
        <v>6</v>
      </c>
      <c r="E2591" s="26" t="s">
        <v>2722</v>
      </c>
      <c r="F2591" s="954" t="s">
        <v>7243</v>
      </c>
      <c r="G2591" s="283" t="s">
        <v>9588</v>
      </c>
      <c r="H2591" s="283" t="s">
        <v>1260</v>
      </c>
      <c r="I2591" s="283" t="s">
        <v>1144</v>
      </c>
      <c r="J2591" s="283" t="s">
        <v>9589</v>
      </c>
      <c r="K2591" s="283" t="s">
        <v>9590</v>
      </c>
      <c r="L2591" s="283" t="s">
        <v>1276</v>
      </c>
      <c r="M2591" s="283">
        <v>2</v>
      </c>
      <c r="N2591" s="283">
        <v>1</v>
      </c>
      <c r="O2591" s="283">
        <v>2</v>
      </c>
      <c r="P2591" s="283">
        <v>0</v>
      </c>
      <c r="Q2591" s="283">
        <v>1</v>
      </c>
      <c r="R2591" s="1280">
        <v>1395</v>
      </c>
      <c r="S2591" s="1280">
        <v>2790</v>
      </c>
      <c r="T2591" s="283" t="s">
        <v>311</v>
      </c>
      <c r="U2591" s="1917"/>
      <c r="V2591" s="283" t="s">
        <v>104</v>
      </c>
      <c r="W2591" s="2094" t="s">
        <v>9591</v>
      </c>
      <c r="X2591" s="18"/>
      <c r="Y2591" s="4"/>
      <c r="Z2591" s="4"/>
    </row>
    <row r="2592" spans="1:26" ht="14.45" hidden="1">
      <c r="A2592" s="20">
        <v>2599</v>
      </c>
      <c r="B2592" s="1063">
        <v>42369</v>
      </c>
      <c r="C2592" s="954" t="s">
        <v>9592</v>
      </c>
      <c r="D2592" s="10" t="s">
        <v>6</v>
      </c>
      <c r="E2592" s="26" t="s">
        <v>2722</v>
      </c>
      <c r="F2592" s="954" t="s">
        <v>7243</v>
      </c>
      <c r="G2592" s="283" t="s">
        <v>9593</v>
      </c>
      <c r="H2592" s="283" t="s">
        <v>1073</v>
      </c>
      <c r="I2592" s="283" t="s">
        <v>1144</v>
      </c>
      <c r="J2592" s="283" t="s">
        <v>9594</v>
      </c>
      <c r="K2592" s="283" t="s">
        <v>9595</v>
      </c>
      <c r="L2592" s="283" t="s">
        <v>9596</v>
      </c>
      <c r="M2592" s="283">
        <v>1</v>
      </c>
      <c r="N2592" s="283">
        <v>1</v>
      </c>
      <c r="O2592" s="283">
        <v>5</v>
      </c>
      <c r="P2592" s="283">
        <v>0</v>
      </c>
      <c r="Q2592" s="283">
        <v>4</v>
      </c>
      <c r="R2592" s="1280">
        <v>322</v>
      </c>
      <c r="S2592" s="1280">
        <f t="shared" ref="S2592:S2595" si="139">R2592*O2592</f>
        <v>1610</v>
      </c>
      <c r="T2592" s="283" t="s">
        <v>311</v>
      </c>
      <c r="U2592" s="1917"/>
      <c r="V2592" s="283" t="s">
        <v>104</v>
      </c>
      <c r="W2592" s="705" t="s">
        <v>9597</v>
      </c>
      <c r="X2592" s="18"/>
      <c r="Y2592" s="4"/>
      <c r="Z2592" s="4"/>
    </row>
    <row r="2593" spans="1:26" ht="14.45" hidden="1">
      <c r="A2593" s="20">
        <v>2600</v>
      </c>
      <c r="B2593" s="1063">
        <v>42370</v>
      </c>
      <c r="C2593" s="954" t="s">
        <v>4251</v>
      </c>
      <c r="D2593" s="10" t="s">
        <v>6</v>
      </c>
      <c r="E2593" s="26" t="s">
        <v>2722</v>
      </c>
      <c r="F2593" s="954" t="s">
        <v>7243</v>
      </c>
      <c r="G2593" s="283" t="s">
        <v>9598</v>
      </c>
      <c r="H2593" s="283" t="s">
        <v>460</v>
      </c>
      <c r="I2593" s="283" t="s">
        <v>1144</v>
      </c>
      <c r="J2593" s="283" t="s">
        <v>2985</v>
      </c>
      <c r="K2593" s="283" t="s">
        <v>2986</v>
      </c>
      <c r="L2593" s="283" t="s">
        <v>9596</v>
      </c>
      <c r="M2593" s="283">
        <v>3</v>
      </c>
      <c r="N2593" s="283">
        <v>1</v>
      </c>
      <c r="O2593" s="283">
        <v>3</v>
      </c>
      <c r="P2593" s="283">
        <v>0</v>
      </c>
      <c r="Q2593" s="283">
        <v>2</v>
      </c>
      <c r="R2593" s="1280">
        <v>210</v>
      </c>
      <c r="S2593" s="1280">
        <f t="shared" si="139"/>
        <v>630</v>
      </c>
      <c r="T2593" s="283" t="s">
        <v>311</v>
      </c>
      <c r="U2593" s="1917"/>
      <c r="V2593" s="283" t="s">
        <v>104</v>
      </c>
      <c r="W2593" s="2094" t="s">
        <v>9599</v>
      </c>
      <c r="X2593" s="18"/>
      <c r="Y2593" s="4"/>
      <c r="Z2593" s="4"/>
    </row>
    <row r="2594" spans="1:26" ht="14.45" hidden="1">
      <c r="A2594" s="20">
        <v>2601</v>
      </c>
      <c r="B2594" s="1063">
        <v>42371</v>
      </c>
      <c r="C2594" s="954" t="s">
        <v>4251</v>
      </c>
      <c r="D2594" s="10" t="s">
        <v>6</v>
      </c>
      <c r="E2594" s="26" t="s">
        <v>2722</v>
      </c>
      <c r="F2594" s="954" t="s">
        <v>7243</v>
      </c>
      <c r="G2594" s="283" t="s">
        <v>9600</v>
      </c>
      <c r="H2594" s="283" t="s">
        <v>460</v>
      </c>
      <c r="I2594" s="283" t="s">
        <v>1144</v>
      </c>
      <c r="J2594" s="283" t="s">
        <v>9601</v>
      </c>
      <c r="K2594" s="283" t="s">
        <v>9602</v>
      </c>
      <c r="L2594" s="283" t="s">
        <v>9596</v>
      </c>
      <c r="M2594" s="283">
        <v>3</v>
      </c>
      <c r="N2594" s="283">
        <v>1</v>
      </c>
      <c r="O2594" s="283">
        <v>3</v>
      </c>
      <c r="P2594" s="283">
        <v>0</v>
      </c>
      <c r="Q2594" s="283">
        <v>2</v>
      </c>
      <c r="R2594" s="1280">
        <v>150</v>
      </c>
      <c r="S2594" s="1280">
        <f t="shared" si="139"/>
        <v>450</v>
      </c>
      <c r="T2594" s="283" t="s">
        <v>311</v>
      </c>
      <c r="U2594" s="1917"/>
      <c r="V2594" s="283" t="s">
        <v>104</v>
      </c>
      <c r="W2594" s="2094" t="s">
        <v>9603</v>
      </c>
      <c r="X2594" s="18"/>
      <c r="Y2594" s="4"/>
      <c r="Z2594" s="4"/>
    </row>
    <row r="2595" spans="1:26" ht="14.45" hidden="1">
      <c r="A2595" s="20">
        <v>2602</v>
      </c>
      <c r="B2595" s="1063">
        <v>42372</v>
      </c>
      <c r="C2595" s="954" t="s">
        <v>4251</v>
      </c>
      <c r="D2595" s="10" t="s">
        <v>6</v>
      </c>
      <c r="E2595" s="26" t="s">
        <v>2722</v>
      </c>
      <c r="F2595" s="954" t="s">
        <v>7243</v>
      </c>
      <c r="G2595" s="283" t="s">
        <v>9604</v>
      </c>
      <c r="H2595" s="283" t="s">
        <v>752</v>
      </c>
      <c r="I2595" s="283" t="s">
        <v>1144</v>
      </c>
      <c r="J2595" s="283" t="s">
        <v>9605</v>
      </c>
      <c r="K2595" s="283" t="s">
        <v>9606</v>
      </c>
      <c r="L2595" s="283" t="s">
        <v>1868</v>
      </c>
      <c r="M2595" s="283">
        <v>3</v>
      </c>
      <c r="N2595" s="283">
        <v>1</v>
      </c>
      <c r="O2595" s="283">
        <v>3</v>
      </c>
      <c r="P2595" s="283">
        <v>0</v>
      </c>
      <c r="Q2595" s="283">
        <v>2</v>
      </c>
      <c r="R2595" s="1280">
        <v>51</v>
      </c>
      <c r="S2595" s="1280">
        <f t="shared" si="139"/>
        <v>153</v>
      </c>
      <c r="T2595" s="283" t="s">
        <v>311</v>
      </c>
      <c r="U2595" s="1917"/>
      <c r="V2595" s="283" t="s">
        <v>104</v>
      </c>
      <c r="W2595" s="2094" t="s">
        <v>9607</v>
      </c>
      <c r="X2595" s="18"/>
      <c r="Y2595" s="4"/>
      <c r="Z2595" s="4"/>
    </row>
    <row r="2596" spans="1:26" ht="14.45" hidden="1">
      <c r="A2596" s="20">
        <v>2603</v>
      </c>
      <c r="B2596" s="1063">
        <v>42373</v>
      </c>
      <c r="C2596" s="933" t="s">
        <v>9608</v>
      </c>
      <c r="D2596" s="10" t="s">
        <v>6</v>
      </c>
      <c r="E2596" s="26" t="s">
        <v>2722</v>
      </c>
      <c r="F2596" s="954" t="s">
        <v>7243</v>
      </c>
      <c r="G2596" s="284" t="s">
        <v>9609</v>
      </c>
      <c r="H2596" s="209" t="s">
        <v>9610</v>
      </c>
      <c r="I2596" s="283" t="s">
        <v>1144</v>
      </c>
      <c r="J2596" s="209" t="s">
        <v>9611</v>
      </c>
      <c r="K2596" s="209" t="s">
        <v>1080</v>
      </c>
      <c r="L2596" s="283" t="s">
        <v>1276</v>
      </c>
      <c r="M2596" s="283">
        <v>3</v>
      </c>
      <c r="N2596" s="283">
        <v>1</v>
      </c>
      <c r="O2596" s="283">
        <v>3</v>
      </c>
      <c r="P2596" s="283">
        <v>0</v>
      </c>
      <c r="Q2596" s="283">
        <v>2</v>
      </c>
      <c r="R2596" s="1253">
        <v>1212</v>
      </c>
      <c r="S2596" s="1280">
        <f>R2596*M2596</f>
        <v>3636</v>
      </c>
      <c r="T2596" s="283" t="s">
        <v>311</v>
      </c>
      <c r="U2596" s="1917"/>
      <c r="V2596" s="283" t="s">
        <v>104</v>
      </c>
      <c r="W2596" s="2095" t="s">
        <v>3283</v>
      </c>
      <c r="X2596" s="18"/>
      <c r="Y2596" s="4"/>
      <c r="Z2596" s="4"/>
    </row>
    <row r="2597" spans="1:26" ht="14.45" hidden="1">
      <c r="A2597" s="20">
        <v>2604</v>
      </c>
      <c r="B2597" s="1063">
        <v>42374</v>
      </c>
      <c r="C2597" s="933" t="s">
        <v>9608</v>
      </c>
      <c r="D2597" s="10" t="s">
        <v>6</v>
      </c>
      <c r="E2597" s="26" t="s">
        <v>2722</v>
      </c>
      <c r="F2597" s="954" t="s">
        <v>7243</v>
      </c>
      <c r="G2597" s="209" t="s">
        <v>9612</v>
      </c>
      <c r="H2597" s="209" t="s">
        <v>9610</v>
      </c>
      <c r="I2597" s="283" t="s">
        <v>1144</v>
      </c>
      <c r="J2597" s="209" t="s">
        <v>9613</v>
      </c>
      <c r="K2597" s="209" t="s">
        <v>9614</v>
      </c>
      <c r="L2597" s="283" t="s">
        <v>1276</v>
      </c>
      <c r="M2597" s="209">
        <v>3</v>
      </c>
      <c r="N2597" s="209">
        <v>3</v>
      </c>
      <c r="O2597" s="209">
        <v>6</v>
      </c>
      <c r="P2597" s="283">
        <v>0</v>
      </c>
      <c r="Q2597" s="209">
        <v>3</v>
      </c>
      <c r="R2597" s="1253">
        <v>1293</v>
      </c>
      <c r="S2597" s="1280">
        <f t="shared" ref="S2597:S2611" si="140">R2597*O2597</f>
        <v>7758</v>
      </c>
      <c r="T2597" s="283" t="s">
        <v>311</v>
      </c>
      <c r="U2597" s="1917"/>
      <c r="V2597" s="283" t="s">
        <v>104</v>
      </c>
      <c r="W2597" s="2095" t="s">
        <v>9615</v>
      </c>
      <c r="X2597" s="18"/>
      <c r="Y2597" s="4"/>
      <c r="Z2597" s="4"/>
    </row>
    <row r="2598" spans="1:26" ht="14.45" hidden="1">
      <c r="A2598" s="20">
        <v>2605</v>
      </c>
      <c r="B2598" s="1063">
        <v>42375</v>
      </c>
      <c r="C2598" s="933" t="s">
        <v>9616</v>
      </c>
      <c r="D2598" s="10" t="s">
        <v>6</v>
      </c>
      <c r="E2598" s="26" t="s">
        <v>2722</v>
      </c>
      <c r="F2598" s="954" t="s">
        <v>7243</v>
      </c>
      <c r="G2598" s="209" t="s">
        <v>9617</v>
      </c>
      <c r="H2598" s="209" t="s">
        <v>1715</v>
      </c>
      <c r="I2598" s="283" t="s">
        <v>1144</v>
      </c>
      <c r="J2598" s="209" t="s">
        <v>9618</v>
      </c>
      <c r="K2598" s="209" t="s">
        <v>9619</v>
      </c>
      <c r="L2598" s="209" t="s">
        <v>5267</v>
      </c>
      <c r="M2598" s="209">
        <v>1</v>
      </c>
      <c r="N2598" s="209">
        <v>1</v>
      </c>
      <c r="O2598" s="209">
        <v>3</v>
      </c>
      <c r="P2598" s="209">
        <v>0</v>
      </c>
      <c r="Q2598" s="209">
        <v>2</v>
      </c>
      <c r="R2598" s="1253">
        <v>464</v>
      </c>
      <c r="S2598" s="1280">
        <f t="shared" si="140"/>
        <v>1392</v>
      </c>
      <c r="T2598" s="283" t="s">
        <v>311</v>
      </c>
      <c r="U2598" s="1917"/>
      <c r="V2598" s="283" t="s">
        <v>104</v>
      </c>
      <c r="W2598" s="2095" t="s">
        <v>9620</v>
      </c>
      <c r="X2598" s="18"/>
      <c r="Y2598" s="4"/>
      <c r="Z2598" s="4"/>
    </row>
    <row r="2599" spans="1:26" ht="14.45" hidden="1">
      <c r="A2599" s="20">
        <v>2606</v>
      </c>
      <c r="B2599" s="1063">
        <v>42376</v>
      </c>
      <c r="C2599" s="933" t="s">
        <v>4534</v>
      </c>
      <c r="D2599" s="10" t="s">
        <v>6</v>
      </c>
      <c r="E2599" s="26" t="s">
        <v>2722</v>
      </c>
      <c r="F2599" s="954" t="s">
        <v>7243</v>
      </c>
      <c r="G2599" s="209" t="s">
        <v>9621</v>
      </c>
      <c r="H2599" s="209" t="s">
        <v>3676</v>
      </c>
      <c r="I2599" s="209" t="s">
        <v>1144</v>
      </c>
      <c r="J2599" s="209" t="s">
        <v>9622</v>
      </c>
      <c r="K2599" s="209" t="s">
        <v>9623</v>
      </c>
      <c r="L2599" s="283" t="s">
        <v>1276</v>
      </c>
      <c r="M2599" s="209">
        <v>1</v>
      </c>
      <c r="N2599" s="209">
        <v>1</v>
      </c>
      <c r="O2599" s="209">
        <v>10</v>
      </c>
      <c r="P2599" s="209">
        <v>0</v>
      </c>
      <c r="Q2599" s="209">
        <v>9</v>
      </c>
      <c r="R2599" s="1253">
        <v>99.7</v>
      </c>
      <c r="S2599" s="1280">
        <f t="shared" si="140"/>
        <v>997</v>
      </c>
      <c r="T2599" s="283" t="s">
        <v>311</v>
      </c>
      <c r="U2599" s="1918"/>
      <c r="V2599" s="283" t="s">
        <v>104</v>
      </c>
      <c r="W2599" s="2095" t="s">
        <v>9624</v>
      </c>
      <c r="X2599" s="18"/>
      <c r="Y2599" s="4"/>
      <c r="Z2599" s="4"/>
    </row>
    <row r="2600" spans="1:26" ht="14.45" hidden="1">
      <c r="A2600" s="20">
        <v>2607</v>
      </c>
      <c r="B2600" s="1063">
        <v>42377</v>
      </c>
      <c r="C2600" s="933" t="s">
        <v>4534</v>
      </c>
      <c r="D2600" s="10" t="s">
        <v>6</v>
      </c>
      <c r="E2600" s="26" t="s">
        <v>2722</v>
      </c>
      <c r="F2600" s="954" t="s">
        <v>7243</v>
      </c>
      <c r="G2600" s="209" t="s">
        <v>9625</v>
      </c>
      <c r="H2600" s="209" t="s">
        <v>3676</v>
      </c>
      <c r="I2600" s="209" t="s">
        <v>1144</v>
      </c>
      <c r="J2600" s="285" t="s">
        <v>9626</v>
      </c>
      <c r="K2600" s="209" t="s">
        <v>9627</v>
      </c>
      <c r="L2600" s="283"/>
      <c r="M2600" s="209">
        <v>2</v>
      </c>
      <c r="N2600" s="209">
        <v>2</v>
      </c>
      <c r="O2600" s="209">
        <v>5</v>
      </c>
      <c r="P2600" s="209">
        <v>0</v>
      </c>
      <c r="Q2600" s="209">
        <v>3</v>
      </c>
      <c r="R2600" s="1259">
        <v>56</v>
      </c>
      <c r="S2600" s="1280">
        <f t="shared" si="140"/>
        <v>280</v>
      </c>
      <c r="T2600" s="283" t="s">
        <v>311</v>
      </c>
      <c r="U2600" s="1918"/>
      <c r="V2600" s="283" t="s">
        <v>104</v>
      </c>
      <c r="W2600" s="2095" t="s">
        <v>9628</v>
      </c>
      <c r="X2600" s="18"/>
      <c r="Y2600" s="4"/>
      <c r="Z2600" s="4"/>
    </row>
    <row r="2601" spans="1:26" ht="14.45" hidden="1">
      <c r="A2601" s="20">
        <v>2608</v>
      </c>
      <c r="B2601" s="1063">
        <v>42378</v>
      </c>
      <c r="C2601" s="933" t="s">
        <v>4534</v>
      </c>
      <c r="D2601" s="10" t="s">
        <v>6</v>
      </c>
      <c r="E2601" s="26" t="s">
        <v>2722</v>
      </c>
      <c r="F2601" s="954" t="s">
        <v>7243</v>
      </c>
      <c r="G2601" s="209" t="s">
        <v>9629</v>
      </c>
      <c r="H2601" s="209" t="s">
        <v>3676</v>
      </c>
      <c r="I2601" s="209" t="s">
        <v>1144</v>
      </c>
      <c r="J2601" s="209" t="s">
        <v>9630</v>
      </c>
      <c r="K2601" s="209" t="s">
        <v>9631</v>
      </c>
      <c r="L2601" s="283"/>
      <c r="M2601" s="209">
        <v>4</v>
      </c>
      <c r="N2601" s="209">
        <v>4</v>
      </c>
      <c r="O2601" s="209">
        <v>8</v>
      </c>
      <c r="P2601" s="209">
        <v>0</v>
      </c>
      <c r="Q2601" s="209">
        <v>4</v>
      </c>
      <c r="R2601" s="1253">
        <v>245</v>
      </c>
      <c r="S2601" s="1280">
        <f t="shared" si="140"/>
        <v>1960</v>
      </c>
      <c r="T2601" s="283" t="s">
        <v>311</v>
      </c>
      <c r="U2601" s="1918"/>
      <c r="V2601" s="283" t="s">
        <v>104</v>
      </c>
      <c r="W2601" s="2095" t="s">
        <v>9632</v>
      </c>
      <c r="X2601" s="18"/>
      <c r="Y2601" s="4"/>
      <c r="Z2601" s="4"/>
    </row>
    <row r="2602" spans="1:26" ht="14.45" hidden="1">
      <c r="A2602" s="20">
        <v>2609</v>
      </c>
      <c r="B2602" s="1063">
        <v>42379</v>
      </c>
      <c r="C2602" s="933" t="s">
        <v>4534</v>
      </c>
      <c r="D2602" s="10" t="s">
        <v>6</v>
      </c>
      <c r="E2602" s="26" t="s">
        <v>2722</v>
      </c>
      <c r="F2602" s="954" t="s">
        <v>7243</v>
      </c>
      <c r="G2602" s="285" t="s">
        <v>9633</v>
      </c>
      <c r="H2602" s="209" t="s">
        <v>9634</v>
      </c>
      <c r="I2602" s="209" t="s">
        <v>1144</v>
      </c>
      <c r="J2602" s="285" t="s">
        <v>9635</v>
      </c>
      <c r="K2602" s="285" t="s">
        <v>9636</v>
      </c>
      <c r="L2602" s="283"/>
      <c r="M2602" s="209">
        <v>4</v>
      </c>
      <c r="N2602" s="209">
        <v>4</v>
      </c>
      <c r="O2602" s="209">
        <v>10</v>
      </c>
      <c r="P2602" s="209">
        <v>0</v>
      </c>
      <c r="Q2602" s="209">
        <v>6</v>
      </c>
      <c r="R2602" s="1253">
        <v>4.5999999999999996</v>
      </c>
      <c r="S2602" s="1280">
        <f t="shared" si="140"/>
        <v>46</v>
      </c>
      <c r="T2602" s="283" t="s">
        <v>311</v>
      </c>
      <c r="U2602" s="1918"/>
      <c r="V2602" s="283" t="s">
        <v>104</v>
      </c>
      <c r="W2602" s="2095" t="s">
        <v>9637</v>
      </c>
      <c r="X2602" s="18"/>
      <c r="Y2602" s="4"/>
      <c r="Z2602" s="4"/>
    </row>
    <row r="2603" spans="1:26" ht="14.45" hidden="1">
      <c r="A2603" s="20">
        <v>2610</v>
      </c>
      <c r="B2603" s="1063">
        <v>42380</v>
      </c>
      <c r="C2603" s="933" t="s">
        <v>4534</v>
      </c>
      <c r="D2603" s="10" t="s">
        <v>6</v>
      </c>
      <c r="E2603" s="26" t="s">
        <v>2722</v>
      </c>
      <c r="F2603" s="954" t="s">
        <v>7243</v>
      </c>
      <c r="G2603" s="285" t="s">
        <v>9638</v>
      </c>
      <c r="H2603" s="209" t="s">
        <v>3676</v>
      </c>
      <c r="I2603" s="209" t="s">
        <v>1144</v>
      </c>
      <c r="J2603" s="209" t="s">
        <v>9639</v>
      </c>
      <c r="K2603" s="209" t="s">
        <v>9640</v>
      </c>
      <c r="L2603" s="283"/>
      <c r="M2603" s="209">
        <v>2</v>
      </c>
      <c r="N2603" s="209">
        <v>2</v>
      </c>
      <c r="O2603" s="209">
        <v>4</v>
      </c>
      <c r="P2603" s="209">
        <v>0</v>
      </c>
      <c r="Q2603" s="209">
        <v>2</v>
      </c>
      <c r="R2603" s="1253">
        <v>209</v>
      </c>
      <c r="S2603" s="1280">
        <f t="shared" si="140"/>
        <v>836</v>
      </c>
      <c r="T2603" s="283" t="s">
        <v>311</v>
      </c>
      <c r="U2603" s="1918"/>
      <c r="V2603" s="283" t="s">
        <v>104</v>
      </c>
      <c r="W2603" s="2095" t="s">
        <v>9641</v>
      </c>
      <c r="X2603" s="18"/>
      <c r="Y2603" s="4"/>
      <c r="Z2603" s="4"/>
    </row>
    <row r="2604" spans="1:26" ht="14.45" hidden="1">
      <c r="A2604" s="20">
        <v>2611</v>
      </c>
      <c r="B2604" s="1063">
        <v>42381</v>
      </c>
      <c r="C2604" s="933" t="s">
        <v>4534</v>
      </c>
      <c r="D2604" s="10" t="s">
        <v>6</v>
      </c>
      <c r="E2604" s="26" t="s">
        <v>2722</v>
      </c>
      <c r="F2604" s="954" t="s">
        <v>7243</v>
      </c>
      <c r="G2604" s="285" t="s">
        <v>9642</v>
      </c>
      <c r="H2604" s="209" t="s">
        <v>9634</v>
      </c>
      <c r="I2604" s="209" t="s">
        <v>1144</v>
      </c>
      <c r="J2604" s="285" t="s">
        <v>9643</v>
      </c>
      <c r="K2604" s="285" t="s">
        <v>9644</v>
      </c>
      <c r="L2604" s="283"/>
      <c r="M2604" s="209">
        <v>9</v>
      </c>
      <c r="N2604" s="209">
        <v>9</v>
      </c>
      <c r="O2604" s="209">
        <v>20</v>
      </c>
      <c r="P2604" s="209">
        <v>0</v>
      </c>
      <c r="Q2604" s="209">
        <v>11</v>
      </c>
      <c r="R2604" s="1253">
        <v>31</v>
      </c>
      <c r="S2604" s="1280">
        <f t="shared" si="140"/>
        <v>620</v>
      </c>
      <c r="T2604" s="283" t="s">
        <v>311</v>
      </c>
      <c r="U2604" s="1918"/>
      <c r="V2604" s="283" t="s">
        <v>104</v>
      </c>
      <c r="W2604" s="2095" t="s">
        <v>9645</v>
      </c>
      <c r="X2604" s="18"/>
      <c r="Y2604" s="4"/>
      <c r="Z2604" s="4"/>
    </row>
    <row r="2605" spans="1:26" ht="14.45" hidden="1">
      <c r="A2605" s="20">
        <v>2612</v>
      </c>
      <c r="B2605" s="1063">
        <v>42382</v>
      </c>
      <c r="C2605" s="933" t="s">
        <v>2342</v>
      </c>
      <c r="D2605" s="10" t="s">
        <v>6</v>
      </c>
      <c r="E2605" s="26" t="s">
        <v>2722</v>
      </c>
      <c r="F2605" s="954" t="s">
        <v>7243</v>
      </c>
      <c r="G2605" s="285" t="s">
        <v>9646</v>
      </c>
      <c r="H2605" s="209" t="s">
        <v>5428</v>
      </c>
      <c r="I2605" s="209" t="s">
        <v>1144</v>
      </c>
      <c r="J2605" s="285" t="s">
        <v>9647</v>
      </c>
      <c r="K2605" s="285" t="s">
        <v>9648</v>
      </c>
      <c r="L2605" s="283"/>
      <c r="M2605" s="209">
        <v>5</v>
      </c>
      <c r="N2605" s="209">
        <v>10</v>
      </c>
      <c r="O2605" s="209">
        <v>10</v>
      </c>
      <c r="P2605" s="209">
        <v>0</v>
      </c>
      <c r="Q2605" s="209">
        <f t="shared" ref="Q2605:Q2611" si="141">N2605-M2605</f>
        <v>5</v>
      </c>
      <c r="R2605" s="1253">
        <v>35</v>
      </c>
      <c r="S2605" s="1280">
        <f t="shared" si="140"/>
        <v>350</v>
      </c>
      <c r="T2605" s="283" t="s">
        <v>311</v>
      </c>
      <c r="U2605" s="1918"/>
      <c r="V2605" s="283" t="s">
        <v>104</v>
      </c>
      <c r="W2605" s="2095" t="s">
        <v>9649</v>
      </c>
      <c r="X2605" s="18"/>
      <c r="Y2605" s="4"/>
      <c r="Z2605" s="4"/>
    </row>
    <row r="2606" spans="1:26" ht="14.45" hidden="1">
      <c r="A2606" s="20">
        <v>2613</v>
      </c>
      <c r="B2606" s="1063">
        <v>42383</v>
      </c>
      <c r="C2606" s="933" t="s">
        <v>2342</v>
      </c>
      <c r="D2606" s="10" t="s">
        <v>6</v>
      </c>
      <c r="E2606" s="26" t="s">
        <v>2722</v>
      </c>
      <c r="F2606" s="954" t="s">
        <v>7243</v>
      </c>
      <c r="G2606" s="285" t="s">
        <v>9650</v>
      </c>
      <c r="H2606" s="209" t="s">
        <v>9651</v>
      </c>
      <c r="I2606" s="209" t="s">
        <v>1144</v>
      </c>
      <c r="J2606" s="285" t="s">
        <v>9652</v>
      </c>
      <c r="K2606" s="285" t="s">
        <v>9653</v>
      </c>
      <c r="L2606" s="283"/>
      <c r="M2606" s="209">
        <v>8</v>
      </c>
      <c r="N2606" s="209">
        <v>10</v>
      </c>
      <c r="O2606" s="209">
        <v>10</v>
      </c>
      <c r="P2606" s="209">
        <v>0</v>
      </c>
      <c r="Q2606" s="209">
        <f t="shared" si="141"/>
        <v>2</v>
      </c>
      <c r="R2606" s="1253">
        <v>225</v>
      </c>
      <c r="S2606" s="1280">
        <f t="shared" si="140"/>
        <v>2250</v>
      </c>
      <c r="T2606" s="283" t="s">
        <v>311</v>
      </c>
      <c r="U2606" s="1918"/>
      <c r="V2606" s="283" t="s">
        <v>104</v>
      </c>
      <c r="W2606" s="2095" t="s">
        <v>9654</v>
      </c>
      <c r="X2606" s="18"/>
      <c r="Y2606" s="4"/>
      <c r="Z2606" s="4"/>
    </row>
    <row r="2607" spans="1:26" ht="14.45" hidden="1">
      <c r="A2607" s="20">
        <v>2614</v>
      </c>
      <c r="B2607" s="1063">
        <v>42384</v>
      </c>
      <c r="C2607" s="933" t="s">
        <v>2342</v>
      </c>
      <c r="D2607" s="10" t="s">
        <v>6</v>
      </c>
      <c r="E2607" s="26" t="s">
        <v>2722</v>
      </c>
      <c r="F2607" s="954" t="s">
        <v>7243</v>
      </c>
      <c r="G2607" s="209" t="s">
        <v>9655</v>
      </c>
      <c r="H2607" s="209" t="s">
        <v>5428</v>
      </c>
      <c r="I2607" s="209" t="s">
        <v>1144</v>
      </c>
      <c r="J2607" s="285" t="s">
        <v>9656</v>
      </c>
      <c r="K2607" s="285" t="s">
        <v>9657</v>
      </c>
      <c r="L2607" s="283"/>
      <c r="M2607" s="209">
        <v>4</v>
      </c>
      <c r="N2607" s="209">
        <v>10</v>
      </c>
      <c r="O2607" s="209">
        <v>10</v>
      </c>
      <c r="P2607" s="209">
        <v>0</v>
      </c>
      <c r="Q2607" s="209">
        <f t="shared" si="141"/>
        <v>6</v>
      </c>
      <c r="R2607" s="1253">
        <v>37</v>
      </c>
      <c r="S2607" s="1280">
        <f t="shared" si="140"/>
        <v>370</v>
      </c>
      <c r="T2607" s="283" t="s">
        <v>311</v>
      </c>
      <c r="U2607" s="1918"/>
      <c r="V2607" s="283" t="s">
        <v>104</v>
      </c>
      <c r="W2607" s="2095" t="s">
        <v>9658</v>
      </c>
      <c r="X2607" s="18"/>
      <c r="Y2607" s="4"/>
      <c r="Z2607" s="4"/>
    </row>
    <row r="2608" spans="1:26" ht="14.45" hidden="1">
      <c r="A2608" s="20">
        <v>2615</v>
      </c>
      <c r="B2608" s="1063">
        <v>42385</v>
      </c>
      <c r="C2608" s="933" t="s">
        <v>2342</v>
      </c>
      <c r="D2608" s="10" t="s">
        <v>6</v>
      </c>
      <c r="E2608" s="26" t="s">
        <v>2722</v>
      </c>
      <c r="F2608" s="954" t="s">
        <v>7243</v>
      </c>
      <c r="G2608" s="193" t="s">
        <v>9659</v>
      </c>
      <c r="H2608" s="209" t="s">
        <v>5428</v>
      </c>
      <c r="I2608" s="209" t="s">
        <v>1144</v>
      </c>
      <c r="J2608" s="285" t="s">
        <v>9660</v>
      </c>
      <c r="K2608" s="285" t="s">
        <v>9661</v>
      </c>
      <c r="L2608" s="283"/>
      <c r="M2608" s="209">
        <v>7</v>
      </c>
      <c r="N2608" s="209">
        <v>10</v>
      </c>
      <c r="O2608" s="209">
        <v>10</v>
      </c>
      <c r="P2608" s="209">
        <v>0</v>
      </c>
      <c r="Q2608" s="209">
        <f t="shared" si="141"/>
        <v>3</v>
      </c>
      <c r="R2608" s="1253">
        <v>28</v>
      </c>
      <c r="S2608" s="1280">
        <f t="shared" si="140"/>
        <v>280</v>
      </c>
      <c r="T2608" s="283" t="s">
        <v>311</v>
      </c>
      <c r="U2608" s="1918"/>
      <c r="V2608" s="283" t="s">
        <v>104</v>
      </c>
      <c r="W2608" s="2095" t="s">
        <v>9662</v>
      </c>
      <c r="X2608" s="18"/>
      <c r="Y2608" s="4"/>
      <c r="Z2608" s="4"/>
    </row>
    <row r="2609" spans="1:26" ht="14.45" hidden="1">
      <c r="A2609" s="20">
        <v>2616</v>
      </c>
      <c r="B2609" s="1063">
        <v>42386</v>
      </c>
      <c r="C2609" s="933" t="s">
        <v>2342</v>
      </c>
      <c r="D2609" s="10" t="s">
        <v>6</v>
      </c>
      <c r="E2609" s="26" t="s">
        <v>2722</v>
      </c>
      <c r="F2609" s="954" t="s">
        <v>7243</v>
      </c>
      <c r="G2609" s="283" t="s">
        <v>9663</v>
      </c>
      <c r="H2609" s="209" t="s">
        <v>5428</v>
      </c>
      <c r="I2609" s="209" t="s">
        <v>1144</v>
      </c>
      <c r="J2609" s="209" t="s">
        <v>9664</v>
      </c>
      <c r="K2609" s="209" t="s">
        <v>9665</v>
      </c>
      <c r="L2609" s="283"/>
      <c r="M2609" s="209">
        <v>2</v>
      </c>
      <c r="N2609" s="209">
        <v>10</v>
      </c>
      <c r="O2609" s="209">
        <v>10</v>
      </c>
      <c r="P2609" s="209">
        <v>0</v>
      </c>
      <c r="Q2609" s="209">
        <f t="shared" si="141"/>
        <v>8</v>
      </c>
      <c r="R2609" s="1280">
        <v>63</v>
      </c>
      <c r="S2609" s="1280">
        <f t="shared" si="140"/>
        <v>630</v>
      </c>
      <c r="T2609" s="283" t="s">
        <v>311</v>
      </c>
      <c r="U2609" s="1918"/>
      <c r="V2609" s="283" t="s">
        <v>104</v>
      </c>
      <c r="W2609" s="2095" t="s">
        <v>9666</v>
      </c>
      <c r="X2609" s="18"/>
      <c r="Y2609" s="4"/>
      <c r="Z2609" s="4"/>
    </row>
    <row r="2610" spans="1:26" ht="14.45" hidden="1">
      <c r="A2610" s="20">
        <v>2617</v>
      </c>
      <c r="B2610" s="1063">
        <v>42387</v>
      </c>
      <c r="C2610" s="933" t="s">
        <v>2342</v>
      </c>
      <c r="D2610" s="10" t="s">
        <v>6</v>
      </c>
      <c r="E2610" s="26" t="s">
        <v>2722</v>
      </c>
      <c r="F2610" s="954" t="s">
        <v>7243</v>
      </c>
      <c r="G2610" s="286" t="s">
        <v>9667</v>
      </c>
      <c r="H2610" s="287" t="s">
        <v>9668</v>
      </c>
      <c r="I2610" s="209" t="s">
        <v>1144</v>
      </c>
      <c r="J2610" s="287" t="s">
        <v>9669</v>
      </c>
      <c r="K2610" s="287" t="s">
        <v>9670</v>
      </c>
      <c r="L2610" s="283"/>
      <c r="M2610" s="209">
        <v>4</v>
      </c>
      <c r="N2610" s="209">
        <v>10</v>
      </c>
      <c r="O2610" s="209">
        <v>10</v>
      </c>
      <c r="P2610" s="209">
        <v>0</v>
      </c>
      <c r="Q2610" s="209">
        <f t="shared" si="141"/>
        <v>6</v>
      </c>
      <c r="R2610" s="1280">
        <v>36</v>
      </c>
      <c r="S2610" s="1280">
        <f t="shared" si="140"/>
        <v>360</v>
      </c>
      <c r="T2610" s="283" t="s">
        <v>311</v>
      </c>
      <c r="U2610" s="1918"/>
      <c r="V2610" s="283" t="s">
        <v>104</v>
      </c>
      <c r="W2610" s="2095" t="s">
        <v>9671</v>
      </c>
      <c r="X2610" s="18"/>
      <c r="Y2610" s="4"/>
      <c r="Z2610" s="4"/>
    </row>
    <row r="2611" spans="1:26" ht="14.45" hidden="1">
      <c r="A2611" s="20">
        <v>2618</v>
      </c>
      <c r="B2611" s="1063">
        <v>42388</v>
      </c>
      <c r="C2611" s="933" t="s">
        <v>2342</v>
      </c>
      <c r="D2611" s="10" t="s">
        <v>6</v>
      </c>
      <c r="E2611" s="26" t="s">
        <v>2722</v>
      </c>
      <c r="F2611" s="954" t="s">
        <v>7243</v>
      </c>
      <c r="G2611" s="283" t="s">
        <v>9672</v>
      </c>
      <c r="H2611" s="287" t="s">
        <v>9668</v>
      </c>
      <c r="I2611" s="209" t="s">
        <v>1144</v>
      </c>
      <c r="J2611" s="283" t="s">
        <v>9673</v>
      </c>
      <c r="K2611" s="283" t="s">
        <v>9674</v>
      </c>
      <c r="L2611" s="283"/>
      <c r="M2611" s="209">
        <v>4</v>
      </c>
      <c r="N2611" s="209">
        <v>10</v>
      </c>
      <c r="O2611" s="209">
        <v>10</v>
      </c>
      <c r="P2611" s="209">
        <v>0</v>
      </c>
      <c r="Q2611" s="209">
        <f t="shared" si="141"/>
        <v>6</v>
      </c>
      <c r="R2611" s="1259">
        <v>54</v>
      </c>
      <c r="S2611" s="1280">
        <f t="shared" si="140"/>
        <v>540</v>
      </c>
      <c r="T2611" s="283" t="s">
        <v>311</v>
      </c>
      <c r="U2611" s="1917"/>
      <c r="V2611" s="283" t="s">
        <v>104</v>
      </c>
      <c r="W2611" s="2095" t="s">
        <v>9675</v>
      </c>
      <c r="X2611" s="18"/>
      <c r="Y2611" s="4"/>
      <c r="Z2611" s="4"/>
    </row>
    <row r="2612" spans="1:26" ht="14.45" hidden="1">
      <c r="A2612" s="20">
        <v>2619</v>
      </c>
      <c r="B2612" s="1063">
        <v>42389</v>
      </c>
      <c r="C2612" s="933" t="s">
        <v>285</v>
      </c>
      <c r="D2612" s="10" t="s">
        <v>6</v>
      </c>
      <c r="E2612" s="26" t="s">
        <v>2722</v>
      </c>
      <c r="F2612" s="954" t="s">
        <v>7243</v>
      </c>
      <c r="G2612" s="209" t="s">
        <v>9676</v>
      </c>
      <c r="H2612" s="194"/>
      <c r="I2612" s="209" t="s">
        <v>9677</v>
      </c>
      <c r="J2612" s="283"/>
      <c r="K2612" s="283"/>
      <c r="L2612" s="283"/>
      <c r="M2612" s="209">
        <v>2</v>
      </c>
      <c r="N2612" s="209">
        <v>2</v>
      </c>
      <c r="O2612" s="209">
        <v>5</v>
      </c>
      <c r="P2612" s="209">
        <v>0</v>
      </c>
      <c r="Q2612" s="209">
        <v>3</v>
      </c>
      <c r="R2612" s="1253">
        <v>2513</v>
      </c>
      <c r="S2612" s="1253">
        <v>2513</v>
      </c>
      <c r="T2612" s="283" t="s">
        <v>311</v>
      </c>
      <c r="U2612" s="1917"/>
      <c r="V2612" s="283" t="s">
        <v>104</v>
      </c>
      <c r="W2612" s="2095" t="s">
        <v>9678</v>
      </c>
      <c r="X2612" s="18"/>
      <c r="Y2612" s="4"/>
      <c r="Z2612" s="4"/>
    </row>
    <row r="2613" spans="1:26" ht="14.45" hidden="1">
      <c r="A2613" s="20">
        <v>2620</v>
      </c>
      <c r="B2613" s="1063">
        <v>42390</v>
      </c>
      <c r="C2613" s="954" t="s">
        <v>9679</v>
      </c>
      <c r="D2613" s="10" t="s">
        <v>6</v>
      </c>
      <c r="E2613" s="26" t="s">
        <v>2722</v>
      </c>
      <c r="F2613" s="954" t="s">
        <v>7243</v>
      </c>
      <c r="G2613" s="283" t="s">
        <v>9680</v>
      </c>
      <c r="H2613" s="283" t="s">
        <v>9681</v>
      </c>
      <c r="I2613" s="283" t="s">
        <v>39</v>
      </c>
      <c r="J2613" s="283" t="s">
        <v>9682</v>
      </c>
      <c r="K2613" s="283" t="s">
        <v>9683</v>
      </c>
      <c r="L2613" s="283"/>
      <c r="M2613" s="283">
        <v>1</v>
      </c>
      <c r="N2613" s="283">
        <v>2</v>
      </c>
      <c r="O2613" s="283">
        <v>2</v>
      </c>
      <c r="P2613" s="283">
        <v>0</v>
      </c>
      <c r="Q2613" s="283">
        <v>1</v>
      </c>
      <c r="R2613" s="1280">
        <v>236</v>
      </c>
      <c r="S2613" s="1253">
        <f t="shared" ref="S2613:S2616" si="142">R2613*O2613</f>
        <v>472</v>
      </c>
      <c r="T2613" s="283" t="s">
        <v>311</v>
      </c>
      <c r="U2613" s="1917"/>
      <c r="V2613" s="283" t="s">
        <v>104</v>
      </c>
      <c r="W2613" s="2095" t="s">
        <v>9684</v>
      </c>
      <c r="X2613" s="18"/>
      <c r="Y2613" s="4"/>
      <c r="Z2613" s="4"/>
    </row>
    <row r="2614" spans="1:26" ht="14.45" hidden="1">
      <c r="A2614" s="20">
        <v>2621</v>
      </c>
      <c r="B2614" s="1063">
        <v>42391</v>
      </c>
      <c r="C2614" s="954" t="s">
        <v>9685</v>
      </c>
      <c r="D2614" s="10" t="s">
        <v>6</v>
      </c>
      <c r="E2614" s="26" t="s">
        <v>2722</v>
      </c>
      <c r="F2614" s="954" t="s">
        <v>7243</v>
      </c>
      <c r="G2614" s="283" t="s">
        <v>2861</v>
      </c>
      <c r="H2614" s="283" t="s">
        <v>9686</v>
      </c>
      <c r="I2614" s="283" t="s">
        <v>1144</v>
      </c>
      <c r="J2614" s="283" t="s">
        <v>2863</v>
      </c>
      <c r="K2614" s="283" t="s">
        <v>2864</v>
      </c>
      <c r="L2614" s="283"/>
      <c r="M2614" s="283">
        <v>1</v>
      </c>
      <c r="N2614" s="283">
        <v>1</v>
      </c>
      <c r="O2614" s="283">
        <v>1</v>
      </c>
      <c r="P2614" s="283">
        <v>0</v>
      </c>
      <c r="Q2614" s="283">
        <v>1</v>
      </c>
      <c r="R2614" s="1280">
        <v>786</v>
      </c>
      <c r="S2614" s="1253">
        <f t="shared" si="142"/>
        <v>786</v>
      </c>
      <c r="T2614" s="283" t="s">
        <v>311</v>
      </c>
      <c r="U2614" s="1917"/>
      <c r="V2614" s="283" t="s">
        <v>104</v>
      </c>
      <c r="W2614" s="2096" t="s">
        <v>2865</v>
      </c>
      <c r="X2614" s="18"/>
      <c r="Y2614" s="4"/>
      <c r="Z2614" s="4"/>
    </row>
    <row r="2615" spans="1:26" ht="14.45" hidden="1">
      <c r="A2615" s="20">
        <v>2622</v>
      </c>
      <c r="B2615" s="1063">
        <v>42392</v>
      </c>
      <c r="C2615" s="954" t="s">
        <v>9679</v>
      </c>
      <c r="D2615" s="10" t="s">
        <v>6</v>
      </c>
      <c r="E2615" s="26" t="s">
        <v>2722</v>
      </c>
      <c r="F2615" s="954" t="s">
        <v>7243</v>
      </c>
      <c r="G2615" s="283" t="s">
        <v>9687</v>
      </c>
      <c r="H2615" s="283" t="s">
        <v>9688</v>
      </c>
      <c r="I2615" s="283" t="s">
        <v>1144</v>
      </c>
      <c r="J2615" s="283" t="s">
        <v>9689</v>
      </c>
      <c r="K2615" s="283" t="s">
        <v>9690</v>
      </c>
      <c r="L2615" s="283"/>
      <c r="M2615" s="283">
        <v>4</v>
      </c>
      <c r="N2615" s="283">
        <v>4</v>
      </c>
      <c r="O2615" s="283">
        <v>4</v>
      </c>
      <c r="P2615" s="283">
        <v>0</v>
      </c>
      <c r="Q2615" s="283">
        <v>0</v>
      </c>
      <c r="R2615" s="1280">
        <v>730</v>
      </c>
      <c r="S2615" s="1253">
        <f t="shared" si="142"/>
        <v>2920</v>
      </c>
      <c r="T2615" s="283" t="s">
        <v>311</v>
      </c>
      <c r="U2615" s="1917"/>
      <c r="V2615" s="283" t="s">
        <v>104</v>
      </c>
      <c r="W2615" s="2095" t="s">
        <v>9691</v>
      </c>
      <c r="X2615" s="18"/>
      <c r="Y2615" s="4"/>
      <c r="Z2615" s="4"/>
    </row>
    <row r="2616" spans="1:26" ht="14.45" hidden="1">
      <c r="A2616" s="20">
        <v>2623</v>
      </c>
      <c r="B2616" s="1063">
        <v>42393</v>
      </c>
      <c r="C2616" s="26" t="s">
        <v>9692</v>
      </c>
      <c r="D2616" s="11" t="s">
        <v>6</v>
      </c>
      <c r="E2616" s="26" t="s">
        <v>5448</v>
      </c>
      <c r="F2616" s="26" t="s">
        <v>9004</v>
      </c>
      <c r="G2616" s="26" t="s">
        <v>9693</v>
      </c>
      <c r="H2616" s="237" t="s">
        <v>429</v>
      </c>
      <c r="I2616" s="26" t="s">
        <v>366</v>
      </c>
      <c r="J2616" s="26" t="s">
        <v>9694</v>
      </c>
      <c r="K2616" s="26"/>
      <c r="L2616" s="26"/>
      <c r="M2616" s="26">
        <v>12</v>
      </c>
      <c r="N2616" s="26">
        <v>24</v>
      </c>
      <c r="O2616" s="26">
        <v>24</v>
      </c>
      <c r="P2616" s="26">
        <v>0</v>
      </c>
      <c r="Q2616" s="26">
        <v>12</v>
      </c>
      <c r="R2616" s="1209">
        <v>198</v>
      </c>
      <c r="S2616" s="1253">
        <f t="shared" si="142"/>
        <v>4752</v>
      </c>
      <c r="T2616" s="189" t="s">
        <v>9695</v>
      </c>
      <c r="U2616" s="1871" t="s">
        <v>9696</v>
      </c>
      <c r="V2616" s="18" t="s">
        <v>9697</v>
      </c>
      <c r="W2616" s="2065" t="s">
        <v>9698</v>
      </c>
      <c r="X2616" s="18"/>
      <c r="Y2616" s="4"/>
      <c r="Z2616" s="4"/>
    </row>
    <row r="2617" spans="1:26" ht="14.1" hidden="1">
      <c r="A2617" s="20">
        <v>2624</v>
      </c>
      <c r="B2617" s="1063">
        <v>42394</v>
      </c>
      <c r="C2617" s="26" t="s">
        <v>9699</v>
      </c>
      <c r="D2617" s="11" t="s">
        <v>6</v>
      </c>
      <c r="E2617" s="26" t="s">
        <v>2722</v>
      </c>
      <c r="F2617" s="26" t="s">
        <v>2143</v>
      </c>
      <c r="G2617" s="26" t="s">
        <v>9700</v>
      </c>
      <c r="H2617" s="237" t="s">
        <v>9701</v>
      </c>
      <c r="I2617" s="26" t="s">
        <v>1022</v>
      </c>
      <c r="J2617" s="26"/>
      <c r="K2617" s="26"/>
      <c r="L2617" s="26"/>
      <c r="M2617" s="26">
        <v>1</v>
      </c>
      <c r="N2617" s="26">
        <v>1</v>
      </c>
      <c r="O2617" s="26">
        <v>1</v>
      </c>
      <c r="P2617" s="26">
        <v>0</v>
      </c>
      <c r="Q2617" s="26">
        <v>0</v>
      </c>
      <c r="R2617" s="1209">
        <v>1499</v>
      </c>
      <c r="S2617" s="1209">
        <v>1499</v>
      </c>
      <c r="T2617" s="26" t="s">
        <v>311</v>
      </c>
      <c r="U2617" s="1859"/>
      <c r="V2617" s="26" t="s">
        <v>104</v>
      </c>
      <c r="W2617" s="649" t="s">
        <v>9702</v>
      </c>
      <c r="X2617" s="18"/>
      <c r="Y2617" s="4"/>
      <c r="Z2617" s="4"/>
    </row>
    <row r="2618" spans="1:26" ht="24.95" hidden="1">
      <c r="A2618" s="20">
        <v>2625</v>
      </c>
      <c r="B2618" s="1063">
        <v>42395</v>
      </c>
      <c r="C2618" s="26" t="s">
        <v>9447</v>
      </c>
      <c r="D2618" s="11" t="s">
        <v>6</v>
      </c>
      <c r="E2618" s="26" t="s">
        <v>2722</v>
      </c>
      <c r="F2618" s="26" t="s">
        <v>2332</v>
      </c>
      <c r="G2618" s="26" t="s">
        <v>9703</v>
      </c>
      <c r="H2618" s="26" t="s">
        <v>9449</v>
      </c>
      <c r="I2618" s="26" t="s">
        <v>366</v>
      </c>
      <c r="J2618" s="189">
        <v>4984798000526</v>
      </c>
      <c r="K2618" s="26" t="s">
        <v>9704</v>
      </c>
      <c r="L2618" s="26"/>
      <c r="M2618" s="26">
        <v>1</v>
      </c>
      <c r="N2618" s="26">
        <v>1</v>
      </c>
      <c r="O2618" s="26">
        <v>1</v>
      </c>
      <c r="P2618" s="26">
        <v>0</v>
      </c>
      <c r="Q2618" s="26">
        <f t="shared" ref="Q2618:Q2619" si="143">O2618+P2618-M2618</f>
        <v>0</v>
      </c>
      <c r="R2618" s="1227">
        <v>2200</v>
      </c>
      <c r="S2618" s="1228">
        <f t="shared" ref="S2618:S2619" si="144">R2618*O2618</f>
        <v>2200</v>
      </c>
      <c r="T2618" s="673"/>
      <c r="U2618" s="1871"/>
      <c r="V2618" s="673" t="s">
        <v>9445</v>
      </c>
      <c r="W2618" s="649" t="s">
        <v>9705</v>
      </c>
      <c r="X2618" s="18"/>
      <c r="Y2618" s="4"/>
      <c r="Z2618" s="4"/>
    </row>
    <row r="2619" spans="1:26" ht="14.1" hidden="1">
      <c r="A2619" s="20">
        <v>2626</v>
      </c>
      <c r="B2619" s="1063">
        <v>42396</v>
      </c>
      <c r="C2619" s="26" t="s">
        <v>9373</v>
      </c>
      <c r="D2619" s="11" t="s">
        <v>6</v>
      </c>
      <c r="E2619" s="26" t="s">
        <v>2722</v>
      </c>
      <c r="F2619" s="26" t="s">
        <v>2332</v>
      </c>
      <c r="G2619" s="26" t="s">
        <v>2597</v>
      </c>
      <c r="H2619" s="237" t="s">
        <v>382</v>
      </c>
      <c r="I2619" s="26" t="s">
        <v>84</v>
      </c>
      <c r="J2619" s="26" t="s">
        <v>2597</v>
      </c>
      <c r="K2619" s="26" t="s">
        <v>2597</v>
      </c>
      <c r="L2619" s="26"/>
      <c r="M2619" s="26">
        <v>1</v>
      </c>
      <c r="N2619" s="26">
        <v>10</v>
      </c>
      <c r="O2619" s="26">
        <v>2</v>
      </c>
      <c r="P2619" s="26">
        <v>0</v>
      </c>
      <c r="Q2619" s="26">
        <f t="shared" si="143"/>
        <v>1</v>
      </c>
      <c r="R2619" s="1227">
        <v>789</v>
      </c>
      <c r="S2619" s="1228">
        <f t="shared" si="144"/>
        <v>1578</v>
      </c>
      <c r="T2619" s="26" t="s">
        <v>9706</v>
      </c>
      <c r="U2619" s="1871" t="s">
        <v>929</v>
      </c>
      <c r="V2619" s="26" t="s">
        <v>104</v>
      </c>
      <c r="W2619" s="2074" t="s">
        <v>9707</v>
      </c>
      <c r="X2619" s="18"/>
      <c r="Y2619" s="4"/>
      <c r="Z2619" s="4"/>
    </row>
    <row r="2620" spans="1:26" ht="14.1" hidden="1">
      <c r="A2620" s="20">
        <v>2627</v>
      </c>
      <c r="B2620" s="1063">
        <v>42397</v>
      </c>
      <c r="C2620" s="26" t="s">
        <v>9708</v>
      </c>
      <c r="D2620" s="11" t="s">
        <v>6</v>
      </c>
      <c r="E2620" s="26" t="s">
        <v>2722</v>
      </c>
      <c r="F2620" s="26" t="s">
        <v>2143</v>
      </c>
      <c r="G2620" s="26" t="s">
        <v>9709</v>
      </c>
      <c r="H2620" s="237" t="s">
        <v>4066</v>
      </c>
      <c r="I2620" s="26" t="s">
        <v>4066</v>
      </c>
      <c r="J2620" s="26"/>
      <c r="K2620" s="26"/>
      <c r="L2620" s="26"/>
      <c r="M2620" s="26">
        <v>3</v>
      </c>
      <c r="N2620" s="26">
        <v>1</v>
      </c>
      <c r="O2620" s="26">
        <v>3</v>
      </c>
      <c r="P2620" s="26">
        <v>0</v>
      </c>
      <c r="Q2620" s="26">
        <v>0</v>
      </c>
      <c r="R2620" s="1209">
        <v>200</v>
      </c>
      <c r="S2620" s="1209">
        <v>600</v>
      </c>
      <c r="T2620" s="26" t="s">
        <v>87</v>
      </c>
      <c r="U2620" s="1859" t="s">
        <v>9710</v>
      </c>
      <c r="V2620" s="26" t="s">
        <v>104</v>
      </c>
      <c r="W2620" s="2084"/>
      <c r="X2620" s="18"/>
      <c r="Y2620" s="4"/>
      <c r="Z2620" s="4"/>
    </row>
    <row r="2621" spans="1:26" ht="14.1" hidden="1">
      <c r="A2621" s="20">
        <v>2628</v>
      </c>
      <c r="B2621" s="1063">
        <v>42398</v>
      </c>
      <c r="C2621" s="26" t="s">
        <v>9711</v>
      </c>
      <c r="D2621" s="11" t="s">
        <v>6</v>
      </c>
      <c r="E2621" s="26" t="s">
        <v>2722</v>
      </c>
      <c r="F2621" s="26" t="s">
        <v>2143</v>
      </c>
      <c r="G2621" s="26" t="s">
        <v>9712</v>
      </c>
      <c r="H2621" s="237" t="s">
        <v>4066</v>
      </c>
      <c r="I2621" s="26" t="s">
        <v>4066</v>
      </c>
      <c r="J2621" s="26"/>
      <c r="K2621" s="26"/>
      <c r="L2621" s="26"/>
      <c r="M2621" s="26">
        <v>1</v>
      </c>
      <c r="N2621" s="26">
        <v>1</v>
      </c>
      <c r="O2621" s="26">
        <v>1</v>
      </c>
      <c r="P2621" s="26">
        <v>0</v>
      </c>
      <c r="Q2621" s="26">
        <v>0</v>
      </c>
      <c r="R2621" s="1209">
        <v>3050</v>
      </c>
      <c r="S2621" s="1209">
        <v>3050</v>
      </c>
      <c r="T2621" s="26" t="s">
        <v>9713</v>
      </c>
      <c r="U2621" s="1859" t="s">
        <v>9710</v>
      </c>
      <c r="V2621" s="26" t="s">
        <v>104</v>
      </c>
      <c r="W2621" s="2084"/>
      <c r="X2621" s="18"/>
      <c r="Y2621" s="4"/>
      <c r="Z2621" s="4"/>
    </row>
    <row r="2622" spans="1:26" ht="104.1" hidden="1">
      <c r="A2622" s="20">
        <v>2629</v>
      </c>
      <c r="B2622" s="1063">
        <v>42399</v>
      </c>
      <c r="C2622" s="139" t="s">
        <v>2721</v>
      </c>
      <c r="D2622" s="288" t="s">
        <v>6</v>
      </c>
      <c r="E2622" s="56" t="s">
        <v>62</v>
      </c>
      <c r="F2622" s="18" t="s">
        <v>2876</v>
      </c>
      <c r="G2622" s="56" t="s">
        <v>9714</v>
      </c>
      <c r="H2622" s="56" t="s">
        <v>9715</v>
      </c>
      <c r="I2622" s="56" t="s">
        <v>9716</v>
      </c>
      <c r="J2622" s="56"/>
      <c r="K2622" s="56"/>
      <c r="L2622" s="56" t="s">
        <v>1</v>
      </c>
      <c r="M2622" s="56">
        <v>1</v>
      </c>
      <c r="N2622" s="56">
        <v>1</v>
      </c>
      <c r="O2622" s="56">
        <v>1</v>
      </c>
      <c r="P2622" s="56">
        <v>0</v>
      </c>
      <c r="Q2622" s="56">
        <f>(P2622+O2622)-M2622</f>
        <v>0</v>
      </c>
      <c r="R2622" s="1216">
        <v>7600</v>
      </c>
      <c r="S2622" s="1216">
        <v>7600</v>
      </c>
      <c r="T2622" s="56" t="s">
        <v>9717</v>
      </c>
      <c r="U2622" s="1919" t="s">
        <v>1</v>
      </c>
      <c r="V2622" s="56" t="s">
        <v>2727</v>
      </c>
      <c r="W2622" s="2097" t="s">
        <v>2728</v>
      </c>
      <c r="X2622" s="56"/>
      <c r="Y2622" s="57"/>
      <c r="Z2622" s="57"/>
    </row>
    <row r="2623" spans="1:26" ht="18" hidden="1">
      <c r="A2623" s="20">
        <v>2630</v>
      </c>
      <c r="B2623" s="1063">
        <v>42400</v>
      </c>
      <c r="C2623" s="56" t="s">
        <v>9718</v>
      </c>
      <c r="D2623" s="289" t="s">
        <v>7737</v>
      </c>
      <c r="E2623" s="139" t="s">
        <v>62</v>
      </c>
      <c r="F2623" s="26" t="s">
        <v>2876</v>
      </c>
      <c r="G2623" s="18" t="s">
        <v>9719</v>
      </c>
      <c r="H2623" s="290" t="s">
        <v>9720</v>
      </c>
      <c r="I2623" s="18" t="s">
        <v>1022</v>
      </c>
      <c r="J2623" s="290" t="s">
        <v>9721</v>
      </c>
      <c r="K2623" s="26"/>
      <c r="L2623" s="26"/>
      <c r="M2623" s="26">
        <v>1</v>
      </c>
      <c r="N2623" s="26">
        <v>25</v>
      </c>
      <c r="O2623" s="26">
        <v>25</v>
      </c>
      <c r="P2623" s="26">
        <v>0</v>
      </c>
      <c r="Q2623" s="26">
        <v>25</v>
      </c>
      <c r="R2623" s="1209">
        <f>860/Q2623</f>
        <v>34.4</v>
      </c>
      <c r="S2623" s="1209">
        <f>Q2623*R2623</f>
        <v>860</v>
      </c>
      <c r="T2623" s="18" t="s">
        <v>9717</v>
      </c>
      <c r="U2623" s="1859"/>
      <c r="V2623" s="18" t="s">
        <v>2727</v>
      </c>
      <c r="W2623" s="2065" t="s">
        <v>9722</v>
      </c>
      <c r="X2623" s="18"/>
      <c r="Y2623" s="4"/>
      <c r="Z2623" s="4"/>
    </row>
    <row r="2624" spans="1:26" ht="18" hidden="1">
      <c r="A2624" s="20">
        <v>2631</v>
      </c>
      <c r="B2624" s="1063">
        <v>42401</v>
      </c>
      <c r="C2624" s="924" t="s">
        <v>1991</v>
      </c>
      <c r="D2624" s="11" t="s">
        <v>6</v>
      </c>
      <c r="E2624" s="183" t="s">
        <v>572</v>
      </c>
      <c r="F2624" s="924" t="s">
        <v>1398</v>
      </c>
      <c r="G2624" s="291" t="s">
        <v>9723</v>
      </c>
      <c r="H2624" s="183" t="s">
        <v>1853</v>
      </c>
      <c r="I2624" s="183" t="s">
        <v>53</v>
      </c>
      <c r="J2624" s="183" t="s">
        <v>599</v>
      </c>
      <c r="K2624" s="183" t="s">
        <v>1991</v>
      </c>
      <c r="L2624" s="183"/>
      <c r="M2624" s="183">
        <v>10</v>
      </c>
      <c r="N2624" s="183">
        <v>1</v>
      </c>
      <c r="O2624" s="183">
        <v>10</v>
      </c>
      <c r="P2624" s="183">
        <v>0</v>
      </c>
      <c r="Q2624" s="183">
        <v>10</v>
      </c>
      <c r="R2624" s="1245">
        <v>21</v>
      </c>
      <c r="S2624" s="1245">
        <v>210</v>
      </c>
      <c r="T2624" s="183" t="s">
        <v>9724</v>
      </c>
      <c r="U2624" s="1893"/>
      <c r="V2624" s="183" t="s">
        <v>352</v>
      </c>
      <c r="W2624" s="2067" t="s">
        <v>602</v>
      </c>
      <c r="X2624" s="18"/>
      <c r="Y2624" s="4"/>
      <c r="Z2624" s="4"/>
    </row>
    <row r="2625" spans="1:26" ht="18" hidden="1">
      <c r="A2625" s="20">
        <v>2632</v>
      </c>
      <c r="B2625" s="1063">
        <v>42402</v>
      </c>
      <c r="C2625" s="924" t="s">
        <v>6519</v>
      </c>
      <c r="D2625" s="11" t="s">
        <v>6</v>
      </c>
      <c r="E2625" s="183" t="s">
        <v>572</v>
      </c>
      <c r="F2625" s="924" t="s">
        <v>1398</v>
      </c>
      <c r="G2625" s="291" t="s">
        <v>9725</v>
      </c>
      <c r="H2625" s="183" t="s">
        <v>1853</v>
      </c>
      <c r="I2625" s="183" t="s">
        <v>53</v>
      </c>
      <c r="J2625" s="183" t="s">
        <v>1854</v>
      </c>
      <c r="K2625" s="183" t="s">
        <v>6519</v>
      </c>
      <c r="L2625" s="183"/>
      <c r="M2625" s="183">
        <v>10</v>
      </c>
      <c r="N2625" s="183">
        <v>10</v>
      </c>
      <c r="O2625" s="183">
        <v>10</v>
      </c>
      <c r="P2625" s="183">
        <v>0</v>
      </c>
      <c r="Q2625" s="183">
        <v>10</v>
      </c>
      <c r="R2625" s="1245">
        <v>30.4</v>
      </c>
      <c r="S2625" s="1245">
        <v>304</v>
      </c>
      <c r="T2625" s="183" t="s">
        <v>9724</v>
      </c>
      <c r="U2625" s="1893"/>
      <c r="V2625" s="183" t="s">
        <v>352</v>
      </c>
      <c r="W2625" s="2067" t="s">
        <v>1857</v>
      </c>
      <c r="X2625" s="18"/>
      <c r="Y2625" s="4"/>
      <c r="Z2625" s="4"/>
    </row>
    <row r="2626" spans="1:26" ht="18" hidden="1">
      <c r="A2626" s="20">
        <v>2633</v>
      </c>
      <c r="B2626" s="1063">
        <v>42403</v>
      </c>
      <c r="C2626" s="924" t="s">
        <v>9726</v>
      </c>
      <c r="D2626" s="11" t="s">
        <v>6</v>
      </c>
      <c r="E2626" s="183" t="s">
        <v>572</v>
      </c>
      <c r="F2626" s="924" t="s">
        <v>1398</v>
      </c>
      <c r="G2626" s="292" t="s">
        <v>9727</v>
      </c>
      <c r="H2626" s="183" t="s">
        <v>1865</v>
      </c>
      <c r="I2626" s="183" t="s">
        <v>53</v>
      </c>
      <c r="J2626" s="183" t="s">
        <v>9726</v>
      </c>
      <c r="K2626" s="183" t="s">
        <v>9728</v>
      </c>
      <c r="L2626" s="183"/>
      <c r="M2626" s="183">
        <v>10</v>
      </c>
      <c r="N2626" s="183">
        <v>10</v>
      </c>
      <c r="O2626" s="183">
        <v>10</v>
      </c>
      <c r="P2626" s="183">
        <v>0</v>
      </c>
      <c r="Q2626" s="183">
        <v>10</v>
      </c>
      <c r="R2626" s="1245">
        <v>48.1</v>
      </c>
      <c r="S2626" s="1245">
        <v>481</v>
      </c>
      <c r="T2626" s="183" t="s">
        <v>9724</v>
      </c>
      <c r="U2626" s="1893"/>
      <c r="V2626" s="183" t="s">
        <v>352</v>
      </c>
      <c r="W2626" s="2067" t="s">
        <v>9729</v>
      </c>
      <c r="X2626" s="18"/>
      <c r="Y2626" s="4"/>
      <c r="Z2626" s="4"/>
    </row>
    <row r="2627" spans="1:26" ht="18" hidden="1">
      <c r="A2627" s="20">
        <v>2634</v>
      </c>
      <c r="B2627" s="1063">
        <v>42404</v>
      </c>
      <c r="C2627" s="924" t="s">
        <v>9730</v>
      </c>
      <c r="D2627" s="11" t="s">
        <v>6</v>
      </c>
      <c r="E2627" s="183" t="s">
        <v>572</v>
      </c>
      <c r="F2627" s="924" t="s">
        <v>1398</v>
      </c>
      <c r="G2627" s="292" t="s">
        <v>9731</v>
      </c>
      <c r="H2627" s="183" t="s">
        <v>1865</v>
      </c>
      <c r="I2627" s="183" t="s">
        <v>53</v>
      </c>
      <c r="J2627" s="183" t="s">
        <v>9732</v>
      </c>
      <c r="K2627" s="183" t="s">
        <v>9730</v>
      </c>
      <c r="L2627" s="183"/>
      <c r="M2627" s="183">
        <v>10</v>
      </c>
      <c r="N2627" s="183">
        <v>10</v>
      </c>
      <c r="O2627" s="183">
        <v>10</v>
      </c>
      <c r="P2627" s="183">
        <v>0</v>
      </c>
      <c r="Q2627" s="183">
        <v>10</v>
      </c>
      <c r="R2627" s="1245">
        <v>123.5</v>
      </c>
      <c r="S2627" s="1245">
        <v>1235</v>
      </c>
      <c r="T2627" s="183" t="s">
        <v>9724</v>
      </c>
      <c r="U2627" s="1893"/>
      <c r="V2627" s="183" t="s">
        <v>352</v>
      </c>
      <c r="W2627" s="2067" t="s">
        <v>9733</v>
      </c>
      <c r="X2627" s="18"/>
      <c r="Y2627" s="4"/>
      <c r="Z2627" s="4"/>
    </row>
    <row r="2628" spans="1:26" ht="18" hidden="1">
      <c r="A2628" s="20">
        <v>2635</v>
      </c>
      <c r="B2628" s="1063">
        <v>42405</v>
      </c>
      <c r="C2628" s="924" t="s">
        <v>9734</v>
      </c>
      <c r="D2628" s="11" t="s">
        <v>6</v>
      </c>
      <c r="E2628" s="183" t="s">
        <v>572</v>
      </c>
      <c r="F2628" s="924" t="s">
        <v>1398</v>
      </c>
      <c r="G2628" s="293" t="s">
        <v>9735</v>
      </c>
      <c r="H2628" s="183" t="s">
        <v>452</v>
      </c>
      <c r="I2628" s="183" t="s">
        <v>53</v>
      </c>
      <c r="J2628" s="183" t="s">
        <v>9736</v>
      </c>
      <c r="K2628" s="183" t="s">
        <v>9734</v>
      </c>
      <c r="L2628" s="183"/>
      <c r="M2628" s="183">
        <v>10</v>
      </c>
      <c r="N2628" s="183">
        <v>10</v>
      </c>
      <c r="O2628" s="183">
        <v>10</v>
      </c>
      <c r="P2628" s="183">
        <v>0</v>
      </c>
      <c r="Q2628" s="183">
        <v>10</v>
      </c>
      <c r="R2628" s="1245">
        <v>22.9</v>
      </c>
      <c r="S2628" s="1245">
        <v>229</v>
      </c>
      <c r="T2628" s="183" t="s">
        <v>9724</v>
      </c>
      <c r="U2628" s="1893"/>
      <c r="V2628" s="183" t="s">
        <v>352</v>
      </c>
      <c r="W2628" s="2067" t="s">
        <v>9737</v>
      </c>
      <c r="X2628" s="18"/>
      <c r="Y2628" s="4"/>
      <c r="Z2628" s="4"/>
    </row>
    <row r="2629" spans="1:26" ht="18" hidden="1">
      <c r="A2629" s="20">
        <v>2636</v>
      </c>
      <c r="B2629" s="1063">
        <v>42406</v>
      </c>
      <c r="C2629" s="924" t="s">
        <v>9738</v>
      </c>
      <c r="D2629" s="11" t="s">
        <v>6</v>
      </c>
      <c r="E2629" s="183" t="s">
        <v>572</v>
      </c>
      <c r="F2629" s="924" t="s">
        <v>1398</v>
      </c>
      <c r="G2629" s="293" t="s">
        <v>9739</v>
      </c>
      <c r="H2629" s="294" t="s">
        <v>2939</v>
      </c>
      <c r="I2629" s="183" t="s">
        <v>53</v>
      </c>
      <c r="J2629" s="183" t="s">
        <v>9740</v>
      </c>
      <c r="K2629" s="183" t="s">
        <v>9738</v>
      </c>
      <c r="L2629" s="183"/>
      <c r="M2629" s="183">
        <v>10</v>
      </c>
      <c r="N2629" s="183">
        <v>10</v>
      </c>
      <c r="O2629" s="183">
        <v>10</v>
      </c>
      <c r="P2629" s="183">
        <v>0</v>
      </c>
      <c r="Q2629" s="183">
        <v>10</v>
      </c>
      <c r="R2629" s="1245">
        <v>17.399999999999999</v>
      </c>
      <c r="S2629" s="1245">
        <v>174</v>
      </c>
      <c r="T2629" s="183" t="s">
        <v>9724</v>
      </c>
      <c r="U2629" s="1893"/>
      <c r="V2629" s="183" t="s">
        <v>352</v>
      </c>
      <c r="W2629" s="2067" t="s">
        <v>9741</v>
      </c>
      <c r="X2629" s="18"/>
      <c r="Y2629" s="4"/>
      <c r="Z2629" s="4"/>
    </row>
    <row r="2630" spans="1:26" ht="18" hidden="1">
      <c r="A2630" s="20">
        <v>2637</v>
      </c>
      <c r="B2630" s="1063">
        <v>42407</v>
      </c>
      <c r="C2630" s="924" t="s">
        <v>1069</v>
      </c>
      <c r="D2630" s="11" t="s">
        <v>6</v>
      </c>
      <c r="E2630" s="183" t="s">
        <v>572</v>
      </c>
      <c r="F2630" s="924" t="s">
        <v>1398</v>
      </c>
      <c r="G2630" s="183" t="s">
        <v>9742</v>
      </c>
      <c r="H2630" s="183" t="s">
        <v>511</v>
      </c>
      <c r="I2630" s="183" t="s">
        <v>39</v>
      </c>
      <c r="J2630" s="183" t="s">
        <v>9743</v>
      </c>
      <c r="K2630" s="183" t="s">
        <v>9744</v>
      </c>
      <c r="L2630" s="183"/>
      <c r="M2630" s="183">
        <v>10</v>
      </c>
      <c r="N2630" s="183">
        <v>10</v>
      </c>
      <c r="O2630" s="183">
        <v>10</v>
      </c>
      <c r="P2630" s="183">
        <v>0</v>
      </c>
      <c r="Q2630" s="183">
        <v>10</v>
      </c>
      <c r="R2630" s="1245">
        <v>77</v>
      </c>
      <c r="S2630" s="1245">
        <v>770</v>
      </c>
      <c r="T2630" s="183" t="s">
        <v>9724</v>
      </c>
      <c r="U2630" s="1893"/>
      <c r="V2630" s="183" t="s">
        <v>352</v>
      </c>
      <c r="W2630" s="2067" t="s">
        <v>9745</v>
      </c>
      <c r="X2630" s="18"/>
      <c r="Y2630" s="4"/>
      <c r="Z2630" s="4"/>
    </row>
    <row r="2631" spans="1:26" ht="18" hidden="1">
      <c r="A2631" s="20">
        <v>2638</v>
      </c>
      <c r="B2631" s="1063">
        <v>42408</v>
      </c>
      <c r="C2631" s="924" t="s">
        <v>9746</v>
      </c>
      <c r="D2631" s="8" t="s">
        <v>6</v>
      </c>
      <c r="E2631" s="183" t="s">
        <v>572</v>
      </c>
      <c r="F2631" s="924" t="s">
        <v>1398</v>
      </c>
      <c r="G2631" s="183" t="s">
        <v>9747</v>
      </c>
      <c r="H2631" s="183" t="s">
        <v>511</v>
      </c>
      <c r="I2631" s="183" t="s">
        <v>429</v>
      </c>
      <c r="J2631" s="183" t="s">
        <v>9746</v>
      </c>
      <c r="K2631" s="183" t="s">
        <v>9746</v>
      </c>
      <c r="L2631" s="183"/>
      <c r="M2631" s="183">
        <v>5</v>
      </c>
      <c r="N2631" s="183">
        <v>5</v>
      </c>
      <c r="O2631" s="183">
        <v>5</v>
      </c>
      <c r="P2631" s="183">
        <v>0</v>
      </c>
      <c r="Q2631" s="183">
        <v>5</v>
      </c>
      <c r="R2631" s="1245">
        <v>165</v>
      </c>
      <c r="S2631" s="1245">
        <v>825</v>
      </c>
      <c r="T2631" s="183" t="s">
        <v>9724</v>
      </c>
      <c r="U2631" s="1893"/>
      <c r="V2631" s="183" t="s">
        <v>352</v>
      </c>
      <c r="W2631" s="2067" t="s">
        <v>9748</v>
      </c>
      <c r="X2631" s="18"/>
      <c r="Y2631" s="4"/>
      <c r="Z2631" s="4"/>
    </row>
    <row r="2632" spans="1:26" ht="18" hidden="1">
      <c r="A2632" s="20">
        <v>2639</v>
      </c>
      <c r="B2632" s="1063">
        <v>42409</v>
      </c>
      <c r="C2632" s="924" t="s">
        <v>9749</v>
      </c>
      <c r="D2632" s="11" t="s">
        <v>6</v>
      </c>
      <c r="E2632" s="183" t="s">
        <v>572</v>
      </c>
      <c r="F2632" s="924" t="s">
        <v>1398</v>
      </c>
      <c r="G2632" s="183" t="s">
        <v>9750</v>
      </c>
      <c r="H2632" s="183" t="s">
        <v>511</v>
      </c>
      <c r="I2632" s="183" t="s">
        <v>39</v>
      </c>
      <c r="J2632" s="183" t="s">
        <v>9751</v>
      </c>
      <c r="K2632" s="183" t="s">
        <v>9749</v>
      </c>
      <c r="L2632" s="183"/>
      <c r="M2632" s="183">
        <v>10</v>
      </c>
      <c r="N2632" s="183">
        <v>10</v>
      </c>
      <c r="O2632" s="183">
        <v>10</v>
      </c>
      <c r="P2632" s="183">
        <v>0</v>
      </c>
      <c r="Q2632" s="183">
        <v>10</v>
      </c>
      <c r="R2632" s="1245">
        <v>62</v>
      </c>
      <c r="S2632" s="1245">
        <v>620</v>
      </c>
      <c r="T2632" s="183" t="s">
        <v>9724</v>
      </c>
      <c r="U2632" s="1893"/>
      <c r="V2632" s="183" t="s">
        <v>352</v>
      </c>
      <c r="W2632" s="2067" t="s">
        <v>9752</v>
      </c>
      <c r="X2632" s="18"/>
      <c r="Y2632" s="4"/>
      <c r="Z2632" s="4"/>
    </row>
    <row r="2633" spans="1:26" ht="18" hidden="1">
      <c r="A2633" s="20">
        <v>2640</v>
      </c>
      <c r="B2633" s="1063">
        <v>42410</v>
      </c>
      <c r="C2633" s="924" t="s">
        <v>9753</v>
      </c>
      <c r="D2633" s="11" t="s">
        <v>6</v>
      </c>
      <c r="E2633" s="183" t="s">
        <v>572</v>
      </c>
      <c r="F2633" s="924" t="s">
        <v>1398</v>
      </c>
      <c r="G2633" s="183" t="s">
        <v>9754</v>
      </c>
      <c r="H2633" s="183" t="s">
        <v>511</v>
      </c>
      <c r="I2633" s="183" t="s">
        <v>53</v>
      </c>
      <c r="J2633" s="183" t="s">
        <v>9755</v>
      </c>
      <c r="K2633" s="183" t="s">
        <v>9753</v>
      </c>
      <c r="L2633" s="183"/>
      <c r="M2633" s="183">
        <v>10</v>
      </c>
      <c r="N2633" s="183">
        <v>10</v>
      </c>
      <c r="O2633" s="183">
        <v>10</v>
      </c>
      <c r="P2633" s="183">
        <v>0</v>
      </c>
      <c r="Q2633" s="183">
        <v>10</v>
      </c>
      <c r="R2633" s="1245">
        <v>42.3</v>
      </c>
      <c r="S2633" s="1245">
        <v>423</v>
      </c>
      <c r="T2633" s="183" t="s">
        <v>9724</v>
      </c>
      <c r="U2633" s="1893"/>
      <c r="V2633" s="183" t="s">
        <v>352</v>
      </c>
      <c r="W2633" s="2067" t="s">
        <v>9756</v>
      </c>
      <c r="X2633" s="18"/>
      <c r="Y2633" s="4"/>
      <c r="Z2633" s="4"/>
    </row>
    <row r="2634" spans="1:26" ht="18" hidden="1">
      <c r="A2634" s="20">
        <v>2641</v>
      </c>
      <c r="B2634" s="1063">
        <v>42411</v>
      </c>
      <c r="C2634" s="924" t="s">
        <v>9757</v>
      </c>
      <c r="D2634" s="11" t="s">
        <v>6</v>
      </c>
      <c r="E2634" s="183" t="s">
        <v>572</v>
      </c>
      <c r="F2634" s="924" t="s">
        <v>1398</v>
      </c>
      <c r="G2634" s="183" t="s">
        <v>9758</v>
      </c>
      <c r="H2634" s="183" t="s">
        <v>452</v>
      </c>
      <c r="I2634" s="183" t="s">
        <v>53</v>
      </c>
      <c r="J2634" s="183" t="s">
        <v>9759</v>
      </c>
      <c r="K2634" s="183" t="s">
        <v>9757</v>
      </c>
      <c r="L2634" s="183"/>
      <c r="M2634" s="183">
        <v>10</v>
      </c>
      <c r="N2634" s="183">
        <v>10</v>
      </c>
      <c r="O2634" s="183">
        <v>10</v>
      </c>
      <c r="P2634" s="183">
        <v>0</v>
      </c>
      <c r="Q2634" s="183">
        <v>10</v>
      </c>
      <c r="R2634" s="1245">
        <v>303.3</v>
      </c>
      <c r="S2634" s="1245">
        <v>3033</v>
      </c>
      <c r="T2634" s="183" t="s">
        <v>9724</v>
      </c>
      <c r="U2634" s="1893"/>
      <c r="V2634" s="183" t="s">
        <v>352</v>
      </c>
      <c r="W2634" s="2067" t="s">
        <v>9760</v>
      </c>
      <c r="X2634" s="18"/>
      <c r="Y2634" s="4"/>
      <c r="Z2634" s="4"/>
    </row>
    <row r="2635" spans="1:26" ht="16.5" hidden="1" customHeight="1">
      <c r="A2635" s="20">
        <v>2642</v>
      </c>
      <c r="B2635" s="1063">
        <v>42412</v>
      </c>
      <c r="C2635" s="924" t="s">
        <v>2281</v>
      </c>
      <c r="D2635" s="11" t="s">
        <v>6</v>
      </c>
      <c r="E2635" s="183" t="s">
        <v>572</v>
      </c>
      <c r="F2635" s="924" t="s">
        <v>1398</v>
      </c>
      <c r="G2635" s="183" t="s">
        <v>3924</v>
      </c>
      <c r="H2635" s="183" t="s">
        <v>2280</v>
      </c>
      <c r="I2635" s="183" t="s">
        <v>53</v>
      </c>
      <c r="J2635" s="183" t="s">
        <v>512</v>
      </c>
      <c r="K2635" s="183" t="s">
        <v>2281</v>
      </c>
      <c r="L2635" s="183"/>
      <c r="M2635" s="183">
        <v>10</v>
      </c>
      <c r="N2635" s="183">
        <v>10</v>
      </c>
      <c r="O2635" s="183">
        <v>10</v>
      </c>
      <c r="P2635" s="183">
        <v>0</v>
      </c>
      <c r="Q2635" s="183">
        <v>10</v>
      </c>
      <c r="R2635" s="1245">
        <v>50.6</v>
      </c>
      <c r="S2635" s="1245">
        <v>506</v>
      </c>
      <c r="T2635" s="183" t="s">
        <v>9724</v>
      </c>
      <c r="U2635" s="1893"/>
      <c r="V2635" s="183" t="s">
        <v>352</v>
      </c>
      <c r="W2635" s="2067" t="s">
        <v>9761</v>
      </c>
      <c r="X2635" s="18"/>
      <c r="Y2635" s="4"/>
      <c r="Z2635" s="4"/>
    </row>
    <row r="2636" spans="1:26" ht="18" hidden="1">
      <c r="A2636" s="20">
        <v>2643</v>
      </c>
      <c r="B2636" s="1063">
        <v>42413</v>
      </c>
      <c r="C2636" s="924" t="s">
        <v>9762</v>
      </c>
      <c r="D2636" s="11" t="s">
        <v>6</v>
      </c>
      <c r="E2636" s="183" t="s">
        <v>572</v>
      </c>
      <c r="F2636" s="924" t="s">
        <v>1398</v>
      </c>
      <c r="G2636" s="183"/>
      <c r="H2636" s="20" t="s">
        <v>2668</v>
      </c>
      <c r="I2636" s="183" t="s">
        <v>39</v>
      </c>
      <c r="J2636" s="20" t="s">
        <v>9763</v>
      </c>
      <c r="K2636" s="20" t="s">
        <v>9764</v>
      </c>
      <c r="L2636" s="183"/>
      <c r="M2636" s="183">
        <v>1</v>
      </c>
      <c r="N2636" s="183">
        <v>1</v>
      </c>
      <c r="O2636" s="183">
        <v>1</v>
      </c>
      <c r="P2636" s="183">
        <v>0</v>
      </c>
      <c r="Q2636" s="183">
        <v>1</v>
      </c>
      <c r="R2636" s="1245">
        <v>3778</v>
      </c>
      <c r="S2636" s="1245">
        <v>3778</v>
      </c>
      <c r="T2636" s="183" t="s">
        <v>9765</v>
      </c>
      <c r="U2636" s="1893"/>
      <c r="V2636" s="183" t="s">
        <v>352</v>
      </c>
      <c r="W2636" s="2067" t="s">
        <v>9766</v>
      </c>
      <c r="X2636" s="18"/>
      <c r="Y2636" s="4"/>
      <c r="Z2636" s="4"/>
    </row>
    <row r="2637" spans="1:26" ht="18" hidden="1">
      <c r="A2637" s="20">
        <v>2644</v>
      </c>
      <c r="B2637" s="1063">
        <v>42414</v>
      </c>
      <c r="C2637" s="924" t="s">
        <v>9767</v>
      </c>
      <c r="D2637" s="11" t="s">
        <v>6</v>
      </c>
      <c r="E2637" s="183" t="s">
        <v>572</v>
      </c>
      <c r="F2637" s="924" t="s">
        <v>1398</v>
      </c>
      <c r="G2637" s="183"/>
      <c r="H2637" s="184" t="s">
        <v>1063</v>
      </c>
      <c r="I2637" s="184" t="s">
        <v>1063</v>
      </c>
      <c r="J2637" s="185" t="s">
        <v>9768</v>
      </c>
      <c r="K2637" s="183" t="s">
        <v>9769</v>
      </c>
      <c r="L2637" s="183"/>
      <c r="M2637" s="183">
        <v>20</v>
      </c>
      <c r="N2637" s="183">
        <v>1</v>
      </c>
      <c r="O2637" s="183">
        <v>20</v>
      </c>
      <c r="P2637" s="183">
        <v>0</v>
      </c>
      <c r="Q2637" s="183">
        <v>20</v>
      </c>
      <c r="R2637" s="1245">
        <v>25</v>
      </c>
      <c r="S2637" s="1245">
        <v>500</v>
      </c>
      <c r="T2637" s="183" t="s">
        <v>9724</v>
      </c>
      <c r="U2637" s="1893"/>
      <c r="V2637" s="183" t="s">
        <v>352</v>
      </c>
      <c r="W2637" s="2067" t="s">
        <v>9770</v>
      </c>
      <c r="X2637" s="18"/>
      <c r="Y2637" s="4"/>
      <c r="Z2637" s="4"/>
    </row>
    <row r="2638" spans="1:26" ht="18" hidden="1">
      <c r="A2638" s="20">
        <v>2645</v>
      </c>
      <c r="B2638" s="1063">
        <v>42415</v>
      </c>
      <c r="C2638" s="924" t="s">
        <v>1595</v>
      </c>
      <c r="D2638" s="11" t="s">
        <v>6</v>
      </c>
      <c r="E2638" s="183" t="s">
        <v>572</v>
      </c>
      <c r="F2638" s="924" t="s">
        <v>1398</v>
      </c>
      <c r="G2638" s="183"/>
      <c r="H2638" s="184" t="s">
        <v>1063</v>
      </c>
      <c r="I2638" s="184" t="s">
        <v>1063</v>
      </c>
      <c r="J2638" s="185" t="s">
        <v>1598</v>
      </c>
      <c r="K2638" s="183" t="s">
        <v>1599</v>
      </c>
      <c r="L2638" s="183"/>
      <c r="M2638" s="183">
        <v>30</v>
      </c>
      <c r="N2638" s="183">
        <v>1</v>
      </c>
      <c r="O2638" s="183">
        <v>30</v>
      </c>
      <c r="P2638" s="183">
        <v>0</v>
      </c>
      <c r="Q2638" s="183">
        <v>30</v>
      </c>
      <c r="R2638" s="1245">
        <v>20</v>
      </c>
      <c r="S2638" s="1245">
        <v>600</v>
      </c>
      <c r="T2638" s="183" t="s">
        <v>9724</v>
      </c>
      <c r="U2638" s="1893"/>
      <c r="V2638" s="183" t="s">
        <v>352</v>
      </c>
      <c r="W2638" s="2067" t="s">
        <v>1600</v>
      </c>
      <c r="X2638" s="18"/>
      <c r="Y2638" s="4"/>
      <c r="Z2638" s="4"/>
    </row>
    <row r="2639" spans="1:26" ht="18" hidden="1">
      <c r="A2639" s="20">
        <v>2646</v>
      </c>
      <c r="B2639" s="1063">
        <v>42416</v>
      </c>
      <c r="C2639" s="955" t="s">
        <v>9771</v>
      </c>
      <c r="D2639" s="11" t="s">
        <v>6</v>
      </c>
      <c r="E2639" s="183" t="s">
        <v>572</v>
      </c>
      <c r="F2639" s="924" t="s">
        <v>1398</v>
      </c>
      <c r="G2639" s="183"/>
      <c r="H2639" s="184" t="s">
        <v>1063</v>
      </c>
      <c r="I2639" s="184" t="s">
        <v>1063</v>
      </c>
      <c r="J2639" s="183" t="s">
        <v>9772</v>
      </c>
      <c r="K2639" s="183" t="s">
        <v>9773</v>
      </c>
      <c r="L2639" s="183"/>
      <c r="M2639" s="183">
        <v>10</v>
      </c>
      <c r="N2639" s="183">
        <v>4</v>
      </c>
      <c r="O2639" s="183">
        <v>12</v>
      </c>
      <c r="P2639" s="183">
        <v>0</v>
      </c>
      <c r="Q2639" s="183">
        <v>12</v>
      </c>
      <c r="R2639" s="1245">
        <v>25</v>
      </c>
      <c r="S2639" s="1245">
        <v>300</v>
      </c>
      <c r="T2639" s="183" t="s">
        <v>9724</v>
      </c>
      <c r="U2639" s="1893"/>
      <c r="V2639" s="183" t="s">
        <v>352</v>
      </c>
      <c r="W2639" s="2067" t="s">
        <v>9774</v>
      </c>
      <c r="X2639" s="18"/>
      <c r="Y2639" s="4"/>
      <c r="Z2639" s="4"/>
    </row>
    <row r="2640" spans="1:26" ht="18" hidden="1">
      <c r="A2640" s="20">
        <v>2647</v>
      </c>
      <c r="B2640" s="1063">
        <v>42417</v>
      </c>
      <c r="C2640" s="924" t="s">
        <v>9775</v>
      </c>
      <c r="D2640" s="11" t="s">
        <v>6</v>
      </c>
      <c r="E2640" s="183" t="s">
        <v>572</v>
      </c>
      <c r="F2640" s="924" t="s">
        <v>1398</v>
      </c>
      <c r="G2640" s="183"/>
      <c r="H2640" s="184" t="s">
        <v>1063</v>
      </c>
      <c r="I2640" s="184" t="s">
        <v>1063</v>
      </c>
      <c r="J2640" s="183" t="s">
        <v>9776</v>
      </c>
      <c r="K2640" s="185" t="s">
        <v>9777</v>
      </c>
      <c r="L2640" s="183"/>
      <c r="M2640" s="183">
        <v>30</v>
      </c>
      <c r="N2640" s="183">
        <v>1</v>
      </c>
      <c r="O2640" s="183">
        <v>30</v>
      </c>
      <c r="P2640" s="183">
        <v>0</v>
      </c>
      <c r="Q2640" s="183">
        <v>30</v>
      </c>
      <c r="R2640" s="1245">
        <v>30</v>
      </c>
      <c r="S2640" s="1245">
        <v>900</v>
      </c>
      <c r="T2640" s="183" t="s">
        <v>9724</v>
      </c>
      <c r="U2640" s="1893"/>
      <c r="V2640" s="183" t="s">
        <v>352</v>
      </c>
      <c r="W2640" s="2067" t="s">
        <v>9778</v>
      </c>
      <c r="X2640" s="18"/>
      <c r="Y2640" s="4"/>
      <c r="Z2640" s="4"/>
    </row>
    <row r="2641" spans="1:26" ht="18" hidden="1">
      <c r="A2641" s="20">
        <v>2648</v>
      </c>
      <c r="B2641" s="1063">
        <v>42418</v>
      </c>
      <c r="C2641" s="955" t="s">
        <v>9779</v>
      </c>
      <c r="D2641" s="11" t="s">
        <v>6</v>
      </c>
      <c r="E2641" s="183" t="s">
        <v>572</v>
      </c>
      <c r="F2641" s="924" t="s">
        <v>1398</v>
      </c>
      <c r="G2641" s="183"/>
      <c r="H2641" s="184" t="s">
        <v>1063</v>
      </c>
      <c r="I2641" s="184" t="s">
        <v>1063</v>
      </c>
      <c r="J2641" s="183" t="s">
        <v>9780</v>
      </c>
      <c r="K2641" s="185" t="s">
        <v>9781</v>
      </c>
      <c r="L2641" s="183"/>
      <c r="M2641" s="183">
        <v>10</v>
      </c>
      <c r="N2641" s="183">
        <v>4</v>
      </c>
      <c r="O2641" s="183">
        <v>12</v>
      </c>
      <c r="P2641" s="183">
        <v>0</v>
      </c>
      <c r="Q2641" s="183">
        <v>12</v>
      </c>
      <c r="R2641" s="1245">
        <v>25</v>
      </c>
      <c r="S2641" s="1245">
        <v>300</v>
      </c>
      <c r="T2641" s="183" t="s">
        <v>9724</v>
      </c>
      <c r="U2641" s="1893"/>
      <c r="V2641" s="183" t="s">
        <v>352</v>
      </c>
      <c r="W2641" s="2067" t="s">
        <v>9782</v>
      </c>
      <c r="X2641" s="18"/>
      <c r="Y2641" s="4"/>
      <c r="Z2641" s="4"/>
    </row>
    <row r="2642" spans="1:26" ht="18" hidden="1">
      <c r="A2642" s="20">
        <v>2649</v>
      </c>
      <c r="B2642" s="1063">
        <v>42419</v>
      </c>
      <c r="C2642" s="925" t="s">
        <v>9783</v>
      </c>
      <c r="D2642" s="11" t="s">
        <v>6</v>
      </c>
      <c r="E2642" s="183" t="s">
        <v>572</v>
      </c>
      <c r="F2642" s="924" t="s">
        <v>1398</v>
      </c>
      <c r="G2642" s="183"/>
      <c r="H2642" s="183" t="s">
        <v>9784</v>
      </c>
      <c r="I2642" s="184" t="s">
        <v>1063</v>
      </c>
      <c r="J2642" s="185" t="s">
        <v>9785</v>
      </c>
      <c r="K2642" s="185" t="s">
        <v>9786</v>
      </c>
      <c r="L2642" s="183"/>
      <c r="M2642" s="183">
        <v>30</v>
      </c>
      <c r="N2642" s="183">
        <v>100</v>
      </c>
      <c r="O2642" s="183">
        <v>100</v>
      </c>
      <c r="P2642" s="183">
        <v>0</v>
      </c>
      <c r="Q2642" s="183">
        <v>100</v>
      </c>
      <c r="R2642" s="1245">
        <v>2</v>
      </c>
      <c r="S2642" s="1245">
        <v>200</v>
      </c>
      <c r="T2642" s="183" t="s">
        <v>9724</v>
      </c>
      <c r="U2642" s="1893"/>
      <c r="V2642" s="183" t="s">
        <v>352</v>
      </c>
      <c r="W2642" s="2067" t="s">
        <v>9787</v>
      </c>
      <c r="X2642" s="18"/>
      <c r="Y2642" s="4"/>
      <c r="Z2642" s="4"/>
    </row>
    <row r="2643" spans="1:26" ht="14.1" hidden="1">
      <c r="A2643" s="20">
        <v>2650</v>
      </c>
      <c r="B2643" s="1063">
        <v>42420</v>
      </c>
      <c r="C2643" s="940" t="s">
        <v>7228</v>
      </c>
      <c r="D2643" s="11" t="s">
        <v>6</v>
      </c>
      <c r="E2643" s="222" t="s">
        <v>2722</v>
      </c>
      <c r="F2643" s="940" t="s">
        <v>1569</v>
      </c>
      <c r="G2643" s="240" t="s">
        <v>9788</v>
      </c>
      <c r="H2643" s="239" t="s">
        <v>7231</v>
      </c>
      <c r="I2643" s="239" t="s">
        <v>7232</v>
      </c>
      <c r="J2643" s="239">
        <v>10887</v>
      </c>
      <c r="K2643" s="295">
        <v>11827</v>
      </c>
      <c r="L2643" s="239"/>
      <c r="M2643" s="239">
        <v>2</v>
      </c>
      <c r="N2643" s="239">
        <v>1</v>
      </c>
      <c r="O2643" s="239">
        <v>2</v>
      </c>
      <c r="P2643" s="239">
        <v>0</v>
      </c>
      <c r="Q2643" s="572">
        <v>0</v>
      </c>
      <c r="R2643" s="1261">
        <v>45000</v>
      </c>
      <c r="S2643" s="1261">
        <f>R2643*2</f>
        <v>90000</v>
      </c>
      <c r="T2643" s="239" t="s">
        <v>9789</v>
      </c>
      <c r="U2643" s="1901" t="s">
        <v>5864</v>
      </c>
      <c r="V2643" s="572" t="s">
        <v>7233</v>
      </c>
      <c r="W2643" s="2065" t="s">
        <v>7234</v>
      </c>
      <c r="X2643" s="18"/>
      <c r="Y2643" s="4"/>
      <c r="Z2643" s="4"/>
    </row>
    <row r="2644" spans="1:26" ht="14.1" hidden="1">
      <c r="A2644" s="20">
        <v>2651</v>
      </c>
      <c r="B2644" s="1063">
        <v>42421</v>
      </c>
      <c r="C2644" s="26" t="s">
        <v>9790</v>
      </c>
      <c r="D2644" s="11" t="s">
        <v>6</v>
      </c>
      <c r="E2644" s="222" t="s">
        <v>2722</v>
      </c>
      <c r="F2644" s="26" t="s">
        <v>2143</v>
      </c>
      <c r="G2644" s="296" t="s">
        <v>9791</v>
      </c>
      <c r="H2644" s="237" t="s">
        <v>1177</v>
      </c>
      <c r="I2644" s="26" t="s">
        <v>76</v>
      </c>
      <c r="J2644" s="26" t="s">
        <v>9792</v>
      </c>
      <c r="K2644" s="26" t="s">
        <v>9793</v>
      </c>
      <c r="L2644" s="26"/>
      <c r="M2644" s="26">
        <v>1</v>
      </c>
      <c r="N2644" s="26">
        <v>1</v>
      </c>
      <c r="O2644" s="26">
        <v>5</v>
      </c>
      <c r="P2644" s="26">
        <v>0</v>
      </c>
      <c r="Q2644" s="26">
        <v>5</v>
      </c>
      <c r="R2644" s="1209">
        <v>914</v>
      </c>
      <c r="S2644" s="1209">
        <f t="shared" ref="S2644:S2646" si="145">R2644*O2644</f>
        <v>4570</v>
      </c>
      <c r="T2644" s="26" t="s">
        <v>7779</v>
      </c>
      <c r="U2644" s="1859" t="s">
        <v>138</v>
      </c>
      <c r="V2644" s="26" t="s">
        <v>9794</v>
      </c>
      <c r="W2644" s="701" t="s">
        <v>9795</v>
      </c>
      <c r="X2644" s="18"/>
      <c r="Y2644" s="4"/>
      <c r="Z2644" s="4"/>
    </row>
    <row r="2645" spans="1:26" ht="14.1" hidden="1">
      <c r="A2645" s="20">
        <v>2652</v>
      </c>
      <c r="B2645" s="1063">
        <v>42422</v>
      </c>
      <c r="C2645" s="26" t="s">
        <v>9796</v>
      </c>
      <c r="D2645" s="11" t="s">
        <v>6</v>
      </c>
      <c r="E2645" s="222" t="s">
        <v>2722</v>
      </c>
      <c r="F2645" s="26" t="s">
        <v>2143</v>
      </c>
      <c r="G2645" s="296" t="s">
        <v>9797</v>
      </c>
      <c r="H2645" s="237" t="s">
        <v>1177</v>
      </c>
      <c r="I2645" s="26" t="s">
        <v>76</v>
      </c>
      <c r="J2645" s="26" t="s">
        <v>9798</v>
      </c>
      <c r="K2645" s="26" t="s">
        <v>9799</v>
      </c>
      <c r="L2645" s="26"/>
      <c r="M2645" s="26">
        <v>1</v>
      </c>
      <c r="N2645" s="26">
        <v>1</v>
      </c>
      <c r="O2645" s="26">
        <v>5</v>
      </c>
      <c r="P2645" s="26">
        <v>0</v>
      </c>
      <c r="Q2645" s="26">
        <v>5</v>
      </c>
      <c r="R2645" s="1209">
        <v>914</v>
      </c>
      <c r="S2645" s="1209">
        <f t="shared" si="145"/>
        <v>4570</v>
      </c>
      <c r="T2645" s="26" t="s">
        <v>7779</v>
      </c>
      <c r="U2645" s="1859" t="s">
        <v>138</v>
      </c>
      <c r="V2645" s="26" t="s">
        <v>9794</v>
      </c>
      <c r="W2645" s="701" t="s">
        <v>9795</v>
      </c>
      <c r="X2645" s="18"/>
      <c r="Y2645" s="4"/>
      <c r="Z2645" s="4"/>
    </row>
    <row r="2646" spans="1:26" ht="14.1" hidden="1">
      <c r="A2646" s="20">
        <v>2653</v>
      </c>
      <c r="B2646" s="1063">
        <v>42423</v>
      </c>
      <c r="C2646" s="26" t="s">
        <v>9800</v>
      </c>
      <c r="D2646" s="11" t="s">
        <v>6</v>
      </c>
      <c r="E2646" s="222" t="s">
        <v>2722</v>
      </c>
      <c r="F2646" s="26" t="s">
        <v>2143</v>
      </c>
      <c r="G2646" s="26" t="s">
        <v>9801</v>
      </c>
      <c r="H2646" s="237" t="s">
        <v>4066</v>
      </c>
      <c r="I2646" s="26" t="s">
        <v>9802</v>
      </c>
      <c r="J2646" s="26"/>
      <c r="K2646" s="26"/>
      <c r="L2646" s="26"/>
      <c r="M2646" s="26">
        <v>3</v>
      </c>
      <c r="N2646" s="26">
        <v>1</v>
      </c>
      <c r="O2646" s="26">
        <v>3</v>
      </c>
      <c r="P2646" s="26">
        <v>0</v>
      </c>
      <c r="Q2646" s="26">
        <v>0</v>
      </c>
      <c r="R2646" s="1209">
        <v>21900</v>
      </c>
      <c r="S2646" s="1209">
        <f t="shared" si="145"/>
        <v>65700</v>
      </c>
      <c r="T2646" s="26" t="s">
        <v>929</v>
      </c>
      <c r="U2646" s="1859" t="s">
        <v>9803</v>
      </c>
      <c r="V2646" s="26" t="s">
        <v>9804</v>
      </c>
      <c r="W2646" s="2084"/>
      <c r="X2646" s="18" t="s">
        <v>4644</v>
      </c>
      <c r="Y2646" s="4"/>
      <c r="Z2646" s="4"/>
    </row>
    <row r="2647" spans="1:26" ht="14.1" hidden="1">
      <c r="A2647" s="20">
        <v>2654</v>
      </c>
      <c r="B2647" s="1063">
        <v>42424</v>
      </c>
      <c r="C2647" s="26" t="s">
        <v>9805</v>
      </c>
      <c r="D2647" s="11" t="s">
        <v>6</v>
      </c>
      <c r="E2647" s="26" t="s">
        <v>7956</v>
      </c>
      <c r="F2647" s="26" t="s">
        <v>2143</v>
      </c>
      <c r="G2647" s="26" t="s">
        <v>9806</v>
      </c>
      <c r="H2647" s="237" t="s">
        <v>9298</v>
      </c>
      <c r="I2647" s="26" t="s">
        <v>113</v>
      </c>
      <c r="J2647" s="26">
        <v>48889741</v>
      </c>
      <c r="K2647" s="26" t="s">
        <v>9807</v>
      </c>
      <c r="L2647" s="26"/>
      <c r="M2647" s="26">
        <v>1</v>
      </c>
      <c r="N2647" s="26">
        <v>1</v>
      </c>
      <c r="O2647" s="26">
        <v>1</v>
      </c>
      <c r="P2647" s="26">
        <v>0</v>
      </c>
      <c r="Q2647" s="26">
        <v>0</v>
      </c>
      <c r="R2647" s="1209">
        <v>389</v>
      </c>
      <c r="S2647" s="1209">
        <v>389</v>
      </c>
      <c r="T2647" s="26" t="s">
        <v>5448</v>
      </c>
      <c r="U2647" s="1859" t="s">
        <v>138</v>
      </c>
      <c r="V2647" s="26" t="s">
        <v>9808</v>
      </c>
      <c r="W2647" s="701" t="s">
        <v>9809</v>
      </c>
      <c r="X2647" s="18"/>
      <c r="Y2647" s="4"/>
      <c r="Z2647" s="4"/>
    </row>
    <row r="2648" spans="1:26" ht="14.1" hidden="1">
      <c r="A2648" s="20">
        <v>2655</v>
      </c>
      <c r="B2648" s="1063">
        <v>42425</v>
      </c>
      <c r="C2648" s="26" t="s">
        <v>9810</v>
      </c>
      <c r="D2648" s="11" t="s">
        <v>6</v>
      </c>
      <c r="E2648" s="26" t="s">
        <v>7956</v>
      </c>
      <c r="F2648" s="26" t="s">
        <v>2143</v>
      </c>
      <c r="G2648" s="26"/>
      <c r="H2648" s="237" t="s">
        <v>9811</v>
      </c>
      <c r="I2648" s="26" t="s">
        <v>113</v>
      </c>
      <c r="J2648" s="26">
        <v>39462062</v>
      </c>
      <c r="K2648" s="26" t="s">
        <v>9812</v>
      </c>
      <c r="L2648" s="26"/>
      <c r="M2648" s="26">
        <v>1</v>
      </c>
      <c r="N2648" s="26">
        <v>1</v>
      </c>
      <c r="O2648" s="26">
        <v>1</v>
      </c>
      <c r="P2648" s="26">
        <v>0</v>
      </c>
      <c r="Q2648" s="26">
        <v>0</v>
      </c>
      <c r="R2648" s="1209">
        <v>1390</v>
      </c>
      <c r="S2648" s="1209">
        <v>1390</v>
      </c>
      <c r="T2648" s="26" t="s">
        <v>5448</v>
      </c>
      <c r="U2648" s="1859" t="s">
        <v>138</v>
      </c>
      <c r="V2648" s="26" t="s">
        <v>9808</v>
      </c>
      <c r="W2648" s="701" t="s">
        <v>9813</v>
      </c>
      <c r="X2648" s="18"/>
      <c r="Y2648" s="4"/>
      <c r="Z2648" s="4"/>
    </row>
    <row r="2649" spans="1:26" ht="14.1" hidden="1">
      <c r="A2649" s="20">
        <v>2656</v>
      </c>
      <c r="B2649" s="1063">
        <v>42426</v>
      </c>
      <c r="C2649" s="26" t="s">
        <v>9814</v>
      </c>
      <c r="D2649" s="11" t="s">
        <v>6</v>
      </c>
      <c r="E2649" s="26" t="s">
        <v>7956</v>
      </c>
      <c r="F2649" s="26" t="s">
        <v>2143</v>
      </c>
      <c r="G2649" s="26" t="s">
        <v>9815</v>
      </c>
      <c r="H2649" s="237" t="s">
        <v>107</v>
      </c>
      <c r="I2649" s="26" t="s">
        <v>113</v>
      </c>
      <c r="J2649" s="26">
        <v>42267425</v>
      </c>
      <c r="K2649" s="26" t="s">
        <v>9816</v>
      </c>
      <c r="L2649" s="26"/>
      <c r="M2649" s="26">
        <v>1</v>
      </c>
      <c r="N2649" s="26">
        <v>1</v>
      </c>
      <c r="O2649" s="26">
        <v>1</v>
      </c>
      <c r="P2649" s="26">
        <v>0</v>
      </c>
      <c r="Q2649" s="26">
        <v>0</v>
      </c>
      <c r="R2649" s="1209">
        <v>399</v>
      </c>
      <c r="S2649" s="1209">
        <v>399</v>
      </c>
      <c r="T2649" s="26" t="s">
        <v>5448</v>
      </c>
      <c r="U2649" s="1859" t="s">
        <v>138</v>
      </c>
      <c r="V2649" s="26" t="s">
        <v>9808</v>
      </c>
      <c r="W2649" s="701" t="s">
        <v>9817</v>
      </c>
      <c r="X2649" s="18"/>
      <c r="Y2649" s="4"/>
      <c r="Z2649" s="4"/>
    </row>
    <row r="2650" spans="1:26" ht="14.1" hidden="1">
      <c r="A2650" s="20">
        <v>2657</v>
      </c>
      <c r="B2650" s="1063">
        <v>42427</v>
      </c>
      <c r="C2650" s="26" t="s">
        <v>9818</v>
      </c>
      <c r="D2650" s="11" t="s">
        <v>6</v>
      </c>
      <c r="E2650" s="26" t="s">
        <v>7956</v>
      </c>
      <c r="F2650" s="26" t="s">
        <v>2143</v>
      </c>
      <c r="G2650" s="26" t="s">
        <v>9819</v>
      </c>
      <c r="H2650" s="237" t="s">
        <v>7673</v>
      </c>
      <c r="I2650" s="26" t="s">
        <v>113</v>
      </c>
      <c r="J2650" s="26">
        <v>9954095</v>
      </c>
      <c r="K2650" s="26" t="s">
        <v>9820</v>
      </c>
      <c r="L2650" s="26"/>
      <c r="M2650" s="26">
        <v>4</v>
      </c>
      <c r="N2650" s="26">
        <v>1</v>
      </c>
      <c r="O2650" s="26">
        <v>4</v>
      </c>
      <c r="P2650" s="26">
        <v>0</v>
      </c>
      <c r="Q2650" s="26">
        <v>0</v>
      </c>
      <c r="R2650" s="1209">
        <v>87</v>
      </c>
      <c r="S2650" s="1209">
        <f>R2650*O2650</f>
        <v>348</v>
      </c>
      <c r="T2650" s="26" t="s">
        <v>5448</v>
      </c>
      <c r="U2650" s="1859" t="s">
        <v>138</v>
      </c>
      <c r="V2650" s="26" t="s">
        <v>9808</v>
      </c>
      <c r="W2650" s="701" t="s">
        <v>9821</v>
      </c>
      <c r="X2650" s="18"/>
      <c r="Y2650" s="4"/>
      <c r="Z2650" s="4"/>
    </row>
    <row r="2651" spans="1:26" ht="14.1" hidden="1">
      <c r="A2651" s="20">
        <v>2658</v>
      </c>
      <c r="B2651" s="1063">
        <v>42428</v>
      </c>
      <c r="C2651" s="26" t="s">
        <v>9822</v>
      </c>
      <c r="D2651" s="11" t="s">
        <v>6</v>
      </c>
      <c r="E2651" s="26" t="s">
        <v>7956</v>
      </c>
      <c r="F2651" s="26" t="s">
        <v>2143</v>
      </c>
      <c r="G2651" s="26" t="s">
        <v>9823</v>
      </c>
      <c r="H2651" s="237" t="s">
        <v>9824</v>
      </c>
      <c r="I2651" s="26" t="s">
        <v>113</v>
      </c>
      <c r="J2651" s="26">
        <v>41446623</v>
      </c>
      <c r="K2651" s="26" t="s">
        <v>9825</v>
      </c>
      <c r="L2651" s="26"/>
      <c r="M2651" s="26">
        <v>1</v>
      </c>
      <c r="N2651" s="26">
        <v>1</v>
      </c>
      <c r="O2651" s="26">
        <v>1</v>
      </c>
      <c r="P2651" s="26">
        <v>0</v>
      </c>
      <c r="Q2651" s="26">
        <v>0</v>
      </c>
      <c r="R2651" s="1209">
        <v>799</v>
      </c>
      <c r="S2651" s="1209">
        <v>799</v>
      </c>
      <c r="T2651" s="26" t="s">
        <v>5448</v>
      </c>
      <c r="U2651" s="1859" t="s">
        <v>138</v>
      </c>
      <c r="V2651" s="26" t="s">
        <v>9808</v>
      </c>
      <c r="W2651" s="2074" t="s">
        <v>9826</v>
      </c>
      <c r="X2651" s="18"/>
      <c r="Y2651" s="4"/>
      <c r="Z2651" s="4"/>
    </row>
    <row r="2652" spans="1:26" ht="14.1" hidden="1">
      <c r="A2652" s="20">
        <v>2659</v>
      </c>
      <c r="B2652" s="1063">
        <v>42429</v>
      </c>
      <c r="C2652" s="26" t="s">
        <v>9827</v>
      </c>
      <c r="D2652" s="11" t="s">
        <v>6</v>
      </c>
      <c r="E2652" s="26" t="s">
        <v>7956</v>
      </c>
      <c r="F2652" s="26" t="s">
        <v>2143</v>
      </c>
      <c r="G2652" s="26" t="s">
        <v>9828</v>
      </c>
      <c r="H2652" s="237" t="s">
        <v>7673</v>
      </c>
      <c r="I2652" s="26" t="s">
        <v>113</v>
      </c>
      <c r="J2652" s="26">
        <v>5505193</v>
      </c>
      <c r="K2652" s="26" t="s">
        <v>9825</v>
      </c>
      <c r="L2652" s="26"/>
      <c r="M2652" s="26">
        <v>1</v>
      </c>
      <c r="N2652" s="26">
        <v>1</v>
      </c>
      <c r="O2652" s="26">
        <v>1</v>
      </c>
      <c r="P2652" s="26">
        <v>0</v>
      </c>
      <c r="Q2652" s="26">
        <v>0</v>
      </c>
      <c r="R2652" s="1209">
        <v>409</v>
      </c>
      <c r="S2652" s="1209">
        <v>409</v>
      </c>
      <c r="T2652" s="26" t="s">
        <v>5448</v>
      </c>
      <c r="U2652" s="1859" t="s">
        <v>138</v>
      </c>
      <c r="V2652" s="26" t="s">
        <v>9808</v>
      </c>
      <c r="W2652" s="649" t="s">
        <v>9829</v>
      </c>
      <c r="X2652" s="18"/>
      <c r="Y2652" s="4"/>
      <c r="Z2652" s="4"/>
    </row>
    <row r="2653" spans="1:26" ht="14.1" hidden="1">
      <c r="A2653" s="20">
        <v>2660</v>
      </c>
      <c r="B2653" s="1063">
        <v>42430</v>
      </c>
      <c r="C2653" s="26" t="s">
        <v>9830</v>
      </c>
      <c r="D2653" s="11" t="s">
        <v>6</v>
      </c>
      <c r="E2653" s="26" t="s">
        <v>7956</v>
      </c>
      <c r="F2653" s="26" t="s">
        <v>2143</v>
      </c>
      <c r="G2653" s="26" t="s">
        <v>9831</v>
      </c>
      <c r="H2653" s="237" t="s">
        <v>9429</v>
      </c>
      <c r="I2653" s="26" t="s">
        <v>113</v>
      </c>
      <c r="J2653" s="26">
        <v>50585648</v>
      </c>
      <c r="K2653" s="26" t="s">
        <v>9832</v>
      </c>
      <c r="L2653" s="26"/>
      <c r="M2653" s="26">
        <v>1</v>
      </c>
      <c r="N2653" s="26">
        <v>1</v>
      </c>
      <c r="O2653" s="26">
        <v>1</v>
      </c>
      <c r="P2653" s="26">
        <v>0</v>
      </c>
      <c r="Q2653" s="26">
        <v>0</v>
      </c>
      <c r="R2653" s="1209">
        <v>170</v>
      </c>
      <c r="S2653" s="1209">
        <v>170</v>
      </c>
      <c r="T2653" s="26" t="s">
        <v>5448</v>
      </c>
      <c r="U2653" s="1859" t="s">
        <v>138</v>
      </c>
      <c r="V2653" s="26" t="s">
        <v>9808</v>
      </c>
      <c r="W2653" s="649" t="s">
        <v>9833</v>
      </c>
      <c r="X2653" s="18"/>
      <c r="Y2653" s="4"/>
      <c r="Z2653" s="4"/>
    </row>
    <row r="2654" spans="1:26" ht="14.1" hidden="1">
      <c r="A2654" s="20">
        <v>2661</v>
      </c>
      <c r="B2654" s="1063">
        <v>42431</v>
      </c>
      <c r="C2654" s="26" t="s">
        <v>9834</v>
      </c>
      <c r="D2654" s="11" t="s">
        <v>6</v>
      </c>
      <c r="E2654" s="26" t="s">
        <v>7956</v>
      </c>
      <c r="F2654" s="26" t="s">
        <v>2143</v>
      </c>
      <c r="G2654" s="26" t="s">
        <v>9835</v>
      </c>
      <c r="H2654" s="237" t="s">
        <v>7673</v>
      </c>
      <c r="I2654" s="26" t="s">
        <v>113</v>
      </c>
      <c r="J2654" s="26">
        <v>5503276</v>
      </c>
      <c r="K2654" s="26" t="s">
        <v>9576</v>
      </c>
      <c r="L2654" s="26"/>
      <c r="M2654" s="26">
        <v>1</v>
      </c>
      <c r="N2654" s="26">
        <v>1</v>
      </c>
      <c r="O2654" s="26">
        <v>1</v>
      </c>
      <c r="P2654" s="26">
        <v>0</v>
      </c>
      <c r="Q2654" s="26">
        <v>0</v>
      </c>
      <c r="R2654" s="1209">
        <v>459</v>
      </c>
      <c r="S2654" s="1209">
        <v>459</v>
      </c>
      <c r="T2654" s="26" t="s">
        <v>5448</v>
      </c>
      <c r="U2654" s="1859" t="s">
        <v>138</v>
      </c>
      <c r="V2654" s="26" t="s">
        <v>9808</v>
      </c>
      <c r="W2654" s="649" t="s">
        <v>9836</v>
      </c>
      <c r="X2654" s="18"/>
      <c r="Y2654" s="4"/>
      <c r="Z2654" s="4"/>
    </row>
    <row r="2655" spans="1:26" ht="14.1" hidden="1">
      <c r="A2655" s="20">
        <v>2662</v>
      </c>
      <c r="B2655" s="1063">
        <v>42432</v>
      </c>
      <c r="C2655" s="26" t="s">
        <v>9837</v>
      </c>
      <c r="D2655" s="11" t="s">
        <v>6</v>
      </c>
      <c r="E2655" s="26" t="s">
        <v>7956</v>
      </c>
      <c r="F2655" s="26" t="s">
        <v>2143</v>
      </c>
      <c r="G2655" s="26" t="s">
        <v>9838</v>
      </c>
      <c r="H2655" s="237" t="s">
        <v>7673</v>
      </c>
      <c r="I2655" s="26" t="s">
        <v>113</v>
      </c>
      <c r="J2655" s="26">
        <v>5529167</v>
      </c>
      <c r="K2655" s="26" t="s">
        <v>1521</v>
      </c>
      <c r="L2655" s="26"/>
      <c r="M2655" s="26">
        <v>1</v>
      </c>
      <c r="N2655" s="26">
        <v>1</v>
      </c>
      <c r="O2655" s="26">
        <v>1</v>
      </c>
      <c r="P2655" s="26">
        <v>0</v>
      </c>
      <c r="Q2655" s="26">
        <v>0</v>
      </c>
      <c r="R2655" s="1209">
        <v>429</v>
      </c>
      <c r="S2655" s="1209">
        <v>429</v>
      </c>
      <c r="T2655" s="26" t="s">
        <v>5448</v>
      </c>
      <c r="U2655" s="1859" t="s">
        <v>138</v>
      </c>
      <c r="V2655" s="26" t="s">
        <v>9808</v>
      </c>
      <c r="W2655" s="649" t="s">
        <v>9839</v>
      </c>
      <c r="X2655" s="18"/>
      <c r="Y2655" s="4"/>
      <c r="Z2655" s="4"/>
    </row>
    <row r="2656" spans="1:26" ht="14.1" hidden="1">
      <c r="A2656" s="20">
        <v>2663</v>
      </c>
      <c r="B2656" s="1063">
        <v>42433</v>
      </c>
      <c r="C2656" s="26" t="s">
        <v>9840</v>
      </c>
      <c r="D2656" s="11" t="s">
        <v>6</v>
      </c>
      <c r="E2656" s="26" t="s">
        <v>7956</v>
      </c>
      <c r="F2656" s="26" t="s">
        <v>2143</v>
      </c>
      <c r="G2656" s="26" t="s">
        <v>9841</v>
      </c>
      <c r="H2656" s="237" t="s">
        <v>9429</v>
      </c>
      <c r="I2656" s="26" t="s">
        <v>113</v>
      </c>
      <c r="J2656" s="26">
        <v>50585973</v>
      </c>
      <c r="K2656" s="26" t="s">
        <v>9842</v>
      </c>
      <c r="L2656" s="26"/>
      <c r="M2656" s="26">
        <v>1</v>
      </c>
      <c r="N2656" s="26">
        <v>1</v>
      </c>
      <c r="O2656" s="26">
        <v>1</v>
      </c>
      <c r="P2656" s="26">
        <v>0</v>
      </c>
      <c r="Q2656" s="26">
        <v>0</v>
      </c>
      <c r="R2656" s="1209">
        <v>170</v>
      </c>
      <c r="S2656" s="1209">
        <v>170</v>
      </c>
      <c r="T2656" s="26" t="s">
        <v>5448</v>
      </c>
      <c r="U2656" s="1859" t="s">
        <v>138</v>
      </c>
      <c r="V2656" s="26" t="s">
        <v>9808</v>
      </c>
      <c r="W2656" s="649" t="s">
        <v>9843</v>
      </c>
      <c r="X2656" s="18"/>
      <c r="Y2656" s="4"/>
      <c r="Z2656" s="4"/>
    </row>
    <row r="2657" spans="1:26" ht="14.1" hidden="1">
      <c r="A2657" s="20">
        <v>2664</v>
      </c>
      <c r="B2657" s="1063">
        <v>42434</v>
      </c>
      <c r="C2657" s="26" t="s">
        <v>9844</v>
      </c>
      <c r="D2657" s="11" t="s">
        <v>6</v>
      </c>
      <c r="E2657" s="26" t="s">
        <v>7956</v>
      </c>
      <c r="F2657" s="26" t="s">
        <v>2143</v>
      </c>
      <c r="G2657" s="26" t="s">
        <v>9845</v>
      </c>
      <c r="H2657" s="237" t="s">
        <v>7673</v>
      </c>
      <c r="I2657" s="26" t="s">
        <v>113</v>
      </c>
      <c r="J2657" s="26">
        <v>42220342</v>
      </c>
      <c r="K2657" s="26" t="s">
        <v>9846</v>
      </c>
      <c r="L2657" s="26"/>
      <c r="M2657" s="26">
        <v>1</v>
      </c>
      <c r="N2657" s="26">
        <v>1</v>
      </c>
      <c r="O2657" s="26">
        <v>1</v>
      </c>
      <c r="P2657" s="26">
        <v>0</v>
      </c>
      <c r="Q2657" s="26">
        <v>0</v>
      </c>
      <c r="R2657" s="1209">
        <v>289</v>
      </c>
      <c r="S2657" s="1209">
        <v>289</v>
      </c>
      <c r="T2657" s="26" t="s">
        <v>5448</v>
      </c>
      <c r="U2657" s="1859" t="s">
        <v>138</v>
      </c>
      <c r="V2657" s="26" t="s">
        <v>9808</v>
      </c>
      <c r="W2657" s="649" t="s">
        <v>9847</v>
      </c>
      <c r="X2657" s="18"/>
      <c r="Y2657" s="4"/>
      <c r="Z2657" s="4"/>
    </row>
    <row r="2658" spans="1:26" ht="14.1" hidden="1">
      <c r="A2658" s="20">
        <v>2665</v>
      </c>
      <c r="B2658" s="1063">
        <v>42435</v>
      </c>
      <c r="C2658" s="26" t="s">
        <v>9848</v>
      </c>
      <c r="D2658" s="11" t="s">
        <v>6</v>
      </c>
      <c r="E2658" s="26" t="s">
        <v>7956</v>
      </c>
      <c r="F2658" s="26" t="s">
        <v>2143</v>
      </c>
      <c r="G2658" s="26"/>
      <c r="H2658" s="237" t="s">
        <v>9849</v>
      </c>
      <c r="I2658" s="26" t="s">
        <v>113</v>
      </c>
      <c r="J2658" s="26">
        <v>37061726</v>
      </c>
      <c r="K2658" s="26" t="s">
        <v>9850</v>
      </c>
      <c r="L2658" s="26"/>
      <c r="M2658" s="26">
        <v>1</v>
      </c>
      <c r="N2658" s="26">
        <v>1</v>
      </c>
      <c r="O2658" s="26">
        <v>1</v>
      </c>
      <c r="P2658" s="26">
        <v>0</v>
      </c>
      <c r="Q2658" s="26">
        <v>0</v>
      </c>
      <c r="R2658" s="1209">
        <v>1590</v>
      </c>
      <c r="S2658" s="1209">
        <v>1590</v>
      </c>
      <c r="T2658" s="26" t="s">
        <v>5448</v>
      </c>
      <c r="U2658" s="1859" t="s">
        <v>138</v>
      </c>
      <c r="V2658" s="26" t="s">
        <v>9808</v>
      </c>
      <c r="W2658" s="2074" t="s">
        <v>9851</v>
      </c>
      <c r="X2658" s="18"/>
      <c r="Y2658" s="4"/>
      <c r="Z2658" s="4"/>
    </row>
    <row r="2659" spans="1:26" ht="24.95" hidden="1">
      <c r="A2659" s="20">
        <v>2666</v>
      </c>
      <c r="B2659" s="1063">
        <v>42436</v>
      </c>
      <c r="C2659" s="26" t="s">
        <v>9852</v>
      </c>
      <c r="D2659" s="11" t="s">
        <v>6</v>
      </c>
      <c r="E2659" s="26" t="s">
        <v>7956</v>
      </c>
      <c r="F2659" s="26" t="s">
        <v>2143</v>
      </c>
      <c r="G2659" s="26"/>
      <c r="H2659" s="237" t="s">
        <v>9849</v>
      </c>
      <c r="I2659" s="26" t="s">
        <v>113</v>
      </c>
      <c r="J2659" s="26">
        <v>49656102</v>
      </c>
      <c r="K2659" s="26" t="s">
        <v>9853</v>
      </c>
      <c r="L2659" s="26"/>
      <c r="M2659" s="26">
        <v>1</v>
      </c>
      <c r="N2659" s="26">
        <v>1</v>
      </c>
      <c r="O2659" s="26">
        <v>1</v>
      </c>
      <c r="P2659" s="26">
        <v>0</v>
      </c>
      <c r="Q2659" s="26">
        <v>0</v>
      </c>
      <c r="R2659" s="1209">
        <v>699</v>
      </c>
      <c r="S2659" s="1209">
        <v>699</v>
      </c>
      <c r="T2659" s="26" t="s">
        <v>5448</v>
      </c>
      <c r="U2659" s="1859" t="s">
        <v>138</v>
      </c>
      <c r="V2659" s="26" t="s">
        <v>9808</v>
      </c>
      <c r="W2659" s="649" t="s">
        <v>9854</v>
      </c>
      <c r="X2659" s="18"/>
      <c r="Y2659" s="4"/>
      <c r="Z2659" s="4"/>
    </row>
    <row r="2660" spans="1:26" ht="14.1" hidden="1">
      <c r="A2660" s="20">
        <v>2667</v>
      </c>
      <c r="B2660" s="1063">
        <v>42437</v>
      </c>
      <c r="C2660" s="26" t="s">
        <v>9855</v>
      </c>
      <c r="D2660" s="11" t="s">
        <v>6</v>
      </c>
      <c r="E2660" s="26" t="s">
        <v>7956</v>
      </c>
      <c r="F2660" s="26" t="s">
        <v>2143</v>
      </c>
      <c r="G2660" s="26" t="s">
        <v>9856</v>
      </c>
      <c r="H2660" s="237" t="s">
        <v>9466</v>
      </c>
      <c r="I2660" s="26" t="s">
        <v>113</v>
      </c>
      <c r="J2660" s="26">
        <v>37099754</v>
      </c>
      <c r="K2660" s="26" t="s">
        <v>9467</v>
      </c>
      <c r="L2660" s="26"/>
      <c r="M2660" s="26">
        <v>5</v>
      </c>
      <c r="N2660" s="26">
        <v>1</v>
      </c>
      <c r="O2660" s="26">
        <v>5</v>
      </c>
      <c r="P2660" s="26">
        <v>0</v>
      </c>
      <c r="Q2660" s="26">
        <v>0</v>
      </c>
      <c r="R2660" s="1209">
        <v>749</v>
      </c>
      <c r="S2660" s="1209">
        <f t="shared" ref="S2660:S2662" si="146">R2660*O2660</f>
        <v>3745</v>
      </c>
      <c r="T2660" s="26" t="s">
        <v>5448</v>
      </c>
      <c r="U2660" s="1859" t="s">
        <v>138</v>
      </c>
      <c r="V2660" s="26" t="s">
        <v>9808</v>
      </c>
      <c r="W2660" s="2074" t="s">
        <v>9857</v>
      </c>
      <c r="X2660" s="18"/>
      <c r="Y2660" s="4"/>
      <c r="Z2660" s="4"/>
    </row>
    <row r="2661" spans="1:26" ht="14.1" hidden="1">
      <c r="A2661" s="20">
        <v>2668</v>
      </c>
      <c r="B2661" s="1063">
        <v>42438</v>
      </c>
      <c r="C2661" s="26" t="s">
        <v>9469</v>
      </c>
      <c r="D2661" s="11" t="s">
        <v>6</v>
      </c>
      <c r="E2661" s="26" t="s">
        <v>7956</v>
      </c>
      <c r="F2661" s="26" t="s">
        <v>2143</v>
      </c>
      <c r="G2661" s="26" t="s">
        <v>9858</v>
      </c>
      <c r="H2661" s="237" t="s">
        <v>101</v>
      </c>
      <c r="I2661" s="26" t="s">
        <v>113</v>
      </c>
      <c r="J2661" s="26">
        <v>33510827</v>
      </c>
      <c r="K2661" s="189" t="s">
        <v>9471</v>
      </c>
      <c r="L2661" s="26"/>
      <c r="M2661" s="26">
        <v>3</v>
      </c>
      <c r="N2661" s="26">
        <v>1</v>
      </c>
      <c r="O2661" s="26">
        <v>3</v>
      </c>
      <c r="P2661" s="26">
        <v>0</v>
      </c>
      <c r="Q2661" s="26">
        <v>0</v>
      </c>
      <c r="R2661" s="1209">
        <v>1620</v>
      </c>
      <c r="S2661" s="1209">
        <f t="shared" si="146"/>
        <v>4860</v>
      </c>
      <c r="T2661" s="26" t="s">
        <v>5448</v>
      </c>
      <c r="U2661" s="1859" t="s">
        <v>138</v>
      </c>
      <c r="V2661" s="26" t="s">
        <v>9808</v>
      </c>
      <c r="W2661" s="2074" t="s">
        <v>9859</v>
      </c>
      <c r="X2661" s="18"/>
      <c r="Y2661" s="4"/>
      <c r="Z2661" s="4"/>
    </row>
    <row r="2662" spans="1:26" ht="14.1" hidden="1">
      <c r="A2662" s="20">
        <v>2669</v>
      </c>
      <c r="B2662" s="1063">
        <v>42439</v>
      </c>
      <c r="C2662" s="26" t="s">
        <v>9469</v>
      </c>
      <c r="D2662" s="11" t="s">
        <v>6</v>
      </c>
      <c r="E2662" s="26" t="s">
        <v>7956</v>
      </c>
      <c r="F2662" s="26" t="s">
        <v>2143</v>
      </c>
      <c r="G2662" s="26" t="s">
        <v>9860</v>
      </c>
      <c r="H2662" s="237" t="s">
        <v>101</v>
      </c>
      <c r="I2662" s="26" t="s">
        <v>113</v>
      </c>
      <c r="J2662" s="26">
        <v>33510863</v>
      </c>
      <c r="K2662" s="26" t="s">
        <v>9474</v>
      </c>
      <c r="L2662" s="26"/>
      <c r="M2662" s="26">
        <v>3</v>
      </c>
      <c r="N2662" s="26">
        <v>1</v>
      </c>
      <c r="O2662" s="26">
        <v>3</v>
      </c>
      <c r="P2662" s="26">
        <v>0</v>
      </c>
      <c r="Q2662" s="26">
        <v>0</v>
      </c>
      <c r="R2662" s="1209">
        <v>1620</v>
      </c>
      <c r="S2662" s="1209">
        <f t="shared" si="146"/>
        <v>4860</v>
      </c>
      <c r="T2662" s="26" t="s">
        <v>5448</v>
      </c>
      <c r="U2662" s="1859" t="s">
        <v>138</v>
      </c>
      <c r="V2662" s="26" t="s">
        <v>9808</v>
      </c>
      <c r="W2662" s="2074" t="s">
        <v>9859</v>
      </c>
      <c r="X2662" s="18"/>
      <c r="Y2662" s="4"/>
      <c r="Z2662" s="4"/>
    </row>
    <row r="2663" spans="1:26" ht="24.95" hidden="1">
      <c r="A2663" s="20">
        <v>2670</v>
      </c>
      <c r="B2663" s="1063">
        <v>42440</v>
      </c>
      <c r="C2663" s="26" t="s">
        <v>9861</v>
      </c>
      <c r="D2663" s="11" t="s">
        <v>6</v>
      </c>
      <c r="E2663" s="26" t="s">
        <v>7956</v>
      </c>
      <c r="F2663" s="26" t="s">
        <v>2143</v>
      </c>
      <c r="G2663" s="26" t="s">
        <v>9862</v>
      </c>
      <c r="H2663" s="237" t="s">
        <v>9863</v>
      </c>
      <c r="I2663" s="26" t="s">
        <v>1063</v>
      </c>
      <c r="J2663" s="26" t="s">
        <v>9864</v>
      </c>
      <c r="K2663" s="26" t="s">
        <v>9865</v>
      </c>
      <c r="L2663" s="26"/>
      <c r="M2663" s="26">
        <v>1</v>
      </c>
      <c r="N2663" s="26">
        <v>1</v>
      </c>
      <c r="O2663" s="26">
        <v>1</v>
      </c>
      <c r="P2663" s="26">
        <v>0</v>
      </c>
      <c r="Q2663" s="26">
        <v>0</v>
      </c>
      <c r="R2663" s="1209">
        <v>1450</v>
      </c>
      <c r="S2663" s="1209">
        <v>1450</v>
      </c>
      <c r="T2663" s="26" t="s">
        <v>5448</v>
      </c>
      <c r="U2663" s="1859" t="s">
        <v>138</v>
      </c>
      <c r="V2663" s="26" t="s">
        <v>9808</v>
      </c>
      <c r="W2663" s="2074" t="s">
        <v>9866</v>
      </c>
      <c r="X2663" s="18"/>
      <c r="Y2663" s="4"/>
      <c r="Z2663" s="4"/>
    </row>
    <row r="2664" spans="1:26" ht="24.95" hidden="1">
      <c r="A2664" s="20">
        <v>2671</v>
      </c>
      <c r="B2664" s="1063">
        <v>42441</v>
      </c>
      <c r="C2664" s="26" t="s">
        <v>9867</v>
      </c>
      <c r="D2664" s="11" t="s">
        <v>6</v>
      </c>
      <c r="E2664" s="26" t="s">
        <v>7956</v>
      </c>
      <c r="F2664" s="26" t="s">
        <v>2143</v>
      </c>
      <c r="G2664" s="26" t="s">
        <v>9868</v>
      </c>
      <c r="H2664" s="237" t="s">
        <v>4834</v>
      </c>
      <c r="I2664" s="26" t="s">
        <v>1063</v>
      </c>
      <c r="J2664" s="26" t="s">
        <v>9869</v>
      </c>
      <c r="K2664" s="26"/>
      <c r="L2664" s="26"/>
      <c r="M2664" s="26">
        <v>1</v>
      </c>
      <c r="N2664" s="26">
        <v>1</v>
      </c>
      <c r="O2664" s="26">
        <v>1</v>
      </c>
      <c r="P2664" s="26">
        <v>0</v>
      </c>
      <c r="Q2664" s="26">
        <v>0</v>
      </c>
      <c r="R2664" s="1209">
        <v>60</v>
      </c>
      <c r="S2664" s="1209">
        <v>60</v>
      </c>
      <c r="T2664" s="26" t="s">
        <v>5448</v>
      </c>
      <c r="U2664" s="1859" t="s">
        <v>138</v>
      </c>
      <c r="V2664" s="26" t="s">
        <v>9808</v>
      </c>
      <c r="W2664" s="649" t="s">
        <v>9870</v>
      </c>
      <c r="X2664" s="18"/>
      <c r="Y2664" s="4"/>
      <c r="Z2664" s="4"/>
    </row>
    <row r="2665" spans="1:26" ht="14.1" hidden="1">
      <c r="A2665" s="20">
        <v>2672</v>
      </c>
      <c r="B2665" s="1063">
        <v>42442</v>
      </c>
      <c r="C2665" s="26" t="s">
        <v>9871</v>
      </c>
      <c r="D2665" s="11" t="s">
        <v>6</v>
      </c>
      <c r="E2665" s="26" t="s">
        <v>7956</v>
      </c>
      <c r="F2665" s="26" t="s">
        <v>2143</v>
      </c>
      <c r="G2665" s="26"/>
      <c r="H2665" s="237" t="s">
        <v>9872</v>
      </c>
      <c r="I2665" s="26" t="s">
        <v>1063</v>
      </c>
      <c r="J2665" s="26" t="s">
        <v>9873</v>
      </c>
      <c r="K2665" s="26" t="s">
        <v>9874</v>
      </c>
      <c r="L2665" s="26"/>
      <c r="M2665" s="26">
        <v>1</v>
      </c>
      <c r="N2665" s="26">
        <v>1</v>
      </c>
      <c r="O2665" s="26">
        <v>1</v>
      </c>
      <c r="P2665" s="26">
        <v>0</v>
      </c>
      <c r="Q2665" s="26">
        <v>0</v>
      </c>
      <c r="R2665" s="1209">
        <v>350</v>
      </c>
      <c r="S2665" s="1209">
        <v>350</v>
      </c>
      <c r="T2665" s="26" t="s">
        <v>5448</v>
      </c>
      <c r="U2665" s="1859" t="s">
        <v>138</v>
      </c>
      <c r="V2665" s="26" t="s">
        <v>9808</v>
      </c>
      <c r="W2665" s="649" t="s">
        <v>9875</v>
      </c>
      <c r="X2665" s="18"/>
      <c r="Y2665" s="4"/>
      <c r="Z2665" s="4"/>
    </row>
    <row r="2666" spans="1:26" ht="14.1" hidden="1">
      <c r="A2666" s="20">
        <v>2673</v>
      </c>
      <c r="B2666" s="1063">
        <v>42443</v>
      </c>
      <c r="C2666" s="26" t="s">
        <v>9876</v>
      </c>
      <c r="D2666" s="11" t="s">
        <v>6</v>
      </c>
      <c r="E2666" s="26" t="s">
        <v>7956</v>
      </c>
      <c r="F2666" s="26" t="s">
        <v>2143</v>
      </c>
      <c r="G2666" s="26"/>
      <c r="H2666" s="237" t="s">
        <v>4841</v>
      </c>
      <c r="I2666" s="26" t="s">
        <v>1063</v>
      </c>
      <c r="J2666" s="26" t="s">
        <v>9877</v>
      </c>
      <c r="K2666" s="26" t="s">
        <v>9878</v>
      </c>
      <c r="L2666" s="26"/>
      <c r="M2666" s="26">
        <v>1</v>
      </c>
      <c r="N2666" s="26">
        <v>1</v>
      </c>
      <c r="O2666" s="26">
        <v>1</v>
      </c>
      <c r="P2666" s="26">
        <v>0</v>
      </c>
      <c r="Q2666" s="26">
        <v>0</v>
      </c>
      <c r="R2666" s="1209">
        <v>300</v>
      </c>
      <c r="S2666" s="1209">
        <v>300</v>
      </c>
      <c r="T2666" s="26" t="s">
        <v>5448</v>
      </c>
      <c r="U2666" s="1859" t="s">
        <v>138</v>
      </c>
      <c r="V2666" s="26" t="s">
        <v>9808</v>
      </c>
      <c r="W2666" s="649" t="s">
        <v>9879</v>
      </c>
      <c r="X2666" s="18"/>
      <c r="Y2666" s="4"/>
      <c r="Z2666" s="4"/>
    </row>
    <row r="2667" spans="1:26" ht="14.1" hidden="1">
      <c r="A2667" s="20">
        <v>2674</v>
      </c>
      <c r="B2667" s="1063">
        <v>42444</v>
      </c>
      <c r="C2667" s="26" t="s">
        <v>9880</v>
      </c>
      <c r="D2667" s="11" t="s">
        <v>6</v>
      </c>
      <c r="E2667" s="26" t="s">
        <v>7956</v>
      </c>
      <c r="F2667" s="26" t="s">
        <v>2143</v>
      </c>
      <c r="G2667" s="26"/>
      <c r="H2667" s="237" t="s">
        <v>5839</v>
      </c>
      <c r="I2667" s="26" t="s">
        <v>1063</v>
      </c>
      <c r="J2667" s="26" t="s">
        <v>5840</v>
      </c>
      <c r="K2667" s="26" t="s">
        <v>5841</v>
      </c>
      <c r="L2667" s="26"/>
      <c r="M2667" s="26">
        <v>1</v>
      </c>
      <c r="N2667" s="26">
        <v>1</v>
      </c>
      <c r="O2667" s="26">
        <v>1</v>
      </c>
      <c r="P2667" s="26">
        <v>0</v>
      </c>
      <c r="Q2667" s="26">
        <v>0</v>
      </c>
      <c r="R2667" s="1209">
        <v>80</v>
      </c>
      <c r="S2667" s="1209">
        <v>80</v>
      </c>
      <c r="T2667" s="26" t="s">
        <v>5448</v>
      </c>
      <c r="U2667" s="1859" t="s">
        <v>138</v>
      </c>
      <c r="V2667" s="26" t="s">
        <v>9808</v>
      </c>
      <c r="W2667" s="649" t="s">
        <v>5842</v>
      </c>
      <c r="X2667" s="18"/>
      <c r="Y2667" s="4"/>
      <c r="Z2667" s="4"/>
    </row>
    <row r="2668" spans="1:26" ht="14.1" hidden="1">
      <c r="A2668" s="20">
        <v>2675</v>
      </c>
      <c r="B2668" s="1063">
        <v>42445</v>
      </c>
      <c r="C2668" s="26" t="s">
        <v>9881</v>
      </c>
      <c r="D2668" s="11" t="s">
        <v>6</v>
      </c>
      <c r="E2668" s="26" t="s">
        <v>7956</v>
      </c>
      <c r="F2668" s="26" t="s">
        <v>2143</v>
      </c>
      <c r="G2668" s="26" t="s">
        <v>9882</v>
      </c>
      <c r="H2668" s="237" t="s">
        <v>9883</v>
      </c>
      <c r="I2668" s="26" t="s">
        <v>1063</v>
      </c>
      <c r="J2668" s="26" t="s">
        <v>9884</v>
      </c>
      <c r="K2668" s="26" t="s">
        <v>9885</v>
      </c>
      <c r="L2668" s="26"/>
      <c r="M2668" s="26">
        <v>1</v>
      </c>
      <c r="N2668" s="26">
        <v>1</v>
      </c>
      <c r="O2668" s="26">
        <v>1</v>
      </c>
      <c r="P2668" s="26">
        <v>0</v>
      </c>
      <c r="Q2668" s="26">
        <v>0</v>
      </c>
      <c r="R2668" s="1209">
        <v>650</v>
      </c>
      <c r="S2668" s="1209">
        <v>650</v>
      </c>
      <c r="T2668" s="26" t="s">
        <v>5448</v>
      </c>
      <c r="U2668" s="1859" t="s">
        <v>138</v>
      </c>
      <c r="V2668" s="26" t="s">
        <v>9808</v>
      </c>
      <c r="W2668" s="649" t="s">
        <v>9886</v>
      </c>
      <c r="X2668" s="18"/>
      <c r="Y2668" s="4"/>
      <c r="Z2668" s="4"/>
    </row>
    <row r="2669" spans="1:26" ht="14.1" hidden="1">
      <c r="A2669" s="20">
        <v>2676</v>
      </c>
      <c r="B2669" s="1063">
        <v>42446</v>
      </c>
      <c r="C2669" s="26" t="s">
        <v>9887</v>
      </c>
      <c r="D2669" s="11" t="s">
        <v>6</v>
      </c>
      <c r="E2669" s="26" t="s">
        <v>7956</v>
      </c>
      <c r="F2669" s="26" t="s">
        <v>2143</v>
      </c>
      <c r="G2669" s="26" t="s">
        <v>9888</v>
      </c>
      <c r="H2669" s="237" t="s">
        <v>4817</v>
      </c>
      <c r="I2669" s="26" t="s">
        <v>1063</v>
      </c>
      <c r="J2669" s="26" t="s">
        <v>9889</v>
      </c>
      <c r="K2669" s="26" t="s">
        <v>9890</v>
      </c>
      <c r="L2669" s="26"/>
      <c r="M2669" s="26">
        <v>1</v>
      </c>
      <c r="N2669" s="26">
        <v>1</v>
      </c>
      <c r="O2669" s="26">
        <v>1</v>
      </c>
      <c r="P2669" s="26">
        <v>0</v>
      </c>
      <c r="Q2669" s="26">
        <v>0</v>
      </c>
      <c r="R2669" s="1209">
        <v>20</v>
      </c>
      <c r="S2669" s="1209">
        <v>20</v>
      </c>
      <c r="T2669" s="26" t="s">
        <v>5448</v>
      </c>
      <c r="U2669" s="1859" t="s">
        <v>138</v>
      </c>
      <c r="V2669" s="26" t="s">
        <v>9808</v>
      </c>
      <c r="W2669" s="649" t="s">
        <v>9891</v>
      </c>
      <c r="X2669" s="18"/>
      <c r="Y2669" s="4"/>
      <c r="Z2669" s="4"/>
    </row>
    <row r="2670" spans="1:26" ht="14.1" hidden="1">
      <c r="A2670" s="20">
        <v>2677</v>
      </c>
      <c r="B2670" s="1063">
        <v>42447</v>
      </c>
      <c r="C2670" s="26" t="s">
        <v>9892</v>
      </c>
      <c r="D2670" s="11" t="s">
        <v>6</v>
      </c>
      <c r="E2670" s="26" t="s">
        <v>7956</v>
      </c>
      <c r="F2670" s="26" t="s">
        <v>2143</v>
      </c>
      <c r="G2670" s="26" t="s">
        <v>9893</v>
      </c>
      <c r="H2670" s="237" t="s">
        <v>9894</v>
      </c>
      <c r="I2670" s="26" t="s">
        <v>113</v>
      </c>
      <c r="J2670" s="26">
        <v>20757126</v>
      </c>
      <c r="K2670" s="26" t="s">
        <v>9895</v>
      </c>
      <c r="L2670" s="26"/>
      <c r="M2670" s="26">
        <v>1</v>
      </c>
      <c r="N2670" s="26">
        <v>1</v>
      </c>
      <c r="O2670" s="26">
        <v>1</v>
      </c>
      <c r="P2670" s="26">
        <v>0</v>
      </c>
      <c r="Q2670" s="26">
        <v>0</v>
      </c>
      <c r="R2670" s="1209">
        <v>1590</v>
      </c>
      <c r="S2670" s="1209">
        <v>1590</v>
      </c>
      <c r="T2670" s="26" t="s">
        <v>5448</v>
      </c>
      <c r="U2670" s="1859" t="s">
        <v>138</v>
      </c>
      <c r="V2670" s="26" t="s">
        <v>9808</v>
      </c>
      <c r="W2670" s="701" t="s">
        <v>9896</v>
      </c>
      <c r="X2670" s="18"/>
      <c r="Y2670" s="4"/>
      <c r="Z2670" s="4"/>
    </row>
    <row r="2671" spans="1:26" ht="14.1" hidden="1">
      <c r="A2671" s="20">
        <v>2678</v>
      </c>
      <c r="B2671" s="1063">
        <v>42448</v>
      </c>
      <c r="C2671" s="26" t="s">
        <v>9897</v>
      </c>
      <c r="D2671" s="11" t="s">
        <v>6</v>
      </c>
      <c r="E2671" s="26" t="s">
        <v>7956</v>
      </c>
      <c r="F2671" s="26" t="s">
        <v>2143</v>
      </c>
      <c r="G2671" s="26" t="s">
        <v>9898</v>
      </c>
      <c r="H2671" s="237" t="s">
        <v>7518</v>
      </c>
      <c r="I2671" s="26" t="s">
        <v>113</v>
      </c>
      <c r="J2671" s="26">
        <v>17987402</v>
      </c>
      <c r="K2671" s="26" t="s">
        <v>9899</v>
      </c>
      <c r="L2671" s="26"/>
      <c r="M2671" s="26">
        <v>1</v>
      </c>
      <c r="N2671" s="26">
        <v>1</v>
      </c>
      <c r="O2671" s="26">
        <v>1</v>
      </c>
      <c r="P2671" s="26">
        <v>0</v>
      </c>
      <c r="Q2671" s="26">
        <v>0</v>
      </c>
      <c r="R2671" s="1209">
        <v>589</v>
      </c>
      <c r="S2671" s="1209">
        <v>589</v>
      </c>
      <c r="T2671" s="26" t="s">
        <v>5448</v>
      </c>
      <c r="U2671" s="1859" t="s">
        <v>138</v>
      </c>
      <c r="V2671" s="26" t="s">
        <v>9808</v>
      </c>
      <c r="W2671" s="649" t="s">
        <v>9900</v>
      </c>
      <c r="X2671" s="18"/>
      <c r="Y2671" s="4"/>
      <c r="Z2671" s="4"/>
    </row>
    <row r="2672" spans="1:26" ht="14.1" hidden="1">
      <c r="A2672" s="20">
        <v>2679</v>
      </c>
      <c r="B2672" s="1063">
        <v>42449</v>
      </c>
      <c r="C2672" s="26" t="s">
        <v>9901</v>
      </c>
      <c r="D2672" s="11" t="s">
        <v>6</v>
      </c>
      <c r="E2672" s="26" t="s">
        <v>7956</v>
      </c>
      <c r="F2672" s="26" t="s">
        <v>2143</v>
      </c>
      <c r="G2672" s="26" t="s">
        <v>9902</v>
      </c>
      <c r="H2672" s="237" t="s">
        <v>9903</v>
      </c>
      <c r="I2672" s="26" t="s">
        <v>9903</v>
      </c>
      <c r="J2672" s="26"/>
      <c r="K2672" s="26"/>
      <c r="L2672" s="26"/>
      <c r="M2672" s="26">
        <v>1</v>
      </c>
      <c r="N2672" s="26">
        <v>1</v>
      </c>
      <c r="O2672" s="26">
        <v>1</v>
      </c>
      <c r="P2672" s="26">
        <v>0</v>
      </c>
      <c r="Q2672" s="26">
        <v>0</v>
      </c>
      <c r="R2672" s="1209">
        <v>4100</v>
      </c>
      <c r="S2672" s="1209">
        <v>4100</v>
      </c>
      <c r="T2672" s="26" t="s">
        <v>5448</v>
      </c>
      <c r="U2672" s="1859" t="s">
        <v>138</v>
      </c>
      <c r="V2672" s="26" t="s">
        <v>9804</v>
      </c>
      <c r="W2672" s="2065" t="s">
        <v>9904</v>
      </c>
      <c r="X2672" s="18"/>
      <c r="Y2672" s="4"/>
      <c r="Z2672" s="4"/>
    </row>
    <row r="2673" spans="1:26" ht="14.1" hidden="1">
      <c r="A2673" s="20">
        <v>2680</v>
      </c>
      <c r="B2673" s="1063">
        <v>42450</v>
      </c>
      <c r="C2673" s="26" t="s">
        <v>9905</v>
      </c>
      <c r="D2673" s="11" t="s">
        <v>6</v>
      </c>
      <c r="E2673" s="26" t="s">
        <v>5448</v>
      </c>
      <c r="F2673" s="26" t="s">
        <v>7782</v>
      </c>
      <c r="G2673" s="26" t="s">
        <v>9906</v>
      </c>
      <c r="H2673" s="237" t="s">
        <v>1762</v>
      </c>
      <c r="I2673" s="26" t="s">
        <v>3098</v>
      </c>
      <c r="J2673" s="26" t="s">
        <v>9907</v>
      </c>
      <c r="K2673" s="26" t="s">
        <v>9908</v>
      </c>
      <c r="L2673" s="26" t="s">
        <v>9909</v>
      </c>
      <c r="M2673" s="26">
        <v>1</v>
      </c>
      <c r="N2673" s="26">
        <v>1</v>
      </c>
      <c r="O2673" s="26">
        <v>1</v>
      </c>
      <c r="P2673" s="26">
        <v>0</v>
      </c>
      <c r="Q2673" s="26">
        <v>0</v>
      </c>
      <c r="R2673" s="1209">
        <v>281</v>
      </c>
      <c r="S2673" s="1209">
        <v>281</v>
      </c>
      <c r="T2673" s="26" t="s">
        <v>5448</v>
      </c>
      <c r="U2673" s="1859" t="s">
        <v>8765</v>
      </c>
      <c r="V2673" s="26" t="s">
        <v>9808</v>
      </c>
      <c r="W2673" s="2065" t="s">
        <v>9910</v>
      </c>
      <c r="X2673" s="18" t="s">
        <v>9911</v>
      </c>
      <c r="Y2673" s="4"/>
      <c r="Z2673" s="4"/>
    </row>
    <row r="2674" spans="1:26" ht="14.1" hidden="1">
      <c r="A2674" s="20">
        <v>2681</v>
      </c>
      <c r="B2674" s="1063">
        <v>42451</v>
      </c>
      <c r="C2674" s="26" t="s">
        <v>9912</v>
      </c>
      <c r="D2674" s="11" t="s">
        <v>6</v>
      </c>
      <c r="E2674" s="26" t="s">
        <v>5448</v>
      </c>
      <c r="F2674" s="26" t="s">
        <v>7782</v>
      </c>
      <c r="G2674" s="26" t="s">
        <v>9913</v>
      </c>
      <c r="H2674" s="237" t="s">
        <v>2060</v>
      </c>
      <c r="I2674" s="26" t="s">
        <v>3098</v>
      </c>
      <c r="J2674" s="26" t="s">
        <v>8976</v>
      </c>
      <c r="K2674" s="26" t="s">
        <v>8977</v>
      </c>
      <c r="L2674" s="26" t="s">
        <v>9914</v>
      </c>
      <c r="M2674" s="26">
        <v>2</v>
      </c>
      <c r="N2674" s="26">
        <v>1</v>
      </c>
      <c r="O2674" s="26">
        <v>10</v>
      </c>
      <c r="P2674" s="26">
        <v>0</v>
      </c>
      <c r="Q2674" s="26">
        <v>8</v>
      </c>
      <c r="R2674" s="1209">
        <v>87.3</v>
      </c>
      <c r="S2674" s="1209">
        <v>873</v>
      </c>
      <c r="T2674" s="26" t="s">
        <v>5448</v>
      </c>
      <c r="U2674" s="1859" t="s">
        <v>8765</v>
      </c>
      <c r="V2674" s="26" t="s">
        <v>9808</v>
      </c>
      <c r="W2674" s="649" t="s">
        <v>8978</v>
      </c>
      <c r="X2674" s="18"/>
      <c r="Y2674" s="4"/>
      <c r="Z2674" s="4"/>
    </row>
    <row r="2675" spans="1:26" ht="24.95" hidden="1">
      <c r="A2675" s="20">
        <v>2682</v>
      </c>
      <c r="B2675" s="1063">
        <v>42452</v>
      </c>
      <c r="C2675" s="26" t="s">
        <v>9915</v>
      </c>
      <c r="D2675" s="11" t="s">
        <v>6</v>
      </c>
      <c r="E2675" s="26" t="s">
        <v>5448</v>
      </c>
      <c r="F2675" s="26" t="s">
        <v>7782</v>
      </c>
      <c r="G2675" s="26" t="s">
        <v>9916</v>
      </c>
      <c r="H2675" s="237" t="s">
        <v>2060</v>
      </c>
      <c r="I2675" s="26" t="s">
        <v>3098</v>
      </c>
      <c r="J2675" s="26" t="s">
        <v>9917</v>
      </c>
      <c r="K2675" s="26" t="s">
        <v>9918</v>
      </c>
      <c r="L2675" s="26" t="s">
        <v>9919</v>
      </c>
      <c r="M2675" s="26">
        <v>2</v>
      </c>
      <c r="N2675" s="26">
        <v>1</v>
      </c>
      <c r="O2675" s="26">
        <v>10</v>
      </c>
      <c r="P2675" s="26">
        <v>0</v>
      </c>
      <c r="Q2675" s="26">
        <v>8</v>
      </c>
      <c r="R2675" s="1209">
        <v>83.2</v>
      </c>
      <c r="S2675" s="1209">
        <v>832</v>
      </c>
      <c r="T2675" s="26" t="s">
        <v>5448</v>
      </c>
      <c r="U2675" s="1859" t="s">
        <v>8765</v>
      </c>
      <c r="V2675" s="26" t="s">
        <v>9808</v>
      </c>
      <c r="W2675" s="2065" t="s">
        <v>9920</v>
      </c>
      <c r="X2675" s="18"/>
      <c r="Y2675" s="4"/>
      <c r="Z2675" s="4"/>
    </row>
    <row r="2676" spans="1:26" ht="14.1" hidden="1">
      <c r="A2676" s="20">
        <v>2683</v>
      </c>
      <c r="B2676" s="1063">
        <v>42453</v>
      </c>
      <c r="C2676" s="956" t="s">
        <v>9921</v>
      </c>
      <c r="D2676" s="11" t="s">
        <v>6</v>
      </c>
      <c r="E2676" s="26" t="s">
        <v>5448</v>
      </c>
      <c r="F2676" s="26" t="s">
        <v>7782</v>
      </c>
      <c r="G2676" s="26" t="s">
        <v>9922</v>
      </c>
      <c r="H2676" s="237" t="s">
        <v>2852</v>
      </c>
      <c r="I2676" s="26" t="s">
        <v>3098</v>
      </c>
      <c r="J2676" s="26" t="s">
        <v>9923</v>
      </c>
      <c r="K2676" s="26" t="s">
        <v>9924</v>
      </c>
      <c r="L2676" s="26" t="s">
        <v>7069</v>
      </c>
      <c r="M2676" s="26">
        <v>1</v>
      </c>
      <c r="N2676" s="26">
        <v>1</v>
      </c>
      <c r="O2676" s="26">
        <v>2</v>
      </c>
      <c r="P2676" s="26">
        <v>0</v>
      </c>
      <c r="Q2676" s="26">
        <v>1</v>
      </c>
      <c r="R2676" s="1209">
        <v>317</v>
      </c>
      <c r="S2676" s="1209">
        <v>634</v>
      </c>
      <c r="T2676" s="26" t="s">
        <v>5448</v>
      </c>
      <c r="U2676" s="1859" t="s">
        <v>8765</v>
      </c>
      <c r="V2676" s="26" t="s">
        <v>9808</v>
      </c>
      <c r="W2676" s="649" t="s">
        <v>9925</v>
      </c>
      <c r="X2676" s="18"/>
      <c r="Y2676" s="4"/>
      <c r="Z2676" s="4"/>
    </row>
    <row r="2677" spans="1:26" ht="14.1" hidden="1">
      <c r="A2677" s="20">
        <v>2684</v>
      </c>
      <c r="B2677" s="1063">
        <v>42454</v>
      </c>
      <c r="C2677" s="26" t="s">
        <v>9926</v>
      </c>
      <c r="D2677" s="11" t="s">
        <v>6</v>
      </c>
      <c r="E2677" s="26" t="s">
        <v>5448</v>
      </c>
      <c r="F2677" s="26" t="s">
        <v>7782</v>
      </c>
      <c r="G2677" s="26" t="s">
        <v>9927</v>
      </c>
      <c r="H2677" s="237" t="s">
        <v>9928</v>
      </c>
      <c r="I2677" s="26" t="s">
        <v>3098</v>
      </c>
      <c r="J2677" s="277" t="s">
        <v>9929</v>
      </c>
      <c r="K2677" s="277" t="s">
        <v>9930</v>
      </c>
      <c r="L2677" s="26" t="s">
        <v>7069</v>
      </c>
      <c r="M2677" s="26">
        <v>1</v>
      </c>
      <c r="N2677" s="26">
        <v>1</v>
      </c>
      <c r="O2677" s="26">
        <v>1</v>
      </c>
      <c r="P2677" s="26">
        <v>0</v>
      </c>
      <c r="Q2677" s="26">
        <v>0</v>
      </c>
      <c r="R2677" s="1209">
        <v>686</v>
      </c>
      <c r="S2677" s="1209">
        <v>686</v>
      </c>
      <c r="T2677" s="26" t="s">
        <v>5448</v>
      </c>
      <c r="U2677" s="1859" t="s">
        <v>8765</v>
      </c>
      <c r="V2677" s="26" t="s">
        <v>9808</v>
      </c>
      <c r="W2677" s="701" t="s">
        <v>9931</v>
      </c>
      <c r="X2677" s="18"/>
      <c r="Y2677" s="4"/>
      <c r="Z2677" s="4"/>
    </row>
    <row r="2678" spans="1:26" ht="14.1" hidden="1">
      <c r="A2678" s="20">
        <v>2685</v>
      </c>
      <c r="B2678" s="1063">
        <v>42455</v>
      </c>
      <c r="C2678" s="26" t="s">
        <v>9932</v>
      </c>
      <c r="D2678" s="11" t="s">
        <v>6</v>
      </c>
      <c r="E2678" s="26" t="s">
        <v>5448</v>
      </c>
      <c r="F2678" s="26" t="s">
        <v>7782</v>
      </c>
      <c r="G2678" s="26" t="s">
        <v>9933</v>
      </c>
      <c r="H2678" s="26" t="s">
        <v>9934</v>
      </c>
      <c r="I2678" s="26" t="s">
        <v>39</v>
      </c>
      <c r="J2678" s="26" t="s">
        <v>9935</v>
      </c>
      <c r="K2678" s="26" t="s">
        <v>9936</v>
      </c>
      <c r="L2678" s="26" t="s">
        <v>9937</v>
      </c>
      <c r="M2678" s="26">
        <v>1</v>
      </c>
      <c r="N2678" s="26">
        <v>1</v>
      </c>
      <c r="O2678" s="26">
        <v>1</v>
      </c>
      <c r="P2678" s="26">
        <v>0</v>
      </c>
      <c r="Q2678" s="26">
        <v>0</v>
      </c>
      <c r="R2678" s="1209">
        <v>3286</v>
      </c>
      <c r="S2678" s="1209">
        <v>3286</v>
      </c>
      <c r="T2678" s="26" t="s">
        <v>5448</v>
      </c>
      <c r="U2678" s="1859" t="s">
        <v>8765</v>
      </c>
      <c r="V2678" s="26" t="s">
        <v>9808</v>
      </c>
      <c r="W2678" s="649" t="s">
        <v>9938</v>
      </c>
      <c r="X2678" s="18" t="s">
        <v>9911</v>
      </c>
      <c r="Y2678" s="4"/>
      <c r="Z2678" s="4"/>
    </row>
    <row r="2679" spans="1:26" ht="14.45" hidden="1">
      <c r="A2679" s="20">
        <v>2686</v>
      </c>
      <c r="B2679" s="1063">
        <v>42456</v>
      </c>
      <c r="C2679" s="26" t="s">
        <v>9939</v>
      </c>
      <c r="D2679" s="11" t="s">
        <v>6</v>
      </c>
      <c r="E2679" s="26" t="s">
        <v>9940</v>
      </c>
      <c r="F2679" s="26" t="s">
        <v>1989</v>
      </c>
      <c r="G2679" s="26" t="s">
        <v>9941</v>
      </c>
      <c r="H2679" s="26" t="s">
        <v>9942</v>
      </c>
      <c r="I2679" s="26" t="s">
        <v>9716</v>
      </c>
      <c r="J2679" s="26"/>
      <c r="K2679" s="26"/>
      <c r="L2679" s="26" t="s">
        <v>9710</v>
      </c>
      <c r="M2679" s="26">
        <v>1</v>
      </c>
      <c r="N2679" s="26">
        <v>1</v>
      </c>
      <c r="O2679" s="26">
        <v>1</v>
      </c>
      <c r="P2679" s="26"/>
      <c r="Q2679" s="26"/>
      <c r="R2679" s="1209">
        <v>90000</v>
      </c>
      <c r="S2679" s="1281">
        <v>90000</v>
      </c>
      <c r="T2679" s="26" t="s">
        <v>9943</v>
      </c>
      <c r="U2679" s="1859" t="s">
        <v>9944</v>
      </c>
      <c r="V2679" s="26" t="s">
        <v>9945</v>
      </c>
      <c r="W2679" s="2096" t="s">
        <v>9946</v>
      </c>
      <c r="X2679" s="18"/>
      <c r="Y2679" s="4"/>
      <c r="Z2679" s="4"/>
    </row>
    <row r="2680" spans="1:26" ht="27.95" hidden="1">
      <c r="A2680" s="20">
        <v>2687</v>
      </c>
      <c r="B2680" s="1063">
        <v>42457</v>
      </c>
      <c r="C2680" s="22" t="s">
        <v>9284</v>
      </c>
      <c r="D2680" s="11" t="s">
        <v>6</v>
      </c>
      <c r="E2680" s="26" t="s">
        <v>5448</v>
      </c>
      <c r="F2680" s="22" t="s">
        <v>2143</v>
      </c>
      <c r="G2680" s="22" t="s">
        <v>9285</v>
      </c>
      <c r="H2680" s="237" t="s">
        <v>9286</v>
      </c>
      <c r="I2680" s="22" t="s">
        <v>76</v>
      </c>
      <c r="J2680" s="26" t="s">
        <v>9287</v>
      </c>
      <c r="K2680" s="26" t="s">
        <v>9288</v>
      </c>
      <c r="L2680" s="26"/>
      <c r="M2680" s="26">
        <v>1</v>
      </c>
      <c r="N2680" s="26">
        <v>1</v>
      </c>
      <c r="O2680" s="26">
        <v>1</v>
      </c>
      <c r="P2680" s="26">
        <v>0</v>
      </c>
      <c r="Q2680" s="26">
        <v>0</v>
      </c>
      <c r="R2680" s="1209">
        <v>11300</v>
      </c>
      <c r="S2680" s="1209">
        <v>11300</v>
      </c>
      <c r="T2680" s="22" t="s">
        <v>9278</v>
      </c>
      <c r="U2680" s="1854" t="s">
        <v>9279</v>
      </c>
      <c r="V2680" s="22" t="s">
        <v>9279</v>
      </c>
      <c r="W2680" s="649" t="s">
        <v>9289</v>
      </c>
      <c r="X2680" s="18"/>
      <c r="Y2680" s="4"/>
      <c r="Z2680" s="4"/>
    </row>
    <row r="2681" spans="1:26" ht="27.95" hidden="1">
      <c r="A2681" s="20">
        <v>2688</v>
      </c>
      <c r="B2681" s="1063">
        <v>42458</v>
      </c>
      <c r="C2681" s="22" t="s">
        <v>9290</v>
      </c>
      <c r="D2681" s="11" t="s">
        <v>6</v>
      </c>
      <c r="E2681" s="26" t="s">
        <v>5448</v>
      </c>
      <c r="F2681" s="22" t="s">
        <v>2143</v>
      </c>
      <c r="G2681" s="22" t="s">
        <v>9291</v>
      </c>
      <c r="H2681" s="237" t="s">
        <v>9286</v>
      </c>
      <c r="I2681" s="22" t="s">
        <v>76</v>
      </c>
      <c r="J2681" s="26" t="s">
        <v>9292</v>
      </c>
      <c r="K2681" s="26" t="s">
        <v>9293</v>
      </c>
      <c r="L2681" s="26"/>
      <c r="M2681" s="26">
        <v>1</v>
      </c>
      <c r="N2681" s="26">
        <v>1</v>
      </c>
      <c r="O2681" s="26">
        <v>1</v>
      </c>
      <c r="P2681" s="26">
        <v>0</v>
      </c>
      <c r="Q2681" s="26">
        <v>0</v>
      </c>
      <c r="R2681" s="1209">
        <v>11300</v>
      </c>
      <c r="S2681" s="1209">
        <v>11300</v>
      </c>
      <c r="T2681" s="22" t="s">
        <v>9278</v>
      </c>
      <c r="U2681" s="1854" t="s">
        <v>9279</v>
      </c>
      <c r="V2681" s="22" t="s">
        <v>9279</v>
      </c>
      <c r="W2681" s="649" t="s">
        <v>9289</v>
      </c>
      <c r="X2681" s="18"/>
      <c r="Y2681" s="4"/>
      <c r="Z2681" s="4"/>
    </row>
    <row r="2682" spans="1:26" ht="14.1" hidden="1">
      <c r="A2682" s="20">
        <v>2689</v>
      </c>
      <c r="B2682" s="1063">
        <v>42459</v>
      </c>
      <c r="C2682" s="26" t="s">
        <v>9947</v>
      </c>
      <c r="D2682" s="11" t="s">
        <v>6</v>
      </c>
      <c r="E2682" s="26" t="s">
        <v>572</v>
      </c>
      <c r="F2682" s="26" t="s">
        <v>131</v>
      </c>
      <c r="G2682" s="26" t="s">
        <v>9948</v>
      </c>
      <c r="H2682" s="237"/>
      <c r="I2682" s="26" t="s">
        <v>117</v>
      </c>
      <c r="J2682" s="26"/>
      <c r="K2682" s="26"/>
      <c r="L2682" s="26"/>
      <c r="M2682" s="26">
        <v>1</v>
      </c>
      <c r="N2682" s="26">
        <v>1</v>
      </c>
      <c r="O2682" s="26">
        <v>1</v>
      </c>
      <c r="P2682" s="26">
        <v>0</v>
      </c>
      <c r="Q2682" s="26">
        <v>0</v>
      </c>
      <c r="R2682" s="1209">
        <v>2076</v>
      </c>
      <c r="S2682" s="1209">
        <v>2076</v>
      </c>
      <c r="T2682" s="26" t="s">
        <v>118</v>
      </c>
      <c r="U2682" s="1859" t="s">
        <v>118</v>
      </c>
      <c r="V2682" s="26" t="s">
        <v>118</v>
      </c>
      <c r="W2682" s="2084"/>
      <c r="X2682" s="18"/>
      <c r="Y2682" s="4"/>
      <c r="Z2682" s="4"/>
    </row>
    <row r="2683" spans="1:26" ht="14.1" hidden="1">
      <c r="A2683" s="20">
        <v>2690</v>
      </c>
      <c r="B2683" s="1063">
        <v>42460</v>
      </c>
      <c r="C2683" s="957" t="s">
        <v>9949</v>
      </c>
      <c r="D2683" s="11" t="s">
        <v>6</v>
      </c>
      <c r="E2683" s="683" t="s">
        <v>4951</v>
      </c>
      <c r="F2683" s="985" t="s">
        <v>2006</v>
      </c>
      <c r="G2683" s="683" t="s">
        <v>9950</v>
      </c>
      <c r="H2683" s="683" t="s">
        <v>6005</v>
      </c>
      <c r="I2683" s="683" t="s">
        <v>574</v>
      </c>
      <c r="J2683" s="683" t="s">
        <v>9951</v>
      </c>
      <c r="K2683" s="683" t="s">
        <v>9952</v>
      </c>
      <c r="L2683" s="683" t="s">
        <v>3362</v>
      </c>
      <c r="M2683" s="683">
        <v>1</v>
      </c>
      <c r="N2683" s="683">
        <v>1</v>
      </c>
      <c r="O2683" s="683">
        <v>2</v>
      </c>
      <c r="P2683" s="683">
        <v>0</v>
      </c>
      <c r="Q2683" s="669">
        <f t="shared" ref="Q2683:Q2688" si="147">(O2683+P2683)-N2683</f>
        <v>1</v>
      </c>
      <c r="R2683" s="1282">
        <v>10151</v>
      </c>
      <c r="S2683" s="1282">
        <f t="shared" ref="S2683:S2688" si="148">R2683*O2683</f>
        <v>20302</v>
      </c>
      <c r="T2683" s="683" t="s">
        <v>311</v>
      </c>
      <c r="U2683" s="1909" t="s">
        <v>311</v>
      </c>
      <c r="V2683" s="572" t="s">
        <v>5990</v>
      </c>
      <c r="W2683" s="681" t="s">
        <v>9953</v>
      </c>
      <c r="X2683" s="18"/>
      <c r="Y2683" s="4"/>
      <c r="Z2683" s="4"/>
    </row>
    <row r="2684" spans="1:26" ht="14.1" hidden="1">
      <c r="A2684" s="20">
        <v>2691</v>
      </c>
      <c r="B2684" s="1063">
        <v>42461</v>
      </c>
      <c r="C2684" s="958" t="s">
        <v>9954</v>
      </c>
      <c r="D2684" s="11" t="s">
        <v>6</v>
      </c>
      <c r="E2684" s="298" t="s">
        <v>4951</v>
      </c>
      <c r="F2684" s="985" t="s">
        <v>2006</v>
      </c>
      <c r="G2684" s="298" t="s">
        <v>8985</v>
      </c>
      <c r="H2684" s="298" t="s">
        <v>6567</v>
      </c>
      <c r="I2684" s="298" t="s">
        <v>574</v>
      </c>
      <c r="J2684" s="298" t="s">
        <v>9955</v>
      </c>
      <c r="K2684" s="298" t="s">
        <v>9956</v>
      </c>
      <c r="L2684" s="298" t="s">
        <v>2063</v>
      </c>
      <c r="M2684" s="298">
        <v>16</v>
      </c>
      <c r="N2684" s="298">
        <v>10</v>
      </c>
      <c r="O2684" s="298">
        <v>20</v>
      </c>
      <c r="P2684" s="298">
        <v>0</v>
      </c>
      <c r="Q2684" s="669">
        <f t="shared" si="147"/>
        <v>10</v>
      </c>
      <c r="R2684" s="1283">
        <v>160.69999999999999</v>
      </c>
      <c r="S2684" s="1282">
        <f t="shared" si="148"/>
        <v>3214</v>
      </c>
      <c r="T2684" s="683" t="s">
        <v>311</v>
      </c>
      <c r="U2684" s="1909" t="s">
        <v>311</v>
      </c>
      <c r="V2684" s="572" t="s">
        <v>5990</v>
      </c>
      <c r="W2684" s="682" t="s">
        <v>9957</v>
      </c>
      <c r="X2684" s="18"/>
      <c r="Y2684" s="4"/>
      <c r="Z2684" s="4"/>
    </row>
    <row r="2685" spans="1:26" ht="14.1" hidden="1">
      <c r="A2685" s="20">
        <v>2692</v>
      </c>
      <c r="B2685" s="1063">
        <v>42462</v>
      </c>
      <c r="C2685" s="958" t="s">
        <v>9958</v>
      </c>
      <c r="D2685" s="11" t="s">
        <v>6</v>
      </c>
      <c r="E2685" s="298" t="s">
        <v>4951</v>
      </c>
      <c r="F2685" s="985" t="s">
        <v>2006</v>
      </c>
      <c r="G2685" s="298" t="s">
        <v>8991</v>
      </c>
      <c r="H2685" s="298" t="s">
        <v>6567</v>
      </c>
      <c r="I2685" s="298" t="s">
        <v>574</v>
      </c>
      <c r="J2685" s="298" t="s">
        <v>9959</v>
      </c>
      <c r="K2685" s="299" t="s">
        <v>9960</v>
      </c>
      <c r="L2685" s="298" t="s">
        <v>2063</v>
      </c>
      <c r="M2685" s="298">
        <v>4</v>
      </c>
      <c r="N2685" s="298">
        <v>1</v>
      </c>
      <c r="O2685" s="298">
        <v>4</v>
      </c>
      <c r="P2685" s="298">
        <v>0</v>
      </c>
      <c r="Q2685" s="669">
        <f t="shared" si="147"/>
        <v>3</v>
      </c>
      <c r="R2685" s="1283">
        <v>265</v>
      </c>
      <c r="S2685" s="1282">
        <f t="shared" si="148"/>
        <v>1060</v>
      </c>
      <c r="T2685" s="683" t="s">
        <v>311</v>
      </c>
      <c r="U2685" s="1909" t="s">
        <v>311</v>
      </c>
      <c r="V2685" s="572" t="s">
        <v>5990</v>
      </c>
      <c r="W2685" s="684" t="s">
        <v>9961</v>
      </c>
      <c r="X2685" s="18"/>
      <c r="Y2685" s="4"/>
      <c r="Z2685" s="4"/>
    </row>
    <row r="2686" spans="1:26" ht="14.1" hidden="1">
      <c r="A2686" s="20">
        <v>2693</v>
      </c>
      <c r="B2686" s="1063">
        <v>42463</v>
      </c>
      <c r="C2686" s="26" t="s">
        <v>9962</v>
      </c>
      <c r="D2686" s="11" t="s">
        <v>6</v>
      </c>
      <c r="E2686" s="26" t="s">
        <v>9940</v>
      </c>
      <c r="F2686" s="26" t="s">
        <v>2143</v>
      </c>
      <c r="G2686" s="26" t="s">
        <v>9963</v>
      </c>
      <c r="H2686" s="237" t="s">
        <v>4646</v>
      </c>
      <c r="I2686" s="26" t="s">
        <v>9802</v>
      </c>
      <c r="J2686" s="26"/>
      <c r="K2686" s="26"/>
      <c r="L2686" s="26"/>
      <c r="M2686" s="26">
        <v>1</v>
      </c>
      <c r="N2686" s="26">
        <v>1</v>
      </c>
      <c r="O2686" s="26">
        <v>1</v>
      </c>
      <c r="P2686" s="26">
        <v>0</v>
      </c>
      <c r="Q2686" s="669">
        <f t="shared" si="147"/>
        <v>0</v>
      </c>
      <c r="R2686" s="1209">
        <v>82</v>
      </c>
      <c r="S2686" s="1282">
        <f t="shared" si="148"/>
        <v>82</v>
      </c>
      <c r="T2686" s="26" t="s">
        <v>1009</v>
      </c>
      <c r="U2686" s="1859" t="s">
        <v>1009</v>
      </c>
      <c r="V2686" s="26" t="s">
        <v>9064</v>
      </c>
      <c r="W2686" s="2084"/>
      <c r="X2686" s="18"/>
      <c r="Y2686" s="4"/>
      <c r="Z2686" s="4"/>
    </row>
    <row r="2687" spans="1:26" ht="14.1" hidden="1">
      <c r="A2687" s="20">
        <v>2694</v>
      </c>
      <c r="B2687" s="1063">
        <v>42464</v>
      </c>
      <c r="C2687" s="26" t="s">
        <v>9964</v>
      </c>
      <c r="D2687" s="11" t="s">
        <v>6</v>
      </c>
      <c r="E2687" s="26" t="s">
        <v>7956</v>
      </c>
      <c r="F2687" s="26" t="s">
        <v>2143</v>
      </c>
      <c r="G2687" s="26" t="s">
        <v>9965</v>
      </c>
      <c r="H2687" s="237" t="s">
        <v>9429</v>
      </c>
      <c r="I2687" s="26" t="s">
        <v>84</v>
      </c>
      <c r="J2687" s="26">
        <v>50585702</v>
      </c>
      <c r="K2687" s="26" t="s">
        <v>9966</v>
      </c>
      <c r="L2687" s="26"/>
      <c r="M2687" s="26">
        <v>1</v>
      </c>
      <c r="N2687" s="26">
        <v>1</v>
      </c>
      <c r="O2687" s="26">
        <v>1</v>
      </c>
      <c r="P2687" s="26">
        <v>0</v>
      </c>
      <c r="Q2687" s="669">
        <f t="shared" si="147"/>
        <v>0</v>
      </c>
      <c r="R2687" s="1209">
        <v>170</v>
      </c>
      <c r="S2687" s="1282">
        <f t="shared" si="148"/>
        <v>170</v>
      </c>
      <c r="T2687" s="26" t="s">
        <v>5448</v>
      </c>
      <c r="U2687" s="1859" t="s">
        <v>5448</v>
      </c>
      <c r="V2687" s="26" t="s">
        <v>9064</v>
      </c>
      <c r="W2687" s="649" t="s">
        <v>9967</v>
      </c>
      <c r="X2687" s="18"/>
      <c r="Y2687" s="4"/>
      <c r="Z2687" s="4"/>
    </row>
    <row r="2688" spans="1:26" ht="14.1" hidden="1">
      <c r="A2688" s="20">
        <v>2695</v>
      </c>
      <c r="B2688" s="1063">
        <v>42465</v>
      </c>
      <c r="C2688" s="26" t="s">
        <v>9968</v>
      </c>
      <c r="D2688" s="11" t="s">
        <v>6</v>
      </c>
      <c r="E2688" s="26" t="s">
        <v>7956</v>
      </c>
      <c r="F2688" s="26" t="s">
        <v>2143</v>
      </c>
      <c r="G2688" s="26" t="s">
        <v>9969</v>
      </c>
      <c r="H2688" s="237" t="s">
        <v>7673</v>
      </c>
      <c r="I2688" s="26" t="s">
        <v>84</v>
      </c>
      <c r="J2688" s="26">
        <v>41547581</v>
      </c>
      <c r="K2688" s="26" t="s">
        <v>9970</v>
      </c>
      <c r="L2688" s="26"/>
      <c r="M2688" s="26">
        <v>1</v>
      </c>
      <c r="N2688" s="26">
        <v>1</v>
      </c>
      <c r="O2688" s="26">
        <v>1</v>
      </c>
      <c r="P2688" s="26">
        <v>0</v>
      </c>
      <c r="Q2688" s="669">
        <f t="shared" si="147"/>
        <v>0</v>
      </c>
      <c r="R2688" s="1209">
        <v>399</v>
      </c>
      <c r="S2688" s="1282">
        <f t="shared" si="148"/>
        <v>399</v>
      </c>
      <c r="T2688" s="26" t="s">
        <v>5448</v>
      </c>
      <c r="U2688" s="1859" t="s">
        <v>5448</v>
      </c>
      <c r="V2688" s="26" t="s">
        <v>9064</v>
      </c>
      <c r="W2688" s="649" t="s">
        <v>9971</v>
      </c>
      <c r="X2688" s="18"/>
      <c r="Y2688" s="4"/>
      <c r="Z2688" s="4"/>
    </row>
    <row r="2689" spans="1:26" ht="14.1" hidden="1">
      <c r="A2689" s="20">
        <v>2696</v>
      </c>
      <c r="B2689" s="1063">
        <v>42466</v>
      </c>
      <c r="C2689" s="26" t="s">
        <v>9762</v>
      </c>
      <c r="D2689" s="11" t="s">
        <v>6</v>
      </c>
      <c r="E2689" s="26" t="s">
        <v>572</v>
      </c>
      <c r="F2689" s="26" t="s">
        <v>1398</v>
      </c>
      <c r="G2689" s="26"/>
      <c r="H2689" s="300" t="s">
        <v>2668</v>
      </c>
      <c r="I2689" s="26" t="s">
        <v>39</v>
      </c>
      <c r="J2689" s="26" t="s">
        <v>9763</v>
      </c>
      <c r="K2689" s="26" t="s">
        <v>9764</v>
      </c>
      <c r="L2689" s="26"/>
      <c r="M2689" s="26">
        <v>2</v>
      </c>
      <c r="N2689" s="26">
        <v>1</v>
      </c>
      <c r="O2689" s="26">
        <v>2</v>
      </c>
      <c r="P2689" s="26">
        <v>0</v>
      </c>
      <c r="Q2689" s="685">
        <v>2</v>
      </c>
      <c r="R2689" s="1209">
        <v>3778</v>
      </c>
      <c r="S2689" s="1284">
        <v>7556</v>
      </c>
      <c r="T2689" s="26" t="s">
        <v>9724</v>
      </c>
      <c r="U2689" s="1859"/>
      <c r="V2689" s="26" t="s">
        <v>352</v>
      </c>
      <c r="W2689" s="2098" t="s">
        <v>9766</v>
      </c>
      <c r="X2689" s="18"/>
      <c r="Y2689" s="4"/>
      <c r="Z2689" s="4"/>
    </row>
    <row r="2690" spans="1:26" ht="18.75" hidden="1" customHeight="1">
      <c r="A2690" s="20">
        <v>2697</v>
      </c>
      <c r="B2690" s="1063">
        <v>42467</v>
      </c>
      <c r="C2690" s="26" t="s">
        <v>9972</v>
      </c>
      <c r="D2690" s="11" t="s">
        <v>6</v>
      </c>
      <c r="E2690" s="26" t="s">
        <v>572</v>
      </c>
      <c r="F2690" s="26" t="s">
        <v>1398</v>
      </c>
      <c r="G2690" s="26" t="s">
        <v>7141</v>
      </c>
      <c r="H2690" s="300" t="s">
        <v>2668</v>
      </c>
      <c r="I2690" s="26" t="s">
        <v>574</v>
      </c>
      <c r="J2690" s="26" t="s">
        <v>5464</v>
      </c>
      <c r="K2690" s="26" t="s">
        <v>7140</v>
      </c>
      <c r="L2690" s="26"/>
      <c r="M2690" s="26">
        <v>1</v>
      </c>
      <c r="N2690" s="26">
        <v>1</v>
      </c>
      <c r="O2690" s="26">
        <v>1</v>
      </c>
      <c r="P2690" s="26">
        <v>0</v>
      </c>
      <c r="Q2690" s="685">
        <v>0</v>
      </c>
      <c r="R2690" s="1209">
        <v>14624</v>
      </c>
      <c r="S2690" s="1284">
        <v>14624</v>
      </c>
      <c r="T2690" s="26" t="s">
        <v>4669</v>
      </c>
      <c r="U2690" s="1859"/>
      <c r="V2690" s="26" t="s">
        <v>352</v>
      </c>
      <c r="W2690" s="2098" t="s">
        <v>7142</v>
      </c>
      <c r="X2690" s="18"/>
      <c r="Y2690" s="4"/>
      <c r="Z2690" s="4"/>
    </row>
    <row r="2691" spans="1:26" ht="21.75" hidden="1" customHeight="1">
      <c r="A2691" s="20">
        <v>2698</v>
      </c>
      <c r="B2691" s="1063">
        <v>42468</v>
      </c>
      <c r="C2691" s="26" t="s">
        <v>9973</v>
      </c>
      <c r="D2691" s="11" t="s">
        <v>6</v>
      </c>
      <c r="E2691" s="26" t="s">
        <v>572</v>
      </c>
      <c r="F2691" s="26" t="s">
        <v>1398</v>
      </c>
      <c r="G2691" s="26" t="s">
        <v>9974</v>
      </c>
      <c r="H2691" s="300" t="s">
        <v>4834</v>
      </c>
      <c r="I2691" s="26" t="s">
        <v>4804</v>
      </c>
      <c r="J2691" s="26" t="s">
        <v>4835</v>
      </c>
      <c r="K2691" s="26" t="s">
        <v>4836</v>
      </c>
      <c r="L2691" s="26" t="s">
        <v>9975</v>
      </c>
      <c r="M2691" s="26">
        <v>4</v>
      </c>
      <c r="N2691" s="26">
        <v>1</v>
      </c>
      <c r="O2691" s="26">
        <v>4</v>
      </c>
      <c r="P2691" s="26">
        <v>0</v>
      </c>
      <c r="Q2691" s="685">
        <v>4</v>
      </c>
      <c r="R2691" s="1209">
        <v>140</v>
      </c>
      <c r="S2691" s="1284">
        <v>560</v>
      </c>
      <c r="T2691" s="26" t="s">
        <v>4669</v>
      </c>
      <c r="U2691" s="1859"/>
      <c r="V2691" s="26" t="s">
        <v>352</v>
      </c>
      <c r="W2691" s="2098" t="s">
        <v>4838</v>
      </c>
      <c r="X2691" s="18"/>
      <c r="Y2691" s="4"/>
      <c r="Z2691" s="4"/>
    </row>
    <row r="2692" spans="1:26" ht="21.75" hidden="1" customHeight="1">
      <c r="A2692" s="20">
        <v>2699</v>
      </c>
      <c r="B2692" s="1063">
        <v>42469</v>
      </c>
      <c r="C2692" s="26" t="s">
        <v>9976</v>
      </c>
      <c r="D2692" s="11" t="s">
        <v>6</v>
      </c>
      <c r="E2692" s="26" t="s">
        <v>572</v>
      </c>
      <c r="F2692" s="26" t="s">
        <v>1398</v>
      </c>
      <c r="G2692" s="26" t="s">
        <v>9977</v>
      </c>
      <c r="H2692" s="300" t="s">
        <v>4834</v>
      </c>
      <c r="I2692" s="26" t="s">
        <v>4804</v>
      </c>
      <c r="J2692" s="26" t="s">
        <v>9978</v>
      </c>
      <c r="K2692" s="26" t="s">
        <v>9979</v>
      </c>
      <c r="L2692" s="26" t="s">
        <v>9980</v>
      </c>
      <c r="M2692" s="26">
        <v>4</v>
      </c>
      <c r="N2692" s="26">
        <v>1</v>
      </c>
      <c r="O2692" s="26">
        <v>4</v>
      </c>
      <c r="P2692" s="26">
        <v>0</v>
      </c>
      <c r="Q2692" s="685">
        <v>4</v>
      </c>
      <c r="R2692" s="1209">
        <v>200</v>
      </c>
      <c r="S2692" s="1284">
        <v>800</v>
      </c>
      <c r="T2692" s="26" t="s">
        <v>4669</v>
      </c>
      <c r="U2692" s="1859"/>
      <c r="V2692" s="26" t="s">
        <v>352</v>
      </c>
      <c r="W2692" s="2098" t="s">
        <v>9981</v>
      </c>
      <c r="X2692" s="18"/>
      <c r="Y2692" s="4"/>
      <c r="Z2692" s="4"/>
    </row>
    <row r="2693" spans="1:26" ht="21.75" hidden="1" customHeight="1">
      <c r="A2693" s="20">
        <v>2700</v>
      </c>
      <c r="B2693" s="1063">
        <v>42470</v>
      </c>
      <c r="C2693" s="26" t="s">
        <v>9982</v>
      </c>
      <c r="D2693" s="11" t="s">
        <v>6</v>
      </c>
      <c r="E2693" s="26" t="s">
        <v>572</v>
      </c>
      <c r="F2693" s="26" t="s">
        <v>1398</v>
      </c>
      <c r="G2693" s="26" t="s">
        <v>9983</v>
      </c>
      <c r="H2693" s="300" t="s">
        <v>1073</v>
      </c>
      <c r="I2693" s="26" t="s">
        <v>4804</v>
      </c>
      <c r="J2693" s="26" t="s">
        <v>9984</v>
      </c>
      <c r="K2693" s="26" t="s">
        <v>9985</v>
      </c>
      <c r="L2693" s="26" t="s">
        <v>9986</v>
      </c>
      <c r="M2693" s="26">
        <v>2</v>
      </c>
      <c r="N2693" s="26">
        <v>1</v>
      </c>
      <c r="O2693" s="26">
        <v>2</v>
      </c>
      <c r="P2693" s="26">
        <v>0</v>
      </c>
      <c r="Q2693" s="685">
        <v>0</v>
      </c>
      <c r="R2693" s="1209">
        <v>300</v>
      </c>
      <c r="S2693" s="1284">
        <v>600</v>
      </c>
      <c r="T2693" s="26" t="s">
        <v>4669</v>
      </c>
      <c r="U2693" s="1859"/>
      <c r="V2693" s="26" t="s">
        <v>352</v>
      </c>
      <c r="W2693" s="2295" t="s">
        <v>9987</v>
      </c>
      <c r="X2693" s="18"/>
      <c r="Y2693" s="4"/>
      <c r="Z2693" s="4"/>
    </row>
    <row r="2694" spans="1:26" ht="20.25" hidden="1" customHeight="1">
      <c r="A2694" s="20">
        <v>2701</v>
      </c>
      <c r="B2694" s="1063">
        <v>42471</v>
      </c>
      <c r="C2694" s="26" t="s">
        <v>9988</v>
      </c>
      <c r="D2694" s="11" t="s">
        <v>6</v>
      </c>
      <c r="E2694" s="26" t="s">
        <v>572</v>
      </c>
      <c r="F2694" s="26" t="s">
        <v>1398</v>
      </c>
      <c r="G2694" s="26" t="s">
        <v>9989</v>
      </c>
      <c r="H2694" s="300" t="s">
        <v>7677</v>
      </c>
      <c r="I2694" s="26" t="s">
        <v>4804</v>
      </c>
      <c r="J2694" s="26" t="s">
        <v>9990</v>
      </c>
      <c r="K2694" s="26" t="s">
        <v>9991</v>
      </c>
      <c r="L2694" s="26" t="s">
        <v>9992</v>
      </c>
      <c r="M2694" s="26">
        <v>20</v>
      </c>
      <c r="N2694" s="26">
        <v>100</v>
      </c>
      <c r="O2694" s="26">
        <v>100</v>
      </c>
      <c r="P2694" s="26">
        <v>0</v>
      </c>
      <c r="Q2694" s="685">
        <v>100</v>
      </c>
      <c r="R2694" s="1209">
        <v>180</v>
      </c>
      <c r="S2694" s="1284">
        <v>180</v>
      </c>
      <c r="T2694" s="26" t="s">
        <v>4669</v>
      </c>
      <c r="U2694" s="1859"/>
      <c r="V2694" s="26" t="s">
        <v>352</v>
      </c>
      <c r="W2694" s="2098" t="s">
        <v>9993</v>
      </c>
      <c r="X2694" s="18"/>
      <c r="Y2694" s="4"/>
      <c r="Z2694" s="4"/>
    </row>
    <row r="2695" spans="1:26" ht="21.75" hidden="1" customHeight="1">
      <c r="A2695" s="20">
        <v>2702</v>
      </c>
      <c r="B2695" s="1063">
        <v>42472</v>
      </c>
      <c r="C2695" s="26" t="s">
        <v>9994</v>
      </c>
      <c r="D2695" s="11" t="s">
        <v>6</v>
      </c>
      <c r="E2695" s="26" t="s">
        <v>572</v>
      </c>
      <c r="F2695" s="26" t="s">
        <v>1398</v>
      </c>
      <c r="G2695" s="26" t="s">
        <v>9995</v>
      </c>
      <c r="H2695" s="300" t="s">
        <v>7677</v>
      </c>
      <c r="I2695" s="26" t="s">
        <v>4804</v>
      </c>
      <c r="J2695" s="26" t="s">
        <v>9996</v>
      </c>
      <c r="K2695" s="26" t="s">
        <v>9997</v>
      </c>
      <c r="L2695" s="26" t="s">
        <v>9992</v>
      </c>
      <c r="M2695" s="26">
        <v>20</v>
      </c>
      <c r="N2695" s="26">
        <v>100</v>
      </c>
      <c r="O2695" s="26">
        <v>100</v>
      </c>
      <c r="P2695" s="26">
        <v>0</v>
      </c>
      <c r="Q2695" s="685">
        <v>100</v>
      </c>
      <c r="R2695" s="1209">
        <v>180</v>
      </c>
      <c r="S2695" s="1284">
        <v>180</v>
      </c>
      <c r="T2695" s="26" t="s">
        <v>4669</v>
      </c>
      <c r="U2695" s="1859"/>
      <c r="V2695" s="26" t="s">
        <v>352</v>
      </c>
      <c r="W2695" s="2098" t="s">
        <v>9998</v>
      </c>
      <c r="X2695" s="18"/>
      <c r="Y2695" s="4"/>
      <c r="Z2695" s="4"/>
    </row>
    <row r="2696" spans="1:26" ht="23.25" hidden="1" customHeight="1">
      <c r="A2696" s="20">
        <v>2703</v>
      </c>
      <c r="B2696" s="1063">
        <v>42473</v>
      </c>
      <c r="C2696" s="26" t="s">
        <v>9999</v>
      </c>
      <c r="D2696" s="11" t="s">
        <v>6</v>
      </c>
      <c r="E2696" s="26" t="s">
        <v>572</v>
      </c>
      <c r="F2696" s="26" t="s">
        <v>1398</v>
      </c>
      <c r="G2696" s="26" t="s">
        <v>10000</v>
      </c>
      <c r="H2696" s="300" t="s">
        <v>7677</v>
      </c>
      <c r="I2696" s="26" t="s">
        <v>4804</v>
      </c>
      <c r="J2696" s="26" t="s">
        <v>10001</v>
      </c>
      <c r="K2696" s="26" t="s">
        <v>10002</v>
      </c>
      <c r="L2696" s="26" t="s">
        <v>9992</v>
      </c>
      <c r="M2696" s="26">
        <v>20</v>
      </c>
      <c r="N2696" s="26">
        <v>100</v>
      </c>
      <c r="O2696" s="26">
        <v>100</v>
      </c>
      <c r="P2696" s="26">
        <v>0</v>
      </c>
      <c r="Q2696" s="685">
        <v>100</v>
      </c>
      <c r="R2696" s="1209">
        <v>180</v>
      </c>
      <c r="S2696" s="1284">
        <v>180</v>
      </c>
      <c r="T2696" s="26" t="s">
        <v>4669</v>
      </c>
      <c r="U2696" s="1859"/>
      <c r="V2696" s="26" t="s">
        <v>352</v>
      </c>
      <c r="W2696" s="2098" t="s">
        <v>10003</v>
      </c>
      <c r="X2696" s="18"/>
      <c r="Y2696" s="4"/>
      <c r="Z2696" s="4"/>
    </row>
    <row r="2697" spans="1:26" ht="14.1" hidden="1">
      <c r="A2697" s="20">
        <v>2704</v>
      </c>
      <c r="B2697" s="1063">
        <v>42474</v>
      </c>
      <c r="C2697" s="26" t="s">
        <v>10004</v>
      </c>
      <c r="D2697" s="11"/>
      <c r="E2697" s="26" t="s">
        <v>683</v>
      </c>
      <c r="F2697" s="26" t="s">
        <v>10005</v>
      </c>
      <c r="G2697" s="26" t="s">
        <v>10006</v>
      </c>
      <c r="H2697" s="237" t="s">
        <v>10007</v>
      </c>
      <c r="I2697" s="26" t="s">
        <v>10008</v>
      </c>
      <c r="J2697" s="26"/>
      <c r="K2697" s="26"/>
      <c r="L2697" s="26" t="s">
        <v>149</v>
      </c>
      <c r="M2697" s="26">
        <v>2</v>
      </c>
      <c r="N2697" s="26">
        <v>2</v>
      </c>
      <c r="O2697" s="26">
        <v>2</v>
      </c>
      <c r="P2697" s="26">
        <v>0</v>
      </c>
      <c r="Q2697" s="669">
        <f>(O2697+P2697)-N2697</f>
        <v>0</v>
      </c>
      <c r="R2697" s="1209">
        <v>25000</v>
      </c>
      <c r="S2697" s="1282">
        <f t="shared" ref="S2697:S2699" si="149">R2697*O2697</f>
        <v>50000</v>
      </c>
      <c r="T2697" s="26" t="s">
        <v>4220</v>
      </c>
      <c r="U2697" s="1859"/>
      <c r="V2697" s="26" t="s">
        <v>689</v>
      </c>
      <c r="W2697" s="2074" t="s">
        <v>10009</v>
      </c>
      <c r="X2697" s="18"/>
      <c r="Y2697" s="4"/>
      <c r="Z2697" s="4"/>
    </row>
    <row r="2698" spans="1:26" ht="14.1" hidden="1">
      <c r="A2698" s="20">
        <v>2705</v>
      </c>
      <c r="B2698" s="1063">
        <v>42475</v>
      </c>
      <c r="C2698" s="26" t="s">
        <v>10010</v>
      </c>
      <c r="D2698" s="11"/>
      <c r="E2698" s="26" t="s">
        <v>683</v>
      </c>
      <c r="F2698" s="26" t="s">
        <v>10005</v>
      </c>
      <c r="G2698" s="26" t="s">
        <v>10011</v>
      </c>
      <c r="H2698" s="237" t="s">
        <v>10007</v>
      </c>
      <c r="I2698" s="26" t="s">
        <v>10008</v>
      </c>
      <c r="J2698" s="26"/>
      <c r="K2698" s="26"/>
      <c r="L2698" s="26"/>
      <c r="M2698" s="26">
        <v>2</v>
      </c>
      <c r="N2698" s="26">
        <v>4</v>
      </c>
      <c r="O2698" s="26">
        <v>4</v>
      </c>
      <c r="P2698" s="26">
        <v>0</v>
      </c>
      <c r="Q2698" s="669">
        <v>2</v>
      </c>
      <c r="R2698" s="1209">
        <v>450</v>
      </c>
      <c r="S2698" s="1282">
        <f t="shared" si="149"/>
        <v>1800</v>
      </c>
      <c r="T2698" s="26" t="s">
        <v>4220</v>
      </c>
      <c r="U2698" s="1859"/>
      <c r="V2698" s="26" t="s">
        <v>689</v>
      </c>
      <c r="W2698" s="2074" t="s">
        <v>10009</v>
      </c>
      <c r="X2698" s="18"/>
      <c r="Y2698" s="4"/>
      <c r="Z2698" s="4"/>
    </row>
    <row r="2699" spans="1:26" ht="24.95" hidden="1">
      <c r="A2699" s="20">
        <v>2706</v>
      </c>
      <c r="B2699" s="1063">
        <v>42476</v>
      </c>
      <c r="C2699" s="26" t="s">
        <v>10012</v>
      </c>
      <c r="D2699" s="11"/>
      <c r="E2699" s="26" t="s">
        <v>10013</v>
      </c>
      <c r="F2699" s="26" t="s">
        <v>784</v>
      </c>
      <c r="G2699" s="26" t="s">
        <v>10014</v>
      </c>
      <c r="H2699" s="237" t="s">
        <v>591</v>
      </c>
      <c r="I2699" s="26" t="s">
        <v>4115</v>
      </c>
      <c r="J2699" s="26" t="s">
        <v>10015</v>
      </c>
      <c r="K2699" s="26" t="s">
        <v>10015</v>
      </c>
      <c r="L2699" s="26" t="s">
        <v>149</v>
      </c>
      <c r="M2699" s="26">
        <v>1</v>
      </c>
      <c r="N2699" s="26">
        <v>1</v>
      </c>
      <c r="O2699" s="26">
        <v>1</v>
      </c>
      <c r="P2699" s="26">
        <v>0</v>
      </c>
      <c r="Q2699" s="669">
        <v>0</v>
      </c>
      <c r="R2699" s="1209">
        <v>169800</v>
      </c>
      <c r="S2699" s="1282">
        <f t="shared" si="149"/>
        <v>169800</v>
      </c>
      <c r="T2699" s="26" t="s">
        <v>10016</v>
      </c>
      <c r="U2699" s="1859" t="s">
        <v>10017</v>
      </c>
      <c r="V2699" s="26" t="s">
        <v>10018</v>
      </c>
      <c r="W2699" s="2074" t="s">
        <v>10019</v>
      </c>
      <c r="X2699" s="18"/>
      <c r="Y2699" s="4"/>
      <c r="Z2699" s="4"/>
    </row>
    <row r="2700" spans="1:26" ht="14.1" hidden="1">
      <c r="A2700" s="20">
        <v>2707</v>
      </c>
      <c r="B2700" s="1063">
        <v>42477</v>
      </c>
      <c r="C2700" s="924" t="s">
        <v>4950</v>
      </c>
      <c r="D2700" s="11"/>
      <c r="E2700" s="183" t="s">
        <v>683</v>
      </c>
      <c r="F2700" s="924" t="s">
        <v>73</v>
      </c>
      <c r="G2700" s="183" t="s">
        <v>4952</v>
      </c>
      <c r="H2700" s="183" t="s">
        <v>686</v>
      </c>
      <c r="I2700" s="183" t="s">
        <v>366</v>
      </c>
      <c r="J2700" s="183" t="s">
        <v>687</v>
      </c>
      <c r="K2700" s="183" t="s">
        <v>687</v>
      </c>
      <c r="L2700" s="183" t="s">
        <v>1</v>
      </c>
      <c r="M2700" s="183">
        <v>34</v>
      </c>
      <c r="N2700" s="183">
        <v>1</v>
      </c>
      <c r="O2700" s="183">
        <v>34</v>
      </c>
      <c r="P2700" s="183">
        <v>0</v>
      </c>
      <c r="Q2700" s="183">
        <v>0</v>
      </c>
      <c r="R2700" s="1245">
        <v>104</v>
      </c>
      <c r="S2700" s="1245">
        <v>3536</v>
      </c>
      <c r="T2700" s="183" t="s">
        <v>4220</v>
      </c>
      <c r="U2700" s="1893" t="s">
        <v>4220</v>
      </c>
      <c r="V2700" s="183" t="s">
        <v>689</v>
      </c>
      <c r="W2700" s="762" t="s">
        <v>4953</v>
      </c>
      <c r="X2700" s="18"/>
      <c r="Y2700" s="4"/>
      <c r="Z2700" s="4"/>
    </row>
    <row r="2701" spans="1:26" ht="14.1" hidden="1">
      <c r="A2701" s="20">
        <v>2708</v>
      </c>
      <c r="B2701" s="1063">
        <v>42478</v>
      </c>
      <c r="C2701" s="924" t="s">
        <v>4950</v>
      </c>
      <c r="D2701" s="11"/>
      <c r="E2701" s="183" t="s">
        <v>683</v>
      </c>
      <c r="F2701" s="924" t="s">
        <v>73</v>
      </c>
      <c r="G2701" s="183" t="s">
        <v>4954</v>
      </c>
      <c r="H2701" s="183" t="s">
        <v>686</v>
      </c>
      <c r="I2701" s="183" t="s">
        <v>366</v>
      </c>
      <c r="J2701" s="183" t="s">
        <v>4955</v>
      </c>
      <c r="K2701" s="183" t="s">
        <v>4955</v>
      </c>
      <c r="L2701" s="183" t="s">
        <v>1</v>
      </c>
      <c r="M2701" s="183">
        <v>21</v>
      </c>
      <c r="N2701" s="183">
        <v>1</v>
      </c>
      <c r="O2701" s="183">
        <v>21</v>
      </c>
      <c r="P2701" s="183">
        <v>0</v>
      </c>
      <c r="Q2701" s="183">
        <v>0</v>
      </c>
      <c r="R2701" s="1245">
        <v>106</v>
      </c>
      <c r="S2701" s="1245">
        <v>2226</v>
      </c>
      <c r="T2701" s="183" t="s">
        <v>4220</v>
      </c>
      <c r="U2701" s="1893" t="s">
        <v>4220</v>
      </c>
      <c r="V2701" s="183" t="s">
        <v>689</v>
      </c>
      <c r="W2701" s="762" t="s">
        <v>4956</v>
      </c>
      <c r="X2701" s="18"/>
      <c r="Y2701" s="4"/>
      <c r="Z2701" s="4"/>
    </row>
    <row r="2702" spans="1:26" ht="14.1" hidden="1">
      <c r="A2702" s="20">
        <v>2709</v>
      </c>
      <c r="B2702" s="1063">
        <v>42479</v>
      </c>
      <c r="C2702" s="924" t="s">
        <v>4950</v>
      </c>
      <c r="D2702" s="11"/>
      <c r="E2702" s="183" t="s">
        <v>683</v>
      </c>
      <c r="F2702" s="924" t="s">
        <v>73</v>
      </c>
      <c r="G2702" s="183" t="s">
        <v>4957</v>
      </c>
      <c r="H2702" s="183" t="s">
        <v>686</v>
      </c>
      <c r="I2702" s="183" t="s">
        <v>366</v>
      </c>
      <c r="J2702" s="183" t="s">
        <v>692</v>
      </c>
      <c r="K2702" s="183" t="s">
        <v>692</v>
      </c>
      <c r="L2702" s="183" t="s">
        <v>1</v>
      </c>
      <c r="M2702" s="183">
        <v>8</v>
      </c>
      <c r="N2702" s="183">
        <v>1</v>
      </c>
      <c r="O2702" s="183">
        <v>8</v>
      </c>
      <c r="P2702" s="183">
        <v>0</v>
      </c>
      <c r="Q2702" s="183">
        <v>0</v>
      </c>
      <c r="R2702" s="1245">
        <v>132</v>
      </c>
      <c r="S2702" s="1245">
        <v>1056</v>
      </c>
      <c r="T2702" s="183" t="s">
        <v>4220</v>
      </c>
      <c r="U2702" s="1893" t="s">
        <v>4220</v>
      </c>
      <c r="V2702" s="183" t="s">
        <v>689</v>
      </c>
      <c r="W2702" s="762" t="s">
        <v>4958</v>
      </c>
      <c r="X2702" s="18"/>
      <c r="Y2702" s="4"/>
      <c r="Z2702" s="4"/>
    </row>
    <row r="2703" spans="1:26" ht="14.1" hidden="1">
      <c r="A2703" s="20">
        <v>2710</v>
      </c>
      <c r="B2703" s="1063">
        <v>42480</v>
      </c>
      <c r="C2703" s="924" t="s">
        <v>4950</v>
      </c>
      <c r="D2703" s="11"/>
      <c r="E2703" s="183" t="s">
        <v>683</v>
      </c>
      <c r="F2703" s="924" t="s">
        <v>73</v>
      </c>
      <c r="G2703" s="183" t="s">
        <v>4959</v>
      </c>
      <c r="H2703" s="183" t="s">
        <v>686</v>
      </c>
      <c r="I2703" s="183" t="s">
        <v>366</v>
      </c>
      <c r="J2703" s="183" t="s">
        <v>694</v>
      </c>
      <c r="K2703" s="183" t="s">
        <v>694</v>
      </c>
      <c r="L2703" s="183" t="s">
        <v>1</v>
      </c>
      <c r="M2703" s="183">
        <v>21</v>
      </c>
      <c r="N2703" s="183">
        <v>1</v>
      </c>
      <c r="O2703" s="183">
        <v>21</v>
      </c>
      <c r="P2703" s="183">
        <v>0</v>
      </c>
      <c r="Q2703" s="183">
        <v>0</v>
      </c>
      <c r="R2703" s="1245">
        <v>133</v>
      </c>
      <c r="S2703" s="1245">
        <v>2793</v>
      </c>
      <c r="T2703" s="183" t="s">
        <v>4220</v>
      </c>
      <c r="U2703" s="1893" t="s">
        <v>4220</v>
      </c>
      <c r="V2703" s="183" t="s">
        <v>689</v>
      </c>
      <c r="W2703" s="762" t="s">
        <v>4960</v>
      </c>
      <c r="X2703" s="18"/>
      <c r="Y2703" s="4"/>
      <c r="Z2703" s="4"/>
    </row>
    <row r="2704" spans="1:26" ht="14.1" hidden="1">
      <c r="A2704" s="20">
        <v>2711</v>
      </c>
      <c r="B2704" s="1063">
        <v>42481</v>
      </c>
      <c r="C2704" s="959" t="s">
        <v>4961</v>
      </c>
      <c r="D2704" s="11"/>
      <c r="E2704" s="183" t="s">
        <v>683</v>
      </c>
      <c r="F2704" s="924" t="s">
        <v>73</v>
      </c>
      <c r="G2704" s="183" t="s">
        <v>10020</v>
      </c>
      <c r="H2704" s="183" t="s">
        <v>686</v>
      </c>
      <c r="I2704" s="183" t="s">
        <v>366</v>
      </c>
      <c r="J2704" s="183" t="s">
        <v>701</v>
      </c>
      <c r="K2704" s="183" t="s">
        <v>701</v>
      </c>
      <c r="L2704" s="183" t="s">
        <v>1</v>
      </c>
      <c r="M2704" s="183">
        <v>84</v>
      </c>
      <c r="N2704" s="183">
        <v>1</v>
      </c>
      <c r="O2704" s="183">
        <v>84</v>
      </c>
      <c r="P2704" s="183">
        <v>0</v>
      </c>
      <c r="Q2704" s="183">
        <v>0</v>
      </c>
      <c r="R2704" s="1245">
        <v>24</v>
      </c>
      <c r="S2704" s="1245">
        <v>2016</v>
      </c>
      <c r="T2704" s="183" t="s">
        <v>4220</v>
      </c>
      <c r="U2704" s="1893" t="s">
        <v>4220</v>
      </c>
      <c r="V2704" s="183" t="s">
        <v>689</v>
      </c>
      <c r="W2704" s="762" t="s">
        <v>4963</v>
      </c>
      <c r="X2704" s="18"/>
      <c r="Y2704" s="4"/>
      <c r="Z2704" s="4"/>
    </row>
    <row r="2705" spans="1:26" ht="14.1" hidden="1">
      <c r="A2705" s="20">
        <v>2712</v>
      </c>
      <c r="B2705" s="1063">
        <v>42482</v>
      </c>
      <c r="C2705" s="924" t="s">
        <v>10021</v>
      </c>
      <c r="D2705" s="11"/>
      <c r="E2705" s="183" t="s">
        <v>683</v>
      </c>
      <c r="F2705" s="924" t="s">
        <v>73</v>
      </c>
      <c r="G2705" s="183" t="s">
        <v>10022</v>
      </c>
      <c r="H2705" s="183" t="s">
        <v>686</v>
      </c>
      <c r="I2705" s="183" t="s">
        <v>366</v>
      </c>
      <c r="J2705" s="183" t="s">
        <v>10023</v>
      </c>
      <c r="K2705" s="183" t="s">
        <v>10023</v>
      </c>
      <c r="L2705" s="183" t="s">
        <v>1</v>
      </c>
      <c r="M2705" s="183">
        <v>8</v>
      </c>
      <c r="N2705" s="183">
        <v>1</v>
      </c>
      <c r="O2705" s="183">
        <v>8</v>
      </c>
      <c r="P2705" s="183">
        <v>0</v>
      </c>
      <c r="Q2705" s="183">
        <v>0</v>
      </c>
      <c r="R2705" s="1245">
        <v>37</v>
      </c>
      <c r="S2705" s="1245">
        <v>296</v>
      </c>
      <c r="T2705" s="183" t="s">
        <v>4220</v>
      </c>
      <c r="U2705" s="1893" t="s">
        <v>4220</v>
      </c>
      <c r="V2705" s="183" t="s">
        <v>689</v>
      </c>
      <c r="W2705" s="790" t="s">
        <v>10024</v>
      </c>
      <c r="X2705" s="18"/>
      <c r="Y2705" s="4"/>
      <c r="Z2705" s="4"/>
    </row>
    <row r="2706" spans="1:26" ht="14.1" hidden="1">
      <c r="A2706" s="20">
        <v>2713</v>
      </c>
      <c r="B2706" s="1063">
        <v>42483</v>
      </c>
      <c r="C2706" s="924" t="s">
        <v>10021</v>
      </c>
      <c r="D2706" s="11"/>
      <c r="E2706" s="183" t="s">
        <v>683</v>
      </c>
      <c r="F2706" s="924" t="s">
        <v>73</v>
      </c>
      <c r="G2706" s="183" t="s">
        <v>10025</v>
      </c>
      <c r="H2706" s="183" t="s">
        <v>686</v>
      </c>
      <c r="I2706" s="183" t="s">
        <v>366</v>
      </c>
      <c r="J2706" s="183" t="s">
        <v>10026</v>
      </c>
      <c r="K2706" s="183" t="s">
        <v>10026</v>
      </c>
      <c r="L2706" s="183" t="s">
        <v>1</v>
      </c>
      <c r="M2706" s="183">
        <v>7</v>
      </c>
      <c r="N2706" s="183">
        <v>1</v>
      </c>
      <c r="O2706" s="183">
        <v>7</v>
      </c>
      <c r="P2706" s="183">
        <v>0</v>
      </c>
      <c r="Q2706" s="183">
        <v>0</v>
      </c>
      <c r="R2706" s="1245">
        <v>36</v>
      </c>
      <c r="S2706" s="1245">
        <v>252</v>
      </c>
      <c r="T2706" s="183" t="s">
        <v>4220</v>
      </c>
      <c r="U2706" s="1893" t="s">
        <v>4220</v>
      </c>
      <c r="V2706" s="183" t="s">
        <v>689</v>
      </c>
      <c r="W2706" s="790" t="s">
        <v>10027</v>
      </c>
      <c r="X2706" s="18"/>
      <c r="Y2706" s="4"/>
      <c r="Z2706" s="4"/>
    </row>
    <row r="2707" spans="1:26" ht="14.45" hidden="1">
      <c r="A2707" s="20">
        <v>2714</v>
      </c>
      <c r="B2707" s="1063">
        <v>42484</v>
      </c>
      <c r="C2707" s="960" t="s">
        <v>10028</v>
      </c>
      <c r="D2707" s="11" t="s">
        <v>6</v>
      </c>
      <c r="E2707" s="678" t="s">
        <v>7956</v>
      </c>
      <c r="F2707" s="960" t="s">
        <v>7046</v>
      </c>
      <c r="G2707" s="678" t="s">
        <v>10029</v>
      </c>
      <c r="H2707" s="686" t="s">
        <v>10030</v>
      </c>
      <c r="I2707" s="678" t="s">
        <v>1022</v>
      </c>
      <c r="J2707" s="678" t="s">
        <v>10031</v>
      </c>
      <c r="K2707" s="678" t="s">
        <v>10031</v>
      </c>
      <c r="L2707" s="678"/>
      <c r="M2707" s="678">
        <v>1</v>
      </c>
      <c r="N2707" s="678">
        <v>1</v>
      </c>
      <c r="O2707" s="678">
        <v>1</v>
      </c>
      <c r="P2707" s="678">
        <v>0</v>
      </c>
      <c r="Q2707" s="678">
        <v>0</v>
      </c>
      <c r="R2707" s="1285">
        <v>1665</v>
      </c>
      <c r="S2707" s="1285">
        <v>1665</v>
      </c>
      <c r="T2707" s="678" t="s">
        <v>5448</v>
      </c>
      <c r="U2707" s="1920" t="s">
        <v>1886</v>
      </c>
      <c r="V2707" s="129" t="s">
        <v>7705</v>
      </c>
      <c r="W2707" s="689" t="s">
        <v>10032</v>
      </c>
      <c r="X2707" s="18"/>
      <c r="Y2707" s="4"/>
      <c r="Z2707" s="4"/>
    </row>
    <row r="2708" spans="1:26" ht="16.5" hidden="1" customHeight="1">
      <c r="A2708" s="20">
        <v>2715</v>
      </c>
      <c r="B2708" s="1063">
        <v>42485</v>
      </c>
      <c r="C2708" s="961" t="s">
        <v>10033</v>
      </c>
      <c r="D2708" s="11" t="s">
        <v>6</v>
      </c>
      <c r="E2708" s="678" t="s">
        <v>7956</v>
      </c>
      <c r="F2708" s="961" t="s">
        <v>7046</v>
      </c>
      <c r="G2708" s="282" t="s">
        <v>10034</v>
      </c>
      <c r="H2708" s="301" t="s">
        <v>249</v>
      </c>
      <c r="I2708" s="282" t="s">
        <v>39</v>
      </c>
      <c r="J2708" s="282" t="s">
        <v>10035</v>
      </c>
      <c r="K2708" s="282" t="s">
        <v>10036</v>
      </c>
      <c r="L2708" s="282"/>
      <c r="M2708" s="282">
        <v>1</v>
      </c>
      <c r="N2708" s="282">
        <v>1</v>
      </c>
      <c r="O2708" s="282">
        <v>2</v>
      </c>
      <c r="P2708" s="282">
        <v>1</v>
      </c>
      <c r="Q2708" s="282">
        <v>1</v>
      </c>
      <c r="R2708" s="1286">
        <v>130</v>
      </c>
      <c r="S2708" s="1286">
        <v>260</v>
      </c>
      <c r="T2708" s="282" t="s">
        <v>5448</v>
      </c>
      <c r="U2708" s="1921" t="s">
        <v>1886</v>
      </c>
      <c r="V2708" s="183" t="s">
        <v>7705</v>
      </c>
      <c r="W2708" s="690" t="s">
        <v>10037</v>
      </c>
      <c r="X2708" s="18"/>
      <c r="Y2708" s="4"/>
      <c r="Z2708" s="4"/>
    </row>
    <row r="2709" spans="1:26" ht="14.45" hidden="1">
      <c r="A2709" s="20">
        <v>2716</v>
      </c>
      <c r="B2709" s="1063">
        <v>42486</v>
      </c>
      <c r="C2709" s="961" t="s">
        <v>10038</v>
      </c>
      <c r="D2709" s="11" t="s">
        <v>6</v>
      </c>
      <c r="E2709" s="678" t="s">
        <v>7956</v>
      </c>
      <c r="F2709" s="961" t="s">
        <v>7046</v>
      </c>
      <c r="G2709" s="282" t="s">
        <v>10039</v>
      </c>
      <c r="H2709" s="301" t="s">
        <v>214</v>
      </c>
      <c r="I2709" s="282" t="s">
        <v>39</v>
      </c>
      <c r="J2709" s="282" t="s">
        <v>10040</v>
      </c>
      <c r="K2709" s="303">
        <v>186488</v>
      </c>
      <c r="L2709" s="282"/>
      <c r="M2709" s="282">
        <v>1</v>
      </c>
      <c r="N2709" s="282">
        <v>1</v>
      </c>
      <c r="O2709" s="282">
        <v>2</v>
      </c>
      <c r="P2709" s="282">
        <v>0</v>
      </c>
      <c r="Q2709" s="282">
        <v>0</v>
      </c>
      <c r="R2709" s="1286">
        <v>189</v>
      </c>
      <c r="S2709" s="1286">
        <v>378</v>
      </c>
      <c r="T2709" s="282" t="s">
        <v>5448</v>
      </c>
      <c r="U2709" s="1921" t="s">
        <v>1886</v>
      </c>
      <c r="V2709" s="183" t="s">
        <v>7705</v>
      </c>
      <c r="W2709" s="690" t="s">
        <v>10041</v>
      </c>
      <c r="X2709" s="18"/>
      <c r="Y2709" s="4"/>
      <c r="Z2709" s="4"/>
    </row>
    <row r="2710" spans="1:26" ht="14.45" hidden="1">
      <c r="A2710" s="20">
        <v>2717</v>
      </c>
      <c r="B2710" s="1063">
        <v>42487</v>
      </c>
      <c r="C2710" s="961" t="s">
        <v>3433</v>
      </c>
      <c r="D2710" s="11" t="s">
        <v>6</v>
      </c>
      <c r="E2710" s="678" t="s">
        <v>7956</v>
      </c>
      <c r="F2710" s="961" t="s">
        <v>7046</v>
      </c>
      <c r="G2710" s="282" t="s">
        <v>10042</v>
      </c>
      <c r="H2710" s="301" t="s">
        <v>10043</v>
      </c>
      <c r="I2710" s="282" t="s">
        <v>39</v>
      </c>
      <c r="J2710" s="282" t="s">
        <v>10044</v>
      </c>
      <c r="K2710" s="282" t="s">
        <v>10045</v>
      </c>
      <c r="L2710" s="282"/>
      <c r="M2710" s="282">
        <v>1</v>
      </c>
      <c r="N2710" s="282">
        <v>1</v>
      </c>
      <c r="O2710" s="282">
        <v>1</v>
      </c>
      <c r="P2710" s="282">
        <v>0</v>
      </c>
      <c r="Q2710" s="282">
        <v>0</v>
      </c>
      <c r="R2710" s="1286">
        <v>1367</v>
      </c>
      <c r="S2710" s="1286">
        <v>1367</v>
      </c>
      <c r="T2710" s="282" t="s">
        <v>5448</v>
      </c>
      <c r="U2710" s="1921" t="s">
        <v>1886</v>
      </c>
      <c r="V2710" s="183" t="s">
        <v>7705</v>
      </c>
      <c r="W2710" s="690" t="s">
        <v>10046</v>
      </c>
      <c r="X2710" s="18"/>
      <c r="Y2710" s="4"/>
      <c r="Z2710" s="4"/>
    </row>
    <row r="2711" spans="1:26" ht="14.45" hidden="1">
      <c r="A2711" s="20">
        <v>2718</v>
      </c>
      <c r="B2711" s="1063">
        <v>42488</v>
      </c>
      <c r="C2711" s="961" t="s">
        <v>10047</v>
      </c>
      <c r="D2711" s="11" t="s">
        <v>6</v>
      </c>
      <c r="E2711" s="678" t="s">
        <v>7956</v>
      </c>
      <c r="F2711" s="961" t="s">
        <v>7046</v>
      </c>
      <c r="G2711" s="282" t="s">
        <v>10048</v>
      </c>
      <c r="H2711" s="301" t="s">
        <v>4321</v>
      </c>
      <c r="I2711" s="282" t="s">
        <v>39</v>
      </c>
      <c r="J2711" s="282" t="s">
        <v>10049</v>
      </c>
      <c r="K2711" s="282">
        <v>751.00559999999996</v>
      </c>
      <c r="L2711" s="282"/>
      <c r="M2711" s="282">
        <v>1</v>
      </c>
      <c r="N2711" s="282">
        <v>1</v>
      </c>
      <c r="O2711" s="282">
        <v>1</v>
      </c>
      <c r="P2711" s="282">
        <v>0</v>
      </c>
      <c r="Q2711" s="282">
        <v>0</v>
      </c>
      <c r="R2711" s="1286">
        <v>649</v>
      </c>
      <c r="S2711" s="1286">
        <v>649</v>
      </c>
      <c r="T2711" s="282" t="s">
        <v>5448</v>
      </c>
      <c r="U2711" s="1921" t="s">
        <v>1886</v>
      </c>
      <c r="V2711" s="183" t="s">
        <v>7705</v>
      </c>
      <c r="W2711" s="690" t="s">
        <v>10050</v>
      </c>
      <c r="X2711" s="18"/>
      <c r="Y2711" s="4"/>
      <c r="Z2711" s="4"/>
    </row>
    <row r="2712" spans="1:26" ht="14.45" hidden="1">
      <c r="A2712" s="20">
        <v>2719</v>
      </c>
      <c r="B2712" s="1063">
        <v>42489</v>
      </c>
      <c r="C2712" s="961" t="s">
        <v>10051</v>
      </c>
      <c r="D2712" s="11" t="s">
        <v>6</v>
      </c>
      <c r="E2712" s="678" t="s">
        <v>7956</v>
      </c>
      <c r="F2712" s="961" t="s">
        <v>7046</v>
      </c>
      <c r="G2712" s="282" t="s">
        <v>10052</v>
      </c>
      <c r="H2712" s="301" t="s">
        <v>10053</v>
      </c>
      <c r="I2712" s="282" t="s">
        <v>39</v>
      </c>
      <c r="J2712" s="282" t="s">
        <v>10054</v>
      </c>
      <c r="K2712" s="282" t="s">
        <v>10055</v>
      </c>
      <c r="L2712" s="282"/>
      <c r="M2712" s="282">
        <v>2</v>
      </c>
      <c r="N2712" s="282">
        <v>2</v>
      </c>
      <c r="O2712" s="282">
        <v>2</v>
      </c>
      <c r="P2712" s="282">
        <v>0</v>
      </c>
      <c r="Q2712" s="282">
        <v>0</v>
      </c>
      <c r="R2712" s="1286">
        <v>793</v>
      </c>
      <c r="S2712" s="1286">
        <v>1586</v>
      </c>
      <c r="T2712" s="282" t="s">
        <v>5448</v>
      </c>
      <c r="U2712" s="1921" t="s">
        <v>1886</v>
      </c>
      <c r="V2712" s="183" t="s">
        <v>7705</v>
      </c>
      <c r="W2712" s="690" t="s">
        <v>10056</v>
      </c>
      <c r="X2712" s="18"/>
      <c r="Y2712" s="4"/>
      <c r="Z2712" s="4"/>
    </row>
    <row r="2713" spans="1:26" ht="14.45" hidden="1">
      <c r="A2713" s="20">
        <v>2720</v>
      </c>
      <c r="B2713" s="1063">
        <v>42490</v>
      </c>
      <c r="C2713" s="961" t="s">
        <v>10051</v>
      </c>
      <c r="D2713" s="11" t="s">
        <v>6</v>
      </c>
      <c r="E2713" s="678" t="s">
        <v>7956</v>
      </c>
      <c r="F2713" s="961" t="s">
        <v>7046</v>
      </c>
      <c r="G2713" s="282" t="s">
        <v>10057</v>
      </c>
      <c r="H2713" s="301" t="s">
        <v>10053</v>
      </c>
      <c r="I2713" s="282" t="s">
        <v>39</v>
      </c>
      <c r="J2713" s="282" t="s">
        <v>10058</v>
      </c>
      <c r="K2713" s="282" t="s">
        <v>10059</v>
      </c>
      <c r="L2713" s="282"/>
      <c r="M2713" s="282">
        <v>2</v>
      </c>
      <c r="N2713" s="282">
        <v>2</v>
      </c>
      <c r="O2713" s="282">
        <v>2</v>
      </c>
      <c r="P2713" s="282">
        <v>0</v>
      </c>
      <c r="Q2713" s="282">
        <v>0</v>
      </c>
      <c r="R2713" s="1286">
        <v>794</v>
      </c>
      <c r="S2713" s="1286">
        <v>1588</v>
      </c>
      <c r="T2713" s="282" t="s">
        <v>5448</v>
      </c>
      <c r="U2713" s="1921" t="s">
        <v>1886</v>
      </c>
      <c r="V2713" s="183" t="s">
        <v>7705</v>
      </c>
      <c r="W2713" s="690" t="s">
        <v>10060</v>
      </c>
      <c r="X2713" s="18"/>
      <c r="Y2713" s="4"/>
      <c r="Z2713" s="4"/>
    </row>
    <row r="2714" spans="1:26" ht="14.45" hidden="1">
      <c r="A2714" s="20">
        <v>2721</v>
      </c>
      <c r="B2714" s="1063">
        <v>42491</v>
      </c>
      <c r="C2714" s="961" t="s">
        <v>10061</v>
      </c>
      <c r="D2714" s="11" t="s">
        <v>6</v>
      </c>
      <c r="E2714" s="678" t="s">
        <v>7956</v>
      </c>
      <c r="F2714" s="961" t="s">
        <v>7046</v>
      </c>
      <c r="G2714" s="282" t="s">
        <v>10062</v>
      </c>
      <c r="H2714" s="217" t="s">
        <v>452</v>
      </c>
      <c r="I2714" s="282" t="s">
        <v>39</v>
      </c>
      <c r="J2714" s="282" t="s">
        <v>10063</v>
      </c>
      <c r="K2714" s="282" t="s">
        <v>10064</v>
      </c>
      <c r="L2714" s="282"/>
      <c r="M2714" s="282">
        <v>1</v>
      </c>
      <c r="N2714" s="282">
        <v>1</v>
      </c>
      <c r="O2714" s="282">
        <v>1</v>
      </c>
      <c r="P2714" s="282">
        <v>0</v>
      </c>
      <c r="Q2714" s="282">
        <v>0</v>
      </c>
      <c r="R2714" s="1286">
        <v>590</v>
      </c>
      <c r="S2714" s="1286">
        <v>590</v>
      </c>
      <c r="T2714" s="282" t="s">
        <v>5448</v>
      </c>
      <c r="U2714" s="1921" t="s">
        <v>1886</v>
      </c>
      <c r="V2714" s="183" t="s">
        <v>7705</v>
      </c>
      <c r="W2714" s="690" t="s">
        <v>10065</v>
      </c>
      <c r="X2714" s="18"/>
      <c r="Y2714" s="4"/>
      <c r="Z2714" s="4"/>
    </row>
    <row r="2715" spans="1:26" ht="14.45" hidden="1">
      <c r="A2715" s="20">
        <v>2722</v>
      </c>
      <c r="B2715" s="1063">
        <v>42492</v>
      </c>
      <c r="C2715" s="961" t="s">
        <v>10066</v>
      </c>
      <c r="D2715" s="11" t="s">
        <v>6</v>
      </c>
      <c r="E2715" s="678" t="s">
        <v>7956</v>
      </c>
      <c r="F2715" s="961" t="s">
        <v>7046</v>
      </c>
      <c r="G2715" s="282" t="s">
        <v>10067</v>
      </c>
      <c r="H2715" s="301" t="s">
        <v>144</v>
      </c>
      <c r="I2715" s="282" t="s">
        <v>39</v>
      </c>
      <c r="J2715" s="217" t="s">
        <v>10068</v>
      </c>
      <c r="K2715" s="217" t="s">
        <v>10069</v>
      </c>
      <c r="L2715" s="282"/>
      <c r="M2715" s="282">
        <v>1</v>
      </c>
      <c r="N2715" s="282">
        <v>1</v>
      </c>
      <c r="O2715" s="282">
        <v>1</v>
      </c>
      <c r="P2715" s="282">
        <v>0</v>
      </c>
      <c r="Q2715" s="282">
        <v>0</v>
      </c>
      <c r="R2715" s="1286">
        <v>649</v>
      </c>
      <c r="S2715" s="1286">
        <v>649</v>
      </c>
      <c r="T2715" s="282" t="s">
        <v>5448</v>
      </c>
      <c r="U2715" s="1921" t="s">
        <v>1886</v>
      </c>
      <c r="V2715" s="183" t="s">
        <v>7705</v>
      </c>
      <c r="W2715" s="690" t="s">
        <v>10070</v>
      </c>
      <c r="X2715" s="18"/>
      <c r="Y2715" s="4"/>
      <c r="Z2715" s="4"/>
    </row>
    <row r="2716" spans="1:26" ht="14.45" hidden="1">
      <c r="A2716" s="20">
        <v>2723</v>
      </c>
      <c r="B2716" s="1063">
        <v>42493</v>
      </c>
      <c r="C2716" s="961" t="s">
        <v>10071</v>
      </c>
      <c r="D2716" s="11" t="s">
        <v>6</v>
      </c>
      <c r="E2716" s="678" t="s">
        <v>7956</v>
      </c>
      <c r="F2716" s="961" t="s">
        <v>7046</v>
      </c>
      <c r="G2716" s="282" t="s">
        <v>10072</v>
      </c>
      <c r="H2716" s="301" t="s">
        <v>220</v>
      </c>
      <c r="I2716" s="282" t="s">
        <v>39</v>
      </c>
      <c r="J2716" s="282" t="s">
        <v>1811</v>
      </c>
      <c r="K2716" s="282" t="s">
        <v>1812</v>
      </c>
      <c r="L2716" s="282"/>
      <c r="M2716" s="282">
        <v>1</v>
      </c>
      <c r="N2716" s="282">
        <v>1</v>
      </c>
      <c r="O2716" s="282">
        <v>1</v>
      </c>
      <c r="P2716" s="282">
        <v>0</v>
      </c>
      <c r="Q2716" s="282">
        <v>0</v>
      </c>
      <c r="R2716" s="1286">
        <v>81</v>
      </c>
      <c r="S2716" s="1286">
        <v>81</v>
      </c>
      <c r="T2716" s="282" t="s">
        <v>5448</v>
      </c>
      <c r="U2716" s="1921" t="s">
        <v>1886</v>
      </c>
      <c r="V2716" s="183" t="s">
        <v>7705</v>
      </c>
      <c r="W2716" s="690" t="s">
        <v>10073</v>
      </c>
      <c r="X2716" s="18"/>
      <c r="Y2716" s="4"/>
      <c r="Z2716" s="4"/>
    </row>
    <row r="2717" spans="1:26" ht="14.45" hidden="1">
      <c r="A2717" s="20">
        <v>2724</v>
      </c>
      <c r="B2717" s="1063">
        <v>42494</v>
      </c>
      <c r="C2717" s="961" t="s">
        <v>8556</v>
      </c>
      <c r="D2717" s="11" t="s">
        <v>6</v>
      </c>
      <c r="E2717" s="678" t="s">
        <v>7956</v>
      </c>
      <c r="F2717" s="961" t="s">
        <v>7046</v>
      </c>
      <c r="G2717" s="282" t="s">
        <v>10074</v>
      </c>
      <c r="H2717" s="301" t="s">
        <v>220</v>
      </c>
      <c r="I2717" s="282" t="s">
        <v>39</v>
      </c>
      <c r="J2717" s="282" t="s">
        <v>941</v>
      </c>
      <c r="K2717" s="282" t="s">
        <v>942</v>
      </c>
      <c r="L2717" s="282"/>
      <c r="M2717" s="282">
        <v>1</v>
      </c>
      <c r="N2717" s="282">
        <v>1</v>
      </c>
      <c r="O2717" s="282">
        <v>1</v>
      </c>
      <c r="P2717" s="282">
        <v>0</v>
      </c>
      <c r="Q2717" s="282">
        <v>0</v>
      </c>
      <c r="R2717" s="1286">
        <v>191</v>
      </c>
      <c r="S2717" s="1286">
        <v>191</v>
      </c>
      <c r="T2717" s="282" t="s">
        <v>5448</v>
      </c>
      <c r="U2717" s="1921" t="s">
        <v>1886</v>
      </c>
      <c r="V2717" s="183" t="s">
        <v>7705</v>
      </c>
      <c r="W2717" s="690" t="s">
        <v>10075</v>
      </c>
      <c r="X2717" s="18"/>
      <c r="Y2717" s="4"/>
      <c r="Z2717" s="4"/>
    </row>
    <row r="2718" spans="1:26" ht="14.45" hidden="1">
      <c r="A2718" s="20">
        <v>2725</v>
      </c>
      <c r="B2718" s="1063">
        <v>42495</v>
      </c>
      <c r="C2718" s="961" t="s">
        <v>10076</v>
      </c>
      <c r="D2718" s="11" t="s">
        <v>6</v>
      </c>
      <c r="E2718" s="678" t="s">
        <v>7956</v>
      </c>
      <c r="F2718" s="961" t="s">
        <v>7046</v>
      </c>
      <c r="G2718" s="282" t="s">
        <v>10077</v>
      </c>
      <c r="H2718" s="301" t="s">
        <v>1928</v>
      </c>
      <c r="I2718" s="282" t="s">
        <v>39</v>
      </c>
      <c r="J2718" s="282" t="s">
        <v>10078</v>
      </c>
      <c r="K2718" s="282" t="s">
        <v>10078</v>
      </c>
      <c r="L2718" s="282"/>
      <c r="M2718" s="282">
        <v>2</v>
      </c>
      <c r="N2718" s="282">
        <v>2</v>
      </c>
      <c r="O2718" s="282">
        <v>2</v>
      </c>
      <c r="P2718" s="282">
        <v>0</v>
      </c>
      <c r="Q2718" s="282">
        <v>0</v>
      </c>
      <c r="R2718" s="1286">
        <v>141</v>
      </c>
      <c r="S2718" s="1286">
        <v>282</v>
      </c>
      <c r="T2718" s="282" t="s">
        <v>5448</v>
      </c>
      <c r="U2718" s="1921" t="s">
        <v>1886</v>
      </c>
      <c r="V2718" s="183" t="s">
        <v>7705</v>
      </c>
      <c r="W2718" s="690" t="s">
        <v>10079</v>
      </c>
      <c r="X2718" s="18"/>
      <c r="Y2718" s="4"/>
      <c r="Z2718" s="4"/>
    </row>
    <row r="2719" spans="1:26" ht="14.45" hidden="1">
      <c r="A2719" s="20">
        <v>2726</v>
      </c>
      <c r="B2719" s="1063">
        <v>42496</v>
      </c>
      <c r="C2719" s="961" t="s">
        <v>589</v>
      </c>
      <c r="D2719" s="11" t="s">
        <v>6</v>
      </c>
      <c r="E2719" s="678" t="s">
        <v>7956</v>
      </c>
      <c r="F2719" s="961" t="s">
        <v>7046</v>
      </c>
      <c r="G2719" s="282" t="s">
        <v>10080</v>
      </c>
      <c r="H2719" s="301" t="s">
        <v>10081</v>
      </c>
      <c r="I2719" s="282" t="s">
        <v>39</v>
      </c>
      <c r="J2719" s="217" t="s">
        <v>10082</v>
      </c>
      <c r="K2719" s="282" t="s">
        <v>10083</v>
      </c>
      <c r="L2719" s="282"/>
      <c r="M2719" s="282">
        <v>1</v>
      </c>
      <c r="N2719" s="282">
        <v>1</v>
      </c>
      <c r="O2719" s="282">
        <v>1</v>
      </c>
      <c r="P2719" s="282">
        <v>0</v>
      </c>
      <c r="Q2719" s="282">
        <v>0</v>
      </c>
      <c r="R2719" s="1286">
        <v>307</v>
      </c>
      <c r="S2719" s="1286">
        <v>307</v>
      </c>
      <c r="T2719" s="282" t="s">
        <v>5448</v>
      </c>
      <c r="U2719" s="1921" t="s">
        <v>1886</v>
      </c>
      <c r="V2719" s="183" t="s">
        <v>7705</v>
      </c>
      <c r="W2719" s="690" t="s">
        <v>10084</v>
      </c>
      <c r="X2719" s="18"/>
      <c r="Y2719" s="4"/>
      <c r="Z2719" s="4"/>
    </row>
    <row r="2720" spans="1:26" ht="14.45" hidden="1">
      <c r="A2720" s="20">
        <v>2727</v>
      </c>
      <c r="B2720" s="1063">
        <v>42497</v>
      </c>
      <c r="C2720" s="961" t="s">
        <v>589</v>
      </c>
      <c r="D2720" s="11" t="s">
        <v>6</v>
      </c>
      <c r="E2720" s="678" t="s">
        <v>7956</v>
      </c>
      <c r="F2720" s="961" t="s">
        <v>7046</v>
      </c>
      <c r="G2720" s="282" t="s">
        <v>10085</v>
      </c>
      <c r="H2720" s="301" t="s">
        <v>10081</v>
      </c>
      <c r="I2720" s="282" t="s">
        <v>39</v>
      </c>
      <c r="J2720" s="282" t="s">
        <v>10086</v>
      </c>
      <c r="K2720" s="282" t="s">
        <v>10087</v>
      </c>
      <c r="L2720" s="282"/>
      <c r="M2720" s="282">
        <v>1</v>
      </c>
      <c r="N2720" s="282">
        <v>1</v>
      </c>
      <c r="O2720" s="282">
        <v>1</v>
      </c>
      <c r="P2720" s="282">
        <v>0</v>
      </c>
      <c r="Q2720" s="282">
        <v>0</v>
      </c>
      <c r="R2720" s="1286">
        <v>307</v>
      </c>
      <c r="S2720" s="1286">
        <v>307</v>
      </c>
      <c r="T2720" s="282" t="s">
        <v>5448</v>
      </c>
      <c r="U2720" s="1921" t="s">
        <v>1886</v>
      </c>
      <c r="V2720" s="183" t="s">
        <v>7705</v>
      </c>
      <c r="W2720" s="690" t="s">
        <v>10088</v>
      </c>
      <c r="X2720" s="18"/>
      <c r="Y2720" s="4"/>
      <c r="Z2720" s="4"/>
    </row>
    <row r="2721" spans="1:26" ht="24.95" hidden="1">
      <c r="A2721" s="20">
        <v>2728</v>
      </c>
      <c r="B2721" s="1063">
        <v>42498</v>
      </c>
      <c r="C2721" s="26" t="s">
        <v>10089</v>
      </c>
      <c r="D2721" s="11"/>
      <c r="E2721" s="26" t="s">
        <v>10013</v>
      </c>
      <c r="F2721" s="26" t="s">
        <v>784</v>
      </c>
      <c r="G2721" s="26" t="s">
        <v>10090</v>
      </c>
      <c r="H2721" s="237" t="s">
        <v>10091</v>
      </c>
      <c r="I2721" s="26" t="s">
        <v>10092</v>
      </c>
      <c r="J2721" s="26" t="s">
        <v>10093</v>
      </c>
      <c r="K2721" s="26" t="s">
        <v>10093</v>
      </c>
      <c r="L2721" s="26" t="s">
        <v>149</v>
      </c>
      <c r="M2721" s="26">
        <v>1</v>
      </c>
      <c r="N2721" s="26">
        <v>1</v>
      </c>
      <c r="O2721" s="26">
        <v>1</v>
      </c>
      <c r="P2721" s="26">
        <v>0</v>
      </c>
      <c r="Q2721" s="669">
        <f>(O2721+P2721)-N2721</f>
        <v>0</v>
      </c>
      <c r="R2721" s="1209">
        <v>259000</v>
      </c>
      <c r="S2721" s="1282">
        <f t="shared" ref="S2721:S2723" si="150">R2721*O2721</f>
        <v>259000</v>
      </c>
      <c r="T2721" s="26" t="s">
        <v>10016</v>
      </c>
      <c r="U2721" s="1859" t="s">
        <v>10017</v>
      </c>
      <c r="V2721" s="26" t="s">
        <v>10018</v>
      </c>
      <c r="W2721" s="2074" t="s">
        <v>10094</v>
      </c>
      <c r="X2721" s="18"/>
      <c r="Y2721" s="4"/>
      <c r="Z2721" s="4"/>
    </row>
    <row r="2722" spans="1:26" ht="14.1" hidden="1">
      <c r="A2722" s="20">
        <v>2729</v>
      </c>
      <c r="B2722" s="1063">
        <v>42499</v>
      </c>
      <c r="C2722" s="26" t="s">
        <v>10095</v>
      </c>
      <c r="D2722" s="11"/>
      <c r="E2722" s="26" t="s">
        <v>4951</v>
      </c>
      <c r="F2722" s="26" t="s">
        <v>10096</v>
      </c>
      <c r="G2722" s="215" t="s">
        <v>10097</v>
      </c>
      <c r="H2722" s="237" t="s">
        <v>10098</v>
      </c>
      <c r="I2722" s="26" t="s">
        <v>3098</v>
      </c>
      <c r="J2722" s="26" t="s">
        <v>10099</v>
      </c>
      <c r="K2722" s="26" t="s">
        <v>10100</v>
      </c>
      <c r="L2722" s="26" t="s">
        <v>1</v>
      </c>
      <c r="M2722" s="26">
        <v>1</v>
      </c>
      <c r="N2722" s="26">
        <v>1</v>
      </c>
      <c r="O2722" s="26">
        <v>1</v>
      </c>
      <c r="P2722" s="26">
        <v>0</v>
      </c>
      <c r="Q2722" s="669">
        <v>0</v>
      </c>
      <c r="R2722" s="1209">
        <v>11862</v>
      </c>
      <c r="S2722" s="1282">
        <f t="shared" si="150"/>
        <v>11862</v>
      </c>
      <c r="T2722" s="26" t="s">
        <v>311</v>
      </c>
      <c r="U2722" s="1859"/>
      <c r="V2722" s="26" t="s">
        <v>352</v>
      </c>
      <c r="W2722" s="2065" t="s">
        <v>10101</v>
      </c>
      <c r="X2722" s="18"/>
      <c r="Y2722" s="4"/>
      <c r="Z2722" s="4"/>
    </row>
    <row r="2723" spans="1:26" ht="14.1" hidden="1">
      <c r="A2723" s="20">
        <v>2730</v>
      </c>
      <c r="B2723" s="1063">
        <v>42500</v>
      </c>
      <c r="C2723" s="26" t="s">
        <v>10102</v>
      </c>
      <c r="D2723" s="11"/>
      <c r="E2723" s="26" t="s">
        <v>4951</v>
      </c>
      <c r="F2723" s="26" t="s">
        <v>10096</v>
      </c>
      <c r="G2723" s="26" t="s">
        <v>10103</v>
      </c>
      <c r="H2723" s="304" t="s">
        <v>10104</v>
      </c>
      <c r="I2723" s="26" t="s">
        <v>39</v>
      </c>
      <c r="J2723" s="305" t="s">
        <v>10105</v>
      </c>
      <c r="K2723" s="305" t="s">
        <v>10106</v>
      </c>
      <c r="L2723" s="26" t="s">
        <v>1</v>
      </c>
      <c r="M2723" s="26">
        <v>1</v>
      </c>
      <c r="N2723" s="26">
        <v>1</v>
      </c>
      <c r="O2723" s="26">
        <v>1</v>
      </c>
      <c r="P2723" s="26">
        <v>0</v>
      </c>
      <c r="Q2723" s="669">
        <v>0</v>
      </c>
      <c r="R2723" s="1209">
        <v>29795</v>
      </c>
      <c r="S2723" s="1282">
        <f t="shared" si="150"/>
        <v>29795</v>
      </c>
      <c r="T2723" s="26" t="s">
        <v>311</v>
      </c>
      <c r="U2723" s="1859"/>
      <c r="V2723" s="26" t="s">
        <v>352</v>
      </c>
      <c r="W2723" s="2065" t="s">
        <v>10107</v>
      </c>
      <c r="X2723" s="18"/>
      <c r="Y2723" s="4"/>
      <c r="Z2723" s="4"/>
    </row>
    <row r="2724" spans="1:26" ht="14.1" hidden="1">
      <c r="A2724" s="20">
        <v>2731</v>
      </c>
      <c r="B2724" s="1063">
        <v>42501</v>
      </c>
      <c r="C2724" s="26" t="s">
        <v>10108</v>
      </c>
      <c r="D2724" s="11" t="s">
        <v>6</v>
      </c>
      <c r="E2724" s="26" t="s">
        <v>2722</v>
      </c>
      <c r="F2724" s="26" t="s">
        <v>1569</v>
      </c>
      <c r="G2724" s="26" t="s">
        <v>10109</v>
      </c>
      <c r="H2724" s="237" t="s">
        <v>84</v>
      </c>
      <c r="I2724" s="26" t="s">
        <v>84</v>
      </c>
      <c r="J2724" s="26">
        <v>38805173</v>
      </c>
      <c r="K2724" s="26"/>
      <c r="L2724" s="26"/>
      <c r="M2724" s="26">
        <v>1</v>
      </c>
      <c r="N2724" s="26">
        <v>1</v>
      </c>
      <c r="O2724" s="26">
        <v>1</v>
      </c>
      <c r="P2724" s="26">
        <v>0</v>
      </c>
      <c r="Q2724" s="669">
        <f t="shared" ref="Q2724:Q2739" si="151">O2724-M2724</f>
        <v>0</v>
      </c>
      <c r="R2724" s="1209">
        <v>3990</v>
      </c>
      <c r="S2724" s="1282">
        <v>3990</v>
      </c>
      <c r="T2724" s="26" t="s">
        <v>8074</v>
      </c>
      <c r="U2724" s="1859" t="s">
        <v>301</v>
      </c>
      <c r="V2724" s="26" t="s">
        <v>352</v>
      </c>
      <c r="W2724" s="2074" t="s">
        <v>3415</v>
      </c>
      <c r="X2724" s="18"/>
      <c r="Y2724" s="4"/>
      <c r="Z2724" s="4"/>
    </row>
    <row r="2725" spans="1:26" ht="14.1" hidden="1">
      <c r="A2725" s="20">
        <v>2732</v>
      </c>
      <c r="B2725" s="1063">
        <v>42502</v>
      </c>
      <c r="C2725" s="26" t="s">
        <v>10110</v>
      </c>
      <c r="D2725" s="11" t="s">
        <v>6</v>
      </c>
      <c r="E2725" s="26" t="s">
        <v>2722</v>
      </c>
      <c r="F2725" s="26" t="s">
        <v>1569</v>
      </c>
      <c r="G2725" s="26" t="s">
        <v>3647</v>
      </c>
      <c r="H2725" s="237" t="s">
        <v>713</v>
      </c>
      <c r="I2725" s="26" t="s">
        <v>714</v>
      </c>
      <c r="J2725" s="26" t="s">
        <v>715</v>
      </c>
      <c r="K2725" s="26" t="s">
        <v>716</v>
      </c>
      <c r="L2725" s="26" t="s">
        <v>1606</v>
      </c>
      <c r="M2725" s="26">
        <v>3</v>
      </c>
      <c r="N2725" s="26">
        <v>1</v>
      </c>
      <c r="O2725" s="26">
        <v>3</v>
      </c>
      <c r="P2725" s="26">
        <v>0</v>
      </c>
      <c r="Q2725" s="669">
        <f t="shared" si="151"/>
        <v>0</v>
      </c>
      <c r="R2725" s="1209">
        <v>4163.63</v>
      </c>
      <c r="S2725" s="1282">
        <f t="shared" ref="S2725:S2782" si="152">R2725*O2725</f>
        <v>12490.89</v>
      </c>
      <c r="T2725" s="26" t="s">
        <v>8074</v>
      </c>
      <c r="U2725" s="1859" t="s">
        <v>10111</v>
      </c>
      <c r="V2725" s="26" t="s">
        <v>352</v>
      </c>
      <c r="W2725" s="2074" t="s">
        <v>719</v>
      </c>
      <c r="X2725" s="18"/>
      <c r="Y2725" s="4"/>
      <c r="Z2725" s="4"/>
    </row>
    <row r="2726" spans="1:26" ht="51.95" hidden="1">
      <c r="A2726" s="20">
        <v>2733</v>
      </c>
      <c r="B2726" s="1063">
        <v>42503</v>
      </c>
      <c r="C2726" s="26" t="s">
        <v>10112</v>
      </c>
      <c r="D2726" s="11" t="s">
        <v>6</v>
      </c>
      <c r="E2726" s="26" t="s">
        <v>2722</v>
      </c>
      <c r="F2726" s="26" t="s">
        <v>1569</v>
      </c>
      <c r="G2726" s="26" t="s">
        <v>10113</v>
      </c>
      <c r="H2726" s="237" t="s">
        <v>723</v>
      </c>
      <c r="I2726" s="26" t="s">
        <v>723</v>
      </c>
      <c r="J2726" s="26">
        <v>9956</v>
      </c>
      <c r="K2726" s="26" t="s">
        <v>720</v>
      </c>
      <c r="L2726" s="26" t="s">
        <v>724</v>
      </c>
      <c r="M2726" s="26">
        <v>3</v>
      </c>
      <c r="N2726" s="26">
        <v>1</v>
      </c>
      <c r="O2726" s="26">
        <v>3</v>
      </c>
      <c r="P2726" s="26">
        <v>0</v>
      </c>
      <c r="Q2726" s="669">
        <f t="shared" si="151"/>
        <v>0</v>
      </c>
      <c r="R2726" s="1209">
        <v>9328</v>
      </c>
      <c r="S2726" s="1282">
        <f t="shared" si="152"/>
        <v>27984</v>
      </c>
      <c r="T2726" s="26" t="s">
        <v>8074</v>
      </c>
      <c r="U2726" s="1859" t="s">
        <v>10111</v>
      </c>
      <c r="V2726" s="26" t="s">
        <v>352</v>
      </c>
      <c r="W2726" s="2074" t="s">
        <v>727</v>
      </c>
      <c r="X2726" s="18" t="s">
        <v>10114</v>
      </c>
      <c r="Y2726" s="4"/>
      <c r="Z2726" s="4"/>
    </row>
    <row r="2727" spans="1:26" ht="15.95" hidden="1">
      <c r="A2727" s="20">
        <v>2734</v>
      </c>
      <c r="B2727" s="1063">
        <v>42504</v>
      </c>
      <c r="C2727" s="26" t="s">
        <v>10115</v>
      </c>
      <c r="D2727" s="11" t="s">
        <v>6</v>
      </c>
      <c r="E2727" s="26" t="s">
        <v>2722</v>
      </c>
      <c r="F2727" s="26" t="s">
        <v>1569</v>
      </c>
      <c r="G2727" s="182" t="s">
        <v>6244</v>
      </c>
      <c r="H2727" s="237" t="s">
        <v>3750</v>
      </c>
      <c r="I2727" s="26" t="s">
        <v>84</v>
      </c>
      <c r="J2727" s="26">
        <v>34665565</v>
      </c>
      <c r="K2727" s="26" t="s">
        <v>10116</v>
      </c>
      <c r="L2727" s="26" t="s">
        <v>149</v>
      </c>
      <c r="M2727" s="26">
        <v>3</v>
      </c>
      <c r="N2727" s="26">
        <v>1</v>
      </c>
      <c r="O2727" s="26">
        <v>3</v>
      </c>
      <c r="P2727" s="26">
        <v>0</v>
      </c>
      <c r="Q2727" s="669">
        <f t="shared" si="151"/>
        <v>0</v>
      </c>
      <c r="R2727" s="1209">
        <v>719</v>
      </c>
      <c r="S2727" s="1282">
        <f t="shared" si="152"/>
        <v>2157</v>
      </c>
      <c r="T2727" s="26" t="s">
        <v>8074</v>
      </c>
      <c r="U2727" s="1859" t="s">
        <v>1886</v>
      </c>
      <c r="V2727" s="26" t="s">
        <v>352</v>
      </c>
      <c r="W2727" s="2074" t="s">
        <v>3752</v>
      </c>
      <c r="X2727" s="18"/>
      <c r="Y2727" s="4"/>
      <c r="Z2727" s="4"/>
    </row>
    <row r="2728" spans="1:26" ht="14.1" hidden="1">
      <c r="A2728" s="20">
        <v>2735</v>
      </c>
      <c r="B2728" s="1063">
        <v>42505</v>
      </c>
      <c r="C2728" s="139" t="s">
        <v>10117</v>
      </c>
      <c r="D2728" s="231" t="s">
        <v>6</v>
      </c>
      <c r="E2728" s="139" t="s">
        <v>2722</v>
      </c>
      <c r="F2728" s="139" t="s">
        <v>1569</v>
      </c>
      <c r="G2728" s="139"/>
      <c r="H2728" s="269" t="s">
        <v>2646</v>
      </c>
      <c r="I2728" s="139" t="s">
        <v>2646</v>
      </c>
      <c r="J2728" s="139" t="s">
        <v>2647</v>
      </c>
      <c r="K2728" s="139" t="s">
        <v>2647</v>
      </c>
      <c r="L2728" s="139"/>
      <c r="M2728" s="139">
        <v>1</v>
      </c>
      <c r="N2728" s="139">
        <v>1</v>
      </c>
      <c r="O2728" s="139">
        <v>1</v>
      </c>
      <c r="P2728" s="139">
        <v>0</v>
      </c>
      <c r="Q2728" s="691">
        <f t="shared" si="151"/>
        <v>0</v>
      </c>
      <c r="R2728" s="1234">
        <v>600000</v>
      </c>
      <c r="S2728" s="1287">
        <f t="shared" si="152"/>
        <v>600000</v>
      </c>
      <c r="T2728" s="139" t="s">
        <v>8074</v>
      </c>
      <c r="U2728" s="1861" t="s">
        <v>301</v>
      </c>
      <c r="V2728" s="139" t="s">
        <v>352</v>
      </c>
      <c r="W2728" s="2099"/>
      <c r="X2728" s="56"/>
      <c r="Y2728" s="57"/>
      <c r="Z2728" s="57"/>
    </row>
    <row r="2729" spans="1:26" ht="15.95" hidden="1">
      <c r="A2729" s="20">
        <v>2736</v>
      </c>
      <c r="B2729" s="1063">
        <v>42506</v>
      </c>
      <c r="C2729" s="26" t="s">
        <v>10118</v>
      </c>
      <c r="D2729" s="11" t="s">
        <v>6</v>
      </c>
      <c r="E2729" s="26" t="s">
        <v>2722</v>
      </c>
      <c r="F2729" s="26" t="s">
        <v>1569</v>
      </c>
      <c r="G2729" s="26" t="s">
        <v>798</v>
      </c>
      <c r="H2729" s="237" t="s">
        <v>799</v>
      </c>
      <c r="I2729" s="26" t="s">
        <v>322</v>
      </c>
      <c r="J2729" s="180">
        <v>33240313</v>
      </c>
      <c r="K2729" s="228" t="s">
        <v>800</v>
      </c>
      <c r="L2729" s="26" t="s">
        <v>1</v>
      </c>
      <c r="M2729" s="26">
        <v>2</v>
      </c>
      <c r="N2729" s="26">
        <v>1</v>
      </c>
      <c r="O2729" s="26">
        <v>2</v>
      </c>
      <c r="P2729" s="26">
        <v>0</v>
      </c>
      <c r="Q2729" s="669">
        <f t="shared" si="151"/>
        <v>0</v>
      </c>
      <c r="R2729" s="1209">
        <v>10900</v>
      </c>
      <c r="S2729" s="1282">
        <f t="shared" si="152"/>
        <v>21800</v>
      </c>
      <c r="T2729" s="26" t="s">
        <v>8074</v>
      </c>
      <c r="U2729" s="1859" t="s">
        <v>9413</v>
      </c>
      <c r="V2729" s="26" t="s">
        <v>352</v>
      </c>
      <c r="W2729" s="649" t="s">
        <v>802</v>
      </c>
      <c r="X2729" s="18"/>
      <c r="Y2729" s="4"/>
      <c r="Z2729" s="4"/>
    </row>
    <row r="2730" spans="1:26" ht="24.95" hidden="1">
      <c r="A2730" s="20">
        <v>2737</v>
      </c>
      <c r="B2730" s="1063">
        <v>42507</v>
      </c>
      <c r="C2730" s="26" t="s">
        <v>10119</v>
      </c>
      <c r="D2730" s="11" t="s">
        <v>6</v>
      </c>
      <c r="E2730" s="26" t="s">
        <v>2722</v>
      </c>
      <c r="F2730" s="26" t="s">
        <v>1569</v>
      </c>
      <c r="G2730" s="26" t="s">
        <v>3941</v>
      </c>
      <c r="H2730" s="237" t="s">
        <v>3898</v>
      </c>
      <c r="I2730" s="26" t="s">
        <v>574</v>
      </c>
      <c r="J2730" s="26" t="s">
        <v>3942</v>
      </c>
      <c r="K2730" s="26" t="s">
        <v>3943</v>
      </c>
      <c r="L2730" s="26" t="s">
        <v>3906</v>
      </c>
      <c r="M2730" s="26">
        <v>3</v>
      </c>
      <c r="N2730" s="26">
        <v>1</v>
      </c>
      <c r="O2730" s="26">
        <v>5</v>
      </c>
      <c r="P2730" s="26">
        <v>0</v>
      </c>
      <c r="Q2730" s="669">
        <f t="shared" si="151"/>
        <v>2</v>
      </c>
      <c r="R2730" s="1209">
        <v>636</v>
      </c>
      <c r="S2730" s="1282">
        <f t="shared" si="152"/>
        <v>3180</v>
      </c>
      <c r="T2730" s="26" t="s">
        <v>8074</v>
      </c>
      <c r="U2730" s="1859" t="s">
        <v>3094</v>
      </c>
      <c r="V2730" s="26" t="s">
        <v>352</v>
      </c>
      <c r="W2730" s="2074" t="s">
        <v>3944</v>
      </c>
      <c r="X2730" s="18"/>
      <c r="Y2730" s="4"/>
      <c r="Z2730" s="4"/>
    </row>
    <row r="2731" spans="1:26" ht="26.1" hidden="1">
      <c r="A2731" s="20">
        <v>2738</v>
      </c>
      <c r="B2731" s="1063">
        <v>42508</v>
      </c>
      <c r="C2731" s="26" t="s">
        <v>10120</v>
      </c>
      <c r="D2731" s="11" t="s">
        <v>6</v>
      </c>
      <c r="E2731" s="26" t="s">
        <v>2722</v>
      </c>
      <c r="F2731" s="26" t="s">
        <v>1569</v>
      </c>
      <c r="G2731" s="26" t="s">
        <v>5932</v>
      </c>
      <c r="H2731" s="237" t="s">
        <v>657</v>
      </c>
      <c r="I2731" s="26" t="s">
        <v>658</v>
      </c>
      <c r="J2731" s="26" t="s">
        <v>5933</v>
      </c>
      <c r="K2731" s="26" t="s">
        <v>5933</v>
      </c>
      <c r="L2731" s="26" t="s">
        <v>10121</v>
      </c>
      <c r="M2731" s="26">
        <v>3</v>
      </c>
      <c r="N2731" s="26">
        <v>1</v>
      </c>
      <c r="O2731" s="26">
        <v>5</v>
      </c>
      <c r="P2731" s="26">
        <v>0</v>
      </c>
      <c r="Q2731" s="669">
        <f t="shared" si="151"/>
        <v>2</v>
      </c>
      <c r="R2731" s="1209">
        <v>291.3</v>
      </c>
      <c r="S2731" s="1282">
        <f t="shared" si="152"/>
        <v>1456.5</v>
      </c>
      <c r="T2731" s="26" t="s">
        <v>8074</v>
      </c>
      <c r="U2731" s="1859" t="s">
        <v>576</v>
      </c>
      <c r="V2731" s="26" t="s">
        <v>352</v>
      </c>
      <c r="W2731" s="649" t="s">
        <v>662</v>
      </c>
      <c r="X2731" s="18"/>
      <c r="Y2731" s="4"/>
      <c r="Z2731" s="4"/>
    </row>
    <row r="2732" spans="1:26" ht="14.1" hidden="1">
      <c r="A2732" s="20">
        <v>2739</v>
      </c>
      <c r="B2732" s="1063">
        <v>42509</v>
      </c>
      <c r="C2732" s="26" t="s">
        <v>10122</v>
      </c>
      <c r="D2732" s="11" t="s">
        <v>6</v>
      </c>
      <c r="E2732" s="26" t="s">
        <v>2722</v>
      </c>
      <c r="F2732" s="26" t="s">
        <v>1569</v>
      </c>
      <c r="G2732" s="26" t="s">
        <v>5698</v>
      </c>
      <c r="H2732" s="237" t="s">
        <v>4172</v>
      </c>
      <c r="I2732" s="26" t="s">
        <v>4172</v>
      </c>
      <c r="J2732" s="26"/>
      <c r="K2732" s="26"/>
      <c r="L2732" s="26" t="s">
        <v>10123</v>
      </c>
      <c r="M2732" s="26">
        <v>3</v>
      </c>
      <c r="N2732" s="26">
        <v>1</v>
      </c>
      <c r="O2732" s="26">
        <v>5</v>
      </c>
      <c r="P2732" s="26">
        <v>0</v>
      </c>
      <c r="Q2732" s="669">
        <f t="shared" si="151"/>
        <v>2</v>
      </c>
      <c r="R2732" s="1209">
        <v>2051</v>
      </c>
      <c r="S2732" s="1282">
        <f t="shared" si="152"/>
        <v>10255</v>
      </c>
      <c r="T2732" s="26" t="s">
        <v>8074</v>
      </c>
      <c r="U2732" s="1859" t="s">
        <v>4846</v>
      </c>
      <c r="V2732" s="26" t="s">
        <v>352</v>
      </c>
      <c r="W2732" s="649" t="s">
        <v>5699</v>
      </c>
      <c r="X2732" s="18"/>
      <c r="Y2732" s="4"/>
      <c r="Z2732" s="4"/>
    </row>
    <row r="2733" spans="1:26" ht="14.1" hidden="1">
      <c r="A2733" s="20">
        <v>2740</v>
      </c>
      <c r="B2733" s="1063">
        <v>42510</v>
      </c>
      <c r="C2733" s="26" t="s">
        <v>10124</v>
      </c>
      <c r="D2733" s="11" t="s">
        <v>6</v>
      </c>
      <c r="E2733" s="26" t="s">
        <v>2722</v>
      </c>
      <c r="F2733" s="26" t="s">
        <v>1569</v>
      </c>
      <c r="G2733" s="26" t="s">
        <v>3431</v>
      </c>
      <c r="H2733" s="237" t="s">
        <v>4205</v>
      </c>
      <c r="I2733" s="26" t="s">
        <v>4206</v>
      </c>
      <c r="J2733" s="26"/>
      <c r="K2733" s="26" t="s">
        <v>9072</v>
      </c>
      <c r="L2733" s="26"/>
      <c r="M2733" s="26">
        <v>1</v>
      </c>
      <c r="N2733" s="26">
        <v>1</v>
      </c>
      <c r="O2733" s="26">
        <v>1</v>
      </c>
      <c r="P2733" s="26">
        <v>0</v>
      </c>
      <c r="Q2733" s="669">
        <f t="shared" si="151"/>
        <v>0</v>
      </c>
      <c r="R2733" s="1209">
        <v>1520</v>
      </c>
      <c r="S2733" s="1282">
        <f t="shared" si="152"/>
        <v>1520</v>
      </c>
      <c r="T2733" s="26" t="s">
        <v>8074</v>
      </c>
      <c r="U2733" s="1859" t="s">
        <v>1136</v>
      </c>
      <c r="V2733" s="26" t="s">
        <v>352</v>
      </c>
      <c r="W2733" s="2074" t="s">
        <v>9073</v>
      </c>
      <c r="X2733" s="18"/>
      <c r="Y2733" s="4"/>
      <c r="Z2733" s="4"/>
    </row>
    <row r="2734" spans="1:26" ht="14.1" hidden="1">
      <c r="A2734" s="20">
        <v>2741</v>
      </c>
      <c r="B2734" s="1063">
        <v>42511</v>
      </c>
      <c r="C2734" s="26" t="s">
        <v>10125</v>
      </c>
      <c r="D2734" s="11" t="s">
        <v>6</v>
      </c>
      <c r="E2734" s="26" t="s">
        <v>2722</v>
      </c>
      <c r="F2734" s="26" t="s">
        <v>1569</v>
      </c>
      <c r="G2734" s="26" t="s">
        <v>5685</v>
      </c>
      <c r="H2734" s="237" t="s">
        <v>5686</v>
      </c>
      <c r="I2734" s="26" t="s">
        <v>574</v>
      </c>
      <c r="J2734" s="26" t="s">
        <v>5687</v>
      </c>
      <c r="K2734" s="26" t="s">
        <v>299</v>
      </c>
      <c r="L2734" s="26" t="s">
        <v>5416</v>
      </c>
      <c r="M2734" s="26">
        <v>6</v>
      </c>
      <c r="N2734" s="26">
        <v>1</v>
      </c>
      <c r="O2734" s="26">
        <v>10</v>
      </c>
      <c r="P2734" s="26">
        <v>0</v>
      </c>
      <c r="Q2734" s="669">
        <f t="shared" si="151"/>
        <v>4</v>
      </c>
      <c r="R2734" s="1209">
        <v>153.6</v>
      </c>
      <c r="S2734" s="1282">
        <f t="shared" si="152"/>
        <v>1536</v>
      </c>
      <c r="T2734" s="26" t="s">
        <v>8074</v>
      </c>
      <c r="U2734" s="1859" t="s">
        <v>448</v>
      </c>
      <c r="V2734" s="26" t="s">
        <v>352</v>
      </c>
      <c r="W2734" s="2074" t="s">
        <v>10126</v>
      </c>
      <c r="X2734" s="18"/>
      <c r="Y2734" s="4"/>
      <c r="Z2734" s="4"/>
    </row>
    <row r="2735" spans="1:26" ht="14.1" hidden="1">
      <c r="A2735" s="20">
        <v>2742</v>
      </c>
      <c r="B2735" s="1063">
        <v>42512</v>
      </c>
      <c r="C2735" s="26" t="s">
        <v>10127</v>
      </c>
      <c r="D2735" s="11" t="s">
        <v>6</v>
      </c>
      <c r="E2735" s="26" t="s">
        <v>2722</v>
      </c>
      <c r="F2735" s="26" t="s">
        <v>1569</v>
      </c>
      <c r="G2735" s="26" t="s">
        <v>5197</v>
      </c>
      <c r="H2735" s="237" t="s">
        <v>2416</v>
      </c>
      <c r="I2735" s="26" t="s">
        <v>281</v>
      </c>
      <c r="J2735" s="26" t="s">
        <v>5198</v>
      </c>
      <c r="K2735" s="26" t="s">
        <v>2417</v>
      </c>
      <c r="L2735" s="26" t="s">
        <v>5199</v>
      </c>
      <c r="M2735" s="26">
        <v>3</v>
      </c>
      <c r="N2735" s="26">
        <v>1</v>
      </c>
      <c r="O2735" s="26">
        <v>5</v>
      </c>
      <c r="P2735" s="26">
        <v>0</v>
      </c>
      <c r="Q2735" s="669">
        <f t="shared" si="151"/>
        <v>2</v>
      </c>
      <c r="R2735" s="1209">
        <v>2231</v>
      </c>
      <c r="S2735" s="1282">
        <f t="shared" si="152"/>
        <v>11155</v>
      </c>
      <c r="T2735" s="26" t="s">
        <v>8074</v>
      </c>
      <c r="U2735" s="1859" t="s">
        <v>5186</v>
      </c>
      <c r="V2735" s="26" t="s">
        <v>352</v>
      </c>
      <c r="W2735" s="2074" t="s">
        <v>2418</v>
      </c>
      <c r="X2735" s="18"/>
      <c r="Y2735" s="4"/>
      <c r="Z2735" s="4"/>
    </row>
    <row r="2736" spans="1:26" ht="14.1" hidden="1">
      <c r="A2736" s="20">
        <v>2743</v>
      </c>
      <c r="B2736" s="1063">
        <v>42513</v>
      </c>
      <c r="C2736" s="26" t="s">
        <v>10128</v>
      </c>
      <c r="D2736" s="11" t="s">
        <v>6</v>
      </c>
      <c r="E2736" s="26" t="s">
        <v>2722</v>
      </c>
      <c r="F2736" s="26" t="s">
        <v>1569</v>
      </c>
      <c r="G2736" s="26" t="s">
        <v>10129</v>
      </c>
      <c r="H2736" s="237" t="s">
        <v>1342</v>
      </c>
      <c r="I2736" s="26" t="s">
        <v>84</v>
      </c>
      <c r="J2736" s="26">
        <v>34933543</v>
      </c>
      <c r="K2736" s="26" t="s">
        <v>3756</v>
      </c>
      <c r="L2736" s="26" t="s">
        <v>149</v>
      </c>
      <c r="M2736" s="26">
        <v>3</v>
      </c>
      <c r="N2736" s="26">
        <v>1</v>
      </c>
      <c r="O2736" s="26">
        <v>3</v>
      </c>
      <c r="P2736" s="26">
        <v>0</v>
      </c>
      <c r="Q2736" s="669">
        <f t="shared" si="151"/>
        <v>0</v>
      </c>
      <c r="R2736" s="1209">
        <v>659</v>
      </c>
      <c r="S2736" s="1282">
        <f t="shared" si="152"/>
        <v>1977</v>
      </c>
      <c r="T2736" s="26" t="s">
        <v>8074</v>
      </c>
      <c r="U2736" s="1859" t="s">
        <v>301</v>
      </c>
      <c r="V2736" s="26" t="s">
        <v>352</v>
      </c>
      <c r="W2736" s="2074" t="s">
        <v>1344</v>
      </c>
      <c r="X2736" s="18"/>
      <c r="Y2736" s="4"/>
      <c r="Z2736" s="4"/>
    </row>
    <row r="2737" spans="1:26" ht="24.95" hidden="1">
      <c r="A2737" s="20">
        <v>2744</v>
      </c>
      <c r="B2737" s="1063">
        <v>42514</v>
      </c>
      <c r="C2737" s="26" t="s">
        <v>7277</v>
      </c>
      <c r="D2737" s="11" t="s">
        <v>6</v>
      </c>
      <c r="E2737" s="26" t="s">
        <v>2722</v>
      </c>
      <c r="F2737" s="26" t="s">
        <v>1569</v>
      </c>
      <c r="G2737" s="26" t="s">
        <v>5762</v>
      </c>
      <c r="H2737" s="237" t="s">
        <v>5763</v>
      </c>
      <c r="I2737" s="26" t="s">
        <v>5764</v>
      </c>
      <c r="J2737" s="26" t="s">
        <v>10130</v>
      </c>
      <c r="K2737" s="26" t="s">
        <v>5766</v>
      </c>
      <c r="L2737" s="26" t="s">
        <v>5767</v>
      </c>
      <c r="M2737" s="26">
        <v>1</v>
      </c>
      <c r="N2737" s="26">
        <v>1</v>
      </c>
      <c r="O2737" s="26">
        <v>1</v>
      </c>
      <c r="P2737" s="26">
        <v>0</v>
      </c>
      <c r="Q2737" s="669">
        <f t="shared" si="151"/>
        <v>0</v>
      </c>
      <c r="R2737" s="1209">
        <v>480</v>
      </c>
      <c r="S2737" s="1282">
        <f t="shared" si="152"/>
        <v>480</v>
      </c>
      <c r="T2737" s="26" t="s">
        <v>8074</v>
      </c>
      <c r="U2737" s="1859" t="s">
        <v>1136</v>
      </c>
      <c r="V2737" s="26" t="s">
        <v>352</v>
      </c>
      <c r="W2737" s="2074" t="s">
        <v>5768</v>
      </c>
      <c r="X2737" s="18"/>
      <c r="Y2737" s="4"/>
      <c r="Z2737" s="4"/>
    </row>
    <row r="2738" spans="1:26" ht="14.1" hidden="1">
      <c r="A2738" s="20">
        <v>2745</v>
      </c>
      <c r="B2738" s="1063">
        <v>42515</v>
      </c>
      <c r="C2738" s="139" t="s">
        <v>10131</v>
      </c>
      <c r="D2738" s="231" t="s">
        <v>6</v>
      </c>
      <c r="E2738" s="139" t="s">
        <v>2722</v>
      </c>
      <c r="F2738" s="139" t="s">
        <v>1569</v>
      </c>
      <c r="G2738" s="139" t="s">
        <v>1187</v>
      </c>
      <c r="H2738" s="269" t="s">
        <v>1188</v>
      </c>
      <c r="I2738" s="139" t="s">
        <v>5690</v>
      </c>
      <c r="J2738" s="139" t="s">
        <v>1189</v>
      </c>
      <c r="K2738" s="139"/>
      <c r="L2738" s="139"/>
      <c r="M2738" s="139">
        <v>1</v>
      </c>
      <c r="N2738" s="139">
        <v>1</v>
      </c>
      <c r="O2738" s="139">
        <v>1</v>
      </c>
      <c r="P2738" s="139">
        <v>0</v>
      </c>
      <c r="Q2738" s="691">
        <f t="shared" si="151"/>
        <v>0</v>
      </c>
      <c r="R2738" s="1234">
        <v>3600</v>
      </c>
      <c r="S2738" s="1287">
        <f t="shared" si="152"/>
        <v>3600</v>
      </c>
      <c r="T2738" s="139" t="s">
        <v>8074</v>
      </c>
      <c r="U2738" s="1861" t="s">
        <v>301</v>
      </c>
      <c r="V2738" s="139" t="s">
        <v>1152</v>
      </c>
      <c r="W2738" s="2100" t="s">
        <v>1190</v>
      </c>
      <c r="X2738" s="18"/>
      <c r="Y2738" s="4"/>
      <c r="Z2738" s="4"/>
    </row>
    <row r="2739" spans="1:26" ht="14.1" hidden="1">
      <c r="A2739" s="20">
        <v>2746</v>
      </c>
      <c r="B2739" s="1063">
        <v>42516</v>
      </c>
      <c r="C2739" s="26" t="s">
        <v>10132</v>
      </c>
      <c r="D2739" s="11" t="s">
        <v>6</v>
      </c>
      <c r="E2739" s="26" t="s">
        <v>2722</v>
      </c>
      <c r="F2739" s="26" t="s">
        <v>1569</v>
      </c>
      <c r="G2739" s="26" t="s">
        <v>10133</v>
      </c>
      <c r="H2739" s="237" t="s">
        <v>230</v>
      </c>
      <c r="I2739" s="26" t="s">
        <v>6680</v>
      </c>
      <c r="J2739" s="26" t="s">
        <v>10134</v>
      </c>
      <c r="K2739" s="26" t="s">
        <v>4896</v>
      </c>
      <c r="L2739" s="26"/>
      <c r="M2739" s="26">
        <v>2</v>
      </c>
      <c r="N2739" s="26">
        <v>1</v>
      </c>
      <c r="O2739" s="26">
        <v>2</v>
      </c>
      <c r="P2739" s="26">
        <v>0</v>
      </c>
      <c r="Q2739" s="669">
        <f t="shared" si="151"/>
        <v>0</v>
      </c>
      <c r="R2739" s="1209">
        <v>5500</v>
      </c>
      <c r="S2739" s="1282">
        <f t="shared" si="152"/>
        <v>11000</v>
      </c>
      <c r="T2739" s="26" t="s">
        <v>8074</v>
      </c>
      <c r="U2739" s="1859" t="s">
        <v>7724</v>
      </c>
      <c r="V2739" s="26" t="s">
        <v>3140</v>
      </c>
      <c r="W2739" s="2074" t="s">
        <v>10135</v>
      </c>
      <c r="X2739" s="18"/>
      <c r="Y2739" s="4"/>
      <c r="Z2739" s="4"/>
    </row>
    <row r="2740" spans="1:26" ht="24" hidden="1" customHeight="1">
      <c r="A2740" s="20">
        <v>2747</v>
      </c>
      <c r="B2740" s="1063">
        <v>42517</v>
      </c>
      <c r="C2740" s="26" t="s">
        <v>10136</v>
      </c>
      <c r="D2740" s="11" t="s">
        <v>6</v>
      </c>
      <c r="E2740" s="26" t="s">
        <v>2722</v>
      </c>
      <c r="F2740" s="26" t="s">
        <v>1569</v>
      </c>
      <c r="G2740" s="284" t="s">
        <v>10137</v>
      </c>
      <c r="H2740" s="284" t="s">
        <v>3612</v>
      </c>
      <c r="I2740" s="26" t="s">
        <v>1144</v>
      </c>
      <c r="J2740" s="284" t="s">
        <v>3613</v>
      </c>
      <c r="K2740" s="284" t="s">
        <v>3614</v>
      </c>
      <c r="L2740" s="26"/>
      <c r="M2740" s="26">
        <v>3</v>
      </c>
      <c r="N2740" s="26">
        <v>1</v>
      </c>
      <c r="O2740" s="26">
        <v>5</v>
      </c>
      <c r="P2740" s="26">
        <v>0</v>
      </c>
      <c r="Q2740" s="669">
        <v>2</v>
      </c>
      <c r="R2740" s="1209">
        <v>264</v>
      </c>
      <c r="S2740" s="1282">
        <f t="shared" si="152"/>
        <v>1320</v>
      </c>
      <c r="T2740" s="26" t="s">
        <v>8074</v>
      </c>
      <c r="U2740" s="1859" t="s">
        <v>10138</v>
      </c>
      <c r="V2740" s="26" t="s">
        <v>352</v>
      </c>
      <c r="W2740" s="2074" t="s">
        <v>3615</v>
      </c>
      <c r="X2740" s="18"/>
      <c r="Y2740" s="4"/>
      <c r="Z2740" s="4"/>
    </row>
    <row r="2741" spans="1:26" ht="14.1" hidden="1">
      <c r="A2741" s="20">
        <v>2748</v>
      </c>
      <c r="B2741" s="1063">
        <v>42518</v>
      </c>
      <c r="C2741" s="26" t="s">
        <v>10139</v>
      </c>
      <c r="D2741" s="11" t="s">
        <v>6</v>
      </c>
      <c r="E2741" s="26" t="s">
        <v>2722</v>
      </c>
      <c r="F2741" s="26" t="s">
        <v>1569</v>
      </c>
      <c r="G2741" s="284" t="s">
        <v>10140</v>
      </c>
      <c r="H2741" s="284" t="s">
        <v>3612</v>
      </c>
      <c r="I2741" s="26" t="s">
        <v>1144</v>
      </c>
      <c r="J2741" s="284" t="s">
        <v>10141</v>
      </c>
      <c r="K2741" s="284" t="s">
        <v>10142</v>
      </c>
      <c r="L2741" s="26"/>
      <c r="M2741" s="26">
        <v>6</v>
      </c>
      <c r="N2741" s="26">
        <v>1</v>
      </c>
      <c r="O2741" s="26">
        <v>10</v>
      </c>
      <c r="P2741" s="26">
        <v>0</v>
      </c>
      <c r="Q2741" s="669">
        <f t="shared" ref="Q2741:Q2782" si="153">O2741-M2741</f>
        <v>4</v>
      </c>
      <c r="R2741" s="1209">
        <v>292.89999999999998</v>
      </c>
      <c r="S2741" s="1282">
        <f t="shared" si="152"/>
        <v>2929</v>
      </c>
      <c r="T2741" s="26" t="s">
        <v>8074</v>
      </c>
      <c r="U2741" s="1859" t="s">
        <v>10138</v>
      </c>
      <c r="V2741" s="26" t="s">
        <v>352</v>
      </c>
      <c r="W2741" s="2074" t="s">
        <v>10143</v>
      </c>
      <c r="X2741" s="18"/>
      <c r="Y2741" s="4"/>
      <c r="Z2741" s="4"/>
    </row>
    <row r="2742" spans="1:26" ht="14.1" hidden="1">
      <c r="A2742" s="20">
        <v>2749</v>
      </c>
      <c r="B2742" s="1063">
        <v>42519</v>
      </c>
      <c r="C2742" s="26" t="s">
        <v>10144</v>
      </c>
      <c r="D2742" s="11" t="s">
        <v>6</v>
      </c>
      <c r="E2742" s="26" t="s">
        <v>2722</v>
      </c>
      <c r="F2742" s="26" t="s">
        <v>1569</v>
      </c>
      <c r="G2742" s="284" t="s">
        <v>10145</v>
      </c>
      <c r="H2742" s="284" t="s">
        <v>10146</v>
      </c>
      <c r="I2742" s="26" t="s">
        <v>1144</v>
      </c>
      <c r="J2742" s="284" t="s">
        <v>10147</v>
      </c>
      <c r="K2742" s="284" t="s">
        <v>10148</v>
      </c>
      <c r="L2742" s="26"/>
      <c r="M2742" s="26">
        <v>10</v>
      </c>
      <c r="N2742" s="26">
        <v>1</v>
      </c>
      <c r="O2742" s="26">
        <v>10</v>
      </c>
      <c r="P2742" s="26">
        <v>0</v>
      </c>
      <c r="Q2742" s="669">
        <f t="shared" si="153"/>
        <v>0</v>
      </c>
      <c r="R2742" s="1209">
        <v>20.399999999999999</v>
      </c>
      <c r="S2742" s="1282">
        <f t="shared" si="152"/>
        <v>204</v>
      </c>
      <c r="T2742" s="26" t="s">
        <v>8074</v>
      </c>
      <c r="U2742" s="1859" t="s">
        <v>10138</v>
      </c>
      <c r="V2742" s="26" t="s">
        <v>352</v>
      </c>
      <c r="W2742" s="2074" t="s">
        <v>10149</v>
      </c>
      <c r="X2742" s="18"/>
      <c r="Y2742" s="4"/>
      <c r="Z2742" s="4"/>
    </row>
    <row r="2743" spans="1:26" ht="24.95" hidden="1">
      <c r="A2743" s="20">
        <v>2750</v>
      </c>
      <c r="B2743" s="1063">
        <v>42520</v>
      </c>
      <c r="C2743" s="26" t="s">
        <v>10150</v>
      </c>
      <c r="D2743" s="11" t="s">
        <v>6</v>
      </c>
      <c r="E2743" s="26" t="s">
        <v>2722</v>
      </c>
      <c r="F2743" s="26" t="s">
        <v>1569</v>
      </c>
      <c r="G2743" s="284" t="s">
        <v>10151</v>
      </c>
      <c r="H2743" s="284" t="s">
        <v>2060</v>
      </c>
      <c r="I2743" s="26" t="s">
        <v>1144</v>
      </c>
      <c r="J2743" s="284" t="s">
        <v>10152</v>
      </c>
      <c r="K2743" s="284" t="s">
        <v>10153</v>
      </c>
      <c r="L2743" s="26"/>
      <c r="M2743" s="26">
        <v>5</v>
      </c>
      <c r="N2743" s="26">
        <v>1</v>
      </c>
      <c r="O2743" s="26">
        <v>5</v>
      </c>
      <c r="P2743" s="26">
        <v>0</v>
      </c>
      <c r="Q2743" s="669">
        <f t="shared" si="153"/>
        <v>0</v>
      </c>
      <c r="R2743" s="1209">
        <v>183</v>
      </c>
      <c r="S2743" s="1282">
        <f t="shared" si="152"/>
        <v>915</v>
      </c>
      <c r="T2743" s="26" t="s">
        <v>8074</v>
      </c>
      <c r="U2743" s="1859" t="s">
        <v>10138</v>
      </c>
      <c r="V2743" s="26" t="s">
        <v>352</v>
      </c>
      <c r="W2743" s="2008" t="s">
        <v>10154</v>
      </c>
      <c r="X2743" s="18"/>
      <c r="Y2743" s="4"/>
      <c r="Z2743" s="4"/>
    </row>
    <row r="2744" spans="1:26" ht="14.1" hidden="1">
      <c r="A2744" s="20">
        <v>2751</v>
      </c>
      <c r="B2744" s="1063">
        <v>42521</v>
      </c>
      <c r="C2744" s="26" t="s">
        <v>10155</v>
      </c>
      <c r="D2744" s="11" t="s">
        <v>6</v>
      </c>
      <c r="E2744" s="26" t="s">
        <v>2722</v>
      </c>
      <c r="F2744" s="26" t="s">
        <v>1569</v>
      </c>
      <c r="G2744" s="26" t="s">
        <v>2030</v>
      </c>
      <c r="H2744" s="237" t="s">
        <v>752</v>
      </c>
      <c r="I2744" s="26" t="s">
        <v>10156</v>
      </c>
      <c r="J2744" s="26" t="s">
        <v>10157</v>
      </c>
      <c r="K2744" s="26" t="s">
        <v>2030</v>
      </c>
      <c r="L2744" s="26" t="s">
        <v>1</v>
      </c>
      <c r="M2744" s="26">
        <v>1</v>
      </c>
      <c r="N2744" s="26">
        <v>1</v>
      </c>
      <c r="O2744" s="26">
        <v>2</v>
      </c>
      <c r="P2744" s="26">
        <v>0</v>
      </c>
      <c r="Q2744" s="669">
        <f t="shared" si="153"/>
        <v>1</v>
      </c>
      <c r="R2744" s="1209">
        <v>3000</v>
      </c>
      <c r="S2744" s="1282">
        <f t="shared" si="152"/>
        <v>6000</v>
      </c>
      <c r="T2744" s="26" t="s">
        <v>8074</v>
      </c>
      <c r="U2744" s="1859" t="s">
        <v>1886</v>
      </c>
      <c r="V2744" s="26" t="s">
        <v>352</v>
      </c>
      <c r="W2744" s="2074" t="s">
        <v>10158</v>
      </c>
      <c r="X2744" s="18"/>
      <c r="Y2744" s="4"/>
      <c r="Z2744" s="4"/>
    </row>
    <row r="2745" spans="1:26" ht="24.95" hidden="1">
      <c r="A2745" s="20">
        <v>2752</v>
      </c>
      <c r="B2745" s="1063">
        <v>42522</v>
      </c>
      <c r="C2745" s="26" t="s">
        <v>10159</v>
      </c>
      <c r="D2745" s="11" t="s">
        <v>6</v>
      </c>
      <c r="E2745" s="26" t="s">
        <v>2722</v>
      </c>
      <c r="F2745" s="26" t="s">
        <v>1569</v>
      </c>
      <c r="G2745" s="26" t="s">
        <v>10160</v>
      </c>
      <c r="H2745" s="237"/>
      <c r="I2745" s="26" t="s">
        <v>4148</v>
      </c>
      <c r="J2745" s="192" t="s">
        <v>10161</v>
      </c>
      <c r="K2745" s="26" t="s">
        <v>4149</v>
      </c>
      <c r="L2745" s="26"/>
      <c r="M2745" s="26">
        <v>1</v>
      </c>
      <c r="N2745" s="26">
        <v>1</v>
      </c>
      <c r="O2745" s="26">
        <v>1</v>
      </c>
      <c r="P2745" s="26">
        <v>0</v>
      </c>
      <c r="Q2745" s="669">
        <f t="shared" si="153"/>
        <v>0</v>
      </c>
      <c r="R2745" s="1209">
        <v>4989</v>
      </c>
      <c r="S2745" s="1282">
        <f t="shared" si="152"/>
        <v>4989</v>
      </c>
      <c r="T2745" s="26" t="s">
        <v>8074</v>
      </c>
      <c r="U2745" s="1859" t="s">
        <v>4125</v>
      </c>
      <c r="V2745" s="26" t="s">
        <v>352</v>
      </c>
      <c r="W2745" s="2074" t="s">
        <v>10162</v>
      </c>
      <c r="X2745" s="18"/>
      <c r="Y2745" s="4"/>
      <c r="Z2745" s="4"/>
    </row>
    <row r="2746" spans="1:26" ht="14.1" hidden="1">
      <c r="A2746" s="20">
        <v>2753</v>
      </c>
      <c r="B2746" s="1063">
        <v>42523</v>
      </c>
      <c r="C2746" s="26" t="s">
        <v>10163</v>
      </c>
      <c r="D2746" s="11" t="s">
        <v>6</v>
      </c>
      <c r="E2746" s="26" t="s">
        <v>2722</v>
      </c>
      <c r="F2746" s="26" t="s">
        <v>1569</v>
      </c>
      <c r="G2746" s="26" t="s">
        <v>5468</v>
      </c>
      <c r="H2746" s="237" t="s">
        <v>5469</v>
      </c>
      <c r="I2746" s="26" t="s">
        <v>1144</v>
      </c>
      <c r="J2746" s="26" t="s">
        <v>5470</v>
      </c>
      <c r="K2746" s="26" t="s">
        <v>5471</v>
      </c>
      <c r="L2746" s="26" t="s">
        <v>1</v>
      </c>
      <c r="M2746" s="26">
        <v>1</v>
      </c>
      <c r="N2746" s="26">
        <v>1</v>
      </c>
      <c r="O2746" s="26">
        <v>2</v>
      </c>
      <c r="P2746" s="26">
        <v>0</v>
      </c>
      <c r="Q2746" s="669">
        <f t="shared" si="153"/>
        <v>1</v>
      </c>
      <c r="R2746" s="1209">
        <v>2400</v>
      </c>
      <c r="S2746" s="1282">
        <f t="shared" si="152"/>
        <v>4800</v>
      </c>
      <c r="T2746" s="26" t="s">
        <v>8074</v>
      </c>
      <c r="U2746" s="1859" t="s">
        <v>5897</v>
      </c>
      <c r="V2746" s="26" t="s">
        <v>352</v>
      </c>
      <c r="W2746" s="2074" t="s">
        <v>5472</v>
      </c>
      <c r="X2746" s="18"/>
      <c r="Y2746" s="4"/>
      <c r="Z2746" s="4"/>
    </row>
    <row r="2747" spans="1:26" ht="14.1" hidden="1">
      <c r="A2747" s="20">
        <v>2754</v>
      </c>
      <c r="B2747" s="1063">
        <v>42524</v>
      </c>
      <c r="C2747" s="26" t="s">
        <v>10164</v>
      </c>
      <c r="D2747" s="11" t="s">
        <v>6</v>
      </c>
      <c r="E2747" s="26" t="s">
        <v>2722</v>
      </c>
      <c r="F2747" s="26" t="s">
        <v>1569</v>
      </c>
      <c r="G2747" s="26" t="s">
        <v>4579</v>
      </c>
      <c r="H2747" s="237" t="s">
        <v>133</v>
      </c>
      <c r="I2747" s="26" t="s">
        <v>133</v>
      </c>
      <c r="J2747" s="26" t="s">
        <v>4580</v>
      </c>
      <c r="K2747" s="26" t="s">
        <v>4580</v>
      </c>
      <c r="L2747" s="26"/>
      <c r="M2747" s="26">
        <v>1</v>
      </c>
      <c r="N2747" s="26">
        <v>1</v>
      </c>
      <c r="O2747" s="26">
        <v>1</v>
      </c>
      <c r="P2747" s="26">
        <v>0</v>
      </c>
      <c r="Q2747" s="669">
        <f t="shared" si="153"/>
        <v>0</v>
      </c>
      <c r="R2747" s="1209">
        <v>7000</v>
      </c>
      <c r="S2747" s="1282">
        <f t="shared" si="152"/>
        <v>7000</v>
      </c>
      <c r="T2747" s="26" t="s">
        <v>8074</v>
      </c>
      <c r="U2747" s="1859" t="s">
        <v>3282</v>
      </c>
      <c r="V2747" s="26" t="s">
        <v>352</v>
      </c>
      <c r="W2747" s="2074" t="s">
        <v>10165</v>
      </c>
      <c r="X2747" s="18"/>
      <c r="Y2747" s="4"/>
      <c r="Z2747" s="4"/>
    </row>
    <row r="2748" spans="1:26" ht="14.1" hidden="1">
      <c r="A2748" s="20">
        <v>2755</v>
      </c>
      <c r="B2748" s="1063">
        <v>42525</v>
      </c>
      <c r="C2748" s="26" t="s">
        <v>10166</v>
      </c>
      <c r="D2748" s="11" t="s">
        <v>6</v>
      </c>
      <c r="E2748" s="26" t="s">
        <v>2722</v>
      </c>
      <c r="F2748" s="26" t="s">
        <v>1569</v>
      </c>
      <c r="G2748" s="26" t="s">
        <v>3984</v>
      </c>
      <c r="H2748" s="237" t="s">
        <v>3979</v>
      </c>
      <c r="I2748" s="26" t="s">
        <v>3979</v>
      </c>
      <c r="J2748" s="26"/>
      <c r="K2748" s="26" t="s">
        <v>3985</v>
      </c>
      <c r="L2748" s="26"/>
      <c r="M2748" s="26">
        <v>8</v>
      </c>
      <c r="N2748" s="26">
        <v>50</v>
      </c>
      <c r="O2748" s="26">
        <v>50</v>
      </c>
      <c r="P2748" s="26">
        <v>0</v>
      </c>
      <c r="Q2748" s="669">
        <f t="shared" si="153"/>
        <v>42</v>
      </c>
      <c r="R2748" s="1209">
        <v>15</v>
      </c>
      <c r="S2748" s="1282">
        <f t="shared" si="152"/>
        <v>750</v>
      </c>
      <c r="T2748" s="26" t="s">
        <v>8074</v>
      </c>
      <c r="U2748" s="1859" t="s">
        <v>301</v>
      </c>
      <c r="V2748" s="26" t="s">
        <v>352</v>
      </c>
      <c r="W2748" s="2074" t="s">
        <v>10167</v>
      </c>
      <c r="X2748" s="18"/>
      <c r="Y2748" s="4"/>
      <c r="Z2748" s="4"/>
    </row>
    <row r="2749" spans="1:26" ht="14.1" hidden="1">
      <c r="A2749" s="20">
        <v>2756</v>
      </c>
      <c r="B2749" s="1063">
        <v>42526</v>
      </c>
      <c r="C2749" s="26" t="s">
        <v>10168</v>
      </c>
      <c r="D2749" s="11" t="s">
        <v>6</v>
      </c>
      <c r="E2749" s="26" t="s">
        <v>2722</v>
      </c>
      <c r="F2749" s="26" t="s">
        <v>1569</v>
      </c>
      <c r="G2749" s="26" t="s">
        <v>2622</v>
      </c>
      <c r="H2749" s="237" t="s">
        <v>3979</v>
      </c>
      <c r="I2749" s="26" t="s">
        <v>3979</v>
      </c>
      <c r="J2749" s="26" t="s">
        <v>2622</v>
      </c>
      <c r="K2749" s="26"/>
      <c r="L2749" s="26"/>
      <c r="M2749" s="26">
        <v>4</v>
      </c>
      <c r="N2749" s="26">
        <v>50</v>
      </c>
      <c r="O2749" s="26">
        <v>50</v>
      </c>
      <c r="P2749" s="26">
        <v>0</v>
      </c>
      <c r="Q2749" s="669">
        <f t="shared" si="153"/>
        <v>46</v>
      </c>
      <c r="R2749" s="1209">
        <v>8</v>
      </c>
      <c r="S2749" s="1282">
        <f t="shared" si="152"/>
        <v>400</v>
      </c>
      <c r="T2749" s="26" t="s">
        <v>8074</v>
      </c>
      <c r="U2749" s="1859" t="s">
        <v>2593</v>
      </c>
      <c r="V2749" s="26" t="s">
        <v>352</v>
      </c>
      <c r="W2749" s="2074" t="s">
        <v>10167</v>
      </c>
      <c r="X2749" s="18"/>
      <c r="Y2749" s="4"/>
      <c r="Z2749" s="4"/>
    </row>
    <row r="2750" spans="1:26" ht="14.1" hidden="1">
      <c r="A2750" s="20">
        <v>2757</v>
      </c>
      <c r="B2750" s="1063">
        <v>42527</v>
      </c>
      <c r="C2750" s="26" t="s">
        <v>10169</v>
      </c>
      <c r="D2750" s="11" t="s">
        <v>6</v>
      </c>
      <c r="E2750" s="26" t="s">
        <v>2722</v>
      </c>
      <c r="F2750" s="26" t="s">
        <v>1569</v>
      </c>
      <c r="G2750" s="26" t="s">
        <v>3986</v>
      </c>
      <c r="H2750" s="237" t="s">
        <v>3979</v>
      </c>
      <c r="I2750" s="26" t="s">
        <v>3979</v>
      </c>
      <c r="J2750" s="26"/>
      <c r="K2750" s="26" t="s">
        <v>3987</v>
      </c>
      <c r="L2750" s="26"/>
      <c r="M2750" s="26">
        <v>8</v>
      </c>
      <c r="N2750" s="26">
        <v>50</v>
      </c>
      <c r="O2750" s="26">
        <v>50</v>
      </c>
      <c r="P2750" s="26">
        <v>0</v>
      </c>
      <c r="Q2750" s="669">
        <f t="shared" si="153"/>
        <v>42</v>
      </c>
      <c r="R2750" s="1209">
        <v>7</v>
      </c>
      <c r="S2750" s="1282">
        <f t="shared" si="152"/>
        <v>350</v>
      </c>
      <c r="T2750" s="26" t="s">
        <v>8074</v>
      </c>
      <c r="U2750" s="1859" t="s">
        <v>301</v>
      </c>
      <c r="V2750" s="26" t="s">
        <v>352</v>
      </c>
      <c r="W2750" s="2074" t="s">
        <v>10167</v>
      </c>
      <c r="X2750" s="18"/>
      <c r="Y2750" s="4"/>
      <c r="Z2750" s="4"/>
    </row>
    <row r="2751" spans="1:26" ht="14.1" hidden="1">
      <c r="A2751" s="20">
        <v>2758</v>
      </c>
      <c r="B2751" s="1063">
        <v>42528</v>
      </c>
      <c r="C2751" s="26" t="s">
        <v>10170</v>
      </c>
      <c r="D2751" s="11" t="s">
        <v>6</v>
      </c>
      <c r="E2751" s="26" t="s">
        <v>2722</v>
      </c>
      <c r="F2751" s="26" t="s">
        <v>1569</v>
      </c>
      <c r="G2751" s="26" t="s">
        <v>10171</v>
      </c>
      <c r="H2751" s="237" t="s">
        <v>3979</v>
      </c>
      <c r="I2751" s="26" t="s">
        <v>3979</v>
      </c>
      <c r="J2751" s="26"/>
      <c r="K2751" s="26" t="s">
        <v>10172</v>
      </c>
      <c r="L2751" s="26"/>
      <c r="M2751" s="26">
        <v>8</v>
      </c>
      <c r="N2751" s="26">
        <v>50</v>
      </c>
      <c r="O2751" s="26">
        <v>50</v>
      </c>
      <c r="P2751" s="26">
        <v>0</v>
      </c>
      <c r="Q2751" s="669">
        <f t="shared" si="153"/>
        <v>42</v>
      </c>
      <c r="R2751" s="1209">
        <v>9</v>
      </c>
      <c r="S2751" s="1282">
        <f t="shared" si="152"/>
        <v>450</v>
      </c>
      <c r="T2751" s="26" t="s">
        <v>8074</v>
      </c>
      <c r="U2751" s="1859" t="s">
        <v>301</v>
      </c>
      <c r="V2751" s="26" t="s">
        <v>352</v>
      </c>
      <c r="W2751" s="2074" t="s">
        <v>10167</v>
      </c>
      <c r="X2751" s="18"/>
      <c r="Y2751" s="4"/>
      <c r="Z2751" s="4"/>
    </row>
    <row r="2752" spans="1:26" ht="14.1" hidden="1">
      <c r="A2752" s="20">
        <v>2759</v>
      </c>
      <c r="B2752" s="1063">
        <v>42529</v>
      </c>
      <c r="C2752" s="26" t="s">
        <v>10173</v>
      </c>
      <c r="D2752" s="11" t="s">
        <v>6</v>
      </c>
      <c r="E2752" s="26" t="s">
        <v>2722</v>
      </c>
      <c r="F2752" s="26" t="s">
        <v>1569</v>
      </c>
      <c r="G2752" s="26" t="s">
        <v>10174</v>
      </c>
      <c r="H2752" s="237" t="s">
        <v>9182</v>
      </c>
      <c r="I2752" s="26" t="s">
        <v>3979</v>
      </c>
      <c r="J2752" s="26" t="s">
        <v>9207</v>
      </c>
      <c r="K2752" s="26" t="s">
        <v>9207</v>
      </c>
      <c r="L2752" s="26"/>
      <c r="M2752" s="26">
        <v>4</v>
      </c>
      <c r="N2752" s="26">
        <v>50</v>
      </c>
      <c r="O2752" s="26">
        <v>50</v>
      </c>
      <c r="P2752" s="26">
        <v>0</v>
      </c>
      <c r="Q2752" s="669">
        <f t="shared" si="153"/>
        <v>46</v>
      </c>
      <c r="R2752" s="1209">
        <v>9</v>
      </c>
      <c r="S2752" s="1282">
        <f t="shared" si="152"/>
        <v>450</v>
      </c>
      <c r="T2752" s="26" t="s">
        <v>8074</v>
      </c>
      <c r="U2752" s="1859" t="s">
        <v>9101</v>
      </c>
      <c r="V2752" s="26" t="s">
        <v>352</v>
      </c>
      <c r="W2752" s="2074" t="s">
        <v>10167</v>
      </c>
      <c r="X2752" s="18"/>
      <c r="Y2752" s="4"/>
      <c r="Z2752" s="4"/>
    </row>
    <row r="2753" spans="1:26" ht="14.1" hidden="1">
      <c r="A2753" s="20">
        <v>2760</v>
      </c>
      <c r="B2753" s="1063">
        <v>42530</v>
      </c>
      <c r="C2753" s="26" t="s">
        <v>10175</v>
      </c>
      <c r="D2753" s="11" t="s">
        <v>6</v>
      </c>
      <c r="E2753" s="26" t="s">
        <v>2722</v>
      </c>
      <c r="F2753" s="26" t="s">
        <v>1569</v>
      </c>
      <c r="G2753" s="26" t="s">
        <v>10176</v>
      </c>
      <c r="H2753" s="237" t="s">
        <v>9182</v>
      </c>
      <c r="I2753" s="26" t="s">
        <v>3979</v>
      </c>
      <c r="J2753" s="26" t="s">
        <v>9213</v>
      </c>
      <c r="K2753" s="26" t="s">
        <v>9213</v>
      </c>
      <c r="L2753" s="26"/>
      <c r="M2753" s="26">
        <v>4</v>
      </c>
      <c r="N2753" s="26">
        <v>50</v>
      </c>
      <c r="O2753" s="26">
        <v>50</v>
      </c>
      <c r="P2753" s="26">
        <v>0</v>
      </c>
      <c r="Q2753" s="669">
        <f t="shared" si="153"/>
        <v>46</v>
      </c>
      <c r="R2753" s="1209">
        <v>7</v>
      </c>
      <c r="S2753" s="1282">
        <f t="shared" si="152"/>
        <v>350</v>
      </c>
      <c r="T2753" s="26" t="s">
        <v>8074</v>
      </c>
      <c r="U2753" s="1859" t="s">
        <v>9101</v>
      </c>
      <c r="V2753" s="26" t="s">
        <v>352</v>
      </c>
      <c r="W2753" s="2074" t="s">
        <v>10167</v>
      </c>
      <c r="X2753" s="18"/>
      <c r="Y2753" s="4"/>
      <c r="Z2753" s="4"/>
    </row>
    <row r="2754" spans="1:26" ht="14.1" hidden="1">
      <c r="A2754" s="20">
        <v>2761</v>
      </c>
      <c r="B2754" s="1063">
        <v>42531</v>
      </c>
      <c r="C2754" s="26" t="s">
        <v>10177</v>
      </c>
      <c r="D2754" s="11" t="s">
        <v>6</v>
      </c>
      <c r="E2754" s="26" t="s">
        <v>2722</v>
      </c>
      <c r="F2754" s="26" t="s">
        <v>1569</v>
      </c>
      <c r="G2754" s="26" t="s">
        <v>3988</v>
      </c>
      <c r="H2754" s="237" t="s">
        <v>3979</v>
      </c>
      <c r="I2754" s="26" t="s">
        <v>3979</v>
      </c>
      <c r="J2754" s="26" t="s">
        <v>3989</v>
      </c>
      <c r="K2754" s="26" t="s">
        <v>3989</v>
      </c>
      <c r="L2754" s="26"/>
      <c r="M2754" s="26">
        <v>4</v>
      </c>
      <c r="N2754" s="26">
        <v>50</v>
      </c>
      <c r="O2754" s="26">
        <v>50</v>
      </c>
      <c r="P2754" s="26">
        <v>0</v>
      </c>
      <c r="Q2754" s="669">
        <f t="shared" si="153"/>
        <v>46</v>
      </c>
      <c r="R2754" s="1209">
        <v>9</v>
      </c>
      <c r="S2754" s="1282">
        <f t="shared" si="152"/>
        <v>450</v>
      </c>
      <c r="T2754" s="26" t="s">
        <v>8074</v>
      </c>
      <c r="U2754" s="1859" t="s">
        <v>301</v>
      </c>
      <c r="V2754" s="26" t="s">
        <v>352</v>
      </c>
      <c r="W2754" s="2074" t="s">
        <v>10167</v>
      </c>
      <c r="X2754" s="18"/>
      <c r="Y2754" s="4"/>
      <c r="Z2754" s="4"/>
    </row>
    <row r="2755" spans="1:26" ht="14.1" hidden="1">
      <c r="A2755" s="20">
        <v>2762</v>
      </c>
      <c r="B2755" s="1063">
        <v>42532</v>
      </c>
      <c r="C2755" s="26" t="s">
        <v>10178</v>
      </c>
      <c r="D2755" s="11" t="s">
        <v>6</v>
      </c>
      <c r="E2755" s="26" t="s">
        <v>2722</v>
      </c>
      <c r="F2755" s="26" t="s">
        <v>1569</v>
      </c>
      <c r="G2755" s="26" t="s">
        <v>2628</v>
      </c>
      <c r="H2755" s="237" t="s">
        <v>3979</v>
      </c>
      <c r="I2755" s="26" t="s">
        <v>3979</v>
      </c>
      <c r="J2755" s="26" t="s">
        <v>2628</v>
      </c>
      <c r="K2755" s="26"/>
      <c r="L2755" s="26"/>
      <c r="M2755" s="26">
        <v>8</v>
      </c>
      <c r="N2755" s="26">
        <v>50</v>
      </c>
      <c r="O2755" s="26">
        <v>50</v>
      </c>
      <c r="P2755" s="26">
        <v>0</v>
      </c>
      <c r="Q2755" s="669">
        <f t="shared" si="153"/>
        <v>42</v>
      </c>
      <c r="R2755" s="1209">
        <v>9</v>
      </c>
      <c r="S2755" s="1282">
        <f t="shared" si="152"/>
        <v>450</v>
      </c>
      <c r="T2755" s="26" t="s">
        <v>8074</v>
      </c>
      <c r="U2755" s="1859" t="s">
        <v>301</v>
      </c>
      <c r="V2755" s="26" t="s">
        <v>352</v>
      </c>
      <c r="W2755" s="2074" t="s">
        <v>10167</v>
      </c>
      <c r="X2755" s="18"/>
      <c r="Y2755" s="4"/>
      <c r="Z2755" s="4"/>
    </row>
    <row r="2756" spans="1:26" ht="14.1" hidden="1">
      <c r="A2756" s="20">
        <v>2763</v>
      </c>
      <c r="B2756" s="1063">
        <v>42533</v>
      </c>
      <c r="C2756" s="26" t="s">
        <v>10179</v>
      </c>
      <c r="D2756" s="11" t="s">
        <v>6</v>
      </c>
      <c r="E2756" s="26" t="s">
        <v>2722</v>
      </c>
      <c r="F2756" s="26" t="s">
        <v>1569</v>
      </c>
      <c r="G2756" s="26" t="s">
        <v>10180</v>
      </c>
      <c r="H2756" s="237" t="s">
        <v>3979</v>
      </c>
      <c r="I2756" s="26" t="s">
        <v>3979</v>
      </c>
      <c r="J2756" s="26" t="s">
        <v>10181</v>
      </c>
      <c r="K2756" s="26" t="s">
        <v>10181</v>
      </c>
      <c r="L2756" s="26"/>
      <c r="M2756" s="26">
        <v>8</v>
      </c>
      <c r="N2756" s="26">
        <v>50</v>
      </c>
      <c r="O2756" s="26">
        <v>50</v>
      </c>
      <c r="P2756" s="26">
        <v>0</v>
      </c>
      <c r="Q2756" s="669">
        <f t="shared" si="153"/>
        <v>42</v>
      </c>
      <c r="R2756" s="1209">
        <v>9</v>
      </c>
      <c r="S2756" s="1282">
        <f t="shared" si="152"/>
        <v>450</v>
      </c>
      <c r="T2756" s="26" t="s">
        <v>8074</v>
      </c>
      <c r="U2756" s="1859" t="s">
        <v>301</v>
      </c>
      <c r="V2756" s="26" t="s">
        <v>352</v>
      </c>
      <c r="W2756" s="2074" t="s">
        <v>10167</v>
      </c>
      <c r="X2756" s="18"/>
      <c r="Y2756" s="4"/>
      <c r="Z2756" s="4"/>
    </row>
    <row r="2757" spans="1:26" ht="14.1" hidden="1">
      <c r="A2757" s="20">
        <v>2764</v>
      </c>
      <c r="B2757" s="1063">
        <v>42534</v>
      </c>
      <c r="C2757" s="139" t="s">
        <v>10182</v>
      </c>
      <c r="D2757" s="231" t="s">
        <v>6</v>
      </c>
      <c r="E2757" s="139" t="s">
        <v>2722</v>
      </c>
      <c r="F2757" s="139" t="s">
        <v>1569</v>
      </c>
      <c r="G2757" s="139" t="s">
        <v>990</v>
      </c>
      <c r="H2757" s="269" t="s">
        <v>429</v>
      </c>
      <c r="I2757" s="139" t="s">
        <v>429</v>
      </c>
      <c r="J2757" s="139" t="s">
        <v>990</v>
      </c>
      <c r="K2757" s="139"/>
      <c r="L2757" s="139"/>
      <c r="M2757" s="139">
        <v>6</v>
      </c>
      <c r="N2757" s="139">
        <v>50</v>
      </c>
      <c r="O2757" s="139">
        <v>50</v>
      </c>
      <c r="P2757" s="139">
        <v>0</v>
      </c>
      <c r="Q2757" s="691">
        <f t="shared" si="153"/>
        <v>44</v>
      </c>
      <c r="R2757" s="1234">
        <v>197</v>
      </c>
      <c r="S2757" s="1287">
        <f t="shared" si="152"/>
        <v>9850</v>
      </c>
      <c r="T2757" s="139" t="s">
        <v>8074</v>
      </c>
      <c r="U2757" s="1861" t="s">
        <v>301</v>
      </c>
      <c r="V2757" s="139" t="s">
        <v>352</v>
      </c>
      <c r="W2757" s="2100" t="s">
        <v>2636</v>
      </c>
      <c r="X2757" s="56"/>
      <c r="Y2757" s="57"/>
      <c r="Z2757" s="57"/>
    </row>
    <row r="2758" spans="1:26" ht="14.1" hidden="1">
      <c r="A2758" s="20">
        <v>2765</v>
      </c>
      <c r="B2758" s="1063">
        <v>42535</v>
      </c>
      <c r="C2758" s="26" t="s">
        <v>10183</v>
      </c>
      <c r="D2758" s="11" t="s">
        <v>6</v>
      </c>
      <c r="E2758" s="26" t="s">
        <v>2722</v>
      </c>
      <c r="F2758" s="26" t="s">
        <v>1569</v>
      </c>
      <c r="G2758" s="26" t="s">
        <v>2737</v>
      </c>
      <c r="H2758" s="237" t="s">
        <v>366</v>
      </c>
      <c r="I2758" s="26" t="s">
        <v>366</v>
      </c>
      <c r="J2758" s="26" t="s">
        <v>2737</v>
      </c>
      <c r="K2758" s="26"/>
      <c r="L2758" s="26"/>
      <c r="M2758" s="26">
        <v>32</v>
      </c>
      <c r="N2758" s="26">
        <v>1</v>
      </c>
      <c r="O2758" s="26">
        <v>48</v>
      </c>
      <c r="P2758" s="26">
        <v>0</v>
      </c>
      <c r="Q2758" s="669">
        <f t="shared" si="153"/>
        <v>16</v>
      </c>
      <c r="R2758" s="1209">
        <v>203</v>
      </c>
      <c r="S2758" s="1282">
        <f t="shared" si="152"/>
        <v>9744</v>
      </c>
      <c r="T2758" s="26" t="s">
        <v>8074</v>
      </c>
      <c r="U2758" s="1859" t="s">
        <v>301</v>
      </c>
      <c r="V2758" s="26" t="s">
        <v>352</v>
      </c>
      <c r="W2758" s="2074" t="s">
        <v>4723</v>
      </c>
      <c r="X2758" s="18"/>
      <c r="Y2758" s="4"/>
      <c r="Z2758" s="4"/>
    </row>
    <row r="2759" spans="1:26" ht="14.1" hidden="1">
      <c r="A2759" s="20">
        <v>2766</v>
      </c>
      <c r="B2759" s="1063">
        <v>42536</v>
      </c>
      <c r="C2759" s="26" t="s">
        <v>10184</v>
      </c>
      <c r="D2759" s="11" t="s">
        <v>6</v>
      </c>
      <c r="E2759" s="26" t="s">
        <v>2722</v>
      </c>
      <c r="F2759" s="26" t="s">
        <v>1569</v>
      </c>
      <c r="G2759" s="26" t="s">
        <v>5537</v>
      </c>
      <c r="H2759" s="237" t="s">
        <v>366</v>
      </c>
      <c r="I2759" s="26" t="s">
        <v>366</v>
      </c>
      <c r="J2759" s="26" t="s">
        <v>5537</v>
      </c>
      <c r="K2759" s="26"/>
      <c r="L2759" s="26"/>
      <c r="M2759" s="26">
        <v>2</v>
      </c>
      <c r="N2759" s="26">
        <v>1</v>
      </c>
      <c r="O2759" s="26">
        <v>10</v>
      </c>
      <c r="P2759" s="26">
        <v>0</v>
      </c>
      <c r="Q2759" s="669">
        <f t="shared" si="153"/>
        <v>8</v>
      </c>
      <c r="R2759" s="1209">
        <v>260</v>
      </c>
      <c r="S2759" s="1282">
        <f t="shared" si="152"/>
        <v>2600</v>
      </c>
      <c r="T2759" s="26" t="s">
        <v>8074</v>
      </c>
      <c r="U2759" s="1859" t="s">
        <v>301</v>
      </c>
      <c r="V2759" s="26" t="s">
        <v>352</v>
      </c>
      <c r="W2759" s="2074" t="s">
        <v>368</v>
      </c>
      <c r="X2759" s="18"/>
      <c r="Y2759" s="4"/>
      <c r="Z2759" s="4"/>
    </row>
    <row r="2760" spans="1:26" ht="14.1" hidden="1">
      <c r="A2760" s="20">
        <v>2767</v>
      </c>
      <c r="B2760" s="1063">
        <v>42537</v>
      </c>
      <c r="C2760" s="26" t="s">
        <v>10185</v>
      </c>
      <c r="D2760" s="11" t="s">
        <v>6</v>
      </c>
      <c r="E2760" s="26" t="s">
        <v>2722</v>
      </c>
      <c r="F2760" s="26" t="s">
        <v>1569</v>
      </c>
      <c r="G2760" s="26" t="s">
        <v>367</v>
      </c>
      <c r="H2760" s="237" t="s">
        <v>429</v>
      </c>
      <c r="I2760" s="26" t="s">
        <v>429</v>
      </c>
      <c r="J2760" s="26" t="s">
        <v>367</v>
      </c>
      <c r="K2760" s="26"/>
      <c r="L2760" s="26"/>
      <c r="M2760" s="26">
        <v>12</v>
      </c>
      <c r="N2760" s="26">
        <v>1</v>
      </c>
      <c r="O2760" s="26">
        <v>20</v>
      </c>
      <c r="P2760" s="26">
        <v>0</v>
      </c>
      <c r="Q2760" s="669">
        <f t="shared" si="153"/>
        <v>8</v>
      </c>
      <c r="R2760" s="1209">
        <v>180</v>
      </c>
      <c r="S2760" s="1282">
        <f t="shared" si="152"/>
        <v>3600</v>
      </c>
      <c r="T2760" s="26" t="s">
        <v>8074</v>
      </c>
      <c r="U2760" s="1859" t="s">
        <v>301</v>
      </c>
      <c r="V2760" s="26" t="s">
        <v>352</v>
      </c>
      <c r="W2760" s="2074" t="s">
        <v>368</v>
      </c>
      <c r="X2760" s="18"/>
      <c r="Y2760" s="4"/>
      <c r="Z2760" s="4"/>
    </row>
    <row r="2761" spans="1:26" ht="14.1" hidden="1">
      <c r="A2761" s="20">
        <v>2768</v>
      </c>
      <c r="B2761" s="1063">
        <v>42538</v>
      </c>
      <c r="C2761" s="26" t="s">
        <v>10186</v>
      </c>
      <c r="D2761" s="11" t="s">
        <v>6</v>
      </c>
      <c r="E2761" s="26" t="s">
        <v>2722</v>
      </c>
      <c r="F2761" s="26" t="s">
        <v>1569</v>
      </c>
      <c r="G2761" s="26" t="s">
        <v>370</v>
      </c>
      <c r="H2761" s="237" t="s">
        <v>429</v>
      </c>
      <c r="I2761" s="26" t="s">
        <v>429</v>
      </c>
      <c r="J2761" s="26" t="s">
        <v>370</v>
      </c>
      <c r="K2761" s="26"/>
      <c r="L2761" s="26"/>
      <c r="M2761" s="26">
        <v>18</v>
      </c>
      <c r="N2761" s="26">
        <v>1</v>
      </c>
      <c r="O2761" s="26">
        <v>30</v>
      </c>
      <c r="P2761" s="26">
        <v>0</v>
      </c>
      <c r="Q2761" s="669">
        <f t="shared" si="153"/>
        <v>12</v>
      </c>
      <c r="R2761" s="1209">
        <v>180</v>
      </c>
      <c r="S2761" s="1282">
        <f t="shared" si="152"/>
        <v>5400</v>
      </c>
      <c r="T2761" s="26" t="s">
        <v>8074</v>
      </c>
      <c r="U2761" s="1859" t="s">
        <v>301</v>
      </c>
      <c r="V2761" s="26" t="s">
        <v>352</v>
      </c>
      <c r="W2761" s="2074" t="s">
        <v>368</v>
      </c>
      <c r="X2761" s="18"/>
      <c r="Y2761" s="4"/>
      <c r="Z2761" s="4"/>
    </row>
    <row r="2762" spans="1:26" ht="51.95" hidden="1">
      <c r="A2762" s="20">
        <v>2769</v>
      </c>
      <c r="B2762" s="1063">
        <v>42539</v>
      </c>
      <c r="C2762" s="26" t="s">
        <v>10187</v>
      </c>
      <c r="D2762" s="11" t="s">
        <v>6</v>
      </c>
      <c r="E2762" s="26" t="s">
        <v>2722</v>
      </c>
      <c r="F2762" s="26" t="s">
        <v>1569</v>
      </c>
      <c r="G2762" s="18" t="s">
        <v>372</v>
      </c>
      <c r="H2762" s="18" t="s">
        <v>429</v>
      </c>
      <c r="I2762" s="18" t="s">
        <v>429</v>
      </c>
      <c r="J2762" s="18" t="s">
        <v>372</v>
      </c>
      <c r="K2762" s="18"/>
      <c r="L2762" s="18"/>
      <c r="M2762" s="18">
        <v>6</v>
      </c>
      <c r="N2762" s="18">
        <v>1</v>
      </c>
      <c r="O2762" s="18">
        <v>10</v>
      </c>
      <c r="P2762" s="26">
        <v>0</v>
      </c>
      <c r="Q2762" s="669">
        <f t="shared" si="153"/>
        <v>4</v>
      </c>
      <c r="R2762" s="1215">
        <v>250</v>
      </c>
      <c r="S2762" s="1282">
        <f t="shared" si="152"/>
        <v>2500</v>
      </c>
      <c r="T2762" s="26" t="s">
        <v>8074</v>
      </c>
      <c r="U2762" s="1859" t="s">
        <v>301</v>
      </c>
      <c r="V2762" s="26" t="s">
        <v>352</v>
      </c>
      <c r="W2762" s="2021" t="s">
        <v>2614</v>
      </c>
      <c r="X2762" s="18"/>
      <c r="Y2762" s="4"/>
      <c r="Z2762" s="4"/>
    </row>
    <row r="2763" spans="1:26" ht="16.5" hidden="1" customHeight="1">
      <c r="A2763" s="20">
        <v>2770</v>
      </c>
      <c r="B2763" s="1063">
        <v>42540</v>
      </c>
      <c r="C2763" s="26" t="s">
        <v>10188</v>
      </c>
      <c r="D2763" s="11" t="s">
        <v>6</v>
      </c>
      <c r="E2763" s="26" t="s">
        <v>2722</v>
      </c>
      <c r="F2763" s="26" t="s">
        <v>1569</v>
      </c>
      <c r="G2763" s="26" t="s">
        <v>2608</v>
      </c>
      <c r="H2763" s="237" t="s">
        <v>429</v>
      </c>
      <c r="I2763" s="26" t="s">
        <v>429</v>
      </c>
      <c r="J2763" s="26" t="s">
        <v>2608</v>
      </c>
      <c r="K2763" s="26"/>
      <c r="L2763" s="26"/>
      <c r="M2763" s="26">
        <v>12</v>
      </c>
      <c r="N2763" s="26">
        <v>50</v>
      </c>
      <c r="O2763" s="26">
        <v>50</v>
      </c>
      <c r="P2763" s="26">
        <v>0</v>
      </c>
      <c r="Q2763" s="669">
        <f t="shared" si="153"/>
        <v>38</v>
      </c>
      <c r="R2763" s="1209">
        <v>32.46</v>
      </c>
      <c r="S2763" s="1282">
        <f t="shared" si="152"/>
        <v>1623</v>
      </c>
      <c r="T2763" s="26" t="s">
        <v>8074</v>
      </c>
      <c r="U2763" s="1859" t="s">
        <v>301</v>
      </c>
      <c r="V2763" s="26" t="s">
        <v>352</v>
      </c>
      <c r="W2763" s="2074" t="s">
        <v>4725</v>
      </c>
      <c r="X2763" s="18"/>
      <c r="Y2763" s="4"/>
      <c r="Z2763" s="4"/>
    </row>
    <row r="2764" spans="1:26" ht="24.95" hidden="1">
      <c r="A2764" s="20">
        <v>2771</v>
      </c>
      <c r="B2764" s="1063">
        <v>42541</v>
      </c>
      <c r="C2764" s="26" t="s">
        <v>10189</v>
      </c>
      <c r="D2764" s="11" t="s">
        <v>6</v>
      </c>
      <c r="E2764" s="26" t="s">
        <v>2722</v>
      </c>
      <c r="F2764" s="26" t="s">
        <v>1569</v>
      </c>
      <c r="G2764" s="26" t="s">
        <v>2606</v>
      </c>
      <c r="H2764" s="237" t="s">
        <v>366</v>
      </c>
      <c r="I2764" s="26" t="s">
        <v>366</v>
      </c>
      <c r="J2764" s="26" t="s">
        <v>2606</v>
      </c>
      <c r="K2764" s="26"/>
      <c r="L2764" s="26" t="s">
        <v>1881</v>
      </c>
      <c r="M2764" s="26">
        <v>36</v>
      </c>
      <c r="N2764" s="26">
        <v>10</v>
      </c>
      <c r="O2764" s="26">
        <v>60</v>
      </c>
      <c r="P2764" s="26">
        <v>0</v>
      </c>
      <c r="Q2764" s="669">
        <f t="shared" si="153"/>
        <v>24</v>
      </c>
      <c r="R2764" s="1209">
        <v>36.200000000000003</v>
      </c>
      <c r="S2764" s="1282">
        <f t="shared" si="152"/>
        <v>2172</v>
      </c>
      <c r="T2764" s="26" t="s">
        <v>8074</v>
      </c>
      <c r="U2764" s="1859" t="s">
        <v>301</v>
      </c>
      <c r="V2764" s="26" t="s">
        <v>352</v>
      </c>
      <c r="W2764" s="649" t="s">
        <v>5531</v>
      </c>
      <c r="X2764" s="18"/>
      <c r="Y2764" s="4"/>
      <c r="Z2764" s="4"/>
    </row>
    <row r="2765" spans="1:26" ht="17.25" hidden="1" customHeight="1">
      <c r="A2765" s="20">
        <v>2772</v>
      </c>
      <c r="B2765" s="1063">
        <v>42542</v>
      </c>
      <c r="C2765" s="26" t="s">
        <v>10190</v>
      </c>
      <c r="D2765" s="11" t="s">
        <v>6</v>
      </c>
      <c r="E2765" s="26" t="s">
        <v>2722</v>
      </c>
      <c r="F2765" s="26" t="s">
        <v>1569</v>
      </c>
      <c r="G2765" s="26" t="s">
        <v>2612</v>
      </c>
      <c r="H2765" s="237" t="s">
        <v>382</v>
      </c>
      <c r="I2765" s="26" t="s">
        <v>366</v>
      </c>
      <c r="J2765" s="26" t="s">
        <v>2612</v>
      </c>
      <c r="K2765" s="26"/>
      <c r="L2765" s="26"/>
      <c r="M2765" s="26">
        <v>56</v>
      </c>
      <c r="N2765" s="26">
        <v>10</v>
      </c>
      <c r="O2765" s="26">
        <v>90</v>
      </c>
      <c r="P2765" s="26">
        <v>0</v>
      </c>
      <c r="Q2765" s="669">
        <f t="shared" si="153"/>
        <v>34</v>
      </c>
      <c r="R2765" s="1209">
        <v>144.1</v>
      </c>
      <c r="S2765" s="1282">
        <f t="shared" si="152"/>
        <v>12969</v>
      </c>
      <c r="T2765" s="26" t="s">
        <v>8074</v>
      </c>
      <c r="U2765" s="1859" t="s">
        <v>301</v>
      </c>
      <c r="V2765" s="26" t="s">
        <v>352</v>
      </c>
      <c r="W2765" s="2074" t="s">
        <v>5530</v>
      </c>
      <c r="X2765" s="18"/>
      <c r="Y2765" s="4"/>
      <c r="Z2765" s="4"/>
    </row>
    <row r="2766" spans="1:26" ht="14.1" hidden="1">
      <c r="A2766" s="20">
        <v>2773</v>
      </c>
      <c r="B2766" s="1063">
        <v>42543</v>
      </c>
      <c r="C2766" s="26" t="s">
        <v>10191</v>
      </c>
      <c r="D2766" s="11" t="s">
        <v>6</v>
      </c>
      <c r="E2766" s="26" t="s">
        <v>2722</v>
      </c>
      <c r="F2766" s="26" t="s">
        <v>1569</v>
      </c>
      <c r="G2766" s="26" t="s">
        <v>1524</v>
      </c>
      <c r="H2766" s="237" t="s">
        <v>366</v>
      </c>
      <c r="I2766" s="26" t="s">
        <v>366</v>
      </c>
      <c r="J2766" s="26" t="s">
        <v>1524</v>
      </c>
      <c r="K2766" s="26"/>
      <c r="L2766" s="26"/>
      <c r="M2766" s="26">
        <v>4</v>
      </c>
      <c r="N2766" s="26">
        <v>10</v>
      </c>
      <c r="O2766" s="26">
        <v>10</v>
      </c>
      <c r="P2766" s="26">
        <v>0</v>
      </c>
      <c r="Q2766" s="669">
        <f t="shared" si="153"/>
        <v>6</v>
      </c>
      <c r="R2766" s="1209">
        <v>44.8</v>
      </c>
      <c r="S2766" s="1282">
        <f t="shared" si="152"/>
        <v>448</v>
      </c>
      <c r="T2766" s="26" t="s">
        <v>8074</v>
      </c>
      <c r="U2766" s="1859" t="s">
        <v>301</v>
      </c>
      <c r="V2766" s="26" t="s">
        <v>352</v>
      </c>
      <c r="W2766" s="2074" t="s">
        <v>4726</v>
      </c>
      <c r="X2766" s="18"/>
      <c r="Y2766" s="4"/>
      <c r="Z2766" s="4"/>
    </row>
    <row r="2767" spans="1:26" ht="14.1" hidden="1">
      <c r="A2767" s="20">
        <v>2774</v>
      </c>
      <c r="B2767" s="1063">
        <v>42544</v>
      </c>
      <c r="C2767" s="26" t="s">
        <v>10192</v>
      </c>
      <c r="D2767" s="11" t="s">
        <v>6</v>
      </c>
      <c r="E2767" s="26" t="s">
        <v>2722</v>
      </c>
      <c r="F2767" s="26" t="s">
        <v>1569</v>
      </c>
      <c r="G2767" s="26" t="s">
        <v>2602</v>
      </c>
      <c r="H2767" s="237" t="s">
        <v>366</v>
      </c>
      <c r="I2767" s="26" t="s">
        <v>366</v>
      </c>
      <c r="J2767" s="26" t="s">
        <v>2602</v>
      </c>
      <c r="K2767" s="26"/>
      <c r="L2767" s="26"/>
      <c r="M2767" s="26">
        <v>32</v>
      </c>
      <c r="N2767" s="26">
        <v>10</v>
      </c>
      <c r="O2767" s="26">
        <v>50</v>
      </c>
      <c r="P2767" s="26">
        <v>0</v>
      </c>
      <c r="Q2767" s="669">
        <f t="shared" si="153"/>
        <v>18</v>
      </c>
      <c r="R2767" s="1209">
        <v>36.200000000000003</v>
      </c>
      <c r="S2767" s="1282">
        <f t="shared" si="152"/>
        <v>1810.0000000000002</v>
      </c>
      <c r="T2767" s="26" t="s">
        <v>8074</v>
      </c>
      <c r="U2767" s="1859" t="s">
        <v>301</v>
      </c>
      <c r="V2767" s="26" t="s">
        <v>352</v>
      </c>
      <c r="W2767" s="649" t="s">
        <v>5534</v>
      </c>
      <c r="X2767" s="18"/>
      <c r="Y2767" s="4"/>
      <c r="Z2767" s="4"/>
    </row>
    <row r="2768" spans="1:26" ht="14.1" hidden="1">
      <c r="A2768" s="20">
        <v>2775</v>
      </c>
      <c r="B2768" s="1063">
        <v>42545</v>
      </c>
      <c r="C2768" s="26" t="s">
        <v>10193</v>
      </c>
      <c r="D2768" s="11" t="s">
        <v>6</v>
      </c>
      <c r="E2768" s="26" t="s">
        <v>2722</v>
      </c>
      <c r="F2768" s="26" t="s">
        <v>1569</v>
      </c>
      <c r="G2768" s="26" t="s">
        <v>2604</v>
      </c>
      <c r="H2768" s="237" t="s">
        <v>382</v>
      </c>
      <c r="I2768" s="26" t="s">
        <v>366</v>
      </c>
      <c r="J2768" s="26" t="s">
        <v>2604</v>
      </c>
      <c r="K2768" s="26"/>
      <c r="L2768" s="26"/>
      <c r="M2768" s="26">
        <v>12</v>
      </c>
      <c r="N2768" s="26">
        <v>10</v>
      </c>
      <c r="O2768" s="26">
        <v>20</v>
      </c>
      <c r="P2768" s="26">
        <v>0</v>
      </c>
      <c r="Q2768" s="669">
        <f t="shared" si="153"/>
        <v>8</v>
      </c>
      <c r="R2768" s="1209">
        <v>144.1</v>
      </c>
      <c r="S2768" s="1282">
        <f t="shared" si="152"/>
        <v>2882</v>
      </c>
      <c r="T2768" s="26" t="s">
        <v>8074</v>
      </c>
      <c r="U2768" s="1859" t="s">
        <v>301</v>
      </c>
      <c r="V2768" s="26" t="s">
        <v>352</v>
      </c>
      <c r="W2768" s="2074" t="s">
        <v>5530</v>
      </c>
      <c r="X2768" s="18"/>
      <c r="Y2768" s="4"/>
      <c r="Z2768" s="4"/>
    </row>
    <row r="2769" spans="1:26" ht="14.1" hidden="1">
      <c r="A2769" s="20">
        <v>2776</v>
      </c>
      <c r="B2769" s="1063">
        <v>42546</v>
      </c>
      <c r="C2769" s="26" t="s">
        <v>10194</v>
      </c>
      <c r="D2769" s="11" t="s">
        <v>6</v>
      </c>
      <c r="E2769" s="26" t="s">
        <v>2722</v>
      </c>
      <c r="F2769" s="26" t="s">
        <v>1569</v>
      </c>
      <c r="G2769" s="26" t="s">
        <v>5526</v>
      </c>
      <c r="H2769" s="237" t="s">
        <v>366</v>
      </c>
      <c r="I2769" s="26" t="s">
        <v>366</v>
      </c>
      <c r="J2769" s="26" t="s">
        <v>5527</v>
      </c>
      <c r="K2769" s="26"/>
      <c r="L2769" s="26"/>
      <c r="M2769" s="26">
        <v>2</v>
      </c>
      <c r="N2769" s="26">
        <v>10</v>
      </c>
      <c r="O2769" s="26">
        <v>10</v>
      </c>
      <c r="P2769" s="26">
        <v>0</v>
      </c>
      <c r="Q2769" s="669">
        <f t="shared" si="153"/>
        <v>8</v>
      </c>
      <c r="R2769" s="1209">
        <v>36.4</v>
      </c>
      <c r="S2769" s="1282">
        <f t="shared" si="152"/>
        <v>364</v>
      </c>
      <c r="T2769" s="26" t="s">
        <v>8074</v>
      </c>
      <c r="U2769" s="1859" t="s">
        <v>301</v>
      </c>
      <c r="V2769" s="26" t="s">
        <v>352</v>
      </c>
      <c r="W2769" s="2074" t="s">
        <v>5528</v>
      </c>
      <c r="X2769" s="18"/>
      <c r="Y2769" s="4"/>
      <c r="Z2769" s="4"/>
    </row>
    <row r="2770" spans="1:26" ht="14.1" hidden="1">
      <c r="A2770" s="20">
        <v>2777</v>
      </c>
      <c r="B2770" s="1063">
        <v>42547</v>
      </c>
      <c r="C2770" s="26" t="s">
        <v>10195</v>
      </c>
      <c r="D2770" s="11" t="s">
        <v>6</v>
      </c>
      <c r="E2770" s="26" t="s">
        <v>2722</v>
      </c>
      <c r="F2770" s="26" t="s">
        <v>1569</v>
      </c>
      <c r="G2770" s="26" t="s">
        <v>2595</v>
      </c>
      <c r="H2770" s="237" t="s">
        <v>382</v>
      </c>
      <c r="I2770" s="26" t="s">
        <v>366</v>
      </c>
      <c r="J2770" s="26" t="s">
        <v>2595</v>
      </c>
      <c r="K2770" s="26" t="s">
        <v>2595</v>
      </c>
      <c r="L2770" s="26"/>
      <c r="M2770" s="26">
        <v>16</v>
      </c>
      <c r="N2770" s="26">
        <v>10</v>
      </c>
      <c r="O2770" s="26">
        <v>30</v>
      </c>
      <c r="P2770" s="26">
        <v>0</v>
      </c>
      <c r="Q2770" s="669">
        <f t="shared" si="153"/>
        <v>14</v>
      </c>
      <c r="R2770" s="1209">
        <v>78.599999999999994</v>
      </c>
      <c r="S2770" s="1282">
        <f t="shared" si="152"/>
        <v>2358</v>
      </c>
      <c r="T2770" s="26" t="s">
        <v>8074</v>
      </c>
      <c r="U2770" s="1859" t="s">
        <v>1136</v>
      </c>
      <c r="V2770" s="26" t="s">
        <v>352</v>
      </c>
      <c r="W2770" s="2074" t="s">
        <v>10196</v>
      </c>
      <c r="X2770" s="18"/>
      <c r="Y2770" s="4"/>
      <c r="Z2770" s="4"/>
    </row>
    <row r="2771" spans="1:26" ht="14.1" hidden="1">
      <c r="A2771" s="20">
        <v>2778</v>
      </c>
      <c r="B2771" s="1063">
        <v>42548</v>
      </c>
      <c r="C2771" s="26" t="s">
        <v>10197</v>
      </c>
      <c r="D2771" s="11" t="s">
        <v>6</v>
      </c>
      <c r="E2771" s="26" t="s">
        <v>2722</v>
      </c>
      <c r="F2771" s="26" t="s">
        <v>1569</v>
      </c>
      <c r="G2771" s="26" t="s">
        <v>2597</v>
      </c>
      <c r="H2771" s="237" t="s">
        <v>366</v>
      </c>
      <c r="I2771" s="26" t="s">
        <v>366</v>
      </c>
      <c r="J2771" s="26" t="s">
        <v>2597</v>
      </c>
      <c r="K2771" s="26"/>
      <c r="L2771" s="26"/>
      <c r="M2771" s="26">
        <v>16</v>
      </c>
      <c r="N2771" s="26">
        <v>10</v>
      </c>
      <c r="O2771" s="26">
        <v>30</v>
      </c>
      <c r="P2771" s="26">
        <v>0</v>
      </c>
      <c r="Q2771" s="669">
        <f t="shared" si="153"/>
        <v>14</v>
      </c>
      <c r="R2771" s="1209">
        <v>78.599999999999994</v>
      </c>
      <c r="S2771" s="1282">
        <f t="shared" si="152"/>
        <v>2358</v>
      </c>
      <c r="T2771" s="26" t="s">
        <v>8074</v>
      </c>
      <c r="U2771" s="1859" t="s">
        <v>301</v>
      </c>
      <c r="V2771" s="26" t="s">
        <v>352</v>
      </c>
      <c r="W2771" s="2074" t="s">
        <v>5536</v>
      </c>
      <c r="X2771" s="18"/>
      <c r="Y2771" s="4"/>
      <c r="Z2771" s="4"/>
    </row>
    <row r="2772" spans="1:26" ht="14.1" hidden="1">
      <c r="A2772" s="20">
        <v>2779</v>
      </c>
      <c r="B2772" s="1063">
        <v>42549</v>
      </c>
      <c r="C2772" s="26" t="s">
        <v>10198</v>
      </c>
      <c r="D2772" s="11" t="s">
        <v>6</v>
      </c>
      <c r="E2772" s="26" t="s">
        <v>2722</v>
      </c>
      <c r="F2772" s="26" t="s">
        <v>1569</v>
      </c>
      <c r="G2772" s="26" t="s">
        <v>1148</v>
      </c>
      <c r="H2772" s="237" t="s">
        <v>382</v>
      </c>
      <c r="I2772" s="26" t="s">
        <v>366</v>
      </c>
      <c r="J2772" s="26" t="s">
        <v>1148</v>
      </c>
      <c r="K2772" s="26"/>
      <c r="L2772" s="26"/>
      <c r="M2772" s="26">
        <v>34</v>
      </c>
      <c r="N2772" s="26">
        <v>1</v>
      </c>
      <c r="O2772" s="26">
        <v>60</v>
      </c>
      <c r="P2772" s="26">
        <v>0</v>
      </c>
      <c r="Q2772" s="669">
        <f t="shared" si="153"/>
        <v>26</v>
      </c>
      <c r="R2772" s="1209">
        <v>19</v>
      </c>
      <c r="S2772" s="1282">
        <f t="shared" si="152"/>
        <v>1140</v>
      </c>
      <c r="T2772" s="26" t="s">
        <v>8074</v>
      </c>
      <c r="U2772" s="1859" t="s">
        <v>301</v>
      </c>
      <c r="V2772" s="26" t="s">
        <v>352</v>
      </c>
      <c r="W2772" s="2074" t="s">
        <v>9148</v>
      </c>
      <c r="X2772" s="18"/>
      <c r="Y2772" s="4"/>
      <c r="Z2772" s="4"/>
    </row>
    <row r="2773" spans="1:26" ht="14.1" hidden="1">
      <c r="A2773" s="20">
        <v>2780</v>
      </c>
      <c r="B2773" s="1063">
        <v>42550</v>
      </c>
      <c r="C2773" s="26" t="s">
        <v>10199</v>
      </c>
      <c r="D2773" s="11" t="s">
        <v>6</v>
      </c>
      <c r="E2773" s="26" t="s">
        <v>2722</v>
      </c>
      <c r="F2773" s="26" t="s">
        <v>1569</v>
      </c>
      <c r="G2773" s="26" t="s">
        <v>9494</v>
      </c>
      <c r="H2773" s="237" t="s">
        <v>382</v>
      </c>
      <c r="I2773" s="26" t="s">
        <v>366</v>
      </c>
      <c r="J2773" s="26" t="s">
        <v>9494</v>
      </c>
      <c r="K2773" s="26"/>
      <c r="L2773" s="26"/>
      <c r="M2773" s="26">
        <v>24</v>
      </c>
      <c r="N2773" s="26">
        <v>1</v>
      </c>
      <c r="O2773" s="26">
        <v>30</v>
      </c>
      <c r="P2773" s="26">
        <v>0</v>
      </c>
      <c r="Q2773" s="669">
        <f t="shared" si="153"/>
        <v>6</v>
      </c>
      <c r="R2773" s="1209">
        <v>76</v>
      </c>
      <c r="S2773" s="1282">
        <f t="shared" si="152"/>
        <v>2280</v>
      </c>
      <c r="T2773" s="26" t="s">
        <v>8074</v>
      </c>
      <c r="U2773" s="1859" t="s">
        <v>301</v>
      </c>
      <c r="V2773" s="26" t="s">
        <v>352</v>
      </c>
      <c r="W2773" s="2074" t="s">
        <v>9495</v>
      </c>
      <c r="X2773" s="18"/>
      <c r="Y2773" s="4"/>
      <c r="Z2773" s="4"/>
    </row>
    <row r="2774" spans="1:26" ht="14.1" hidden="1">
      <c r="A2774" s="20">
        <v>2781</v>
      </c>
      <c r="B2774" s="1063">
        <v>42551</v>
      </c>
      <c r="C2774" s="26" t="s">
        <v>9177</v>
      </c>
      <c r="D2774" s="11" t="s">
        <v>6</v>
      </c>
      <c r="E2774" s="26" t="s">
        <v>2722</v>
      </c>
      <c r="F2774" s="26" t="s">
        <v>1569</v>
      </c>
      <c r="G2774" s="26" t="s">
        <v>5532</v>
      </c>
      <c r="H2774" s="237" t="s">
        <v>366</v>
      </c>
      <c r="I2774" s="26" t="s">
        <v>366</v>
      </c>
      <c r="J2774" s="26" t="s">
        <v>5532</v>
      </c>
      <c r="K2774" s="26"/>
      <c r="L2774" s="26"/>
      <c r="M2774" s="26">
        <v>12</v>
      </c>
      <c r="N2774" s="26">
        <v>1</v>
      </c>
      <c r="O2774" s="26">
        <v>15</v>
      </c>
      <c r="P2774" s="26">
        <v>0</v>
      </c>
      <c r="Q2774" s="669">
        <f t="shared" si="153"/>
        <v>3</v>
      </c>
      <c r="R2774" s="1209">
        <v>470</v>
      </c>
      <c r="S2774" s="1282">
        <f t="shared" si="152"/>
        <v>7050</v>
      </c>
      <c r="T2774" s="26" t="s">
        <v>8074</v>
      </c>
      <c r="U2774" s="1859" t="s">
        <v>301</v>
      </c>
      <c r="V2774" s="26" t="s">
        <v>352</v>
      </c>
      <c r="W2774" s="2074" t="s">
        <v>5533</v>
      </c>
      <c r="X2774" s="18"/>
      <c r="Y2774" s="4"/>
      <c r="Z2774" s="4"/>
    </row>
    <row r="2775" spans="1:26" ht="14.1" hidden="1">
      <c r="A2775" s="20">
        <v>2782</v>
      </c>
      <c r="B2775" s="1063">
        <v>42552</v>
      </c>
      <c r="C2775" s="26" t="s">
        <v>10200</v>
      </c>
      <c r="D2775" s="11" t="s">
        <v>6</v>
      </c>
      <c r="E2775" s="26" t="s">
        <v>2722</v>
      </c>
      <c r="F2775" s="26" t="s">
        <v>1569</v>
      </c>
      <c r="G2775" s="26" t="s">
        <v>3310</v>
      </c>
      <c r="H2775" s="237" t="s">
        <v>3311</v>
      </c>
      <c r="I2775" s="26" t="s">
        <v>3312</v>
      </c>
      <c r="J2775" s="26"/>
      <c r="K2775" s="26" t="s">
        <v>3313</v>
      </c>
      <c r="L2775" s="26" t="s">
        <v>3314</v>
      </c>
      <c r="M2775" s="26">
        <v>18</v>
      </c>
      <c r="N2775" s="26">
        <v>4</v>
      </c>
      <c r="O2775" s="26">
        <v>40</v>
      </c>
      <c r="P2775" s="26">
        <v>0</v>
      </c>
      <c r="Q2775" s="669">
        <f t="shared" si="153"/>
        <v>22</v>
      </c>
      <c r="R2775" s="1209">
        <v>422.5</v>
      </c>
      <c r="S2775" s="1282">
        <f t="shared" si="152"/>
        <v>16900</v>
      </c>
      <c r="T2775" s="26" t="s">
        <v>10201</v>
      </c>
      <c r="U2775" s="1859" t="s">
        <v>448</v>
      </c>
      <c r="V2775" s="26" t="s">
        <v>352</v>
      </c>
      <c r="W2775" s="2074" t="s">
        <v>3315</v>
      </c>
      <c r="X2775" s="18"/>
      <c r="Y2775" s="4"/>
      <c r="Z2775" s="4"/>
    </row>
    <row r="2776" spans="1:26" ht="14.1" hidden="1">
      <c r="A2776" s="20">
        <v>2783</v>
      </c>
      <c r="B2776" s="1063">
        <v>42553</v>
      </c>
      <c r="C2776" s="26" t="s">
        <v>10202</v>
      </c>
      <c r="D2776" s="11" t="s">
        <v>6</v>
      </c>
      <c r="E2776" s="26" t="s">
        <v>2722</v>
      </c>
      <c r="F2776" s="26" t="s">
        <v>1569</v>
      </c>
      <c r="G2776" s="26" t="s">
        <v>3184</v>
      </c>
      <c r="H2776" s="237" t="s">
        <v>3185</v>
      </c>
      <c r="I2776" s="26" t="s">
        <v>2644</v>
      </c>
      <c r="J2776" s="26" t="s">
        <v>3186</v>
      </c>
      <c r="K2776" s="26" t="s">
        <v>3186</v>
      </c>
      <c r="L2776" s="26" t="s">
        <v>1</v>
      </c>
      <c r="M2776" s="26">
        <v>3</v>
      </c>
      <c r="N2776" s="26">
        <v>1</v>
      </c>
      <c r="O2776" s="26">
        <v>3</v>
      </c>
      <c r="P2776" s="26">
        <v>0</v>
      </c>
      <c r="Q2776" s="669">
        <f t="shared" si="153"/>
        <v>0</v>
      </c>
      <c r="R2776" s="1209">
        <v>9360</v>
      </c>
      <c r="S2776" s="1282">
        <f t="shared" si="152"/>
        <v>28080</v>
      </c>
      <c r="T2776" s="26" t="s">
        <v>8074</v>
      </c>
      <c r="U2776" s="1859" t="s">
        <v>448</v>
      </c>
      <c r="V2776" s="26" t="s">
        <v>352</v>
      </c>
      <c r="W2776" s="2074" t="s">
        <v>3188</v>
      </c>
      <c r="X2776" s="18"/>
      <c r="Y2776" s="4"/>
      <c r="Z2776" s="4"/>
    </row>
    <row r="2777" spans="1:26" ht="14.1" hidden="1">
      <c r="A2777" s="20">
        <v>2784</v>
      </c>
      <c r="B2777" s="1063">
        <v>42554</v>
      </c>
      <c r="C2777" s="26" t="s">
        <v>10203</v>
      </c>
      <c r="D2777" s="11" t="s">
        <v>6</v>
      </c>
      <c r="E2777" s="26" t="s">
        <v>2722</v>
      </c>
      <c r="F2777" s="26" t="s">
        <v>1569</v>
      </c>
      <c r="G2777" s="26" t="s">
        <v>7913</v>
      </c>
      <c r="H2777" s="237" t="s">
        <v>2405</v>
      </c>
      <c r="I2777" s="26" t="s">
        <v>5690</v>
      </c>
      <c r="J2777" s="26">
        <v>58433532</v>
      </c>
      <c r="K2777" s="26" t="s">
        <v>7914</v>
      </c>
      <c r="L2777" s="26" t="s">
        <v>7915</v>
      </c>
      <c r="M2777" s="26">
        <v>1</v>
      </c>
      <c r="N2777" s="26">
        <v>1</v>
      </c>
      <c r="O2777" s="26">
        <v>1</v>
      </c>
      <c r="P2777" s="26">
        <v>0</v>
      </c>
      <c r="Q2777" s="669">
        <f t="shared" si="153"/>
        <v>0</v>
      </c>
      <c r="R2777" s="1209">
        <v>8990</v>
      </c>
      <c r="S2777" s="1282">
        <f t="shared" si="152"/>
        <v>8990</v>
      </c>
      <c r="T2777" s="26" t="s">
        <v>8074</v>
      </c>
      <c r="U2777" s="1859" t="s">
        <v>7916</v>
      </c>
      <c r="V2777" s="26" t="s">
        <v>352</v>
      </c>
      <c r="W2777" s="649" t="s">
        <v>7918</v>
      </c>
      <c r="X2777" s="18"/>
      <c r="Y2777" s="4"/>
      <c r="Z2777" s="4"/>
    </row>
    <row r="2778" spans="1:26" ht="14.1" hidden="1">
      <c r="A2778" s="20">
        <v>2785</v>
      </c>
      <c r="B2778" s="1063">
        <v>42555</v>
      </c>
      <c r="C2778" s="26" t="s">
        <v>121</v>
      </c>
      <c r="D2778" s="11" t="s">
        <v>6</v>
      </c>
      <c r="E2778" s="26" t="s">
        <v>2722</v>
      </c>
      <c r="F2778" s="26" t="s">
        <v>1569</v>
      </c>
      <c r="G2778" s="26" t="s">
        <v>4539</v>
      </c>
      <c r="H2778" s="237" t="s">
        <v>4540</v>
      </c>
      <c r="I2778" s="26" t="s">
        <v>281</v>
      </c>
      <c r="J2778" s="26" t="s">
        <v>10204</v>
      </c>
      <c r="K2778" s="26" t="s">
        <v>4542</v>
      </c>
      <c r="L2778" s="26" t="s">
        <v>1</v>
      </c>
      <c r="M2778" s="26">
        <v>3</v>
      </c>
      <c r="N2778" s="26">
        <v>1</v>
      </c>
      <c r="O2778" s="26">
        <v>5</v>
      </c>
      <c r="P2778" s="26">
        <v>0</v>
      </c>
      <c r="Q2778" s="669">
        <f t="shared" si="153"/>
        <v>2</v>
      </c>
      <c r="R2778" s="1209">
        <v>613.20000000000005</v>
      </c>
      <c r="S2778" s="1282">
        <f t="shared" si="152"/>
        <v>3066</v>
      </c>
      <c r="T2778" s="26" t="s">
        <v>8074</v>
      </c>
      <c r="U2778" s="1859" t="s">
        <v>448</v>
      </c>
      <c r="V2778" s="26" t="s">
        <v>352</v>
      </c>
      <c r="W2778" s="2074" t="s">
        <v>4543</v>
      </c>
      <c r="X2778" s="18"/>
      <c r="Y2778" s="4"/>
      <c r="Z2778" s="4"/>
    </row>
    <row r="2779" spans="1:26" ht="14.1" hidden="1">
      <c r="A2779" s="20">
        <v>2786</v>
      </c>
      <c r="B2779" s="1063">
        <v>42556</v>
      </c>
      <c r="C2779" s="26" t="s">
        <v>10205</v>
      </c>
      <c r="D2779" s="11" t="s">
        <v>6</v>
      </c>
      <c r="E2779" s="26" t="s">
        <v>2722</v>
      </c>
      <c r="F2779" s="26" t="s">
        <v>1569</v>
      </c>
      <c r="G2779" s="26" t="s">
        <v>3956</v>
      </c>
      <c r="H2779" s="237" t="s">
        <v>3957</v>
      </c>
      <c r="I2779" s="26" t="s">
        <v>281</v>
      </c>
      <c r="J2779" s="26" t="s">
        <v>3958</v>
      </c>
      <c r="K2779" s="26" t="s">
        <v>3959</v>
      </c>
      <c r="L2779" s="26" t="s">
        <v>3960</v>
      </c>
      <c r="M2779" s="26">
        <v>3</v>
      </c>
      <c r="N2779" s="26">
        <v>1</v>
      </c>
      <c r="O2779" s="26">
        <v>10</v>
      </c>
      <c r="P2779" s="26">
        <v>0</v>
      </c>
      <c r="Q2779" s="669">
        <f t="shared" si="153"/>
        <v>7</v>
      </c>
      <c r="R2779" s="1209">
        <v>19.2</v>
      </c>
      <c r="S2779" s="1282">
        <f t="shared" si="152"/>
        <v>192</v>
      </c>
      <c r="T2779" s="26" t="s">
        <v>8074</v>
      </c>
      <c r="U2779" s="1859" t="s">
        <v>7916</v>
      </c>
      <c r="V2779" s="26" t="s">
        <v>352</v>
      </c>
      <c r="W2779" s="2074" t="s">
        <v>3963</v>
      </c>
      <c r="X2779" s="18"/>
      <c r="Y2779" s="4"/>
      <c r="Z2779" s="4"/>
    </row>
    <row r="2780" spans="1:26" ht="14.1" hidden="1">
      <c r="A2780" s="20">
        <v>2787</v>
      </c>
      <c r="B2780" s="1063">
        <v>42557</v>
      </c>
      <c r="C2780" s="26" t="s">
        <v>10206</v>
      </c>
      <c r="D2780" s="11" t="s">
        <v>6</v>
      </c>
      <c r="E2780" s="26" t="s">
        <v>2722</v>
      </c>
      <c r="F2780" s="26" t="s">
        <v>1569</v>
      </c>
      <c r="G2780" s="26" t="s">
        <v>7947</v>
      </c>
      <c r="H2780" s="237" t="s">
        <v>7942</v>
      </c>
      <c r="I2780" s="26" t="s">
        <v>574</v>
      </c>
      <c r="J2780" s="26" t="s">
        <v>7948</v>
      </c>
      <c r="K2780" s="26" t="s">
        <v>7949</v>
      </c>
      <c r="L2780" s="26" t="s">
        <v>10207</v>
      </c>
      <c r="M2780" s="26">
        <v>3</v>
      </c>
      <c r="N2780" s="26">
        <v>1</v>
      </c>
      <c r="O2780" s="26">
        <v>10</v>
      </c>
      <c r="P2780" s="26">
        <v>0</v>
      </c>
      <c r="Q2780" s="669">
        <f t="shared" si="153"/>
        <v>7</v>
      </c>
      <c r="R2780" s="1209">
        <v>18.100000000000001</v>
      </c>
      <c r="S2780" s="1282">
        <f t="shared" si="152"/>
        <v>181</v>
      </c>
      <c r="T2780" s="26" t="s">
        <v>8074</v>
      </c>
      <c r="U2780" s="1859" t="s">
        <v>7916</v>
      </c>
      <c r="V2780" s="26" t="s">
        <v>352</v>
      </c>
      <c r="W2780" s="2074" t="s">
        <v>10208</v>
      </c>
      <c r="X2780" s="18"/>
      <c r="Y2780" s="4"/>
      <c r="Z2780" s="4"/>
    </row>
    <row r="2781" spans="1:26" ht="14.1" hidden="1">
      <c r="A2781" s="20">
        <v>2788</v>
      </c>
      <c r="B2781" s="1063">
        <v>42558</v>
      </c>
      <c r="C2781" s="26" t="s">
        <v>10209</v>
      </c>
      <c r="D2781" s="11" t="s">
        <v>6</v>
      </c>
      <c r="E2781" s="26" t="s">
        <v>2722</v>
      </c>
      <c r="F2781" s="26" t="s">
        <v>1569</v>
      </c>
      <c r="G2781" s="26" t="s">
        <v>4547</v>
      </c>
      <c r="H2781" s="237" t="s">
        <v>7942</v>
      </c>
      <c r="I2781" s="26" t="s">
        <v>574</v>
      </c>
      <c r="J2781" s="26" t="s">
        <v>4548</v>
      </c>
      <c r="K2781" s="26" t="s">
        <v>4549</v>
      </c>
      <c r="L2781" s="26"/>
      <c r="M2781" s="26">
        <v>42</v>
      </c>
      <c r="N2781" s="26">
        <v>1</v>
      </c>
      <c r="O2781" s="26">
        <v>60</v>
      </c>
      <c r="P2781" s="26">
        <v>0</v>
      </c>
      <c r="Q2781" s="669">
        <f t="shared" si="153"/>
        <v>18</v>
      </c>
      <c r="R2781" s="1209">
        <v>3.46</v>
      </c>
      <c r="S2781" s="1282">
        <f t="shared" si="152"/>
        <v>207.6</v>
      </c>
      <c r="T2781" s="26" t="s">
        <v>8074</v>
      </c>
      <c r="U2781" s="1859" t="s">
        <v>7916</v>
      </c>
      <c r="V2781" s="26" t="s">
        <v>352</v>
      </c>
      <c r="W2781" s="649" t="s">
        <v>10210</v>
      </c>
      <c r="X2781" s="18"/>
      <c r="Y2781" s="4"/>
      <c r="Z2781" s="4"/>
    </row>
    <row r="2782" spans="1:26" ht="14.1" hidden="1">
      <c r="A2782" s="20">
        <v>2789</v>
      </c>
      <c r="B2782" s="1063">
        <v>42559</v>
      </c>
      <c r="C2782" s="26" t="s">
        <v>4008</v>
      </c>
      <c r="D2782" s="11" t="s">
        <v>6</v>
      </c>
      <c r="E2782" s="26" t="s">
        <v>2722</v>
      </c>
      <c r="F2782" s="26" t="s">
        <v>1569</v>
      </c>
      <c r="G2782" s="26" t="s">
        <v>664</v>
      </c>
      <c r="H2782" s="237" t="s">
        <v>665</v>
      </c>
      <c r="I2782" s="26" t="s">
        <v>666</v>
      </c>
      <c r="J2782" s="26" t="s">
        <v>667</v>
      </c>
      <c r="K2782" s="26" t="s">
        <v>667</v>
      </c>
      <c r="L2782" s="26"/>
      <c r="M2782" s="26">
        <v>3</v>
      </c>
      <c r="N2782" s="26">
        <v>10</v>
      </c>
      <c r="O2782" s="26">
        <v>10</v>
      </c>
      <c r="P2782" s="26">
        <v>0</v>
      </c>
      <c r="Q2782" s="669">
        <f t="shared" si="153"/>
        <v>7</v>
      </c>
      <c r="R2782" s="1209">
        <v>450</v>
      </c>
      <c r="S2782" s="1282">
        <f t="shared" si="152"/>
        <v>4500</v>
      </c>
      <c r="T2782" s="26" t="s">
        <v>10201</v>
      </c>
      <c r="U2782" s="1859" t="s">
        <v>3282</v>
      </c>
      <c r="V2782" s="26" t="s">
        <v>352</v>
      </c>
      <c r="W2782" s="649" t="s">
        <v>668</v>
      </c>
      <c r="X2782" s="18"/>
      <c r="Y2782" s="4"/>
      <c r="Z2782" s="4"/>
    </row>
    <row r="2783" spans="1:26" ht="14.1" hidden="1">
      <c r="A2783" s="20">
        <v>2790</v>
      </c>
      <c r="B2783" s="1063">
        <v>42560</v>
      </c>
      <c r="C2783" s="26" t="s">
        <v>3189</v>
      </c>
      <c r="D2783" s="11"/>
      <c r="E2783" s="26" t="s">
        <v>683</v>
      </c>
      <c r="F2783" s="26" t="s">
        <v>73</v>
      </c>
      <c r="G2783" s="26" t="s">
        <v>10211</v>
      </c>
      <c r="H2783" s="237" t="s">
        <v>4969</v>
      </c>
      <c r="I2783" s="26" t="s">
        <v>10212</v>
      </c>
      <c r="J2783" s="26">
        <v>5045</v>
      </c>
      <c r="K2783" s="26">
        <v>5045</v>
      </c>
      <c r="L2783" s="26" t="s">
        <v>1</v>
      </c>
      <c r="M2783" s="26">
        <v>16</v>
      </c>
      <c r="N2783" s="26">
        <v>1</v>
      </c>
      <c r="O2783" s="26">
        <v>20</v>
      </c>
      <c r="P2783" s="26">
        <v>0</v>
      </c>
      <c r="Q2783" s="669">
        <v>4</v>
      </c>
      <c r="R2783" s="1209">
        <v>60</v>
      </c>
      <c r="S2783" s="1282">
        <v>1200</v>
      </c>
      <c r="T2783" s="26" t="s">
        <v>4220</v>
      </c>
      <c r="U2783" s="1859" t="s">
        <v>4220</v>
      </c>
      <c r="V2783" s="26" t="s">
        <v>689</v>
      </c>
      <c r="W2783" s="2074" t="s">
        <v>10213</v>
      </c>
      <c r="X2783" s="18"/>
      <c r="Y2783" s="4"/>
      <c r="Z2783" s="4"/>
    </row>
    <row r="2784" spans="1:26" ht="14.1" hidden="1">
      <c r="A2784" s="20">
        <v>2791</v>
      </c>
      <c r="B2784" s="1063">
        <v>42561</v>
      </c>
      <c r="C2784" s="26" t="s">
        <v>10214</v>
      </c>
      <c r="D2784" s="11"/>
      <c r="E2784" s="26" t="s">
        <v>683</v>
      </c>
      <c r="F2784" s="26" t="s">
        <v>73</v>
      </c>
      <c r="G2784" s="26" t="s">
        <v>10215</v>
      </c>
      <c r="H2784" s="237" t="s">
        <v>4969</v>
      </c>
      <c r="I2784" s="26" t="s">
        <v>366</v>
      </c>
      <c r="J2784" s="26">
        <v>5036</v>
      </c>
      <c r="K2784" s="26">
        <v>5036</v>
      </c>
      <c r="L2784" s="26" t="s">
        <v>1</v>
      </c>
      <c r="M2784" s="26">
        <v>16</v>
      </c>
      <c r="N2784" s="26">
        <v>1</v>
      </c>
      <c r="O2784" s="26">
        <v>20</v>
      </c>
      <c r="P2784" s="26">
        <v>0</v>
      </c>
      <c r="Q2784" s="669">
        <v>4</v>
      </c>
      <c r="R2784" s="1209">
        <v>62</v>
      </c>
      <c r="S2784" s="1282">
        <v>1240</v>
      </c>
      <c r="T2784" s="26" t="s">
        <v>4220</v>
      </c>
      <c r="U2784" s="1859" t="s">
        <v>4220</v>
      </c>
      <c r="V2784" s="26" t="s">
        <v>689</v>
      </c>
      <c r="W2784" s="2074" t="s">
        <v>10216</v>
      </c>
      <c r="X2784" s="18"/>
      <c r="Y2784" s="4"/>
      <c r="Z2784" s="4"/>
    </row>
    <row r="2785" spans="1:26" ht="14.1" hidden="1">
      <c r="A2785" s="20">
        <v>2792</v>
      </c>
      <c r="B2785" s="1063">
        <v>42562</v>
      </c>
      <c r="C2785" s="26" t="s">
        <v>10217</v>
      </c>
      <c r="D2785" s="11"/>
      <c r="E2785" s="26" t="s">
        <v>7498</v>
      </c>
      <c r="F2785" s="26" t="s">
        <v>4980</v>
      </c>
      <c r="G2785" s="26" t="s">
        <v>10218</v>
      </c>
      <c r="H2785" s="237" t="s">
        <v>4982</v>
      </c>
      <c r="I2785" s="26" t="s">
        <v>4982</v>
      </c>
      <c r="J2785" s="26" t="s">
        <v>10219</v>
      </c>
      <c r="K2785" s="26" t="s">
        <v>10219</v>
      </c>
      <c r="L2785" s="26"/>
      <c r="M2785" s="26">
        <v>1</v>
      </c>
      <c r="N2785" s="26">
        <v>1</v>
      </c>
      <c r="O2785" s="26">
        <v>1</v>
      </c>
      <c r="P2785" s="26"/>
      <c r="Q2785" s="669"/>
      <c r="R2785" s="1209" t="s">
        <v>10220</v>
      </c>
      <c r="S2785" s="1282" t="s">
        <v>10220</v>
      </c>
      <c r="T2785" s="26" t="s">
        <v>7372</v>
      </c>
      <c r="U2785" s="1871" t="s">
        <v>7372</v>
      </c>
      <c r="V2785" s="26" t="s">
        <v>6170</v>
      </c>
      <c r="W2785" s="2084"/>
      <c r="X2785" s="18"/>
      <c r="Y2785" s="4"/>
      <c r="Z2785" s="4"/>
    </row>
    <row r="2786" spans="1:26" ht="24.95" hidden="1">
      <c r="A2786" s="20">
        <v>2793</v>
      </c>
      <c r="B2786" s="1063">
        <v>42563</v>
      </c>
      <c r="C2786" s="26" t="s">
        <v>10221</v>
      </c>
      <c r="D2786" s="11"/>
      <c r="E2786" s="26" t="s">
        <v>7498</v>
      </c>
      <c r="F2786" s="26" t="s">
        <v>4980</v>
      </c>
      <c r="G2786" s="26" t="s">
        <v>10222</v>
      </c>
      <c r="H2786" s="237" t="s">
        <v>4982</v>
      </c>
      <c r="I2786" s="26" t="s">
        <v>4982</v>
      </c>
      <c r="J2786" s="26" t="s">
        <v>10223</v>
      </c>
      <c r="K2786" s="26" t="s">
        <v>10223</v>
      </c>
      <c r="L2786" s="26"/>
      <c r="M2786" s="26">
        <v>1</v>
      </c>
      <c r="N2786" s="26">
        <v>1</v>
      </c>
      <c r="O2786" s="26">
        <v>1</v>
      </c>
      <c r="P2786" s="26"/>
      <c r="Q2786" s="669"/>
      <c r="R2786" s="1209" t="s">
        <v>10224</v>
      </c>
      <c r="S2786" s="1209" t="s">
        <v>10224</v>
      </c>
      <c r="T2786" s="26" t="s">
        <v>7372</v>
      </c>
      <c r="U2786" s="1871" t="s">
        <v>7372</v>
      </c>
      <c r="V2786" s="26" t="s">
        <v>6170</v>
      </c>
      <c r="W2786" s="2084"/>
      <c r="X2786" s="18"/>
      <c r="Y2786" s="4"/>
      <c r="Z2786" s="4"/>
    </row>
    <row r="2787" spans="1:26" ht="14.1" hidden="1">
      <c r="A2787" s="20">
        <v>2794</v>
      </c>
      <c r="B2787" s="1063">
        <v>42564</v>
      </c>
      <c r="C2787" s="26" t="s">
        <v>10225</v>
      </c>
      <c r="D2787" s="11"/>
      <c r="E2787" s="26" t="s">
        <v>7498</v>
      </c>
      <c r="F2787" s="26" t="s">
        <v>4980</v>
      </c>
      <c r="G2787" s="26" t="s">
        <v>10226</v>
      </c>
      <c r="H2787" s="237" t="s">
        <v>4982</v>
      </c>
      <c r="I2787" s="26" t="s">
        <v>4982</v>
      </c>
      <c r="J2787" s="26" t="s">
        <v>10227</v>
      </c>
      <c r="K2787" s="26" t="s">
        <v>10227</v>
      </c>
      <c r="L2787" s="26"/>
      <c r="M2787" s="26">
        <v>1</v>
      </c>
      <c r="N2787" s="26">
        <v>1</v>
      </c>
      <c r="O2787" s="26">
        <v>1</v>
      </c>
      <c r="P2787" s="26"/>
      <c r="Q2787" s="669"/>
      <c r="R2787" s="1209" t="s">
        <v>10228</v>
      </c>
      <c r="S2787" s="1209" t="s">
        <v>10228</v>
      </c>
      <c r="T2787" s="26" t="s">
        <v>7372</v>
      </c>
      <c r="U2787" s="1871" t="s">
        <v>7372</v>
      </c>
      <c r="V2787" s="26" t="s">
        <v>6170</v>
      </c>
      <c r="W2787" s="2084"/>
      <c r="X2787" s="18"/>
      <c r="Y2787" s="4"/>
      <c r="Z2787" s="4"/>
    </row>
    <row r="2788" spans="1:26" ht="24.95" hidden="1">
      <c r="A2788" s="20">
        <v>2795</v>
      </c>
      <c r="B2788" s="1063">
        <v>42565</v>
      </c>
      <c r="C2788" s="26" t="s">
        <v>10229</v>
      </c>
      <c r="D2788" s="11"/>
      <c r="E2788" s="26" t="s">
        <v>7498</v>
      </c>
      <c r="F2788" s="26" t="s">
        <v>4980</v>
      </c>
      <c r="G2788" s="26" t="s">
        <v>10230</v>
      </c>
      <c r="H2788" s="237" t="s">
        <v>4982</v>
      </c>
      <c r="I2788" s="26" t="s">
        <v>4982</v>
      </c>
      <c r="J2788" s="26" t="s">
        <v>10231</v>
      </c>
      <c r="K2788" s="26" t="s">
        <v>10231</v>
      </c>
      <c r="L2788" s="26"/>
      <c r="M2788" s="26">
        <v>1</v>
      </c>
      <c r="N2788" s="26">
        <v>1</v>
      </c>
      <c r="O2788" s="26">
        <v>1</v>
      </c>
      <c r="P2788" s="26"/>
      <c r="Q2788" s="669"/>
      <c r="R2788" s="1209" t="s">
        <v>10232</v>
      </c>
      <c r="S2788" s="1209" t="s">
        <v>10232</v>
      </c>
      <c r="T2788" s="26" t="s">
        <v>7372</v>
      </c>
      <c r="U2788" s="1871" t="s">
        <v>7372</v>
      </c>
      <c r="V2788" s="26" t="s">
        <v>6170</v>
      </c>
      <c r="W2788" s="2084"/>
      <c r="X2788" s="18"/>
      <c r="Y2788" s="4"/>
      <c r="Z2788" s="4"/>
    </row>
    <row r="2789" spans="1:26" ht="24.95" hidden="1">
      <c r="A2789" s="20">
        <v>2796</v>
      </c>
      <c r="B2789" s="1063">
        <v>42566</v>
      </c>
      <c r="C2789" s="26" t="s">
        <v>10233</v>
      </c>
      <c r="D2789" s="11"/>
      <c r="E2789" s="26" t="s">
        <v>7498</v>
      </c>
      <c r="F2789" s="26" t="s">
        <v>4980</v>
      </c>
      <c r="G2789" s="26" t="s">
        <v>10234</v>
      </c>
      <c r="H2789" s="237" t="s">
        <v>4982</v>
      </c>
      <c r="I2789" s="26" t="s">
        <v>4982</v>
      </c>
      <c r="J2789" s="26" t="s">
        <v>10235</v>
      </c>
      <c r="K2789" s="26" t="s">
        <v>10235</v>
      </c>
      <c r="L2789" s="26"/>
      <c r="M2789" s="26">
        <v>2</v>
      </c>
      <c r="N2789" s="26">
        <v>2</v>
      </c>
      <c r="O2789" s="26">
        <v>2</v>
      </c>
      <c r="P2789" s="26"/>
      <c r="Q2789" s="669"/>
      <c r="R2789" s="1209" t="s">
        <v>10236</v>
      </c>
      <c r="S2789" s="1209" t="s">
        <v>10237</v>
      </c>
      <c r="T2789" s="26" t="s">
        <v>7372</v>
      </c>
      <c r="U2789" s="1871" t="s">
        <v>7372</v>
      </c>
      <c r="V2789" s="26" t="s">
        <v>6170</v>
      </c>
      <c r="W2789" s="2084"/>
      <c r="X2789" s="18"/>
      <c r="Y2789" s="4"/>
      <c r="Z2789" s="4"/>
    </row>
    <row r="2790" spans="1:26" ht="14.1" hidden="1">
      <c r="A2790" s="20">
        <v>2797</v>
      </c>
      <c r="B2790" s="1063">
        <v>42567</v>
      </c>
      <c r="C2790" s="26" t="s">
        <v>10238</v>
      </c>
      <c r="D2790" s="11"/>
      <c r="E2790" s="26" t="s">
        <v>7498</v>
      </c>
      <c r="F2790" s="26" t="s">
        <v>4980</v>
      </c>
      <c r="G2790" s="26" t="s">
        <v>10239</v>
      </c>
      <c r="H2790" s="237" t="s">
        <v>4982</v>
      </c>
      <c r="I2790" s="26" t="s">
        <v>4982</v>
      </c>
      <c r="J2790" s="26" t="s">
        <v>5009</v>
      </c>
      <c r="K2790" s="26" t="s">
        <v>5009</v>
      </c>
      <c r="L2790" s="26"/>
      <c r="M2790" s="26">
        <v>2</v>
      </c>
      <c r="N2790" s="26">
        <v>2</v>
      </c>
      <c r="O2790" s="26">
        <v>2</v>
      </c>
      <c r="P2790" s="26"/>
      <c r="Q2790" s="669"/>
      <c r="R2790" s="1209" t="s">
        <v>10240</v>
      </c>
      <c r="S2790" s="1209" t="s">
        <v>10241</v>
      </c>
      <c r="T2790" s="26" t="s">
        <v>7372</v>
      </c>
      <c r="U2790" s="1871" t="s">
        <v>7372</v>
      </c>
      <c r="V2790" s="26" t="s">
        <v>6170</v>
      </c>
      <c r="W2790" s="2084"/>
      <c r="X2790" s="18"/>
      <c r="Y2790" s="4"/>
      <c r="Z2790" s="4"/>
    </row>
    <row r="2791" spans="1:26" ht="24.95" hidden="1">
      <c r="A2791" s="20">
        <v>2798</v>
      </c>
      <c r="B2791" s="1063">
        <v>42568</v>
      </c>
      <c r="C2791" s="26" t="s">
        <v>10242</v>
      </c>
      <c r="D2791" s="11"/>
      <c r="E2791" s="26" t="s">
        <v>7498</v>
      </c>
      <c r="F2791" s="26" t="s">
        <v>4980</v>
      </c>
      <c r="G2791" s="26" t="s">
        <v>10243</v>
      </c>
      <c r="H2791" s="237" t="s">
        <v>4982</v>
      </c>
      <c r="I2791" s="26" t="s">
        <v>4982</v>
      </c>
      <c r="J2791" s="26" t="s">
        <v>5006</v>
      </c>
      <c r="K2791" s="26" t="s">
        <v>5006</v>
      </c>
      <c r="L2791" s="26"/>
      <c r="M2791" s="26">
        <v>2</v>
      </c>
      <c r="N2791" s="26">
        <v>2</v>
      </c>
      <c r="O2791" s="26">
        <v>2</v>
      </c>
      <c r="P2791" s="26"/>
      <c r="Q2791" s="669"/>
      <c r="R2791" s="1209" t="s">
        <v>10244</v>
      </c>
      <c r="S2791" s="1209" t="s">
        <v>10245</v>
      </c>
      <c r="T2791" s="26" t="s">
        <v>7372</v>
      </c>
      <c r="U2791" s="1871" t="s">
        <v>7372</v>
      </c>
      <c r="V2791" s="26" t="s">
        <v>6170</v>
      </c>
      <c r="W2791" s="2084"/>
      <c r="X2791" s="18"/>
      <c r="Y2791" s="4"/>
      <c r="Z2791" s="4"/>
    </row>
    <row r="2792" spans="1:26" ht="14.1" hidden="1">
      <c r="A2792" s="20">
        <v>2799</v>
      </c>
      <c r="B2792" s="1063">
        <v>42569</v>
      </c>
      <c r="C2792" s="26" t="s">
        <v>10246</v>
      </c>
      <c r="D2792" s="11"/>
      <c r="E2792" s="26" t="s">
        <v>7498</v>
      </c>
      <c r="F2792" s="26" t="s">
        <v>4980</v>
      </c>
      <c r="G2792" s="26" t="s">
        <v>10247</v>
      </c>
      <c r="H2792" s="237" t="s">
        <v>4982</v>
      </c>
      <c r="I2792" s="26" t="s">
        <v>4982</v>
      </c>
      <c r="J2792" s="26" t="s">
        <v>10248</v>
      </c>
      <c r="K2792" s="26" t="s">
        <v>10248</v>
      </c>
      <c r="L2792" s="26"/>
      <c r="M2792" s="26">
        <v>2</v>
      </c>
      <c r="N2792" s="26">
        <v>2</v>
      </c>
      <c r="O2792" s="26">
        <v>2</v>
      </c>
      <c r="P2792" s="26"/>
      <c r="Q2792" s="669"/>
      <c r="R2792" s="1209" t="s">
        <v>10249</v>
      </c>
      <c r="S2792" s="1282" t="s">
        <v>10250</v>
      </c>
      <c r="T2792" s="26" t="s">
        <v>7372</v>
      </c>
      <c r="U2792" s="1859" t="s">
        <v>7372</v>
      </c>
      <c r="V2792" s="26" t="s">
        <v>6170</v>
      </c>
      <c r="W2792" s="2084"/>
      <c r="X2792" s="18"/>
      <c r="Y2792" s="4"/>
      <c r="Z2792" s="4"/>
    </row>
    <row r="2793" spans="1:26" ht="14.1" hidden="1">
      <c r="A2793" s="20">
        <v>2800</v>
      </c>
      <c r="B2793" s="1063">
        <v>42570</v>
      </c>
      <c r="C2793" s="26" t="s">
        <v>10251</v>
      </c>
      <c r="D2793" s="11"/>
      <c r="E2793" s="26" t="s">
        <v>7498</v>
      </c>
      <c r="F2793" s="26" t="s">
        <v>4980</v>
      </c>
      <c r="G2793" s="26" t="s">
        <v>10252</v>
      </c>
      <c r="H2793" s="237" t="s">
        <v>5102</v>
      </c>
      <c r="I2793" s="26" t="s">
        <v>5102</v>
      </c>
      <c r="J2793" s="26" t="s">
        <v>10252</v>
      </c>
      <c r="K2793" s="26" t="s">
        <v>10252</v>
      </c>
      <c r="L2793" s="26"/>
      <c r="M2793" s="26">
        <v>1</v>
      </c>
      <c r="N2793" s="26">
        <v>1</v>
      </c>
      <c r="O2793" s="26">
        <v>1</v>
      </c>
      <c r="P2793" s="26"/>
      <c r="Q2793" s="669"/>
      <c r="R2793" s="1209" t="s">
        <v>10253</v>
      </c>
      <c r="S2793" s="1209" t="s">
        <v>10253</v>
      </c>
      <c r="T2793" s="26" t="s">
        <v>7372</v>
      </c>
      <c r="U2793" s="1859" t="s">
        <v>7372</v>
      </c>
      <c r="V2793" s="26" t="s">
        <v>6170</v>
      </c>
      <c r="W2793" s="2084"/>
      <c r="X2793" s="18"/>
      <c r="Y2793" s="4"/>
      <c r="Z2793" s="4"/>
    </row>
    <row r="2794" spans="1:26" ht="14.1" hidden="1">
      <c r="A2794" s="20">
        <v>2801</v>
      </c>
      <c r="B2794" s="1063">
        <v>42571</v>
      </c>
      <c r="C2794" s="26" t="s">
        <v>5071</v>
      </c>
      <c r="D2794" s="11"/>
      <c r="E2794" s="26" t="s">
        <v>7498</v>
      </c>
      <c r="F2794" s="26" t="s">
        <v>4980</v>
      </c>
      <c r="G2794" s="26" t="s">
        <v>5073</v>
      </c>
      <c r="H2794" s="237" t="s">
        <v>1762</v>
      </c>
      <c r="I2794" s="237" t="s">
        <v>1762</v>
      </c>
      <c r="J2794" s="26" t="s">
        <v>5073</v>
      </c>
      <c r="K2794" s="26" t="s">
        <v>5073</v>
      </c>
      <c r="L2794" s="26"/>
      <c r="M2794" s="26">
        <v>5</v>
      </c>
      <c r="N2794" s="26">
        <v>5</v>
      </c>
      <c r="O2794" s="26">
        <v>5</v>
      </c>
      <c r="P2794" s="26"/>
      <c r="Q2794" s="669"/>
      <c r="R2794" s="1209" t="s">
        <v>10254</v>
      </c>
      <c r="S2794" s="1282" t="s">
        <v>10255</v>
      </c>
      <c r="T2794" s="26" t="s">
        <v>7372</v>
      </c>
      <c r="U2794" s="1859" t="s">
        <v>7372</v>
      </c>
      <c r="V2794" s="26" t="s">
        <v>6170</v>
      </c>
      <c r="W2794" s="2084"/>
      <c r="X2794" s="18"/>
      <c r="Y2794" s="4"/>
      <c r="Z2794" s="4"/>
    </row>
    <row r="2795" spans="1:26" ht="12.95" hidden="1">
      <c r="A2795" s="20">
        <v>2802</v>
      </c>
      <c r="B2795" s="1063">
        <v>42572</v>
      </c>
      <c r="C2795" s="139" t="s">
        <v>10256</v>
      </c>
      <c r="D2795" s="139"/>
      <c r="E2795" s="139"/>
      <c r="F2795" s="139" t="s">
        <v>4980</v>
      </c>
      <c r="G2795" s="139" t="s">
        <v>10257</v>
      </c>
      <c r="H2795" s="269" t="s">
        <v>1762</v>
      </c>
      <c r="I2795" s="139" t="s">
        <v>1762</v>
      </c>
      <c r="J2795" s="139" t="s">
        <v>10257</v>
      </c>
      <c r="K2795" s="139" t="s">
        <v>10257</v>
      </c>
      <c r="L2795" s="139"/>
      <c r="M2795" s="139">
        <v>2</v>
      </c>
      <c r="N2795" s="139">
        <v>2</v>
      </c>
      <c r="O2795" s="139">
        <v>2</v>
      </c>
      <c r="P2795" s="139"/>
      <c r="Q2795" s="691"/>
      <c r="R2795" s="1234" t="s">
        <v>10258</v>
      </c>
      <c r="S2795" s="1287" t="s">
        <v>10259</v>
      </c>
      <c r="T2795" s="139" t="s">
        <v>7372</v>
      </c>
      <c r="U2795" s="1861" t="s">
        <v>7372</v>
      </c>
      <c r="V2795" s="139" t="s">
        <v>6170</v>
      </c>
      <c r="W2795" s="2084"/>
      <c r="X2795" s="18"/>
      <c r="Y2795" s="4"/>
      <c r="Z2795" s="4"/>
    </row>
    <row r="2796" spans="1:26" ht="12.95" hidden="1">
      <c r="A2796" s="20">
        <v>2803</v>
      </c>
      <c r="B2796" s="1063">
        <v>42573</v>
      </c>
      <c r="C2796" s="139" t="s">
        <v>10260</v>
      </c>
      <c r="D2796" s="139"/>
      <c r="E2796" s="139"/>
      <c r="F2796" s="139" t="s">
        <v>4980</v>
      </c>
      <c r="G2796" s="139" t="s">
        <v>10261</v>
      </c>
      <c r="H2796" s="269" t="s">
        <v>1762</v>
      </c>
      <c r="I2796" s="139" t="s">
        <v>1762</v>
      </c>
      <c r="J2796" s="139" t="s">
        <v>10261</v>
      </c>
      <c r="K2796" s="139" t="s">
        <v>10261</v>
      </c>
      <c r="L2796" s="139"/>
      <c r="M2796" s="139">
        <v>2</v>
      </c>
      <c r="N2796" s="139">
        <v>2</v>
      </c>
      <c r="O2796" s="139">
        <v>2</v>
      </c>
      <c r="P2796" s="139"/>
      <c r="Q2796" s="139"/>
      <c r="R2796" s="1234" t="s">
        <v>10262</v>
      </c>
      <c r="S2796" s="1234" t="s">
        <v>10263</v>
      </c>
      <c r="T2796" s="139" t="s">
        <v>7372</v>
      </c>
      <c r="U2796" s="1861" t="s">
        <v>7372</v>
      </c>
      <c r="V2796" s="139" t="s">
        <v>6170</v>
      </c>
      <c r="W2796" s="2084"/>
      <c r="X2796" s="18"/>
      <c r="Y2796" s="4"/>
      <c r="Z2796" s="4"/>
    </row>
    <row r="2797" spans="1:26" ht="14.1" hidden="1">
      <c r="A2797" s="20">
        <v>2804</v>
      </c>
      <c r="B2797" s="1063">
        <v>42574</v>
      </c>
      <c r="C2797" s="26" t="s">
        <v>10264</v>
      </c>
      <c r="D2797" s="11"/>
      <c r="E2797" s="26" t="s">
        <v>7498</v>
      </c>
      <c r="F2797" s="26" t="s">
        <v>4980</v>
      </c>
      <c r="G2797" s="26" t="s">
        <v>7548</v>
      </c>
      <c r="H2797" s="237" t="s">
        <v>1762</v>
      </c>
      <c r="I2797" s="26" t="s">
        <v>1762</v>
      </c>
      <c r="J2797" s="26" t="s">
        <v>7548</v>
      </c>
      <c r="K2797" s="26" t="s">
        <v>7548</v>
      </c>
      <c r="L2797" s="26"/>
      <c r="M2797" s="26">
        <v>2</v>
      </c>
      <c r="N2797" s="26">
        <v>2</v>
      </c>
      <c r="O2797" s="26">
        <v>2</v>
      </c>
      <c r="P2797" s="26"/>
      <c r="Q2797" s="26"/>
      <c r="R2797" s="1209" t="s">
        <v>10265</v>
      </c>
      <c r="S2797" s="1209" t="s">
        <v>10266</v>
      </c>
      <c r="T2797" s="26" t="s">
        <v>7372</v>
      </c>
      <c r="U2797" s="1859" t="s">
        <v>7372</v>
      </c>
      <c r="V2797" s="26" t="s">
        <v>6170</v>
      </c>
      <c r="W2797" s="2084"/>
      <c r="X2797" s="18"/>
      <c r="Y2797" s="4"/>
      <c r="Z2797" s="4"/>
    </row>
    <row r="2798" spans="1:26" ht="12.95" hidden="1">
      <c r="A2798" s="20">
        <v>2805</v>
      </c>
      <c r="B2798" s="1063">
        <v>42575</v>
      </c>
      <c r="C2798" s="139" t="s">
        <v>7549</v>
      </c>
      <c r="D2798" s="139"/>
      <c r="E2798" s="139"/>
      <c r="F2798" s="139" t="s">
        <v>4980</v>
      </c>
      <c r="G2798" s="139" t="s">
        <v>7550</v>
      </c>
      <c r="H2798" s="269" t="s">
        <v>1762</v>
      </c>
      <c r="I2798" s="139" t="s">
        <v>1762</v>
      </c>
      <c r="J2798" s="139" t="s">
        <v>7550</v>
      </c>
      <c r="K2798" s="139" t="s">
        <v>7550</v>
      </c>
      <c r="L2798" s="139"/>
      <c r="M2798" s="139">
        <v>10</v>
      </c>
      <c r="N2798" s="139">
        <v>10</v>
      </c>
      <c r="O2798" s="139">
        <v>10</v>
      </c>
      <c r="P2798" s="139"/>
      <c r="Q2798" s="139"/>
      <c r="R2798" s="1234" t="s">
        <v>10267</v>
      </c>
      <c r="S2798" s="1234" t="s">
        <v>10268</v>
      </c>
      <c r="T2798" s="139" t="s">
        <v>7372</v>
      </c>
      <c r="U2798" s="1861" t="s">
        <v>7372</v>
      </c>
      <c r="V2798" s="139" t="s">
        <v>6170</v>
      </c>
      <c r="W2798" s="2084"/>
      <c r="X2798" s="18"/>
      <c r="Y2798" s="4"/>
      <c r="Z2798" s="4"/>
    </row>
    <row r="2799" spans="1:26" ht="24.95" hidden="1">
      <c r="A2799" s="20">
        <v>2806</v>
      </c>
      <c r="B2799" s="1063">
        <v>42576</v>
      </c>
      <c r="C2799" s="26" t="s">
        <v>10269</v>
      </c>
      <c r="D2799" s="11"/>
      <c r="E2799" s="26" t="s">
        <v>7498</v>
      </c>
      <c r="F2799" s="26" t="s">
        <v>4980</v>
      </c>
      <c r="G2799" s="26" t="s">
        <v>10270</v>
      </c>
      <c r="H2799" s="237" t="s">
        <v>1762</v>
      </c>
      <c r="I2799" s="26" t="s">
        <v>1762</v>
      </c>
      <c r="J2799" s="26" t="s">
        <v>10270</v>
      </c>
      <c r="K2799" s="26" t="s">
        <v>10270</v>
      </c>
      <c r="L2799" s="26"/>
      <c r="M2799" s="26">
        <v>1</v>
      </c>
      <c r="N2799" s="26">
        <v>1</v>
      </c>
      <c r="O2799" s="26">
        <v>1</v>
      </c>
      <c r="P2799" s="26"/>
      <c r="Q2799" s="26"/>
      <c r="R2799" s="1209" t="s">
        <v>10271</v>
      </c>
      <c r="S2799" s="1209" t="s">
        <v>10272</v>
      </c>
      <c r="T2799" s="26" t="s">
        <v>7372</v>
      </c>
      <c r="U2799" s="1859" t="s">
        <v>7372</v>
      </c>
      <c r="V2799" s="26" t="s">
        <v>6170</v>
      </c>
      <c r="W2799" s="2084"/>
      <c r="X2799" s="18"/>
      <c r="Y2799" s="4"/>
      <c r="Z2799" s="4"/>
    </row>
    <row r="2800" spans="1:26" ht="12.95" hidden="1">
      <c r="A2800" s="20">
        <v>2807</v>
      </c>
      <c r="B2800" s="1063">
        <v>42577</v>
      </c>
      <c r="C2800" s="139" t="s">
        <v>10273</v>
      </c>
      <c r="D2800" s="139"/>
      <c r="E2800" s="139"/>
      <c r="F2800" s="139" t="s">
        <v>4980</v>
      </c>
      <c r="G2800" s="139" t="s">
        <v>10274</v>
      </c>
      <c r="H2800" s="269" t="s">
        <v>1762</v>
      </c>
      <c r="I2800" s="139" t="s">
        <v>1762</v>
      </c>
      <c r="J2800" s="139" t="s">
        <v>10274</v>
      </c>
      <c r="K2800" s="139" t="s">
        <v>10274</v>
      </c>
      <c r="L2800" s="139"/>
      <c r="M2800" s="139">
        <v>1</v>
      </c>
      <c r="N2800" s="139">
        <v>1</v>
      </c>
      <c r="O2800" s="139">
        <v>1</v>
      </c>
      <c r="P2800" s="139"/>
      <c r="Q2800" s="139"/>
      <c r="R2800" s="1234" t="s">
        <v>10275</v>
      </c>
      <c r="S2800" s="1234" t="s">
        <v>10275</v>
      </c>
      <c r="T2800" s="139" t="s">
        <v>7372</v>
      </c>
      <c r="U2800" s="1861" t="s">
        <v>7372</v>
      </c>
      <c r="V2800" s="139" t="s">
        <v>6170</v>
      </c>
      <c r="W2800" s="2084"/>
      <c r="X2800" s="18"/>
      <c r="Y2800" s="4"/>
      <c r="Z2800" s="4"/>
    </row>
    <row r="2801" spans="1:26" ht="14.1" hidden="1">
      <c r="A2801" s="20">
        <v>2808</v>
      </c>
      <c r="B2801" s="1063">
        <v>42578</v>
      </c>
      <c r="C2801" s="26" t="s">
        <v>10276</v>
      </c>
      <c r="D2801" s="11"/>
      <c r="E2801" s="26" t="s">
        <v>7498</v>
      </c>
      <c r="F2801" s="26" t="s">
        <v>4980</v>
      </c>
      <c r="G2801" s="26" t="s">
        <v>10277</v>
      </c>
      <c r="H2801" s="237" t="s">
        <v>1762</v>
      </c>
      <c r="I2801" s="26" t="s">
        <v>1762</v>
      </c>
      <c r="J2801" s="26" t="s">
        <v>10277</v>
      </c>
      <c r="K2801" s="26" t="s">
        <v>10277</v>
      </c>
      <c r="L2801" s="26"/>
      <c r="M2801" s="26">
        <v>2</v>
      </c>
      <c r="N2801" s="26">
        <v>2</v>
      </c>
      <c r="O2801" s="26">
        <v>2</v>
      </c>
      <c r="P2801" s="26"/>
      <c r="Q2801" s="26"/>
      <c r="R2801" s="1288" t="s">
        <v>10278</v>
      </c>
      <c r="S2801" s="1209" t="s">
        <v>10279</v>
      </c>
      <c r="T2801" s="26" t="s">
        <v>7372</v>
      </c>
      <c r="U2801" s="1859" t="s">
        <v>7372</v>
      </c>
      <c r="V2801" s="26" t="s">
        <v>6170</v>
      </c>
      <c r="W2801" s="2084"/>
      <c r="X2801" s="18"/>
      <c r="Y2801" s="4"/>
      <c r="Z2801" s="4"/>
    </row>
    <row r="2802" spans="1:26" ht="14.1" hidden="1">
      <c r="A2802" s="20">
        <v>2809</v>
      </c>
      <c r="B2802" s="1063">
        <v>42579</v>
      </c>
      <c r="C2802" s="26" t="s">
        <v>10280</v>
      </c>
      <c r="D2802" s="11"/>
      <c r="E2802" s="26" t="s">
        <v>7498</v>
      </c>
      <c r="F2802" s="26" t="s">
        <v>4980</v>
      </c>
      <c r="G2802" s="26" t="s">
        <v>10281</v>
      </c>
      <c r="H2802" s="237" t="s">
        <v>1762</v>
      </c>
      <c r="I2802" s="26" t="s">
        <v>1762</v>
      </c>
      <c r="J2802" s="26" t="s">
        <v>10281</v>
      </c>
      <c r="K2802" s="26" t="s">
        <v>10281</v>
      </c>
      <c r="L2802" s="26"/>
      <c r="M2802" s="26">
        <v>1</v>
      </c>
      <c r="N2802" s="26">
        <v>1</v>
      </c>
      <c r="O2802" s="26">
        <v>1</v>
      </c>
      <c r="P2802" s="26"/>
      <c r="Q2802" s="26"/>
      <c r="R2802" s="1209" t="s">
        <v>10282</v>
      </c>
      <c r="S2802" s="1209" t="s">
        <v>10282</v>
      </c>
      <c r="T2802" s="26" t="s">
        <v>7372</v>
      </c>
      <c r="U2802" s="1859" t="s">
        <v>7372</v>
      </c>
      <c r="V2802" s="26" t="s">
        <v>6170</v>
      </c>
      <c r="W2802" s="2084"/>
      <c r="X2802" s="18"/>
      <c r="Y2802" s="4"/>
      <c r="Z2802" s="4"/>
    </row>
    <row r="2803" spans="1:26" ht="14.1" hidden="1">
      <c r="A2803" s="20">
        <v>2810</v>
      </c>
      <c r="B2803" s="1063">
        <v>42580</v>
      </c>
      <c r="C2803" s="26" t="s">
        <v>10283</v>
      </c>
      <c r="D2803" s="11"/>
      <c r="E2803" s="26" t="s">
        <v>7498</v>
      </c>
      <c r="F2803" s="26" t="s">
        <v>4980</v>
      </c>
      <c r="G2803" s="26" t="s">
        <v>10284</v>
      </c>
      <c r="H2803" s="237" t="s">
        <v>1762</v>
      </c>
      <c r="I2803" s="26" t="s">
        <v>1762</v>
      </c>
      <c r="J2803" s="26" t="s">
        <v>10284</v>
      </c>
      <c r="K2803" s="26" t="s">
        <v>10284</v>
      </c>
      <c r="L2803" s="26"/>
      <c r="M2803" s="26">
        <v>1</v>
      </c>
      <c r="N2803" s="26">
        <v>1</v>
      </c>
      <c r="O2803" s="26">
        <v>1</v>
      </c>
      <c r="P2803" s="26"/>
      <c r="Q2803" s="26"/>
      <c r="R2803" s="1209" t="s">
        <v>10275</v>
      </c>
      <c r="S2803" s="1209" t="s">
        <v>10275</v>
      </c>
      <c r="T2803" s="26" t="s">
        <v>7372</v>
      </c>
      <c r="U2803" s="1859" t="s">
        <v>7372</v>
      </c>
      <c r="V2803" s="26" t="s">
        <v>6170</v>
      </c>
      <c r="W2803" s="2084"/>
      <c r="X2803" s="18"/>
      <c r="Y2803" s="4"/>
      <c r="Z2803" s="4"/>
    </row>
    <row r="2804" spans="1:26" ht="12.95" hidden="1">
      <c r="A2804" s="20">
        <v>2811</v>
      </c>
      <c r="B2804" s="1063">
        <v>42581</v>
      </c>
      <c r="C2804" s="139" t="s">
        <v>10285</v>
      </c>
      <c r="D2804" s="139"/>
      <c r="E2804" s="139"/>
      <c r="F2804" s="139" t="s">
        <v>4980</v>
      </c>
      <c r="G2804" s="139" t="s">
        <v>7562</v>
      </c>
      <c r="H2804" s="269" t="s">
        <v>1762</v>
      </c>
      <c r="I2804" s="139" t="s">
        <v>1762</v>
      </c>
      <c r="J2804" s="139" t="s">
        <v>7562</v>
      </c>
      <c r="K2804" s="139" t="s">
        <v>7562</v>
      </c>
      <c r="L2804" s="139"/>
      <c r="M2804" s="139">
        <v>1</v>
      </c>
      <c r="N2804" s="139">
        <v>1</v>
      </c>
      <c r="O2804" s="139">
        <v>1</v>
      </c>
      <c r="P2804" s="139"/>
      <c r="Q2804" s="139"/>
      <c r="R2804" s="1234" t="s">
        <v>10286</v>
      </c>
      <c r="S2804" s="1234" t="s">
        <v>10286</v>
      </c>
      <c r="T2804" s="139" t="s">
        <v>7372</v>
      </c>
      <c r="U2804" s="1861" t="s">
        <v>7372</v>
      </c>
      <c r="V2804" s="139" t="s">
        <v>6170</v>
      </c>
      <c r="W2804" s="2084"/>
      <c r="X2804" s="18"/>
      <c r="Y2804" s="4"/>
      <c r="Z2804" s="4"/>
    </row>
    <row r="2805" spans="1:26" ht="14.1" hidden="1">
      <c r="A2805" s="20">
        <v>2812</v>
      </c>
      <c r="B2805" s="1063">
        <v>42582</v>
      </c>
      <c r="C2805" s="26" t="s">
        <v>10287</v>
      </c>
      <c r="D2805" s="11"/>
      <c r="E2805" s="26" t="s">
        <v>7498</v>
      </c>
      <c r="F2805" s="26" t="s">
        <v>4980</v>
      </c>
      <c r="G2805" s="26" t="s">
        <v>10288</v>
      </c>
      <c r="H2805" s="237" t="s">
        <v>1762</v>
      </c>
      <c r="I2805" s="26" t="s">
        <v>1762</v>
      </c>
      <c r="J2805" s="26" t="s">
        <v>10288</v>
      </c>
      <c r="K2805" s="26" t="s">
        <v>10288</v>
      </c>
      <c r="L2805" s="26"/>
      <c r="M2805" s="26">
        <v>2</v>
      </c>
      <c r="N2805" s="26">
        <v>2</v>
      </c>
      <c r="O2805" s="26">
        <v>2</v>
      </c>
      <c r="P2805" s="26"/>
      <c r="Q2805" s="26"/>
      <c r="R2805" s="1288" t="s">
        <v>10289</v>
      </c>
      <c r="S2805" s="1209" t="s">
        <v>10290</v>
      </c>
      <c r="T2805" s="26" t="s">
        <v>7372</v>
      </c>
      <c r="U2805" s="1859" t="s">
        <v>7372</v>
      </c>
      <c r="V2805" s="26" t="s">
        <v>6170</v>
      </c>
      <c r="W2805" s="2084"/>
      <c r="X2805" s="18"/>
      <c r="Y2805" s="4"/>
      <c r="Z2805" s="4"/>
    </row>
    <row r="2806" spans="1:26" ht="24.95" hidden="1">
      <c r="A2806" s="20">
        <v>2813</v>
      </c>
      <c r="B2806" s="1063">
        <v>42583</v>
      </c>
      <c r="C2806" s="26" t="s">
        <v>10291</v>
      </c>
      <c r="D2806" s="11"/>
      <c r="E2806" s="26" t="s">
        <v>7498</v>
      </c>
      <c r="F2806" s="26" t="s">
        <v>4980</v>
      </c>
      <c r="G2806" s="26" t="s">
        <v>5117</v>
      </c>
      <c r="H2806" s="237" t="s">
        <v>1762</v>
      </c>
      <c r="I2806" s="26" t="s">
        <v>1762</v>
      </c>
      <c r="J2806" s="26" t="s">
        <v>5117</v>
      </c>
      <c r="K2806" s="26" t="s">
        <v>5117</v>
      </c>
      <c r="L2806" s="26"/>
      <c r="M2806" s="26">
        <v>1</v>
      </c>
      <c r="N2806" s="26">
        <v>1</v>
      </c>
      <c r="O2806" s="26">
        <v>1</v>
      </c>
      <c r="P2806" s="26"/>
      <c r="Q2806" s="26"/>
      <c r="R2806" s="1209" t="s">
        <v>10292</v>
      </c>
      <c r="S2806" s="1209" t="s">
        <v>10292</v>
      </c>
      <c r="T2806" s="26" t="s">
        <v>7372</v>
      </c>
      <c r="U2806" s="1859" t="s">
        <v>7372</v>
      </c>
      <c r="V2806" s="26" t="s">
        <v>6170</v>
      </c>
      <c r="W2806" s="2084"/>
      <c r="X2806" s="18"/>
      <c r="Y2806" s="4"/>
      <c r="Z2806" s="4"/>
    </row>
    <row r="2807" spans="1:26" ht="14.1" hidden="1">
      <c r="A2807" s="20">
        <v>2814</v>
      </c>
      <c r="B2807" s="1063">
        <v>42584</v>
      </c>
      <c r="C2807" s="26" t="s">
        <v>10293</v>
      </c>
      <c r="D2807" s="11"/>
      <c r="E2807" s="26" t="s">
        <v>7498</v>
      </c>
      <c r="F2807" s="26" t="s">
        <v>4980</v>
      </c>
      <c r="G2807" s="26" t="s">
        <v>10294</v>
      </c>
      <c r="H2807" s="237" t="s">
        <v>1762</v>
      </c>
      <c r="I2807" s="26" t="s">
        <v>1762</v>
      </c>
      <c r="J2807" s="26" t="s">
        <v>10294</v>
      </c>
      <c r="K2807" s="26" t="s">
        <v>10294</v>
      </c>
      <c r="L2807" s="26"/>
      <c r="M2807" s="26">
        <v>2</v>
      </c>
      <c r="N2807" s="26">
        <v>2</v>
      </c>
      <c r="O2807" s="26">
        <v>2</v>
      </c>
      <c r="P2807" s="26"/>
      <c r="Q2807" s="26"/>
      <c r="R2807" s="1209" t="s">
        <v>10289</v>
      </c>
      <c r="S2807" s="1209" t="s">
        <v>10290</v>
      </c>
      <c r="T2807" s="26" t="s">
        <v>7372</v>
      </c>
      <c r="U2807" s="1859" t="s">
        <v>7372</v>
      </c>
      <c r="V2807" s="26" t="s">
        <v>6170</v>
      </c>
      <c r="W2807" s="2084"/>
      <c r="X2807" s="18"/>
      <c r="Y2807" s="4"/>
      <c r="Z2807" s="4"/>
    </row>
    <row r="2808" spans="1:26" ht="14.1" hidden="1">
      <c r="A2808" s="20">
        <v>2815</v>
      </c>
      <c r="B2808" s="1063">
        <v>42585</v>
      </c>
      <c r="C2808" s="26" t="s">
        <v>10295</v>
      </c>
      <c r="D2808" s="11"/>
      <c r="E2808" s="26" t="s">
        <v>7498</v>
      </c>
      <c r="F2808" s="26" t="s">
        <v>4980</v>
      </c>
      <c r="G2808" s="26" t="s">
        <v>10296</v>
      </c>
      <c r="H2808" s="237" t="s">
        <v>1762</v>
      </c>
      <c r="I2808" s="26" t="s">
        <v>1762</v>
      </c>
      <c r="J2808" s="26" t="s">
        <v>10296</v>
      </c>
      <c r="K2808" s="26" t="s">
        <v>10296</v>
      </c>
      <c r="L2808" s="26"/>
      <c r="M2808" s="26">
        <v>2</v>
      </c>
      <c r="N2808" s="26">
        <v>2</v>
      </c>
      <c r="O2808" s="26">
        <v>2</v>
      </c>
      <c r="P2808" s="26"/>
      <c r="Q2808" s="26"/>
      <c r="R2808" s="1209" t="s">
        <v>10297</v>
      </c>
      <c r="S2808" s="1209" t="s">
        <v>10298</v>
      </c>
      <c r="T2808" s="26" t="s">
        <v>7372</v>
      </c>
      <c r="U2808" s="1859" t="s">
        <v>7372</v>
      </c>
      <c r="V2808" s="26" t="s">
        <v>6170</v>
      </c>
      <c r="W2808" s="2084"/>
      <c r="X2808" s="18"/>
      <c r="Y2808" s="4"/>
      <c r="Z2808" s="4"/>
    </row>
    <row r="2809" spans="1:26" ht="14.1" hidden="1">
      <c r="A2809" s="20">
        <v>2816</v>
      </c>
      <c r="B2809" s="1063">
        <v>42586</v>
      </c>
      <c r="C2809" s="26" t="s">
        <v>10299</v>
      </c>
      <c r="D2809" s="11"/>
      <c r="E2809" s="26" t="s">
        <v>7498</v>
      </c>
      <c r="F2809" s="26" t="s">
        <v>4980</v>
      </c>
      <c r="G2809" s="26" t="s">
        <v>10300</v>
      </c>
      <c r="H2809" s="237" t="s">
        <v>1762</v>
      </c>
      <c r="I2809" s="26" t="s">
        <v>1762</v>
      </c>
      <c r="J2809" s="26" t="s">
        <v>10300</v>
      </c>
      <c r="K2809" s="26" t="s">
        <v>10300</v>
      </c>
      <c r="L2809" s="26"/>
      <c r="M2809" s="26">
        <v>1</v>
      </c>
      <c r="N2809" s="26">
        <v>1</v>
      </c>
      <c r="O2809" s="26">
        <v>1</v>
      </c>
      <c r="P2809" s="26"/>
      <c r="Q2809" s="26"/>
      <c r="R2809" s="1209" t="s">
        <v>10279</v>
      </c>
      <c r="S2809" s="1209" t="s">
        <v>10279</v>
      </c>
      <c r="T2809" s="26" t="s">
        <v>7372</v>
      </c>
      <c r="U2809" s="1859" t="s">
        <v>7372</v>
      </c>
      <c r="V2809" s="26" t="s">
        <v>6170</v>
      </c>
      <c r="W2809" s="2084"/>
      <c r="X2809" s="18"/>
      <c r="Y2809" s="4"/>
      <c r="Z2809" s="4"/>
    </row>
    <row r="2810" spans="1:26" ht="14.1" hidden="1">
      <c r="A2810" s="20">
        <v>2817</v>
      </c>
      <c r="B2810" s="1063">
        <v>42587</v>
      </c>
      <c r="C2810" s="26" t="s">
        <v>10301</v>
      </c>
      <c r="D2810" s="11"/>
      <c r="E2810" s="26" t="s">
        <v>7498</v>
      </c>
      <c r="F2810" s="26" t="s">
        <v>4980</v>
      </c>
      <c r="G2810" s="26" t="s">
        <v>10302</v>
      </c>
      <c r="H2810" s="237" t="s">
        <v>1762</v>
      </c>
      <c r="I2810" s="26" t="s">
        <v>1762</v>
      </c>
      <c r="J2810" s="26" t="s">
        <v>10302</v>
      </c>
      <c r="K2810" s="26" t="s">
        <v>10302</v>
      </c>
      <c r="L2810" s="26"/>
      <c r="M2810" s="26">
        <v>2</v>
      </c>
      <c r="N2810" s="26">
        <v>2</v>
      </c>
      <c r="O2810" s="26">
        <v>2</v>
      </c>
      <c r="P2810" s="26"/>
      <c r="Q2810" s="26"/>
      <c r="R2810" s="1209" t="s">
        <v>10303</v>
      </c>
      <c r="S2810" s="1209" t="s">
        <v>10272</v>
      </c>
      <c r="T2810" s="26" t="s">
        <v>7372</v>
      </c>
      <c r="U2810" s="1859" t="s">
        <v>7372</v>
      </c>
      <c r="V2810" s="26" t="s">
        <v>6170</v>
      </c>
      <c r="W2810" s="2084"/>
      <c r="X2810" s="18"/>
      <c r="Y2810" s="4"/>
      <c r="Z2810" s="4"/>
    </row>
    <row r="2811" spans="1:26" ht="14.1" hidden="1">
      <c r="A2811" s="20">
        <v>2818</v>
      </c>
      <c r="B2811" s="1063">
        <v>42588</v>
      </c>
      <c r="C2811" s="26" t="s">
        <v>10304</v>
      </c>
      <c r="D2811" s="11"/>
      <c r="E2811" s="26" t="s">
        <v>7498</v>
      </c>
      <c r="F2811" s="26" t="s">
        <v>4980</v>
      </c>
      <c r="G2811" s="26" t="s">
        <v>10305</v>
      </c>
      <c r="H2811" s="237" t="s">
        <v>1762</v>
      </c>
      <c r="I2811" s="26" t="s">
        <v>1762</v>
      </c>
      <c r="J2811" s="26" t="s">
        <v>10305</v>
      </c>
      <c r="K2811" s="26" t="s">
        <v>10305</v>
      </c>
      <c r="L2811" s="26"/>
      <c r="M2811" s="26">
        <v>1</v>
      </c>
      <c r="N2811" s="26">
        <v>1</v>
      </c>
      <c r="O2811" s="26">
        <v>1</v>
      </c>
      <c r="P2811" s="26"/>
      <c r="Q2811" s="26"/>
      <c r="R2811" s="1209" t="s">
        <v>10306</v>
      </c>
      <c r="S2811" s="1209" t="s">
        <v>10306</v>
      </c>
      <c r="T2811" s="26" t="s">
        <v>7372</v>
      </c>
      <c r="U2811" s="1859" t="s">
        <v>7372</v>
      </c>
      <c r="V2811" s="26" t="s">
        <v>6170</v>
      </c>
      <c r="W2811" s="2084"/>
      <c r="X2811" s="18"/>
      <c r="Y2811" s="4"/>
      <c r="Z2811" s="4"/>
    </row>
    <row r="2812" spans="1:26" ht="14.1" hidden="1">
      <c r="A2812" s="20">
        <v>2819</v>
      </c>
      <c r="B2812" s="1063">
        <v>42589</v>
      </c>
      <c r="C2812" s="26" t="s">
        <v>10307</v>
      </c>
      <c r="D2812" s="11"/>
      <c r="E2812" s="26" t="s">
        <v>7498</v>
      </c>
      <c r="F2812" s="26" t="s">
        <v>4980</v>
      </c>
      <c r="G2812" s="26" t="s">
        <v>10308</v>
      </c>
      <c r="H2812" s="237" t="s">
        <v>1762</v>
      </c>
      <c r="I2812" s="26" t="s">
        <v>1762</v>
      </c>
      <c r="J2812" s="208" t="s">
        <v>10309</v>
      </c>
      <c r="K2812" s="208" t="s">
        <v>10309</v>
      </c>
      <c r="L2812" s="26"/>
      <c r="M2812" s="26">
        <v>8</v>
      </c>
      <c r="N2812" s="26">
        <v>4</v>
      </c>
      <c r="O2812" s="26">
        <v>8</v>
      </c>
      <c r="P2812" s="26"/>
      <c r="Q2812" s="26"/>
      <c r="R2812" s="1209" t="s">
        <v>10310</v>
      </c>
      <c r="S2812" s="1209" t="s">
        <v>10311</v>
      </c>
      <c r="T2812" s="26" t="s">
        <v>7372</v>
      </c>
      <c r="U2812" s="1859" t="s">
        <v>7372</v>
      </c>
      <c r="V2812" s="26" t="s">
        <v>6170</v>
      </c>
      <c r="W2812" s="2084"/>
      <c r="X2812" s="18"/>
      <c r="Y2812" s="4"/>
      <c r="Z2812" s="4"/>
    </row>
    <row r="2813" spans="1:26" ht="14.1" hidden="1">
      <c r="A2813" s="20">
        <v>2820</v>
      </c>
      <c r="B2813" s="1063">
        <v>42590</v>
      </c>
      <c r="C2813" s="26" t="s">
        <v>10312</v>
      </c>
      <c r="D2813" s="8" t="s">
        <v>6</v>
      </c>
      <c r="E2813" s="26" t="s">
        <v>7956</v>
      </c>
      <c r="F2813" s="26" t="s">
        <v>10313</v>
      </c>
      <c r="G2813" s="52" t="s">
        <v>10314</v>
      </c>
      <c r="H2813" s="306" t="s">
        <v>249</v>
      </c>
      <c r="I2813" s="26" t="s">
        <v>2513</v>
      </c>
      <c r="J2813" s="26" t="s">
        <v>10315</v>
      </c>
      <c r="K2813" s="26" t="s">
        <v>10316</v>
      </c>
      <c r="L2813" s="26"/>
      <c r="M2813" s="26">
        <v>10</v>
      </c>
      <c r="N2813" s="26">
        <v>1</v>
      </c>
      <c r="O2813" s="26">
        <v>10</v>
      </c>
      <c r="P2813" s="26">
        <v>0</v>
      </c>
      <c r="Q2813" s="26">
        <v>0</v>
      </c>
      <c r="R2813" s="1289">
        <v>301.39999999999998</v>
      </c>
      <c r="S2813" s="1289">
        <v>3014</v>
      </c>
      <c r="T2813" s="26" t="s">
        <v>5448</v>
      </c>
      <c r="U2813" s="1859" t="s">
        <v>9458</v>
      </c>
      <c r="V2813" s="26" t="s">
        <v>10317</v>
      </c>
      <c r="W2813" s="2074" t="s">
        <v>10318</v>
      </c>
      <c r="X2813" s="18"/>
      <c r="Y2813" s="4"/>
      <c r="Z2813" s="4"/>
    </row>
    <row r="2814" spans="1:26" ht="24.95" hidden="1">
      <c r="A2814" s="20">
        <v>2821</v>
      </c>
      <c r="B2814" s="1063">
        <v>42591</v>
      </c>
      <c r="C2814" s="26" t="s">
        <v>10319</v>
      </c>
      <c r="D2814" s="11"/>
      <c r="E2814" s="26" t="s">
        <v>10013</v>
      </c>
      <c r="F2814" s="26" t="s">
        <v>784</v>
      </c>
      <c r="G2814" s="52" t="s">
        <v>10320</v>
      </c>
      <c r="H2814" s="306" t="s">
        <v>10321</v>
      </c>
      <c r="I2814" s="26" t="s">
        <v>10321</v>
      </c>
      <c r="J2814" s="26" t="s">
        <v>10322</v>
      </c>
      <c r="K2814" s="26" t="s">
        <v>10322</v>
      </c>
      <c r="L2814" s="26"/>
      <c r="M2814" s="26">
        <v>4</v>
      </c>
      <c r="N2814" s="26">
        <v>1</v>
      </c>
      <c r="O2814" s="26">
        <v>4</v>
      </c>
      <c r="P2814" s="26">
        <v>0</v>
      </c>
      <c r="Q2814" s="26">
        <v>0</v>
      </c>
      <c r="R2814" s="1209">
        <v>63000</v>
      </c>
      <c r="S2814" s="1209">
        <f>R2814*O2814</f>
        <v>252000</v>
      </c>
      <c r="T2814" s="26" t="s">
        <v>10016</v>
      </c>
      <c r="U2814" s="1859" t="s">
        <v>10017</v>
      </c>
      <c r="V2814" s="26" t="s">
        <v>10323</v>
      </c>
      <c r="W2814" s="2074" t="s">
        <v>10324</v>
      </c>
      <c r="X2814" s="18"/>
      <c r="Y2814" s="4"/>
      <c r="Z2814" s="4"/>
    </row>
    <row r="2815" spans="1:26" ht="14.1" hidden="1">
      <c r="A2815" s="20">
        <v>2822</v>
      </c>
      <c r="B2815" s="1063">
        <v>42592</v>
      </c>
      <c r="C2815" s="26" t="s">
        <v>10325</v>
      </c>
      <c r="D2815" s="11" t="s">
        <v>6</v>
      </c>
      <c r="E2815" s="26" t="s">
        <v>2722</v>
      </c>
      <c r="F2815" s="26" t="s">
        <v>2143</v>
      </c>
      <c r="G2815" s="52" t="s">
        <v>10326</v>
      </c>
      <c r="H2815" s="306"/>
      <c r="I2815" s="26" t="s">
        <v>4646</v>
      </c>
      <c r="J2815" s="26"/>
      <c r="K2815" s="26"/>
      <c r="L2815" s="26"/>
      <c r="M2815" s="26">
        <v>3</v>
      </c>
      <c r="N2815" s="26">
        <v>1</v>
      </c>
      <c r="O2815" s="26">
        <v>3</v>
      </c>
      <c r="P2815" s="26">
        <v>0</v>
      </c>
      <c r="Q2815" s="26">
        <v>0</v>
      </c>
      <c r="R2815" s="1209">
        <v>11200</v>
      </c>
      <c r="S2815" s="1209">
        <v>33600</v>
      </c>
      <c r="T2815" s="26" t="s">
        <v>929</v>
      </c>
      <c r="U2815" s="1859" t="s">
        <v>118</v>
      </c>
      <c r="V2815" s="26" t="s">
        <v>6170</v>
      </c>
      <c r="W2815" s="2084"/>
      <c r="X2815" s="18"/>
      <c r="Y2815" s="4"/>
      <c r="Z2815" s="4"/>
    </row>
    <row r="2816" spans="1:26" ht="24.95" hidden="1">
      <c r="A2816" s="20">
        <v>2823</v>
      </c>
      <c r="B2816" s="1063">
        <v>42593</v>
      </c>
      <c r="C2816" s="26" t="s">
        <v>10327</v>
      </c>
      <c r="D2816" s="11"/>
      <c r="E2816" s="26" t="s">
        <v>10013</v>
      </c>
      <c r="F2816" s="26" t="s">
        <v>784</v>
      </c>
      <c r="G2816" s="52" t="s">
        <v>10328</v>
      </c>
      <c r="H2816" s="306" t="s">
        <v>10329</v>
      </c>
      <c r="I2816" s="26" t="s">
        <v>10330</v>
      </c>
      <c r="J2816" s="26" t="s">
        <v>10331</v>
      </c>
      <c r="K2816" s="26" t="s">
        <v>10331</v>
      </c>
      <c r="L2816" s="26"/>
      <c r="M2816" s="26">
        <v>1</v>
      </c>
      <c r="N2816" s="26">
        <v>1</v>
      </c>
      <c r="O2816" s="26">
        <v>1</v>
      </c>
      <c r="P2816" s="26">
        <v>0</v>
      </c>
      <c r="Q2816" s="26">
        <v>0</v>
      </c>
      <c r="R2816" s="1209">
        <v>138600</v>
      </c>
      <c r="S2816" s="1209">
        <f t="shared" ref="S2816:S2818" si="154">R2816*O2816</f>
        <v>138600</v>
      </c>
      <c r="T2816" s="26" t="s">
        <v>10016</v>
      </c>
      <c r="U2816" s="1859" t="s">
        <v>10017</v>
      </c>
      <c r="V2816" s="26" t="s">
        <v>10323</v>
      </c>
      <c r="W2816" s="2084"/>
      <c r="X2816" s="18"/>
      <c r="Y2816" s="4"/>
      <c r="Z2816" s="4"/>
    </row>
    <row r="2817" spans="1:26" ht="24.95" hidden="1">
      <c r="A2817" s="20">
        <v>2824</v>
      </c>
      <c r="B2817" s="1063">
        <v>42594</v>
      </c>
      <c r="C2817" s="26" t="s">
        <v>10332</v>
      </c>
      <c r="D2817" s="11"/>
      <c r="E2817" s="26" t="s">
        <v>10013</v>
      </c>
      <c r="F2817" s="26" t="s">
        <v>784</v>
      </c>
      <c r="G2817" s="52" t="s">
        <v>10328</v>
      </c>
      <c r="H2817" s="306" t="s">
        <v>10329</v>
      </c>
      <c r="I2817" s="26" t="s">
        <v>10330</v>
      </c>
      <c r="J2817" s="26" t="s">
        <v>10333</v>
      </c>
      <c r="K2817" s="26" t="s">
        <v>10333</v>
      </c>
      <c r="L2817" s="26"/>
      <c r="M2817" s="26">
        <v>1</v>
      </c>
      <c r="N2817" s="26">
        <v>1</v>
      </c>
      <c r="O2817" s="26">
        <v>1</v>
      </c>
      <c r="P2817" s="26">
        <v>0</v>
      </c>
      <c r="Q2817" s="26">
        <v>0</v>
      </c>
      <c r="R2817" s="1209">
        <v>209880</v>
      </c>
      <c r="S2817" s="1209">
        <f t="shared" si="154"/>
        <v>209880</v>
      </c>
      <c r="T2817" s="26" t="s">
        <v>10016</v>
      </c>
      <c r="U2817" s="1859" t="s">
        <v>10017</v>
      </c>
      <c r="V2817" s="26" t="s">
        <v>10323</v>
      </c>
      <c r="W2817" s="2084"/>
      <c r="X2817" s="18"/>
      <c r="Y2817" s="4"/>
      <c r="Z2817" s="4"/>
    </row>
    <row r="2818" spans="1:26" ht="20.25" hidden="1" customHeight="1">
      <c r="A2818" s="20">
        <v>2825</v>
      </c>
      <c r="B2818" s="1063">
        <v>42595</v>
      </c>
      <c r="C2818" s="958" t="s">
        <v>10334</v>
      </c>
      <c r="D2818" s="307" t="s">
        <v>6</v>
      </c>
      <c r="E2818" s="298" t="s">
        <v>10013</v>
      </c>
      <c r="F2818" s="985" t="s">
        <v>10335</v>
      </c>
      <c r="G2818" s="298" t="s">
        <v>10336</v>
      </c>
      <c r="H2818" s="298" t="s">
        <v>10337</v>
      </c>
      <c r="I2818" s="298" t="s">
        <v>2513</v>
      </c>
      <c r="J2818" s="298" t="s">
        <v>10338</v>
      </c>
      <c r="K2818" s="298" t="s">
        <v>10338</v>
      </c>
      <c r="L2818" s="298"/>
      <c r="M2818" s="298">
        <v>0</v>
      </c>
      <c r="N2818" s="298">
        <v>1</v>
      </c>
      <c r="O2818" s="298">
        <v>2</v>
      </c>
      <c r="P2818" s="298">
        <v>0</v>
      </c>
      <c r="Q2818" s="669">
        <f t="shared" ref="Q2818:Q2832" si="155">(O2818+P2818)-M2818</f>
        <v>2</v>
      </c>
      <c r="R2818" s="1209">
        <v>90522</v>
      </c>
      <c r="S2818" s="1209">
        <f t="shared" si="154"/>
        <v>181044</v>
      </c>
      <c r="T2818" s="683" t="s">
        <v>311</v>
      </c>
      <c r="U2818" s="1909"/>
      <c r="V2818" s="572" t="s">
        <v>10339</v>
      </c>
      <c r="W2818" s="682" t="s">
        <v>10340</v>
      </c>
      <c r="X2818" s="18"/>
      <c r="Y2818" s="4"/>
      <c r="Z2818" s="4"/>
    </row>
    <row r="2819" spans="1:26" ht="14.1" hidden="1">
      <c r="A2819" s="20">
        <v>2826</v>
      </c>
      <c r="B2819" s="1063">
        <v>42596</v>
      </c>
      <c r="C2819" s="957" t="s">
        <v>329</v>
      </c>
      <c r="D2819" s="11"/>
      <c r="E2819" s="669" t="s">
        <v>4951</v>
      </c>
      <c r="F2819" s="685" t="s">
        <v>2006</v>
      </c>
      <c r="G2819" s="692" t="s">
        <v>8495</v>
      </c>
      <c r="H2819" s="669" t="s">
        <v>1653</v>
      </c>
      <c r="I2819" s="669" t="s">
        <v>281</v>
      </c>
      <c r="J2819" s="669" t="s">
        <v>8496</v>
      </c>
      <c r="K2819" s="669" t="s">
        <v>8497</v>
      </c>
      <c r="L2819" s="669" t="s">
        <v>5267</v>
      </c>
      <c r="M2819" s="669">
        <v>12</v>
      </c>
      <c r="N2819" s="669">
        <v>10</v>
      </c>
      <c r="O2819" s="669">
        <v>10</v>
      </c>
      <c r="P2819" s="669">
        <v>4</v>
      </c>
      <c r="Q2819" s="669">
        <f t="shared" si="155"/>
        <v>2</v>
      </c>
      <c r="R2819" s="1209">
        <v>12.8</v>
      </c>
      <c r="S2819" s="1209">
        <v>128</v>
      </c>
      <c r="T2819" s="669" t="s">
        <v>311</v>
      </c>
      <c r="U2819" s="1909" t="s">
        <v>678</v>
      </c>
      <c r="V2819" s="572" t="s">
        <v>5990</v>
      </c>
      <c r="W2819" s="693" t="s">
        <v>8498</v>
      </c>
      <c r="X2819" s="18"/>
      <c r="Y2819" s="4"/>
      <c r="Z2819" s="4"/>
    </row>
    <row r="2820" spans="1:26" ht="14.1" hidden="1">
      <c r="A2820" s="20">
        <v>2827</v>
      </c>
      <c r="B2820" s="1063">
        <v>42597</v>
      </c>
      <c r="C2820" s="962" t="s">
        <v>329</v>
      </c>
      <c r="D2820" s="11"/>
      <c r="E2820" s="669" t="s">
        <v>4951</v>
      </c>
      <c r="F2820" s="685" t="s">
        <v>2006</v>
      </c>
      <c r="G2820" s="695" t="s">
        <v>8499</v>
      </c>
      <c r="H2820" s="670" t="s">
        <v>3243</v>
      </c>
      <c r="I2820" s="670" t="s">
        <v>281</v>
      </c>
      <c r="J2820" s="670" t="s">
        <v>8500</v>
      </c>
      <c r="K2820" s="670" t="s">
        <v>8501</v>
      </c>
      <c r="L2820" s="670" t="s">
        <v>5267</v>
      </c>
      <c r="M2820" s="670">
        <v>6</v>
      </c>
      <c r="N2820" s="670">
        <v>10</v>
      </c>
      <c r="O2820" s="670">
        <v>10</v>
      </c>
      <c r="P2820" s="670">
        <v>1</v>
      </c>
      <c r="Q2820" s="669">
        <f t="shared" si="155"/>
        <v>5</v>
      </c>
      <c r="R2820" s="1209">
        <v>56.1</v>
      </c>
      <c r="S2820" s="1209">
        <v>561</v>
      </c>
      <c r="T2820" s="670" t="s">
        <v>311</v>
      </c>
      <c r="U2820" s="1542" t="s">
        <v>678</v>
      </c>
      <c r="V2820" s="572" t="s">
        <v>5990</v>
      </c>
      <c r="W2820" s="696" t="s">
        <v>8502</v>
      </c>
      <c r="X2820" s="18"/>
      <c r="Y2820" s="4"/>
      <c r="Z2820" s="4"/>
    </row>
    <row r="2821" spans="1:26" ht="14.1" hidden="1">
      <c r="A2821" s="20">
        <v>2828</v>
      </c>
      <c r="B2821" s="1063">
        <v>42598</v>
      </c>
      <c r="C2821" s="962" t="s">
        <v>329</v>
      </c>
      <c r="D2821" s="11"/>
      <c r="E2821" s="669" t="s">
        <v>4951</v>
      </c>
      <c r="F2821" s="685" t="s">
        <v>2006</v>
      </c>
      <c r="G2821" s="695" t="s">
        <v>8503</v>
      </c>
      <c r="H2821" s="670" t="s">
        <v>5730</v>
      </c>
      <c r="I2821" s="670" t="s">
        <v>281</v>
      </c>
      <c r="J2821" s="670" t="s">
        <v>6318</v>
      </c>
      <c r="K2821" s="670" t="s">
        <v>6319</v>
      </c>
      <c r="L2821" s="670" t="s">
        <v>5267</v>
      </c>
      <c r="M2821" s="670">
        <v>6</v>
      </c>
      <c r="N2821" s="670">
        <v>10</v>
      </c>
      <c r="O2821" s="670">
        <v>10</v>
      </c>
      <c r="P2821" s="670">
        <v>2</v>
      </c>
      <c r="Q2821" s="669">
        <f t="shared" si="155"/>
        <v>6</v>
      </c>
      <c r="R2821" s="1209">
        <v>15.3</v>
      </c>
      <c r="S2821" s="1209">
        <v>153</v>
      </c>
      <c r="T2821" s="670" t="s">
        <v>311</v>
      </c>
      <c r="U2821" s="1542" t="s">
        <v>678</v>
      </c>
      <c r="V2821" s="572" t="s">
        <v>5990</v>
      </c>
      <c r="W2821" s="696" t="s">
        <v>8504</v>
      </c>
      <c r="X2821" s="18"/>
      <c r="Y2821" s="4"/>
      <c r="Z2821" s="4"/>
    </row>
    <row r="2822" spans="1:26" ht="14.1" hidden="1">
      <c r="A2822" s="20">
        <v>2829</v>
      </c>
      <c r="B2822" s="1063">
        <v>42599</v>
      </c>
      <c r="C2822" s="962" t="s">
        <v>329</v>
      </c>
      <c r="D2822" s="11"/>
      <c r="E2822" s="669" t="s">
        <v>4951</v>
      </c>
      <c r="F2822" s="685" t="s">
        <v>2006</v>
      </c>
      <c r="G2822" s="695" t="s">
        <v>8491</v>
      </c>
      <c r="H2822" s="670" t="s">
        <v>5730</v>
      </c>
      <c r="I2822" s="670" t="s">
        <v>281</v>
      </c>
      <c r="J2822" s="670" t="s">
        <v>8492</v>
      </c>
      <c r="K2822" s="670" t="s">
        <v>8493</v>
      </c>
      <c r="L2822" s="670" t="s">
        <v>5267</v>
      </c>
      <c r="M2822" s="670">
        <v>18</v>
      </c>
      <c r="N2822" s="670">
        <v>10</v>
      </c>
      <c r="O2822" s="670">
        <v>20</v>
      </c>
      <c r="P2822" s="670">
        <v>6</v>
      </c>
      <c r="Q2822" s="669">
        <f t="shared" si="155"/>
        <v>8</v>
      </c>
      <c r="R2822" s="1209">
        <v>5.7</v>
      </c>
      <c r="S2822" s="1209">
        <v>114</v>
      </c>
      <c r="T2822" s="670" t="s">
        <v>311</v>
      </c>
      <c r="U2822" s="1542" t="s">
        <v>678</v>
      </c>
      <c r="V2822" s="572" t="s">
        <v>5990</v>
      </c>
      <c r="W2822" s="696" t="s">
        <v>8494</v>
      </c>
      <c r="X2822" s="18"/>
      <c r="Y2822" s="4"/>
      <c r="Z2822" s="4"/>
    </row>
    <row r="2823" spans="1:26" ht="14.1" hidden="1">
      <c r="A2823" s="20">
        <v>2830</v>
      </c>
      <c r="B2823" s="1063">
        <v>42600</v>
      </c>
      <c r="C2823" s="962" t="s">
        <v>8510</v>
      </c>
      <c r="D2823" s="11"/>
      <c r="E2823" s="669" t="s">
        <v>4951</v>
      </c>
      <c r="F2823" s="685" t="s">
        <v>2006</v>
      </c>
      <c r="G2823" s="695" t="s">
        <v>8511</v>
      </c>
      <c r="H2823" s="670" t="s">
        <v>3898</v>
      </c>
      <c r="I2823" s="670" t="s">
        <v>574</v>
      </c>
      <c r="J2823" s="670" t="s">
        <v>8512</v>
      </c>
      <c r="K2823" s="670" t="s">
        <v>8513</v>
      </c>
      <c r="L2823" s="670" t="s">
        <v>5267</v>
      </c>
      <c r="M2823" s="670">
        <v>3</v>
      </c>
      <c r="N2823" s="670">
        <v>1</v>
      </c>
      <c r="O2823" s="670">
        <v>5</v>
      </c>
      <c r="P2823" s="670">
        <v>1</v>
      </c>
      <c r="Q2823" s="669">
        <f t="shared" si="155"/>
        <v>3</v>
      </c>
      <c r="R2823" s="1209">
        <v>260</v>
      </c>
      <c r="S2823" s="1209">
        <v>1300</v>
      </c>
      <c r="T2823" s="670" t="s">
        <v>311</v>
      </c>
      <c r="U2823" s="1542" t="s">
        <v>678</v>
      </c>
      <c r="V2823" s="572" t="s">
        <v>5990</v>
      </c>
      <c r="W2823" s="697" t="s">
        <v>8514</v>
      </c>
      <c r="X2823" s="18"/>
      <c r="Y2823" s="4"/>
      <c r="Z2823" s="4"/>
    </row>
    <row r="2824" spans="1:26" ht="14.1" hidden="1">
      <c r="A2824" s="20">
        <v>2831</v>
      </c>
      <c r="B2824" s="1063">
        <v>42601</v>
      </c>
      <c r="C2824" s="962" t="s">
        <v>6003</v>
      </c>
      <c r="D2824" s="11"/>
      <c r="E2824" s="669" t="s">
        <v>4951</v>
      </c>
      <c r="F2824" s="685" t="s">
        <v>2006</v>
      </c>
      <c r="G2824" s="695" t="s">
        <v>6004</v>
      </c>
      <c r="H2824" s="670" t="s">
        <v>6005</v>
      </c>
      <c r="I2824" s="670" t="s">
        <v>281</v>
      </c>
      <c r="J2824" s="670" t="s">
        <v>6006</v>
      </c>
      <c r="K2824" s="670" t="s">
        <v>6007</v>
      </c>
      <c r="L2824" s="670" t="s">
        <v>6008</v>
      </c>
      <c r="M2824" s="670">
        <v>6</v>
      </c>
      <c r="N2824" s="670">
        <v>10</v>
      </c>
      <c r="O2824" s="670">
        <v>10</v>
      </c>
      <c r="P2824" s="670">
        <v>0</v>
      </c>
      <c r="Q2824" s="669">
        <f t="shared" si="155"/>
        <v>4</v>
      </c>
      <c r="R2824" s="1209">
        <v>1972</v>
      </c>
      <c r="S2824" s="1209">
        <v>19720</v>
      </c>
      <c r="T2824" s="670" t="s">
        <v>311</v>
      </c>
      <c r="U2824" s="1542" t="s">
        <v>678</v>
      </c>
      <c r="V2824" s="572" t="s">
        <v>5990</v>
      </c>
      <c r="W2824" s="696" t="s">
        <v>8515</v>
      </c>
      <c r="X2824" s="18"/>
      <c r="Y2824" s="4"/>
      <c r="Z2824" s="4"/>
    </row>
    <row r="2825" spans="1:26" ht="14.1" hidden="1">
      <c r="A2825" s="20">
        <v>2832</v>
      </c>
      <c r="B2825" s="1063">
        <v>42602</v>
      </c>
      <c r="C2825" s="962" t="s">
        <v>6010</v>
      </c>
      <c r="D2825" s="11"/>
      <c r="E2825" s="669" t="s">
        <v>4951</v>
      </c>
      <c r="F2825" s="685" t="s">
        <v>2006</v>
      </c>
      <c r="G2825" s="695" t="s">
        <v>6011</v>
      </c>
      <c r="H2825" s="670" t="s">
        <v>452</v>
      </c>
      <c r="I2825" s="670" t="s">
        <v>281</v>
      </c>
      <c r="J2825" s="670" t="s">
        <v>6012</v>
      </c>
      <c r="K2825" s="670" t="s">
        <v>6013</v>
      </c>
      <c r="L2825" s="670" t="s">
        <v>4753</v>
      </c>
      <c r="M2825" s="670">
        <v>6</v>
      </c>
      <c r="N2825" s="670">
        <v>10</v>
      </c>
      <c r="O2825" s="670">
        <v>10</v>
      </c>
      <c r="P2825" s="670">
        <v>2</v>
      </c>
      <c r="Q2825" s="669">
        <f t="shared" si="155"/>
        <v>6</v>
      </c>
      <c r="R2825" s="1209">
        <v>67.900000000000006</v>
      </c>
      <c r="S2825" s="1209">
        <v>679</v>
      </c>
      <c r="T2825" s="670" t="s">
        <v>311</v>
      </c>
      <c r="U2825" s="1542" t="s">
        <v>678</v>
      </c>
      <c r="V2825" s="572" t="s">
        <v>5990</v>
      </c>
      <c r="W2825" s="696" t="s">
        <v>10341</v>
      </c>
      <c r="X2825" s="18"/>
      <c r="Y2825" s="4"/>
      <c r="Z2825" s="4"/>
    </row>
    <row r="2826" spans="1:26" ht="14.1" hidden="1">
      <c r="A2826" s="20">
        <v>2833</v>
      </c>
      <c r="B2826" s="1063">
        <v>42603</v>
      </c>
      <c r="C2826" s="962" t="s">
        <v>188</v>
      </c>
      <c r="D2826" s="11"/>
      <c r="E2826" s="669" t="s">
        <v>4951</v>
      </c>
      <c r="F2826" s="685" t="s">
        <v>2006</v>
      </c>
      <c r="G2826" s="695" t="s">
        <v>6024</v>
      </c>
      <c r="H2826" s="670" t="s">
        <v>5730</v>
      </c>
      <c r="I2826" s="670" t="s">
        <v>281</v>
      </c>
      <c r="J2826" s="670" t="s">
        <v>6025</v>
      </c>
      <c r="K2826" s="670" t="s">
        <v>6026</v>
      </c>
      <c r="L2826" s="670" t="s">
        <v>5267</v>
      </c>
      <c r="M2826" s="670">
        <v>6</v>
      </c>
      <c r="N2826" s="670">
        <v>10</v>
      </c>
      <c r="O2826" s="670">
        <v>10</v>
      </c>
      <c r="P2826" s="670">
        <v>2</v>
      </c>
      <c r="Q2826" s="669">
        <f t="shared" si="155"/>
        <v>6</v>
      </c>
      <c r="R2826" s="1209">
        <v>8.1</v>
      </c>
      <c r="S2826" s="1209">
        <v>81</v>
      </c>
      <c r="T2826" s="670" t="s">
        <v>311</v>
      </c>
      <c r="U2826" s="1542" t="s">
        <v>678</v>
      </c>
      <c r="V2826" s="572" t="s">
        <v>5990</v>
      </c>
      <c r="W2826" s="696" t="s">
        <v>6027</v>
      </c>
      <c r="X2826" s="18"/>
      <c r="Y2826" s="4"/>
      <c r="Z2826" s="4"/>
    </row>
    <row r="2827" spans="1:26" ht="14.1" hidden="1">
      <c r="A2827" s="20">
        <v>2834</v>
      </c>
      <c r="B2827" s="1063">
        <v>42604</v>
      </c>
      <c r="C2827" s="962" t="s">
        <v>5992</v>
      </c>
      <c r="D2827" s="11"/>
      <c r="E2827" s="669" t="s">
        <v>4951</v>
      </c>
      <c r="F2827" s="685" t="s">
        <v>2006</v>
      </c>
      <c r="G2827" s="695" t="s">
        <v>5993</v>
      </c>
      <c r="H2827" s="670" t="s">
        <v>3898</v>
      </c>
      <c r="I2827" s="670" t="s">
        <v>281</v>
      </c>
      <c r="J2827" s="670" t="s">
        <v>5994</v>
      </c>
      <c r="K2827" s="670" t="s">
        <v>5995</v>
      </c>
      <c r="L2827" s="670" t="s">
        <v>3636</v>
      </c>
      <c r="M2827" s="670">
        <v>24</v>
      </c>
      <c r="N2827" s="670">
        <v>10</v>
      </c>
      <c r="O2827" s="670">
        <v>30</v>
      </c>
      <c r="P2827" s="670">
        <v>2</v>
      </c>
      <c r="Q2827" s="669">
        <f t="shared" si="155"/>
        <v>8</v>
      </c>
      <c r="R2827" s="1209">
        <v>144</v>
      </c>
      <c r="S2827" s="1209">
        <v>4320</v>
      </c>
      <c r="T2827" s="670" t="s">
        <v>311</v>
      </c>
      <c r="U2827" s="1542" t="s">
        <v>678</v>
      </c>
      <c r="V2827" s="572" t="s">
        <v>5990</v>
      </c>
      <c r="W2827" s="696" t="s">
        <v>5996</v>
      </c>
      <c r="X2827" s="18"/>
      <c r="Y2827" s="4"/>
      <c r="Z2827" s="4"/>
    </row>
    <row r="2828" spans="1:26" ht="14.1" hidden="1">
      <c r="A2828" s="20">
        <v>2835</v>
      </c>
      <c r="B2828" s="1063">
        <v>42605</v>
      </c>
      <c r="C2828" s="962" t="s">
        <v>5270</v>
      </c>
      <c r="D2828" s="11"/>
      <c r="E2828" s="669" t="s">
        <v>4951</v>
      </c>
      <c r="F2828" s="685" t="s">
        <v>2006</v>
      </c>
      <c r="G2828" s="695" t="s">
        <v>5271</v>
      </c>
      <c r="H2828" s="670" t="s">
        <v>3898</v>
      </c>
      <c r="I2828" s="670" t="s">
        <v>39</v>
      </c>
      <c r="J2828" s="670" t="s">
        <v>818</v>
      </c>
      <c r="K2828" s="670" t="s">
        <v>5991</v>
      </c>
      <c r="L2828" s="670" t="s">
        <v>3636</v>
      </c>
      <c r="M2828" s="670">
        <v>36</v>
      </c>
      <c r="N2828" s="670">
        <v>5</v>
      </c>
      <c r="O2828" s="670">
        <v>40</v>
      </c>
      <c r="P2828" s="670">
        <v>6</v>
      </c>
      <c r="Q2828" s="669">
        <f t="shared" si="155"/>
        <v>10</v>
      </c>
      <c r="R2828" s="1209">
        <v>545.4</v>
      </c>
      <c r="S2828" s="1209">
        <v>21816</v>
      </c>
      <c r="T2828" s="670" t="s">
        <v>311</v>
      </c>
      <c r="U2828" s="1542" t="s">
        <v>678</v>
      </c>
      <c r="V2828" s="572" t="s">
        <v>5990</v>
      </c>
      <c r="W2828" s="682" t="s">
        <v>10342</v>
      </c>
      <c r="X2828" s="18"/>
      <c r="Y2828" s="4"/>
      <c r="Z2828" s="4"/>
    </row>
    <row r="2829" spans="1:26" ht="14.1" hidden="1">
      <c r="A2829" s="20">
        <v>2836</v>
      </c>
      <c r="B2829" s="1063">
        <v>42606</v>
      </c>
      <c r="C2829" s="962" t="s">
        <v>1072</v>
      </c>
      <c r="D2829" s="11"/>
      <c r="E2829" s="669" t="s">
        <v>4951</v>
      </c>
      <c r="F2829" s="685" t="s">
        <v>2006</v>
      </c>
      <c r="G2829" s="695" t="s">
        <v>5188</v>
      </c>
      <c r="H2829" s="670" t="s">
        <v>460</v>
      </c>
      <c r="I2829" s="670" t="s">
        <v>281</v>
      </c>
      <c r="J2829" s="670" t="s">
        <v>461</v>
      </c>
      <c r="K2829" s="670" t="s">
        <v>462</v>
      </c>
      <c r="L2829" s="670" t="s">
        <v>587</v>
      </c>
      <c r="M2829" s="670">
        <v>6</v>
      </c>
      <c r="N2829" s="670">
        <v>10</v>
      </c>
      <c r="O2829" s="670">
        <v>10</v>
      </c>
      <c r="P2829" s="670">
        <v>1</v>
      </c>
      <c r="Q2829" s="669">
        <f t="shared" si="155"/>
        <v>5</v>
      </c>
      <c r="R2829" s="1209">
        <v>93.7</v>
      </c>
      <c r="S2829" s="1209">
        <v>937</v>
      </c>
      <c r="T2829" s="670" t="s">
        <v>311</v>
      </c>
      <c r="U2829" s="1542" t="s">
        <v>678</v>
      </c>
      <c r="V2829" s="572" t="s">
        <v>5990</v>
      </c>
      <c r="W2829" s="696" t="s">
        <v>465</v>
      </c>
      <c r="X2829" s="18"/>
      <c r="Y2829" s="4"/>
      <c r="Z2829" s="4"/>
    </row>
    <row r="2830" spans="1:26" ht="20.25" hidden="1" customHeight="1">
      <c r="A2830" s="20">
        <v>2837</v>
      </c>
      <c r="B2830" s="1063">
        <v>42607</v>
      </c>
      <c r="C2830" s="963" t="s">
        <v>10343</v>
      </c>
      <c r="D2830" s="11" t="s">
        <v>6</v>
      </c>
      <c r="E2830" s="298" t="s">
        <v>62</v>
      </c>
      <c r="F2830" s="985" t="s">
        <v>10096</v>
      </c>
      <c r="G2830" s="298" t="s">
        <v>10344</v>
      </c>
      <c r="H2830" s="298" t="s">
        <v>6005</v>
      </c>
      <c r="I2830" s="298" t="s">
        <v>6005</v>
      </c>
      <c r="J2830" s="298" t="s">
        <v>10345</v>
      </c>
      <c r="K2830" s="298" t="s">
        <v>10345</v>
      </c>
      <c r="L2830" s="298"/>
      <c r="M2830" s="298">
        <v>1</v>
      </c>
      <c r="N2830" s="298">
        <v>1</v>
      </c>
      <c r="O2830" s="298">
        <v>1</v>
      </c>
      <c r="P2830" s="298">
        <v>0</v>
      </c>
      <c r="Q2830" s="669">
        <f t="shared" si="155"/>
        <v>0</v>
      </c>
      <c r="R2830" s="1209">
        <v>62062</v>
      </c>
      <c r="S2830" s="1209">
        <f t="shared" ref="S2830:S2832" si="156">R2830*O2830</f>
        <v>62062</v>
      </c>
      <c r="T2830" s="670" t="s">
        <v>311</v>
      </c>
      <c r="U2830" s="1909"/>
      <c r="V2830" s="572"/>
      <c r="W2830" s="682" t="s">
        <v>9053</v>
      </c>
      <c r="X2830" s="18"/>
      <c r="Y2830" s="4"/>
      <c r="Z2830" s="4"/>
    </row>
    <row r="2831" spans="1:26" ht="14.1" hidden="1">
      <c r="A2831" s="20">
        <v>2838</v>
      </c>
      <c r="B2831" s="1063">
        <v>42608</v>
      </c>
      <c r="C2831" s="934" t="s">
        <v>10346</v>
      </c>
      <c r="D2831" s="11" t="s">
        <v>6</v>
      </c>
      <c r="E2831" s="298" t="s">
        <v>10013</v>
      </c>
      <c r="F2831" s="985" t="s">
        <v>10347</v>
      </c>
      <c r="G2831" s="308" t="s">
        <v>10348</v>
      </c>
      <c r="H2831" s="298" t="s">
        <v>10349</v>
      </c>
      <c r="I2831" s="298" t="s">
        <v>10349</v>
      </c>
      <c r="J2831" s="298"/>
      <c r="K2831" s="298"/>
      <c r="L2831" s="298"/>
      <c r="M2831" s="298">
        <v>1</v>
      </c>
      <c r="N2831" s="298">
        <v>1</v>
      </c>
      <c r="O2831" s="298">
        <v>1</v>
      </c>
      <c r="P2831" s="298">
        <v>0</v>
      </c>
      <c r="Q2831" s="669">
        <f t="shared" si="155"/>
        <v>0</v>
      </c>
      <c r="R2831" s="1209">
        <v>82000</v>
      </c>
      <c r="S2831" s="1209">
        <f t="shared" si="156"/>
        <v>82000</v>
      </c>
      <c r="T2831" s="683" t="s">
        <v>311</v>
      </c>
      <c r="U2831" s="1909"/>
      <c r="V2831" s="572"/>
      <c r="W2831" s="682"/>
      <c r="X2831" s="18"/>
      <c r="Y2831" s="4"/>
      <c r="Z2831" s="4"/>
    </row>
    <row r="2832" spans="1:26" ht="14.1" hidden="1">
      <c r="A2832" s="20">
        <v>2839</v>
      </c>
      <c r="B2832" s="1063">
        <v>42609</v>
      </c>
      <c r="C2832" s="958" t="s">
        <v>10350</v>
      </c>
      <c r="D2832" s="11" t="s">
        <v>6</v>
      </c>
      <c r="E2832" s="298" t="s">
        <v>683</v>
      </c>
      <c r="F2832" s="26" t="s">
        <v>10005</v>
      </c>
      <c r="G2832" s="297" t="s">
        <v>10350</v>
      </c>
      <c r="H2832" s="298" t="s">
        <v>101</v>
      </c>
      <c r="I2832" s="298" t="s">
        <v>366</v>
      </c>
      <c r="J2832" s="298"/>
      <c r="K2832" s="298" t="s">
        <v>10351</v>
      </c>
      <c r="L2832" s="26" t="s">
        <v>149</v>
      </c>
      <c r="M2832" s="298">
        <v>4</v>
      </c>
      <c r="N2832" s="298">
        <v>4</v>
      </c>
      <c r="O2832" s="298">
        <v>4</v>
      </c>
      <c r="P2832" s="298">
        <v>0</v>
      </c>
      <c r="Q2832" s="669">
        <f t="shared" si="155"/>
        <v>0</v>
      </c>
      <c r="R2832" s="1209">
        <v>2574</v>
      </c>
      <c r="S2832" s="1209">
        <f t="shared" si="156"/>
        <v>10296</v>
      </c>
      <c r="T2832" s="26" t="s">
        <v>4220</v>
      </c>
      <c r="U2832" s="1859"/>
      <c r="V2832" s="26" t="s">
        <v>689</v>
      </c>
      <c r="W2832" s="682" t="s">
        <v>10352</v>
      </c>
      <c r="X2832" s="18"/>
      <c r="Y2832" s="4"/>
      <c r="Z2832" s="4"/>
    </row>
    <row r="2833" spans="1:26" ht="14.1" hidden="1">
      <c r="A2833" s="20">
        <v>2840</v>
      </c>
      <c r="B2833" s="1063">
        <v>42610</v>
      </c>
      <c r="C2833" s="18" t="s">
        <v>2645</v>
      </c>
      <c r="D2833" s="11"/>
      <c r="E2833" s="22" t="s">
        <v>2722</v>
      </c>
      <c r="F2833" s="26" t="s">
        <v>404</v>
      </c>
      <c r="G2833" s="18" t="s">
        <v>2647</v>
      </c>
      <c r="H2833" s="18" t="s">
        <v>2646</v>
      </c>
      <c r="I2833" s="18" t="s">
        <v>2646</v>
      </c>
      <c r="J2833" s="18" t="s">
        <v>2647</v>
      </c>
      <c r="K2833" s="18" t="s">
        <v>2647</v>
      </c>
      <c r="L2833" s="18"/>
      <c r="M2833" s="18">
        <v>1</v>
      </c>
      <c r="N2833" s="18">
        <v>1</v>
      </c>
      <c r="O2833" s="18">
        <v>1</v>
      </c>
      <c r="P2833" s="18">
        <v>0</v>
      </c>
      <c r="Q2833" s="18">
        <v>0</v>
      </c>
      <c r="R2833" s="1215">
        <v>600000</v>
      </c>
      <c r="S2833" s="1201">
        <f>R2833*N2833</f>
        <v>600000</v>
      </c>
      <c r="T2833" s="22" t="s">
        <v>10353</v>
      </c>
      <c r="U2833" s="1854" t="s">
        <v>10354</v>
      </c>
      <c r="V2833" s="22" t="s">
        <v>10355</v>
      </c>
      <c r="W2833" s="2007"/>
      <c r="X2833" s="18"/>
      <c r="Y2833" s="4"/>
      <c r="Z2833" s="4"/>
    </row>
    <row r="2834" spans="1:26" ht="14.1" hidden="1">
      <c r="A2834" s="20">
        <v>2841</v>
      </c>
      <c r="B2834" s="1063">
        <v>42611</v>
      </c>
      <c r="C2834" s="958" t="s">
        <v>10356</v>
      </c>
      <c r="D2834" s="11"/>
      <c r="E2834" s="22" t="s">
        <v>4907</v>
      </c>
      <c r="F2834" s="985" t="s">
        <v>2876</v>
      </c>
      <c r="G2834" s="309" t="s">
        <v>10357</v>
      </c>
      <c r="H2834" s="298" t="s">
        <v>305</v>
      </c>
      <c r="I2834" s="298" t="s">
        <v>574</v>
      </c>
      <c r="J2834" s="284" t="s">
        <v>1145</v>
      </c>
      <c r="K2834" s="310">
        <v>502128100</v>
      </c>
      <c r="L2834" s="204" t="s">
        <v>7002</v>
      </c>
      <c r="M2834" s="298">
        <v>12</v>
      </c>
      <c r="N2834" s="298">
        <v>1</v>
      </c>
      <c r="O2834" s="298">
        <v>50</v>
      </c>
      <c r="P2834" s="298">
        <v>0</v>
      </c>
      <c r="Q2834" s="669">
        <v>38</v>
      </c>
      <c r="R2834" s="1209">
        <v>21.2</v>
      </c>
      <c r="S2834" s="1209">
        <f t="shared" ref="S2834:S2837" si="157">R2834*O2834</f>
        <v>1060</v>
      </c>
      <c r="T2834" s="683" t="s">
        <v>6634</v>
      </c>
      <c r="U2834" s="1909" t="s">
        <v>7916</v>
      </c>
      <c r="V2834" s="572" t="s">
        <v>1152</v>
      </c>
      <c r="W2834" s="682" t="s">
        <v>1146</v>
      </c>
      <c r="X2834" s="18"/>
      <c r="Y2834" s="4"/>
      <c r="Z2834" s="4"/>
    </row>
    <row r="2835" spans="1:26" ht="14.1" hidden="1">
      <c r="A2835" s="20">
        <v>2842</v>
      </c>
      <c r="B2835" s="1063">
        <v>42612</v>
      </c>
      <c r="C2835" s="958" t="s">
        <v>1806</v>
      </c>
      <c r="D2835" s="11"/>
      <c r="E2835" s="22" t="s">
        <v>4907</v>
      </c>
      <c r="F2835" s="985" t="s">
        <v>2876</v>
      </c>
      <c r="G2835" s="311" t="s">
        <v>10358</v>
      </c>
      <c r="H2835" s="298" t="s">
        <v>1143</v>
      </c>
      <c r="I2835" s="270" t="s">
        <v>574</v>
      </c>
      <c r="J2835" s="204" t="s">
        <v>10359</v>
      </c>
      <c r="K2835" s="310">
        <v>510900200</v>
      </c>
      <c r="L2835" s="204" t="s">
        <v>7002</v>
      </c>
      <c r="M2835" s="298">
        <v>4</v>
      </c>
      <c r="N2835" s="298">
        <v>1</v>
      </c>
      <c r="O2835" s="298">
        <v>10</v>
      </c>
      <c r="P2835" s="298">
        <v>0</v>
      </c>
      <c r="Q2835" s="669">
        <v>6</v>
      </c>
      <c r="R2835" s="1209">
        <v>61.96</v>
      </c>
      <c r="S2835" s="1209">
        <f t="shared" si="157"/>
        <v>619.6</v>
      </c>
      <c r="T2835" s="683" t="s">
        <v>6634</v>
      </c>
      <c r="U2835" s="1909" t="s">
        <v>7916</v>
      </c>
      <c r="V2835" s="572" t="s">
        <v>1152</v>
      </c>
      <c r="W2835" s="682" t="s">
        <v>10360</v>
      </c>
      <c r="X2835" s="18"/>
      <c r="Y2835" s="4"/>
      <c r="Z2835" s="4"/>
    </row>
    <row r="2836" spans="1:26" ht="14.1" hidden="1">
      <c r="A2836" s="20">
        <v>2843</v>
      </c>
      <c r="B2836" s="1063">
        <v>42613</v>
      </c>
      <c r="C2836" s="958" t="s">
        <v>10361</v>
      </c>
      <c r="D2836" s="11"/>
      <c r="E2836" s="22" t="s">
        <v>4907</v>
      </c>
      <c r="F2836" s="985" t="s">
        <v>2876</v>
      </c>
      <c r="G2836" s="309" t="s">
        <v>10362</v>
      </c>
      <c r="H2836" s="298" t="s">
        <v>10363</v>
      </c>
      <c r="I2836" s="270" t="s">
        <v>574</v>
      </c>
      <c r="J2836" s="204" t="s">
        <v>10204</v>
      </c>
      <c r="K2836" s="204" t="s">
        <v>10364</v>
      </c>
      <c r="L2836" s="204" t="s">
        <v>7002</v>
      </c>
      <c r="M2836" s="298">
        <v>2</v>
      </c>
      <c r="N2836" s="298">
        <v>1</v>
      </c>
      <c r="O2836" s="298">
        <v>5</v>
      </c>
      <c r="P2836" s="298">
        <v>0</v>
      </c>
      <c r="Q2836" s="669">
        <v>3</v>
      </c>
      <c r="R2836" s="1209">
        <v>613.79999999999995</v>
      </c>
      <c r="S2836" s="1209">
        <f t="shared" si="157"/>
        <v>3069</v>
      </c>
      <c r="T2836" s="683" t="s">
        <v>6634</v>
      </c>
      <c r="U2836" s="1909" t="s">
        <v>7916</v>
      </c>
      <c r="V2836" s="572" t="s">
        <v>1152</v>
      </c>
      <c r="W2836" s="682" t="s">
        <v>10365</v>
      </c>
      <c r="X2836" s="18"/>
      <c r="Y2836" s="4"/>
      <c r="Z2836" s="4"/>
    </row>
    <row r="2837" spans="1:26" ht="15.6" hidden="1">
      <c r="A2837" s="20">
        <v>2844</v>
      </c>
      <c r="B2837" s="1063">
        <v>42614</v>
      </c>
      <c r="C2837" s="944" t="s">
        <v>7935</v>
      </c>
      <c r="D2837" s="11" t="s">
        <v>6</v>
      </c>
      <c r="E2837" s="22" t="s">
        <v>4907</v>
      </c>
      <c r="F2837" s="985" t="s">
        <v>2876</v>
      </c>
      <c r="G2837" s="312" t="s">
        <v>10366</v>
      </c>
      <c r="H2837" s="255" t="s">
        <v>2405</v>
      </c>
      <c r="I2837" s="313" t="s">
        <v>574</v>
      </c>
      <c r="J2837" s="207" t="s">
        <v>10367</v>
      </c>
      <c r="K2837" s="207" t="s">
        <v>10368</v>
      </c>
      <c r="L2837" s="314" t="s">
        <v>10369</v>
      </c>
      <c r="M2837" s="256">
        <v>1</v>
      </c>
      <c r="N2837" s="256">
        <v>1</v>
      </c>
      <c r="O2837" s="256">
        <v>2</v>
      </c>
      <c r="P2837" s="256">
        <v>0</v>
      </c>
      <c r="Q2837" s="256">
        <v>1</v>
      </c>
      <c r="R2837" s="1209">
        <v>4226</v>
      </c>
      <c r="S2837" s="1209">
        <f t="shared" si="157"/>
        <v>8452</v>
      </c>
      <c r="T2837" s="256" t="s">
        <v>6634</v>
      </c>
      <c r="U2837" s="1907" t="s">
        <v>7916</v>
      </c>
      <c r="V2837" s="572" t="s">
        <v>1152</v>
      </c>
      <c r="W2837" s="2101" t="s">
        <v>10370</v>
      </c>
      <c r="X2837" s="258" t="s">
        <v>7919</v>
      </c>
      <c r="Y2837" s="254"/>
      <c r="Z2837" s="254"/>
    </row>
    <row r="2838" spans="1:26" ht="15.6" hidden="1">
      <c r="A2838" s="20">
        <v>2845</v>
      </c>
      <c r="B2838" s="1063">
        <v>42615</v>
      </c>
      <c r="C2838" s="964" t="s">
        <v>7927</v>
      </c>
      <c r="D2838" s="11" t="s">
        <v>6</v>
      </c>
      <c r="E2838" s="22" t="s">
        <v>4907</v>
      </c>
      <c r="F2838" s="985" t="s">
        <v>2876</v>
      </c>
      <c r="G2838" s="316" t="s">
        <v>7928</v>
      </c>
      <c r="H2838" s="317" t="s">
        <v>10371</v>
      </c>
      <c r="I2838" s="313" t="s">
        <v>574</v>
      </c>
      <c r="J2838" s="318" t="s">
        <v>7930</v>
      </c>
      <c r="K2838" s="318" t="s">
        <v>10372</v>
      </c>
      <c r="L2838" s="318" t="s">
        <v>7932</v>
      </c>
      <c r="M2838" s="318">
        <v>1</v>
      </c>
      <c r="N2838" s="318">
        <v>1</v>
      </c>
      <c r="O2838" s="315">
        <v>1</v>
      </c>
      <c r="P2838" s="315">
        <v>0</v>
      </c>
      <c r="Q2838" s="315">
        <v>0</v>
      </c>
      <c r="R2838" s="1290">
        <v>7988</v>
      </c>
      <c r="S2838" s="1290">
        <f>O2838*R2838</f>
        <v>7988</v>
      </c>
      <c r="T2838" s="256" t="s">
        <v>6634</v>
      </c>
      <c r="U2838" s="1907" t="s">
        <v>7916</v>
      </c>
      <c r="V2838" s="572" t="s">
        <v>1152</v>
      </c>
      <c r="W2838" s="698" t="s">
        <v>10373</v>
      </c>
      <c r="X2838" s="319" t="s">
        <v>7934</v>
      </c>
      <c r="Y2838" s="265"/>
      <c r="Z2838" s="265"/>
    </row>
    <row r="2839" spans="1:26" ht="38.1" hidden="1">
      <c r="A2839" s="20">
        <v>2846</v>
      </c>
      <c r="B2839" s="1063">
        <v>42616</v>
      </c>
      <c r="C2839" s="22" t="s">
        <v>442</v>
      </c>
      <c r="D2839" s="11"/>
      <c r="E2839" s="629" t="s">
        <v>4951</v>
      </c>
      <c r="F2839" s="620" t="s">
        <v>404</v>
      </c>
      <c r="G2839" s="699" t="s">
        <v>443</v>
      </c>
      <c r="H2839" s="699" t="s">
        <v>184</v>
      </c>
      <c r="I2839" s="699" t="s">
        <v>281</v>
      </c>
      <c r="J2839" s="699" t="s">
        <v>444</v>
      </c>
      <c r="K2839" s="699" t="s">
        <v>445</v>
      </c>
      <c r="L2839" s="699" t="s">
        <v>446</v>
      </c>
      <c r="M2839" s="699">
        <v>60</v>
      </c>
      <c r="N2839" s="699">
        <v>1</v>
      </c>
      <c r="O2839" s="699">
        <v>60</v>
      </c>
      <c r="P2839" s="699">
        <v>4</v>
      </c>
      <c r="Q2839" s="699">
        <f>O2839+P2839-M2839</f>
        <v>4</v>
      </c>
      <c r="R2839" s="1291">
        <v>6.08</v>
      </c>
      <c r="S2839" s="1291">
        <f t="shared" ref="S2839:S2842" si="158">R2839*O2839</f>
        <v>364.8</v>
      </c>
      <c r="T2839" s="699" t="s">
        <v>5448</v>
      </c>
      <c r="U2839" s="1922" t="s">
        <v>8730</v>
      </c>
      <c r="V2839" s="1547" t="s">
        <v>8731</v>
      </c>
      <c r="W2839" s="700" t="s">
        <v>8732</v>
      </c>
      <c r="X2839" s="18"/>
      <c r="Y2839" s="4"/>
      <c r="Z2839" s="4"/>
    </row>
    <row r="2840" spans="1:26" ht="14.1" hidden="1">
      <c r="A2840" s="20">
        <v>2847</v>
      </c>
      <c r="B2840" s="1063">
        <v>42617</v>
      </c>
      <c r="C2840" s="965" t="s">
        <v>450</v>
      </c>
      <c r="D2840" s="11"/>
      <c r="E2840" s="629" t="s">
        <v>4951</v>
      </c>
      <c r="F2840" s="1049" t="s">
        <v>404</v>
      </c>
      <c r="G2840" s="320" t="s">
        <v>451</v>
      </c>
      <c r="H2840" s="320" t="s">
        <v>452</v>
      </c>
      <c r="I2840" s="320" t="s">
        <v>281</v>
      </c>
      <c r="J2840" s="320" t="s">
        <v>453</v>
      </c>
      <c r="K2840" s="320" t="s">
        <v>454</v>
      </c>
      <c r="L2840" s="320" t="s">
        <v>455</v>
      </c>
      <c r="M2840" s="320">
        <v>55</v>
      </c>
      <c r="N2840" s="320">
        <v>1</v>
      </c>
      <c r="O2840" s="320">
        <v>40</v>
      </c>
      <c r="P2840" s="320">
        <v>15</v>
      </c>
      <c r="Q2840" s="320">
        <v>0</v>
      </c>
      <c r="R2840" s="1292">
        <v>38.700000000000003</v>
      </c>
      <c r="S2840" s="1291">
        <f t="shared" si="158"/>
        <v>1548</v>
      </c>
      <c r="T2840" s="320" t="s">
        <v>5448</v>
      </c>
      <c r="U2840" s="1923" t="s">
        <v>8730</v>
      </c>
      <c r="V2840" s="1547" t="s">
        <v>8731</v>
      </c>
      <c r="W2840" s="701" t="s">
        <v>457</v>
      </c>
      <c r="X2840" s="18"/>
      <c r="Y2840" s="4"/>
      <c r="Z2840" s="4"/>
    </row>
    <row r="2841" spans="1:26" ht="27.95" hidden="1">
      <c r="A2841" s="20">
        <v>2848</v>
      </c>
      <c r="B2841" s="1063">
        <v>42618</v>
      </c>
      <c r="C2841" s="965" t="s">
        <v>458</v>
      </c>
      <c r="D2841" s="11"/>
      <c r="E2841" s="629" t="s">
        <v>4951</v>
      </c>
      <c r="F2841" s="1049" t="s">
        <v>404</v>
      </c>
      <c r="G2841" s="320" t="s">
        <v>459</v>
      </c>
      <c r="H2841" s="320" t="s">
        <v>460</v>
      </c>
      <c r="I2841" s="320" t="s">
        <v>281</v>
      </c>
      <c r="J2841" s="320" t="s">
        <v>461</v>
      </c>
      <c r="K2841" s="320" t="s">
        <v>462</v>
      </c>
      <c r="L2841" s="320" t="s">
        <v>463</v>
      </c>
      <c r="M2841" s="320">
        <v>25</v>
      </c>
      <c r="N2841" s="320">
        <v>1</v>
      </c>
      <c r="O2841" s="320">
        <v>20</v>
      </c>
      <c r="P2841" s="320">
        <v>5</v>
      </c>
      <c r="Q2841" s="320">
        <v>0</v>
      </c>
      <c r="R2841" s="1292">
        <v>93.7</v>
      </c>
      <c r="S2841" s="1291">
        <f t="shared" si="158"/>
        <v>1874</v>
      </c>
      <c r="T2841" s="320" t="s">
        <v>5448</v>
      </c>
      <c r="U2841" s="1923" t="s">
        <v>8730</v>
      </c>
      <c r="V2841" s="1547" t="s">
        <v>8731</v>
      </c>
      <c r="W2841" s="702" t="s">
        <v>465</v>
      </c>
      <c r="X2841" s="18"/>
      <c r="Y2841" s="4"/>
      <c r="Z2841" s="4"/>
    </row>
    <row r="2842" spans="1:26" ht="15.6" hidden="1">
      <c r="A2842" s="20">
        <v>2849</v>
      </c>
      <c r="B2842" s="1063">
        <v>42619</v>
      </c>
      <c r="C2842" s="935" t="s">
        <v>8733</v>
      </c>
      <c r="D2842" s="11"/>
      <c r="E2842" s="629" t="s">
        <v>4951</v>
      </c>
      <c r="F2842" s="1049" t="s">
        <v>404</v>
      </c>
      <c r="G2842" s="315" t="s">
        <v>6387</v>
      </c>
      <c r="H2842" s="315" t="s">
        <v>1653</v>
      </c>
      <c r="I2842" s="315" t="s">
        <v>574</v>
      </c>
      <c r="J2842" s="315" t="s">
        <v>8734</v>
      </c>
      <c r="K2842" s="315" t="s">
        <v>6389</v>
      </c>
      <c r="L2842" s="315">
        <v>805</v>
      </c>
      <c r="M2842" s="315">
        <v>25</v>
      </c>
      <c r="N2842" s="315">
        <v>1</v>
      </c>
      <c r="O2842" s="315">
        <v>15</v>
      </c>
      <c r="P2842" s="315">
        <v>11</v>
      </c>
      <c r="Q2842" s="315">
        <v>1</v>
      </c>
      <c r="R2842" s="1293">
        <v>3.5</v>
      </c>
      <c r="S2842" s="1291">
        <f t="shared" si="158"/>
        <v>52.5</v>
      </c>
      <c r="T2842" s="703" t="s">
        <v>5448</v>
      </c>
      <c r="U2842" s="1923" t="s">
        <v>8730</v>
      </c>
      <c r="V2842" s="1547" t="s">
        <v>8731</v>
      </c>
      <c r="W2842" s="702" t="s">
        <v>8735</v>
      </c>
      <c r="X2842" s="18"/>
      <c r="Y2842" s="4"/>
      <c r="Z2842" s="4"/>
    </row>
    <row r="2843" spans="1:26" ht="14.1" hidden="1">
      <c r="A2843" s="20">
        <v>2850</v>
      </c>
      <c r="B2843" s="1063">
        <v>42620</v>
      </c>
      <c r="C2843" s="935" t="s">
        <v>8738</v>
      </c>
      <c r="D2843" s="11"/>
      <c r="E2843" s="629" t="s">
        <v>4951</v>
      </c>
      <c r="F2843" s="1049" t="s">
        <v>404</v>
      </c>
      <c r="G2843" s="703" t="s">
        <v>8739</v>
      </c>
      <c r="H2843" s="301" t="s">
        <v>468</v>
      </c>
      <c r="I2843" s="703" t="s">
        <v>84</v>
      </c>
      <c r="J2843" s="703">
        <v>11350167</v>
      </c>
      <c r="K2843" s="703" t="s">
        <v>8740</v>
      </c>
      <c r="L2843" s="703" t="s">
        <v>6668</v>
      </c>
      <c r="M2843" s="703">
        <v>20</v>
      </c>
      <c r="N2843" s="703">
        <v>10</v>
      </c>
      <c r="O2843" s="703">
        <v>20</v>
      </c>
      <c r="P2843" s="703">
        <v>5</v>
      </c>
      <c r="Q2843" s="703">
        <v>5</v>
      </c>
      <c r="R2843" s="1294" t="s">
        <v>8741</v>
      </c>
      <c r="S2843" s="1294">
        <f>649*2</f>
        <v>1298</v>
      </c>
      <c r="T2843" s="703" t="s">
        <v>5448</v>
      </c>
      <c r="U2843" s="1923" t="s">
        <v>8730</v>
      </c>
      <c r="V2843" s="1547" t="s">
        <v>8731</v>
      </c>
      <c r="W2843" s="650" t="s">
        <v>8742</v>
      </c>
      <c r="X2843" s="18"/>
      <c r="Y2843" s="4"/>
      <c r="Z2843" s="4"/>
    </row>
    <row r="2844" spans="1:26" ht="14.1" hidden="1">
      <c r="A2844" s="20">
        <v>2851</v>
      </c>
      <c r="B2844" s="1063">
        <v>42621</v>
      </c>
      <c r="C2844" s="935" t="s">
        <v>10374</v>
      </c>
      <c r="D2844" s="11"/>
      <c r="E2844" s="629" t="s">
        <v>4951</v>
      </c>
      <c r="F2844" s="1049" t="s">
        <v>404</v>
      </c>
      <c r="G2844" s="703" t="s">
        <v>10375</v>
      </c>
      <c r="H2844" s="301" t="s">
        <v>10376</v>
      </c>
      <c r="I2844" s="703" t="s">
        <v>39</v>
      </c>
      <c r="J2844" s="703" t="s">
        <v>10377</v>
      </c>
      <c r="K2844" s="703" t="s">
        <v>10378</v>
      </c>
      <c r="L2844" s="703" t="s">
        <v>6668</v>
      </c>
      <c r="M2844" s="703">
        <v>1</v>
      </c>
      <c r="N2844" s="703">
        <v>1</v>
      </c>
      <c r="O2844" s="703">
        <v>1</v>
      </c>
      <c r="P2844" s="703">
        <v>0</v>
      </c>
      <c r="Q2844" s="703">
        <v>0</v>
      </c>
      <c r="R2844" s="1294">
        <v>704</v>
      </c>
      <c r="S2844" s="1294">
        <v>704</v>
      </c>
      <c r="T2844" s="703" t="s">
        <v>5448</v>
      </c>
      <c r="U2844" s="1923" t="s">
        <v>8730</v>
      </c>
      <c r="V2844" s="1547" t="s">
        <v>8731</v>
      </c>
      <c r="W2844" s="650" t="s">
        <v>10379</v>
      </c>
      <c r="X2844" s="18"/>
      <c r="Y2844" s="4"/>
      <c r="Z2844" s="4"/>
    </row>
    <row r="2845" spans="1:26" ht="14.1" hidden="1">
      <c r="A2845" s="20">
        <v>2852</v>
      </c>
      <c r="B2845" s="1063">
        <v>42622</v>
      </c>
      <c r="C2845" s="935" t="s">
        <v>8753</v>
      </c>
      <c r="D2845" s="11"/>
      <c r="E2845" s="629" t="s">
        <v>4951</v>
      </c>
      <c r="F2845" s="1049" t="s">
        <v>404</v>
      </c>
      <c r="G2845" s="703" t="s">
        <v>8754</v>
      </c>
      <c r="H2845" s="301" t="s">
        <v>468</v>
      </c>
      <c r="I2845" s="703" t="s">
        <v>84</v>
      </c>
      <c r="J2845" s="703">
        <v>11348925</v>
      </c>
      <c r="K2845" s="703" t="s">
        <v>8755</v>
      </c>
      <c r="L2845" s="703" t="s">
        <v>6668</v>
      </c>
      <c r="M2845" s="703">
        <v>25</v>
      </c>
      <c r="N2845" s="703">
        <v>10</v>
      </c>
      <c r="O2845" s="703">
        <v>20</v>
      </c>
      <c r="P2845" s="703">
        <v>4</v>
      </c>
      <c r="Q2845" s="703">
        <v>0</v>
      </c>
      <c r="R2845" s="1294">
        <v>329</v>
      </c>
      <c r="S2845" s="1294">
        <f>329*2</f>
        <v>658</v>
      </c>
      <c r="T2845" s="703" t="s">
        <v>5448</v>
      </c>
      <c r="U2845" s="1923" t="s">
        <v>8730</v>
      </c>
      <c r="V2845" s="1547" t="s">
        <v>8731</v>
      </c>
      <c r="W2845" s="650" t="s">
        <v>8756</v>
      </c>
      <c r="X2845" s="18"/>
      <c r="Y2845" s="4"/>
      <c r="Z2845" s="4"/>
    </row>
    <row r="2846" spans="1:26" ht="14.1" hidden="1">
      <c r="A2846" s="20">
        <v>2853</v>
      </c>
      <c r="B2846" s="1063">
        <v>42623</v>
      </c>
      <c r="C2846" s="935" t="s">
        <v>8757</v>
      </c>
      <c r="D2846" s="11"/>
      <c r="E2846" s="629" t="s">
        <v>4951</v>
      </c>
      <c r="F2846" s="1049" t="s">
        <v>404</v>
      </c>
      <c r="G2846" s="703" t="s">
        <v>8754</v>
      </c>
      <c r="H2846" s="301" t="s">
        <v>468</v>
      </c>
      <c r="I2846" s="703" t="s">
        <v>84</v>
      </c>
      <c r="J2846" s="703">
        <v>11348934</v>
      </c>
      <c r="K2846" s="703" t="s">
        <v>8758</v>
      </c>
      <c r="L2846" s="703" t="s">
        <v>6668</v>
      </c>
      <c r="M2846" s="703">
        <v>25</v>
      </c>
      <c r="N2846" s="703">
        <v>10</v>
      </c>
      <c r="O2846" s="703">
        <v>20</v>
      </c>
      <c r="P2846" s="703">
        <v>8</v>
      </c>
      <c r="Q2846" s="703">
        <v>3</v>
      </c>
      <c r="R2846" s="1294">
        <v>339</v>
      </c>
      <c r="S2846" s="1294">
        <f>339*2</f>
        <v>678</v>
      </c>
      <c r="T2846" s="703" t="s">
        <v>5448</v>
      </c>
      <c r="U2846" s="1923" t="s">
        <v>8730</v>
      </c>
      <c r="V2846" s="1547" t="s">
        <v>8731</v>
      </c>
      <c r="W2846" s="650" t="s">
        <v>8759</v>
      </c>
      <c r="X2846" s="18"/>
      <c r="Y2846" s="4"/>
      <c r="Z2846" s="4"/>
    </row>
    <row r="2847" spans="1:26" ht="48" hidden="1">
      <c r="A2847" s="20">
        <v>2854</v>
      </c>
      <c r="B2847" s="1063">
        <v>42624</v>
      </c>
      <c r="C2847" s="22" t="s">
        <v>528</v>
      </c>
      <c r="D2847" s="11"/>
      <c r="E2847" s="629" t="s">
        <v>4951</v>
      </c>
      <c r="F2847" s="1049" t="s">
        <v>404</v>
      </c>
      <c r="G2847" s="35" t="s">
        <v>529</v>
      </c>
      <c r="H2847" s="35" t="s">
        <v>243</v>
      </c>
      <c r="I2847" s="35" t="s">
        <v>281</v>
      </c>
      <c r="J2847" s="22" t="s">
        <v>530</v>
      </c>
      <c r="K2847" s="22" t="s">
        <v>531</v>
      </c>
      <c r="L2847" s="35" t="s">
        <v>532</v>
      </c>
      <c r="M2847" s="35">
        <v>5</v>
      </c>
      <c r="N2847" s="35">
        <v>1</v>
      </c>
      <c r="O2847" s="35">
        <v>5</v>
      </c>
      <c r="P2847" s="35">
        <v>0</v>
      </c>
      <c r="Q2847" s="35">
        <v>0</v>
      </c>
      <c r="R2847" s="1203">
        <v>409</v>
      </c>
      <c r="S2847" s="1203">
        <f>409*O2847</f>
        <v>2045</v>
      </c>
      <c r="T2847" s="703" t="s">
        <v>5448</v>
      </c>
      <c r="U2847" s="1923" t="s">
        <v>8730</v>
      </c>
      <c r="V2847" s="1547" t="s">
        <v>8731</v>
      </c>
      <c r="W2847" s="2010" t="s">
        <v>533</v>
      </c>
      <c r="X2847" s="18"/>
      <c r="Y2847" s="4"/>
      <c r="Z2847" s="4"/>
    </row>
    <row r="2848" spans="1:26" ht="14.1" hidden="1">
      <c r="A2848" s="20">
        <v>2855</v>
      </c>
      <c r="B2848" s="1063">
        <v>42625</v>
      </c>
      <c r="C2848" s="958" t="s">
        <v>6905</v>
      </c>
      <c r="D2848" s="11"/>
      <c r="E2848" s="629" t="s">
        <v>4951</v>
      </c>
      <c r="F2848" s="985" t="s">
        <v>131</v>
      </c>
      <c r="G2848" s="298"/>
      <c r="H2848" s="298" t="s">
        <v>1104</v>
      </c>
      <c r="I2848" s="298" t="s">
        <v>574</v>
      </c>
      <c r="J2848" s="298" t="s">
        <v>6906</v>
      </c>
      <c r="K2848" s="298" t="s">
        <v>6907</v>
      </c>
      <c r="L2848" s="298"/>
      <c r="M2848" s="298">
        <v>40</v>
      </c>
      <c r="N2848" s="298">
        <v>1</v>
      </c>
      <c r="O2848" s="298">
        <v>100</v>
      </c>
      <c r="P2848" s="298">
        <v>4</v>
      </c>
      <c r="Q2848" s="669">
        <f t="shared" ref="Q2848:Q2850" si="159">(O2848+P2848)-M2848</f>
        <v>64</v>
      </c>
      <c r="R2848" s="1209">
        <v>6.64</v>
      </c>
      <c r="S2848" s="1209">
        <v>667</v>
      </c>
      <c r="T2848" s="683" t="s">
        <v>5448</v>
      </c>
      <c r="U2848" s="1909" t="s">
        <v>2079</v>
      </c>
      <c r="V2848" s="572" t="s">
        <v>8731</v>
      </c>
      <c r="W2848" s="682" t="s">
        <v>10380</v>
      </c>
      <c r="X2848" s="18"/>
      <c r="Y2848" s="4"/>
      <c r="Z2848" s="4"/>
    </row>
    <row r="2849" spans="1:26" ht="14.1" hidden="1">
      <c r="A2849" s="20">
        <v>2856</v>
      </c>
      <c r="B2849" s="1063">
        <v>42626</v>
      </c>
      <c r="C2849" s="958" t="s">
        <v>6010</v>
      </c>
      <c r="D2849" s="11"/>
      <c r="E2849" s="629" t="s">
        <v>4951</v>
      </c>
      <c r="F2849" s="985" t="s">
        <v>2006</v>
      </c>
      <c r="G2849" s="298" t="s">
        <v>6011</v>
      </c>
      <c r="H2849" s="298" t="s">
        <v>452</v>
      </c>
      <c r="I2849" s="298" t="s">
        <v>281</v>
      </c>
      <c r="J2849" s="298" t="s">
        <v>10381</v>
      </c>
      <c r="K2849" s="298" t="s">
        <v>10382</v>
      </c>
      <c r="L2849" s="298" t="s">
        <v>4753</v>
      </c>
      <c r="M2849" s="298">
        <v>3</v>
      </c>
      <c r="N2849" s="298">
        <v>10</v>
      </c>
      <c r="O2849" s="298">
        <v>10</v>
      </c>
      <c r="P2849" s="298">
        <v>0</v>
      </c>
      <c r="Q2849" s="669">
        <f t="shared" si="159"/>
        <v>7</v>
      </c>
      <c r="R2849" s="1209">
        <v>44.3</v>
      </c>
      <c r="S2849" s="1209">
        <f t="shared" ref="S2849:S2850" si="160">R2849*O2849</f>
        <v>443</v>
      </c>
      <c r="T2849" s="683" t="s">
        <v>311</v>
      </c>
      <c r="U2849" s="1909" t="s">
        <v>678</v>
      </c>
      <c r="V2849" s="572" t="s">
        <v>5990</v>
      </c>
      <c r="W2849" s="682" t="s">
        <v>10383</v>
      </c>
      <c r="X2849" s="18"/>
      <c r="Y2849" s="4"/>
      <c r="Z2849" s="4"/>
    </row>
    <row r="2850" spans="1:26" ht="14.1" hidden="1">
      <c r="A2850" s="20">
        <v>2857</v>
      </c>
      <c r="B2850" s="1063">
        <v>42627</v>
      </c>
      <c r="C2850" s="958" t="s">
        <v>329</v>
      </c>
      <c r="D2850" s="11"/>
      <c r="E2850" s="629" t="s">
        <v>4951</v>
      </c>
      <c r="F2850" s="985" t="s">
        <v>2006</v>
      </c>
      <c r="G2850" s="298" t="s">
        <v>10384</v>
      </c>
      <c r="H2850" s="298" t="s">
        <v>1653</v>
      </c>
      <c r="I2850" s="298" t="s">
        <v>281</v>
      </c>
      <c r="J2850" s="298" t="s">
        <v>10385</v>
      </c>
      <c r="K2850" s="298" t="s">
        <v>10386</v>
      </c>
      <c r="L2850" s="298" t="s">
        <v>5267</v>
      </c>
      <c r="M2850" s="298">
        <v>10</v>
      </c>
      <c r="N2850" s="298">
        <v>10</v>
      </c>
      <c r="O2850" s="298">
        <v>10</v>
      </c>
      <c r="P2850" s="298">
        <v>0</v>
      </c>
      <c r="Q2850" s="669">
        <f t="shared" si="159"/>
        <v>0</v>
      </c>
      <c r="R2850" s="1209">
        <v>24.2</v>
      </c>
      <c r="S2850" s="1209">
        <f t="shared" si="160"/>
        <v>242</v>
      </c>
      <c r="T2850" s="683" t="s">
        <v>311</v>
      </c>
      <c r="U2850" s="1909" t="s">
        <v>678</v>
      </c>
      <c r="V2850" s="572" t="s">
        <v>5990</v>
      </c>
      <c r="W2850" s="682" t="s">
        <v>10387</v>
      </c>
      <c r="X2850" s="18"/>
      <c r="Y2850" s="4"/>
      <c r="Z2850" s="4"/>
    </row>
    <row r="2851" spans="1:26" ht="14.1" hidden="1">
      <c r="A2851" s="20">
        <v>2858</v>
      </c>
      <c r="B2851" s="1063">
        <v>42628</v>
      </c>
      <c r="C2851" s="958" t="s">
        <v>7069</v>
      </c>
      <c r="D2851" s="11" t="s">
        <v>6</v>
      </c>
      <c r="E2851" s="629" t="s">
        <v>5448</v>
      </c>
      <c r="F2851" s="985" t="s">
        <v>131</v>
      </c>
      <c r="G2851" s="298" t="s">
        <v>10388</v>
      </c>
      <c r="H2851" s="298" t="s">
        <v>260</v>
      </c>
      <c r="I2851" s="298" t="s">
        <v>39</v>
      </c>
      <c r="J2851" s="298" t="s">
        <v>10389</v>
      </c>
      <c r="K2851" s="298" t="s">
        <v>10389</v>
      </c>
      <c r="L2851" s="298"/>
      <c r="M2851" s="298" t="s">
        <v>10390</v>
      </c>
      <c r="N2851" s="298" t="s">
        <v>10391</v>
      </c>
      <c r="O2851" s="298" t="s">
        <v>10391</v>
      </c>
      <c r="P2851" s="298" t="s">
        <v>3077</v>
      </c>
      <c r="Q2851" s="669" t="s">
        <v>10392</v>
      </c>
      <c r="R2851" s="1209"/>
      <c r="S2851" s="1209">
        <v>1866</v>
      </c>
      <c r="T2851" s="683" t="s">
        <v>5448</v>
      </c>
      <c r="U2851" s="1909" t="s">
        <v>10393</v>
      </c>
      <c r="V2851" s="572" t="s">
        <v>8731</v>
      </c>
      <c r="W2851" s="682" t="s">
        <v>10394</v>
      </c>
      <c r="X2851" s="18"/>
      <c r="Y2851" s="4"/>
      <c r="Z2851" s="4"/>
    </row>
    <row r="2852" spans="1:26" ht="14.1" hidden="1">
      <c r="A2852" s="20">
        <v>2859</v>
      </c>
      <c r="B2852" s="1063">
        <v>42629</v>
      </c>
      <c r="C2852" s="958" t="s">
        <v>10395</v>
      </c>
      <c r="D2852" s="10"/>
      <c r="E2852" s="298" t="s">
        <v>7498</v>
      </c>
      <c r="F2852" s="985" t="s">
        <v>4980</v>
      </c>
      <c r="G2852" s="298" t="s">
        <v>10396</v>
      </c>
      <c r="H2852" s="298" t="s">
        <v>6919</v>
      </c>
      <c r="I2852" s="298" t="s">
        <v>574</v>
      </c>
      <c r="J2852" s="298" t="s">
        <v>10397</v>
      </c>
      <c r="K2852" s="298" t="s">
        <v>10398</v>
      </c>
      <c r="L2852" s="298" t="s">
        <v>10399</v>
      </c>
      <c r="M2852" s="298">
        <v>2</v>
      </c>
      <c r="N2852" s="298">
        <v>2</v>
      </c>
      <c r="O2852" s="298">
        <v>2</v>
      </c>
      <c r="P2852" s="298">
        <v>0</v>
      </c>
      <c r="Q2852" s="669">
        <f>(O2852+P2852)-M2852</f>
        <v>0</v>
      </c>
      <c r="R2852" s="1209">
        <v>2496</v>
      </c>
      <c r="S2852" s="1209">
        <v>4938</v>
      </c>
      <c r="T2852" s="26" t="s">
        <v>7372</v>
      </c>
      <c r="U2852" s="1871" t="s">
        <v>7372</v>
      </c>
      <c r="V2852" s="572" t="s">
        <v>7705</v>
      </c>
      <c r="W2852" s="682" t="s">
        <v>10400</v>
      </c>
      <c r="X2852" s="18"/>
      <c r="Y2852" s="4"/>
      <c r="Z2852" s="4"/>
    </row>
    <row r="2853" spans="1:26" ht="14.1" hidden="1">
      <c r="A2853" s="20">
        <v>2860</v>
      </c>
      <c r="B2853" s="1063">
        <v>42630</v>
      </c>
      <c r="C2853" s="26" t="s">
        <v>9790</v>
      </c>
      <c r="D2853" s="11" t="s">
        <v>6</v>
      </c>
      <c r="E2853" s="222" t="s">
        <v>683</v>
      </c>
      <c r="F2853" s="26" t="s">
        <v>2143</v>
      </c>
      <c r="G2853" s="296" t="s">
        <v>10401</v>
      </c>
      <c r="H2853" s="237" t="s">
        <v>10402</v>
      </c>
      <c r="I2853" s="26" t="s">
        <v>76</v>
      </c>
      <c r="J2853" s="26"/>
      <c r="K2853" s="26"/>
      <c r="L2853" s="26"/>
      <c r="M2853" s="26">
        <v>1</v>
      </c>
      <c r="N2853" s="26">
        <v>1</v>
      </c>
      <c r="O2853" s="26">
        <v>10</v>
      </c>
      <c r="P2853" s="26">
        <v>2</v>
      </c>
      <c r="Q2853" s="26">
        <v>3</v>
      </c>
      <c r="R2853" s="1209">
        <v>1241</v>
      </c>
      <c r="S2853" s="1209">
        <f t="shared" ref="S2853:S2854" si="161">R2853*O2853</f>
        <v>12410</v>
      </c>
      <c r="T2853" s="26" t="s">
        <v>7779</v>
      </c>
      <c r="U2853" s="1859" t="s">
        <v>138</v>
      </c>
      <c r="V2853" s="26" t="s">
        <v>9794</v>
      </c>
      <c r="W2853" s="701"/>
      <c r="X2853" s="18"/>
      <c r="Y2853" s="4"/>
      <c r="Z2853" s="4"/>
    </row>
    <row r="2854" spans="1:26" ht="14.1" hidden="1">
      <c r="A2854" s="20">
        <v>2861</v>
      </c>
      <c r="B2854" s="1063">
        <v>42631</v>
      </c>
      <c r="C2854" s="26" t="s">
        <v>9796</v>
      </c>
      <c r="D2854" s="11" t="s">
        <v>6</v>
      </c>
      <c r="E2854" s="222" t="s">
        <v>683</v>
      </c>
      <c r="F2854" s="26" t="s">
        <v>2143</v>
      </c>
      <c r="G2854" s="296" t="s">
        <v>10403</v>
      </c>
      <c r="H2854" s="237" t="s">
        <v>10402</v>
      </c>
      <c r="I2854" s="26" t="s">
        <v>76</v>
      </c>
      <c r="J2854" s="26"/>
      <c r="K2854" s="26"/>
      <c r="L2854" s="26"/>
      <c r="M2854" s="26">
        <v>1</v>
      </c>
      <c r="N2854" s="26">
        <v>1</v>
      </c>
      <c r="O2854" s="26">
        <v>10</v>
      </c>
      <c r="P2854" s="26">
        <v>2</v>
      </c>
      <c r="Q2854" s="26">
        <v>3</v>
      </c>
      <c r="R2854" s="1209">
        <v>1241</v>
      </c>
      <c r="S2854" s="1209">
        <f t="shared" si="161"/>
        <v>12410</v>
      </c>
      <c r="T2854" s="26" t="s">
        <v>7779</v>
      </c>
      <c r="U2854" s="1859" t="s">
        <v>138</v>
      </c>
      <c r="V2854" s="26" t="s">
        <v>9794</v>
      </c>
      <c r="W2854" s="701"/>
      <c r="X2854" s="18"/>
      <c r="Y2854" s="4"/>
      <c r="Z2854" s="4"/>
    </row>
    <row r="2855" spans="1:26" ht="14.1" hidden="1">
      <c r="A2855" s="20">
        <v>2862</v>
      </c>
      <c r="B2855" s="1063">
        <v>42632</v>
      </c>
      <c r="C2855" s="958"/>
      <c r="D2855" s="37"/>
      <c r="E2855" s="298"/>
      <c r="F2855" s="985"/>
      <c r="G2855" s="298"/>
      <c r="H2855" s="298"/>
      <c r="I2855" s="298"/>
      <c r="J2855" s="298"/>
      <c r="K2855" s="298"/>
      <c r="L2855" s="298"/>
      <c r="M2855" s="298"/>
      <c r="N2855" s="298"/>
      <c r="O2855" s="298"/>
      <c r="P2855" s="298"/>
      <c r="Q2855" s="669">
        <f>(O2855+P2855)-M2855</f>
        <v>0</v>
      </c>
      <c r="R2855" s="1209"/>
      <c r="S2855" s="1209"/>
      <c r="T2855" s="683"/>
      <c r="U2855" s="1909"/>
      <c r="V2855" s="572"/>
      <c r="W2855" s="682"/>
      <c r="X2855" s="18"/>
      <c r="Y2855" s="4"/>
      <c r="Z2855" s="4"/>
    </row>
    <row r="2856" spans="1:26" ht="24.95" hidden="1">
      <c r="A2856" s="20">
        <v>2863</v>
      </c>
      <c r="B2856" s="1063">
        <v>42633</v>
      </c>
      <c r="C2856" s="26" t="s">
        <v>10404</v>
      </c>
      <c r="D2856" s="11" t="s">
        <v>6</v>
      </c>
      <c r="E2856" s="26" t="s">
        <v>5448</v>
      </c>
      <c r="F2856" s="26" t="s">
        <v>10405</v>
      </c>
      <c r="G2856" s="26" t="s">
        <v>10406</v>
      </c>
      <c r="H2856" s="237" t="s">
        <v>8711</v>
      </c>
      <c r="I2856" s="274" t="s">
        <v>8712</v>
      </c>
      <c r="J2856" s="26"/>
      <c r="K2856" s="26" t="s">
        <v>10407</v>
      </c>
      <c r="L2856" s="26" t="s">
        <v>8714</v>
      </c>
      <c r="M2856" s="26">
        <v>3</v>
      </c>
      <c r="N2856" s="26">
        <v>1</v>
      </c>
      <c r="O2856" s="26">
        <v>6</v>
      </c>
      <c r="P2856" s="26">
        <v>3</v>
      </c>
      <c r="Q2856" s="26">
        <v>9</v>
      </c>
      <c r="R2856" s="1209"/>
      <c r="S2856" s="1209">
        <v>142000</v>
      </c>
      <c r="T2856" s="26" t="s">
        <v>5448</v>
      </c>
      <c r="U2856" s="1859" t="s">
        <v>8715</v>
      </c>
      <c r="V2856" s="26" t="s">
        <v>150</v>
      </c>
      <c r="W2856" s="2084" t="s">
        <v>8716</v>
      </c>
      <c r="X2856" s="18"/>
      <c r="Y2856" s="4"/>
      <c r="Z2856" s="4"/>
    </row>
    <row r="2857" spans="1:26" ht="14.1" hidden="1">
      <c r="A2857" s="20">
        <v>2864</v>
      </c>
      <c r="B2857" s="1063">
        <v>42634</v>
      </c>
      <c r="C2857" s="958" t="s">
        <v>10408</v>
      </c>
      <c r="D2857" s="11" t="s">
        <v>6</v>
      </c>
      <c r="E2857" s="26" t="s">
        <v>4951</v>
      </c>
      <c r="F2857" s="985" t="s">
        <v>7782</v>
      </c>
      <c r="G2857" s="298" t="s">
        <v>10409</v>
      </c>
      <c r="H2857" s="298" t="s">
        <v>10410</v>
      </c>
      <c r="I2857" s="298" t="s">
        <v>10411</v>
      </c>
      <c r="J2857" s="298"/>
      <c r="K2857" s="298" t="s">
        <v>10408</v>
      </c>
      <c r="L2857" s="298" t="s">
        <v>10412</v>
      </c>
      <c r="M2857" s="298">
        <v>2</v>
      </c>
      <c r="N2857" s="298">
        <v>1</v>
      </c>
      <c r="O2857" s="298">
        <v>10</v>
      </c>
      <c r="P2857" s="298">
        <v>0</v>
      </c>
      <c r="Q2857" s="669">
        <f t="shared" ref="Q2857:Q2866" si="162">(O2857+P2857)-M2857</f>
        <v>8</v>
      </c>
      <c r="R2857" s="1209">
        <v>355</v>
      </c>
      <c r="S2857" s="1209">
        <f t="shared" ref="S2857:S2861" si="163">R2857*O2857</f>
        <v>3550</v>
      </c>
      <c r="T2857" s="26" t="s">
        <v>5448</v>
      </c>
      <c r="U2857" s="1909" t="s">
        <v>8765</v>
      </c>
      <c r="V2857" s="26" t="s">
        <v>150</v>
      </c>
      <c r="W2857" s="682" t="s">
        <v>10413</v>
      </c>
      <c r="X2857" s="18"/>
      <c r="Y2857" s="4"/>
      <c r="Z2857" s="4"/>
    </row>
    <row r="2858" spans="1:26" ht="14.1" hidden="1">
      <c r="A2858" s="20">
        <v>2865</v>
      </c>
      <c r="B2858" s="1063">
        <v>42635</v>
      </c>
      <c r="C2858" s="958" t="s">
        <v>10414</v>
      </c>
      <c r="D2858" s="11" t="s">
        <v>6</v>
      </c>
      <c r="E2858" s="26" t="s">
        <v>4951</v>
      </c>
      <c r="F2858" s="985" t="s">
        <v>7782</v>
      </c>
      <c r="G2858" s="298" t="s">
        <v>10415</v>
      </c>
      <c r="H2858" s="298" t="s">
        <v>1143</v>
      </c>
      <c r="I2858" s="298" t="s">
        <v>4634</v>
      </c>
      <c r="J2858" s="298" t="s">
        <v>10416</v>
      </c>
      <c r="K2858" s="298" t="s">
        <v>10417</v>
      </c>
      <c r="L2858" s="298" t="s">
        <v>10418</v>
      </c>
      <c r="M2858" s="298">
        <v>5</v>
      </c>
      <c r="N2858" s="298">
        <v>1</v>
      </c>
      <c r="O2858" s="298">
        <v>20</v>
      </c>
      <c r="P2858" s="298">
        <v>1</v>
      </c>
      <c r="Q2858" s="669">
        <f t="shared" si="162"/>
        <v>16</v>
      </c>
      <c r="R2858" s="1209">
        <v>15</v>
      </c>
      <c r="S2858" s="1209">
        <f t="shared" si="163"/>
        <v>300</v>
      </c>
      <c r="T2858" s="26" t="s">
        <v>5448</v>
      </c>
      <c r="U2858" s="1909" t="s">
        <v>8765</v>
      </c>
      <c r="V2858" s="26" t="s">
        <v>150</v>
      </c>
      <c r="W2858" s="697" t="s">
        <v>10419</v>
      </c>
      <c r="X2858" s="18"/>
      <c r="Y2858" s="4"/>
      <c r="Z2858" s="4"/>
    </row>
    <row r="2859" spans="1:26" ht="14.1" hidden="1">
      <c r="A2859" s="20">
        <v>2866</v>
      </c>
      <c r="B2859" s="1063">
        <v>42636</v>
      </c>
      <c r="C2859" s="958" t="s">
        <v>10414</v>
      </c>
      <c r="D2859" s="11" t="s">
        <v>6</v>
      </c>
      <c r="E2859" s="26" t="s">
        <v>4951</v>
      </c>
      <c r="F2859" s="985" t="s">
        <v>7782</v>
      </c>
      <c r="G2859" s="298" t="s">
        <v>10420</v>
      </c>
      <c r="H2859" s="298" t="s">
        <v>1143</v>
      </c>
      <c r="I2859" s="298" t="s">
        <v>4634</v>
      </c>
      <c r="J2859" s="298" t="s">
        <v>10421</v>
      </c>
      <c r="K2859" s="298" t="s">
        <v>307</v>
      </c>
      <c r="L2859" s="298" t="s">
        <v>10418</v>
      </c>
      <c r="M2859" s="298">
        <v>1</v>
      </c>
      <c r="N2859" s="298">
        <v>1</v>
      </c>
      <c r="O2859" s="298">
        <v>10</v>
      </c>
      <c r="P2859" s="298">
        <v>1</v>
      </c>
      <c r="Q2859" s="669">
        <f t="shared" si="162"/>
        <v>10</v>
      </c>
      <c r="R2859" s="1209">
        <v>54</v>
      </c>
      <c r="S2859" s="1209">
        <f t="shared" si="163"/>
        <v>540</v>
      </c>
      <c r="T2859" s="26" t="s">
        <v>5448</v>
      </c>
      <c r="U2859" s="1909" t="s">
        <v>8765</v>
      </c>
      <c r="V2859" s="26" t="s">
        <v>150</v>
      </c>
      <c r="W2859" s="697" t="s">
        <v>10422</v>
      </c>
      <c r="X2859" s="18"/>
      <c r="Y2859" s="4"/>
      <c r="Z2859" s="4"/>
    </row>
    <row r="2860" spans="1:26" ht="14.1" hidden="1">
      <c r="A2860" s="20">
        <v>2867</v>
      </c>
      <c r="B2860" s="1063">
        <v>42637</v>
      </c>
      <c r="C2860" s="958" t="s">
        <v>10423</v>
      </c>
      <c r="D2860" s="11" t="s">
        <v>6</v>
      </c>
      <c r="E2860" s="26" t="s">
        <v>4951</v>
      </c>
      <c r="F2860" s="985" t="s">
        <v>7782</v>
      </c>
      <c r="G2860" s="298" t="s">
        <v>10424</v>
      </c>
      <c r="H2860" s="298" t="s">
        <v>839</v>
      </c>
      <c r="I2860" s="298" t="s">
        <v>4634</v>
      </c>
      <c r="J2860" s="298" t="s">
        <v>9259</v>
      </c>
      <c r="K2860" s="298" t="s">
        <v>9260</v>
      </c>
      <c r="L2860" s="298" t="s">
        <v>10425</v>
      </c>
      <c r="M2860" s="298">
        <v>1</v>
      </c>
      <c r="N2860" s="298">
        <v>1</v>
      </c>
      <c r="O2860" s="298">
        <v>1</v>
      </c>
      <c r="P2860" s="298">
        <v>0</v>
      </c>
      <c r="Q2860" s="669">
        <f t="shared" si="162"/>
        <v>0</v>
      </c>
      <c r="R2860" s="1209">
        <v>3877</v>
      </c>
      <c r="S2860" s="1209">
        <f t="shared" si="163"/>
        <v>3877</v>
      </c>
      <c r="T2860" s="26" t="s">
        <v>5448</v>
      </c>
      <c r="U2860" s="1909" t="s">
        <v>8765</v>
      </c>
      <c r="V2860" s="26" t="s">
        <v>150</v>
      </c>
      <c r="W2860" s="682" t="s">
        <v>9262</v>
      </c>
      <c r="X2860" s="18"/>
      <c r="Y2860" s="4"/>
      <c r="Z2860" s="4"/>
    </row>
    <row r="2861" spans="1:26" ht="14.1" hidden="1">
      <c r="A2861" s="20">
        <v>2868</v>
      </c>
      <c r="B2861" s="1063">
        <v>42638</v>
      </c>
      <c r="C2861" s="190" t="s">
        <v>8950</v>
      </c>
      <c r="D2861" s="11" t="s">
        <v>6</v>
      </c>
      <c r="E2861" s="26" t="s">
        <v>4951</v>
      </c>
      <c r="F2861" s="26" t="s">
        <v>7782</v>
      </c>
      <c r="G2861" s="26" t="s">
        <v>8951</v>
      </c>
      <c r="H2861" s="237" t="s">
        <v>8952</v>
      </c>
      <c r="I2861" s="187" t="s">
        <v>10426</v>
      </c>
      <c r="J2861" s="26" t="s">
        <v>8954</v>
      </c>
      <c r="K2861" s="26" t="s">
        <v>8954</v>
      </c>
      <c r="L2861" s="26" t="s">
        <v>8955</v>
      </c>
      <c r="M2861" s="298">
        <v>1</v>
      </c>
      <c r="N2861" s="298">
        <v>1</v>
      </c>
      <c r="O2861" s="298">
        <v>5</v>
      </c>
      <c r="P2861" s="298">
        <v>0</v>
      </c>
      <c r="Q2861" s="669">
        <f t="shared" si="162"/>
        <v>4</v>
      </c>
      <c r="R2861" s="1209">
        <v>1957</v>
      </c>
      <c r="S2861" s="1209">
        <f t="shared" si="163"/>
        <v>9785</v>
      </c>
      <c r="T2861" s="26" t="s">
        <v>5448</v>
      </c>
      <c r="U2861" s="1909" t="s">
        <v>8765</v>
      </c>
      <c r="V2861" s="26" t="s">
        <v>150</v>
      </c>
      <c r="W2861" s="682"/>
      <c r="X2861" s="18" t="s">
        <v>10427</v>
      </c>
      <c r="Y2861" s="4"/>
      <c r="Z2861" s="4"/>
    </row>
    <row r="2862" spans="1:26" ht="14.1" hidden="1">
      <c r="A2862" s="20">
        <v>2869</v>
      </c>
      <c r="B2862" s="1063">
        <v>42639</v>
      </c>
      <c r="C2862" s="958" t="s">
        <v>10428</v>
      </c>
      <c r="D2862" s="11" t="s">
        <v>6</v>
      </c>
      <c r="E2862" s="298" t="s">
        <v>7956</v>
      </c>
      <c r="F2862" s="985" t="s">
        <v>2143</v>
      </c>
      <c r="G2862" s="298"/>
      <c r="H2862" s="298" t="s">
        <v>2654</v>
      </c>
      <c r="I2862" s="298" t="s">
        <v>6645</v>
      </c>
      <c r="J2862" s="298" t="s">
        <v>10429</v>
      </c>
      <c r="K2862" s="298"/>
      <c r="L2862" s="298"/>
      <c r="M2862" s="298">
        <v>1</v>
      </c>
      <c r="N2862" s="298">
        <v>1</v>
      </c>
      <c r="O2862" s="298">
        <v>1</v>
      </c>
      <c r="P2862" s="298">
        <v>0</v>
      </c>
      <c r="Q2862" s="669">
        <f t="shared" si="162"/>
        <v>0</v>
      </c>
      <c r="R2862" s="1209">
        <v>4800</v>
      </c>
      <c r="S2862" s="1209">
        <v>4800</v>
      </c>
      <c r="T2862" s="683" t="s">
        <v>5448</v>
      </c>
      <c r="U2862" s="1909" t="s">
        <v>138</v>
      </c>
      <c r="V2862" s="572" t="s">
        <v>150</v>
      </c>
      <c r="W2862" s="682" t="s">
        <v>10430</v>
      </c>
      <c r="X2862" s="18"/>
      <c r="Y2862" s="4"/>
      <c r="Z2862" s="4"/>
    </row>
    <row r="2863" spans="1:26" ht="14.1" hidden="1">
      <c r="A2863" s="20">
        <v>2870</v>
      </c>
      <c r="B2863" s="1063">
        <v>42640</v>
      </c>
      <c r="C2863" s="958" t="s">
        <v>10431</v>
      </c>
      <c r="D2863" s="11" t="s">
        <v>6</v>
      </c>
      <c r="E2863" s="298" t="s">
        <v>7956</v>
      </c>
      <c r="F2863" s="985" t="s">
        <v>2143</v>
      </c>
      <c r="G2863" s="298"/>
      <c r="H2863" s="298"/>
      <c r="I2863" s="298" t="s">
        <v>1022</v>
      </c>
      <c r="J2863" s="298"/>
      <c r="K2863" s="298"/>
      <c r="L2863" s="298"/>
      <c r="M2863" s="298">
        <v>1</v>
      </c>
      <c r="N2863" s="298">
        <v>1</v>
      </c>
      <c r="O2863" s="298">
        <v>1</v>
      </c>
      <c r="P2863" s="298">
        <v>0</v>
      </c>
      <c r="Q2863" s="669">
        <f t="shared" si="162"/>
        <v>0</v>
      </c>
      <c r="R2863" s="1209">
        <v>5999</v>
      </c>
      <c r="S2863" s="1209">
        <v>5999</v>
      </c>
      <c r="T2863" s="683" t="s">
        <v>5448</v>
      </c>
      <c r="U2863" s="1909" t="s">
        <v>138</v>
      </c>
      <c r="V2863" s="572" t="s">
        <v>150</v>
      </c>
      <c r="W2863" s="701" t="s">
        <v>10432</v>
      </c>
      <c r="X2863" s="18"/>
      <c r="Y2863" s="4"/>
      <c r="Z2863" s="4"/>
    </row>
    <row r="2864" spans="1:26" ht="14.1" hidden="1">
      <c r="A2864" s="20">
        <v>2871</v>
      </c>
      <c r="B2864" s="1063">
        <v>42641</v>
      </c>
      <c r="C2864" s="958" t="s">
        <v>10433</v>
      </c>
      <c r="D2864" s="11" t="s">
        <v>6</v>
      </c>
      <c r="E2864" s="298" t="s">
        <v>7956</v>
      </c>
      <c r="F2864" s="985" t="s">
        <v>2143</v>
      </c>
      <c r="G2864" s="298"/>
      <c r="H2864" s="298"/>
      <c r="I2864" s="298" t="s">
        <v>6645</v>
      </c>
      <c r="J2864" s="298" t="s">
        <v>10434</v>
      </c>
      <c r="K2864" s="298"/>
      <c r="L2864" s="298"/>
      <c r="M2864" s="298">
        <v>1</v>
      </c>
      <c r="N2864" s="298">
        <v>1</v>
      </c>
      <c r="O2864" s="298">
        <v>1</v>
      </c>
      <c r="P2864" s="298">
        <v>0</v>
      </c>
      <c r="Q2864" s="669">
        <f t="shared" si="162"/>
        <v>0</v>
      </c>
      <c r="R2864" s="1209">
        <v>400</v>
      </c>
      <c r="S2864" s="1209">
        <v>400</v>
      </c>
      <c r="T2864" s="683" t="s">
        <v>5448</v>
      </c>
      <c r="U2864" s="1909" t="s">
        <v>138</v>
      </c>
      <c r="V2864" s="572" t="s">
        <v>150</v>
      </c>
      <c r="W2864" s="682" t="s">
        <v>10435</v>
      </c>
      <c r="X2864" s="18"/>
      <c r="Y2864" s="4"/>
      <c r="Z2864" s="4"/>
    </row>
    <row r="2865" spans="1:26" ht="14.1" hidden="1">
      <c r="A2865" s="20">
        <v>2872</v>
      </c>
      <c r="B2865" s="1063">
        <v>42642</v>
      </c>
      <c r="C2865" s="958" t="s">
        <v>10436</v>
      </c>
      <c r="D2865" s="11" t="s">
        <v>6</v>
      </c>
      <c r="E2865" s="298" t="s">
        <v>7956</v>
      </c>
      <c r="F2865" s="985" t="s">
        <v>2143</v>
      </c>
      <c r="G2865" s="298"/>
      <c r="H2865" s="298"/>
      <c r="I2865" s="298" t="s">
        <v>6645</v>
      </c>
      <c r="J2865" s="298" t="s">
        <v>10437</v>
      </c>
      <c r="K2865" s="298"/>
      <c r="L2865" s="298"/>
      <c r="M2865" s="298">
        <v>1</v>
      </c>
      <c r="N2865" s="298">
        <v>1</v>
      </c>
      <c r="O2865" s="298">
        <v>1</v>
      </c>
      <c r="P2865" s="298">
        <v>0</v>
      </c>
      <c r="Q2865" s="669">
        <f t="shared" si="162"/>
        <v>0</v>
      </c>
      <c r="R2865" s="1209">
        <v>700</v>
      </c>
      <c r="S2865" s="1209">
        <v>700</v>
      </c>
      <c r="T2865" s="683" t="s">
        <v>5448</v>
      </c>
      <c r="U2865" s="1909" t="s">
        <v>138</v>
      </c>
      <c r="V2865" s="572" t="s">
        <v>150</v>
      </c>
      <c r="W2865" s="682" t="s">
        <v>10438</v>
      </c>
      <c r="X2865" s="18"/>
      <c r="Y2865" s="4"/>
      <c r="Z2865" s="4"/>
    </row>
    <row r="2866" spans="1:26" ht="14.1" hidden="1">
      <c r="A2866" s="20">
        <v>2873</v>
      </c>
      <c r="B2866" s="1063">
        <v>42643</v>
      </c>
      <c r="C2866" s="958" t="s">
        <v>10439</v>
      </c>
      <c r="D2866" s="11" t="s">
        <v>6</v>
      </c>
      <c r="E2866" s="298" t="s">
        <v>7956</v>
      </c>
      <c r="F2866" s="985" t="s">
        <v>2143</v>
      </c>
      <c r="G2866" s="298"/>
      <c r="H2866" s="298"/>
      <c r="I2866" s="298" t="s">
        <v>6645</v>
      </c>
      <c r="J2866" s="298" t="s">
        <v>10440</v>
      </c>
      <c r="K2866" s="298"/>
      <c r="L2866" s="298"/>
      <c r="M2866" s="298">
        <v>1</v>
      </c>
      <c r="N2866" s="298">
        <v>1</v>
      </c>
      <c r="O2866" s="298">
        <v>1</v>
      </c>
      <c r="P2866" s="298">
        <v>0</v>
      </c>
      <c r="Q2866" s="669">
        <f t="shared" si="162"/>
        <v>0</v>
      </c>
      <c r="R2866" s="1209">
        <v>820</v>
      </c>
      <c r="S2866" s="1209">
        <v>820</v>
      </c>
      <c r="T2866" s="683" t="s">
        <v>5448</v>
      </c>
      <c r="U2866" s="1909" t="s">
        <v>138</v>
      </c>
      <c r="V2866" s="572" t="s">
        <v>150</v>
      </c>
      <c r="W2866" s="682" t="s">
        <v>10441</v>
      </c>
      <c r="X2866" s="18"/>
      <c r="Y2866" s="4"/>
      <c r="Z2866" s="4"/>
    </row>
    <row r="2867" spans="1:26" ht="14.1" hidden="1">
      <c r="A2867" s="20">
        <v>2874</v>
      </c>
      <c r="B2867" s="1063">
        <v>42644</v>
      </c>
      <c r="C2867" s="958" t="s">
        <v>10442</v>
      </c>
      <c r="D2867" s="11" t="s">
        <v>6</v>
      </c>
      <c r="E2867" s="298" t="s">
        <v>7956</v>
      </c>
      <c r="F2867" s="985" t="s">
        <v>2143</v>
      </c>
      <c r="G2867" s="298"/>
      <c r="H2867" s="298"/>
      <c r="I2867" s="298" t="s">
        <v>6645</v>
      </c>
      <c r="J2867" s="298">
        <v>114990125</v>
      </c>
      <c r="K2867" s="298"/>
      <c r="L2867" s="298"/>
      <c r="M2867" s="298">
        <v>1</v>
      </c>
      <c r="N2867" s="298">
        <v>1</v>
      </c>
      <c r="O2867" s="298">
        <v>1</v>
      </c>
      <c r="P2867" s="298">
        <v>0</v>
      </c>
      <c r="Q2867" s="669">
        <v>0</v>
      </c>
      <c r="R2867" s="1209">
        <v>180</v>
      </c>
      <c r="S2867" s="1209">
        <v>180</v>
      </c>
      <c r="T2867" s="683" t="s">
        <v>5448</v>
      </c>
      <c r="U2867" s="1909" t="s">
        <v>138</v>
      </c>
      <c r="V2867" s="572" t="s">
        <v>150</v>
      </c>
      <c r="W2867" s="682" t="s">
        <v>10443</v>
      </c>
      <c r="X2867" s="18"/>
      <c r="Y2867" s="4"/>
      <c r="Z2867" s="4"/>
    </row>
    <row r="2868" spans="1:26" ht="14.1" hidden="1">
      <c r="A2868" s="20">
        <v>2875</v>
      </c>
      <c r="B2868" s="1063">
        <v>42645</v>
      </c>
      <c r="C2868" s="958" t="s">
        <v>10444</v>
      </c>
      <c r="D2868" s="11" t="s">
        <v>6</v>
      </c>
      <c r="E2868" s="298" t="s">
        <v>7956</v>
      </c>
      <c r="F2868" s="985" t="s">
        <v>2143</v>
      </c>
      <c r="G2868" s="298"/>
      <c r="H2868" s="298"/>
      <c r="I2868" s="298" t="s">
        <v>10445</v>
      </c>
      <c r="J2868" s="298"/>
      <c r="K2868" s="298"/>
      <c r="L2868" s="298"/>
      <c r="M2868" s="298">
        <v>1</v>
      </c>
      <c r="N2868" s="298">
        <v>1</v>
      </c>
      <c r="O2868" s="298">
        <v>1</v>
      </c>
      <c r="P2868" s="298">
        <v>0</v>
      </c>
      <c r="Q2868" s="669">
        <f t="shared" ref="Q2868:Q2873" si="164">(O2868+P2868)-M2868</f>
        <v>0</v>
      </c>
      <c r="R2868" s="1209">
        <v>100</v>
      </c>
      <c r="S2868" s="1209">
        <v>100</v>
      </c>
      <c r="T2868" s="683" t="s">
        <v>5448</v>
      </c>
      <c r="U2868" s="1909" t="s">
        <v>138</v>
      </c>
      <c r="V2868" s="572" t="s">
        <v>150</v>
      </c>
      <c r="W2868" s="682"/>
      <c r="X2868" s="18"/>
      <c r="Y2868" s="4"/>
      <c r="Z2868" s="4"/>
    </row>
    <row r="2869" spans="1:26" ht="14.1" hidden="1">
      <c r="A2869" s="20">
        <v>2876</v>
      </c>
      <c r="B2869" s="1063">
        <v>42646</v>
      </c>
      <c r="C2869" s="958" t="s">
        <v>10446</v>
      </c>
      <c r="D2869" s="11" t="s">
        <v>6</v>
      </c>
      <c r="E2869" s="298" t="s">
        <v>7956</v>
      </c>
      <c r="F2869" s="985" t="s">
        <v>2143</v>
      </c>
      <c r="G2869" s="298"/>
      <c r="H2869" s="298"/>
      <c r="I2869" s="298" t="s">
        <v>1022</v>
      </c>
      <c r="J2869" s="298"/>
      <c r="K2869" s="298"/>
      <c r="L2869" s="298"/>
      <c r="M2869" s="298">
        <v>1</v>
      </c>
      <c r="N2869" s="298">
        <v>1</v>
      </c>
      <c r="O2869" s="298">
        <v>1</v>
      </c>
      <c r="P2869" s="298">
        <v>0</v>
      </c>
      <c r="Q2869" s="669">
        <f t="shared" si="164"/>
        <v>0</v>
      </c>
      <c r="R2869" s="1209">
        <v>990</v>
      </c>
      <c r="S2869" s="1209">
        <v>990</v>
      </c>
      <c r="T2869" s="683" t="s">
        <v>5448</v>
      </c>
      <c r="U2869" s="1909" t="s">
        <v>138</v>
      </c>
      <c r="V2869" s="572" t="s">
        <v>150</v>
      </c>
      <c r="W2869" s="321" t="s">
        <v>10447</v>
      </c>
      <c r="X2869" s="18" t="s">
        <v>10448</v>
      </c>
      <c r="Y2869" s="4"/>
      <c r="Z2869" s="4"/>
    </row>
    <row r="2870" spans="1:26" ht="26.1" hidden="1">
      <c r="A2870" s="20">
        <v>2877</v>
      </c>
      <c r="B2870" s="1063">
        <v>42647</v>
      </c>
      <c r="C2870" s="958" t="s">
        <v>10449</v>
      </c>
      <c r="D2870" s="11" t="s">
        <v>6</v>
      </c>
      <c r="E2870" s="298" t="s">
        <v>7956</v>
      </c>
      <c r="F2870" s="985" t="s">
        <v>2143</v>
      </c>
      <c r="G2870" s="298" t="s">
        <v>10450</v>
      </c>
      <c r="H2870" s="298"/>
      <c r="I2870" s="298" t="s">
        <v>6645</v>
      </c>
      <c r="J2870" s="1079" t="s">
        <v>10451</v>
      </c>
      <c r="K2870" s="322" t="s">
        <v>10452</v>
      </c>
      <c r="L2870" s="298"/>
      <c r="M2870" s="298">
        <v>1</v>
      </c>
      <c r="N2870" s="298">
        <v>1</v>
      </c>
      <c r="O2870" s="298">
        <v>1</v>
      </c>
      <c r="P2870" s="298">
        <v>0</v>
      </c>
      <c r="Q2870" s="669">
        <f t="shared" si="164"/>
        <v>0</v>
      </c>
      <c r="R2870" s="1209">
        <v>420</v>
      </c>
      <c r="S2870" s="1209">
        <v>420</v>
      </c>
      <c r="T2870" s="683" t="s">
        <v>5448</v>
      </c>
      <c r="U2870" s="1909" t="s">
        <v>138</v>
      </c>
      <c r="V2870" s="572" t="s">
        <v>150</v>
      </c>
      <c r="W2870" s="682" t="s">
        <v>10453</v>
      </c>
      <c r="X2870" s="18" t="s">
        <v>10454</v>
      </c>
      <c r="Y2870" s="4"/>
      <c r="Z2870" s="4"/>
    </row>
    <row r="2871" spans="1:26" ht="26.1" hidden="1">
      <c r="A2871" s="20">
        <v>2878</v>
      </c>
      <c r="B2871" s="1063">
        <v>42648</v>
      </c>
      <c r="C2871" s="958" t="s">
        <v>10455</v>
      </c>
      <c r="D2871" s="11" t="s">
        <v>6</v>
      </c>
      <c r="E2871" s="298" t="s">
        <v>7956</v>
      </c>
      <c r="F2871" s="985" t="s">
        <v>2143</v>
      </c>
      <c r="G2871" s="298" t="s">
        <v>10450</v>
      </c>
      <c r="H2871" s="298"/>
      <c r="I2871" s="298" t="s">
        <v>6645</v>
      </c>
      <c r="J2871" s="1079" t="s">
        <v>10456</v>
      </c>
      <c r="K2871" s="322" t="s">
        <v>10457</v>
      </c>
      <c r="L2871" s="298"/>
      <c r="M2871" s="298">
        <v>1</v>
      </c>
      <c r="N2871" s="298">
        <v>1</v>
      </c>
      <c r="O2871" s="298">
        <v>1</v>
      </c>
      <c r="P2871" s="298">
        <v>0</v>
      </c>
      <c r="Q2871" s="669">
        <f t="shared" si="164"/>
        <v>0</v>
      </c>
      <c r="R2871" s="1209">
        <v>420</v>
      </c>
      <c r="S2871" s="1209">
        <v>420</v>
      </c>
      <c r="T2871" s="683" t="s">
        <v>5448</v>
      </c>
      <c r="U2871" s="1909" t="s">
        <v>138</v>
      </c>
      <c r="V2871" s="572" t="s">
        <v>150</v>
      </c>
      <c r="W2871" s="682" t="s">
        <v>10458</v>
      </c>
      <c r="X2871" s="18" t="s">
        <v>10454</v>
      </c>
      <c r="Y2871" s="4"/>
      <c r="Z2871" s="4"/>
    </row>
    <row r="2872" spans="1:26" ht="26.1" hidden="1">
      <c r="A2872" s="20">
        <v>2879</v>
      </c>
      <c r="B2872" s="1063">
        <v>42649</v>
      </c>
      <c r="C2872" s="958" t="s">
        <v>10459</v>
      </c>
      <c r="D2872" s="11" t="s">
        <v>6</v>
      </c>
      <c r="E2872" s="298" t="s">
        <v>7956</v>
      </c>
      <c r="F2872" s="985" t="s">
        <v>2143</v>
      </c>
      <c r="G2872" s="298" t="s">
        <v>10450</v>
      </c>
      <c r="H2872" s="298"/>
      <c r="I2872" s="298" t="s">
        <v>6645</v>
      </c>
      <c r="J2872" s="1079" t="s">
        <v>10460</v>
      </c>
      <c r="K2872" s="322" t="s">
        <v>10461</v>
      </c>
      <c r="L2872" s="298"/>
      <c r="M2872" s="298">
        <v>1</v>
      </c>
      <c r="N2872" s="298">
        <v>1</v>
      </c>
      <c r="O2872" s="298">
        <v>1</v>
      </c>
      <c r="P2872" s="298">
        <v>0</v>
      </c>
      <c r="Q2872" s="669">
        <f t="shared" si="164"/>
        <v>0</v>
      </c>
      <c r="R2872" s="1209">
        <v>420</v>
      </c>
      <c r="S2872" s="1209">
        <v>420</v>
      </c>
      <c r="T2872" s="683" t="s">
        <v>5448</v>
      </c>
      <c r="U2872" s="1909" t="s">
        <v>138</v>
      </c>
      <c r="V2872" s="572" t="s">
        <v>150</v>
      </c>
      <c r="W2872" s="682" t="s">
        <v>10462</v>
      </c>
      <c r="X2872" s="18" t="s">
        <v>10454</v>
      </c>
      <c r="Y2872" s="4"/>
      <c r="Z2872" s="4"/>
    </row>
    <row r="2873" spans="1:26" ht="26.1" hidden="1">
      <c r="A2873" s="20">
        <v>2880</v>
      </c>
      <c r="B2873" s="1063">
        <v>42650</v>
      </c>
      <c r="C2873" s="958" t="s">
        <v>10463</v>
      </c>
      <c r="D2873" s="11" t="s">
        <v>6</v>
      </c>
      <c r="E2873" s="298" t="s">
        <v>7956</v>
      </c>
      <c r="F2873" s="985" t="s">
        <v>2143</v>
      </c>
      <c r="G2873" s="298" t="s">
        <v>10450</v>
      </c>
      <c r="H2873" s="298"/>
      <c r="I2873" s="298" t="s">
        <v>6645</v>
      </c>
      <c r="J2873" s="1079" t="s">
        <v>10464</v>
      </c>
      <c r="K2873" s="322" t="s">
        <v>10465</v>
      </c>
      <c r="L2873" s="298"/>
      <c r="M2873" s="298">
        <v>1</v>
      </c>
      <c r="N2873" s="298">
        <v>1</v>
      </c>
      <c r="O2873" s="298">
        <v>1</v>
      </c>
      <c r="P2873" s="298">
        <v>0</v>
      </c>
      <c r="Q2873" s="669">
        <f t="shared" si="164"/>
        <v>0</v>
      </c>
      <c r="R2873" s="1209">
        <v>420</v>
      </c>
      <c r="S2873" s="1209">
        <v>420</v>
      </c>
      <c r="T2873" s="683" t="s">
        <v>5448</v>
      </c>
      <c r="U2873" s="1909" t="s">
        <v>138</v>
      </c>
      <c r="V2873" s="572" t="s">
        <v>150</v>
      </c>
      <c r="W2873" s="682" t="s">
        <v>10466</v>
      </c>
      <c r="X2873" s="18" t="s">
        <v>10454</v>
      </c>
      <c r="Y2873" s="4"/>
      <c r="Z2873" s="4"/>
    </row>
    <row r="2874" spans="1:26" ht="14.1" hidden="1">
      <c r="A2874" s="20">
        <v>2881</v>
      </c>
      <c r="B2874" s="1063">
        <v>42651</v>
      </c>
      <c r="C2874" s="958" t="s">
        <v>10467</v>
      </c>
      <c r="D2874" s="11"/>
      <c r="E2874" s="298" t="s">
        <v>683</v>
      </c>
      <c r="F2874" s="26" t="s">
        <v>73</v>
      </c>
      <c r="G2874" s="26" t="s">
        <v>10468</v>
      </c>
      <c r="H2874" s="237" t="s">
        <v>4969</v>
      </c>
      <c r="I2874" s="26" t="s">
        <v>366</v>
      </c>
      <c r="J2874" s="26">
        <v>24603</v>
      </c>
      <c r="K2874" s="26">
        <v>24603</v>
      </c>
      <c r="L2874" s="26" t="s">
        <v>1</v>
      </c>
      <c r="M2874" s="26">
        <v>4</v>
      </c>
      <c r="N2874" s="26">
        <v>10</v>
      </c>
      <c r="O2874" s="26">
        <v>10</v>
      </c>
      <c r="P2874" s="26">
        <v>0</v>
      </c>
      <c r="Q2874" s="669">
        <v>6</v>
      </c>
      <c r="R2874" s="1209">
        <v>485</v>
      </c>
      <c r="S2874" s="1282">
        <v>485</v>
      </c>
      <c r="T2874" s="26" t="s">
        <v>4220</v>
      </c>
      <c r="U2874" s="1859" t="s">
        <v>4220</v>
      </c>
      <c r="V2874" s="26" t="s">
        <v>689</v>
      </c>
      <c r="W2874" s="2074" t="s">
        <v>10469</v>
      </c>
      <c r="X2874" s="18"/>
      <c r="Y2874" s="4"/>
      <c r="Z2874" s="4"/>
    </row>
    <row r="2875" spans="1:26" ht="14.1" hidden="1">
      <c r="A2875" s="20">
        <v>2882</v>
      </c>
      <c r="B2875" s="1063">
        <v>42652</v>
      </c>
      <c r="C2875" s="958" t="s">
        <v>10470</v>
      </c>
      <c r="D2875" s="11" t="s">
        <v>6</v>
      </c>
      <c r="E2875" s="298" t="s">
        <v>4951</v>
      </c>
      <c r="F2875" s="985" t="s">
        <v>10471</v>
      </c>
      <c r="G2875" s="298" t="s">
        <v>10472</v>
      </c>
      <c r="H2875" s="298" t="s">
        <v>10473</v>
      </c>
      <c r="I2875" s="298" t="s">
        <v>10473</v>
      </c>
      <c r="J2875" s="298"/>
      <c r="K2875" s="298"/>
      <c r="L2875" s="298" t="s">
        <v>7069</v>
      </c>
      <c r="M2875" s="298">
        <v>1</v>
      </c>
      <c r="N2875" s="298">
        <v>1</v>
      </c>
      <c r="O2875" s="298">
        <v>5</v>
      </c>
      <c r="P2875" s="298">
        <v>0</v>
      </c>
      <c r="Q2875" s="669">
        <f>(O2875+P2875)-M2875</f>
        <v>4</v>
      </c>
      <c r="R2875" s="1209">
        <v>5815</v>
      </c>
      <c r="S2875" s="1209">
        <f>R2875*O2875</f>
        <v>29075</v>
      </c>
      <c r="T2875" s="683" t="s">
        <v>5448</v>
      </c>
      <c r="U2875" s="1909" t="s">
        <v>8765</v>
      </c>
      <c r="V2875" s="572" t="s">
        <v>150</v>
      </c>
      <c r="W2875" s="682"/>
      <c r="X2875" s="18" t="s">
        <v>10474</v>
      </c>
      <c r="Y2875" s="4"/>
      <c r="Z2875" s="4"/>
    </row>
    <row r="2876" spans="1:26" ht="14.1" hidden="1">
      <c r="A2876" s="20">
        <v>2883</v>
      </c>
      <c r="B2876" s="1063">
        <v>42653</v>
      </c>
      <c r="C2876" s="958" t="s">
        <v>10475</v>
      </c>
      <c r="D2876" s="11"/>
      <c r="E2876" s="298" t="s">
        <v>683</v>
      </c>
      <c r="F2876" s="985" t="s">
        <v>73</v>
      </c>
      <c r="G2876" s="298" t="s">
        <v>10476</v>
      </c>
      <c r="H2876" s="298" t="s">
        <v>10477</v>
      </c>
      <c r="I2876" s="298" t="s">
        <v>10478</v>
      </c>
      <c r="J2876" s="298">
        <v>2225</v>
      </c>
      <c r="K2876" s="298">
        <v>2225</v>
      </c>
      <c r="L2876" s="298"/>
      <c r="M2876" s="298">
        <v>2</v>
      </c>
      <c r="N2876" s="298">
        <v>1</v>
      </c>
      <c r="O2876" s="298">
        <v>2</v>
      </c>
      <c r="P2876" s="298">
        <v>3</v>
      </c>
      <c r="Q2876" s="669">
        <v>5</v>
      </c>
      <c r="R2876" s="1209">
        <v>136400</v>
      </c>
      <c r="S2876" s="1209">
        <v>272800</v>
      </c>
      <c r="T2876" s="26" t="s">
        <v>4220</v>
      </c>
      <c r="U2876" s="1859" t="s">
        <v>4220</v>
      </c>
      <c r="V2876" s="26" t="s">
        <v>689</v>
      </c>
      <c r="W2876" s="682" t="s">
        <v>10479</v>
      </c>
      <c r="X2876" s="18"/>
      <c r="Y2876" s="4"/>
      <c r="Z2876" s="4"/>
    </row>
    <row r="2877" spans="1:26" ht="14.1" hidden="1">
      <c r="A2877" s="20">
        <v>2884</v>
      </c>
      <c r="B2877" s="1063">
        <v>42654</v>
      </c>
      <c r="C2877" s="958" t="s">
        <v>10480</v>
      </c>
      <c r="D2877" s="11" t="s">
        <v>6</v>
      </c>
      <c r="E2877" s="298" t="s">
        <v>7956</v>
      </c>
      <c r="F2877" s="985" t="s">
        <v>404</v>
      </c>
      <c r="G2877" s="298" t="s">
        <v>10481</v>
      </c>
      <c r="H2877" s="298" t="s">
        <v>4110</v>
      </c>
      <c r="I2877" s="298" t="s">
        <v>574</v>
      </c>
      <c r="J2877" s="298" t="s">
        <v>10482</v>
      </c>
      <c r="K2877" s="298" t="s">
        <v>10483</v>
      </c>
      <c r="L2877" s="298" t="s">
        <v>7932</v>
      </c>
      <c r="M2877" s="298">
        <v>1</v>
      </c>
      <c r="N2877" s="298">
        <v>1</v>
      </c>
      <c r="O2877" s="298">
        <v>2</v>
      </c>
      <c r="P2877" s="298">
        <v>0</v>
      </c>
      <c r="Q2877" s="669">
        <v>1</v>
      </c>
      <c r="R2877" s="1209">
        <v>3262</v>
      </c>
      <c r="S2877" s="1209">
        <f>R2877*O2877</f>
        <v>6524</v>
      </c>
      <c r="T2877" s="683" t="s">
        <v>5448</v>
      </c>
      <c r="U2877" s="1909" t="s">
        <v>448</v>
      </c>
      <c r="V2877" s="572" t="s">
        <v>1544</v>
      </c>
      <c r="W2877" s="697" t="s">
        <v>10484</v>
      </c>
      <c r="X2877" s="18"/>
      <c r="Y2877" s="4"/>
      <c r="Z2877" s="4"/>
    </row>
    <row r="2878" spans="1:26" ht="14.45" hidden="1">
      <c r="A2878" s="20">
        <v>2885</v>
      </c>
      <c r="B2878" s="1063">
        <v>42655</v>
      </c>
      <c r="C2878" s="966" t="s">
        <v>10485</v>
      </c>
      <c r="D2878" s="323" t="s">
        <v>6</v>
      </c>
      <c r="E2878" s="298" t="s">
        <v>2722</v>
      </c>
      <c r="F2878" s="924" t="s">
        <v>10486</v>
      </c>
      <c r="G2878" s="324" t="s">
        <v>10487</v>
      </c>
      <c r="H2878" s="686" t="s">
        <v>752</v>
      </c>
      <c r="I2878" s="659" t="s">
        <v>1144</v>
      </c>
      <c r="J2878" s="1080" t="s">
        <v>10488</v>
      </c>
      <c r="K2878" s="704" t="s">
        <v>2034</v>
      </c>
      <c r="L2878" s="1080" t="s">
        <v>10489</v>
      </c>
      <c r="M2878" s="678">
        <v>3</v>
      </c>
      <c r="N2878" s="678">
        <v>1</v>
      </c>
      <c r="O2878" s="678">
        <v>3</v>
      </c>
      <c r="P2878" s="678">
        <v>2</v>
      </c>
      <c r="Q2878" s="678">
        <v>2</v>
      </c>
      <c r="R2878" s="1295">
        <v>1023</v>
      </c>
      <c r="S2878" s="1285">
        <v>3069</v>
      </c>
      <c r="T2878" s="678" t="s">
        <v>9485</v>
      </c>
      <c r="U2878" s="1920" t="s">
        <v>1886</v>
      </c>
      <c r="V2878" s="183" t="s">
        <v>302</v>
      </c>
      <c r="W2878" s="705" t="s">
        <v>10490</v>
      </c>
      <c r="X2878" s="706"/>
      <c r="Y2878" s="325"/>
      <c r="Z2878" s="325"/>
    </row>
    <row r="2879" spans="1:26" ht="14.45" hidden="1">
      <c r="A2879" s="20">
        <v>2886</v>
      </c>
      <c r="B2879" s="1063">
        <v>42656</v>
      </c>
      <c r="C2879" s="941" t="s">
        <v>10491</v>
      </c>
      <c r="D2879" s="323" t="s">
        <v>6</v>
      </c>
      <c r="E2879" s="298" t="s">
        <v>2722</v>
      </c>
      <c r="F2879" s="987" t="s">
        <v>10486</v>
      </c>
      <c r="G2879" s="326" t="s">
        <v>10492</v>
      </c>
      <c r="H2879" s="707" t="s">
        <v>984</v>
      </c>
      <c r="I2879" s="243" t="s">
        <v>1144</v>
      </c>
      <c r="J2879" s="498" t="s">
        <v>5652</v>
      </c>
      <c r="K2879" s="327" t="s">
        <v>3977</v>
      </c>
      <c r="L2879" s="1107" t="s">
        <v>10493</v>
      </c>
      <c r="M2879" s="282">
        <v>3</v>
      </c>
      <c r="N2879" s="282">
        <v>6</v>
      </c>
      <c r="O2879" s="282">
        <v>6</v>
      </c>
      <c r="P2879" s="282">
        <v>2</v>
      </c>
      <c r="Q2879" s="282">
        <v>4</v>
      </c>
      <c r="R2879" s="1296">
        <v>557</v>
      </c>
      <c r="S2879" s="1263">
        <v>4375</v>
      </c>
      <c r="T2879" s="282" t="s">
        <v>9485</v>
      </c>
      <c r="U2879" s="1921" t="s">
        <v>1886</v>
      </c>
      <c r="V2879" s="183" t="s">
        <v>302</v>
      </c>
      <c r="W2879" s="708" t="s">
        <v>10494</v>
      </c>
      <c r="X2879" s="328"/>
      <c r="Y2879" s="325"/>
      <c r="Z2879" s="325"/>
    </row>
    <row r="2880" spans="1:26" ht="14.45" hidden="1">
      <c r="A2880" s="20">
        <v>2887</v>
      </c>
      <c r="B2880" s="1063">
        <v>42657</v>
      </c>
      <c r="C2880" s="941" t="s">
        <v>10495</v>
      </c>
      <c r="D2880" s="323" t="s">
        <v>6</v>
      </c>
      <c r="E2880" s="298" t="s">
        <v>2722</v>
      </c>
      <c r="F2880" s="987" t="s">
        <v>10486</v>
      </c>
      <c r="G2880" s="329" t="s">
        <v>8217</v>
      </c>
      <c r="H2880" s="301" t="s">
        <v>752</v>
      </c>
      <c r="I2880" s="243" t="s">
        <v>39</v>
      </c>
      <c r="J2880" s="282" t="s">
        <v>3827</v>
      </c>
      <c r="K2880" s="330" t="s">
        <v>3828</v>
      </c>
      <c r="L2880" s="282" t="s">
        <v>8218</v>
      </c>
      <c r="M2880" s="282">
        <v>3</v>
      </c>
      <c r="N2880" s="282">
        <v>3</v>
      </c>
      <c r="O2880" s="282">
        <v>5</v>
      </c>
      <c r="P2880" s="282">
        <v>2</v>
      </c>
      <c r="Q2880" s="282">
        <v>4</v>
      </c>
      <c r="R2880" s="1286">
        <v>574</v>
      </c>
      <c r="S2880" s="1263">
        <v>2870</v>
      </c>
      <c r="T2880" s="282" t="s">
        <v>9485</v>
      </c>
      <c r="U2880" s="1921" t="s">
        <v>1886</v>
      </c>
      <c r="V2880" s="183" t="s">
        <v>302</v>
      </c>
      <c r="W2880" s="690" t="s">
        <v>3830</v>
      </c>
      <c r="X2880" s="328"/>
      <c r="Y2880" s="325"/>
      <c r="Z2880" s="325"/>
    </row>
    <row r="2881" spans="1:26" ht="14.45" hidden="1">
      <c r="A2881" s="20">
        <v>2888</v>
      </c>
      <c r="B2881" s="1063">
        <v>42658</v>
      </c>
      <c r="C2881" s="942" t="s">
        <v>10496</v>
      </c>
      <c r="D2881" s="323" t="s">
        <v>6</v>
      </c>
      <c r="E2881" s="298" t="s">
        <v>2722</v>
      </c>
      <c r="F2881" s="1735" t="s">
        <v>10486</v>
      </c>
      <c r="G2881" s="331" t="s">
        <v>10497</v>
      </c>
      <c r="H2881" s="709" t="s">
        <v>3741</v>
      </c>
      <c r="I2881" s="244" t="s">
        <v>1144</v>
      </c>
      <c r="J2881" s="1081" t="s">
        <v>10498</v>
      </c>
      <c r="K2881" s="332" t="s">
        <v>10499</v>
      </c>
      <c r="L2881" s="1108" t="s">
        <v>10500</v>
      </c>
      <c r="M2881" s="217">
        <v>100</v>
      </c>
      <c r="N2881" s="217">
        <v>1</v>
      </c>
      <c r="O2881" s="217">
        <v>100</v>
      </c>
      <c r="P2881" s="217">
        <v>26</v>
      </c>
      <c r="Q2881" s="244">
        <v>94</v>
      </c>
      <c r="R2881" s="1297">
        <v>94.52</v>
      </c>
      <c r="S2881" s="1264">
        <v>9452</v>
      </c>
      <c r="T2881" s="217" t="s">
        <v>9485</v>
      </c>
      <c r="U2881" s="1924" t="s">
        <v>1886</v>
      </c>
      <c r="V2881" s="20" t="s">
        <v>302</v>
      </c>
      <c r="W2881" s="661" t="s">
        <v>2639</v>
      </c>
      <c r="X2881" s="328"/>
      <c r="Y2881" s="325"/>
      <c r="Z2881" s="325"/>
    </row>
    <row r="2882" spans="1:26" ht="14.1" hidden="1">
      <c r="A2882" s="20">
        <v>2889</v>
      </c>
      <c r="B2882" s="1063">
        <v>42659</v>
      </c>
      <c r="C2882" s="958" t="s">
        <v>10501</v>
      </c>
      <c r="D2882" s="11" t="s">
        <v>6</v>
      </c>
      <c r="E2882" s="298" t="s">
        <v>7956</v>
      </c>
      <c r="F2882" s="985" t="s">
        <v>131</v>
      </c>
      <c r="G2882" s="298"/>
      <c r="H2882" s="298"/>
      <c r="I2882" s="298" t="s">
        <v>1022</v>
      </c>
      <c r="J2882" s="298"/>
      <c r="K2882" s="298"/>
      <c r="L2882" s="298"/>
      <c r="M2882" s="298">
        <v>1</v>
      </c>
      <c r="N2882" s="298">
        <v>1</v>
      </c>
      <c r="O2882" s="298">
        <v>1</v>
      </c>
      <c r="P2882" s="298">
        <v>0</v>
      </c>
      <c r="Q2882" s="669">
        <f>(O2882+P2882)-M2882</f>
        <v>0</v>
      </c>
      <c r="R2882" s="1209">
        <v>3350</v>
      </c>
      <c r="S2882" s="1209">
        <f>R2882*O2882</f>
        <v>3350</v>
      </c>
      <c r="T2882" s="683" t="s">
        <v>1123</v>
      </c>
      <c r="U2882" s="1909" t="s">
        <v>118</v>
      </c>
      <c r="V2882" s="572" t="s">
        <v>118</v>
      </c>
      <c r="W2882" s="682" t="s">
        <v>10502</v>
      </c>
      <c r="X2882" s="18"/>
      <c r="Y2882" s="4"/>
      <c r="Z2882" s="4"/>
    </row>
    <row r="2883" spans="1:26" ht="14.1" hidden="1">
      <c r="A2883" s="20">
        <v>2890</v>
      </c>
      <c r="B2883" s="1063">
        <v>42660</v>
      </c>
      <c r="C2883" s="26" t="s">
        <v>5439</v>
      </c>
      <c r="D2883" s="11" t="s">
        <v>6</v>
      </c>
      <c r="E2883" s="298" t="s">
        <v>2722</v>
      </c>
      <c r="F2883" s="26" t="s">
        <v>1569</v>
      </c>
      <c r="G2883" s="18" t="s">
        <v>5440</v>
      </c>
      <c r="H2883" s="26" t="s">
        <v>569</v>
      </c>
      <c r="I2883" s="26" t="s">
        <v>1</v>
      </c>
      <c r="J2883" s="26" t="s">
        <v>1</v>
      </c>
      <c r="K2883" s="26" t="s">
        <v>1</v>
      </c>
      <c r="L2883" s="26" t="s">
        <v>1</v>
      </c>
      <c r="M2883" s="26">
        <v>2</v>
      </c>
      <c r="N2883" s="26">
        <v>1</v>
      </c>
      <c r="O2883" s="26">
        <v>2</v>
      </c>
      <c r="P2883" s="26">
        <v>0</v>
      </c>
      <c r="Q2883" s="26">
        <v>2</v>
      </c>
      <c r="R2883" s="1209">
        <v>444700</v>
      </c>
      <c r="S2883" s="1240">
        <f>R2883*Q2883</f>
        <v>889400</v>
      </c>
      <c r="T2883" s="26" t="s">
        <v>8074</v>
      </c>
      <c r="U2883" s="1871" t="s">
        <v>5441</v>
      </c>
      <c r="V2883" s="171" t="s">
        <v>104</v>
      </c>
      <c r="W2883" s="2015"/>
      <c r="X2883" s="18"/>
      <c r="Y2883" s="4"/>
      <c r="Z2883" s="4"/>
    </row>
    <row r="2884" spans="1:26" ht="14.45" hidden="1">
      <c r="A2884" s="20">
        <v>2891</v>
      </c>
      <c r="B2884" s="1063">
        <v>42661</v>
      </c>
      <c r="C2884" s="958" t="s">
        <v>10503</v>
      </c>
      <c r="D2884" s="11" t="s">
        <v>6</v>
      </c>
      <c r="E2884" s="298" t="s">
        <v>2722</v>
      </c>
      <c r="F2884" s="26" t="s">
        <v>1569</v>
      </c>
      <c r="G2884" s="302" t="s">
        <v>4164</v>
      </c>
      <c r="H2884" s="330"/>
      <c r="I2884" s="302" t="s">
        <v>84</v>
      </c>
      <c r="J2884" s="302" t="s">
        <v>4165</v>
      </c>
      <c r="K2884" s="302" t="s">
        <v>4166</v>
      </c>
      <c r="L2884" s="282"/>
      <c r="M2884" s="302">
        <v>1</v>
      </c>
      <c r="N2884" s="302">
        <v>1</v>
      </c>
      <c r="O2884" s="302">
        <v>1</v>
      </c>
      <c r="P2884" s="302">
        <v>0</v>
      </c>
      <c r="Q2884" s="302">
        <v>0</v>
      </c>
      <c r="R2884" s="1298">
        <v>38900</v>
      </c>
      <c r="S2884" s="1298">
        <v>38900</v>
      </c>
      <c r="T2884" s="302" t="s">
        <v>8074</v>
      </c>
      <c r="U2884" s="1921" t="s">
        <v>4162</v>
      </c>
      <c r="V2884" s="196" t="s">
        <v>931</v>
      </c>
      <c r="W2884" s="690" t="s">
        <v>4167</v>
      </c>
      <c r="X2884" s="18"/>
      <c r="Y2884" s="4"/>
      <c r="Z2884" s="4"/>
    </row>
    <row r="2885" spans="1:26" ht="14.1" hidden="1">
      <c r="A2885" s="20">
        <v>2892</v>
      </c>
      <c r="B2885" s="1063">
        <v>42662</v>
      </c>
      <c r="C2885" s="958" t="s">
        <v>10504</v>
      </c>
      <c r="D2885" s="11" t="s">
        <v>6</v>
      </c>
      <c r="E2885" s="298" t="s">
        <v>2722</v>
      </c>
      <c r="F2885" s="26" t="s">
        <v>1569</v>
      </c>
      <c r="G2885" s="298" t="s">
        <v>3639</v>
      </c>
      <c r="H2885" s="298" t="s">
        <v>1143</v>
      </c>
      <c r="I2885" s="298" t="s">
        <v>574</v>
      </c>
      <c r="J2885" s="298" t="s">
        <v>3640</v>
      </c>
      <c r="K2885" s="298">
        <v>554600272</v>
      </c>
      <c r="L2885" s="298" t="s">
        <v>2011</v>
      </c>
      <c r="M2885" s="298">
        <v>4</v>
      </c>
      <c r="N2885" s="298">
        <v>1</v>
      </c>
      <c r="O2885" s="298">
        <v>10</v>
      </c>
      <c r="P2885" s="298">
        <v>0</v>
      </c>
      <c r="Q2885" s="669">
        <v>6</v>
      </c>
      <c r="R2885" s="1209">
        <v>126.4</v>
      </c>
      <c r="S2885" s="1209">
        <f t="shared" ref="S2885:S2905" si="165">R2885*O2885</f>
        <v>1264</v>
      </c>
      <c r="T2885" s="683" t="s">
        <v>8074</v>
      </c>
      <c r="U2885" s="1909" t="s">
        <v>3637</v>
      </c>
      <c r="V2885" s="572" t="s">
        <v>352</v>
      </c>
      <c r="W2885" s="682" t="s">
        <v>3641</v>
      </c>
      <c r="X2885" s="18"/>
      <c r="Y2885" s="4"/>
      <c r="Z2885" s="4"/>
    </row>
    <row r="2886" spans="1:26" ht="14.1" hidden="1">
      <c r="A2886" s="20">
        <v>2893</v>
      </c>
      <c r="B2886" s="1063">
        <v>42663</v>
      </c>
      <c r="C2886" s="958" t="s">
        <v>10505</v>
      </c>
      <c r="D2886" s="11" t="s">
        <v>6</v>
      </c>
      <c r="E2886" s="298" t="s">
        <v>2722</v>
      </c>
      <c r="F2886" s="26" t="s">
        <v>1569</v>
      </c>
      <c r="G2886" s="298" t="s">
        <v>8887</v>
      </c>
      <c r="H2886" s="298" t="s">
        <v>8888</v>
      </c>
      <c r="I2886" s="298" t="s">
        <v>8771</v>
      </c>
      <c r="J2886" s="298" t="s">
        <v>8972</v>
      </c>
      <c r="K2886" s="298">
        <v>510900200</v>
      </c>
      <c r="L2886" s="298" t="s">
        <v>8955</v>
      </c>
      <c r="M2886" s="298">
        <v>4</v>
      </c>
      <c r="N2886" s="298">
        <v>1</v>
      </c>
      <c r="O2886" s="298">
        <v>10</v>
      </c>
      <c r="P2886" s="298">
        <v>0</v>
      </c>
      <c r="Q2886" s="669">
        <v>6</v>
      </c>
      <c r="R2886" s="1209">
        <v>68.900000000000006</v>
      </c>
      <c r="S2886" s="1209">
        <f t="shared" si="165"/>
        <v>689</v>
      </c>
      <c r="T2886" s="683" t="s">
        <v>8074</v>
      </c>
      <c r="U2886" s="1909" t="s">
        <v>3637</v>
      </c>
      <c r="V2886" s="572" t="s">
        <v>352</v>
      </c>
      <c r="W2886" s="682" t="s">
        <v>8973</v>
      </c>
      <c r="X2886" s="18"/>
      <c r="Y2886" s="4"/>
      <c r="Z2886" s="4"/>
    </row>
    <row r="2887" spans="1:26" ht="14.1" hidden="1">
      <c r="A2887" s="20">
        <v>2894</v>
      </c>
      <c r="B2887" s="1063">
        <v>42664</v>
      </c>
      <c r="C2887" s="958" t="s">
        <v>10506</v>
      </c>
      <c r="D2887" s="11" t="s">
        <v>6</v>
      </c>
      <c r="E2887" s="298" t="s">
        <v>2722</v>
      </c>
      <c r="F2887" s="985" t="s">
        <v>1569</v>
      </c>
      <c r="G2887" s="310" t="s">
        <v>10507</v>
      </c>
      <c r="H2887" s="298" t="s">
        <v>8888</v>
      </c>
      <c r="I2887" s="298" t="s">
        <v>574</v>
      </c>
      <c r="J2887" s="216" t="s">
        <v>10508</v>
      </c>
      <c r="K2887" s="260">
        <v>502128000</v>
      </c>
      <c r="L2887" s="298" t="s">
        <v>1820</v>
      </c>
      <c r="M2887" s="298">
        <v>8</v>
      </c>
      <c r="N2887" s="298">
        <v>1</v>
      </c>
      <c r="O2887" s="298">
        <v>20</v>
      </c>
      <c r="P2887" s="298">
        <v>0</v>
      </c>
      <c r="Q2887" s="669">
        <f t="shared" ref="Q2887:Q2888" si="166">(O2887+P2887)-M2887</f>
        <v>12</v>
      </c>
      <c r="R2887" s="1209">
        <v>3.6</v>
      </c>
      <c r="S2887" s="1209">
        <f t="shared" si="165"/>
        <v>72</v>
      </c>
      <c r="T2887" s="683" t="s">
        <v>8074</v>
      </c>
      <c r="U2887" s="1909" t="s">
        <v>3637</v>
      </c>
      <c r="V2887" s="572" t="s">
        <v>352</v>
      </c>
      <c r="W2887" s="682" t="s">
        <v>10509</v>
      </c>
      <c r="X2887" s="18"/>
      <c r="Y2887" s="4"/>
      <c r="Z2887" s="4"/>
    </row>
    <row r="2888" spans="1:26" ht="14.1" hidden="1">
      <c r="A2888" s="20">
        <v>2895</v>
      </c>
      <c r="B2888" s="1063">
        <v>42665</v>
      </c>
      <c r="C2888" s="958" t="s">
        <v>10510</v>
      </c>
      <c r="D2888" s="11" t="s">
        <v>6</v>
      </c>
      <c r="E2888" s="298" t="s">
        <v>2722</v>
      </c>
      <c r="F2888" s="985" t="s">
        <v>1569</v>
      </c>
      <c r="G2888" s="298" t="s">
        <v>10511</v>
      </c>
      <c r="H2888" s="298" t="s">
        <v>10512</v>
      </c>
      <c r="I2888" s="298" t="s">
        <v>84</v>
      </c>
      <c r="J2888" s="298">
        <v>34811086</v>
      </c>
      <c r="K2888" s="298" t="s">
        <v>4201</v>
      </c>
      <c r="L2888" s="298"/>
      <c r="M2888" s="298">
        <v>1</v>
      </c>
      <c r="N2888" s="298">
        <v>1</v>
      </c>
      <c r="O2888" s="298">
        <v>2</v>
      </c>
      <c r="P2888" s="298">
        <v>0</v>
      </c>
      <c r="Q2888" s="669">
        <f t="shared" si="166"/>
        <v>1</v>
      </c>
      <c r="R2888" s="1209">
        <v>379</v>
      </c>
      <c r="S2888" s="1209">
        <f t="shared" si="165"/>
        <v>758</v>
      </c>
      <c r="T2888" s="683" t="s">
        <v>8074</v>
      </c>
      <c r="U2888" s="1909" t="s">
        <v>10513</v>
      </c>
      <c r="V2888" s="572" t="s">
        <v>352</v>
      </c>
      <c r="W2888" s="682" t="s">
        <v>10514</v>
      </c>
      <c r="X2888" s="18"/>
      <c r="Y2888" s="4"/>
      <c r="Z2888" s="4"/>
    </row>
    <row r="2889" spans="1:26" ht="14.1" hidden="1">
      <c r="A2889" s="20">
        <v>2896</v>
      </c>
      <c r="B2889" s="1063">
        <v>42666</v>
      </c>
      <c r="C2889" s="958" t="s">
        <v>10515</v>
      </c>
      <c r="D2889" s="11"/>
      <c r="E2889" s="298" t="s">
        <v>683</v>
      </c>
      <c r="F2889" s="985" t="s">
        <v>73</v>
      </c>
      <c r="G2889" s="298" t="s">
        <v>10516</v>
      </c>
      <c r="H2889" s="298" t="s">
        <v>10517</v>
      </c>
      <c r="I2889" s="298" t="s">
        <v>366</v>
      </c>
      <c r="J2889" s="298" t="s">
        <v>10518</v>
      </c>
      <c r="K2889" s="298" t="s">
        <v>10518</v>
      </c>
      <c r="L2889" s="298"/>
      <c r="M2889" s="298">
        <v>1</v>
      </c>
      <c r="N2889" s="298">
        <v>1</v>
      </c>
      <c r="O2889" s="298">
        <v>1</v>
      </c>
      <c r="P2889" s="298">
        <v>0</v>
      </c>
      <c r="Q2889" s="669">
        <v>1</v>
      </c>
      <c r="R2889" s="1209">
        <v>2583</v>
      </c>
      <c r="S2889" s="1209">
        <f t="shared" si="165"/>
        <v>2583</v>
      </c>
      <c r="T2889" s="26" t="s">
        <v>4220</v>
      </c>
      <c r="U2889" s="1859" t="s">
        <v>4220</v>
      </c>
      <c r="V2889" s="26" t="s">
        <v>689</v>
      </c>
      <c r="W2889" s="682" t="s">
        <v>10519</v>
      </c>
      <c r="X2889" s="18"/>
      <c r="Y2889" s="4"/>
      <c r="Z2889" s="4"/>
    </row>
    <row r="2890" spans="1:26" ht="14.1" hidden="1">
      <c r="A2890" s="20">
        <v>2897</v>
      </c>
      <c r="B2890" s="1063">
        <v>42667</v>
      </c>
      <c r="C2890" s="958" t="s">
        <v>10520</v>
      </c>
      <c r="D2890" s="11" t="s">
        <v>6</v>
      </c>
      <c r="E2890" s="298" t="s">
        <v>4951</v>
      </c>
      <c r="F2890" s="985" t="s">
        <v>439</v>
      </c>
      <c r="G2890" s="298" t="s">
        <v>10521</v>
      </c>
      <c r="H2890" s="298" t="s">
        <v>10522</v>
      </c>
      <c r="I2890" s="298" t="s">
        <v>574</v>
      </c>
      <c r="J2890" s="284" t="s">
        <v>10523</v>
      </c>
      <c r="K2890" s="310" t="s">
        <v>10524</v>
      </c>
      <c r="L2890" s="298" t="s">
        <v>6668</v>
      </c>
      <c r="M2890" s="298">
        <v>16</v>
      </c>
      <c r="N2890" s="298">
        <v>1</v>
      </c>
      <c r="O2890" s="298">
        <v>24</v>
      </c>
      <c r="P2890" s="298">
        <v>0</v>
      </c>
      <c r="Q2890" s="669">
        <f t="shared" ref="Q2890:Q2905" si="167">(O2890+P2890)-M2890</f>
        <v>8</v>
      </c>
      <c r="R2890" s="1209">
        <v>143.4</v>
      </c>
      <c r="S2890" s="1209">
        <f t="shared" si="165"/>
        <v>3441.6000000000004</v>
      </c>
      <c r="T2890" s="683" t="s">
        <v>6634</v>
      </c>
      <c r="U2890" s="1909" t="s">
        <v>10525</v>
      </c>
      <c r="V2890" s="572" t="s">
        <v>3140</v>
      </c>
      <c r="W2890" s="682" t="s">
        <v>10526</v>
      </c>
      <c r="X2890" s="18"/>
      <c r="Y2890" s="4"/>
      <c r="Z2890" s="4"/>
    </row>
    <row r="2891" spans="1:26" ht="14.1" hidden="1">
      <c r="A2891" s="20">
        <v>2898</v>
      </c>
      <c r="B2891" s="1063">
        <v>42668</v>
      </c>
      <c r="C2891" s="958" t="s">
        <v>10527</v>
      </c>
      <c r="D2891" s="11" t="s">
        <v>6</v>
      </c>
      <c r="E2891" s="298" t="s">
        <v>4951</v>
      </c>
      <c r="F2891" s="985" t="s">
        <v>439</v>
      </c>
      <c r="G2891" s="298" t="s">
        <v>10528</v>
      </c>
      <c r="H2891" s="298" t="s">
        <v>1059</v>
      </c>
      <c r="I2891" s="298" t="s">
        <v>574</v>
      </c>
      <c r="J2891" s="284" t="s">
        <v>10529</v>
      </c>
      <c r="K2891" s="310" t="s">
        <v>10530</v>
      </c>
      <c r="L2891" s="298" t="s">
        <v>6668</v>
      </c>
      <c r="M2891" s="298">
        <v>8</v>
      </c>
      <c r="N2891" s="298">
        <v>1</v>
      </c>
      <c r="O2891" s="298">
        <v>16</v>
      </c>
      <c r="P2891" s="298">
        <v>0</v>
      </c>
      <c r="Q2891" s="669">
        <f t="shared" si="167"/>
        <v>8</v>
      </c>
      <c r="R2891" s="1209">
        <v>76.099999999999994</v>
      </c>
      <c r="S2891" s="1209">
        <f t="shared" si="165"/>
        <v>1217.5999999999999</v>
      </c>
      <c r="T2891" s="683" t="s">
        <v>6634</v>
      </c>
      <c r="U2891" s="1909" t="s">
        <v>10525</v>
      </c>
      <c r="V2891" s="572" t="s">
        <v>3140</v>
      </c>
      <c r="W2891" s="682" t="s">
        <v>10531</v>
      </c>
      <c r="X2891" s="18"/>
      <c r="Y2891" s="4"/>
      <c r="Z2891" s="4"/>
    </row>
    <row r="2892" spans="1:26" ht="14.1" hidden="1">
      <c r="A2892" s="20">
        <v>2899</v>
      </c>
      <c r="B2892" s="1063">
        <v>42669</v>
      </c>
      <c r="C2892" s="958" t="s">
        <v>10532</v>
      </c>
      <c r="D2892" s="11"/>
      <c r="E2892" s="298" t="s">
        <v>572</v>
      </c>
      <c r="F2892" s="985" t="s">
        <v>131</v>
      </c>
      <c r="G2892" s="298" t="s">
        <v>10533</v>
      </c>
      <c r="H2892" s="298" t="s">
        <v>1104</v>
      </c>
      <c r="I2892" s="298" t="s">
        <v>574</v>
      </c>
      <c r="J2892" s="298" t="s">
        <v>10534</v>
      </c>
      <c r="K2892" s="298" t="s">
        <v>10535</v>
      </c>
      <c r="L2892" s="298"/>
      <c r="M2892" s="298">
        <v>6</v>
      </c>
      <c r="N2892" s="298">
        <v>1</v>
      </c>
      <c r="O2892" s="298">
        <v>10</v>
      </c>
      <c r="P2892" s="298">
        <v>0</v>
      </c>
      <c r="Q2892" s="669">
        <f t="shared" si="167"/>
        <v>4</v>
      </c>
      <c r="R2892" s="1209">
        <v>14.1</v>
      </c>
      <c r="S2892" s="1209">
        <f t="shared" si="165"/>
        <v>141</v>
      </c>
      <c r="T2892" s="683" t="s">
        <v>5448</v>
      </c>
      <c r="U2892" s="1909" t="s">
        <v>5939</v>
      </c>
      <c r="V2892" s="572" t="s">
        <v>3140</v>
      </c>
      <c r="W2892" s="682" t="s">
        <v>10536</v>
      </c>
      <c r="X2892" s="18"/>
      <c r="Y2892" s="4"/>
      <c r="Z2892" s="4"/>
    </row>
    <row r="2893" spans="1:26" ht="14.1" hidden="1">
      <c r="A2893" s="20">
        <v>2900</v>
      </c>
      <c r="B2893" s="1063">
        <v>42670</v>
      </c>
      <c r="C2893" s="958" t="s">
        <v>10537</v>
      </c>
      <c r="D2893" s="11"/>
      <c r="E2893" s="298" t="s">
        <v>572</v>
      </c>
      <c r="F2893" s="985" t="s">
        <v>131</v>
      </c>
      <c r="G2893" s="298" t="s">
        <v>10533</v>
      </c>
      <c r="H2893" s="298" t="s">
        <v>1104</v>
      </c>
      <c r="I2893" s="298" t="s">
        <v>366</v>
      </c>
      <c r="J2893" s="298"/>
      <c r="K2893" s="298" t="s">
        <v>10538</v>
      </c>
      <c r="L2893" s="298"/>
      <c r="M2893" s="298">
        <v>6</v>
      </c>
      <c r="N2893" s="298">
        <v>1</v>
      </c>
      <c r="O2893" s="298">
        <v>10</v>
      </c>
      <c r="P2893" s="298">
        <v>0</v>
      </c>
      <c r="Q2893" s="669">
        <f t="shared" si="167"/>
        <v>4</v>
      </c>
      <c r="R2893" s="1209">
        <v>116</v>
      </c>
      <c r="S2893" s="1209">
        <f t="shared" si="165"/>
        <v>1160</v>
      </c>
      <c r="T2893" s="683" t="s">
        <v>5448</v>
      </c>
      <c r="U2893" s="1909" t="s">
        <v>5939</v>
      </c>
      <c r="V2893" s="572" t="s">
        <v>3140</v>
      </c>
      <c r="W2893" s="682" t="s">
        <v>10539</v>
      </c>
      <c r="X2893" s="18"/>
      <c r="Y2893" s="4"/>
      <c r="Z2893" s="4"/>
    </row>
    <row r="2894" spans="1:26" ht="14.1" hidden="1">
      <c r="A2894" s="20">
        <v>2901</v>
      </c>
      <c r="B2894" s="1063">
        <v>42671</v>
      </c>
      <c r="C2894" s="958" t="s">
        <v>8656</v>
      </c>
      <c r="D2894" s="11"/>
      <c r="E2894" s="298" t="s">
        <v>572</v>
      </c>
      <c r="F2894" s="985" t="s">
        <v>131</v>
      </c>
      <c r="G2894" s="298" t="s">
        <v>10540</v>
      </c>
      <c r="H2894" s="298" t="s">
        <v>651</v>
      </c>
      <c r="I2894" s="298" t="s">
        <v>574</v>
      </c>
      <c r="J2894" s="298" t="s">
        <v>8657</v>
      </c>
      <c r="K2894" s="298" t="s">
        <v>8658</v>
      </c>
      <c r="L2894" s="298">
        <v>402</v>
      </c>
      <c r="M2894" s="298">
        <v>8</v>
      </c>
      <c r="N2894" s="298">
        <v>1</v>
      </c>
      <c r="O2894" s="298">
        <v>20</v>
      </c>
      <c r="P2894" s="298">
        <v>0</v>
      </c>
      <c r="Q2894" s="669">
        <f t="shared" si="167"/>
        <v>12</v>
      </c>
      <c r="R2894" s="1209">
        <v>43</v>
      </c>
      <c r="S2894" s="1209">
        <f t="shared" si="165"/>
        <v>860</v>
      </c>
      <c r="T2894" s="683" t="s">
        <v>5448</v>
      </c>
      <c r="U2894" s="1909" t="s">
        <v>5939</v>
      </c>
      <c r="V2894" s="572" t="s">
        <v>3140</v>
      </c>
      <c r="W2894" s="682" t="s">
        <v>8660</v>
      </c>
      <c r="X2894" s="18"/>
      <c r="Y2894" s="4"/>
      <c r="Z2894" s="4"/>
    </row>
    <row r="2895" spans="1:26" ht="14.1" hidden="1">
      <c r="A2895" s="20">
        <v>2902</v>
      </c>
      <c r="B2895" s="1063">
        <v>42672</v>
      </c>
      <c r="C2895" s="958" t="s">
        <v>8999</v>
      </c>
      <c r="D2895" s="11"/>
      <c r="E2895" s="298" t="s">
        <v>572</v>
      </c>
      <c r="F2895" s="985" t="s">
        <v>131</v>
      </c>
      <c r="G2895" s="298" t="s">
        <v>10541</v>
      </c>
      <c r="H2895" s="298" t="s">
        <v>3898</v>
      </c>
      <c r="I2895" s="298" t="s">
        <v>574</v>
      </c>
      <c r="J2895" s="298" t="s">
        <v>9000</v>
      </c>
      <c r="K2895" s="298" t="s">
        <v>9001</v>
      </c>
      <c r="L2895" s="298"/>
      <c r="M2895" s="298">
        <v>8</v>
      </c>
      <c r="N2895" s="298">
        <v>0</v>
      </c>
      <c r="O2895" s="298">
        <v>10</v>
      </c>
      <c r="P2895" s="298">
        <v>0</v>
      </c>
      <c r="Q2895" s="669">
        <f t="shared" si="167"/>
        <v>2</v>
      </c>
      <c r="R2895" s="1209">
        <v>656.6</v>
      </c>
      <c r="S2895" s="1209">
        <f t="shared" si="165"/>
        <v>6566</v>
      </c>
      <c r="T2895" s="683" t="s">
        <v>5448</v>
      </c>
      <c r="U2895" s="1909" t="s">
        <v>5939</v>
      </c>
      <c r="V2895" s="572" t="s">
        <v>3140</v>
      </c>
      <c r="W2895" s="682" t="s">
        <v>9002</v>
      </c>
      <c r="X2895" s="18"/>
      <c r="Y2895" s="4"/>
      <c r="Z2895" s="4"/>
    </row>
    <row r="2896" spans="1:26" ht="14.1" hidden="1">
      <c r="A2896" s="20">
        <v>2903</v>
      </c>
      <c r="B2896" s="1063">
        <v>42673</v>
      </c>
      <c r="C2896" s="958" t="s">
        <v>10542</v>
      </c>
      <c r="D2896" s="11"/>
      <c r="E2896" s="298" t="s">
        <v>572</v>
      </c>
      <c r="F2896" s="985" t="s">
        <v>131</v>
      </c>
      <c r="G2896" s="298" t="s">
        <v>10543</v>
      </c>
      <c r="H2896" s="298" t="s">
        <v>5730</v>
      </c>
      <c r="I2896" s="298" t="s">
        <v>574</v>
      </c>
      <c r="J2896" s="298" t="s">
        <v>8637</v>
      </c>
      <c r="K2896" s="298" t="s">
        <v>8638</v>
      </c>
      <c r="L2896" s="298">
        <v>402</v>
      </c>
      <c r="M2896" s="298">
        <v>14</v>
      </c>
      <c r="N2896" s="298">
        <v>1</v>
      </c>
      <c r="O2896" s="298">
        <v>20</v>
      </c>
      <c r="P2896" s="298">
        <v>5</v>
      </c>
      <c r="Q2896" s="669">
        <f t="shared" si="167"/>
        <v>11</v>
      </c>
      <c r="R2896" s="1209">
        <v>15.7</v>
      </c>
      <c r="S2896" s="1209">
        <f t="shared" si="165"/>
        <v>314</v>
      </c>
      <c r="T2896" s="683" t="s">
        <v>5448</v>
      </c>
      <c r="U2896" s="1909" t="s">
        <v>5939</v>
      </c>
      <c r="V2896" s="572" t="s">
        <v>3140</v>
      </c>
      <c r="W2896" s="682" t="s">
        <v>10544</v>
      </c>
      <c r="X2896" s="18"/>
      <c r="Y2896" s="4"/>
      <c r="Z2896" s="4"/>
    </row>
    <row r="2897" spans="1:26" ht="14.1" hidden="1">
      <c r="A2897" s="20">
        <v>2904</v>
      </c>
      <c r="B2897" s="1063">
        <v>42674</v>
      </c>
      <c r="C2897" s="958" t="s">
        <v>8661</v>
      </c>
      <c r="D2897" s="11"/>
      <c r="E2897" s="298" t="s">
        <v>572</v>
      </c>
      <c r="F2897" s="985" t="s">
        <v>131</v>
      </c>
      <c r="G2897" s="298" t="s">
        <v>10545</v>
      </c>
      <c r="H2897" s="298" t="s">
        <v>5730</v>
      </c>
      <c r="I2897" s="298" t="s">
        <v>574</v>
      </c>
      <c r="J2897" s="298" t="s">
        <v>8663</v>
      </c>
      <c r="K2897" s="298" t="s">
        <v>8664</v>
      </c>
      <c r="L2897" s="298">
        <v>805</v>
      </c>
      <c r="M2897" s="298">
        <v>10</v>
      </c>
      <c r="N2897" s="298">
        <v>1</v>
      </c>
      <c r="O2897" s="298">
        <v>10</v>
      </c>
      <c r="P2897" s="298">
        <v>6</v>
      </c>
      <c r="Q2897" s="669">
        <f t="shared" si="167"/>
        <v>6</v>
      </c>
      <c r="R2897" s="1209">
        <v>59.7</v>
      </c>
      <c r="S2897" s="1209">
        <f t="shared" si="165"/>
        <v>597</v>
      </c>
      <c r="T2897" s="683" t="s">
        <v>5448</v>
      </c>
      <c r="U2897" s="1909" t="s">
        <v>5939</v>
      </c>
      <c r="V2897" s="572" t="s">
        <v>3140</v>
      </c>
      <c r="W2897" s="697" t="s">
        <v>8666</v>
      </c>
      <c r="X2897" s="18"/>
      <c r="Y2897" s="4"/>
      <c r="Z2897" s="4"/>
    </row>
    <row r="2898" spans="1:26" ht="14.1" hidden="1">
      <c r="A2898" s="20">
        <v>2905</v>
      </c>
      <c r="B2898" s="1063">
        <v>42675</v>
      </c>
      <c r="C2898" s="958" t="s">
        <v>3290</v>
      </c>
      <c r="D2898" s="11"/>
      <c r="E2898" s="298" t="s">
        <v>572</v>
      </c>
      <c r="F2898" s="985" t="s">
        <v>131</v>
      </c>
      <c r="G2898" s="298" t="s">
        <v>10546</v>
      </c>
      <c r="H2898" s="298" t="s">
        <v>1085</v>
      </c>
      <c r="I2898" s="298" t="s">
        <v>574</v>
      </c>
      <c r="J2898" s="298" t="s">
        <v>1086</v>
      </c>
      <c r="K2898" s="298" t="s">
        <v>1087</v>
      </c>
      <c r="L2898" s="298"/>
      <c r="M2898" s="298">
        <v>4</v>
      </c>
      <c r="N2898" s="298">
        <v>1</v>
      </c>
      <c r="O2898" s="298">
        <v>5</v>
      </c>
      <c r="P2898" s="298">
        <v>0</v>
      </c>
      <c r="Q2898" s="669">
        <f t="shared" si="167"/>
        <v>1</v>
      </c>
      <c r="R2898" s="1209">
        <v>1040</v>
      </c>
      <c r="S2898" s="1209">
        <f t="shared" si="165"/>
        <v>5200</v>
      </c>
      <c r="T2898" s="683" t="s">
        <v>5448</v>
      </c>
      <c r="U2898" s="1909" t="s">
        <v>5939</v>
      </c>
      <c r="V2898" s="572" t="s">
        <v>3140</v>
      </c>
      <c r="W2898" s="697" t="s">
        <v>1090</v>
      </c>
      <c r="X2898" s="18"/>
      <c r="Y2898" s="4"/>
      <c r="Z2898" s="4"/>
    </row>
    <row r="2899" spans="1:26" ht="14.1" hidden="1">
      <c r="A2899" s="20">
        <v>2906</v>
      </c>
      <c r="B2899" s="1063">
        <v>42676</v>
      </c>
      <c r="C2899" s="958" t="s">
        <v>10547</v>
      </c>
      <c r="D2899" s="11"/>
      <c r="E2899" s="298" t="s">
        <v>572</v>
      </c>
      <c r="F2899" s="985" t="s">
        <v>131</v>
      </c>
      <c r="G2899" s="298" t="s">
        <v>10548</v>
      </c>
      <c r="H2899" s="298" t="s">
        <v>8911</v>
      </c>
      <c r="I2899" s="298" t="s">
        <v>574</v>
      </c>
      <c r="J2899" s="298" t="s">
        <v>9402</v>
      </c>
      <c r="K2899" s="298" t="s">
        <v>9403</v>
      </c>
      <c r="L2899" s="298"/>
      <c r="M2899" s="298">
        <v>4</v>
      </c>
      <c r="N2899" s="298">
        <v>1</v>
      </c>
      <c r="O2899" s="298">
        <v>5</v>
      </c>
      <c r="P2899" s="298">
        <v>0</v>
      </c>
      <c r="Q2899" s="669">
        <f t="shared" si="167"/>
        <v>1</v>
      </c>
      <c r="R2899" s="1209">
        <v>552</v>
      </c>
      <c r="S2899" s="1209">
        <f t="shared" si="165"/>
        <v>2760</v>
      </c>
      <c r="T2899" s="683" t="s">
        <v>5448</v>
      </c>
      <c r="U2899" s="1909" t="s">
        <v>5939</v>
      </c>
      <c r="V2899" s="572" t="s">
        <v>3140</v>
      </c>
      <c r="W2899" s="697" t="s">
        <v>10549</v>
      </c>
      <c r="X2899" s="18"/>
      <c r="Y2899" s="4"/>
      <c r="Z2899" s="4"/>
    </row>
    <row r="2900" spans="1:26" ht="14.1" hidden="1">
      <c r="A2900" s="20">
        <v>2907</v>
      </c>
      <c r="B2900" s="1063">
        <v>42677</v>
      </c>
      <c r="C2900" s="958" t="s">
        <v>8695</v>
      </c>
      <c r="D2900" s="11"/>
      <c r="E2900" s="298" t="s">
        <v>572</v>
      </c>
      <c r="F2900" s="985" t="s">
        <v>131</v>
      </c>
      <c r="G2900" s="298" t="s">
        <v>10550</v>
      </c>
      <c r="H2900" s="298" t="s">
        <v>7079</v>
      </c>
      <c r="I2900" s="298" t="s">
        <v>574</v>
      </c>
      <c r="J2900" s="298" t="s">
        <v>8697</v>
      </c>
      <c r="K2900" s="298" t="s">
        <v>8698</v>
      </c>
      <c r="L2900" s="298"/>
      <c r="M2900" s="298">
        <v>4</v>
      </c>
      <c r="N2900" s="298">
        <v>1</v>
      </c>
      <c r="O2900" s="298">
        <v>5</v>
      </c>
      <c r="P2900" s="298">
        <v>0</v>
      </c>
      <c r="Q2900" s="669">
        <f t="shared" si="167"/>
        <v>1</v>
      </c>
      <c r="R2900" s="1209">
        <v>488</v>
      </c>
      <c r="S2900" s="1209">
        <f t="shared" si="165"/>
        <v>2440</v>
      </c>
      <c r="T2900" s="683" t="s">
        <v>5448</v>
      </c>
      <c r="U2900" s="1909" t="s">
        <v>5939</v>
      </c>
      <c r="V2900" s="572" t="s">
        <v>3140</v>
      </c>
      <c r="W2900" s="697" t="s">
        <v>10551</v>
      </c>
      <c r="X2900" s="18"/>
      <c r="Y2900" s="4"/>
      <c r="Z2900" s="4"/>
    </row>
    <row r="2901" spans="1:26" ht="14.1" hidden="1">
      <c r="A2901" s="20">
        <v>2908</v>
      </c>
      <c r="B2901" s="1063">
        <v>42678</v>
      </c>
      <c r="C2901" s="958" t="s">
        <v>10552</v>
      </c>
      <c r="D2901" s="11"/>
      <c r="E2901" s="298" t="s">
        <v>572</v>
      </c>
      <c r="F2901" s="985" t="s">
        <v>131</v>
      </c>
      <c r="G2901" s="298" t="s">
        <v>10553</v>
      </c>
      <c r="H2901" s="298" t="s">
        <v>10554</v>
      </c>
      <c r="I2901" s="298" t="s">
        <v>574</v>
      </c>
      <c r="J2901" s="298" t="s">
        <v>10555</v>
      </c>
      <c r="K2901" s="298" t="s">
        <v>10556</v>
      </c>
      <c r="L2901" s="298"/>
      <c r="M2901" s="298">
        <v>4</v>
      </c>
      <c r="N2901" s="298">
        <v>1</v>
      </c>
      <c r="O2901" s="298">
        <v>10</v>
      </c>
      <c r="P2901" s="298">
        <v>0</v>
      </c>
      <c r="Q2901" s="669">
        <f t="shared" si="167"/>
        <v>6</v>
      </c>
      <c r="R2901" s="1209">
        <v>45.4</v>
      </c>
      <c r="S2901" s="1209">
        <f t="shared" si="165"/>
        <v>454</v>
      </c>
      <c r="T2901" s="683" t="s">
        <v>5448</v>
      </c>
      <c r="U2901" s="1909" t="s">
        <v>5939</v>
      </c>
      <c r="V2901" s="572" t="s">
        <v>3140</v>
      </c>
      <c r="W2901" s="697" t="s">
        <v>10557</v>
      </c>
      <c r="X2901" s="18"/>
      <c r="Y2901" s="4"/>
      <c r="Z2901" s="4"/>
    </row>
    <row r="2902" spans="1:26" ht="14.1" hidden="1">
      <c r="A2902" s="20">
        <v>2909</v>
      </c>
      <c r="B2902" s="1063">
        <v>42679</v>
      </c>
      <c r="C2902" s="958" t="s">
        <v>8677</v>
      </c>
      <c r="D2902" s="11"/>
      <c r="E2902" s="298" t="s">
        <v>572</v>
      </c>
      <c r="F2902" s="985" t="s">
        <v>131</v>
      </c>
      <c r="G2902" s="298" t="s">
        <v>10558</v>
      </c>
      <c r="H2902" s="298" t="s">
        <v>2008</v>
      </c>
      <c r="I2902" s="298" t="s">
        <v>574</v>
      </c>
      <c r="J2902" s="298" t="s">
        <v>8679</v>
      </c>
      <c r="K2902" s="298" t="s">
        <v>8680</v>
      </c>
      <c r="L2902" s="298"/>
      <c r="M2902" s="298">
        <v>8</v>
      </c>
      <c r="N2902" s="298">
        <v>1</v>
      </c>
      <c r="O2902" s="298">
        <v>10</v>
      </c>
      <c r="P2902" s="298">
        <v>1</v>
      </c>
      <c r="Q2902" s="669">
        <f t="shared" si="167"/>
        <v>3</v>
      </c>
      <c r="R2902" s="1209">
        <v>43.5</v>
      </c>
      <c r="S2902" s="1209">
        <f t="shared" si="165"/>
        <v>435</v>
      </c>
      <c r="T2902" s="683" t="s">
        <v>5448</v>
      </c>
      <c r="U2902" s="1909" t="s">
        <v>5939</v>
      </c>
      <c r="V2902" s="572" t="s">
        <v>3140</v>
      </c>
      <c r="W2902" s="697" t="s">
        <v>8681</v>
      </c>
      <c r="X2902" s="18"/>
      <c r="Y2902" s="4"/>
      <c r="Z2902" s="4"/>
    </row>
    <row r="2903" spans="1:26" ht="14.1" hidden="1">
      <c r="A2903" s="20">
        <v>2910</v>
      </c>
      <c r="B2903" s="1063">
        <v>42680</v>
      </c>
      <c r="C2903" s="958" t="s">
        <v>7077</v>
      </c>
      <c r="D2903" s="11"/>
      <c r="E2903" s="298" t="s">
        <v>572</v>
      </c>
      <c r="F2903" s="985" t="s">
        <v>131</v>
      </c>
      <c r="G2903" s="298" t="s">
        <v>10559</v>
      </c>
      <c r="H2903" s="298" t="s">
        <v>7079</v>
      </c>
      <c r="I2903" s="298" t="s">
        <v>574</v>
      </c>
      <c r="J2903" s="298" t="s">
        <v>7080</v>
      </c>
      <c r="K2903" s="298" t="s">
        <v>7081</v>
      </c>
      <c r="L2903" s="298"/>
      <c r="M2903" s="298">
        <v>4</v>
      </c>
      <c r="N2903" s="298">
        <v>1</v>
      </c>
      <c r="O2903" s="298">
        <v>5</v>
      </c>
      <c r="P2903" s="298">
        <v>2</v>
      </c>
      <c r="Q2903" s="669">
        <f t="shared" si="167"/>
        <v>3</v>
      </c>
      <c r="R2903" s="1209">
        <v>478</v>
      </c>
      <c r="S2903" s="1209">
        <f t="shared" si="165"/>
        <v>2390</v>
      </c>
      <c r="T2903" s="683" t="s">
        <v>5448</v>
      </c>
      <c r="U2903" s="1909" t="s">
        <v>5939</v>
      </c>
      <c r="V2903" s="572" t="s">
        <v>3140</v>
      </c>
      <c r="W2903" s="697" t="s">
        <v>7083</v>
      </c>
      <c r="X2903" s="18"/>
      <c r="Y2903" s="4"/>
      <c r="Z2903" s="4"/>
    </row>
    <row r="2904" spans="1:26" ht="14.1" hidden="1">
      <c r="A2904" s="20">
        <v>2911</v>
      </c>
      <c r="B2904" s="1063">
        <v>42681</v>
      </c>
      <c r="C2904" s="958" t="s">
        <v>8682</v>
      </c>
      <c r="D2904" s="11"/>
      <c r="E2904" s="298" t="s">
        <v>572</v>
      </c>
      <c r="F2904" s="985" t="s">
        <v>131</v>
      </c>
      <c r="G2904" s="298" t="s">
        <v>10560</v>
      </c>
      <c r="H2904" s="298" t="s">
        <v>1740</v>
      </c>
      <c r="I2904" s="298" t="s">
        <v>574</v>
      </c>
      <c r="J2904" s="298" t="s">
        <v>8684</v>
      </c>
      <c r="K2904" s="298" t="s">
        <v>8685</v>
      </c>
      <c r="L2904" s="298"/>
      <c r="M2904" s="298">
        <v>4</v>
      </c>
      <c r="N2904" s="298">
        <v>1</v>
      </c>
      <c r="O2904" s="298">
        <v>5</v>
      </c>
      <c r="P2904" s="298">
        <v>3</v>
      </c>
      <c r="Q2904" s="669">
        <f t="shared" si="167"/>
        <v>4</v>
      </c>
      <c r="R2904" s="1209">
        <v>98</v>
      </c>
      <c r="S2904" s="1209">
        <f t="shared" si="165"/>
        <v>490</v>
      </c>
      <c r="T2904" s="683" t="s">
        <v>5448</v>
      </c>
      <c r="U2904" s="1909" t="s">
        <v>5939</v>
      </c>
      <c r="V2904" s="572" t="s">
        <v>3140</v>
      </c>
      <c r="W2904" s="697" t="s">
        <v>10561</v>
      </c>
      <c r="X2904" s="18"/>
      <c r="Y2904" s="4"/>
      <c r="Z2904" s="4"/>
    </row>
    <row r="2905" spans="1:26" ht="14.1" hidden="1">
      <c r="A2905" s="20">
        <v>2912</v>
      </c>
      <c r="B2905" s="1063">
        <v>42682</v>
      </c>
      <c r="C2905" s="958" t="s">
        <v>8641</v>
      </c>
      <c r="D2905" s="11"/>
      <c r="E2905" s="298" t="s">
        <v>572</v>
      </c>
      <c r="F2905" s="985" t="s">
        <v>131</v>
      </c>
      <c r="G2905" s="298" t="s">
        <v>10562</v>
      </c>
      <c r="H2905" s="298" t="s">
        <v>1073</v>
      </c>
      <c r="I2905" s="298" t="s">
        <v>574</v>
      </c>
      <c r="J2905" s="298" t="s">
        <v>10563</v>
      </c>
      <c r="K2905" s="298" t="s">
        <v>8644</v>
      </c>
      <c r="L2905" s="298"/>
      <c r="M2905" s="298">
        <v>4</v>
      </c>
      <c r="N2905" s="298">
        <v>1</v>
      </c>
      <c r="O2905" s="298">
        <v>5</v>
      </c>
      <c r="P2905" s="298">
        <v>3</v>
      </c>
      <c r="Q2905" s="669">
        <f t="shared" si="167"/>
        <v>4</v>
      </c>
      <c r="R2905" s="1209">
        <v>383</v>
      </c>
      <c r="S2905" s="1209">
        <f t="shared" si="165"/>
        <v>1915</v>
      </c>
      <c r="T2905" s="683" t="s">
        <v>5448</v>
      </c>
      <c r="U2905" s="1909" t="s">
        <v>5939</v>
      </c>
      <c r="V2905" s="572" t="s">
        <v>3140</v>
      </c>
      <c r="W2905" s="682" t="s">
        <v>10564</v>
      </c>
      <c r="X2905" s="18"/>
      <c r="Y2905" s="4"/>
      <c r="Z2905" s="4"/>
    </row>
    <row r="2906" spans="1:26" ht="14.1" hidden="1">
      <c r="A2906" s="20">
        <v>2913</v>
      </c>
      <c r="B2906" s="1063">
        <v>42683</v>
      </c>
      <c r="C2906" s="26" t="s">
        <v>8760</v>
      </c>
      <c r="D2906" s="11"/>
      <c r="E2906" s="26" t="s">
        <v>5448</v>
      </c>
      <c r="F2906" s="26" t="s">
        <v>404</v>
      </c>
      <c r="G2906" s="26" t="s">
        <v>8761</v>
      </c>
      <c r="H2906" s="237" t="s">
        <v>1002</v>
      </c>
      <c r="I2906" s="26" t="s">
        <v>1002</v>
      </c>
      <c r="J2906" s="26"/>
      <c r="K2906" s="26"/>
      <c r="L2906" s="26"/>
      <c r="M2906" s="26">
        <v>1</v>
      </c>
      <c r="N2906" s="26">
        <v>1</v>
      </c>
      <c r="O2906" s="26">
        <v>5</v>
      </c>
      <c r="P2906" s="26">
        <v>0</v>
      </c>
      <c r="Q2906" s="26">
        <v>4</v>
      </c>
      <c r="R2906" s="1209">
        <v>41725</v>
      </c>
      <c r="S2906" s="1209">
        <v>41725</v>
      </c>
      <c r="T2906" s="26" t="s">
        <v>5448</v>
      </c>
      <c r="U2906" s="1855" t="s">
        <v>8730</v>
      </c>
      <c r="V2906" s="22" t="s">
        <v>8731</v>
      </c>
      <c r="W2906" s="649" t="s">
        <v>8762</v>
      </c>
      <c r="X2906" s="18"/>
      <c r="Y2906" s="4"/>
      <c r="Z2906" s="4"/>
    </row>
    <row r="2907" spans="1:26" ht="14.1" hidden="1">
      <c r="A2907" s="20">
        <v>2914</v>
      </c>
      <c r="B2907" s="1063">
        <v>42684</v>
      </c>
      <c r="C2907" s="26" t="s">
        <v>10565</v>
      </c>
      <c r="D2907" s="11"/>
      <c r="E2907" s="26" t="s">
        <v>5448</v>
      </c>
      <c r="F2907" s="26" t="s">
        <v>404</v>
      </c>
      <c r="G2907" s="26" t="s">
        <v>10566</v>
      </c>
      <c r="H2907" s="237" t="s">
        <v>1002</v>
      </c>
      <c r="I2907" s="26" t="s">
        <v>1002</v>
      </c>
      <c r="J2907" s="26"/>
      <c r="K2907" s="26"/>
      <c r="L2907" s="26"/>
      <c r="M2907" s="26">
        <v>1</v>
      </c>
      <c r="N2907" s="26">
        <v>1</v>
      </c>
      <c r="O2907" s="26">
        <v>5</v>
      </c>
      <c r="P2907" s="26">
        <v>0</v>
      </c>
      <c r="Q2907" s="26">
        <v>4</v>
      </c>
      <c r="R2907" s="1209">
        <v>41725</v>
      </c>
      <c r="S2907" s="1209">
        <v>41725</v>
      </c>
      <c r="T2907" s="26" t="s">
        <v>5448</v>
      </c>
      <c r="U2907" s="1855" t="s">
        <v>8730</v>
      </c>
      <c r="V2907" s="22" t="s">
        <v>8731</v>
      </c>
      <c r="W2907" s="649" t="s">
        <v>8762</v>
      </c>
      <c r="X2907" s="18"/>
      <c r="Y2907" s="4"/>
      <c r="Z2907" s="4"/>
    </row>
    <row r="2908" spans="1:26" ht="14.1" hidden="1">
      <c r="A2908" s="20">
        <v>2915</v>
      </c>
      <c r="B2908" s="1063">
        <v>42685</v>
      </c>
      <c r="C2908" s="139" t="s">
        <v>10567</v>
      </c>
      <c r="D2908" s="39" t="s">
        <v>6</v>
      </c>
      <c r="E2908" s="139"/>
      <c r="F2908" s="139" t="s">
        <v>404</v>
      </c>
      <c r="G2908" s="139" t="s">
        <v>10568</v>
      </c>
      <c r="H2908" s="269" t="s">
        <v>1002</v>
      </c>
      <c r="I2908" s="139" t="s">
        <v>1002</v>
      </c>
      <c r="J2908" s="139"/>
      <c r="K2908" s="139"/>
      <c r="L2908" s="139"/>
      <c r="M2908" s="139">
        <v>1</v>
      </c>
      <c r="N2908" s="139">
        <v>1</v>
      </c>
      <c r="O2908" s="139">
        <v>5</v>
      </c>
      <c r="P2908" s="139">
        <v>0</v>
      </c>
      <c r="Q2908" s="139">
        <v>4</v>
      </c>
      <c r="R2908" s="1234">
        <v>37775</v>
      </c>
      <c r="S2908" s="1234">
        <v>37775</v>
      </c>
      <c r="T2908" s="139" t="s">
        <v>5448</v>
      </c>
      <c r="U2908" s="1858" t="s">
        <v>8730</v>
      </c>
      <c r="V2908" s="39" t="s">
        <v>8731</v>
      </c>
      <c r="W2908" s="2102" t="s">
        <v>8762</v>
      </c>
      <c r="X2908" s="18"/>
      <c r="Y2908" s="4"/>
      <c r="Z2908" s="4"/>
    </row>
    <row r="2909" spans="1:26" ht="14.1" hidden="1">
      <c r="A2909" s="20">
        <v>2916</v>
      </c>
      <c r="B2909" s="1063">
        <v>42686</v>
      </c>
      <c r="C2909" s="139" t="s">
        <v>10569</v>
      </c>
      <c r="D2909" s="39" t="s">
        <v>6</v>
      </c>
      <c r="E2909" s="139"/>
      <c r="F2909" s="139" t="s">
        <v>404</v>
      </c>
      <c r="G2909" s="139" t="s">
        <v>10570</v>
      </c>
      <c r="H2909" s="269" t="s">
        <v>1002</v>
      </c>
      <c r="I2909" s="139" t="s">
        <v>1002</v>
      </c>
      <c r="J2909" s="139"/>
      <c r="K2909" s="139"/>
      <c r="L2909" s="139"/>
      <c r="M2909" s="139">
        <v>1</v>
      </c>
      <c r="N2909" s="139">
        <v>1</v>
      </c>
      <c r="O2909" s="139">
        <v>5</v>
      </c>
      <c r="P2909" s="139">
        <v>0</v>
      </c>
      <c r="Q2909" s="139">
        <v>4</v>
      </c>
      <c r="R2909" s="1234">
        <v>37775</v>
      </c>
      <c r="S2909" s="1234">
        <v>37775</v>
      </c>
      <c r="T2909" s="139" t="s">
        <v>5448</v>
      </c>
      <c r="U2909" s="1858" t="s">
        <v>8730</v>
      </c>
      <c r="V2909" s="39" t="s">
        <v>8731</v>
      </c>
      <c r="W2909" s="2102" t="s">
        <v>8762</v>
      </c>
      <c r="X2909" s="18"/>
      <c r="Y2909" s="4"/>
      <c r="Z2909" s="4"/>
    </row>
    <row r="2910" spans="1:26" ht="14.1" hidden="1">
      <c r="A2910" s="20">
        <v>2917</v>
      </c>
      <c r="B2910" s="1063">
        <v>42687</v>
      </c>
      <c r="C2910" s="26" t="s">
        <v>10571</v>
      </c>
      <c r="D2910" s="11"/>
      <c r="E2910" s="26" t="s">
        <v>5448</v>
      </c>
      <c r="F2910" s="26" t="s">
        <v>404</v>
      </c>
      <c r="G2910" s="26" t="s">
        <v>10572</v>
      </c>
      <c r="H2910" s="237" t="s">
        <v>1002</v>
      </c>
      <c r="I2910" s="26" t="s">
        <v>1002</v>
      </c>
      <c r="J2910" s="26"/>
      <c r="K2910" s="26"/>
      <c r="L2910" s="26"/>
      <c r="M2910" s="26">
        <v>1</v>
      </c>
      <c r="N2910" s="26">
        <v>1</v>
      </c>
      <c r="O2910" s="26">
        <v>5</v>
      </c>
      <c r="P2910" s="26">
        <v>0</v>
      </c>
      <c r="Q2910" s="26">
        <v>4</v>
      </c>
      <c r="R2910" s="1209">
        <v>40313</v>
      </c>
      <c r="S2910" s="1209">
        <v>40313</v>
      </c>
      <c r="T2910" s="26" t="s">
        <v>5448</v>
      </c>
      <c r="U2910" s="1855" t="s">
        <v>8730</v>
      </c>
      <c r="V2910" s="22" t="s">
        <v>8731</v>
      </c>
      <c r="W2910" s="649" t="s">
        <v>8762</v>
      </c>
      <c r="X2910" s="18"/>
      <c r="Y2910" s="4"/>
      <c r="Z2910" s="4"/>
    </row>
    <row r="2911" spans="1:26" ht="14.1" hidden="1">
      <c r="A2911" s="20">
        <v>2918</v>
      </c>
      <c r="B2911" s="1063">
        <v>42688</v>
      </c>
      <c r="C2911" s="26" t="s">
        <v>10573</v>
      </c>
      <c r="D2911" s="11"/>
      <c r="E2911" s="26" t="s">
        <v>4951</v>
      </c>
      <c r="F2911" s="26" t="s">
        <v>2006</v>
      </c>
      <c r="G2911" s="26" t="s">
        <v>10574</v>
      </c>
      <c r="H2911" s="237" t="s">
        <v>1002</v>
      </c>
      <c r="I2911" s="26" t="s">
        <v>1002</v>
      </c>
      <c r="J2911" s="26" t="s">
        <v>1</v>
      </c>
      <c r="K2911" s="26" t="s">
        <v>1</v>
      </c>
      <c r="L2911" s="26" t="s">
        <v>1</v>
      </c>
      <c r="M2911" s="26">
        <v>6</v>
      </c>
      <c r="N2911" s="26">
        <v>1</v>
      </c>
      <c r="O2911" s="26">
        <v>5</v>
      </c>
      <c r="P2911" s="26">
        <v>0</v>
      </c>
      <c r="Q2911" s="26">
        <v>5</v>
      </c>
      <c r="R2911" s="1268">
        <v>100672</v>
      </c>
      <c r="S2911" s="1268">
        <v>100672</v>
      </c>
      <c r="T2911" s="270" t="s">
        <v>311</v>
      </c>
      <c r="U2911" s="1542" t="s">
        <v>678</v>
      </c>
      <c r="V2911" s="572" t="s">
        <v>5990</v>
      </c>
      <c r="W2911" s="649" t="s">
        <v>8762</v>
      </c>
      <c r="X2911" s="18"/>
      <c r="Y2911" s="4"/>
      <c r="Z2911" s="4"/>
    </row>
    <row r="2912" spans="1:26" ht="14.1" hidden="1">
      <c r="A2912" s="20">
        <v>2919</v>
      </c>
      <c r="B2912" s="1063">
        <v>42689</v>
      </c>
      <c r="C2912" s="958" t="s">
        <v>10575</v>
      </c>
      <c r="D2912" s="11"/>
      <c r="E2912" s="298" t="s">
        <v>572</v>
      </c>
      <c r="F2912" s="985" t="s">
        <v>131</v>
      </c>
      <c r="G2912" s="298"/>
      <c r="H2912" s="298" t="s">
        <v>3898</v>
      </c>
      <c r="I2912" s="298" t="s">
        <v>5512</v>
      </c>
      <c r="J2912" s="298" t="s">
        <v>8507</v>
      </c>
      <c r="K2912" s="298" t="s">
        <v>8508</v>
      </c>
      <c r="L2912" s="298"/>
      <c r="M2912" s="298">
        <v>5</v>
      </c>
      <c r="N2912" s="298">
        <v>1</v>
      </c>
      <c r="O2912" s="298">
        <v>10</v>
      </c>
      <c r="P2912" s="298">
        <v>0</v>
      </c>
      <c r="Q2912" s="669">
        <f t="shared" ref="Q2912:Q2914" si="168">(O2912+P2912)-M2912</f>
        <v>5</v>
      </c>
      <c r="R2912" s="1209">
        <v>86.5</v>
      </c>
      <c r="S2912" s="1209">
        <f t="shared" ref="S2912:S2914" si="169">R2912*O2912</f>
        <v>865</v>
      </c>
      <c r="T2912" s="26" t="s">
        <v>5448</v>
      </c>
      <c r="U2912" s="1909" t="s">
        <v>5939</v>
      </c>
      <c r="V2912" s="572" t="s">
        <v>8731</v>
      </c>
      <c r="W2912" s="682" t="s">
        <v>10576</v>
      </c>
      <c r="X2912" s="18"/>
      <c r="Y2912" s="4"/>
      <c r="Z2912" s="4"/>
    </row>
    <row r="2913" spans="1:26" ht="14.1" hidden="1">
      <c r="A2913" s="20">
        <v>2920</v>
      </c>
      <c r="B2913" s="1063">
        <v>42690</v>
      </c>
      <c r="C2913" s="958" t="s">
        <v>6885</v>
      </c>
      <c r="D2913" s="11"/>
      <c r="E2913" s="298" t="s">
        <v>572</v>
      </c>
      <c r="F2913" s="985" t="s">
        <v>131</v>
      </c>
      <c r="G2913" s="298"/>
      <c r="H2913" s="298" t="s">
        <v>3898</v>
      </c>
      <c r="I2913" s="298" t="s">
        <v>574</v>
      </c>
      <c r="J2913" s="298" t="s">
        <v>6886</v>
      </c>
      <c r="K2913" s="298" t="s">
        <v>6887</v>
      </c>
      <c r="L2913" s="298"/>
      <c r="M2913" s="298">
        <v>4</v>
      </c>
      <c r="N2913" s="298">
        <v>1</v>
      </c>
      <c r="O2913" s="298">
        <v>5</v>
      </c>
      <c r="P2913" s="298">
        <v>1</v>
      </c>
      <c r="Q2913" s="669">
        <f t="shared" si="168"/>
        <v>2</v>
      </c>
      <c r="R2913" s="1209">
        <v>806</v>
      </c>
      <c r="S2913" s="1209">
        <f t="shared" si="169"/>
        <v>4030</v>
      </c>
      <c r="T2913" s="26" t="s">
        <v>5448</v>
      </c>
      <c r="U2913" s="1909" t="s">
        <v>5939</v>
      </c>
      <c r="V2913" s="572" t="s">
        <v>8731</v>
      </c>
      <c r="W2913" s="697" t="s">
        <v>10577</v>
      </c>
      <c r="X2913" s="18"/>
      <c r="Y2913" s="4"/>
      <c r="Z2913" s="4"/>
    </row>
    <row r="2914" spans="1:26" ht="14.1" hidden="1">
      <c r="A2914" s="20">
        <v>2921</v>
      </c>
      <c r="B2914" s="1063">
        <v>42691</v>
      </c>
      <c r="C2914" s="958" t="s">
        <v>10578</v>
      </c>
      <c r="D2914" s="11"/>
      <c r="E2914" s="298" t="s">
        <v>4951</v>
      </c>
      <c r="F2914" s="985" t="s">
        <v>784</v>
      </c>
      <c r="G2914" s="298" t="s">
        <v>10579</v>
      </c>
      <c r="H2914" s="298" t="s">
        <v>154</v>
      </c>
      <c r="I2914" s="298" t="s">
        <v>39</v>
      </c>
      <c r="J2914" s="298" t="s">
        <v>10580</v>
      </c>
      <c r="K2914" s="298" t="s">
        <v>10581</v>
      </c>
      <c r="L2914" s="298" t="s">
        <v>10582</v>
      </c>
      <c r="M2914" s="298">
        <v>1</v>
      </c>
      <c r="N2914" s="298">
        <v>1</v>
      </c>
      <c r="O2914" s="298">
        <v>1</v>
      </c>
      <c r="P2914" s="298">
        <v>0</v>
      </c>
      <c r="Q2914" s="669">
        <f t="shared" si="168"/>
        <v>0</v>
      </c>
      <c r="R2914" s="1209">
        <v>3794</v>
      </c>
      <c r="S2914" s="1209">
        <f t="shared" si="169"/>
        <v>3794</v>
      </c>
      <c r="T2914" s="683" t="s">
        <v>1395</v>
      </c>
      <c r="U2914" s="1909" t="s">
        <v>1395</v>
      </c>
      <c r="V2914" s="572" t="s">
        <v>7705</v>
      </c>
      <c r="W2914" s="682" t="s">
        <v>10583</v>
      </c>
      <c r="X2914" s="18"/>
      <c r="Y2914" s="4"/>
      <c r="Z2914" s="4"/>
    </row>
    <row r="2915" spans="1:26" ht="14.45" hidden="1">
      <c r="A2915" s="20">
        <v>2922</v>
      </c>
      <c r="B2915" s="1063">
        <v>42692</v>
      </c>
      <c r="C2915" s="941" t="s">
        <v>10584</v>
      </c>
      <c r="D2915" s="11"/>
      <c r="E2915" s="298" t="s">
        <v>572</v>
      </c>
      <c r="F2915" s="995" t="s">
        <v>10585</v>
      </c>
      <c r="G2915" s="710" t="s">
        <v>1088</v>
      </c>
      <c r="H2915" s="710"/>
      <c r="I2915" s="1073" t="s">
        <v>574</v>
      </c>
      <c r="J2915" s="1073" t="s">
        <v>10586</v>
      </c>
      <c r="K2915" s="710" t="s">
        <v>10587</v>
      </c>
      <c r="L2915" s="1073" t="s">
        <v>1088</v>
      </c>
      <c r="M2915" s="1073">
        <v>4</v>
      </c>
      <c r="N2915" s="1073">
        <v>1</v>
      </c>
      <c r="O2915" s="1073">
        <v>10</v>
      </c>
      <c r="P2915" s="1073">
        <v>0</v>
      </c>
      <c r="Q2915" s="1073">
        <v>6</v>
      </c>
      <c r="R2915" s="1299">
        <v>121</v>
      </c>
      <c r="S2915" s="1299">
        <v>1210</v>
      </c>
      <c r="T2915" s="26" t="s">
        <v>5448</v>
      </c>
      <c r="U2915" s="1871" t="s">
        <v>9076</v>
      </c>
      <c r="V2915" s="26" t="s">
        <v>5990</v>
      </c>
      <c r="W2915" s="689" t="s">
        <v>9085</v>
      </c>
      <c r="X2915" s="18"/>
      <c r="Y2915" s="4"/>
      <c r="Z2915" s="4"/>
    </row>
    <row r="2916" spans="1:26" ht="14.45" hidden="1">
      <c r="A2916" s="20">
        <v>2923</v>
      </c>
      <c r="B2916" s="1063">
        <v>42693</v>
      </c>
      <c r="C2916" s="941" t="s">
        <v>10588</v>
      </c>
      <c r="D2916" s="11"/>
      <c r="E2916" s="298" t="s">
        <v>572</v>
      </c>
      <c r="F2916" s="995" t="s">
        <v>10585</v>
      </c>
      <c r="G2916" s="328" t="s">
        <v>9082</v>
      </c>
      <c r="H2916" s="328"/>
      <c r="I2916" s="243" t="s">
        <v>574</v>
      </c>
      <c r="J2916" s="243" t="s">
        <v>10589</v>
      </c>
      <c r="K2916" s="328" t="s">
        <v>10590</v>
      </c>
      <c r="L2916" s="243" t="s">
        <v>7069</v>
      </c>
      <c r="M2916" s="243">
        <v>4</v>
      </c>
      <c r="N2916" s="243">
        <v>1</v>
      </c>
      <c r="O2916" s="243">
        <v>6</v>
      </c>
      <c r="P2916" s="243">
        <v>0</v>
      </c>
      <c r="Q2916" s="243">
        <v>2</v>
      </c>
      <c r="R2916" s="1263">
        <v>237</v>
      </c>
      <c r="S2916" s="1263">
        <v>1422</v>
      </c>
      <c r="T2916" s="26" t="s">
        <v>5448</v>
      </c>
      <c r="U2916" s="1871" t="s">
        <v>9076</v>
      </c>
      <c r="V2916" s="26" t="s">
        <v>5990</v>
      </c>
      <c r="W2916" s="708" t="s">
        <v>9083</v>
      </c>
      <c r="X2916" s="18"/>
      <c r="Y2916" s="4"/>
      <c r="Z2916" s="4"/>
    </row>
    <row r="2917" spans="1:26" ht="14.45" hidden="1">
      <c r="A2917" s="20">
        <v>2924</v>
      </c>
      <c r="B2917" s="1063">
        <v>42694</v>
      </c>
      <c r="C2917" s="941" t="s">
        <v>1077</v>
      </c>
      <c r="D2917" s="11"/>
      <c r="E2917" s="298" t="s">
        <v>572</v>
      </c>
      <c r="F2917" s="995" t="s">
        <v>10585</v>
      </c>
      <c r="G2917" s="328" t="s">
        <v>3281</v>
      </c>
      <c r="H2917" s="328" t="s">
        <v>1078</v>
      </c>
      <c r="I2917" s="243" t="s">
        <v>574</v>
      </c>
      <c r="J2917" s="243" t="s">
        <v>1079</v>
      </c>
      <c r="K2917" s="328" t="s">
        <v>1080</v>
      </c>
      <c r="L2917" s="243" t="s">
        <v>1088</v>
      </c>
      <c r="M2917" s="243">
        <v>8</v>
      </c>
      <c r="N2917" s="243">
        <v>1</v>
      </c>
      <c r="O2917" s="243">
        <v>12</v>
      </c>
      <c r="P2917" s="243">
        <v>0</v>
      </c>
      <c r="Q2917" s="243">
        <v>7</v>
      </c>
      <c r="R2917" s="1263">
        <v>1142.2</v>
      </c>
      <c r="S2917" s="1263">
        <v>13706.4</v>
      </c>
      <c r="T2917" s="26" t="s">
        <v>5448</v>
      </c>
      <c r="U2917" s="1871" t="s">
        <v>9076</v>
      </c>
      <c r="V2917" s="26" t="s">
        <v>5990</v>
      </c>
      <c r="W2917" s="708" t="s">
        <v>3283</v>
      </c>
      <c r="X2917" s="18"/>
      <c r="Y2917" s="4"/>
      <c r="Z2917" s="4"/>
    </row>
    <row r="2918" spans="1:26" ht="14.45" hidden="1">
      <c r="A2918" s="20">
        <v>2925</v>
      </c>
      <c r="B2918" s="1063">
        <v>42695</v>
      </c>
      <c r="C2918" s="941" t="s">
        <v>1083</v>
      </c>
      <c r="D2918" s="11"/>
      <c r="E2918" s="298" t="s">
        <v>572</v>
      </c>
      <c r="F2918" s="995" t="s">
        <v>10585</v>
      </c>
      <c r="G2918" s="328" t="s">
        <v>1088</v>
      </c>
      <c r="H2918" s="328" t="s">
        <v>10591</v>
      </c>
      <c r="I2918" s="243" t="s">
        <v>574</v>
      </c>
      <c r="J2918" s="243" t="s">
        <v>2945</v>
      </c>
      <c r="K2918" s="328" t="s">
        <v>2946</v>
      </c>
      <c r="L2918" s="243" t="s">
        <v>1088</v>
      </c>
      <c r="M2918" s="243">
        <v>4</v>
      </c>
      <c r="N2918" s="243">
        <v>1</v>
      </c>
      <c r="O2918" s="243">
        <v>4</v>
      </c>
      <c r="P2918" s="243">
        <v>6</v>
      </c>
      <c r="Q2918" s="243">
        <v>6</v>
      </c>
      <c r="R2918" s="1263">
        <v>362</v>
      </c>
      <c r="S2918" s="1263">
        <v>1448</v>
      </c>
      <c r="T2918" s="26" t="s">
        <v>5448</v>
      </c>
      <c r="U2918" s="1871" t="s">
        <v>9076</v>
      </c>
      <c r="V2918" s="26" t="s">
        <v>5990</v>
      </c>
      <c r="W2918" s="708" t="s">
        <v>2947</v>
      </c>
      <c r="X2918" s="18"/>
      <c r="Y2918" s="4"/>
      <c r="Z2918" s="4"/>
    </row>
    <row r="2919" spans="1:26" ht="14.45" hidden="1">
      <c r="A2919" s="20">
        <v>2926</v>
      </c>
      <c r="B2919" s="1063">
        <v>42696</v>
      </c>
      <c r="C2919" s="941" t="s">
        <v>10592</v>
      </c>
      <c r="D2919" s="11"/>
      <c r="E2919" s="298" t="s">
        <v>572</v>
      </c>
      <c r="F2919" s="995" t="s">
        <v>10585</v>
      </c>
      <c r="G2919" s="328" t="s">
        <v>1088</v>
      </c>
      <c r="H2919" s="328" t="s">
        <v>10591</v>
      </c>
      <c r="I2919" s="243" t="s">
        <v>574</v>
      </c>
      <c r="J2919" s="243" t="s">
        <v>10593</v>
      </c>
      <c r="K2919" s="328" t="s">
        <v>10594</v>
      </c>
      <c r="L2919" s="243" t="s">
        <v>1088</v>
      </c>
      <c r="M2919" s="243">
        <v>4</v>
      </c>
      <c r="N2919" s="243">
        <v>1</v>
      </c>
      <c r="O2919" s="243">
        <v>4</v>
      </c>
      <c r="P2919" s="243">
        <v>6</v>
      </c>
      <c r="Q2919" s="243">
        <v>6</v>
      </c>
      <c r="R2919" s="1263">
        <v>483</v>
      </c>
      <c r="S2919" s="1263">
        <v>1932</v>
      </c>
      <c r="T2919" s="26" t="s">
        <v>5448</v>
      </c>
      <c r="U2919" s="1871" t="s">
        <v>9076</v>
      </c>
      <c r="V2919" s="26" t="s">
        <v>5990</v>
      </c>
      <c r="W2919" s="708" t="s">
        <v>10595</v>
      </c>
      <c r="X2919" s="18"/>
      <c r="Y2919" s="4"/>
      <c r="Z2919" s="4"/>
    </row>
    <row r="2920" spans="1:26" ht="14.45" hidden="1">
      <c r="A2920" s="20">
        <v>2927</v>
      </c>
      <c r="B2920" s="1063">
        <v>42697</v>
      </c>
      <c r="C2920" s="941" t="s">
        <v>10596</v>
      </c>
      <c r="D2920" s="11"/>
      <c r="E2920" s="298" t="s">
        <v>572</v>
      </c>
      <c r="F2920" s="995" t="s">
        <v>10585</v>
      </c>
      <c r="G2920" s="328" t="s">
        <v>10597</v>
      </c>
      <c r="H2920" s="328" t="s">
        <v>6567</v>
      </c>
      <c r="I2920" s="243" t="s">
        <v>5512</v>
      </c>
      <c r="J2920" s="243" t="s">
        <v>10598</v>
      </c>
      <c r="K2920" s="328" t="s">
        <v>10599</v>
      </c>
      <c r="L2920" s="243" t="s">
        <v>2063</v>
      </c>
      <c r="M2920" s="243">
        <v>4</v>
      </c>
      <c r="N2920" s="243">
        <v>1</v>
      </c>
      <c r="O2920" s="243">
        <v>20</v>
      </c>
      <c r="P2920" s="243">
        <v>0</v>
      </c>
      <c r="Q2920" s="243">
        <v>16</v>
      </c>
      <c r="R2920" s="1263">
        <v>57.7</v>
      </c>
      <c r="S2920" s="1263">
        <v>1154</v>
      </c>
      <c r="T2920" s="26" t="s">
        <v>5448</v>
      </c>
      <c r="U2920" s="1871" t="s">
        <v>9076</v>
      </c>
      <c r="V2920" s="26" t="s">
        <v>5990</v>
      </c>
      <c r="W2920" s="708" t="s">
        <v>10600</v>
      </c>
      <c r="X2920" s="18"/>
      <c r="Y2920" s="4"/>
      <c r="Z2920" s="4"/>
    </row>
    <row r="2921" spans="1:26" ht="14.45" hidden="1">
      <c r="A2921" s="20">
        <v>2928</v>
      </c>
      <c r="B2921" s="1063">
        <v>42698</v>
      </c>
      <c r="C2921" s="941" t="s">
        <v>10601</v>
      </c>
      <c r="D2921" s="11"/>
      <c r="E2921" s="298" t="s">
        <v>572</v>
      </c>
      <c r="F2921" s="995" t="s">
        <v>10585</v>
      </c>
      <c r="G2921" s="328" t="s">
        <v>10597</v>
      </c>
      <c r="H2921" s="328" t="s">
        <v>1111</v>
      </c>
      <c r="I2921" s="243" t="s">
        <v>574</v>
      </c>
      <c r="J2921" s="243" t="s">
        <v>10602</v>
      </c>
      <c r="K2921" s="328" t="s">
        <v>10603</v>
      </c>
      <c r="L2921" s="243" t="s">
        <v>1</v>
      </c>
      <c r="M2921" s="243">
        <v>4</v>
      </c>
      <c r="N2921" s="243">
        <v>1</v>
      </c>
      <c r="O2921" s="243">
        <v>20</v>
      </c>
      <c r="P2921" s="243">
        <v>0</v>
      </c>
      <c r="Q2921" s="243">
        <v>16</v>
      </c>
      <c r="R2921" s="1263">
        <v>34.799999999999997</v>
      </c>
      <c r="S2921" s="1263">
        <v>696</v>
      </c>
      <c r="T2921" s="26" t="s">
        <v>5448</v>
      </c>
      <c r="U2921" s="1871" t="s">
        <v>9076</v>
      </c>
      <c r="V2921" s="26" t="s">
        <v>5990</v>
      </c>
      <c r="W2921" s="708" t="s">
        <v>10604</v>
      </c>
      <c r="X2921" s="18"/>
      <c r="Y2921" s="4"/>
      <c r="Z2921" s="4"/>
    </row>
    <row r="2922" spans="1:26" ht="14.45" hidden="1">
      <c r="A2922" s="20">
        <v>2929</v>
      </c>
      <c r="B2922" s="1063">
        <v>42699</v>
      </c>
      <c r="C2922" s="941" t="s">
        <v>10605</v>
      </c>
      <c r="D2922" s="11"/>
      <c r="E2922" s="298" t="s">
        <v>572</v>
      </c>
      <c r="F2922" s="995" t="s">
        <v>10585</v>
      </c>
      <c r="G2922" s="328" t="s">
        <v>10606</v>
      </c>
      <c r="H2922" s="328" t="s">
        <v>1111</v>
      </c>
      <c r="I2922" s="243" t="s">
        <v>574</v>
      </c>
      <c r="J2922" s="243" t="s">
        <v>10607</v>
      </c>
      <c r="K2922" s="328" t="s">
        <v>10608</v>
      </c>
      <c r="L2922" s="243" t="s">
        <v>2063</v>
      </c>
      <c r="M2922" s="243">
        <v>4</v>
      </c>
      <c r="N2922" s="243">
        <v>1</v>
      </c>
      <c r="O2922" s="243">
        <v>20</v>
      </c>
      <c r="P2922" s="243">
        <v>0</v>
      </c>
      <c r="Q2922" s="243">
        <v>16</v>
      </c>
      <c r="R2922" s="1263">
        <v>19.100000000000001</v>
      </c>
      <c r="S2922" s="1263">
        <v>382</v>
      </c>
      <c r="T2922" s="26" t="s">
        <v>5448</v>
      </c>
      <c r="U2922" s="1871" t="s">
        <v>9076</v>
      </c>
      <c r="V2922" s="26" t="s">
        <v>5990</v>
      </c>
      <c r="W2922" s="708" t="s">
        <v>10609</v>
      </c>
      <c r="X2922" s="18"/>
      <c r="Y2922" s="4"/>
      <c r="Z2922" s="4"/>
    </row>
    <row r="2923" spans="1:26" ht="14.45" hidden="1">
      <c r="A2923" s="20">
        <v>2930</v>
      </c>
      <c r="B2923" s="1063">
        <v>42700</v>
      </c>
      <c r="C2923" s="941" t="s">
        <v>10610</v>
      </c>
      <c r="D2923" s="11"/>
      <c r="E2923" s="298" t="s">
        <v>572</v>
      </c>
      <c r="F2923" s="995" t="s">
        <v>10585</v>
      </c>
      <c r="G2923" s="328" t="s">
        <v>10606</v>
      </c>
      <c r="H2923" s="328" t="s">
        <v>6001</v>
      </c>
      <c r="I2923" s="243" t="s">
        <v>574</v>
      </c>
      <c r="J2923" s="243" t="s">
        <v>6000</v>
      </c>
      <c r="K2923" s="328" t="s">
        <v>6001</v>
      </c>
      <c r="L2923" s="243" t="s">
        <v>1</v>
      </c>
      <c r="M2923" s="243">
        <v>4</v>
      </c>
      <c r="N2923" s="243">
        <v>1</v>
      </c>
      <c r="O2923" s="243">
        <v>20</v>
      </c>
      <c r="P2923" s="243">
        <v>0</v>
      </c>
      <c r="Q2923" s="243">
        <v>16</v>
      </c>
      <c r="R2923" s="1263">
        <v>13.9</v>
      </c>
      <c r="S2923" s="1263">
        <v>278</v>
      </c>
      <c r="T2923" s="26" t="s">
        <v>5448</v>
      </c>
      <c r="U2923" s="1871" t="s">
        <v>9076</v>
      </c>
      <c r="V2923" s="26" t="s">
        <v>5990</v>
      </c>
      <c r="W2923" s="708" t="s">
        <v>10611</v>
      </c>
      <c r="X2923" s="18"/>
      <c r="Y2923" s="4"/>
      <c r="Z2923" s="4"/>
    </row>
    <row r="2924" spans="1:26" ht="14.45" hidden="1">
      <c r="A2924" s="20">
        <v>2931</v>
      </c>
      <c r="B2924" s="1063">
        <v>42701</v>
      </c>
      <c r="C2924" s="26" t="s">
        <v>8700</v>
      </c>
      <c r="D2924" s="11"/>
      <c r="E2924" s="298" t="s">
        <v>572</v>
      </c>
      <c r="F2924" s="26" t="s">
        <v>10612</v>
      </c>
      <c r="G2924" s="26" t="s">
        <v>8701</v>
      </c>
      <c r="H2924" s="237" t="s">
        <v>4508</v>
      </c>
      <c r="I2924" s="26" t="s">
        <v>574</v>
      </c>
      <c r="J2924" s="26" t="s">
        <v>8702</v>
      </c>
      <c r="K2924" s="26" t="s">
        <v>8703</v>
      </c>
      <c r="L2924" s="26"/>
      <c r="M2924" s="243">
        <v>2</v>
      </c>
      <c r="N2924" s="243">
        <v>1</v>
      </c>
      <c r="O2924" s="243">
        <v>5</v>
      </c>
      <c r="P2924" s="243">
        <v>0</v>
      </c>
      <c r="Q2924" s="243">
        <v>3</v>
      </c>
      <c r="R2924" s="1263">
        <v>609</v>
      </c>
      <c r="S2924" s="1263">
        <f t="shared" ref="S2924:S2927" si="170">R2924*O2924</f>
        <v>3045</v>
      </c>
      <c r="T2924" s="26" t="s">
        <v>5448</v>
      </c>
      <c r="U2924" s="1871" t="s">
        <v>8768</v>
      </c>
      <c r="V2924" s="26" t="s">
        <v>150</v>
      </c>
      <c r="W2924" s="701" t="s">
        <v>8704</v>
      </c>
      <c r="X2924" s="18"/>
      <c r="Y2924" s="4"/>
      <c r="Z2924" s="4"/>
    </row>
    <row r="2925" spans="1:26" ht="14.1" hidden="1">
      <c r="A2925" s="20">
        <v>2932</v>
      </c>
      <c r="B2925" s="1063">
        <v>42702</v>
      </c>
      <c r="C2925" s="958" t="s">
        <v>10613</v>
      </c>
      <c r="D2925" s="11" t="s">
        <v>6</v>
      </c>
      <c r="E2925" s="298" t="s">
        <v>572</v>
      </c>
      <c r="F2925" s="985" t="s">
        <v>2143</v>
      </c>
      <c r="G2925" s="298" t="s">
        <v>10614</v>
      </c>
      <c r="H2925" s="298"/>
      <c r="I2925" s="298" t="s">
        <v>6645</v>
      </c>
      <c r="J2925" s="298" t="s">
        <v>10615</v>
      </c>
      <c r="K2925" s="298" t="s">
        <v>10616</v>
      </c>
      <c r="L2925" s="298"/>
      <c r="M2925" s="298">
        <v>1</v>
      </c>
      <c r="N2925" s="298">
        <v>1</v>
      </c>
      <c r="O2925" s="298">
        <v>1</v>
      </c>
      <c r="P2925" s="298">
        <v>0</v>
      </c>
      <c r="Q2925" s="669">
        <f t="shared" ref="Q2925:Q2927" si="171">(O2925+P2925)-M2925</f>
        <v>0</v>
      </c>
      <c r="R2925" s="1209">
        <v>2800</v>
      </c>
      <c r="S2925" s="1209">
        <f t="shared" si="170"/>
        <v>2800</v>
      </c>
      <c r="T2925" s="683" t="s">
        <v>311</v>
      </c>
      <c r="U2925" s="1909"/>
      <c r="V2925" s="572" t="s">
        <v>10617</v>
      </c>
      <c r="W2925" s="682" t="s">
        <v>10618</v>
      </c>
      <c r="X2925" s="18"/>
      <c r="Y2925" s="4"/>
      <c r="Z2925" s="4"/>
    </row>
    <row r="2926" spans="1:26" ht="14.1" hidden="1">
      <c r="A2926" s="20">
        <v>2933</v>
      </c>
      <c r="B2926" s="1063">
        <v>42703</v>
      </c>
      <c r="C2926" s="958" t="s">
        <v>4537</v>
      </c>
      <c r="D2926" s="11" t="s">
        <v>6</v>
      </c>
      <c r="E2926" s="298" t="s">
        <v>572</v>
      </c>
      <c r="F2926" s="985" t="s">
        <v>2143</v>
      </c>
      <c r="G2926" s="298" t="s">
        <v>8701</v>
      </c>
      <c r="H2926" s="298"/>
      <c r="I2926" s="298" t="s">
        <v>6645</v>
      </c>
      <c r="J2926" s="298" t="s">
        <v>10619</v>
      </c>
      <c r="K2926" s="298"/>
      <c r="L2926" s="298"/>
      <c r="M2926" s="298">
        <v>20</v>
      </c>
      <c r="N2926" s="298">
        <v>1</v>
      </c>
      <c r="O2926" s="298">
        <v>20</v>
      </c>
      <c r="P2926" s="298">
        <v>0</v>
      </c>
      <c r="Q2926" s="669">
        <f t="shared" si="171"/>
        <v>0</v>
      </c>
      <c r="R2926" s="1209">
        <v>30</v>
      </c>
      <c r="S2926" s="1209">
        <f t="shared" si="170"/>
        <v>600</v>
      </c>
      <c r="T2926" s="683" t="s">
        <v>311</v>
      </c>
      <c r="U2926" s="1909"/>
      <c r="V2926" s="572" t="s">
        <v>10617</v>
      </c>
      <c r="W2926" s="682" t="s">
        <v>10620</v>
      </c>
      <c r="X2926" s="18"/>
      <c r="Y2926" s="4"/>
      <c r="Z2926" s="4"/>
    </row>
    <row r="2927" spans="1:26" ht="150" hidden="1">
      <c r="A2927" s="20">
        <v>2934</v>
      </c>
      <c r="B2927" s="1063">
        <v>42704</v>
      </c>
      <c r="C2927" s="958" t="s">
        <v>10621</v>
      </c>
      <c r="D2927" s="11" t="s">
        <v>6</v>
      </c>
      <c r="E2927" s="298" t="s">
        <v>62</v>
      </c>
      <c r="F2927" s="985" t="s">
        <v>1989</v>
      </c>
      <c r="G2927" s="334" t="s">
        <v>10622</v>
      </c>
      <c r="H2927" s="298" t="s">
        <v>511</v>
      </c>
      <c r="I2927" s="334" t="s">
        <v>10623</v>
      </c>
      <c r="J2927" s="298" t="s">
        <v>10624</v>
      </c>
      <c r="K2927" s="298" t="s">
        <v>10625</v>
      </c>
      <c r="L2927" s="298"/>
      <c r="M2927" s="298">
        <v>1</v>
      </c>
      <c r="N2927" s="298">
        <v>1</v>
      </c>
      <c r="O2927" s="298">
        <v>1</v>
      </c>
      <c r="P2927" s="298">
        <v>0</v>
      </c>
      <c r="Q2927" s="669">
        <f t="shared" si="171"/>
        <v>0</v>
      </c>
      <c r="R2927" s="1209">
        <v>12980</v>
      </c>
      <c r="S2927" s="1209">
        <f t="shared" si="170"/>
        <v>12980</v>
      </c>
      <c r="T2927" s="683" t="s">
        <v>311</v>
      </c>
      <c r="U2927" s="1909" t="s">
        <v>311</v>
      </c>
      <c r="V2927" s="572" t="s">
        <v>10617</v>
      </c>
      <c r="W2927" s="711" t="s">
        <v>10626</v>
      </c>
      <c r="X2927" s="18"/>
      <c r="Y2927" s="4"/>
      <c r="Z2927" s="4"/>
    </row>
    <row r="2928" spans="1:26" ht="14.1" hidden="1">
      <c r="A2928" s="20">
        <v>2935</v>
      </c>
      <c r="B2928" s="1063">
        <v>42705</v>
      </c>
      <c r="C2928" s="967" t="s">
        <v>10627</v>
      </c>
      <c r="D2928" s="11" t="s">
        <v>6</v>
      </c>
      <c r="E2928" s="298" t="s">
        <v>7956</v>
      </c>
      <c r="F2928" s="985" t="s">
        <v>412</v>
      </c>
      <c r="G2928" s="298" t="s">
        <v>5539</v>
      </c>
      <c r="H2928" s="298" t="s">
        <v>4480</v>
      </c>
      <c r="I2928" s="298" t="s">
        <v>4480</v>
      </c>
      <c r="J2928" s="298" t="s">
        <v>1</v>
      </c>
      <c r="K2928" s="298" t="s">
        <v>1</v>
      </c>
      <c r="L2928" s="298" t="s">
        <v>1</v>
      </c>
      <c r="M2928" s="298">
        <v>1</v>
      </c>
      <c r="N2928" s="298">
        <v>2</v>
      </c>
      <c r="O2928" s="298">
        <v>2</v>
      </c>
      <c r="P2928" s="298">
        <v>0</v>
      </c>
      <c r="Q2928" s="669">
        <v>1</v>
      </c>
      <c r="R2928" s="1209">
        <v>127586</v>
      </c>
      <c r="S2928" s="1209">
        <v>127586</v>
      </c>
      <c r="T2928" s="669" t="s">
        <v>5448</v>
      </c>
      <c r="U2928" s="1909" t="s">
        <v>10628</v>
      </c>
      <c r="V2928" s="572" t="s">
        <v>5990</v>
      </c>
      <c r="W2928" s="682"/>
      <c r="X2928" s="18"/>
      <c r="Y2928" s="4"/>
      <c r="Z2928" s="4"/>
    </row>
    <row r="2929" spans="1:26" ht="14.1" hidden="1">
      <c r="A2929" s="20">
        <v>2936</v>
      </c>
      <c r="B2929" s="1063">
        <v>42706</v>
      </c>
      <c r="C2929" s="934" t="s">
        <v>10629</v>
      </c>
      <c r="D2929" s="11" t="s">
        <v>6</v>
      </c>
      <c r="E2929" s="298" t="s">
        <v>5448</v>
      </c>
      <c r="F2929" s="985" t="s">
        <v>2143</v>
      </c>
      <c r="G2929" s="298" t="s">
        <v>10630</v>
      </c>
      <c r="H2929" s="298" t="s">
        <v>287</v>
      </c>
      <c r="I2929" s="298" t="s">
        <v>287</v>
      </c>
      <c r="J2929" s="298"/>
      <c r="K2929" s="298"/>
      <c r="L2929" s="298"/>
      <c r="M2929" s="298">
        <v>1</v>
      </c>
      <c r="N2929" s="298">
        <v>1</v>
      </c>
      <c r="O2929" s="298">
        <v>1</v>
      </c>
      <c r="P2929" s="298">
        <v>0</v>
      </c>
      <c r="Q2929" s="669">
        <f t="shared" ref="Q2929:Q2935" si="172">(O2929+P2929)-M2929</f>
        <v>0</v>
      </c>
      <c r="R2929" s="1209">
        <v>58654</v>
      </c>
      <c r="S2929" s="1209">
        <f t="shared" ref="S2929:S2935" si="173">R2929*O2929</f>
        <v>58654</v>
      </c>
      <c r="T2929" s="669" t="s">
        <v>5448</v>
      </c>
      <c r="U2929" s="1909" t="s">
        <v>4554</v>
      </c>
      <c r="V2929" s="572" t="s">
        <v>5990</v>
      </c>
      <c r="W2929" s="682"/>
      <c r="X2929" s="18"/>
      <c r="Y2929" s="4"/>
      <c r="Z2929" s="4"/>
    </row>
    <row r="2930" spans="1:26" ht="14.1" hidden="1">
      <c r="A2930" s="20">
        <v>2937</v>
      </c>
      <c r="B2930" s="1063">
        <v>42707</v>
      </c>
      <c r="C2930" s="934" t="s">
        <v>10631</v>
      </c>
      <c r="D2930" s="11" t="s">
        <v>6</v>
      </c>
      <c r="E2930" s="298" t="s">
        <v>5448</v>
      </c>
      <c r="F2930" s="985" t="s">
        <v>2143</v>
      </c>
      <c r="G2930" s="298" t="s">
        <v>10632</v>
      </c>
      <c r="H2930" s="298" t="s">
        <v>287</v>
      </c>
      <c r="I2930" s="298" t="s">
        <v>287</v>
      </c>
      <c r="J2930" s="298"/>
      <c r="K2930" s="298"/>
      <c r="L2930" s="298"/>
      <c r="M2930" s="298">
        <v>1</v>
      </c>
      <c r="N2930" s="298">
        <v>1</v>
      </c>
      <c r="O2930" s="298">
        <v>1</v>
      </c>
      <c r="P2930" s="298">
        <v>0</v>
      </c>
      <c r="Q2930" s="669">
        <f t="shared" si="172"/>
        <v>0</v>
      </c>
      <c r="R2930" s="1209">
        <v>38286</v>
      </c>
      <c r="S2930" s="1209">
        <f t="shared" si="173"/>
        <v>38286</v>
      </c>
      <c r="T2930" s="669" t="s">
        <v>5448</v>
      </c>
      <c r="U2930" s="1909" t="s">
        <v>4554</v>
      </c>
      <c r="V2930" s="572" t="s">
        <v>5990</v>
      </c>
      <c r="W2930" s="682"/>
      <c r="X2930" s="18"/>
      <c r="Y2930" s="4"/>
      <c r="Z2930" s="4"/>
    </row>
    <row r="2931" spans="1:26" ht="14.1" hidden="1">
      <c r="A2931" s="20">
        <v>2938</v>
      </c>
      <c r="B2931" s="1063">
        <v>42708</v>
      </c>
      <c r="C2931" s="934" t="s">
        <v>10633</v>
      </c>
      <c r="D2931" s="11" t="s">
        <v>6</v>
      </c>
      <c r="E2931" s="298" t="s">
        <v>5448</v>
      </c>
      <c r="F2931" s="985" t="s">
        <v>2143</v>
      </c>
      <c r="G2931" s="298" t="s">
        <v>10634</v>
      </c>
      <c r="H2931" s="298" t="s">
        <v>287</v>
      </c>
      <c r="I2931" s="298" t="s">
        <v>287</v>
      </c>
      <c r="J2931" s="298"/>
      <c r="K2931" s="298"/>
      <c r="L2931" s="298"/>
      <c r="M2931" s="298">
        <v>1</v>
      </c>
      <c r="N2931" s="298">
        <v>1</v>
      </c>
      <c r="O2931" s="298">
        <v>1</v>
      </c>
      <c r="P2931" s="298">
        <v>0</v>
      </c>
      <c r="Q2931" s="669">
        <f t="shared" si="172"/>
        <v>0</v>
      </c>
      <c r="R2931" s="1209">
        <v>62562</v>
      </c>
      <c r="S2931" s="1209">
        <f t="shared" si="173"/>
        <v>62562</v>
      </c>
      <c r="T2931" s="669" t="s">
        <v>5448</v>
      </c>
      <c r="U2931" s="1909" t="s">
        <v>4554</v>
      </c>
      <c r="V2931" s="572" t="s">
        <v>5990</v>
      </c>
      <c r="W2931" s="682"/>
      <c r="X2931" s="18"/>
      <c r="Y2931" s="4"/>
      <c r="Z2931" s="4"/>
    </row>
    <row r="2932" spans="1:26" ht="14.1" hidden="1">
      <c r="A2932" s="20">
        <v>2939</v>
      </c>
      <c r="B2932" s="1063">
        <v>42709</v>
      </c>
      <c r="C2932" s="934" t="s">
        <v>10635</v>
      </c>
      <c r="D2932" s="11" t="s">
        <v>6</v>
      </c>
      <c r="E2932" s="298" t="s">
        <v>5448</v>
      </c>
      <c r="F2932" s="985" t="s">
        <v>2143</v>
      </c>
      <c r="G2932" s="298" t="s">
        <v>10630</v>
      </c>
      <c r="H2932" s="298" t="s">
        <v>287</v>
      </c>
      <c r="I2932" s="298" t="s">
        <v>287</v>
      </c>
      <c r="J2932" s="298"/>
      <c r="K2932" s="298"/>
      <c r="L2932" s="298"/>
      <c r="M2932" s="298">
        <v>1</v>
      </c>
      <c r="N2932" s="298">
        <v>1</v>
      </c>
      <c r="O2932" s="298">
        <v>1</v>
      </c>
      <c r="P2932" s="298">
        <v>0</v>
      </c>
      <c r="Q2932" s="669">
        <f t="shared" si="172"/>
        <v>0</v>
      </c>
      <c r="R2932" s="1209">
        <v>58654</v>
      </c>
      <c r="S2932" s="1209">
        <f t="shared" si="173"/>
        <v>58654</v>
      </c>
      <c r="T2932" s="669" t="s">
        <v>5448</v>
      </c>
      <c r="U2932" s="1909" t="s">
        <v>4554</v>
      </c>
      <c r="V2932" s="572" t="s">
        <v>5990</v>
      </c>
      <c r="W2932" s="682"/>
      <c r="X2932" s="18"/>
      <c r="Y2932" s="4"/>
      <c r="Z2932" s="4"/>
    </row>
    <row r="2933" spans="1:26" ht="14.1" hidden="1">
      <c r="A2933" s="20">
        <v>2940</v>
      </c>
      <c r="B2933" s="1063">
        <v>42710</v>
      </c>
      <c r="C2933" s="934" t="s">
        <v>10636</v>
      </c>
      <c r="D2933" s="11" t="s">
        <v>6</v>
      </c>
      <c r="E2933" s="298" t="s">
        <v>5448</v>
      </c>
      <c r="F2933" s="985" t="s">
        <v>2143</v>
      </c>
      <c r="G2933" s="298" t="s">
        <v>10632</v>
      </c>
      <c r="H2933" s="298" t="s">
        <v>287</v>
      </c>
      <c r="I2933" s="298" t="s">
        <v>287</v>
      </c>
      <c r="J2933" s="298"/>
      <c r="K2933" s="298"/>
      <c r="L2933" s="298"/>
      <c r="M2933" s="298">
        <v>1</v>
      </c>
      <c r="N2933" s="298">
        <v>1</v>
      </c>
      <c r="O2933" s="298">
        <v>1</v>
      </c>
      <c r="P2933" s="298">
        <v>0</v>
      </c>
      <c r="Q2933" s="669">
        <f t="shared" si="172"/>
        <v>0</v>
      </c>
      <c r="R2933" s="1209">
        <v>38286</v>
      </c>
      <c r="S2933" s="1209">
        <f t="shared" si="173"/>
        <v>38286</v>
      </c>
      <c r="T2933" s="669" t="s">
        <v>5448</v>
      </c>
      <c r="U2933" s="1909" t="s">
        <v>4554</v>
      </c>
      <c r="V2933" s="572" t="s">
        <v>5990</v>
      </c>
      <c r="W2933" s="682"/>
      <c r="X2933" s="18"/>
      <c r="Y2933" s="4"/>
      <c r="Z2933" s="4"/>
    </row>
    <row r="2934" spans="1:26" ht="14.1" hidden="1">
      <c r="A2934" s="20">
        <v>2941</v>
      </c>
      <c r="B2934" s="1063">
        <v>42711</v>
      </c>
      <c r="C2934" s="934" t="s">
        <v>10637</v>
      </c>
      <c r="D2934" s="11" t="s">
        <v>6</v>
      </c>
      <c r="E2934" s="298" t="s">
        <v>5448</v>
      </c>
      <c r="F2934" s="985" t="s">
        <v>2143</v>
      </c>
      <c r="G2934" s="298" t="s">
        <v>10634</v>
      </c>
      <c r="H2934" s="298" t="s">
        <v>287</v>
      </c>
      <c r="I2934" s="298" t="s">
        <v>287</v>
      </c>
      <c r="J2934" s="298"/>
      <c r="K2934" s="298"/>
      <c r="L2934" s="298"/>
      <c r="M2934" s="298">
        <v>1</v>
      </c>
      <c r="N2934" s="298">
        <v>1</v>
      </c>
      <c r="O2934" s="298">
        <v>1</v>
      </c>
      <c r="P2934" s="298">
        <v>0</v>
      </c>
      <c r="Q2934" s="669">
        <f t="shared" si="172"/>
        <v>0</v>
      </c>
      <c r="R2934" s="1209">
        <v>62562</v>
      </c>
      <c r="S2934" s="1209">
        <f t="shared" si="173"/>
        <v>62562</v>
      </c>
      <c r="T2934" s="669" t="s">
        <v>5448</v>
      </c>
      <c r="U2934" s="1909" t="s">
        <v>4554</v>
      </c>
      <c r="V2934" s="572" t="s">
        <v>5990</v>
      </c>
      <c r="W2934" s="682"/>
      <c r="X2934" s="18"/>
      <c r="Y2934" s="4"/>
      <c r="Z2934" s="4"/>
    </row>
    <row r="2935" spans="1:26" ht="14.1" hidden="1">
      <c r="A2935" s="20">
        <v>2942</v>
      </c>
      <c r="B2935" s="1063">
        <v>42712</v>
      </c>
      <c r="C2935" s="958" t="s">
        <v>10638</v>
      </c>
      <c r="D2935" s="11" t="s">
        <v>6</v>
      </c>
      <c r="E2935" s="298" t="s">
        <v>572</v>
      </c>
      <c r="F2935" s="985" t="s">
        <v>2143</v>
      </c>
      <c r="G2935" s="298" t="s">
        <v>10639</v>
      </c>
      <c r="H2935" s="298" t="s">
        <v>10640</v>
      </c>
      <c r="I2935" s="298" t="s">
        <v>10641</v>
      </c>
      <c r="J2935" s="298" t="s">
        <v>1093</v>
      </c>
      <c r="K2935" s="298" t="s">
        <v>1094</v>
      </c>
      <c r="L2935" s="298">
        <v>1608</v>
      </c>
      <c r="M2935" s="298">
        <v>8</v>
      </c>
      <c r="N2935" s="298">
        <v>1</v>
      </c>
      <c r="O2935" s="298">
        <v>20</v>
      </c>
      <c r="P2935" s="298">
        <v>0</v>
      </c>
      <c r="Q2935" s="669">
        <f t="shared" si="172"/>
        <v>12</v>
      </c>
      <c r="R2935" s="1209">
        <v>23.5</v>
      </c>
      <c r="S2935" s="1209">
        <f t="shared" si="173"/>
        <v>470</v>
      </c>
      <c r="T2935" s="683" t="s">
        <v>5448</v>
      </c>
      <c r="U2935" s="1909" t="s">
        <v>4554</v>
      </c>
      <c r="V2935" s="572" t="s">
        <v>5990</v>
      </c>
      <c r="W2935" s="682" t="s">
        <v>10642</v>
      </c>
      <c r="X2935" s="18"/>
      <c r="Y2935" s="4"/>
      <c r="Z2935" s="4"/>
    </row>
    <row r="2936" spans="1:26" ht="14.1" hidden="1">
      <c r="A2936" s="20">
        <v>2943</v>
      </c>
      <c r="B2936" s="1063">
        <v>42713</v>
      </c>
      <c r="C2936" s="947" t="s">
        <v>9099</v>
      </c>
      <c r="D2936" s="11"/>
      <c r="E2936" s="195" t="s">
        <v>5448</v>
      </c>
      <c r="F2936" s="947" t="s">
        <v>73</v>
      </c>
      <c r="G2936" s="195" t="s">
        <v>9100</v>
      </c>
      <c r="H2936" s="195" t="s">
        <v>382</v>
      </c>
      <c r="I2936" s="195" t="s">
        <v>366</v>
      </c>
      <c r="J2936" s="195" t="s">
        <v>1524</v>
      </c>
      <c r="K2936" s="195" t="s">
        <v>1524</v>
      </c>
      <c r="L2936" s="195">
        <v>1</v>
      </c>
      <c r="M2936" s="195">
        <v>24</v>
      </c>
      <c r="N2936" s="195">
        <v>1</v>
      </c>
      <c r="O2936" s="195">
        <v>25</v>
      </c>
      <c r="P2936" s="195">
        <v>3</v>
      </c>
      <c r="Q2936" s="195">
        <v>4</v>
      </c>
      <c r="R2936" s="1248">
        <v>51</v>
      </c>
      <c r="S2936" s="1248">
        <v>1300</v>
      </c>
      <c r="T2936" s="195" t="s">
        <v>5448</v>
      </c>
      <c r="U2936" s="1895" t="s">
        <v>9101</v>
      </c>
      <c r="V2936" s="195" t="s">
        <v>5990</v>
      </c>
      <c r="W2936" s="2086" t="s">
        <v>9102</v>
      </c>
      <c r="X2936" s="18"/>
      <c r="Y2936" s="4"/>
      <c r="Z2936" s="4"/>
    </row>
    <row r="2937" spans="1:26" ht="14.1" hidden="1">
      <c r="A2937" s="20">
        <v>2944</v>
      </c>
      <c r="B2937" s="1063">
        <v>42714</v>
      </c>
      <c r="C2937" s="947" t="s">
        <v>9103</v>
      </c>
      <c r="D2937" s="11"/>
      <c r="E2937" s="195" t="s">
        <v>5448</v>
      </c>
      <c r="F2937" s="947" t="s">
        <v>73</v>
      </c>
      <c r="G2937" s="195" t="s">
        <v>9104</v>
      </c>
      <c r="H2937" s="195" t="s">
        <v>382</v>
      </c>
      <c r="I2937" s="195" t="s">
        <v>366</v>
      </c>
      <c r="J2937" s="195" t="s">
        <v>2604</v>
      </c>
      <c r="K2937" s="195" t="s">
        <v>2604</v>
      </c>
      <c r="L2937" s="195">
        <v>10</v>
      </c>
      <c r="M2937" s="195">
        <v>18</v>
      </c>
      <c r="N2937" s="195">
        <v>1</v>
      </c>
      <c r="O2937" s="195">
        <v>20</v>
      </c>
      <c r="P2937" s="195">
        <v>4</v>
      </c>
      <c r="Q2937" s="195">
        <v>6</v>
      </c>
      <c r="R2937" s="1248">
        <v>144</v>
      </c>
      <c r="S2937" s="1248">
        <v>2882</v>
      </c>
      <c r="T2937" s="195" t="s">
        <v>5448</v>
      </c>
      <c r="U2937" s="1895" t="s">
        <v>9101</v>
      </c>
      <c r="V2937" s="195" t="s">
        <v>5990</v>
      </c>
      <c r="W2937" s="2086" t="s">
        <v>9105</v>
      </c>
      <c r="X2937" s="18"/>
      <c r="Y2937" s="4"/>
      <c r="Z2937" s="4"/>
    </row>
    <row r="2938" spans="1:26" ht="14.1" hidden="1">
      <c r="A2938" s="20">
        <v>2945</v>
      </c>
      <c r="B2938" s="1063">
        <v>42715</v>
      </c>
      <c r="C2938" s="947" t="s">
        <v>9103</v>
      </c>
      <c r="D2938" s="11"/>
      <c r="E2938" s="195" t="s">
        <v>5448</v>
      </c>
      <c r="F2938" s="947" t="s">
        <v>73</v>
      </c>
      <c r="G2938" s="195" t="s">
        <v>9106</v>
      </c>
      <c r="H2938" s="195" t="s">
        <v>382</v>
      </c>
      <c r="I2938" s="195" t="s">
        <v>366</v>
      </c>
      <c r="J2938" s="195" t="s">
        <v>9107</v>
      </c>
      <c r="K2938" s="195" t="s">
        <v>9107</v>
      </c>
      <c r="L2938" s="195">
        <v>10</v>
      </c>
      <c r="M2938" s="195">
        <v>32</v>
      </c>
      <c r="N2938" s="195">
        <v>1</v>
      </c>
      <c r="O2938" s="195">
        <v>40</v>
      </c>
      <c r="P2938" s="195">
        <v>2</v>
      </c>
      <c r="Q2938" s="195">
        <v>10</v>
      </c>
      <c r="R2938" s="1248">
        <v>144</v>
      </c>
      <c r="S2938" s="1248">
        <v>5764</v>
      </c>
      <c r="T2938" s="195" t="s">
        <v>5448</v>
      </c>
      <c r="U2938" s="1895" t="s">
        <v>9101</v>
      </c>
      <c r="V2938" s="195" t="s">
        <v>5990</v>
      </c>
      <c r="W2938" s="2086" t="s">
        <v>9108</v>
      </c>
      <c r="X2938" s="18"/>
      <c r="Y2938" s="4"/>
      <c r="Z2938" s="4"/>
    </row>
    <row r="2939" spans="1:26" ht="14.1" hidden="1">
      <c r="A2939" s="20">
        <v>2946</v>
      </c>
      <c r="B2939" s="1063">
        <v>42716</v>
      </c>
      <c r="C2939" s="947" t="s">
        <v>9103</v>
      </c>
      <c r="D2939" s="11"/>
      <c r="E2939" s="195" t="s">
        <v>5448</v>
      </c>
      <c r="F2939" s="947" t="s">
        <v>73</v>
      </c>
      <c r="G2939" s="195" t="s">
        <v>9109</v>
      </c>
      <c r="H2939" s="195" t="s">
        <v>382</v>
      </c>
      <c r="I2939" s="195" t="s">
        <v>366</v>
      </c>
      <c r="J2939" s="195" t="s">
        <v>2612</v>
      </c>
      <c r="K2939" s="195" t="s">
        <v>2612</v>
      </c>
      <c r="L2939" s="195">
        <v>10</v>
      </c>
      <c r="M2939" s="195">
        <v>34</v>
      </c>
      <c r="N2939" s="195">
        <v>1</v>
      </c>
      <c r="O2939" s="195">
        <v>40</v>
      </c>
      <c r="P2939" s="195">
        <v>2</v>
      </c>
      <c r="Q2939" s="195">
        <v>8</v>
      </c>
      <c r="R2939" s="1248">
        <v>144</v>
      </c>
      <c r="S2939" s="1248">
        <v>5674</v>
      </c>
      <c r="T2939" s="195" t="s">
        <v>5448</v>
      </c>
      <c r="U2939" s="1895" t="s">
        <v>9101</v>
      </c>
      <c r="V2939" s="195" t="s">
        <v>5990</v>
      </c>
      <c r="W2939" s="2086" t="s">
        <v>5530</v>
      </c>
      <c r="X2939" s="18"/>
      <c r="Y2939" s="4"/>
      <c r="Z2939" s="4"/>
    </row>
    <row r="2940" spans="1:26" ht="14.1" hidden="1">
      <c r="A2940" s="20">
        <v>2947</v>
      </c>
      <c r="B2940" s="1063">
        <v>42717</v>
      </c>
      <c r="C2940" s="947" t="s">
        <v>9110</v>
      </c>
      <c r="D2940" s="11"/>
      <c r="E2940" s="195" t="s">
        <v>5448</v>
      </c>
      <c r="F2940" s="947" t="s">
        <v>73</v>
      </c>
      <c r="G2940" s="195" t="s">
        <v>9109</v>
      </c>
      <c r="H2940" s="195" t="s">
        <v>382</v>
      </c>
      <c r="I2940" s="195" t="s">
        <v>366</v>
      </c>
      <c r="J2940" s="195" t="s">
        <v>9111</v>
      </c>
      <c r="K2940" s="195" t="s">
        <v>9111</v>
      </c>
      <c r="L2940" s="195">
        <v>1</v>
      </c>
      <c r="M2940" s="195">
        <v>64</v>
      </c>
      <c r="N2940" s="195">
        <v>1</v>
      </c>
      <c r="O2940" s="195">
        <v>66</v>
      </c>
      <c r="P2940" s="195">
        <v>2</v>
      </c>
      <c r="Q2940" s="195">
        <v>4</v>
      </c>
      <c r="R2940" s="1248">
        <v>68</v>
      </c>
      <c r="S2940" s="1248">
        <v>4488</v>
      </c>
      <c r="T2940" s="195" t="s">
        <v>5448</v>
      </c>
      <c r="U2940" s="1895" t="s">
        <v>9101</v>
      </c>
      <c r="V2940" s="195" t="s">
        <v>5990</v>
      </c>
      <c r="W2940" s="2086" t="s">
        <v>9112</v>
      </c>
      <c r="X2940" s="18"/>
      <c r="Y2940" s="4"/>
      <c r="Z2940" s="4"/>
    </row>
    <row r="2941" spans="1:26" ht="14.1" hidden="1">
      <c r="A2941" s="20">
        <v>2948</v>
      </c>
      <c r="B2941" s="1063">
        <v>42718</v>
      </c>
      <c r="C2941" s="947" t="s">
        <v>9113</v>
      </c>
      <c r="D2941" s="11"/>
      <c r="E2941" s="195" t="s">
        <v>5448</v>
      </c>
      <c r="F2941" s="947" t="s">
        <v>73</v>
      </c>
      <c r="G2941" s="195" t="s">
        <v>9109</v>
      </c>
      <c r="H2941" s="195" t="s">
        <v>382</v>
      </c>
      <c r="I2941" s="195" t="s">
        <v>366</v>
      </c>
      <c r="J2941" s="195" t="s">
        <v>2595</v>
      </c>
      <c r="K2941" s="195" t="s">
        <v>2595</v>
      </c>
      <c r="L2941" s="195">
        <v>1</v>
      </c>
      <c r="M2941" s="195">
        <v>8</v>
      </c>
      <c r="N2941" s="195">
        <v>1</v>
      </c>
      <c r="O2941" s="195">
        <v>8</v>
      </c>
      <c r="P2941" s="195">
        <v>4</v>
      </c>
      <c r="Q2941" s="195">
        <v>4</v>
      </c>
      <c r="R2941" s="1248">
        <v>101</v>
      </c>
      <c r="S2941" s="1248">
        <v>808</v>
      </c>
      <c r="T2941" s="195" t="s">
        <v>5448</v>
      </c>
      <c r="U2941" s="1895" t="s">
        <v>9101</v>
      </c>
      <c r="V2941" s="195" t="s">
        <v>5990</v>
      </c>
      <c r="W2941" s="2086" t="s">
        <v>5535</v>
      </c>
      <c r="X2941" s="18"/>
      <c r="Y2941" s="4"/>
      <c r="Z2941" s="4"/>
    </row>
    <row r="2942" spans="1:26" ht="14.1" hidden="1">
      <c r="A2942" s="20">
        <v>2949</v>
      </c>
      <c r="B2942" s="1063">
        <v>42719</v>
      </c>
      <c r="C2942" s="947" t="s">
        <v>9113</v>
      </c>
      <c r="D2942" s="11"/>
      <c r="E2942" s="195" t="s">
        <v>5448</v>
      </c>
      <c r="F2942" s="947" t="s">
        <v>73</v>
      </c>
      <c r="G2942" s="195" t="s">
        <v>9114</v>
      </c>
      <c r="H2942" s="195" t="s">
        <v>382</v>
      </c>
      <c r="I2942" s="195" t="s">
        <v>366</v>
      </c>
      <c r="J2942" s="195" t="s">
        <v>2597</v>
      </c>
      <c r="K2942" s="195" t="s">
        <v>2597</v>
      </c>
      <c r="L2942" s="195">
        <v>1</v>
      </c>
      <c r="M2942" s="195">
        <v>8</v>
      </c>
      <c r="N2942" s="195">
        <v>1</v>
      </c>
      <c r="O2942" s="195">
        <v>8</v>
      </c>
      <c r="P2942" s="195">
        <v>4</v>
      </c>
      <c r="Q2942" s="195">
        <v>4</v>
      </c>
      <c r="R2942" s="1248">
        <v>101</v>
      </c>
      <c r="S2942" s="1248">
        <v>808</v>
      </c>
      <c r="T2942" s="195" t="s">
        <v>5448</v>
      </c>
      <c r="U2942" s="1895" t="s">
        <v>9101</v>
      </c>
      <c r="V2942" s="195" t="s">
        <v>5990</v>
      </c>
      <c r="W2942" s="2086" t="s">
        <v>5536</v>
      </c>
      <c r="X2942" s="18"/>
      <c r="Y2942" s="4"/>
      <c r="Z2942" s="4"/>
    </row>
    <row r="2943" spans="1:26" ht="14.1" hidden="1">
      <c r="A2943" s="20">
        <v>2950</v>
      </c>
      <c r="B2943" s="1063">
        <v>42720</v>
      </c>
      <c r="C2943" s="947" t="s">
        <v>9103</v>
      </c>
      <c r="D2943" s="11"/>
      <c r="E2943" s="195" t="s">
        <v>5448</v>
      </c>
      <c r="F2943" s="947" t="s">
        <v>73</v>
      </c>
      <c r="G2943" s="195" t="s">
        <v>9115</v>
      </c>
      <c r="H2943" s="195" t="s">
        <v>382</v>
      </c>
      <c r="I2943" s="195" t="s">
        <v>366</v>
      </c>
      <c r="J2943" s="195" t="s">
        <v>9116</v>
      </c>
      <c r="K2943" s="195" t="s">
        <v>9116</v>
      </c>
      <c r="L2943" s="195">
        <v>1</v>
      </c>
      <c r="M2943" s="195">
        <v>20</v>
      </c>
      <c r="N2943" s="195">
        <v>1</v>
      </c>
      <c r="O2943" s="195">
        <v>16</v>
      </c>
      <c r="P2943" s="195">
        <v>8</v>
      </c>
      <c r="Q2943" s="195">
        <v>4</v>
      </c>
      <c r="R2943" s="1248">
        <v>125</v>
      </c>
      <c r="S2943" s="1248">
        <v>2000</v>
      </c>
      <c r="T2943" s="195" t="s">
        <v>5448</v>
      </c>
      <c r="U2943" s="1895" t="s">
        <v>9101</v>
      </c>
      <c r="V2943" s="195" t="s">
        <v>5990</v>
      </c>
      <c r="W2943" s="2086" t="s">
        <v>9117</v>
      </c>
      <c r="X2943" s="18"/>
      <c r="Y2943" s="4"/>
      <c r="Z2943" s="4"/>
    </row>
    <row r="2944" spans="1:26" ht="14.1" hidden="1">
      <c r="A2944" s="20">
        <v>2951</v>
      </c>
      <c r="B2944" s="1063">
        <v>42721</v>
      </c>
      <c r="C2944" s="947" t="s">
        <v>9110</v>
      </c>
      <c r="D2944" s="11"/>
      <c r="E2944" s="195" t="s">
        <v>5448</v>
      </c>
      <c r="F2944" s="947" t="s">
        <v>73</v>
      </c>
      <c r="G2944" s="195" t="s">
        <v>9118</v>
      </c>
      <c r="H2944" s="195" t="s">
        <v>382</v>
      </c>
      <c r="I2944" s="195" t="s">
        <v>366</v>
      </c>
      <c r="J2944" s="195" t="s">
        <v>9119</v>
      </c>
      <c r="K2944" s="195" t="s">
        <v>9119</v>
      </c>
      <c r="L2944" s="195">
        <v>1</v>
      </c>
      <c r="M2944" s="195">
        <v>4</v>
      </c>
      <c r="N2944" s="195">
        <v>1</v>
      </c>
      <c r="O2944" s="195">
        <v>8</v>
      </c>
      <c r="P2944" s="195">
        <v>0</v>
      </c>
      <c r="Q2944" s="195">
        <v>4</v>
      </c>
      <c r="R2944" s="1248">
        <v>69</v>
      </c>
      <c r="S2944" s="1248">
        <v>552</v>
      </c>
      <c r="T2944" s="195" t="s">
        <v>5448</v>
      </c>
      <c r="U2944" s="1895" t="s">
        <v>9101</v>
      </c>
      <c r="V2944" s="195" t="s">
        <v>5990</v>
      </c>
      <c r="W2944" s="2086" t="s">
        <v>9120</v>
      </c>
      <c r="X2944" s="18"/>
      <c r="Y2944" s="4"/>
      <c r="Z2944" s="4"/>
    </row>
    <row r="2945" spans="1:26" ht="14.1" hidden="1">
      <c r="A2945" s="20">
        <v>2952</v>
      </c>
      <c r="B2945" s="1063">
        <v>42722</v>
      </c>
      <c r="C2945" s="947" t="s">
        <v>9110</v>
      </c>
      <c r="D2945" s="11"/>
      <c r="E2945" s="195" t="s">
        <v>5448</v>
      </c>
      <c r="F2945" s="947" t="s">
        <v>73</v>
      </c>
      <c r="G2945" s="195" t="s">
        <v>9121</v>
      </c>
      <c r="H2945" s="195" t="s">
        <v>382</v>
      </c>
      <c r="I2945" s="195" t="s">
        <v>366</v>
      </c>
      <c r="J2945" s="195" t="s">
        <v>9122</v>
      </c>
      <c r="K2945" s="195" t="s">
        <v>9122</v>
      </c>
      <c r="L2945" s="195">
        <v>1</v>
      </c>
      <c r="M2945" s="195">
        <v>21</v>
      </c>
      <c r="N2945" s="195">
        <v>1</v>
      </c>
      <c r="O2945" s="195">
        <v>25</v>
      </c>
      <c r="P2945" s="195">
        <v>0</v>
      </c>
      <c r="Q2945" s="195">
        <v>4</v>
      </c>
      <c r="R2945" s="1248">
        <v>53</v>
      </c>
      <c r="S2945" s="1248">
        <v>1325</v>
      </c>
      <c r="T2945" s="195" t="s">
        <v>5448</v>
      </c>
      <c r="U2945" s="1895" t="s">
        <v>9101</v>
      </c>
      <c r="V2945" s="195" t="s">
        <v>5990</v>
      </c>
      <c r="W2945" s="2086" t="s">
        <v>9123</v>
      </c>
      <c r="X2945" s="18"/>
      <c r="Y2945" s="4"/>
      <c r="Z2945" s="4"/>
    </row>
    <row r="2946" spans="1:26" ht="14.1" hidden="1">
      <c r="A2946" s="20">
        <v>2953</v>
      </c>
      <c r="B2946" s="1063">
        <v>42723</v>
      </c>
      <c r="C2946" s="947" t="s">
        <v>9110</v>
      </c>
      <c r="D2946" s="11"/>
      <c r="E2946" s="195" t="s">
        <v>5448</v>
      </c>
      <c r="F2946" s="947" t="s">
        <v>73</v>
      </c>
      <c r="G2946" s="195" t="s">
        <v>9118</v>
      </c>
      <c r="H2946" s="195" t="s">
        <v>382</v>
      </c>
      <c r="I2946" s="195" t="s">
        <v>366</v>
      </c>
      <c r="J2946" s="195" t="s">
        <v>9124</v>
      </c>
      <c r="K2946" s="195" t="s">
        <v>9124</v>
      </c>
      <c r="L2946" s="195">
        <v>1</v>
      </c>
      <c r="M2946" s="195">
        <v>4</v>
      </c>
      <c r="N2946" s="195">
        <v>1</v>
      </c>
      <c r="O2946" s="195">
        <v>4</v>
      </c>
      <c r="P2946" s="195">
        <v>4</v>
      </c>
      <c r="Q2946" s="195">
        <v>4</v>
      </c>
      <c r="R2946" s="1248">
        <v>59</v>
      </c>
      <c r="S2946" s="1248">
        <v>236</v>
      </c>
      <c r="T2946" s="195" t="s">
        <v>5448</v>
      </c>
      <c r="U2946" s="1895" t="s">
        <v>9101</v>
      </c>
      <c r="V2946" s="195" t="s">
        <v>5990</v>
      </c>
      <c r="W2946" s="2086" t="s">
        <v>9125</v>
      </c>
      <c r="X2946" s="18"/>
      <c r="Y2946" s="4"/>
      <c r="Z2946" s="4"/>
    </row>
    <row r="2947" spans="1:26" ht="18" hidden="1">
      <c r="A2947" s="20">
        <v>2954</v>
      </c>
      <c r="B2947" s="1063">
        <v>42724</v>
      </c>
      <c r="C2947" s="947" t="s">
        <v>9110</v>
      </c>
      <c r="D2947" s="11"/>
      <c r="E2947" s="195" t="s">
        <v>5448</v>
      </c>
      <c r="F2947" s="947" t="s">
        <v>73</v>
      </c>
      <c r="G2947" s="195" t="s">
        <v>9118</v>
      </c>
      <c r="H2947" s="195" t="s">
        <v>382</v>
      </c>
      <c r="I2947" s="195" t="s">
        <v>366</v>
      </c>
      <c r="J2947" s="195" t="s">
        <v>10643</v>
      </c>
      <c r="K2947" s="195" t="s">
        <v>10643</v>
      </c>
      <c r="L2947" s="195">
        <v>1</v>
      </c>
      <c r="M2947" s="195">
        <v>12</v>
      </c>
      <c r="N2947" s="195">
        <v>1</v>
      </c>
      <c r="O2947" s="195">
        <v>16</v>
      </c>
      <c r="P2947" s="195">
        <v>0</v>
      </c>
      <c r="Q2947" s="195">
        <v>4</v>
      </c>
      <c r="R2947" s="1248">
        <v>96</v>
      </c>
      <c r="S2947" s="1248">
        <v>1536</v>
      </c>
      <c r="T2947" s="195" t="s">
        <v>5448</v>
      </c>
      <c r="U2947" s="1895" t="s">
        <v>9101</v>
      </c>
      <c r="V2947" s="195" t="s">
        <v>5990</v>
      </c>
      <c r="W2947" s="2067" t="s">
        <v>10644</v>
      </c>
      <c r="X2947" s="18"/>
      <c r="Y2947" s="4"/>
      <c r="Z2947" s="4"/>
    </row>
    <row r="2948" spans="1:26" ht="14.1" hidden="1">
      <c r="A2948" s="20">
        <v>2955</v>
      </c>
      <c r="B2948" s="1063">
        <v>42725</v>
      </c>
      <c r="C2948" s="947" t="s">
        <v>9113</v>
      </c>
      <c r="D2948" s="11"/>
      <c r="E2948" s="195" t="s">
        <v>5448</v>
      </c>
      <c r="F2948" s="947" t="s">
        <v>73</v>
      </c>
      <c r="G2948" s="195" t="s">
        <v>9126</v>
      </c>
      <c r="H2948" s="195" t="s">
        <v>382</v>
      </c>
      <c r="I2948" s="195" t="s">
        <v>366</v>
      </c>
      <c r="J2948" s="195" t="s">
        <v>9127</v>
      </c>
      <c r="K2948" s="195" t="s">
        <v>9127</v>
      </c>
      <c r="L2948" s="195">
        <v>1</v>
      </c>
      <c r="M2948" s="195">
        <v>12</v>
      </c>
      <c r="N2948" s="195">
        <v>1</v>
      </c>
      <c r="O2948" s="195">
        <v>12</v>
      </c>
      <c r="P2948" s="195">
        <v>4</v>
      </c>
      <c r="Q2948" s="195">
        <v>4</v>
      </c>
      <c r="R2948" s="1248">
        <v>105</v>
      </c>
      <c r="S2948" s="1248">
        <v>1260</v>
      </c>
      <c r="T2948" s="195" t="s">
        <v>5448</v>
      </c>
      <c r="U2948" s="1895" t="s">
        <v>9101</v>
      </c>
      <c r="V2948" s="195" t="s">
        <v>5990</v>
      </c>
      <c r="W2948" s="2086" t="s">
        <v>9128</v>
      </c>
      <c r="X2948" s="18"/>
      <c r="Y2948" s="4"/>
      <c r="Z2948" s="4"/>
    </row>
    <row r="2949" spans="1:26" ht="14.1" hidden="1">
      <c r="A2949" s="20">
        <v>2956</v>
      </c>
      <c r="B2949" s="1063">
        <v>42726</v>
      </c>
      <c r="C2949" s="947" t="s">
        <v>9129</v>
      </c>
      <c r="D2949" s="11"/>
      <c r="E2949" s="195" t="s">
        <v>5448</v>
      </c>
      <c r="F2949" s="947" t="s">
        <v>73</v>
      </c>
      <c r="G2949" s="195" t="s">
        <v>9118</v>
      </c>
      <c r="H2949" s="195" t="s">
        <v>382</v>
      </c>
      <c r="I2949" s="195" t="s">
        <v>366</v>
      </c>
      <c r="J2949" s="195" t="s">
        <v>9130</v>
      </c>
      <c r="K2949" s="195" t="s">
        <v>9130</v>
      </c>
      <c r="L2949" s="195">
        <v>5</v>
      </c>
      <c r="M2949" s="195">
        <v>8</v>
      </c>
      <c r="N2949" s="195">
        <v>1</v>
      </c>
      <c r="O2949" s="195">
        <v>10</v>
      </c>
      <c r="P2949" s="195">
        <v>4</v>
      </c>
      <c r="Q2949" s="195">
        <v>6</v>
      </c>
      <c r="R2949" s="1248">
        <v>304</v>
      </c>
      <c r="S2949" s="1248">
        <v>608</v>
      </c>
      <c r="T2949" s="195" t="s">
        <v>5448</v>
      </c>
      <c r="U2949" s="1895" t="s">
        <v>9101</v>
      </c>
      <c r="V2949" s="195" t="s">
        <v>5990</v>
      </c>
      <c r="W2949" s="2086" t="s">
        <v>9131</v>
      </c>
      <c r="X2949" s="18"/>
      <c r="Y2949" s="4"/>
      <c r="Z2949" s="4"/>
    </row>
    <row r="2950" spans="1:26" ht="18" hidden="1">
      <c r="A2950" s="20">
        <v>2957</v>
      </c>
      <c r="B2950" s="1063">
        <v>42727</v>
      </c>
      <c r="C2950" s="947" t="s">
        <v>9141</v>
      </c>
      <c r="D2950" s="11"/>
      <c r="E2950" s="195" t="s">
        <v>5448</v>
      </c>
      <c r="F2950" s="947" t="s">
        <v>73</v>
      </c>
      <c r="G2950" s="195" t="s">
        <v>9126</v>
      </c>
      <c r="H2950" s="195" t="s">
        <v>382</v>
      </c>
      <c r="I2950" s="195" t="s">
        <v>366</v>
      </c>
      <c r="J2950" s="195" t="s">
        <v>9142</v>
      </c>
      <c r="K2950" s="195" t="s">
        <v>9142</v>
      </c>
      <c r="L2950" s="195">
        <v>1</v>
      </c>
      <c r="M2950" s="195">
        <v>4</v>
      </c>
      <c r="N2950" s="195">
        <v>1</v>
      </c>
      <c r="O2950" s="195">
        <v>4</v>
      </c>
      <c r="P2950" s="195">
        <v>4</v>
      </c>
      <c r="Q2950" s="195">
        <v>4</v>
      </c>
      <c r="R2950" s="1248">
        <v>74</v>
      </c>
      <c r="S2950" s="1248">
        <v>296</v>
      </c>
      <c r="T2950" s="195" t="s">
        <v>5448</v>
      </c>
      <c r="U2950" s="1895" t="s">
        <v>9101</v>
      </c>
      <c r="V2950" s="195" t="s">
        <v>5990</v>
      </c>
      <c r="W2950" s="2067" t="s">
        <v>9143</v>
      </c>
      <c r="X2950" s="18"/>
      <c r="Y2950" s="4"/>
      <c r="Z2950" s="4"/>
    </row>
    <row r="2951" spans="1:26" ht="18" hidden="1">
      <c r="A2951" s="20">
        <v>2958</v>
      </c>
      <c r="B2951" s="1063">
        <v>42728</v>
      </c>
      <c r="C2951" s="947" t="s">
        <v>2619</v>
      </c>
      <c r="D2951" s="11"/>
      <c r="E2951" s="195" t="s">
        <v>5448</v>
      </c>
      <c r="F2951" s="947" t="s">
        <v>73</v>
      </c>
      <c r="G2951" s="195" t="s">
        <v>9144</v>
      </c>
      <c r="H2951" s="195" t="s">
        <v>382</v>
      </c>
      <c r="I2951" s="195" t="s">
        <v>366</v>
      </c>
      <c r="J2951" s="195" t="s">
        <v>9145</v>
      </c>
      <c r="K2951" s="195" t="s">
        <v>9145</v>
      </c>
      <c r="L2951" s="195">
        <v>1</v>
      </c>
      <c r="M2951" s="195">
        <v>24</v>
      </c>
      <c r="N2951" s="195">
        <v>1</v>
      </c>
      <c r="O2951" s="195">
        <v>28</v>
      </c>
      <c r="P2951" s="195">
        <v>0</v>
      </c>
      <c r="Q2951" s="195">
        <v>4</v>
      </c>
      <c r="R2951" s="1248">
        <v>32</v>
      </c>
      <c r="S2951" s="1248">
        <v>896</v>
      </c>
      <c r="T2951" s="195" t="s">
        <v>5448</v>
      </c>
      <c r="U2951" s="1895" t="s">
        <v>9101</v>
      </c>
      <c r="V2951" s="195" t="s">
        <v>5990</v>
      </c>
      <c r="W2951" s="2067" t="s">
        <v>9146</v>
      </c>
      <c r="X2951" s="18"/>
      <c r="Y2951" s="4"/>
      <c r="Z2951" s="4"/>
    </row>
    <row r="2952" spans="1:26" ht="18" hidden="1">
      <c r="A2952" s="335">
        <v>2959</v>
      </c>
      <c r="B2952" s="1063">
        <v>42729</v>
      </c>
      <c r="C2952" s="968" t="s">
        <v>2619</v>
      </c>
      <c r="D2952" s="337"/>
      <c r="E2952" s="336" t="s">
        <v>5448</v>
      </c>
      <c r="F2952" s="968" t="s">
        <v>73</v>
      </c>
      <c r="G2952" s="336" t="s">
        <v>9147</v>
      </c>
      <c r="H2952" s="336" t="s">
        <v>382</v>
      </c>
      <c r="I2952" s="336" t="s">
        <v>366</v>
      </c>
      <c r="J2952" s="336" t="s">
        <v>1148</v>
      </c>
      <c r="K2952" s="336" t="s">
        <v>1148</v>
      </c>
      <c r="L2952" s="336">
        <v>1</v>
      </c>
      <c r="M2952" s="336">
        <v>30</v>
      </c>
      <c r="N2952" s="336">
        <v>1</v>
      </c>
      <c r="O2952" s="336">
        <v>28</v>
      </c>
      <c r="P2952" s="336">
        <v>6</v>
      </c>
      <c r="Q2952" s="336">
        <v>4</v>
      </c>
      <c r="R2952" s="1300">
        <v>19</v>
      </c>
      <c r="S2952" s="1300">
        <v>532</v>
      </c>
      <c r="T2952" s="336" t="s">
        <v>5448</v>
      </c>
      <c r="U2952" s="1925" t="s">
        <v>9101</v>
      </c>
      <c r="V2952" s="336" t="s">
        <v>5990</v>
      </c>
      <c r="W2952" s="2103" t="s">
        <v>9148</v>
      </c>
      <c r="X2952" s="338"/>
      <c r="Y2952" s="339"/>
      <c r="Z2952" s="339"/>
    </row>
    <row r="2953" spans="1:26" ht="18" hidden="1">
      <c r="A2953" s="20">
        <v>2960</v>
      </c>
      <c r="B2953" s="1063">
        <v>42730</v>
      </c>
      <c r="C2953" s="947" t="s">
        <v>2619</v>
      </c>
      <c r="D2953" s="11"/>
      <c r="E2953" s="195" t="s">
        <v>5448</v>
      </c>
      <c r="F2953" s="947" t="s">
        <v>73</v>
      </c>
      <c r="G2953" s="195" t="s">
        <v>10645</v>
      </c>
      <c r="H2953" s="195" t="s">
        <v>468</v>
      </c>
      <c r="I2953" s="195" t="s">
        <v>366</v>
      </c>
      <c r="J2953" s="195" t="s">
        <v>10646</v>
      </c>
      <c r="K2953" s="195" t="s">
        <v>10646</v>
      </c>
      <c r="L2953" s="195">
        <v>50</v>
      </c>
      <c r="M2953" s="195">
        <v>22</v>
      </c>
      <c r="N2953" s="195">
        <v>1</v>
      </c>
      <c r="O2953" s="195">
        <v>50</v>
      </c>
      <c r="P2953" s="195">
        <v>0</v>
      </c>
      <c r="Q2953" s="195">
        <v>28</v>
      </c>
      <c r="R2953" s="1248">
        <v>16</v>
      </c>
      <c r="S2953" s="1248">
        <v>800</v>
      </c>
      <c r="T2953" s="195" t="s">
        <v>5448</v>
      </c>
      <c r="U2953" s="1895" t="s">
        <v>9101</v>
      </c>
      <c r="V2953" s="195" t="s">
        <v>5990</v>
      </c>
      <c r="W2953" s="2067" t="s">
        <v>10647</v>
      </c>
      <c r="X2953" s="18"/>
      <c r="Y2953" s="4"/>
      <c r="Z2953" s="4"/>
    </row>
    <row r="2954" spans="1:26" ht="18" hidden="1">
      <c r="A2954" s="20">
        <v>2961</v>
      </c>
      <c r="B2954" s="1063">
        <v>42731</v>
      </c>
      <c r="C2954" s="947" t="s">
        <v>9110</v>
      </c>
      <c r="D2954" s="11"/>
      <c r="E2954" s="195" t="s">
        <v>5448</v>
      </c>
      <c r="F2954" s="947" t="s">
        <v>73</v>
      </c>
      <c r="G2954" s="195" t="s">
        <v>9106</v>
      </c>
      <c r="H2954" s="195" t="s">
        <v>366</v>
      </c>
      <c r="I2954" s="195" t="s">
        <v>366</v>
      </c>
      <c r="J2954" s="195" t="s">
        <v>367</v>
      </c>
      <c r="K2954" s="195" t="s">
        <v>367</v>
      </c>
      <c r="L2954" s="195">
        <v>1</v>
      </c>
      <c r="M2954" s="195">
        <v>12</v>
      </c>
      <c r="N2954" s="195">
        <v>1</v>
      </c>
      <c r="O2954" s="195">
        <v>14</v>
      </c>
      <c r="P2954" s="195">
        <v>2</v>
      </c>
      <c r="Q2954" s="195">
        <v>4</v>
      </c>
      <c r="R2954" s="1248">
        <v>230</v>
      </c>
      <c r="S2954" s="1248">
        <v>3220</v>
      </c>
      <c r="T2954" s="195" t="s">
        <v>5448</v>
      </c>
      <c r="U2954" s="1895" t="s">
        <v>9101</v>
      </c>
      <c r="V2954" s="195" t="s">
        <v>5990</v>
      </c>
      <c r="W2954" s="2067" t="s">
        <v>9149</v>
      </c>
      <c r="X2954" s="18"/>
      <c r="Y2954" s="4"/>
      <c r="Z2954" s="4"/>
    </row>
    <row r="2955" spans="1:26" ht="18" hidden="1">
      <c r="A2955" s="20">
        <v>2962</v>
      </c>
      <c r="B2955" s="1063">
        <v>42732</v>
      </c>
      <c r="C2955" s="947" t="s">
        <v>9110</v>
      </c>
      <c r="D2955" s="11"/>
      <c r="E2955" s="195" t="s">
        <v>5448</v>
      </c>
      <c r="F2955" s="947" t="s">
        <v>73</v>
      </c>
      <c r="G2955" s="195" t="s">
        <v>9109</v>
      </c>
      <c r="H2955" s="195" t="s">
        <v>366</v>
      </c>
      <c r="I2955" s="195" t="s">
        <v>366</v>
      </c>
      <c r="J2955" s="195" t="s">
        <v>370</v>
      </c>
      <c r="K2955" s="195" t="s">
        <v>370</v>
      </c>
      <c r="L2955" s="195">
        <v>1</v>
      </c>
      <c r="M2955" s="195">
        <v>12</v>
      </c>
      <c r="N2955" s="195">
        <v>1</v>
      </c>
      <c r="O2955" s="195">
        <v>12</v>
      </c>
      <c r="P2955" s="195">
        <v>4</v>
      </c>
      <c r="Q2955" s="195">
        <v>4</v>
      </c>
      <c r="R2955" s="1248">
        <v>230</v>
      </c>
      <c r="S2955" s="1248">
        <v>2760</v>
      </c>
      <c r="T2955" s="195" t="s">
        <v>5448</v>
      </c>
      <c r="U2955" s="1895" t="s">
        <v>9101</v>
      </c>
      <c r="V2955" s="195" t="s">
        <v>5990</v>
      </c>
      <c r="W2955" s="2067" t="s">
        <v>2615</v>
      </c>
      <c r="X2955" s="18"/>
      <c r="Y2955" s="4"/>
      <c r="Z2955" s="4"/>
    </row>
    <row r="2956" spans="1:26" ht="18" hidden="1">
      <c r="A2956" s="20">
        <v>2963</v>
      </c>
      <c r="B2956" s="1063">
        <v>42733</v>
      </c>
      <c r="C2956" s="947" t="s">
        <v>9110</v>
      </c>
      <c r="D2956" s="11"/>
      <c r="E2956" s="195" t="s">
        <v>5448</v>
      </c>
      <c r="F2956" s="947" t="s">
        <v>73</v>
      </c>
      <c r="G2956" s="195" t="s">
        <v>9150</v>
      </c>
      <c r="H2956" s="195" t="s">
        <v>366</v>
      </c>
      <c r="I2956" s="195" t="s">
        <v>366</v>
      </c>
      <c r="J2956" s="195" t="s">
        <v>9151</v>
      </c>
      <c r="K2956" s="195" t="s">
        <v>9151</v>
      </c>
      <c r="L2956" s="195">
        <v>1</v>
      </c>
      <c r="M2956" s="195">
        <v>2</v>
      </c>
      <c r="N2956" s="195">
        <v>1</v>
      </c>
      <c r="O2956" s="195">
        <v>2</v>
      </c>
      <c r="P2956" s="195">
        <v>4</v>
      </c>
      <c r="Q2956" s="195">
        <v>4</v>
      </c>
      <c r="R2956" s="1248">
        <v>260</v>
      </c>
      <c r="S2956" s="1248">
        <v>520</v>
      </c>
      <c r="T2956" s="195" t="s">
        <v>5448</v>
      </c>
      <c r="U2956" s="1895" t="s">
        <v>9101</v>
      </c>
      <c r="V2956" s="195" t="s">
        <v>5990</v>
      </c>
      <c r="W2956" s="2067" t="s">
        <v>9152</v>
      </c>
      <c r="X2956" s="18"/>
      <c r="Y2956" s="4"/>
      <c r="Z2956" s="4"/>
    </row>
    <row r="2957" spans="1:26" ht="18" hidden="1">
      <c r="A2957" s="20">
        <v>2964</v>
      </c>
      <c r="B2957" s="1063">
        <v>42734</v>
      </c>
      <c r="C2957" s="947" t="s">
        <v>9110</v>
      </c>
      <c r="D2957" s="11"/>
      <c r="E2957" s="195" t="s">
        <v>5448</v>
      </c>
      <c r="F2957" s="947" t="s">
        <v>73</v>
      </c>
      <c r="G2957" s="195" t="s">
        <v>9153</v>
      </c>
      <c r="H2957" s="195" t="s">
        <v>366</v>
      </c>
      <c r="I2957" s="195" t="s">
        <v>366</v>
      </c>
      <c r="J2957" s="195" t="s">
        <v>9154</v>
      </c>
      <c r="K2957" s="195" t="s">
        <v>9154</v>
      </c>
      <c r="L2957" s="195">
        <v>1</v>
      </c>
      <c r="M2957" s="195">
        <v>4</v>
      </c>
      <c r="N2957" s="195">
        <v>1</v>
      </c>
      <c r="O2957" s="195">
        <v>4</v>
      </c>
      <c r="P2957" s="195">
        <v>4</v>
      </c>
      <c r="Q2957" s="195">
        <v>4</v>
      </c>
      <c r="R2957" s="1248">
        <v>300</v>
      </c>
      <c r="S2957" s="1248">
        <v>1200</v>
      </c>
      <c r="T2957" s="195" t="s">
        <v>5448</v>
      </c>
      <c r="U2957" s="1895" t="s">
        <v>9101</v>
      </c>
      <c r="V2957" s="195" t="s">
        <v>5990</v>
      </c>
      <c r="W2957" s="2067" t="s">
        <v>9155</v>
      </c>
      <c r="X2957" s="18"/>
      <c r="Y2957" s="4"/>
      <c r="Z2957" s="4"/>
    </row>
    <row r="2958" spans="1:26" ht="18" hidden="1">
      <c r="A2958" s="20">
        <v>2965</v>
      </c>
      <c r="B2958" s="1063">
        <v>42735</v>
      </c>
      <c r="C2958" s="947" t="s">
        <v>9110</v>
      </c>
      <c r="D2958" s="11"/>
      <c r="E2958" s="195" t="s">
        <v>5448</v>
      </c>
      <c r="F2958" s="947" t="s">
        <v>73</v>
      </c>
      <c r="G2958" s="195" t="s">
        <v>9118</v>
      </c>
      <c r="H2958" s="195" t="s">
        <v>366</v>
      </c>
      <c r="I2958" s="195" t="s">
        <v>366</v>
      </c>
      <c r="J2958" s="195" t="s">
        <v>9156</v>
      </c>
      <c r="K2958" s="195" t="s">
        <v>9156</v>
      </c>
      <c r="L2958" s="195">
        <v>1</v>
      </c>
      <c r="M2958" s="195">
        <v>6</v>
      </c>
      <c r="N2958" s="195">
        <v>1</v>
      </c>
      <c r="O2958" s="195">
        <v>8</v>
      </c>
      <c r="P2958" s="195">
        <v>2</v>
      </c>
      <c r="Q2958" s="195">
        <v>4</v>
      </c>
      <c r="R2958" s="1248">
        <v>300</v>
      </c>
      <c r="S2958" s="1248">
        <v>2400</v>
      </c>
      <c r="T2958" s="195" t="s">
        <v>5448</v>
      </c>
      <c r="U2958" s="1895" t="s">
        <v>9101</v>
      </c>
      <c r="V2958" s="195" t="s">
        <v>5990</v>
      </c>
      <c r="W2958" s="2067" t="s">
        <v>9157</v>
      </c>
      <c r="X2958" s="18"/>
      <c r="Y2958" s="4"/>
      <c r="Z2958" s="4"/>
    </row>
    <row r="2959" spans="1:26" ht="18" hidden="1">
      <c r="A2959" s="20">
        <v>2966</v>
      </c>
      <c r="B2959" s="1063">
        <v>42736</v>
      </c>
      <c r="C2959" s="947" t="s">
        <v>9110</v>
      </c>
      <c r="D2959" s="11"/>
      <c r="E2959" s="195" t="s">
        <v>5448</v>
      </c>
      <c r="F2959" s="947" t="s">
        <v>73</v>
      </c>
      <c r="G2959" s="195" t="s">
        <v>9121</v>
      </c>
      <c r="H2959" s="195" t="s">
        <v>366</v>
      </c>
      <c r="I2959" s="195" t="s">
        <v>366</v>
      </c>
      <c r="J2959" s="195" t="s">
        <v>9158</v>
      </c>
      <c r="K2959" s="195" t="s">
        <v>9158</v>
      </c>
      <c r="L2959" s="195">
        <v>1</v>
      </c>
      <c r="M2959" s="195">
        <v>6</v>
      </c>
      <c r="N2959" s="195">
        <v>1</v>
      </c>
      <c r="O2959" s="195">
        <v>10</v>
      </c>
      <c r="P2959" s="195">
        <v>0</v>
      </c>
      <c r="Q2959" s="195">
        <v>4</v>
      </c>
      <c r="R2959" s="1248">
        <v>270</v>
      </c>
      <c r="S2959" s="1248">
        <v>2700</v>
      </c>
      <c r="T2959" s="195" t="s">
        <v>5448</v>
      </c>
      <c r="U2959" s="1895" t="s">
        <v>9101</v>
      </c>
      <c r="V2959" s="195" t="s">
        <v>5990</v>
      </c>
      <c r="W2959" s="2067" t="s">
        <v>9159</v>
      </c>
      <c r="X2959" s="18"/>
      <c r="Y2959" s="4"/>
      <c r="Z2959" s="4"/>
    </row>
    <row r="2960" spans="1:26" ht="18" hidden="1">
      <c r="A2960" s="20">
        <v>2967</v>
      </c>
      <c r="B2960" s="1063">
        <v>42737</v>
      </c>
      <c r="C2960" s="947" t="s">
        <v>9110</v>
      </c>
      <c r="D2960" s="11"/>
      <c r="E2960" s="195" t="s">
        <v>5448</v>
      </c>
      <c r="F2960" s="947" t="s">
        <v>73</v>
      </c>
      <c r="G2960" s="195" t="s">
        <v>9126</v>
      </c>
      <c r="H2960" s="195" t="s">
        <v>366</v>
      </c>
      <c r="I2960" s="195" t="s">
        <v>366</v>
      </c>
      <c r="J2960" s="195" t="s">
        <v>372</v>
      </c>
      <c r="K2960" s="195" t="s">
        <v>372</v>
      </c>
      <c r="L2960" s="195">
        <v>1</v>
      </c>
      <c r="M2960" s="195">
        <v>8</v>
      </c>
      <c r="N2960" s="195">
        <v>1</v>
      </c>
      <c r="O2960" s="195">
        <v>8</v>
      </c>
      <c r="P2960" s="195">
        <v>4</v>
      </c>
      <c r="Q2960" s="195">
        <v>4</v>
      </c>
      <c r="R2960" s="1248">
        <v>300</v>
      </c>
      <c r="S2960" s="1248">
        <v>2400</v>
      </c>
      <c r="T2960" s="195" t="s">
        <v>5448</v>
      </c>
      <c r="U2960" s="1895" t="s">
        <v>9101</v>
      </c>
      <c r="V2960" s="195" t="s">
        <v>5990</v>
      </c>
      <c r="W2960" s="2067" t="s">
        <v>2614</v>
      </c>
      <c r="X2960" s="18"/>
      <c r="Y2960" s="4"/>
      <c r="Z2960" s="4"/>
    </row>
    <row r="2961" spans="1:26" ht="18" hidden="1">
      <c r="A2961" s="20">
        <v>2968</v>
      </c>
      <c r="B2961" s="1063">
        <v>42738</v>
      </c>
      <c r="C2961" s="947" t="s">
        <v>9129</v>
      </c>
      <c r="D2961" s="11"/>
      <c r="E2961" s="195" t="s">
        <v>5448</v>
      </c>
      <c r="F2961" s="947" t="s">
        <v>73</v>
      </c>
      <c r="G2961" s="195" t="s">
        <v>9160</v>
      </c>
      <c r="H2961" s="195" t="s">
        <v>366</v>
      </c>
      <c r="I2961" s="195" t="s">
        <v>366</v>
      </c>
      <c r="J2961" s="195" t="s">
        <v>9161</v>
      </c>
      <c r="K2961" s="195" t="s">
        <v>9161</v>
      </c>
      <c r="L2961" s="195">
        <v>1</v>
      </c>
      <c r="M2961" s="195">
        <v>6</v>
      </c>
      <c r="N2961" s="195">
        <v>1</v>
      </c>
      <c r="O2961" s="195">
        <v>6</v>
      </c>
      <c r="P2961" s="195">
        <v>4</v>
      </c>
      <c r="Q2961" s="195">
        <v>4</v>
      </c>
      <c r="R2961" s="1248">
        <v>41</v>
      </c>
      <c r="S2961" s="1248">
        <v>246</v>
      </c>
      <c r="T2961" s="195" t="s">
        <v>5448</v>
      </c>
      <c r="U2961" s="1895" t="s">
        <v>9101</v>
      </c>
      <c r="V2961" s="195" t="s">
        <v>5990</v>
      </c>
      <c r="W2961" s="2067" t="s">
        <v>9162</v>
      </c>
      <c r="X2961" s="18"/>
      <c r="Y2961" s="4"/>
      <c r="Z2961" s="4"/>
    </row>
    <row r="2962" spans="1:26" ht="18" hidden="1">
      <c r="A2962" s="20">
        <v>2969</v>
      </c>
      <c r="B2962" s="1063">
        <v>42739</v>
      </c>
      <c r="C2962" s="947" t="s">
        <v>9129</v>
      </c>
      <c r="D2962" s="11"/>
      <c r="E2962" s="195" t="s">
        <v>5448</v>
      </c>
      <c r="F2962" s="947" t="s">
        <v>73</v>
      </c>
      <c r="G2962" s="195" t="s">
        <v>9114</v>
      </c>
      <c r="H2962" s="195" t="s">
        <v>366</v>
      </c>
      <c r="I2962" s="195" t="s">
        <v>366</v>
      </c>
      <c r="J2962" s="195" t="s">
        <v>9163</v>
      </c>
      <c r="K2962" s="195" t="s">
        <v>9163</v>
      </c>
      <c r="L2962" s="195">
        <v>1</v>
      </c>
      <c r="M2962" s="195">
        <v>4</v>
      </c>
      <c r="N2962" s="195">
        <v>1</v>
      </c>
      <c r="O2962" s="195">
        <v>4</v>
      </c>
      <c r="P2962" s="195">
        <v>4</v>
      </c>
      <c r="Q2962" s="195">
        <v>4</v>
      </c>
      <c r="R2962" s="1248">
        <v>367</v>
      </c>
      <c r="S2962" s="1248">
        <v>1468</v>
      </c>
      <c r="T2962" s="195" t="s">
        <v>5448</v>
      </c>
      <c r="U2962" s="1895" t="s">
        <v>9101</v>
      </c>
      <c r="V2962" s="195" t="s">
        <v>5990</v>
      </c>
      <c r="W2962" s="2067" t="s">
        <v>9164</v>
      </c>
      <c r="X2962" s="18"/>
      <c r="Y2962" s="4"/>
      <c r="Z2962" s="4"/>
    </row>
    <row r="2963" spans="1:26" ht="18" hidden="1">
      <c r="A2963" s="20">
        <v>2970</v>
      </c>
      <c r="B2963" s="1063">
        <v>42740</v>
      </c>
      <c r="C2963" s="947" t="s">
        <v>9129</v>
      </c>
      <c r="D2963" s="11"/>
      <c r="E2963" s="195" t="s">
        <v>5448</v>
      </c>
      <c r="F2963" s="947" t="s">
        <v>73</v>
      </c>
      <c r="G2963" s="195" t="s">
        <v>9167</v>
      </c>
      <c r="H2963" s="195" t="s">
        <v>366</v>
      </c>
      <c r="I2963" s="195" t="s">
        <v>366</v>
      </c>
      <c r="J2963" s="195" t="s">
        <v>9168</v>
      </c>
      <c r="K2963" s="195" t="s">
        <v>9168</v>
      </c>
      <c r="L2963" s="195">
        <v>1</v>
      </c>
      <c r="M2963" s="195">
        <v>2</v>
      </c>
      <c r="N2963" s="195">
        <v>1</v>
      </c>
      <c r="O2963" s="195">
        <v>2</v>
      </c>
      <c r="P2963" s="195">
        <v>4</v>
      </c>
      <c r="Q2963" s="195">
        <v>4</v>
      </c>
      <c r="R2963" s="1248">
        <v>212</v>
      </c>
      <c r="S2963" s="1248">
        <v>424</v>
      </c>
      <c r="T2963" s="195" t="s">
        <v>5448</v>
      </c>
      <c r="U2963" s="1895" t="s">
        <v>9101</v>
      </c>
      <c r="V2963" s="195" t="s">
        <v>5990</v>
      </c>
      <c r="W2963" s="2067" t="s">
        <v>9169</v>
      </c>
      <c r="X2963" s="18"/>
      <c r="Y2963" s="4"/>
      <c r="Z2963" s="4"/>
    </row>
    <row r="2964" spans="1:26" ht="18" hidden="1">
      <c r="A2964" s="20">
        <v>2971</v>
      </c>
      <c r="B2964" s="1063">
        <v>42741</v>
      </c>
      <c r="C2964" s="947" t="s">
        <v>2621</v>
      </c>
      <c r="D2964" s="11"/>
      <c r="E2964" s="195" t="s">
        <v>5448</v>
      </c>
      <c r="F2964" s="947" t="s">
        <v>73</v>
      </c>
      <c r="G2964" s="276" t="s">
        <v>9174</v>
      </c>
      <c r="H2964" s="195" t="s">
        <v>366</v>
      </c>
      <c r="I2964" s="195" t="s">
        <v>366</v>
      </c>
      <c r="J2964" s="195" t="s">
        <v>9175</v>
      </c>
      <c r="K2964" s="195" t="s">
        <v>9175</v>
      </c>
      <c r="L2964" s="195">
        <v>1</v>
      </c>
      <c r="M2964" s="195">
        <v>4</v>
      </c>
      <c r="N2964" s="195">
        <v>1</v>
      </c>
      <c r="O2964" s="195">
        <v>4</v>
      </c>
      <c r="P2964" s="195">
        <v>4</v>
      </c>
      <c r="Q2964" s="195">
        <v>4</v>
      </c>
      <c r="R2964" s="1248">
        <v>300</v>
      </c>
      <c r="S2964" s="1248">
        <v>1200</v>
      </c>
      <c r="T2964" s="195" t="s">
        <v>5448</v>
      </c>
      <c r="U2964" s="1895" t="s">
        <v>9101</v>
      </c>
      <c r="V2964" s="195" t="s">
        <v>5990</v>
      </c>
      <c r="W2964" s="2067" t="s">
        <v>9176</v>
      </c>
      <c r="X2964" s="18"/>
      <c r="Y2964" s="4"/>
      <c r="Z2964" s="4"/>
    </row>
    <row r="2965" spans="1:26" ht="18" hidden="1">
      <c r="A2965" s="20">
        <v>2972</v>
      </c>
      <c r="B2965" s="1063">
        <v>42742</v>
      </c>
      <c r="C2965" s="947" t="s">
        <v>9177</v>
      </c>
      <c r="D2965" s="11"/>
      <c r="E2965" s="195" t="s">
        <v>5448</v>
      </c>
      <c r="F2965" s="947" t="s">
        <v>73</v>
      </c>
      <c r="G2965" s="195" t="s">
        <v>9178</v>
      </c>
      <c r="H2965" s="195" t="s">
        <v>366</v>
      </c>
      <c r="I2965" s="195" t="s">
        <v>366</v>
      </c>
      <c r="J2965" s="195" t="s">
        <v>9179</v>
      </c>
      <c r="K2965" s="195" t="s">
        <v>9179</v>
      </c>
      <c r="L2965" s="195">
        <v>1</v>
      </c>
      <c r="M2965" s="195">
        <v>4</v>
      </c>
      <c r="N2965" s="195">
        <v>1</v>
      </c>
      <c r="O2965" s="195">
        <v>4</v>
      </c>
      <c r="P2965" s="195">
        <v>4</v>
      </c>
      <c r="Q2965" s="195">
        <v>4</v>
      </c>
      <c r="R2965" s="1248">
        <v>470</v>
      </c>
      <c r="S2965" s="1248">
        <v>1880</v>
      </c>
      <c r="T2965" s="195" t="s">
        <v>5448</v>
      </c>
      <c r="U2965" s="1895" t="s">
        <v>9101</v>
      </c>
      <c r="V2965" s="195" t="s">
        <v>5990</v>
      </c>
      <c r="W2965" s="2067" t="s">
        <v>9180</v>
      </c>
      <c r="X2965" s="18"/>
      <c r="Y2965" s="4"/>
      <c r="Z2965" s="4"/>
    </row>
    <row r="2966" spans="1:26" ht="18" hidden="1">
      <c r="A2966" s="20">
        <v>2973</v>
      </c>
      <c r="B2966" s="1063">
        <v>42743</v>
      </c>
      <c r="C2966" s="947" t="s">
        <v>9177</v>
      </c>
      <c r="D2966" s="11"/>
      <c r="E2966" s="195" t="s">
        <v>5448</v>
      </c>
      <c r="F2966" s="947" t="s">
        <v>73</v>
      </c>
      <c r="G2966" s="195" t="s">
        <v>9181</v>
      </c>
      <c r="H2966" s="195" t="s">
        <v>9182</v>
      </c>
      <c r="I2966" s="195" t="s">
        <v>366</v>
      </c>
      <c r="J2966" s="195" t="s">
        <v>9183</v>
      </c>
      <c r="K2966" s="195" t="s">
        <v>9183</v>
      </c>
      <c r="L2966" s="195">
        <v>10</v>
      </c>
      <c r="M2966" s="195">
        <v>4</v>
      </c>
      <c r="N2966" s="195">
        <v>0</v>
      </c>
      <c r="O2966" s="195">
        <v>10</v>
      </c>
      <c r="P2966" s="195">
        <v>0</v>
      </c>
      <c r="Q2966" s="195">
        <v>6</v>
      </c>
      <c r="R2966" s="1248">
        <v>428</v>
      </c>
      <c r="S2966" s="1248">
        <v>4280</v>
      </c>
      <c r="T2966" s="195" t="s">
        <v>5448</v>
      </c>
      <c r="U2966" s="1895" t="s">
        <v>9101</v>
      </c>
      <c r="V2966" s="195" t="s">
        <v>5990</v>
      </c>
      <c r="W2966" s="2067" t="s">
        <v>9184</v>
      </c>
      <c r="X2966" s="18"/>
      <c r="Y2966" s="4"/>
      <c r="Z2966" s="4"/>
    </row>
    <row r="2967" spans="1:26" ht="14.1" hidden="1">
      <c r="A2967" s="20">
        <v>2974</v>
      </c>
      <c r="B2967" s="1063">
        <v>42744</v>
      </c>
      <c r="C2967" s="947" t="s">
        <v>4133</v>
      </c>
      <c r="D2967" s="11"/>
      <c r="E2967" s="195" t="s">
        <v>5448</v>
      </c>
      <c r="F2967" s="947" t="s">
        <v>73</v>
      </c>
      <c r="G2967" s="195" t="s">
        <v>9185</v>
      </c>
      <c r="H2967" s="195" t="s">
        <v>9182</v>
      </c>
      <c r="I2967" s="195" t="s">
        <v>366</v>
      </c>
      <c r="J2967" s="195" t="s">
        <v>9186</v>
      </c>
      <c r="K2967" s="195" t="s">
        <v>9186</v>
      </c>
      <c r="L2967" s="195">
        <v>50</v>
      </c>
      <c r="M2967" s="195">
        <v>24</v>
      </c>
      <c r="N2967" s="195">
        <v>50</v>
      </c>
      <c r="O2967" s="195">
        <v>50</v>
      </c>
      <c r="P2967" s="195">
        <v>16</v>
      </c>
      <c r="Q2967" s="195">
        <v>42</v>
      </c>
      <c r="R2967" s="1248">
        <v>7</v>
      </c>
      <c r="S2967" s="1248">
        <v>350</v>
      </c>
      <c r="T2967" s="195" t="s">
        <v>5448</v>
      </c>
      <c r="U2967" s="1895" t="s">
        <v>9101</v>
      </c>
      <c r="V2967" s="195" t="s">
        <v>5990</v>
      </c>
      <c r="W2967" s="2086" t="s">
        <v>9187</v>
      </c>
      <c r="X2967" s="18"/>
      <c r="Y2967" s="4"/>
      <c r="Z2967" s="4"/>
    </row>
    <row r="2968" spans="1:26" ht="18" hidden="1">
      <c r="A2968" s="20">
        <v>2975</v>
      </c>
      <c r="B2968" s="1063">
        <v>42745</v>
      </c>
      <c r="C2968" s="947" t="s">
        <v>2621</v>
      </c>
      <c r="D2968" s="11"/>
      <c r="E2968" s="195" t="s">
        <v>5448</v>
      </c>
      <c r="F2968" s="947" t="s">
        <v>73</v>
      </c>
      <c r="G2968" s="276" t="s">
        <v>9195</v>
      </c>
      <c r="H2968" s="195" t="s">
        <v>9182</v>
      </c>
      <c r="I2968" s="195" t="s">
        <v>366</v>
      </c>
      <c r="J2968" s="195" t="s">
        <v>9196</v>
      </c>
      <c r="K2968" s="195" t="s">
        <v>9196</v>
      </c>
      <c r="L2968" s="195">
        <v>1</v>
      </c>
      <c r="M2968" s="195">
        <v>12</v>
      </c>
      <c r="N2968" s="195">
        <v>1</v>
      </c>
      <c r="O2968" s="195">
        <v>6</v>
      </c>
      <c r="P2968" s="195">
        <v>10</v>
      </c>
      <c r="Q2968" s="195">
        <v>4</v>
      </c>
      <c r="R2968" s="1248">
        <v>19</v>
      </c>
      <c r="S2968" s="1248">
        <v>114</v>
      </c>
      <c r="T2968" s="195" t="s">
        <v>5448</v>
      </c>
      <c r="U2968" s="1895" t="s">
        <v>9101</v>
      </c>
      <c r="V2968" s="195" t="s">
        <v>5990</v>
      </c>
      <c r="W2968" s="2067" t="s">
        <v>9197</v>
      </c>
      <c r="X2968" s="18"/>
      <c r="Y2968" s="4"/>
      <c r="Z2968" s="4"/>
    </row>
    <row r="2969" spans="1:26" ht="18" hidden="1">
      <c r="A2969" s="20">
        <v>2976</v>
      </c>
      <c r="B2969" s="1063">
        <v>42746</v>
      </c>
      <c r="C2969" s="947" t="s">
        <v>2621</v>
      </c>
      <c r="D2969" s="11"/>
      <c r="E2969" s="195" t="s">
        <v>5448</v>
      </c>
      <c r="F2969" s="947" t="s">
        <v>73</v>
      </c>
      <c r="G2969" s="276" t="s">
        <v>9198</v>
      </c>
      <c r="H2969" s="195" t="s">
        <v>9182</v>
      </c>
      <c r="I2969" s="195" t="s">
        <v>366</v>
      </c>
      <c r="J2969" s="195" t="s">
        <v>9199</v>
      </c>
      <c r="K2969" s="195" t="s">
        <v>9199</v>
      </c>
      <c r="L2969" s="195">
        <v>1</v>
      </c>
      <c r="M2969" s="195">
        <v>8</v>
      </c>
      <c r="N2969" s="195">
        <v>1</v>
      </c>
      <c r="O2969" s="195">
        <v>8</v>
      </c>
      <c r="P2969" s="195">
        <v>4</v>
      </c>
      <c r="Q2969" s="195">
        <v>4</v>
      </c>
      <c r="R2969" s="1248">
        <v>204</v>
      </c>
      <c r="S2969" s="1248">
        <v>1632</v>
      </c>
      <c r="T2969" s="195" t="s">
        <v>5448</v>
      </c>
      <c r="U2969" s="1895" t="s">
        <v>9101</v>
      </c>
      <c r="V2969" s="195" t="s">
        <v>5990</v>
      </c>
      <c r="W2969" s="2067" t="s">
        <v>9200</v>
      </c>
      <c r="X2969" s="18"/>
      <c r="Y2969" s="4"/>
      <c r="Z2969" s="4"/>
    </row>
    <row r="2970" spans="1:26" ht="18" hidden="1">
      <c r="A2970" s="20">
        <v>2977</v>
      </c>
      <c r="B2970" s="1063">
        <v>42747</v>
      </c>
      <c r="C2970" s="947" t="s">
        <v>2621</v>
      </c>
      <c r="D2970" s="11"/>
      <c r="E2970" s="195" t="s">
        <v>5448</v>
      </c>
      <c r="F2970" s="947" t="s">
        <v>73</v>
      </c>
      <c r="G2970" s="276" t="s">
        <v>9204</v>
      </c>
      <c r="H2970" s="195" t="s">
        <v>9182</v>
      </c>
      <c r="I2970" s="195" t="s">
        <v>366</v>
      </c>
      <c r="J2970" s="195" t="s">
        <v>3987</v>
      </c>
      <c r="K2970" s="195" t="s">
        <v>3987</v>
      </c>
      <c r="L2970" s="195">
        <v>1</v>
      </c>
      <c r="M2970" s="195">
        <v>4</v>
      </c>
      <c r="N2970" s="195">
        <v>1</v>
      </c>
      <c r="O2970" s="195">
        <v>4</v>
      </c>
      <c r="P2970" s="195">
        <v>4</v>
      </c>
      <c r="Q2970" s="195">
        <v>4</v>
      </c>
      <c r="R2970" s="1248">
        <v>15</v>
      </c>
      <c r="S2970" s="1248">
        <v>60</v>
      </c>
      <c r="T2970" s="195" t="s">
        <v>5448</v>
      </c>
      <c r="U2970" s="1895" t="s">
        <v>9101</v>
      </c>
      <c r="V2970" s="195" t="s">
        <v>5990</v>
      </c>
      <c r="W2970" s="2067" t="s">
        <v>9205</v>
      </c>
      <c r="X2970" s="18"/>
      <c r="Y2970" s="4"/>
      <c r="Z2970" s="4"/>
    </row>
    <row r="2971" spans="1:26" ht="18" hidden="1">
      <c r="A2971" s="20">
        <v>2978</v>
      </c>
      <c r="B2971" s="1063">
        <v>42748</v>
      </c>
      <c r="C2971" s="947" t="s">
        <v>2621</v>
      </c>
      <c r="D2971" s="11"/>
      <c r="E2971" s="195" t="s">
        <v>5448</v>
      </c>
      <c r="F2971" s="947" t="s">
        <v>73</v>
      </c>
      <c r="G2971" s="276" t="s">
        <v>9206</v>
      </c>
      <c r="H2971" s="195" t="s">
        <v>9182</v>
      </c>
      <c r="I2971" s="195" t="s">
        <v>366</v>
      </c>
      <c r="J2971" s="195" t="s">
        <v>9207</v>
      </c>
      <c r="K2971" s="195" t="s">
        <v>9207</v>
      </c>
      <c r="L2971" s="195">
        <v>1</v>
      </c>
      <c r="M2971" s="195">
        <v>18</v>
      </c>
      <c r="N2971" s="195">
        <v>1</v>
      </c>
      <c r="O2971" s="195">
        <v>20</v>
      </c>
      <c r="P2971" s="195">
        <v>2</v>
      </c>
      <c r="Q2971" s="195">
        <v>4</v>
      </c>
      <c r="R2971" s="1248">
        <v>19</v>
      </c>
      <c r="S2971" s="1248">
        <v>380</v>
      </c>
      <c r="T2971" s="195" t="s">
        <v>5448</v>
      </c>
      <c r="U2971" s="1895" t="s">
        <v>9101</v>
      </c>
      <c r="V2971" s="195" t="s">
        <v>5990</v>
      </c>
      <c r="W2971" s="2067" t="s">
        <v>9208</v>
      </c>
      <c r="X2971" s="18"/>
      <c r="Y2971" s="4"/>
      <c r="Z2971" s="4"/>
    </row>
    <row r="2972" spans="1:26" ht="18" hidden="1">
      <c r="A2972" s="20">
        <v>2979</v>
      </c>
      <c r="B2972" s="1063">
        <v>42749</v>
      </c>
      <c r="C2972" s="947" t="s">
        <v>2621</v>
      </c>
      <c r="D2972" s="11"/>
      <c r="E2972" s="195" t="s">
        <v>5448</v>
      </c>
      <c r="F2972" s="947" t="s">
        <v>73</v>
      </c>
      <c r="G2972" s="276" t="s">
        <v>9209</v>
      </c>
      <c r="H2972" s="195" t="s">
        <v>9182</v>
      </c>
      <c r="I2972" s="195" t="s">
        <v>366</v>
      </c>
      <c r="J2972" s="195" t="s">
        <v>9210</v>
      </c>
      <c r="K2972" s="195" t="s">
        <v>9210</v>
      </c>
      <c r="L2972" s="195">
        <v>1</v>
      </c>
      <c r="M2972" s="195">
        <v>8</v>
      </c>
      <c r="N2972" s="195">
        <v>1</v>
      </c>
      <c r="O2972" s="195">
        <v>4</v>
      </c>
      <c r="P2972" s="195">
        <v>8</v>
      </c>
      <c r="Q2972" s="195">
        <v>4</v>
      </c>
      <c r="R2972" s="1248">
        <v>233</v>
      </c>
      <c r="S2972" s="1248">
        <v>932</v>
      </c>
      <c r="T2972" s="195" t="s">
        <v>5448</v>
      </c>
      <c r="U2972" s="1895" t="s">
        <v>9101</v>
      </c>
      <c r="V2972" s="195" t="s">
        <v>5990</v>
      </c>
      <c r="W2972" s="2067" t="s">
        <v>9211</v>
      </c>
      <c r="X2972" s="18"/>
      <c r="Y2972" s="4"/>
      <c r="Z2972" s="4"/>
    </row>
    <row r="2973" spans="1:26" ht="18" hidden="1">
      <c r="A2973" s="20">
        <v>2980</v>
      </c>
      <c r="B2973" s="1063">
        <v>42750</v>
      </c>
      <c r="C2973" s="947" t="s">
        <v>2621</v>
      </c>
      <c r="D2973" s="11"/>
      <c r="E2973" s="195" t="s">
        <v>5448</v>
      </c>
      <c r="F2973" s="947" t="s">
        <v>73</v>
      </c>
      <c r="G2973" s="195" t="s">
        <v>9212</v>
      </c>
      <c r="H2973" s="195" t="s">
        <v>9182</v>
      </c>
      <c r="I2973" s="195" t="s">
        <v>366</v>
      </c>
      <c r="J2973" s="195" t="s">
        <v>9213</v>
      </c>
      <c r="K2973" s="195" t="s">
        <v>9213</v>
      </c>
      <c r="L2973" s="195">
        <v>1</v>
      </c>
      <c r="M2973" s="195">
        <v>4</v>
      </c>
      <c r="N2973" s="195">
        <v>1</v>
      </c>
      <c r="O2973" s="195">
        <v>4</v>
      </c>
      <c r="P2973" s="195">
        <v>4</v>
      </c>
      <c r="Q2973" s="195">
        <v>4</v>
      </c>
      <c r="R2973" s="1248">
        <v>174</v>
      </c>
      <c r="S2973" s="1248">
        <v>696</v>
      </c>
      <c r="T2973" s="195" t="s">
        <v>5448</v>
      </c>
      <c r="U2973" s="1895" t="s">
        <v>9101</v>
      </c>
      <c r="V2973" s="195" t="s">
        <v>5990</v>
      </c>
      <c r="W2973" s="2067" t="s">
        <v>9214</v>
      </c>
      <c r="X2973" s="18"/>
      <c r="Y2973" s="4"/>
      <c r="Z2973" s="4"/>
    </row>
    <row r="2974" spans="1:26" ht="14.1" hidden="1">
      <c r="A2974" s="20">
        <v>2981</v>
      </c>
      <c r="B2974" s="1063">
        <v>42751</v>
      </c>
      <c r="C2974" s="958" t="s">
        <v>10648</v>
      </c>
      <c r="D2974" s="11"/>
      <c r="E2974" s="298" t="s">
        <v>572</v>
      </c>
      <c r="F2974" s="985" t="s">
        <v>131</v>
      </c>
      <c r="G2974" s="298" t="s">
        <v>5539</v>
      </c>
      <c r="H2974" s="298" t="s">
        <v>287</v>
      </c>
      <c r="I2974" s="298" t="s">
        <v>287</v>
      </c>
      <c r="J2974" s="298"/>
      <c r="K2974" s="298"/>
      <c r="L2974" s="298"/>
      <c r="M2974" s="298">
        <v>2</v>
      </c>
      <c r="N2974" s="298">
        <v>1</v>
      </c>
      <c r="O2974" s="298">
        <v>3</v>
      </c>
      <c r="P2974" s="298">
        <v>0</v>
      </c>
      <c r="Q2974" s="669">
        <f>(O2974+P2974)-M2974</f>
        <v>1</v>
      </c>
      <c r="R2974" s="1209"/>
      <c r="S2974" s="1209">
        <v>133236</v>
      </c>
      <c r="T2974" s="683" t="s">
        <v>5448</v>
      </c>
      <c r="U2974" s="1909" t="s">
        <v>5939</v>
      </c>
      <c r="V2974" s="572" t="s">
        <v>801</v>
      </c>
      <c r="W2974" s="682" t="s">
        <v>10649</v>
      </c>
      <c r="X2974" s="18"/>
      <c r="Y2974" s="4"/>
      <c r="Z2974" s="4"/>
    </row>
    <row r="2975" spans="1:26" ht="14.1" hidden="1">
      <c r="A2975" s="20">
        <v>2982</v>
      </c>
      <c r="B2975" s="1063">
        <v>42752</v>
      </c>
      <c r="C2975" s="958" t="s">
        <v>10650</v>
      </c>
      <c r="D2975" s="11" t="s">
        <v>6</v>
      </c>
      <c r="E2975" s="298" t="s">
        <v>5448</v>
      </c>
      <c r="F2975" s="985" t="s">
        <v>10651</v>
      </c>
      <c r="G2975" s="298" t="s">
        <v>10652</v>
      </c>
      <c r="H2975" s="298" t="s">
        <v>1022</v>
      </c>
      <c r="I2975" s="298" t="s">
        <v>1022</v>
      </c>
      <c r="J2975" s="298" t="s">
        <v>10653</v>
      </c>
      <c r="K2975" s="298" t="s">
        <v>10654</v>
      </c>
      <c r="L2975" s="298" t="s">
        <v>1</v>
      </c>
      <c r="M2975" s="298">
        <v>1</v>
      </c>
      <c r="N2975" s="298">
        <v>1</v>
      </c>
      <c r="O2975" s="298">
        <v>1</v>
      </c>
      <c r="P2975" s="298">
        <v>0</v>
      </c>
      <c r="Q2975" s="669">
        <v>0</v>
      </c>
      <c r="R2975" s="1209">
        <v>10199</v>
      </c>
      <c r="S2975" s="1209">
        <v>10199</v>
      </c>
      <c r="T2975" s="683" t="s">
        <v>5448</v>
      </c>
      <c r="U2975" s="1909" t="s">
        <v>10655</v>
      </c>
      <c r="V2975" s="572" t="s">
        <v>10656</v>
      </c>
      <c r="W2975" s="682" t="s">
        <v>10657</v>
      </c>
      <c r="X2975" s="18"/>
      <c r="Y2975" s="4"/>
      <c r="Z2975" s="4"/>
    </row>
    <row r="2976" spans="1:26" ht="14.1" hidden="1">
      <c r="A2976" s="20">
        <v>2983</v>
      </c>
      <c r="B2976" s="1063">
        <v>42753</v>
      </c>
      <c r="C2976" s="958" t="s">
        <v>10658</v>
      </c>
      <c r="D2976" s="11" t="s">
        <v>6</v>
      </c>
      <c r="E2976" s="298" t="s">
        <v>5448</v>
      </c>
      <c r="F2976" s="985" t="s">
        <v>10651</v>
      </c>
      <c r="G2976" s="298" t="s">
        <v>10659</v>
      </c>
      <c r="H2976" s="298" t="s">
        <v>429</v>
      </c>
      <c r="I2976" s="298" t="s">
        <v>429</v>
      </c>
      <c r="J2976" s="298" t="s">
        <v>10660</v>
      </c>
      <c r="K2976" s="298" t="s">
        <v>10661</v>
      </c>
      <c r="L2976" s="298" t="s">
        <v>10662</v>
      </c>
      <c r="M2976" s="298">
        <v>6</v>
      </c>
      <c r="N2976" s="298">
        <v>1</v>
      </c>
      <c r="O2976" s="298">
        <v>6</v>
      </c>
      <c r="P2976" s="298">
        <v>0</v>
      </c>
      <c r="Q2976" s="669">
        <v>0</v>
      </c>
      <c r="R2976" s="1209">
        <v>490</v>
      </c>
      <c r="S2976" s="1209">
        <v>2940</v>
      </c>
      <c r="T2976" s="683" t="s">
        <v>5448</v>
      </c>
      <c r="U2976" s="1909" t="s">
        <v>10655</v>
      </c>
      <c r="V2976" s="572" t="s">
        <v>10656</v>
      </c>
      <c r="W2976" s="2332" t="s">
        <v>10663</v>
      </c>
      <c r="X2976" s="2347"/>
      <c r="Y2976" s="340"/>
      <c r="Z2976" s="340"/>
    </row>
    <row r="2977" spans="1:26" ht="14.1" hidden="1">
      <c r="A2977" s="20">
        <v>2984</v>
      </c>
      <c r="B2977" s="1063">
        <v>42754</v>
      </c>
      <c r="C2977" s="958" t="s">
        <v>10664</v>
      </c>
      <c r="D2977" s="11" t="s">
        <v>6</v>
      </c>
      <c r="E2977" s="298" t="s">
        <v>5448</v>
      </c>
      <c r="F2977" s="985" t="s">
        <v>10651</v>
      </c>
      <c r="G2977" s="298" t="s">
        <v>10665</v>
      </c>
      <c r="H2977" s="298" t="s">
        <v>429</v>
      </c>
      <c r="I2977" s="298" t="s">
        <v>429</v>
      </c>
      <c r="J2977" s="298" t="s">
        <v>10660</v>
      </c>
      <c r="K2977" s="298" t="s">
        <v>10666</v>
      </c>
      <c r="L2977" s="298" t="s">
        <v>10662</v>
      </c>
      <c r="M2977" s="298">
        <v>10</v>
      </c>
      <c r="N2977" s="298">
        <v>1</v>
      </c>
      <c r="O2977" s="298">
        <v>10</v>
      </c>
      <c r="P2977" s="298">
        <v>0</v>
      </c>
      <c r="Q2977" s="669">
        <v>0</v>
      </c>
      <c r="R2977" s="1209">
        <v>490</v>
      </c>
      <c r="S2977" s="1209">
        <v>4900</v>
      </c>
      <c r="T2977" s="683" t="s">
        <v>5448</v>
      </c>
      <c r="U2977" s="1909" t="s">
        <v>10655</v>
      </c>
      <c r="V2977" s="572" t="s">
        <v>10656</v>
      </c>
      <c r="W2977" s="2332" t="s">
        <v>10663</v>
      </c>
      <c r="X2977" s="2347"/>
      <c r="Y2977" s="340"/>
      <c r="Z2977" s="340"/>
    </row>
    <row r="2978" spans="1:26" ht="14.1" hidden="1">
      <c r="A2978" s="20">
        <v>2985</v>
      </c>
      <c r="B2978" s="1063">
        <v>42755</v>
      </c>
      <c r="C2978" s="958" t="s">
        <v>10664</v>
      </c>
      <c r="D2978" s="11" t="s">
        <v>6</v>
      </c>
      <c r="E2978" s="298" t="s">
        <v>5448</v>
      </c>
      <c r="F2978" s="985" t="s">
        <v>10651</v>
      </c>
      <c r="G2978" s="298" t="s">
        <v>10667</v>
      </c>
      <c r="H2978" s="298" t="s">
        <v>429</v>
      </c>
      <c r="I2978" s="298" t="s">
        <v>429</v>
      </c>
      <c r="J2978" s="298" t="s">
        <v>10660</v>
      </c>
      <c r="K2978" s="298" t="s">
        <v>10668</v>
      </c>
      <c r="L2978" s="298" t="s">
        <v>10662</v>
      </c>
      <c r="M2978" s="298">
        <v>12</v>
      </c>
      <c r="N2978" s="298">
        <v>1</v>
      </c>
      <c r="O2978" s="298">
        <v>12</v>
      </c>
      <c r="P2978" s="298">
        <v>0</v>
      </c>
      <c r="Q2978" s="669">
        <v>0</v>
      </c>
      <c r="R2978" s="1209">
        <v>470</v>
      </c>
      <c r="S2978" s="1209">
        <v>5640</v>
      </c>
      <c r="T2978" s="683" t="s">
        <v>5448</v>
      </c>
      <c r="U2978" s="1909" t="s">
        <v>10655</v>
      </c>
      <c r="V2978" s="572" t="s">
        <v>10656</v>
      </c>
      <c r="W2978" s="2332" t="s">
        <v>10663</v>
      </c>
      <c r="X2978" s="2347"/>
      <c r="Y2978" s="340"/>
      <c r="Z2978" s="340"/>
    </row>
    <row r="2979" spans="1:26" ht="14.1" hidden="1">
      <c r="A2979" s="20">
        <v>2986</v>
      </c>
      <c r="B2979" s="1063">
        <v>42756</v>
      </c>
      <c r="C2979" s="958" t="s">
        <v>10664</v>
      </c>
      <c r="D2979" s="11" t="s">
        <v>6</v>
      </c>
      <c r="E2979" s="298" t="s">
        <v>5448</v>
      </c>
      <c r="F2979" s="985" t="s">
        <v>10651</v>
      </c>
      <c r="G2979" s="298" t="s">
        <v>10669</v>
      </c>
      <c r="H2979" s="298" t="s">
        <v>429</v>
      </c>
      <c r="I2979" s="298" t="s">
        <v>429</v>
      </c>
      <c r="J2979" s="298" t="s">
        <v>10660</v>
      </c>
      <c r="K2979" s="298" t="s">
        <v>10670</v>
      </c>
      <c r="L2979" s="298" t="s">
        <v>10662</v>
      </c>
      <c r="M2979" s="298">
        <v>10</v>
      </c>
      <c r="N2979" s="298">
        <v>1</v>
      </c>
      <c r="O2979" s="298">
        <v>10</v>
      </c>
      <c r="P2979" s="298">
        <v>0</v>
      </c>
      <c r="Q2979" s="669">
        <v>0</v>
      </c>
      <c r="R2979" s="1209">
        <v>430</v>
      </c>
      <c r="S2979" s="1209">
        <v>4300</v>
      </c>
      <c r="T2979" s="683" t="s">
        <v>5448</v>
      </c>
      <c r="U2979" s="1909" t="s">
        <v>10655</v>
      </c>
      <c r="V2979" s="572" t="s">
        <v>10656</v>
      </c>
      <c r="W2979" s="2332" t="s">
        <v>10663</v>
      </c>
      <c r="X2979" s="2347"/>
      <c r="Y2979" s="340"/>
      <c r="Z2979" s="340"/>
    </row>
    <row r="2980" spans="1:26" ht="14.1" hidden="1">
      <c r="A2980" s="20">
        <v>2987</v>
      </c>
      <c r="B2980" s="1063">
        <v>42757</v>
      </c>
      <c r="C2980" s="958" t="s">
        <v>10664</v>
      </c>
      <c r="D2980" s="11" t="s">
        <v>6</v>
      </c>
      <c r="E2980" s="298" t="s">
        <v>5448</v>
      </c>
      <c r="F2980" s="985" t="s">
        <v>10651</v>
      </c>
      <c r="G2980" s="298" t="s">
        <v>10671</v>
      </c>
      <c r="H2980" s="298" t="s">
        <v>429</v>
      </c>
      <c r="I2980" s="298" t="s">
        <v>429</v>
      </c>
      <c r="J2980" s="298" t="s">
        <v>10660</v>
      </c>
      <c r="K2980" s="298" t="s">
        <v>10672</v>
      </c>
      <c r="L2980" s="298" t="s">
        <v>10662</v>
      </c>
      <c r="M2980" s="298">
        <v>4</v>
      </c>
      <c r="N2980" s="298">
        <v>1</v>
      </c>
      <c r="O2980" s="298">
        <v>4</v>
      </c>
      <c r="P2980" s="298">
        <v>0</v>
      </c>
      <c r="Q2980" s="669">
        <v>0</v>
      </c>
      <c r="R2980" s="1209">
        <v>470</v>
      </c>
      <c r="S2980" s="1209">
        <v>1880</v>
      </c>
      <c r="T2980" s="683" t="s">
        <v>5448</v>
      </c>
      <c r="U2980" s="1909" t="s">
        <v>10655</v>
      </c>
      <c r="V2980" s="572" t="s">
        <v>10656</v>
      </c>
      <c r="W2980" s="2332" t="s">
        <v>10663</v>
      </c>
      <c r="X2980" s="2347"/>
      <c r="Y2980" s="340"/>
      <c r="Z2980" s="340"/>
    </row>
    <row r="2981" spans="1:26" ht="14.1" hidden="1">
      <c r="A2981" s="20">
        <v>2988</v>
      </c>
      <c r="B2981" s="1063">
        <v>42758</v>
      </c>
      <c r="C2981" s="958" t="s">
        <v>3994</v>
      </c>
      <c r="D2981" s="11" t="s">
        <v>6</v>
      </c>
      <c r="E2981" s="298" t="s">
        <v>5448</v>
      </c>
      <c r="F2981" s="985"/>
      <c r="G2981" s="298" t="s">
        <v>10673</v>
      </c>
      <c r="H2981" s="298" t="s">
        <v>429</v>
      </c>
      <c r="I2981" s="298" t="s">
        <v>429</v>
      </c>
      <c r="J2981" s="298" t="s">
        <v>10674</v>
      </c>
      <c r="K2981" s="298" t="s">
        <v>10674</v>
      </c>
      <c r="L2981" s="298" t="s">
        <v>10662</v>
      </c>
      <c r="M2981" s="298">
        <v>1</v>
      </c>
      <c r="N2981" s="298">
        <v>1</v>
      </c>
      <c r="O2981" s="298">
        <v>1</v>
      </c>
      <c r="P2981" s="298">
        <v>0</v>
      </c>
      <c r="Q2981" s="669">
        <v>0</v>
      </c>
      <c r="R2981" s="1209">
        <v>16640</v>
      </c>
      <c r="S2981" s="1209">
        <v>16640</v>
      </c>
      <c r="T2981" s="683" t="s">
        <v>5448</v>
      </c>
      <c r="U2981" s="1909" t="s">
        <v>10655</v>
      </c>
      <c r="V2981" s="572" t="s">
        <v>10656</v>
      </c>
      <c r="W2981" s="2332" t="s">
        <v>10675</v>
      </c>
      <c r="X2981" s="2347"/>
      <c r="Y2981" s="340"/>
      <c r="Z2981" s="340"/>
    </row>
    <row r="2982" spans="1:26" ht="14.1" hidden="1">
      <c r="A2982" s="20">
        <v>2989</v>
      </c>
      <c r="B2982" s="1063">
        <v>42759</v>
      </c>
      <c r="C2982" s="958" t="s">
        <v>3994</v>
      </c>
      <c r="D2982" s="11" t="s">
        <v>6</v>
      </c>
      <c r="E2982" s="298" t="s">
        <v>5448</v>
      </c>
      <c r="F2982" s="985" t="s">
        <v>10651</v>
      </c>
      <c r="G2982" s="298" t="s">
        <v>10676</v>
      </c>
      <c r="H2982" s="298" t="s">
        <v>429</v>
      </c>
      <c r="I2982" s="298" t="s">
        <v>429</v>
      </c>
      <c r="J2982" s="298" t="s">
        <v>10677</v>
      </c>
      <c r="K2982" s="298" t="s">
        <v>10677</v>
      </c>
      <c r="L2982" s="298" t="s">
        <v>10662</v>
      </c>
      <c r="M2982" s="298">
        <v>1</v>
      </c>
      <c r="N2982" s="298">
        <v>1</v>
      </c>
      <c r="O2982" s="298">
        <v>1</v>
      </c>
      <c r="P2982" s="298">
        <v>0</v>
      </c>
      <c r="Q2982" s="669">
        <v>0</v>
      </c>
      <c r="R2982" s="1209">
        <v>14910</v>
      </c>
      <c r="S2982" s="1209">
        <v>14910</v>
      </c>
      <c r="T2982" s="683" t="s">
        <v>5448</v>
      </c>
      <c r="U2982" s="1909" t="s">
        <v>10655</v>
      </c>
      <c r="V2982" s="572" t="s">
        <v>10656</v>
      </c>
      <c r="W2982" s="2332" t="s">
        <v>10678</v>
      </c>
      <c r="X2982" s="2347"/>
      <c r="Y2982" s="340"/>
      <c r="Z2982" s="340"/>
    </row>
    <row r="2983" spans="1:26" ht="14.1" hidden="1">
      <c r="A2983" s="20">
        <v>2990</v>
      </c>
      <c r="B2983" s="1063">
        <v>42760</v>
      </c>
      <c r="C2983" s="958" t="s">
        <v>3994</v>
      </c>
      <c r="D2983" s="11" t="s">
        <v>6</v>
      </c>
      <c r="E2983" s="298" t="s">
        <v>5448</v>
      </c>
      <c r="F2983" s="985" t="s">
        <v>10651</v>
      </c>
      <c r="G2983" s="298" t="s">
        <v>10679</v>
      </c>
      <c r="H2983" s="298" t="s">
        <v>429</v>
      </c>
      <c r="I2983" s="298" t="s">
        <v>429</v>
      </c>
      <c r="J2983" s="298" t="s">
        <v>10680</v>
      </c>
      <c r="K2983" s="298" t="s">
        <v>10680</v>
      </c>
      <c r="L2983" s="298" t="s">
        <v>10662</v>
      </c>
      <c r="M2983" s="298">
        <v>2</v>
      </c>
      <c r="N2983" s="298">
        <v>1</v>
      </c>
      <c r="O2983" s="298">
        <v>2</v>
      </c>
      <c r="P2983" s="298">
        <v>0</v>
      </c>
      <c r="Q2983" s="669">
        <v>0</v>
      </c>
      <c r="R2983" s="1209">
        <v>6650</v>
      </c>
      <c r="S2983" s="1209">
        <v>13300</v>
      </c>
      <c r="T2983" s="683" t="s">
        <v>5448</v>
      </c>
      <c r="U2983" s="1909" t="s">
        <v>10655</v>
      </c>
      <c r="V2983" s="572" t="s">
        <v>10656</v>
      </c>
      <c r="W2983" s="2332" t="s">
        <v>10681</v>
      </c>
      <c r="X2983" s="2347"/>
      <c r="Y2983" s="340"/>
      <c r="Z2983" s="340"/>
    </row>
    <row r="2984" spans="1:26" ht="14.1" hidden="1">
      <c r="A2984" s="20">
        <v>2991</v>
      </c>
      <c r="B2984" s="1063">
        <v>42761</v>
      </c>
      <c r="C2984" s="958" t="s">
        <v>3994</v>
      </c>
      <c r="D2984" s="11" t="s">
        <v>6</v>
      </c>
      <c r="E2984" s="298" t="s">
        <v>5448</v>
      </c>
      <c r="F2984" s="985" t="s">
        <v>10651</v>
      </c>
      <c r="G2984" s="298" t="s">
        <v>10682</v>
      </c>
      <c r="H2984" s="298" t="s">
        <v>429</v>
      </c>
      <c r="I2984" s="298" t="s">
        <v>429</v>
      </c>
      <c r="J2984" s="298" t="s">
        <v>10683</v>
      </c>
      <c r="K2984" s="298" t="s">
        <v>10683</v>
      </c>
      <c r="L2984" s="298" t="s">
        <v>10662</v>
      </c>
      <c r="M2984" s="298">
        <v>2</v>
      </c>
      <c r="N2984" s="298">
        <v>1</v>
      </c>
      <c r="O2984" s="298">
        <v>2</v>
      </c>
      <c r="P2984" s="298">
        <v>0</v>
      </c>
      <c r="Q2984" s="669">
        <v>0</v>
      </c>
      <c r="R2984" s="1209">
        <v>5520</v>
      </c>
      <c r="S2984" s="1209">
        <v>11040</v>
      </c>
      <c r="T2984" s="683" t="s">
        <v>5448</v>
      </c>
      <c r="U2984" s="1909" t="s">
        <v>10655</v>
      </c>
      <c r="V2984" s="572" t="s">
        <v>10656</v>
      </c>
      <c r="W2984" s="2332" t="s">
        <v>10684</v>
      </c>
      <c r="X2984" s="2347"/>
      <c r="Y2984" s="340"/>
      <c r="Z2984" s="340"/>
    </row>
    <row r="2985" spans="1:26" ht="14.1" hidden="1">
      <c r="A2985" s="20">
        <v>2992</v>
      </c>
      <c r="B2985" s="1063">
        <v>42762</v>
      </c>
      <c r="C2985" s="958" t="s">
        <v>3994</v>
      </c>
      <c r="D2985" s="11" t="s">
        <v>6</v>
      </c>
      <c r="E2985" s="298" t="s">
        <v>5448</v>
      </c>
      <c r="F2985" s="985" t="s">
        <v>10651</v>
      </c>
      <c r="G2985" s="298" t="s">
        <v>10685</v>
      </c>
      <c r="H2985" s="298" t="s">
        <v>429</v>
      </c>
      <c r="I2985" s="298" t="s">
        <v>429</v>
      </c>
      <c r="J2985" s="298" t="s">
        <v>10686</v>
      </c>
      <c r="K2985" s="298" t="s">
        <v>10686</v>
      </c>
      <c r="L2985" s="298" t="s">
        <v>10662</v>
      </c>
      <c r="M2985" s="298">
        <v>2</v>
      </c>
      <c r="N2985" s="298">
        <v>1</v>
      </c>
      <c r="O2985" s="298">
        <v>2</v>
      </c>
      <c r="P2985" s="298">
        <v>0</v>
      </c>
      <c r="Q2985" s="669">
        <v>0</v>
      </c>
      <c r="R2985" s="1209">
        <v>4210</v>
      </c>
      <c r="S2985" s="1209">
        <v>8420</v>
      </c>
      <c r="T2985" s="683" t="s">
        <v>5448</v>
      </c>
      <c r="U2985" s="1909" t="s">
        <v>10655</v>
      </c>
      <c r="V2985" s="572" t="s">
        <v>10656</v>
      </c>
      <c r="W2985" s="2332" t="s">
        <v>10687</v>
      </c>
      <c r="X2985" s="2347"/>
      <c r="Y2985" s="340"/>
      <c r="Z2985" s="340"/>
    </row>
    <row r="2986" spans="1:26" ht="14.1" hidden="1">
      <c r="A2986" s="20">
        <v>2993</v>
      </c>
      <c r="B2986" s="1063">
        <v>42763</v>
      </c>
      <c r="C2986" s="958" t="s">
        <v>3994</v>
      </c>
      <c r="D2986" s="11" t="s">
        <v>6</v>
      </c>
      <c r="E2986" s="298" t="s">
        <v>5448</v>
      </c>
      <c r="F2986" s="985" t="s">
        <v>10651</v>
      </c>
      <c r="G2986" s="298" t="s">
        <v>10688</v>
      </c>
      <c r="H2986" s="298" t="s">
        <v>429</v>
      </c>
      <c r="I2986" s="298" t="s">
        <v>429</v>
      </c>
      <c r="J2986" s="298" t="s">
        <v>10689</v>
      </c>
      <c r="K2986" s="298" t="s">
        <v>10689</v>
      </c>
      <c r="L2986" s="298" t="s">
        <v>10662</v>
      </c>
      <c r="M2986" s="298">
        <v>2</v>
      </c>
      <c r="N2986" s="298">
        <v>1</v>
      </c>
      <c r="O2986" s="298">
        <v>2</v>
      </c>
      <c r="P2986" s="298">
        <v>0</v>
      </c>
      <c r="Q2986" s="669">
        <v>0</v>
      </c>
      <c r="R2986" s="1209">
        <v>5200</v>
      </c>
      <c r="S2986" s="1209">
        <v>10400</v>
      </c>
      <c r="T2986" s="683" t="s">
        <v>5448</v>
      </c>
      <c r="U2986" s="1909" t="s">
        <v>10655</v>
      </c>
      <c r="V2986" s="572" t="s">
        <v>10656</v>
      </c>
      <c r="W2986" s="2332" t="s">
        <v>10690</v>
      </c>
      <c r="X2986" s="2347"/>
      <c r="Y2986" s="340"/>
      <c r="Z2986" s="340"/>
    </row>
    <row r="2987" spans="1:26" ht="14.1" hidden="1">
      <c r="A2987" s="20">
        <v>2994</v>
      </c>
      <c r="B2987" s="1063">
        <v>42764</v>
      </c>
      <c r="C2987" s="958" t="s">
        <v>3994</v>
      </c>
      <c r="D2987" s="11" t="s">
        <v>6</v>
      </c>
      <c r="E2987" s="298" t="s">
        <v>5448</v>
      </c>
      <c r="F2987" s="985" t="s">
        <v>10651</v>
      </c>
      <c r="G2987" s="298" t="s">
        <v>10691</v>
      </c>
      <c r="H2987" s="298" t="s">
        <v>429</v>
      </c>
      <c r="I2987" s="298" t="s">
        <v>429</v>
      </c>
      <c r="J2987" s="298" t="s">
        <v>10692</v>
      </c>
      <c r="K2987" s="298" t="s">
        <v>10692</v>
      </c>
      <c r="L2987" s="298" t="s">
        <v>10662</v>
      </c>
      <c r="M2987" s="298">
        <v>2</v>
      </c>
      <c r="N2987" s="298">
        <v>1</v>
      </c>
      <c r="O2987" s="298">
        <v>2</v>
      </c>
      <c r="P2987" s="298">
        <v>0</v>
      </c>
      <c r="Q2987" s="669">
        <v>0</v>
      </c>
      <c r="R2987" s="1209">
        <v>3910</v>
      </c>
      <c r="S2987" s="1209">
        <v>7820</v>
      </c>
      <c r="T2987" s="683" t="s">
        <v>5448</v>
      </c>
      <c r="U2987" s="1909" t="s">
        <v>10655</v>
      </c>
      <c r="V2987" s="572" t="s">
        <v>10656</v>
      </c>
      <c r="W2987" s="2332" t="s">
        <v>10693</v>
      </c>
      <c r="X2987" s="2347"/>
      <c r="Y2987" s="340"/>
      <c r="Z2987" s="340"/>
    </row>
    <row r="2988" spans="1:26" ht="87" hidden="1">
      <c r="A2988" s="20">
        <v>2995</v>
      </c>
      <c r="B2988" s="1063">
        <v>42765</v>
      </c>
      <c r="C2988" s="958" t="s">
        <v>10694</v>
      </c>
      <c r="D2988" s="11" t="s">
        <v>6</v>
      </c>
      <c r="E2988" s="298" t="s">
        <v>10695</v>
      </c>
      <c r="F2988" s="985" t="s">
        <v>10696</v>
      </c>
      <c r="G2988" s="341" t="s">
        <v>10697</v>
      </c>
      <c r="H2988" s="298"/>
      <c r="I2988" s="298" t="s">
        <v>1022</v>
      </c>
      <c r="J2988" s="298"/>
      <c r="K2988" s="298" t="s">
        <v>10698</v>
      </c>
      <c r="L2988" s="298"/>
      <c r="M2988" s="298">
        <v>1</v>
      </c>
      <c r="N2988" s="298">
        <v>1</v>
      </c>
      <c r="O2988" s="298">
        <v>1</v>
      </c>
      <c r="P2988" s="298">
        <v>0</v>
      </c>
      <c r="Q2988" s="669">
        <f t="shared" ref="Q2988:Q2994" si="174">(O2988+P2988)-M2988</f>
        <v>0</v>
      </c>
      <c r="R2988" s="1209">
        <v>2980</v>
      </c>
      <c r="S2988" s="1209">
        <f t="shared" ref="S2988:S3014" si="175">R2988*O2988</f>
        <v>2980</v>
      </c>
      <c r="T2988" s="683" t="s">
        <v>9485</v>
      </c>
      <c r="U2988" s="1909" t="s">
        <v>3646</v>
      </c>
      <c r="V2988" s="572" t="s">
        <v>352</v>
      </c>
      <c r="W2988" s="2104" t="s">
        <v>10699</v>
      </c>
      <c r="X2988" s="18"/>
      <c r="Y2988" s="4"/>
      <c r="Z2988" s="4"/>
    </row>
    <row r="2989" spans="1:26" ht="72.599999999999994" hidden="1">
      <c r="A2989" s="20">
        <v>2996</v>
      </c>
      <c r="B2989" s="1063">
        <v>42766</v>
      </c>
      <c r="C2989" s="958" t="s">
        <v>10700</v>
      </c>
      <c r="D2989" s="11" t="s">
        <v>6</v>
      </c>
      <c r="E2989" s="298" t="s">
        <v>10695</v>
      </c>
      <c r="F2989" s="985" t="s">
        <v>10696</v>
      </c>
      <c r="G2989" s="342" t="s">
        <v>10701</v>
      </c>
      <c r="H2989" s="298" t="s">
        <v>713</v>
      </c>
      <c r="I2989" s="298" t="s">
        <v>10702</v>
      </c>
      <c r="J2989" s="298"/>
      <c r="K2989" s="298"/>
      <c r="L2989" s="298"/>
      <c r="M2989" s="298">
        <v>2</v>
      </c>
      <c r="N2989" s="298">
        <v>1</v>
      </c>
      <c r="O2989" s="298">
        <v>2</v>
      </c>
      <c r="P2989" s="298">
        <v>0</v>
      </c>
      <c r="Q2989" s="669">
        <f t="shared" si="174"/>
        <v>0</v>
      </c>
      <c r="R2989" s="1209">
        <v>13650</v>
      </c>
      <c r="S2989" s="1209">
        <f t="shared" si="175"/>
        <v>27300</v>
      </c>
      <c r="T2989" s="683" t="s">
        <v>9485</v>
      </c>
      <c r="U2989" s="1909" t="s">
        <v>3646</v>
      </c>
      <c r="V2989" s="572" t="s">
        <v>352</v>
      </c>
      <c r="W2989" s="2104" t="s">
        <v>10703</v>
      </c>
      <c r="X2989" s="18"/>
      <c r="Y2989" s="4"/>
      <c r="Z2989" s="4"/>
    </row>
    <row r="2990" spans="1:26" ht="14.1" hidden="1">
      <c r="A2990" s="20">
        <v>2997</v>
      </c>
      <c r="B2990" s="1063">
        <v>42767</v>
      </c>
      <c r="C2990" s="958" t="s">
        <v>10704</v>
      </c>
      <c r="D2990" s="11" t="s">
        <v>6</v>
      </c>
      <c r="E2990" s="298" t="s">
        <v>10695</v>
      </c>
      <c r="F2990" s="985" t="s">
        <v>10696</v>
      </c>
      <c r="G2990" s="343" t="s">
        <v>10705</v>
      </c>
      <c r="H2990" s="298" t="s">
        <v>10706</v>
      </c>
      <c r="I2990" s="298" t="s">
        <v>10706</v>
      </c>
      <c r="J2990" s="298"/>
      <c r="K2990" s="298"/>
      <c r="L2990" s="298"/>
      <c r="M2990" s="298">
        <v>2</v>
      </c>
      <c r="N2990" s="298">
        <v>1</v>
      </c>
      <c r="O2990" s="298">
        <v>2</v>
      </c>
      <c r="P2990" s="298">
        <v>0</v>
      </c>
      <c r="Q2990" s="669">
        <f t="shared" si="174"/>
        <v>0</v>
      </c>
      <c r="R2990" s="1209">
        <v>12600</v>
      </c>
      <c r="S2990" s="1209">
        <f t="shared" si="175"/>
        <v>25200</v>
      </c>
      <c r="T2990" s="683" t="s">
        <v>9485</v>
      </c>
      <c r="U2990" s="1909" t="s">
        <v>3646</v>
      </c>
      <c r="V2990" s="572" t="s">
        <v>352</v>
      </c>
      <c r="W2990" s="682" t="s">
        <v>10707</v>
      </c>
      <c r="X2990" s="18"/>
      <c r="Y2990" s="4"/>
      <c r="Z2990" s="4"/>
    </row>
    <row r="2991" spans="1:26" ht="14.45" hidden="1">
      <c r="A2991" s="20">
        <v>2998</v>
      </c>
      <c r="B2991" s="1063">
        <v>42768</v>
      </c>
      <c r="C2991" s="958" t="s">
        <v>10708</v>
      </c>
      <c r="D2991" s="11" t="s">
        <v>6</v>
      </c>
      <c r="E2991" s="298" t="s">
        <v>10695</v>
      </c>
      <c r="F2991" s="985" t="s">
        <v>10696</v>
      </c>
      <c r="G2991" s="344" t="s">
        <v>10709</v>
      </c>
      <c r="H2991" s="298" t="s">
        <v>10706</v>
      </c>
      <c r="I2991" s="298" t="s">
        <v>10706</v>
      </c>
      <c r="J2991" s="298"/>
      <c r="K2991" s="298" t="s">
        <v>10710</v>
      </c>
      <c r="L2991" s="298"/>
      <c r="M2991" s="298">
        <v>1</v>
      </c>
      <c r="N2991" s="298">
        <v>1</v>
      </c>
      <c r="O2991" s="298">
        <v>1</v>
      </c>
      <c r="P2991" s="298">
        <v>0</v>
      </c>
      <c r="Q2991" s="669">
        <f t="shared" si="174"/>
        <v>0</v>
      </c>
      <c r="R2991" s="1209">
        <v>8925</v>
      </c>
      <c r="S2991" s="1209">
        <f t="shared" si="175"/>
        <v>8925</v>
      </c>
      <c r="T2991" s="683" t="s">
        <v>9485</v>
      </c>
      <c r="U2991" s="1909" t="s">
        <v>3646</v>
      </c>
      <c r="V2991" s="572" t="s">
        <v>352</v>
      </c>
      <c r="W2991" s="682" t="s">
        <v>10711</v>
      </c>
      <c r="X2991" s="18"/>
      <c r="Y2991" s="4"/>
      <c r="Z2991" s="4"/>
    </row>
    <row r="2992" spans="1:26" ht="14.1" hidden="1">
      <c r="A2992" s="20">
        <v>2999</v>
      </c>
      <c r="B2992" s="1063">
        <v>42769</v>
      </c>
      <c r="C2992" s="958" t="s">
        <v>10708</v>
      </c>
      <c r="D2992" s="11" t="s">
        <v>6</v>
      </c>
      <c r="E2992" s="298" t="s">
        <v>10695</v>
      </c>
      <c r="F2992" s="985" t="s">
        <v>10696</v>
      </c>
      <c r="G2992" s="343" t="s">
        <v>10712</v>
      </c>
      <c r="H2992" s="298" t="s">
        <v>10706</v>
      </c>
      <c r="I2992" s="298" t="s">
        <v>10706</v>
      </c>
      <c r="J2992" s="298"/>
      <c r="K2992" s="298" t="s">
        <v>10713</v>
      </c>
      <c r="L2992" s="298"/>
      <c r="M2992" s="298">
        <v>1</v>
      </c>
      <c r="N2992" s="298">
        <v>1</v>
      </c>
      <c r="O2992" s="298">
        <v>1</v>
      </c>
      <c r="P2992" s="298">
        <v>0</v>
      </c>
      <c r="Q2992" s="669">
        <f t="shared" si="174"/>
        <v>0</v>
      </c>
      <c r="R2992" s="1209">
        <v>8925</v>
      </c>
      <c r="S2992" s="1209">
        <f t="shared" si="175"/>
        <v>8925</v>
      </c>
      <c r="T2992" s="683" t="s">
        <v>9485</v>
      </c>
      <c r="U2992" s="1909" t="s">
        <v>3646</v>
      </c>
      <c r="V2992" s="572" t="s">
        <v>352</v>
      </c>
      <c r="W2992" s="682" t="s">
        <v>10714</v>
      </c>
      <c r="X2992" s="18"/>
      <c r="Y2992" s="4"/>
      <c r="Z2992" s="4"/>
    </row>
    <row r="2993" spans="1:26" ht="62.45" hidden="1">
      <c r="A2993" s="20">
        <v>3000</v>
      </c>
      <c r="B2993" s="1063">
        <v>42770</v>
      </c>
      <c r="C2993" s="958" t="s">
        <v>10715</v>
      </c>
      <c r="D2993" s="11" t="s">
        <v>6</v>
      </c>
      <c r="E2993" s="298" t="s">
        <v>10695</v>
      </c>
      <c r="F2993" s="985" t="s">
        <v>10696</v>
      </c>
      <c r="G2993" s="298" t="s">
        <v>10716</v>
      </c>
      <c r="H2993" s="298" t="s">
        <v>713</v>
      </c>
      <c r="I2993" s="298" t="s">
        <v>10702</v>
      </c>
      <c r="J2993" s="298"/>
      <c r="K2993" s="298" t="s">
        <v>10717</v>
      </c>
      <c r="L2993" s="298"/>
      <c r="M2993" s="298">
        <v>1</v>
      </c>
      <c r="N2993" s="298">
        <v>1</v>
      </c>
      <c r="O2993" s="298">
        <v>1</v>
      </c>
      <c r="P2993" s="298">
        <v>0</v>
      </c>
      <c r="Q2993" s="669">
        <f t="shared" si="174"/>
        <v>0</v>
      </c>
      <c r="R2993" s="1209">
        <v>3150</v>
      </c>
      <c r="S2993" s="1209">
        <f t="shared" si="175"/>
        <v>3150</v>
      </c>
      <c r="T2993" s="683" t="s">
        <v>9485</v>
      </c>
      <c r="U2993" s="1909" t="s">
        <v>3646</v>
      </c>
      <c r="V2993" s="572" t="s">
        <v>352</v>
      </c>
      <c r="W2993" s="712" t="s">
        <v>10718</v>
      </c>
      <c r="X2993" s="18"/>
      <c r="Y2993" s="4"/>
      <c r="Z2993" s="4"/>
    </row>
    <row r="2994" spans="1:26" ht="125.1" hidden="1">
      <c r="A2994" s="20">
        <v>3001</v>
      </c>
      <c r="B2994" s="1063">
        <v>42771</v>
      </c>
      <c r="C2994" s="958" t="s">
        <v>10719</v>
      </c>
      <c r="D2994" s="11" t="s">
        <v>6</v>
      </c>
      <c r="E2994" s="298" t="s">
        <v>10695</v>
      </c>
      <c r="F2994" s="985" t="s">
        <v>10696</v>
      </c>
      <c r="G2994" s="334" t="s">
        <v>10720</v>
      </c>
      <c r="H2994" s="298"/>
      <c r="I2994" s="298" t="s">
        <v>1022</v>
      </c>
      <c r="J2994" s="298"/>
      <c r="K2994" s="298"/>
      <c r="L2994" s="298"/>
      <c r="M2994" s="298">
        <v>1</v>
      </c>
      <c r="N2994" s="298">
        <v>1</v>
      </c>
      <c r="O2994" s="298">
        <v>1</v>
      </c>
      <c r="P2994" s="298">
        <v>0</v>
      </c>
      <c r="Q2994" s="669">
        <f t="shared" si="174"/>
        <v>0</v>
      </c>
      <c r="R2994" s="1209">
        <v>648</v>
      </c>
      <c r="S2994" s="1209">
        <f t="shared" si="175"/>
        <v>648</v>
      </c>
      <c r="T2994" s="683" t="s">
        <v>9485</v>
      </c>
      <c r="U2994" s="1909" t="s">
        <v>3646</v>
      </c>
      <c r="V2994" s="572" t="s">
        <v>352</v>
      </c>
      <c r="W2994" s="712" t="s">
        <v>10721</v>
      </c>
      <c r="X2994" s="18"/>
      <c r="Y2994" s="4"/>
      <c r="Z2994" s="4"/>
    </row>
    <row r="2995" spans="1:26" ht="174.95" hidden="1">
      <c r="A2995" s="20">
        <v>3002</v>
      </c>
      <c r="B2995" s="1063">
        <v>42772</v>
      </c>
      <c r="C2995" s="958" t="s">
        <v>10722</v>
      </c>
      <c r="D2995" s="11" t="s">
        <v>6</v>
      </c>
      <c r="E2995" s="298" t="s">
        <v>10695</v>
      </c>
      <c r="F2995" s="985" t="s">
        <v>10696</v>
      </c>
      <c r="G2995" s="334" t="s">
        <v>10723</v>
      </c>
      <c r="H2995" s="298"/>
      <c r="I2995" s="298" t="s">
        <v>1022</v>
      </c>
      <c r="J2995" s="298"/>
      <c r="K2995" s="298"/>
      <c r="L2995" s="298"/>
      <c r="M2995" s="298">
        <v>1</v>
      </c>
      <c r="N2995" s="298">
        <v>1</v>
      </c>
      <c r="O2995" s="298">
        <v>1</v>
      </c>
      <c r="P2995" s="298">
        <v>0</v>
      </c>
      <c r="Q2995" s="669">
        <v>0</v>
      </c>
      <c r="R2995" s="1209">
        <v>1580</v>
      </c>
      <c r="S2995" s="1209">
        <f t="shared" si="175"/>
        <v>1580</v>
      </c>
      <c r="T2995" s="683" t="s">
        <v>9485</v>
      </c>
      <c r="U2995" s="1909" t="s">
        <v>3646</v>
      </c>
      <c r="V2995" s="572" t="s">
        <v>352</v>
      </c>
      <c r="W2995" s="712" t="s">
        <v>10724</v>
      </c>
      <c r="X2995" s="18"/>
      <c r="Y2995" s="4"/>
      <c r="Z2995" s="4"/>
    </row>
    <row r="2996" spans="1:26" ht="99.95" hidden="1">
      <c r="A2996" s="20">
        <v>3003</v>
      </c>
      <c r="B2996" s="1063">
        <v>42773</v>
      </c>
      <c r="C2996" s="958" t="s">
        <v>10725</v>
      </c>
      <c r="D2996" s="11" t="s">
        <v>6</v>
      </c>
      <c r="E2996" s="298" t="s">
        <v>10695</v>
      </c>
      <c r="F2996" s="985" t="s">
        <v>10696</v>
      </c>
      <c r="G2996" s="334" t="s">
        <v>10726</v>
      </c>
      <c r="H2996" s="298"/>
      <c r="I2996" s="298" t="s">
        <v>1022</v>
      </c>
      <c r="J2996" s="298"/>
      <c r="K2996" s="298"/>
      <c r="L2996" s="298"/>
      <c r="M2996" s="298">
        <v>1</v>
      </c>
      <c r="N2996" s="298">
        <v>1</v>
      </c>
      <c r="O2996" s="298">
        <v>1</v>
      </c>
      <c r="P2996" s="298">
        <v>0</v>
      </c>
      <c r="Q2996" s="669">
        <v>0</v>
      </c>
      <c r="R2996" s="1209">
        <v>1280</v>
      </c>
      <c r="S2996" s="1209">
        <f t="shared" si="175"/>
        <v>1280</v>
      </c>
      <c r="T2996" s="683" t="s">
        <v>9485</v>
      </c>
      <c r="U2996" s="1909" t="s">
        <v>3646</v>
      </c>
      <c r="V2996" s="572" t="s">
        <v>352</v>
      </c>
      <c r="W2996" s="712" t="s">
        <v>10727</v>
      </c>
      <c r="X2996" s="18"/>
      <c r="Y2996" s="4"/>
      <c r="Z2996" s="4"/>
    </row>
    <row r="2997" spans="1:26" ht="14.1" hidden="1">
      <c r="A2997" s="20">
        <v>3004</v>
      </c>
      <c r="B2997" s="1063">
        <v>42774</v>
      </c>
      <c r="C2997" s="958" t="s">
        <v>10728</v>
      </c>
      <c r="D2997" s="11"/>
      <c r="E2997" s="298" t="s">
        <v>10013</v>
      </c>
      <c r="F2997" s="985" t="s">
        <v>784</v>
      </c>
      <c r="G2997" s="298" t="s">
        <v>10729</v>
      </c>
      <c r="H2997" s="298" t="s">
        <v>10730</v>
      </c>
      <c r="I2997" s="298" t="s">
        <v>10731</v>
      </c>
      <c r="J2997" s="298" t="s">
        <v>149</v>
      </c>
      <c r="K2997" s="298" t="s">
        <v>149</v>
      </c>
      <c r="L2997" s="298" t="s">
        <v>149</v>
      </c>
      <c r="M2997" s="298">
        <v>1</v>
      </c>
      <c r="N2997" s="298">
        <v>1</v>
      </c>
      <c r="O2997" s="298">
        <v>1</v>
      </c>
      <c r="P2997" s="298">
        <v>0</v>
      </c>
      <c r="Q2997" s="669">
        <f t="shared" ref="Q2997:Q3014" si="176">(O2997+P2997)-M2997</f>
        <v>0</v>
      </c>
      <c r="R2997" s="1209">
        <v>1498000</v>
      </c>
      <c r="S2997" s="1209">
        <f t="shared" si="175"/>
        <v>1498000</v>
      </c>
      <c r="T2997" s="683" t="s">
        <v>10016</v>
      </c>
      <c r="U2997" s="1909" t="s">
        <v>10016</v>
      </c>
      <c r="V2997" s="572" t="s">
        <v>6170</v>
      </c>
      <c r="W2997" s="682"/>
      <c r="X2997" s="18"/>
      <c r="Y2997" s="4"/>
      <c r="Z2997" s="4"/>
    </row>
    <row r="2998" spans="1:26" ht="14.1" hidden="1">
      <c r="A2998" s="20">
        <v>3005</v>
      </c>
      <c r="B2998" s="1063">
        <v>42775</v>
      </c>
      <c r="C2998" s="958" t="s">
        <v>10732</v>
      </c>
      <c r="D2998" s="11"/>
      <c r="E2998" s="298" t="s">
        <v>572</v>
      </c>
      <c r="F2998" s="985" t="s">
        <v>131</v>
      </c>
      <c r="G2998" s="298" t="s">
        <v>10733</v>
      </c>
      <c r="H2998" s="298" t="s">
        <v>598</v>
      </c>
      <c r="I2998" s="298" t="s">
        <v>39</v>
      </c>
      <c r="J2998" s="298" t="s">
        <v>10734</v>
      </c>
      <c r="K2998" s="298" t="s">
        <v>10735</v>
      </c>
      <c r="L2998" s="298">
        <v>402</v>
      </c>
      <c r="M2998" s="298">
        <v>24</v>
      </c>
      <c r="N2998" s="298">
        <v>100</v>
      </c>
      <c r="O2998" s="298">
        <v>100</v>
      </c>
      <c r="P2998" s="298">
        <v>0</v>
      </c>
      <c r="Q2998" s="669">
        <f t="shared" si="176"/>
        <v>76</v>
      </c>
      <c r="R2998" s="1209">
        <v>10.130000000000001</v>
      </c>
      <c r="S2998" s="1209">
        <f t="shared" si="175"/>
        <v>1013.0000000000001</v>
      </c>
      <c r="T2998" s="683" t="s">
        <v>5448</v>
      </c>
      <c r="U2998" s="1909" t="s">
        <v>5939</v>
      </c>
      <c r="V2998" s="572" t="s">
        <v>801</v>
      </c>
      <c r="W2998" s="682" t="s">
        <v>10736</v>
      </c>
      <c r="X2998" s="18"/>
      <c r="Y2998" s="4"/>
      <c r="Z2998" s="4"/>
    </row>
    <row r="2999" spans="1:26" ht="14.1" hidden="1">
      <c r="A2999" s="20">
        <v>3006</v>
      </c>
      <c r="B2999" s="1063">
        <v>42776</v>
      </c>
      <c r="C2999" s="958" t="s">
        <v>10737</v>
      </c>
      <c r="D2999" s="11"/>
      <c r="E2999" s="298" t="s">
        <v>572</v>
      </c>
      <c r="F2999" s="985" t="s">
        <v>131</v>
      </c>
      <c r="G2999" s="298"/>
      <c r="H2999" s="298" t="s">
        <v>144</v>
      </c>
      <c r="I2999" s="298" t="s">
        <v>39</v>
      </c>
      <c r="J2999" s="298" t="s">
        <v>10738</v>
      </c>
      <c r="K2999" s="298" t="s">
        <v>6026</v>
      </c>
      <c r="L2999" s="298">
        <v>603</v>
      </c>
      <c r="M2999" s="298">
        <v>24</v>
      </c>
      <c r="N2999" s="298">
        <v>25</v>
      </c>
      <c r="O2999" s="298">
        <v>25</v>
      </c>
      <c r="P2999" s="298">
        <v>10</v>
      </c>
      <c r="Q2999" s="669">
        <f t="shared" si="176"/>
        <v>11</v>
      </c>
      <c r="R2999" s="1209">
        <v>6.88</v>
      </c>
      <c r="S2999" s="1209">
        <f t="shared" si="175"/>
        <v>172</v>
      </c>
      <c r="T2999" s="683" t="s">
        <v>5448</v>
      </c>
      <c r="U2999" s="1909" t="s">
        <v>10739</v>
      </c>
      <c r="V2999" s="572" t="s">
        <v>801</v>
      </c>
      <c r="W2999" s="682" t="s">
        <v>10740</v>
      </c>
      <c r="X2999" s="18"/>
      <c r="Y2999" s="4"/>
      <c r="Z2999" s="4"/>
    </row>
    <row r="3000" spans="1:26" ht="14.1" hidden="1">
      <c r="A3000" s="20">
        <v>3007</v>
      </c>
      <c r="B3000" s="1063">
        <v>42777</v>
      </c>
      <c r="C3000" s="958" t="s">
        <v>10741</v>
      </c>
      <c r="D3000" s="11"/>
      <c r="E3000" s="298" t="s">
        <v>10013</v>
      </c>
      <c r="F3000" s="985" t="s">
        <v>784</v>
      </c>
      <c r="G3000" s="298" t="s">
        <v>10742</v>
      </c>
      <c r="H3000" s="298" t="s">
        <v>10743</v>
      </c>
      <c r="I3000" s="298" t="s">
        <v>76</v>
      </c>
      <c r="J3000" s="298" t="s">
        <v>10744</v>
      </c>
      <c r="K3000" s="298" t="s">
        <v>10745</v>
      </c>
      <c r="L3000" s="298" t="s">
        <v>149</v>
      </c>
      <c r="M3000" s="298">
        <v>1</v>
      </c>
      <c r="N3000" s="298">
        <v>1</v>
      </c>
      <c r="O3000" s="298">
        <v>1</v>
      </c>
      <c r="P3000" s="298">
        <v>0</v>
      </c>
      <c r="Q3000" s="669">
        <f t="shared" si="176"/>
        <v>0</v>
      </c>
      <c r="R3000" s="1209">
        <v>180340</v>
      </c>
      <c r="S3000" s="1209">
        <f t="shared" si="175"/>
        <v>180340</v>
      </c>
      <c r="T3000" s="683" t="s">
        <v>10016</v>
      </c>
      <c r="U3000" s="1909" t="s">
        <v>10016</v>
      </c>
      <c r="V3000" s="572" t="s">
        <v>6170</v>
      </c>
      <c r="W3000" s="682" t="s">
        <v>10746</v>
      </c>
      <c r="X3000" s="18"/>
      <c r="Y3000" s="4"/>
      <c r="Z3000" s="4"/>
    </row>
    <row r="3001" spans="1:26" ht="14.1" hidden="1">
      <c r="A3001" s="20">
        <v>3008</v>
      </c>
      <c r="B3001" s="1063">
        <v>42778</v>
      </c>
      <c r="C3001" s="958" t="s">
        <v>10747</v>
      </c>
      <c r="D3001" s="11"/>
      <c r="E3001" s="298" t="s">
        <v>10013</v>
      </c>
      <c r="F3001" s="985" t="s">
        <v>784</v>
      </c>
      <c r="G3001" s="298" t="s">
        <v>10748</v>
      </c>
      <c r="H3001" s="298" t="s">
        <v>10749</v>
      </c>
      <c r="I3001" s="298" t="s">
        <v>76</v>
      </c>
      <c r="J3001" s="298" t="s">
        <v>10750</v>
      </c>
      <c r="K3001" s="298" t="s">
        <v>10751</v>
      </c>
      <c r="L3001" s="298" t="s">
        <v>149</v>
      </c>
      <c r="M3001" s="298">
        <v>1</v>
      </c>
      <c r="N3001" s="298">
        <v>1</v>
      </c>
      <c r="O3001" s="298">
        <v>1</v>
      </c>
      <c r="P3001" s="298">
        <v>0</v>
      </c>
      <c r="Q3001" s="669">
        <f t="shared" si="176"/>
        <v>0</v>
      </c>
      <c r="R3001" s="1209">
        <v>27610</v>
      </c>
      <c r="S3001" s="1209">
        <f t="shared" si="175"/>
        <v>27610</v>
      </c>
      <c r="T3001" s="683" t="s">
        <v>10016</v>
      </c>
      <c r="U3001" s="1909" t="s">
        <v>10016</v>
      </c>
      <c r="V3001" s="572" t="s">
        <v>6170</v>
      </c>
      <c r="W3001" s="682" t="s">
        <v>10752</v>
      </c>
      <c r="X3001" s="18"/>
      <c r="Y3001" s="4"/>
      <c r="Z3001" s="4"/>
    </row>
    <row r="3002" spans="1:26" ht="14.1" hidden="1">
      <c r="A3002" s="20">
        <v>3009</v>
      </c>
      <c r="B3002" s="1063">
        <v>42779</v>
      </c>
      <c r="C3002" s="958" t="s">
        <v>10753</v>
      </c>
      <c r="D3002" s="11"/>
      <c r="E3002" s="298" t="s">
        <v>10013</v>
      </c>
      <c r="F3002" s="985" t="s">
        <v>784</v>
      </c>
      <c r="G3002" s="298" t="s">
        <v>10754</v>
      </c>
      <c r="H3002" s="298" t="s">
        <v>10755</v>
      </c>
      <c r="I3002" s="298" t="s">
        <v>84</v>
      </c>
      <c r="J3002" s="298">
        <v>23702823</v>
      </c>
      <c r="K3002" s="298" t="s">
        <v>10756</v>
      </c>
      <c r="L3002" s="298" t="s">
        <v>149</v>
      </c>
      <c r="M3002" s="298">
        <v>4</v>
      </c>
      <c r="N3002" s="298">
        <v>1</v>
      </c>
      <c r="O3002" s="298">
        <v>4</v>
      </c>
      <c r="P3002" s="298">
        <v>0</v>
      </c>
      <c r="Q3002" s="669">
        <f t="shared" si="176"/>
        <v>0</v>
      </c>
      <c r="R3002" s="1209">
        <v>2490</v>
      </c>
      <c r="S3002" s="1209">
        <f t="shared" si="175"/>
        <v>9960</v>
      </c>
      <c r="T3002" s="683" t="s">
        <v>10016</v>
      </c>
      <c r="U3002" s="1909" t="s">
        <v>10016</v>
      </c>
      <c r="V3002" s="572" t="s">
        <v>6170</v>
      </c>
      <c r="W3002" s="682" t="s">
        <v>10757</v>
      </c>
      <c r="X3002" s="18"/>
      <c r="Y3002" s="4"/>
      <c r="Z3002" s="4"/>
    </row>
    <row r="3003" spans="1:26" ht="14.1" hidden="1">
      <c r="A3003" s="20">
        <v>3010</v>
      </c>
      <c r="B3003" s="1063">
        <v>42780</v>
      </c>
      <c r="C3003" s="958" t="s">
        <v>10758</v>
      </c>
      <c r="D3003" s="11"/>
      <c r="E3003" s="298" t="s">
        <v>10013</v>
      </c>
      <c r="F3003" s="985" t="s">
        <v>784</v>
      </c>
      <c r="G3003" s="298" t="s">
        <v>10758</v>
      </c>
      <c r="H3003" s="298" t="s">
        <v>10759</v>
      </c>
      <c r="I3003" s="298" t="s">
        <v>76</v>
      </c>
      <c r="J3003" s="298" t="s">
        <v>10760</v>
      </c>
      <c r="K3003" s="298" t="s">
        <v>10761</v>
      </c>
      <c r="L3003" s="298" t="s">
        <v>149</v>
      </c>
      <c r="M3003" s="298">
        <v>2</v>
      </c>
      <c r="N3003" s="298">
        <v>1</v>
      </c>
      <c r="O3003" s="298">
        <v>2</v>
      </c>
      <c r="P3003" s="298">
        <v>0</v>
      </c>
      <c r="Q3003" s="669">
        <f t="shared" si="176"/>
        <v>0</v>
      </c>
      <c r="R3003" s="1209">
        <v>362</v>
      </c>
      <c r="S3003" s="1209">
        <f t="shared" si="175"/>
        <v>724</v>
      </c>
      <c r="T3003" s="683" t="s">
        <v>10016</v>
      </c>
      <c r="U3003" s="1909" t="s">
        <v>10016</v>
      </c>
      <c r="V3003" s="572" t="s">
        <v>6170</v>
      </c>
      <c r="W3003" s="682" t="s">
        <v>10762</v>
      </c>
      <c r="X3003" s="18"/>
      <c r="Y3003" s="4"/>
      <c r="Z3003" s="4"/>
    </row>
    <row r="3004" spans="1:26" ht="14.1" hidden="1">
      <c r="A3004" s="20">
        <v>3011</v>
      </c>
      <c r="B3004" s="1063">
        <v>42781</v>
      </c>
      <c r="C3004" s="958" t="s">
        <v>10763</v>
      </c>
      <c r="D3004" s="278" t="s">
        <v>6</v>
      </c>
      <c r="E3004" s="298" t="s">
        <v>10695</v>
      </c>
      <c r="F3004" s="985" t="s">
        <v>10347</v>
      </c>
      <c r="G3004" s="298" t="s">
        <v>10764</v>
      </c>
      <c r="H3004" s="298" t="s">
        <v>1073</v>
      </c>
      <c r="I3004" s="298" t="s">
        <v>672</v>
      </c>
      <c r="J3004" s="298" t="s">
        <v>10765</v>
      </c>
      <c r="K3004" s="298" t="s">
        <v>10766</v>
      </c>
      <c r="L3004" s="298" t="s">
        <v>1088</v>
      </c>
      <c r="M3004" s="298">
        <v>1</v>
      </c>
      <c r="N3004" s="298">
        <v>1</v>
      </c>
      <c r="O3004" s="298">
        <v>3</v>
      </c>
      <c r="P3004" s="298">
        <v>0</v>
      </c>
      <c r="Q3004" s="669">
        <f t="shared" si="176"/>
        <v>2</v>
      </c>
      <c r="R3004" s="1209">
        <v>749</v>
      </c>
      <c r="S3004" s="1209">
        <f t="shared" si="175"/>
        <v>2247</v>
      </c>
      <c r="T3004" s="683" t="s">
        <v>9485</v>
      </c>
      <c r="U3004" s="1909" t="s">
        <v>9486</v>
      </c>
      <c r="V3004" s="572" t="s">
        <v>352</v>
      </c>
      <c r="W3004" s="682" t="s">
        <v>10767</v>
      </c>
      <c r="X3004" s="18"/>
      <c r="Y3004" s="4"/>
      <c r="Z3004" s="4"/>
    </row>
    <row r="3005" spans="1:26" ht="14.1" hidden="1">
      <c r="A3005" s="20">
        <v>3012</v>
      </c>
      <c r="B3005" s="1063">
        <v>42782</v>
      </c>
      <c r="C3005" s="958" t="s">
        <v>10768</v>
      </c>
      <c r="D3005" s="278" t="s">
        <v>6</v>
      </c>
      <c r="E3005" s="298" t="s">
        <v>10695</v>
      </c>
      <c r="F3005" s="985" t="s">
        <v>10347</v>
      </c>
      <c r="G3005" s="298" t="s">
        <v>10769</v>
      </c>
      <c r="H3005" s="298" t="s">
        <v>460</v>
      </c>
      <c r="I3005" s="298" t="s">
        <v>672</v>
      </c>
      <c r="J3005" s="298" t="s">
        <v>10770</v>
      </c>
      <c r="K3005" s="298" t="s">
        <v>10771</v>
      </c>
      <c r="L3005" s="298" t="s">
        <v>1088</v>
      </c>
      <c r="M3005" s="298">
        <v>1</v>
      </c>
      <c r="N3005" s="298">
        <v>1</v>
      </c>
      <c r="O3005" s="298">
        <v>3</v>
      </c>
      <c r="P3005" s="298">
        <v>0</v>
      </c>
      <c r="Q3005" s="669">
        <f t="shared" si="176"/>
        <v>2</v>
      </c>
      <c r="R3005" s="1209">
        <v>986</v>
      </c>
      <c r="S3005" s="1209">
        <f t="shared" si="175"/>
        <v>2958</v>
      </c>
      <c r="T3005" s="683" t="s">
        <v>9485</v>
      </c>
      <c r="U3005" s="1909" t="s">
        <v>9486</v>
      </c>
      <c r="V3005" s="572" t="s">
        <v>352</v>
      </c>
      <c r="W3005" s="682" t="s">
        <v>10772</v>
      </c>
      <c r="X3005" s="18"/>
      <c r="Y3005" s="4"/>
      <c r="Z3005" s="4"/>
    </row>
    <row r="3006" spans="1:26" ht="14.1" hidden="1">
      <c r="A3006" s="20">
        <v>3013</v>
      </c>
      <c r="B3006" s="1063">
        <v>42783</v>
      </c>
      <c r="C3006" s="958" t="s">
        <v>10773</v>
      </c>
      <c r="D3006" s="278" t="s">
        <v>6</v>
      </c>
      <c r="E3006" s="298" t="s">
        <v>10695</v>
      </c>
      <c r="F3006" s="985" t="s">
        <v>10347</v>
      </c>
      <c r="G3006" s="298" t="s">
        <v>10774</v>
      </c>
      <c r="H3006" s="298" t="s">
        <v>460</v>
      </c>
      <c r="I3006" s="298" t="s">
        <v>672</v>
      </c>
      <c r="J3006" s="298" t="s">
        <v>10775</v>
      </c>
      <c r="K3006" s="298" t="s">
        <v>10776</v>
      </c>
      <c r="L3006" s="298" t="s">
        <v>1088</v>
      </c>
      <c r="M3006" s="298">
        <v>1</v>
      </c>
      <c r="N3006" s="298">
        <v>1</v>
      </c>
      <c r="O3006" s="298">
        <v>3</v>
      </c>
      <c r="P3006" s="298">
        <v>0</v>
      </c>
      <c r="Q3006" s="669">
        <f t="shared" si="176"/>
        <v>2</v>
      </c>
      <c r="R3006" s="1209">
        <v>45</v>
      </c>
      <c r="S3006" s="1209">
        <f t="shared" si="175"/>
        <v>135</v>
      </c>
      <c r="T3006" s="683" t="s">
        <v>9485</v>
      </c>
      <c r="U3006" s="1909" t="s">
        <v>9486</v>
      </c>
      <c r="V3006" s="572" t="s">
        <v>352</v>
      </c>
      <c r="W3006" s="682" t="s">
        <v>10777</v>
      </c>
      <c r="X3006" s="18"/>
      <c r="Y3006" s="4"/>
      <c r="Z3006" s="4"/>
    </row>
    <row r="3007" spans="1:26" ht="14.1" hidden="1">
      <c r="A3007" s="20">
        <v>3014</v>
      </c>
      <c r="B3007" s="1063">
        <v>42784</v>
      </c>
      <c r="C3007" s="958" t="s">
        <v>10778</v>
      </c>
      <c r="D3007" s="278" t="s">
        <v>6</v>
      </c>
      <c r="E3007" s="298" t="s">
        <v>10695</v>
      </c>
      <c r="F3007" s="985" t="s">
        <v>10347</v>
      </c>
      <c r="G3007" s="20" t="s">
        <v>10779</v>
      </c>
      <c r="H3007" s="298" t="s">
        <v>1073</v>
      </c>
      <c r="I3007" s="298" t="s">
        <v>672</v>
      </c>
      <c r="J3007" s="298" t="s">
        <v>10780</v>
      </c>
      <c r="K3007" s="298" t="s">
        <v>10781</v>
      </c>
      <c r="L3007" s="298" t="s">
        <v>1088</v>
      </c>
      <c r="M3007" s="298">
        <v>2</v>
      </c>
      <c r="N3007" s="298">
        <v>1</v>
      </c>
      <c r="O3007" s="298">
        <v>2</v>
      </c>
      <c r="P3007" s="298">
        <v>2</v>
      </c>
      <c r="Q3007" s="669">
        <f t="shared" si="176"/>
        <v>2</v>
      </c>
      <c r="R3007" s="1209">
        <v>383</v>
      </c>
      <c r="S3007" s="1209">
        <f t="shared" si="175"/>
        <v>766</v>
      </c>
      <c r="T3007" s="683" t="s">
        <v>9485</v>
      </c>
      <c r="U3007" s="1909" t="s">
        <v>9486</v>
      </c>
      <c r="V3007" s="572" t="s">
        <v>352</v>
      </c>
      <c r="W3007" s="682" t="s">
        <v>10782</v>
      </c>
      <c r="X3007" s="18"/>
      <c r="Y3007" s="4"/>
      <c r="Z3007" s="4"/>
    </row>
    <row r="3008" spans="1:26" ht="14.1" hidden="1">
      <c r="A3008" s="20">
        <v>3015</v>
      </c>
      <c r="B3008" s="1063">
        <v>42785</v>
      </c>
      <c r="C3008" s="958" t="s">
        <v>1793</v>
      </c>
      <c r="D3008" s="278" t="s">
        <v>6</v>
      </c>
      <c r="E3008" s="298" t="s">
        <v>10695</v>
      </c>
      <c r="F3008" s="985" t="s">
        <v>10347</v>
      </c>
      <c r="G3008" s="204" t="s">
        <v>10783</v>
      </c>
      <c r="H3008" s="298" t="s">
        <v>460</v>
      </c>
      <c r="I3008" s="298" t="s">
        <v>672</v>
      </c>
      <c r="J3008" s="298" t="s">
        <v>10784</v>
      </c>
      <c r="K3008" s="298" t="s">
        <v>10785</v>
      </c>
      <c r="L3008" s="298" t="s">
        <v>1088</v>
      </c>
      <c r="M3008" s="298">
        <v>1</v>
      </c>
      <c r="N3008" s="298">
        <v>1</v>
      </c>
      <c r="O3008" s="298">
        <v>3</v>
      </c>
      <c r="P3008" s="298">
        <v>0</v>
      </c>
      <c r="Q3008" s="669">
        <f t="shared" si="176"/>
        <v>2</v>
      </c>
      <c r="R3008" s="1209">
        <v>1882</v>
      </c>
      <c r="S3008" s="1209">
        <f t="shared" si="175"/>
        <v>5646</v>
      </c>
      <c r="T3008" s="683" t="s">
        <v>9485</v>
      </c>
      <c r="U3008" s="1909" t="s">
        <v>9486</v>
      </c>
      <c r="V3008" s="572" t="s">
        <v>352</v>
      </c>
      <c r="W3008" s="682" t="s">
        <v>10786</v>
      </c>
      <c r="X3008" s="18"/>
      <c r="Y3008" s="4"/>
      <c r="Z3008" s="4"/>
    </row>
    <row r="3009" spans="1:26" ht="14.1" hidden="1">
      <c r="A3009" s="20">
        <v>3016</v>
      </c>
      <c r="B3009" s="1063">
        <v>42786</v>
      </c>
      <c r="C3009" s="958" t="s">
        <v>10787</v>
      </c>
      <c r="D3009" s="278" t="s">
        <v>6</v>
      </c>
      <c r="E3009" s="298" t="s">
        <v>10695</v>
      </c>
      <c r="F3009" s="985" t="s">
        <v>10347</v>
      </c>
      <c r="G3009" s="204" t="s">
        <v>10788</v>
      </c>
      <c r="H3009" s="298" t="s">
        <v>1260</v>
      </c>
      <c r="I3009" s="298" t="s">
        <v>672</v>
      </c>
      <c r="J3009" s="298" t="s">
        <v>3006</v>
      </c>
      <c r="K3009" s="20" t="s">
        <v>9590</v>
      </c>
      <c r="L3009" s="298" t="s">
        <v>1088</v>
      </c>
      <c r="M3009" s="298">
        <v>1</v>
      </c>
      <c r="N3009" s="298">
        <v>1</v>
      </c>
      <c r="O3009" s="298">
        <v>1</v>
      </c>
      <c r="P3009" s="298">
        <v>2</v>
      </c>
      <c r="Q3009" s="669">
        <f t="shared" si="176"/>
        <v>2</v>
      </c>
      <c r="R3009" s="1209">
        <v>1377</v>
      </c>
      <c r="S3009" s="1209">
        <f t="shared" si="175"/>
        <v>1377</v>
      </c>
      <c r="T3009" s="683" t="s">
        <v>9485</v>
      </c>
      <c r="U3009" s="1909" t="s">
        <v>9486</v>
      </c>
      <c r="V3009" s="572" t="s">
        <v>352</v>
      </c>
      <c r="W3009" s="682" t="s">
        <v>10789</v>
      </c>
      <c r="X3009" s="18"/>
      <c r="Y3009" s="4"/>
      <c r="Z3009" s="4"/>
    </row>
    <row r="3010" spans="1:26" ht="14.1" hidden="1">
      <c r="A3010" s="20">
        <v>3017</v>
      </c>
      <c r="B3010" s="1063">
        <v>42787</v>
      </c>
      <c r="C3010" s="958" t="s">
        <v>10790</v>
      </c>
      <c r="D3010" s="278" t="s">
        <v>6</v>
      </c>
      <c r="E3010" s="298" t="s">
        <v>10695</v>
      </c>
      <c r="F3010" s="985" t="s">
        <v>10347</v>
      </c>
      <c r="G3010" s="298" t="s">
        <v>10791</v>
      </c>
      <c r="H3010" s="298" t="s">
        <v>1073</v>
      </c>
      <c r="I3010" s="298" t="s">
        <v>672</v>
      </c>
      <c r="J3010" s="298" t="s">
        <v>10792</v>
      </c>
      <c r="K3010" s="204" t="s">
        <v>10793</v>
      </c>
      <c r="L3010" s="298" t="s">
        <v>1088</v>
      </c>
      <c r="M3010" s="298">
        <v>1</v>
      </c>
      <c r="N3010" s="298">
        <v>1</v>
      </c>
      <c r="O3010" s="298">
        <v>3</v>
      </c>
      <c r="P3010" s="298">
        <v>0</v>
      </c>
      <c r="Q3010" s="669">
        <f t="shared" si="176"/>
        <v>2</v>
      </c>
      <c r="R3010" s="1209">
        <v>327</v>
      </c>
      <c r="S3010" s="1209">
        <f t="shared" si="175"/>
        <v>981</v>
      </c>
      <c r="T3010" s="683" t="s">
        <v>9485</v>
      </c>
      <c r="U3010" s="1909" t="s">
        <v>9486</v>
      </c>
      <c r="V3010" s="572" t="s">
        <v>352</v>
      </c>
      <c r="W3010" s="682" t="s">
        <v>10794</v>
      </c>
      <c r="X3010" s="18"/>
      <c r="Y3010" s="4"/>
      <c r="Z3010" s="4"/>
    </row>
    <row r="3011" spans="1:26" ht="14.45" hidden="1">
      <c r="A3011" s="20">
        <v>3018</v>
      </c>
      <c r="B3011" s="1063">
        <v>42788</v>
      </c>
      <c r="C3011" s="934" t="s">
        <v>10795</v>
      </c>
      <c r="D3011" s="345"/>
      <c r="E3011" s="298" t="s">
        <v>10695</v>
      </c>
      <c r="F3011" s="985" t="s">
        <v>10347</v>
      </c>
      <c r="G3011" s="204" t="s">
        <v>10796</v>
      </c>
      <c r="H3011" s="204" t="s">
        <v>10797</v>
      </c>
      <c r="I3011" s="298" t="s">
        <v>672</v>
      </c>
      <c r="J3011" s="204" t="s">
        <v>10798</v>
      </c>
      <c r="K3011" s="204" t="s">
        <v>10799</v>
      </c>
      <c r="L3011" s="243" t="s">
        <v>2063</v>
      </c>
      <c r="M3011" s="298">
        <v>1</v>
      </c>
      <c r="N3011" s="298">
        <v>1</v>
      </c>
      <c r="O3011" s="204">
        <v>1</v>
      </c>
      <c r="P3011" s="298">
        <v>0</v>
      </c>
      <c r="Q3011" s="669">
        <f t="shared" si="176"/>
        <v>0</v>
      </c>
      <c r="R3011" s="1209">
        <v>2110</v>
      </c>
      <c r="S3011" s="1209">
        <f t="shared" si="175"/>
        <v>2110</v>
      </c>
      <c r="T3011" s="683" t="s">
        <v>9485</v>
      </c>
      <c r="U3011" s="1909" t="s">
        <v>9486</v>
      </c>
      <c r="V3011" s="572" t="s">
        <v>352</v>
      </c>
      <c r="W3011" s="681" t="s">
        <v>10800</v>
      </c>
      <c r="X3011" s="18"/>
      <c r="Y3011" s="4"/>
      <c r="Z3011" s="4"/>
    </row>
    <row r="3012" spans="1:26" ht="14.1" hidden="1">
      <c r="A3012" s="20">
        <v>3019</v>
      </c>
      <c r="B3012" s="1063">
        <v>42789</v>
      </c>
      <c r="C3012" s="934" t="s">
        <v>10801</v>
      </c>
      <c r="D3012" s="11" t="s">
        <v>6</v>
      </c>
      <c r="E3012" s="298" t="s">
        <v>10695</v>
      </c>
      <c r="F3012" s="985" t="s">
        <v>10347</v>
      </c>
      <c r="G3012" s="204" t="s">
        <v>10802</v>
      </c>
      <c r="H3012" s="204" t="s">
        <v>7518</v>
      </c>
      <c r="I3012" s="204" t="s">
        <v>113</v>
      </c>
      <c r="J3012" s="204">
        <v>75925534</v>
      </c>
      <c r="K3012" s="204" t="s">
        <v>10803</v>
      </c>
      <c r="L3012" s="204"/>
      <c r="M3012" s="298">
        <v>1</v>
      </c>
      <c r="N3012" s="298">
        <v>1</v>
      </c>
      <c r="O3012" s="204">
        <v>1</v>
      </c>
      <c r="P3012" s="298">
        <v>0</v>
      </c>
      <c r="Q3012" s="669">
        <f t="shared" si="176"/>
        <v>0</v>
      </c>
      <c r="R3012" s="1209">
        <v>1309</v>
      </c>
      <c r="S3012" s="1209">
        <f t="shared" si="175"/>
        <v>1309</v>
      </c>
      <c r="T3012" s="683" t="s">
        <v>9485</v>
      </c>
      <c r="U3012" s="1909" t="s">
        <v>9486</v>
      </c>
      <c r="V3012" s="572" t="s">
        <v>352</v>
      </c>
      <c r="W3012" s="681" t="s">
        <v>10804</v>
      </c>
      <c r="X3012" s="18"/>
      <c r="Y3012" s="4"/>
      <c r="Z3012" s="4"/>
    </row>
    <row r="3013" spans="1:26" ht="14.1" hidden="1">
      <c r="A3013" s="20">
        <v>3020</v>
      </c>
      <c r="B3013" s="1063">
        <v>42790</v>
      </c>
      <c r="C3013" s="934" t="s">
        <v>10805</v>
      </c>
      <c r="D3013" s="11" t="s">
        <v>6</v>
      </c>
      <c r="E3013" s="298" t="s">
        <v>10695</v>
      </c>
      <c r="F3013" s="985" t="s">
        <v>10347</v>
      </c>
      <c r="G3013" s="204" t="s">
        <v>10806</v>
      </c>
      <c r="H3013" s="204" t="s">
        <v>10807</v>
      </c>
      <c r="I3013" s="204" t="s">
        <v>113</v>
      </c>
      <c r="J3013" s="204">
        <v>26881338</v>
      </c>
      <c r="K3013" s="204" t="s">
        <v>10808</v>
      </c>
      <c r="L3013" s="204"/>
      <c r="M3013" s="298">
        <v>1</v>
      </c>
      <c r="N3013" s="298">
        <v>1</v>
      </c>
      <c r="O3013" s="204">
        <v>1</v>
      </c>
      <c r="P3013" s="298">
        <v>0</v>
      </c>
      <c r="Q3013" s="669">
        <f t="shared" si="176"/>
        <v>0</v>
      </c>
      <c r="R3013" s="1209">
        <v>1490</v>
      </c>
      <c r="S3013" s="1209">
        <f t="shared" si="175"/>
        <v>1490</v>
      </c>
      <c r="T3013" s="683" t="s">
        <v>9485</v>
      </c>
      <c r="U3013" s="1909" t="s">
        <v>9486</v>
      </c>
      <c r="V3013" s="572" t="s">
        <v>352</v>
      </c>
      <c r="W3013" s="681" t="s">
        <v>10809</v>
      </c>
      <c r="X3013" s="18"/>
      <c r="Y3013" s="4"/>
      <c r="Z3013" s="4"/>
    </row>
    <row r="3014" spans="1:26" ht="14.1" hidden="1">
      <c r="A3014" s="20">
        <v>3021</v>
      </c>
      <c r="B3014" s="1063">
        <v>42791</v>
      </c>
      <c r="C3014" s="934" t="s">
        <v>10810</v>
      </c>
      <c r="D3014" s="11" t="s">
        <v>6</v>
      </c>
      <c r="E3014" s="298" t="s">
        <v>10695</v>
      </c>
      <c r="F3014" s="985" t="s">
        <v>10347</v>
      </c>
      <c r="G3014" s="204" t="s">
        <v>10811</v>
      </c>
      <c r="H3014" s="204" t="s">
        <v>7518</v>
      </c>
      <c r="I3014" s="204" t="s">
        <v>113</v>
      </c>
      <c r="J3014" s="204">
        <v>75908646</v>
      </c>
      <c r="K3014" s="204" t="s">
        <v>10812</v>
      </c>
      <c r="L3014" s="204"/>
      <c r="M3014" s="204">
        <v>1</v>
      </c>
      <c r="N3014" s="204">
        <v>1</v>
      </c>
      <c r="O3014" s="204">
        <v>1</v>
      </c>
      <c r="P3014" s="204">
        <v>0</v>
      </c>
      <c r="Q3014" s="669">
        <f t="shared" si="176"/>
        <v>0</v>
      </c>
      <c r="R3014" s="1209">
        <v>2290</v>
      </c>
      <c r="S3014" s="1209">
        <f t="shared" si="175"/>
        <v>2290</v>
      </c>
      <c r="T3014" s="683" t="s">
        <v>9485</v>
      </c>
      <c r="U3014" s="1909" t="s">
        <v>9486</v>
      </c>
      <c r="V3014" s="572" t="s">
        <v>352</v>
      </c>
      <c r="W3014" s="681" t="s">
        <v>10813</v>
      </c>
      <c r="X3014" s="18"/>
      <c r="Y3014" s="4"/>
      <c r="Z3014" s="4"/>
    </row>
    <row r="3015" spans="1:26" ht="14.1" hidden="1">
      <c r="A3015" s="20">
        <v>3022</v>
      </c>
      <c r="B3015" s="1063">
        <v>42792</v>
      </c>
      <c r="C3015" s="934" t="s">
        <v>2872</v>
      </c>
      <c r="D3015" s="11" t="s">
        <v>6</v>
      </c>
      <c r="E3015" s="204" t="s">
        <v>7956</v>
      </c>
      <c r="F3015" s="934" t="s">
        <v>404</v>
      </c>
      <c r="G3015" s="204" t="s">
        <v>10814</v>
      </c>
      <c r="H3015" s="204" t="s">
        <v>1002</v>
      </c>
      <c r="I3015" s="204" t="s">
        <v>1002</v>
      </c>
      <c r="J3015" s="204" t="s">
        <v>1</v>
      </c>
      <c r="K3015" s="204" t="s">
        <v>1</v>
      </c>
      <c r="L3015" s="204" t="s">
        <v>1</v>
      </c>
      <c r="M3015" s="204">
        <v>2</v>
      </c>
      <c r="N3015" s="204">
        <v>1</v>
      </c>
      <c r="O3015" s="204">
        <v>5</v>
      </c>
      <c r="P3015" s="204">
        <v>0</v>
      </c>
      <c r="Q3015" s="572">
        <v>3</v>
      </c>
      <c r="R3015" s="1209">
        <v>100680</v>
      </c>
      <c r="S3015" s="1209">
        <v>100680</v>
      </c>
      <c r="T3015" s="204" t="s">
        <v>311</v>
      </c>
      <c r="U3015" s="1901" t="s">
        <v>311</v>
      </c>
      <c r="V3015" s="572" t="s">
        <v>2875</v>
      </c>
      <c r="W3015" s="804" t="s">
        <v>10815</v>
      </c>
      <c r="X3015" s="18"/>
      <c r="Y3015" s="4"/>
      <c r="Z3015" s="4"/>
    </row>
    <row r="3016" spans="1:26" ht="14.1" hidden="1">
      <c r="A3016" s="20">
        <v>3023</v>
      </c>
      <c r="B3016" s="1063">
        <v>42793</v>
      </c>
      <c r="C3016" s="934" t="s">
        <v>10816</v>
      </c>
      <c r="D3016" s="11" t="s">
        <v>6</v>
      </c>
      <c r="E3016" s="298" t="s">
        <v>683</v>
      </c>
      <c r="F3016" s="26" t="s">
        <v>10005</v>
      </c>
      <c r="G3016" s="204" t="s">
        <v>10817</v>
      </c>
      <c r="H3016" s="204" t="s">
        <v>1928</v>
      </c>
      <c r="I3016" s="204" t="s">
        <v>805</v>
      </c>
      <c r="J3016" s="204" t="s">
        <v>1</v>
      </c>
      <c r="K3016" s="204" t="s">
        <v>10818</v>
      </c>
      <c r="L3016" s="204" t="s">
        <v>149</v>
      </c>
      <c r="M3016" s="204">
        <v>2</v>
      </c>
      <c r="N3016" s="204">
        <v>2</v>
      </c>
      <c r="O3016" s="204">
        <v>2</v>
      </c>
      <c r="P3016" s="204">
        <v>0</v>
      </c>
      <c r="Q3016" s="572">
        <v>2</v>
      </c>
      <c r="R3016" s="1209">
        <v>12749</v>
      </c>
      <c r="S3016" s="1209">
        <f t="shared" ref="S3016:S3022" si="177">R3016*O3016</f>
        <v>25498</v>
      </c>
      <c r="T3016" s="26" t="s">
        <v>4220</v>
      </c>
      <c r="U3016" s="1901" t="s">
        <v>10819</v>
      </c>
      <c r="V3016" s="26" t="s">
        <v>689</v>
      </c>
      <c r="W3016" s="681" t="s">
        <v>10820</v>
      </c>
      <c r="X3016" s="18"/>
      <c r="Y3016" s="4"/>
      <c r="Z3016" s="4"/>
    </row>
    <row r="3017" spans="1:26" ht="14.1" hidden="1">
      <c r="A3017" s="20">
        <v>3024</v>
      </c>
      <c r="B3017" s="1063">
        <v>42794</v>
      </c>
      <c r="C3017" s="934" t="s">
        <v>10816</v>
      </c>
      <c r="D3017" s="11" t="s">
        <v>6</v>
      </c>
      <c r="E3017" s="298" t="s">
        <v>683</v>
      </c>
      <c r="F3017" s="26" t="s">
        <v>10005</v>
      </c>
      <c r="G3017" s="204" t="s">
        <v>10821</v>
      </c>
      <c r="H3017" s="204" t="s">
        <v>1928</v>
      </c>
      <c r="I3017" s="204" t="s">
        <v>805</v>
      </c>
      <c r="J3017" s="204" t="s">
        <v>1</v>
      </c>
      <c r="K3017" s="204" t="s">
        <v>10822</v>
      </c>
      <c r="L3017" s="204" t="s">
        <v>149</v>
      </c>
      <c r="M3017" s="204">
        <v>1</v>
      </c>
      <c r="N3017" s="204">
        <v>1</v>
      </c>
      <c r="O3017" s="204">
        <v>1</v>
      </c>
      <c r="P3017" s="204">
        <v>0</v>
      </c>
      <c r="Q3017" s="572">
        <v>1</v>
      </c>
      <c r="R3017" s="1209">
        <v>16605</v>
      </c>
      <c r="S3017" s="1209">
        <f t="shared" si="177"/>
        <v>16605</v>
      </c>
      <c r="T3017" s="26" t="s">
        <v>4220</v>
      </c>
      <c r="U3017" s="1901" t="s">
        <v>10819</v>
      </c>
      <c r="V3017" s="26" t="s">
        <v>689</v>
      </c>
      <c r="W3017" s="681" t="s">
        <v>10823</v>
      </c>
      <c r="X3017" s="18"/>
      <c r="Y3017" s="4"/>
      <c r="Z3017" s="4"/>
    </row>
    <row r="3018" spans="1:26" ht="14.1" hidden="1">
      <c r="A3018" s="20">
        <v>3025</v>
      </c>
      <c r="B3018" s="1063">
        <v>42795</v>
      </c>
      <c r="C3018" s="934" t="s">
        <v>10824</v>
      </c>
      <c r="D3018" s="11" t="s">
        <v>6</v>
      </c>
      <c r="E3018" s="298" t="s">
        <v>683</v>
      </c>
      <c r="F3018" s="26" t="s">
        <v>10005</v>
      </c>
      <c r="G3018" s="204" t="s">
        <v>10825</v>
      </c>
      <c r="H3018" s="204" t="s">
        <v>1928</v>
      </c>
      <c r="I3018" s="204" t="s">
        <v>805</v>
      </c>
      <c r="J3018" s="204" t="s">
        <v>1</v>
      </c>
      <c r="K3018" s="204" t="s">
        <v>10826</v>
      </c>
      <c r="L3018" s="204" t="s">
        <v>149</v>
      </c>
      <c r="M3018" s="204">
        <v>5</v>
      </c>
      <c r="N3018" s="204">
        <v>5</v>
      </c>
      <c r="O3018" s="204">
        <v>5</v>
      </c>
      <c r="P3018" s="204">
        <v>2</v>
      </c>
      <c r="Q3018" s="572">
        <v>7</v>
      </c>
      <c r="R3018" s="1209">
        <v>562</v>
      </c>
      <c r="S3018" s="1209">
        <f t="shared" si="177"/>
        <v>2810</v>
      </c>
      <c r="T3018" s="26" t="s">
        <v>4220</v>
      </c>
      <c r="U3018" s="1901" t="s">
        <v>10819</v>
      </c>
      <c r="V3018" s="26" t="s">
        <v>689</v>
      </c>
      <c r="W3018" s="681" t="s">
        <v>10827</v>
      </c>
      <c r="X3018" s="18"/>
      <c r="Y3018" s="4"/>
      <c r="Z3018" s="4"/>
    </row>
    <row r="3019" spans="1:26" ht="14.1" hidden="1">
      <c r="A3019" s="20">
        <v>3026</v>
      </c>
      <c r="B3019" s="1063">
        <v>42796</v>
      </c>
      <c r="C3019" s="934" t="s">
        <v>10828</v>
      </c>
      <c r="D3019" s="11" t="s">
        <v>6</v>
      </c>
      <c r="E3019" s="298" t="s">
        <v>683</v>
      </c>
      <c r="F3019" s="26" t="s">
        <v>10005</v>
      </c>
      <c r="G3019" s="204" t="s">
        <v>10825</v>
      </c>
      <c r="H3019" s="204" t="s">
        <v>1928</v>
      </c>
      <c r="I3019" s="204" t="s">
        <v>805</v>
      </c>
      <c r="J3019" s="204" t="s">
        <v>1</v>
      </c>
      <c r="K3019" s="204" t="s">
        <v>10829</v>
      </c>
      <c r="L3019" s="204" t="s">
        <v>149</v>
      </c>
      <c r="M3019" s="204">
        <v>5</v>
      </c>
      <c r="N3019" s="204">
        <v>5</v>
      </c>
      <c r="O3019" s="204">
        <v>5</v>
      </c>
      <c r="P3019" s="204">
        <v>2</v>
      </c>
      <c r="Q3019" s="572">
        <v>7</v>
      </c>
      <c r="R3019" s="1209">
        <v>592</v>
      </c>
      <c r="S3019" s="1209">
        <f t="shared" si="177"/>
        <v>2960</v>
      </c>
      <c r="T3019" s="26" t="s">
        <v>4220</v>
      </c>
      <c r="U3019" s="1901" t="s">
        <v>10819</v>
      </c>
      <c r="V3019" s="26" t="s">
        <v>689</v>
      </c>
      <c r="W3019" s="681" t="s">
        <v>10830</v>
      </c>
      <c r="X3019" s="18"/>
      <c r="Y3019" s="4"/>
      <c r="Z3019" s="4"/>
    </row>
    <row r="3020" spans="1:26" ht="14.1" hidden="1">
      <c r="A3020" s="20">
        <v>3027</v>
      </c>
      <c r="B3020" s="1063">
        <v>42797</v>
      </c>
      <c r="C3020" s="934" t="s">
        <v>10831</v>
      </c>
      <c r="D3020" s="11" t="s">
        <v>6</v>
      </c>
      <c r="E3020" s="204" t="s">
        <v>7956</v>
      </c>
      <c r="F3020" s="934" t="s">
        <v>2143</v>
      </c>
      <c r="G3020" s="204" t="s">
        <v>10832</v>
      </c>
      <c r="H3020" s="204" t="s">
        <v>10833</v>
      </c>
      <c r="I3020" s="204" t="s">
        <v>1063</v>
      </c>
      <c r="J3020" s="204" t="s">
        <v>10834</v>
      </c>
      <c r="K3020" s="204" t="s">
        <v>10835</v>
      </c>
      <c r="L3020" s="204"/>
      <c r="M3020" s="204">
        <v>1</v>
      </c>
      <c r="N3020" s="204">
        <v>1</v>
      </c>
      <c r="O3020" s="204">
        <v>1</v>
      </c>
      <c r="P3020" s="204">
        <v>0</v>
      </c>
      <c r="Q3020" s="572">
        <v>0</v>
      </c>
      <c r="R3020" s="1209">
        <v>2400</v>
      </c>
      <c r="S3020" s="1209">
        <f t="shared" si="177"/>
        <v>2400</v>
      </c>
      <c r="T3020" s="204" t="s">
        <v>311</v>
      </c>
      <c r="U3020" s="1901" t="s">
        <v>311</v>
      </c>
      <c r="V3020" s="572" t="s">
        <v>2875</v>
      </c>
      <c r="W3020" s="681" t="s">
        <v>10836</v>
      </c>
      <c r="X3020" s="18"/>
      <c r="Y3020" s="4"/>
      <c r="Z3020" s="4"/>
    </row>
    <row r="3021" spans="1:26" ht="14.1" hidden="1">
      <c r="A3021" s="20">
        <v>3028</v>
      </c>
      <c r="B3021" s="1063">
        <v>42798</v>
      </c>
      <c r="C3021" s="934" t="s">
        <v>10837</v>
      </c>
      <c r="D3021" s="11" t="s">
        <v>6</v>
      </c>
      <c r="E3021" s="204" t="s">
        <v>7956</v>
      </c>
      <c r="F3021" s="934" t="s">
        <v>2143</v>
      </c>
      <c r="G3021" s="204" t="s">
        <v>10838</v>
      </c>
      <c r="H3021" s="204" t="s">
        <v>10839</v>
      </c>
      <c r="I3021" s="204" t="s">
        <v>1063</v>
      </c>
      <c r="J3021" s="204" t="s">
        <v>10840</v>
      </c>
      <c r="K3021" s="204"/>
      <c r="L3021" s="204"/>
      <c r="M3021" s="204">
        <v>1</v>
      </c>
      <c r="N3021" s="204">
        <v>1</v>
      </c>
      <c r="O3021" s="204">
        <v>1</v>
      </c>
      <c r="P3021" s="204">
        <v>0</v>
      </c>
      <c r="Q3021" s="572">
        <v>0</v>
      </c>
      <c r="R3021" s="1209">
        <v>2600</v>
      </c>
      <c r="S3021" s="1209">
        <f t="shared" si="177"/>
        <v>2600</v>
      </c>
      <c r="T3021" s="204" t="s">
        <v>311</v>
      </c>
      <c r="U3021" s="1901" t="s">
        <v>311</v>
      </c>
      <c r="V3021" s="572" t="s">
        <v>2875</v>
      </c>
      <c r="W3021" s="681" t="s">
        <v>10841</v>
      </c>
      <c r="X3021" s="18"/>
      <c r="Y3021" s="4"/>
      <c r="Z3021" s="4"/>
    </row>
    <row r="3022" spans="1:26" ht="14.1" hidden="1">
      <c r="A3022" s="20">
        <v>3029</v>
      </c>
      <c r="B3022" s="1063">
        <v>42799</v>
      </c>
      <c r="C3022" s="191" t="s">
        <v>10842</v>
      </c>
      <c r="D3022" s="11" t="s">
        <v>6</v>
      </c>
      <c r="E3022" s="204" t="s">
        <v>7956</v>
      </c>
      <c r="F3022" s="934" t="s">
        <v>2143</v>
      </c>
      <c r="G3022" s="204" t="s">
        <v>10843</v>
      </c>
      <c r="H3022" s="204" t="s">
        <v>7663</v>
      </c>
      <c r="I3022" s="204" t="s">
        <v>1063</v>
      </c>
      <c r="J3022" s="204" t="s">
        <v>10844</v>
      </c>
      <c r="K3022" s="204"/>
      <c r="L3022" s="204"/>
      <c r="M3022" s="204">
        <v>10</v>
      </c>
      <c r="N3022" s="204">
        <v>1</v>
      </c>
      <c r="O3022" s="204">
        <v>10</v>
      </c>
      <c r="P3022" s="204">
        <v>0</v>
      </c>
      <c r="Q3022" s="572">
        <v>0</v>
      </c>
      <c r="R3022" s="1209">
        <v>150</v>
      </c>
      <c r="S3022" s="1209">
        <f t="shared" si="177"/>
        <v>1500</v>
      </c>
      <c r="T3022" s="204" t="s">
        <v>311</v>
      </c>
      <c r="U3022" s="1901" t="s">
        <v>311</v>
      </c>
      <c r="V3022" s="572" t="s">
        <v>2875</v>
      </c>
      <c r="W3022" s="681" t="s">
        <v>10845</v>
      </c>
      <c r="X3022" s="18"/>
      <c r="Y3022" s="4"/>
      <c r="Z3022" s="4"/>
    </row>
    <row r="3023" spans="1:26" ht="14.1" hidden="1">
      <c r="A3023" s="20">
        <v>3030</v>
      </c>
      <c r="B3023" s="1063">
        <v>42800</v>
      </c>
      <c r="C3023" s="934" t="s">
        <v>10846</v>
      </c>
      <c r="D3023" s="11" t="s">
        <v>6</v>
      </c>
      <c r="E3023" s="204" t="s">
        <v>7956</v>
      </c>
      <c r="F3023" s="934" t="s">
        <v>2143</v>
      </c>
      <c r="G3023" s="204" t="s">
        <v>10847</v>
      </c>
      <c r="H3023" s="204"/>
      <c r="I3023" s="204" t="s">
        <v>10848</v>
      </c>
      <c r="J3023" s="204" t="s">
        <v>10849</v>
      </c>
      <c r="K3023" s="204"/>
      <c r="L3023" s="204"/>
      <c r="M3023" s="204">
        <v>1</v>
      </c>
      <c r="N3023" s="204">
        <v>1</v>
      </c>
      <c r="O3023" s="204">
        <v>1</v>
      </c>
      <c r="P3023" s="204">
        <v>0</v>
      </c>
      <c r="Q3023" s="572">
        <v>0</v>
      </c>
      <c r="R3023" s="1209">
        <v>990</v>
      </c>
      <c r="S3023" s="1209">
        <v>990</v>
      </c>
      <c r="T3023" s="204" t="s">
        <v>311</v>
      </c>
      <c r="U3023" s="1901" t="s">
        <v>311</v>
      </c>
      <c r="V3023" s="572" t="s">
        <v>2875</v>
      </c>
      <c r="W3023" s="681" t="s">
        <v>8069</v>
      </c>
      <c r="X3023" s="18"/>
      <c r="Y3023" s="4"/>
      <c r="Z3023" s="4"/>
    </row>
    <row r="3024" spans="1:26" ht="14.1" hidden="1">
      <c r="A3024" s="20">
        <v>3031</v>
      </c>
      <c r="B3024" s="1063">
        <v>42801</v>
      </c>
      <c r="C3024" s="934" t="s">
        <v>10850</v>
      </c>
      <c r="D3024" s="11" t="s">
        <v>6</v>
      </c>
      <c r="E3024" s="204" t="s">
        <v>7956</v>
      </c>
      <c r="F3024" s="934" t="s">
        <v>2143</v>
      </c>
      <c r="G3024" s="204" t="s">
        <v>10851</v>
      </c>
      <c r="H3024" s="204"/>
      <c r="I3024" s="204" t="s">
        <v>1022</v>
      </c>
      <c r="J3024" s="204"/>
      <c r="K3024" s="204"/>
      <c r="L3024" s="204"/>
      <c r="M3024" s="204">
        <v>1</v>
      </c>
      <c r="N3024" s="204">
        <v>1</v>
      </c>
      <c r="O3024" s="204">
        <v>1</v>
      </c>
      <c r="P3024" s="204">
        <v>0</v>
      </c>
      <c r="Q3024" s="572">
        <v>0</v>
      </c>
      <c r="R3024" s="1209">
        <v>418</v>
      </c>
      <c r="S3024" s="1209">
        <v>418</v>
      </c>
      <c r="T3024" s="204" t="s">
        <v>311</v>
      </c>
      <c r="U3024" s="1901" t="s">
        <v>311</v>
      </c>
      <c r="V3024" s="572" t="s">
        <v>2875</v>
      </c>
      <c r="W3024" s="681" t="s">
        <v>10852</v>
      </c>
      <c r="X3024" s="18"/>
      <c r="Y3024" s="4"/>
      <c r="Z3024" s="4"/>
    </row>
    <row r="3025" spans="1:26" ht="14.1" hidden="1">
      <c r="A3025" s="20">
        <v>3032</v>
      </c>
      <c r="B3025" s="1063">
        <v>42802</v>
      </c>
      <c r="C3025" s="969" t="s">
        <v>10853</v>
      </c>
      <c r="D3025" s="22" t="s">
        <v>6</v>
      </c>
      <c r="E3025" s="204" t="s">
        <v>7956</v>
      </c>
      <c r="F3025" s="1050" t="s">
        <v>2143</v>
      </c>
      <c r="G3025" s="346" t="s">
        <v>10854</v>
      </c>
      <c r="H3025" s="346"/>
      <c r="I3025" s="346" t="s">
        <v>1022</v>
      </c>
      <c r="J3025" s="346"/>
      <c r="K3025" s="346"/>
      <c r="L3025" s="346"/>
      <c r="M3025" s="346">
        <v>1</v>
      </c>
      <c r="N3025" s="346">
        <v>1</v>
      </c>
      <c r="O3025" s="346">
        <v>1</v>
      </c>
      <c r="P3025" s="346">
        <v>0</v>
      </c>
      <c r="Q3025" s="347">
        <v>0</v>
      </c>
      <c r="R3025" s="1301">
        <v>495</v>
      </c>
      <c r="S3025" s="1301">
        <v>495</v>
      </c>
      <c r="T3025" s="346" t="s">
        <v>311</v>
      </c>
      <c r="U3025" s="1926" t="s">
        <v>311</v>
      </c>
      <c r="V3025" s="347" t="s">
        <v>2875</v>
      </c>
      <c r="W3025" s="2105" t="s">
        <v>10855</v>
      </c>
      <c r="X3025" s="18"/>
      <c r="Y3025" s="4"/>
      <c r="Z3025" s="4"/>
    </row>
    <row r="3026" spans="1:26" ht="14.1" hidden="1">
      <c r="A3026" s="20">
        <v>3033</v>
      </c>
      <c r="B3026" s="1063">
        <v>42803</v>
      </c>
      <c r="C3026" s="934" t="s">
        <v>10856</v>
      </c>
      <c r="D3026" s="11" t="s">
        <v>6</v>
      </c>
      <c r="E3026" s="204" t="s">
        <v>7956</v>
      </c>
      <c r="F3026" s="934" t="s">
        <v>2143</v>
      </c>
      <c r="G3026" s="204" t="s">
        <v>10857</v>
      </c>
      <c r="H3026" s="348"/>
      <c r="I3026" s="204" t="s">
        <v>84</v>
      </c>
      <c r="J3026" s="204">
        <v>39540137</v>
      </c>
      <c r="K3026" s="204" t="s">
        <v>10858</v>
      </c>
      <c r="L3026" s="204"/>
      <c r="M3026" s="204">
        <v>1</v>
      </c>
      <c r="N3026" s="204">
        <v>1</v>
      </c>
      <c r="O3026" s="204">
        <v>1</v>
      </c>
      <c r="P3026" s="204">
        <v>0</v>
      </c>
      <c r="Q3026" s="572">
        <v>0</v>
      </c>
      <c r="R3026" s="1209">
        <v>459</v>
      </c>
      <c r="S3026" s="1209">
        <v>459</v>
      </c>
      <c r="T3026" s="204" t="s">
        <v>7779</v>
      </c>
      <c r="U3026" s="1901" t="s">
        <v>118</v>
      </c>
      <c r="V3026" s="572" t="s">
        <v>118</v>
      </c>
      <c r="W3026" s="681" t="s">
        <v>10859</v>
      </c>
      <c r="X3026" s="18"/>
      <c r="Y3026" s="4"/>
      <c r="Z3026" s="4"/>
    </row>
    <row r="3027" spans="1:26" ht="15.6" hidden="1">
      <c r="A3027" s="20">
        <v>3034</v>
      </c>
      <c r="B3027" s="1063">
        <v>42804</v>
      </c>
      <c r="C3027" s="934" t="s">
        <v>329</v>
      </c>
      <c r="D3027" s="11" t="s">
        <v>6</v>
      </c>
      <c r="E3027" s="204" t="s">
        <v>4951</v>
      </c>
      <c r="F3027" s="934" t="s">
        <v>439</v>
      </c>
      <c r="G3027" s="349" t="s">
        <v>650</v>
      </c>
      <c r="H3027" s="204" t="s">
        <v>332</v>
      </c>
      <c r="I3027" s="204" t="s">
        <v>574</v>
      </c>
      <c r="J3027" s="239" t="s">
        <v>10860</v>
      </c>
      <c r="K3027" s="350" t="s">
        <v>6278</v>
      </c>
      <c r="L3027" s="204" t="s">
        <v>1088</v>
      </c>
      <c r="M3027" s="204">
        <v>36</v>
      </c>
      <c r="N3027" s="204">
        <v>1</v>
      </c>
      <c r="O3027" s="204">
        <v>25</v>
      </c>
      <c r="P3027" s="204">
        <v>21</v>
      </c>
      <c r="Q3027" s="572">
        <v>10</v>
      </c>
      <c r="R3027" s="1245">
        <v>64</v>
      </c>
      <c r="S3027" s="1209">
        <f t="shared" ref="S3027:S3047" si="178">(R3027*O3027)</f>
        <v>1600</v>
      </c>
      <c r="T3027" s="204" t="s">
        <v>5448</v>
      </c>
      <c r="U3027" s="1901" t="s">
        <v>10861</v>
      </c>
      <c r="V3027" s="572" t="s">
        <v>1544</v>
      </c>
      <c r="W3027" s="681" t="s">
        <v>10862</v>
      </c>
      <c r="X3027" s="18"/>
      <c r="Y3027" s="4"/>
      <c r="Z3027" s="4"/>
    </row>
    <row r="3028" spans="1:26" ht="14.1" hidden="1">
      <c r="A3028" s="20">
        <v>3035</v>
      </c>
      <c r="B3028" s="1063">
        <v>42805</v>
      </c>
      <c r="C3028" s="934" t="s">
        <v>329</v>
      </c>
      <c r="D3028" s="11" t="s">
        <v>6</v>
      </c>
      <c r="E3028" s="204" t="s">
        <v>4951</v>
      </c>
      <c r="F3028" s="934" t="s">
        <v>439</v>
      </c>
      <c r="G3028" s="204" t="s">
        <v>6287</v>
      </c>
      <c r="H3028" s="239" t="s">
        <v>332</v>
      </c>
      <c r="I3028" s="668" t="s">
        <v>574</v>
      </c>
      <c r="J3028" s="668" t="s">
        <v>6288</v>
      </c>
      <c r="K3028" s="713" t="s">
        <v>6289</v>
      </c>
      <c r="L3028" s="204" t="s">
        <v>1088</v>
      </c>
      <c r="M3028" s="204">
        <v>8</v>
      </c>
      <c r="N3028" s="204">
        <v>1</v>
      </c>
      <c r="O3028" s="204">
        <v>10</v>
      </c>
      <c r="P3028" s="204">
        <v>10</v>
      </c>
      <c r="Q3028" s="572">
        <v>12</v>
      </c>
      <c r="R3028" s="1245">
        <v>27</v>
      </c>
      <c r="S3028" s="1209">
        <f t="shared" si="178"/>
        <v>270</v>
      </c>
      <c r="T3028" s="204" t="s">
        <v>5448</v>
      </c>
      <c r="U3028" s="1901" t="s">
        <v>10861</v>
      </c>
      <c r="V3028" s="572" t="s">
        <v>1544</v>
      </c>
      <c r="W3028" s="681" t="s">
        <v>6290</v>
      </c>
      <c r="X3028" s="18"/>
      <c r="Y3028" s="4"/>
      <c r="Z3028" s="4"/>
    </row>
    <row r="3029" spans="1:26" ht="15.6" hidden="1">
      <c r="A3029" s="20">
        <v>3036</v>
      </c>
      <c r="B3029" s="1063">
        <v>42806</v>
      </c>
      <c r="C3029" s="934" t="s">
        <v>329</v>
      </c>
      <c r="D3029" s="11" t="s">
        <v>6</v>
      </c>
      <c r="E3029" s="204" t="s">
        <v>4951</v>
      </c>
      <c r="F3029" s="934" t="s">
        <v>439</v>
      </c>
      <c r="G3029" s="349" t="s">
        <v>6310</v>
      </c>
      <c r="H3029" s="572" t="s">
        <v>184</v>
      </c>
      <c r="I3029" s="714" t="s">
        <v>574</v>
      </c>
      <c r="J3029" s="668" t="s">
        <v>6311</v>
      </c>
      <c r="K3029" s="668" t="s">
        <v>6312</v>
      </c>
      <c r="L3029" s="204" t="s">
        <v>1088</v>
      </c>
      <c r="M3029" s="204">
        <v>6</v>
      </c>
      <c r="N3029" s="204">
        <v>1</v>
      </c>
      <c r="O3029" s="204">
        <v>8</v>
      </c>
      <c r="P3029" s="204">
        <v>8</v>
      </c>
      <c r="Q3029" s="572">
        <v>10</v>
      </c>
      <c r="R3029" s="1209">
        <v>34</v>
      </c>
      <c r="S3029" s="1209">
        <f t="shared" si="178"/>
        <v>272</v>
      </c>
      <c r="T3029" s="204" t="s">
        <v>5448</v>
      </c>
      <c r="U3029" s="1901" t="s">
        <v>10861</v>
      </c>
      <c r="V3029" s="572" t="s">
        <v>1544</v>
      </c>
      <c r="W3029" s="681" t="s">
        <v>6313</v>
      </c>
      <c r="X3029" s="18"/>
      <c r="Y3029" s="4"/>
      <c r="Z3029" s="4"/>
    </row>
    <row r="3030" spans="1:26" ht="14.1" hidden="1">
      <c r="A3030" s="20">
        <v>3037</v>
      </c>
      <c r="B3030" s="1063">
        <v>42807</v>
      </c>
      <c r="C3030" s="934" t="s">
        <v>152</v>
      </c>
      <c r="D3030" s="11" t="s">
        <v>6</v>
      </c>
      <c r="E3030" s="204" t="s">
        <v>4951</v>
      </c>
      <c r="F3030" s="934" t="s">
        <v>439</v>
      </c>
      <c r="G3030" s="204" t="s">
        <v>10863</v>
      </c>
      <c r="H3030" s="239" t="s">
        <v>166</v>
      </c>
      <c r="I3030" s="668" t="s">
        <v>574</v>
      </c>
      <c r="J3030" s="668" t="s">
        <v>3055</v>
      </c>
      <c r="K3030" s="668" t="s">
        <v>3056</v>
      </c>
      <c r="L3030" s="204" t="s">
        <v>1088</v>
      </c>
      <c r="M3030" s="204">
        <v>16</v>
      </c>
      <c r="N3030" s="204">
        <v>1</v>
      </c>
      <c r="O3030" s="204">
        <v>17</v>
      </c>
      <c r="P3030" s="204">
        <v>9</v>
      </c>
      <c r="Q3030" s="572">
        <v>10</v>
      </c>
      <c r="R3030" s="1209">
        <v>35</v>
      </c>
      <c r="S3030" s="1209">
        <f t="shared" si="178"/>
        <v>595</v>
      </c>
      <c r="T3030" s="204" t="s">
        <v>5448</v>
      </c>
      <c r="U3030" s="1901" t="s">
        <v>10861</v>
      </c>
      <c r="V3030" s="572" t="s">
        <v>1544</v>
      </c>
      <c r="W3030" s="681" t="s">
        <v>3057</v>
      </c>
      <c r="X3030" s="18"/>
      <c r="Y3030" s="4"/>
      <c r="Z3030" s="4"/>
    </row>
    <row r="3031" spans="1:26" ht="14.1" hidden="1">
      <c r="A3031" s="20">
        <v>3038</v>
      </c>
      <c r="B3031" s="1063">
        <v>42808</v>
      </c>
      <c r="C3031" s="934" t="s">
        <v>152</v>
      </c>
      <c r="D3031" s="11" t="s">
        <v>6</v>
      </c>
      <c r="E3031" s="204" t="s">
        <v>4951</v>
      </c>
      <c r="F3031" s="934" t="s">
        <v>439</v>
      </c>
      <c r="G3031" s="204" t="s">
        <v>10864</v>
      </c>
      <c r="H3031" s="239" t="s">
        <v>3676</v>
      </c>
      <c r="I3031" s="668" t="s">
        <v>574</v>
      </c>
      <c r="J3031" s="668" t="s">
        <v>6346</v>
      </c>
      <c r="K3031" s="713" t="s">
        <v>6347</v>
      </c>
      <c r="L3031" s="204" t="s">
        <v>1088</v>
      </c>
      <c r="M3031" s="204">
        <v>20</v>
      </c>
      <c r="N3031" s="204">
        <v>1</v>
      </c>
      <c r="O3031" s="204">
        <v>30</v>
      </c>
      <c r="P3031" s="204">
        <v>1</v>
      </c>
      <c r="Q3031" s="572">
        <v>11</v>
      </c>
      <c r="R3031" s="1302">
        <v>11</v>
      </c>
      <c r="S3031" s="1209">
        <f t="shared" si="178"/>
        <v>330</v>
      </c>
      <c r="T3031" s="204" t="s">
        <v>5448</v>
      </c>
      <c r="U3031" s="1901" t="s">
        <v>10861</v>
      </c>
      <c r="V3031" s="572" t="s">
        <v>1544</v>
      </c>
      <c r="W3031" s="681" t="s">
        <v>6348</v>
      </c>
      <c r="X3031" s="18"/>
      <c r="Y3031" s="4"/>
      <c r="Z3031" s="4"/>
    </row>
    <row r="3032" spans="1:26" ht="14.1" hidden="1">
      <c r="A3032" s="20">
        <v>3039</v>
      </c>
      <c r="B3032" s="1063">
        <v>42809</v>
      </c>
      <c r="C3032" s="934" t="s">
        <v>152</v>
      </c>
      <c r="D3032" s="11" t="s">
        <v>6</v>
      </c>
      <c r="E3032" s="204" t="s">
        <v>4951</v>
      </c>
      <c r="F3032" s="934" t="s">
        <v>439</v>
      </c>
      <c r="G3032" s="204" t="s">
        <v>10865</v>
      </c>
      <c r="H3032" s="239" t="s">
        <v>3676</v>
      </c>
      <c r="I3032" s="668" t="s">
        <v>574</v>
      </c>
      <c r="J3032" s="668" t="s">
        <v>6350</v>
      </c>
      <c r="K3032" s="668" t="s">
        <v>6351</v>
      </c>
      <c r="L3032" s="204" t="s">
        <v>1088</v>
      </c>
      <c r="M3032" s="204">
        <v>22</v>
      </c>
      <c r="N3032" s="204">
        <v>1</v>
      </c>
      <c r="O3032" s="204">
        <v>26</v>
      </c>
      <c r="P3032" s="204">
        <v>6</v>
      </c>
      <c r="Q3032" s="572">
        <v>10</v>
      </c>
      <c r="R3032" s="1209">
        <v>11</v>
      </c>
      <c r="S3032" s="1209">
        <f t="shared" si="178"/>
        <v>286</v>
      </c>
      <c r="T3032" s="204" t="s">
        <v>5448</v>
      </c>
      <c r="U3032" s="1901" t="s">
        <v>10861</v>
      </c>
      <c r="V3032" s="572" t="s">
        <v>1544</v>
      </c>
      <c r="W3032" s="681" t="s">
        <v>6352</v>
      </c>
      <c r="X3032" s="18"/>
      <c r="Y3032" s="4"/>
      <c r="Z3032" s="4"/>
    </row>
    <row r="3033" spans="1:26" ht="15.6" hidden="1">
      <c r="A3033" s="20">
        <v>3040</v>
      </c>
      <c r="B3033" s="1063">
        <v>42810</v>
      </c>
      <c r="C3033" s="934" t="s">
        <v>152</v>
      </c>
      <c r="D3033" s="11" t="s">
        <v>6</v>
      </c>
      <c r="E3033" s="204" t="s">
        <v>4951</v>
      </c>
      <c r="F3033" s="934" t="s">
        <v>439</v>
      </c>
      <c r="G3033" s="204" t="s">
        <v>10866</v>
      </c>
      <c r="H3033" s="351" t="s">
        <v>3676</v>
      </c>
      <c r="I3033" s="1074" t="s">
        <v>574</v>
      </c>
      <c r="J3033" s="1074" t="s">
        <v>6402</v>
      </c>
      <c r="K3033" s="715" t="s">
        <v>6403</v>
      </c>
      <c r="L3033" s="204" t="s">
        <v>1088</v>
      </c>
      <c r="M3033" s="204">
        <v>8</v>
      </c>
      <c r="N3033" s="204">
        <v>1</v>
      </c>
      <c r="O3033" s="204">
        <v>16</v>
      </c>
      <c r="P3033" s="204">
        <v>2</v>
      </c>
      <c r="Q3033" s="572">
        <v>10</v>
      </c>
      <c r="R3033" s="1302">
        <v>11</v>
      </c>
      <c r="S3033" s="1209">
        <f t="shared" si="178"/>
        <v>176</v>
      </c>
      <c r="T3033" s="204" t="s">
        <v>5448</v>
      </c>
      <c r="U3033" s="1901" t="s">
        <v>10861</v>
      </c>
      <c r="V3033" s="572" t="s">
        <v>1544</v>
      </c>
      <c r="W3033" s="681" t="s">
        <v>6404</v>
      </c>
      <c r="X3033" s="18"/>
      <c r="Y3033" s="4"/>
      <c r="Z3033" s="4"/>
    </row>
    <row r="3034" spans="1:26" ht="15.6" hidden="1">
      <c r="A3034" s="20">
        <v>3041</v>
      </c>
      <c r="B3034" s="1063">
        <v>42811</v>
      </c>
      <c r="C3034" s="934" t="s">
        <v>152</v>
      </c>
      <c r="D3034" s="11" t="s">
        <v>6</v>
      </c>
      <c r="E3034" s="204" t="s">
        <v>4951</v>
      </c>
      <c r="F3034" s="934" t="s">
        <v>439</v>
      </c>
      <c r="G3034" s="716" t="s">
        <v>6355</v>
      </c>
      <c r="H3034" s="351" t="s">
        <v>3676</v>
      </c>
      <c r="I3034" s="1074" t="s">
        <v>574</v>
      </c>
      <c r="J3034" s="1074" t="s">
        <v>494</v>
      </c>
      <c r="K3034" s="715" t="s">
        <v>495</v>
      </c>
      <c r="L3034" s="204" t="s">
        <v>1088</v>
      </c>
      <c r="M3034" s="204">
        <v>12</v>
      </c>
      <c r="N3034" s="204">
        <v>1</v>
      </c>
      <c r="O3034" s="204">
        <v>15</v>
      </c>
      <c r="P3034" s="204">
        <v>8</v>
      </c>
      <c r="Q3034" s="572">
        <v>11</v>
      </c>
      <c r="R3034" s="1209">
        <v>71</v>
      </c>
      <c r="S3034" s="1209">
        <f t="shared" si="178"/>
        <v>1065</v>
      </c>
      <c r="T3034" s="204" t="s">
        <v>5448</v>
      </c>
      <c r="U3034" s="1901" t="s">
        <v>10861</v>
      </c>
      <c r="V3034" s="572" t="s">
        <v>1544</v>
      </c>
      <c r="W3034" s="681" t="s">
        <v>6355</v>
      </c>
      <c r="X3034" s="18"/>
      <c r="Y3034" s="4"/>
      <c r="Z3034" s="4"/>
    </row>
    <row r="3035" spans="1:26" ht="15.6" hidden="1">
      <c r="A3035" s="20">
        <v>3042</v>
      </c>
      <c r="B3035" s="1063">
        <v>42812</v>
      </c>
      <c r="C3035" s="934" t="s">
        <v>1988</v>
      </c>
      <c r="D3035" s="11" t="s">
        <v>6</v>
      </c>
      <c r="E3035" s="204" t="s">
        <v>4951</v>
      </c>
      <c r="F3035" s="934" t="s">
        <v>439</v>
      </c>
      <c r="G3035" s="204" t="s">
        <v>1988</v>
      </c>
      <c r="H3035" s="352" t="s">
        <v>452</v>
      </c>
      <c r="I3035" s="1075" t="s">
        <v>574</v>
      </c>
      <c r="J3035" s="1075" t="s">
        <v>6454</v>
      </c>
      <c r="K3035" s="353" t="s">
        <v>6455</v>
      </c>
      <c r="L3035" s="204"/>
      <c r="M3035" s="204">
        <v>8</v>
      </c>
      <c r="N3035" s="204">
        <v>1</v>
      </c>
      <c r="O3035" s="204">
        <v>14</v>
      </c>
      <c r="P3035" s="204">
        <v>4</v>
      </c>
      <c r="Q3035" s="572">
        <v>10</v>
      </c>
      <c r="R3035" s="1209">
        <v>16</v>
      </c>
      <c r="S3035" s="1209">
        <f t="shared" si="178"/>
        <v>224</v>
      </c>
      <c r="T3035" s="204" t="s">
        <v>5448</v>
      </c>
      <c r="U3035" s="1901" t="s">
        <v>10861</v>
      </c>
      <c r="V3035" s="572" t="s">
        <v>1544</v>
      </c>
      <c r="W3035" s="681" t="s">
        <v>10867</v>
      </c>
      <c r="X3035" s="18"/>
      <c r="Y3035" s="4"/>
      <c r="Z3035" s="4"/>
    </row>
    <row r="3036" spans="1:26" ht="15.6" hidden="1">
      <c r="A3036" s="20">
        <v>3043</v>
      </c>
      <c r="B3036" s="1063">
        <v>42813</v>
      </c>
      <c r="C3036" s="934" t="s">
        <v>10868</v>
      </c>
      <c r="D3036" s="11" t="s">
        <v>6</v>
      </c>
      <c r="E3036" s="204" t="s">
        <v>4951</v>
      </c>
      <c r="F3036" s="934" t="s">
        <v>439</v>
      </c>
      <c r="G3036" s="208" t="s">
        <v>10869</v>
      </c>
      <c r="H3036" s="352" t="s">
        <v>1740</v>
      </c>
      <c r="I3036" s="1075" t="s">
        <v>574</v>
      </c>
      <c r="J3036" s="1075" t="s">
        <v>6459</v>
      </c>
      <c r="K3036" s="353" t="s">
        <v>6460</v>
      </c>
      <c r="L3036" s="204"/>
      <c r="M3036" s="204">
        <v>4</v>
      </c>
      <c r="N3036" s="204">
        <v>1</v>
      </c>
      <c r="O3036" s="204">
        <v>10</v>
      </c>
      <c r="P3036" s="204">
        <v>1</v>
      </c>
      <c r="Q3036" s="572">
        <v>7</v>
      </c>
      <c r="R3036" s="1209">
        <v>67</v>
      </c>
      <c r="S3036" s="1209">
        <f t="shared" si="178"/>
        <v>670</v>
      </c>
      <c r="T3036" s="204" t="s">
        <v>5448</v>
      </c>
      <c r="U3036" s="1901" t="s">
        <v>10861</v>
      </c>
      <c r="V3036" s="572" t="s">
        <v>1544</v>
      </c>
      <c r="W3036" s="804" t="s">
        <v>6461</v>
      </c>
      <c r="X3036" s="18"/>
      <c r="Y3036" s="4"/>
      <c r="Z3036" s="4"/>
    </row>
    <row r="3037" spans="1:26" ht="15.6">
      <c r="A3037" s="20"/>
      <c r="B3037" s="1063">
        <v>44960</v>
      </c>
      <c r="C3037" s="934"/>
      <c r="D3037" s="22"/>
      <c r="E3037" s="204"/>
      <c r="F3037" s="934"/>
      <c r="G3037" s="204"/>
      <c r="H3037" s="352"/>
      <c r="I3037" s="1075"/>
      <c r="J3037" s="1075"/>
      <c r="K3037" s="353"/>
      <c r="L3037" s="204"/>
      <c r="M3037" s="204"/>
      <c r="N3037" s="204"/>
      <c r="O3037" s="204"/>
      <c r="P3037" s="204"/>
      <c r="Q3037" s="572"/>
      <c r="R3037" s="1209"/>
      <c r="S3037" s="1209"/>
      <c r="T3037" s="204"/>
      <c r="U3037" s="1901"/>
      <c r="V3037" s="572"/>
      <c r="W3037" s="804"/>
      <c r="X3037" s="18"/>
      <c r="Y3037" s="4"/>
      <c r="Z3037" s="4"/>
    </row>
    <row r="3038" spans="1:26" ht="15.6" hidden="1">
      <c r="A3038" s="20">
        <v>3045</v>
      </c>
      <c r="B3038" s="1063">
        <v>42815</v>
      </c>
      <c r="C3038" s="934" t="s">
        <v>2530</v>
      </c>
      <c r="D3038" s="11" t="s">
        <v>6</v>
      </c>
      <c r="E3038" s="204" t="s">
        <v>4951</v>
      </c>
      <c r="F3038" s="934" t="s">
        <v>439</v>
      </c>
      <c r="G3038" s="204" t="s">
        <v>3806</v>
      </c>
      <c r="H3038" s="352" t="s">
        <v>1715</v>
      </c>
      <c r="I3038" s="1075" t="s">
        <v>574</v>
      </c>
      <c r="J3038" s="1075" t="s">
        <v>3805</v>
      </c>
      <c r="K3038" s="353" t="s">
        <v>3806</v>
      </c>
      <c r="L3038" s="204"/>
      <c r="M3038" s="204">
        <v>4</v>
      </c>
      <c r="N3038" s="204">
        <v>1</v>
      </c>
      <c r="O3038" s="204">
        <v>3</v>
      </c>
      <c r="P3038" s="204">
        <v>5</v>
      </c>
      <c r="Q3038" s="572">
        <v>4</v>
      </c>
      <c r="R3038" s="1209">
        <v>464</v>
      </c>
      <c r="S3038" s="1209">
        <f t="shared" si="178"/>
        <v>1392</v>
      </c>
      <c r="T3038" s="204" t="s">
        <v>5448</v>
      </c>
      <c r="U3038" s="1901" t="s">
        <v>10861</v>
      </c>
      <c r="V3038" s="572" t="s">
        <v>1544</v>
      </c>
      <c r="W3038" s="804" t="s">
        <v>6485</v>
      </c>
      <c r="X3038" s="18"/>
      <c r="Y3038" s="4"/>
      <c r="Z3038" s="4"/>
    </row>
    <row r="3039" spans="1:26" ht="15.6" hidden="1">
      <c r="A3039" s="20">
        <v>3046</v>
      </c>
      <c r="B3039" s="1063">
        <v>42816</v>
      </c>
      <c r="C3039" s="934" t="s">
        <v>10870</v>
      </c>
      <c r="D3039" s="11" t="s">
        <v>6</v>
      </c>
      <c r="E3039" s="204" t="s">
        <v>4951</v>
      </c>
      <c r="F3039" s="934" t="s">
        <v>439</v>
      </c>
      <c r="G3039" s="204" t="s">
        <v>10871</v>
      </c>
      <c r="H3039" s="352" t="s">
        <v>460</v>
      </c>
      <c r="I3039" s="1075" t="s">
        <v>574</v>
      </c>
      <c r="J3039" s="1075" t="s">
        <v>6490</v>
      </c>
      <c r="K3039" s="353" t="s">
        <v>6491</v>
      </c>
      <c r="L3039" s="204"/>
      <c r="M3039" s="204">
        <v>4</v>
      </c>
      <c r="N3039" s="204">
        <v>1</v>
      </c>
      <c r="O3039" s="204">
        <v>6</v>
      </c>
      <c r="P3039" s="204">
        <v>2</v>
      </c>
      <c r="Q3039" s="572">
        <v>4</v>
      </c>
      <c r="R3039" s="1209">
        <v>95</v>
      </c>
      <c r="S3039" s="1209">
        <f t="shared" si="178"/>
        <v>570</v>
      </c>
      <c r="T3039" s="204" t="s">
        <v>5448</v>
      </c>
      <c r="U3039" s="1901" t="s">
        <v>10861</v>
      </c>
      <c r="V3039" s="572" t="s">
        <v>1544</v>
      </c>
      <c r="W3039" s="681" t="s">
        <v>6492</v>
      </c>
      <c r="X3039" s="18"/>
      <c r="Y3039" s="4"/>
      <c r="Z3039" s="4"/>
    </row>
    <row r="3040" spans="1:26" ht="15.6" hidden="1">
      <c r="A3040" s="20">
        <v>3047</v>
      </c>
      <c r="B3040" s="1063">
        <v>42817</v>
      </c>
      <c r="C3040" s="934" t="s">
        <v>10872</v>
      </c>
      <c r="D3040" s="11" t="s">
        <v>6</v>
      </c>
      <c r="E3040" s="204" t="s">
        <v>4951</v>
      </c>
      <c r="F3040" s="934" t="s">
        <v>439</v>
      </c>
      <c r="G3040" s="204"/>
      <c r="H3040" s="352" t="s">
        <v>460</v>
      </c>
      <c r="I3040" s="1075" t="s">
        <v>574</v>
      </c>
      <c r="J3040" s="1075" t="s">
        <v>6494</v>
      </c>
      <c r="K3040" s="353" t="s">
        <v>6495</v>
      </c>
      <c r="L3040" s="204"/>
      <c r="M3040" s="204">
        <v>8</v>
      </c>
      <c r="N3040" s="204">
        <v>1</v>
      </c>
      <c r="O3040" s="204">
        <v>15</v>
      </c>
      <c r="P3040" s="204">
        <v>3</v>
      </c>
      <c r="Q3040" s="572">
        <v>10</v>
      </c>
      <c r="R3040" s="1302">
        <v>39</v>
      </c>
      <c r="S3040" s="1209">
        <f t="shared" si="178"/>
        <v>585</v>
      </c>
      <c r="T3040" s="204" t="s">
        <v>5448</v>
      </c>
      <c r="U3040" s="1901" t="s">
        <v>10861</v>
      </c>
      <c r="V3040" s="572" t="s">
        <v>1544</v>
      </c>
      <c r="W3040" s="681" t="s">
        <v>6497</v>
      </c>
      <c r="X3040" s="18"/>
      <c r="Y3040" s="4"/>
      <c r="Z3040" s="4"/>
    </row>
    <row r="3041" spans="1:26" ht="15.6" hidden="1">
      <c r="A3041" s="20">
        <v>3048</v>
      </c>
      <c r="B3041" s="1063">
        <v>42818</v>
      </c>
      <c r="C3041" s="934" t="s">
        <v>10873</v>
      </c>
      <c r="D3041" s="11" t="s">
        <v>6</v>
      </c>
      <c r="E3041" s="204" t="s">
        <v>4951</v>
      </c>
      <c r="F3041" s="934" t="s">
        <v>439</v>
      </c>
      <c r="G3041" s="204"/>
      <c r="H3041" s="352" t="s">
        <v>511</v>
      </c>
      <c r="I3041" s="1075" t="s">
        <v>574</v>
      </c>
      <c r="J3041" s="1075" t="s">
        <v>6500</v>
      </c>
      <c r="K3041" s="353" t="s">
        <v>2281</v>
      </c>
      <c r="L3041" s="204"/>
      <c r="M3041" s="204">
        <v>10</v>
      </c>
      <c r="N3041" s="204">
        <v>1</v>
      </c>
      <c r="O3041" s="204">
        <v>12</v>
      </c>
      <c r="P3041" s="204">
        <v>4</v>
      </c>
      <c r="Q3041" s="572">
        <v>6</v>
      </c>
      <c r="R3041" s="1209">
        <v>59</v>
      </c>
      <c r="S3041" s="1209">
        <f t="shared" si="178"/>
        <v>708</v>
      </c>
      <c r="T3041" s="204" t="s">
        <v>5448</v>
      </c>
      <c r="U3041" s="1901" t="s">
        <v>10861</v>
      </c>
      <c r="V3041" s="572" t="s">
        <v>1544</v>
      </c>
      <c r="W3041" s="681" t="s">
        <v>2283</v>
      </c>
      <c r="X3041" s="18"/>
      <c r="Y3041" s="4"/>
      <c r="Z3041" s="4"/>
    </row>
    <row r="3042" spans="1:26" ht="15.6" hidden="1">
      <c r="A3042" s="20">
        <v>3049</v>
      </c>
      <c r="B3042" s="1063">
        <v>42819</v>
      </c>
      <c r="C3042" s="934" t="s">
        <v>10874</v>
      </c>
      <c r="D3042" s="11" t="s">
        <v>6</v>
      </c>
      <c r="E3042" s="204" t="s">
        <v>4951</v>
      </c>
      <c r="F3042" s="934" t="s">
        <v>439</v>
      </c>
      <c r="G3042" s="204"/>
      <c r="H3042" s="351" t="s">
        <v>10522</v>
      </c>
      <c r="I3042" s="349" t="s">
        <v>574</v>
      </c>
      <c r="J3042" s="349" t="s">
        <v>6685</v>
      </c>
      <c r="K3042" s="354" t="s">
        <v>6686</v>
      </c>
      <c r="L3042" s="204" t="s">
        <v>6661</v>
      </c>
      <c r="M3042" s="204">
        <v>2</v>
      </c>
      <c r="N3042" s="204">
        <v>1</v>
      </c>
      <c r="O3042" s="204">
        <v>5</v>
      </c>
      <c r="P3042" s="204">
        <v>0</v>
      </c>
      <c r="Q3042" s="572">
        <v>3</v>
      </c>
      <c r="R3042" s="1209">
        <v>81</v>
      </c>
      <c r="S3042" s="1209">
        <f t="shared" si="178"/>
        <v>405</v>
      </c>
      <c r="T3042" s="204" t="s">
        <v>5448</v>
      </c>
      <c r="U3042" s="1901" t="s">
        <v>10861</v>
      </c>
      <c r="V3042" s="572" t="s">
        <v>1544</v>
      </c>
      <c r="W3042" s="681" t="s">
        <v>6687</v>
      </c>
      <c r="X3042" s="18"/>
      <c r="Y3042" s="4"/>
      <c r="Z3042" s="4"/>
    </row>
    <row r="3043" spans="1:26" ht="14.1" hidden="1">
      <c r="A3043" s="20">
        <v>3050</v>
      </c>
      <c r="B3043" s="1063">
        <v>42820</v>
      </c>
      <c r="C3043" s="934" t="s">
        <v>10875</v>
      </c>
      <c r="D3043" s="11" t="s">
        <v>6</v>
      </c>
      <c r="E3043" s="204" t="s">
        <v>4951</v>
      </c>
      <c r="F3043" s="934" t="s">
        <v>439</v>
      </c>
      <c r="G3043" s="204"/>
      <c r="H3043" s="348" t="s">
        <v>1751</v>
      </c>
      <c r="I3043" s="355" t="s">
        <v>574</v>
      </c>
      <c r="J3043" s="355" t="s">
        <v>1752</v>
      </c>
      <c r="K3043" s="355" t="s">
        <v>6471</v>
      </c>
      <c r="L3043" s="204"/>
      <c r="M3043" s="204">
        <v>2</v>
      </c>
      <c r="N3043" s="204">
        <v>1</v>
      </c>
      <c r="O3043" s="204">
        <v>2</v>
      </c>
      <c r="P3043" s="204">
        <v>2</v>
      </c>
      <c r="Q3043" s="572">
        <v>2</v>
      </c>
      <c r="R3043" s="1209">
        <v>1083</v>
      </c>
      <c r="S3043" s="1209">
        <f t="shared" si="178"/>
        <v>2166</v>
      </c>
      <c r="T3043" s="204" t="s">
        <v>5448</v>
      </c>
      <c r="U3043" s="1901" t="s">
        <v>10861</v>
      </c>
      <c r="V3043" s="572" t="s">
        <v>1544</v>
      </c>
      <c r="W3043" s="681" t="s">
        <v>1754</v>
      </c>
      <c r="X3043" s="18"/>
      <c r="Y3043" s="4"/>
      <c r="Z3043" s="4"/>
    </row>
    <row r="3044" spans="1:26" ht="14.1" hidden="1">
      <c r="A3044" s="20">
        <v>3051</v>
      </c>
      <c r="B3044" s="1063">
        <v>42821</v>
      </c>
      <c r="C3044" s="934" t="s">
        <v>618</v>
      </c>
      <c r="D3044" s="11" t="s">
        <v>6</v>
      </c>
      <c r="E3044" s="204" t="s">
        <v>4951</v>
      </c>
      <c r="F3044" s="934" t="s">
        <v>439</v>
      </c>
      <c r="G3044" s="204"/>
      <c r="H3044" s="355" t="s">
        <v>10876</v>
      </c>
      <c r="I3044" s="355" t="s">
        <v>574</v>
      </c>
      <c r="J3044" s="1082" t="s">
        <v>6475</v>
      </c>
      <c r="K3044" s="356" t="s">
        <v>6476</v>
      </c>
      <c r="L3044" s="204"/>
      <c r="M3044" s="204">
        <v>2</v>
      </c>
      <c r="N3044" s="204">
        <v>1</v>
      </c>
      <c r="O3044" s="204">
        <v>4</v>
      </c>
      <c r="P3044" s="204">
        <v>0</v>
      </c>
      <c r="Q3044" s="572">
        <v>2</v>
      </c>
      <c r="R3044" s="1209">
        <v>149</v>
      </c>
      <c r="S3044" s="1209">
        <f t="shared" si="178"/>
        <v>596</v>
      </c>
      <c r="T3044" s="204" t="s">
        <v>5448</v>
      </c>
      <c r="U3044" s="1901" t="s">
        <v>10861</v>
      </c>
      <c r="V3044" s="572" t="s">
        <v>1544</v>
      </c>
      <c r="W3044" s="681" t="s">
        <v>6477</v>
      </c>
      <c r="X3044" s="18"/>
      <c r="Y3044" s="4"/>
      <c r="Z3044" s="4"/>
    </row>
    <row r="3045" spans="1:26" ht="14.1" hidden="1">
      <c r="A3045" s="20">
        <v>3052</v>
      </c>
      <c r="B3045" s="1063">
        <v>42822</v>
      </c>
      <c r="C3045" s="934" t="s">
        <v>10877</v>
      </c>
      <c r="D3045" s="11" t="s">
        <v>6</v>
      </c>
      <c r="E3045" s="204" t="s">
        <v>4951</v>
      </c>
      <c r="F3045" s="934" t="s">
        <v>439</v>
      </c>
      <c r="G3045" s="204"/>
      <c r="H3045" s="357" t="s">
        <v>2060</v>
      </c>
      <c r="I3045" s="355" t="s">
        <v>574</v>
      </c>
      <c r="J3045" s="251" t="s">
        <v>6920</v>
      </c>
      <c r="K3045" s="355" t="s">
        <v>6921</v>
      </c>
      <c r="L3045" s="204"/>
      <c r="M3045" s="204">
        <v>2</v>
      </c>
      <c r="N3045" s="204">
        <v>1</v>
      </c>
      <c r="O3045" s="204">
        <v>4</v>
      </c>
      <c r="P3045" s="204">
        <v>0</v>
      </c>
      <c r="Q3045" s="572">
        <v>2</v>
      </c>
      <c r="R3045" s="1209">
        <v>199</v>
      </c>
      <c r="S3045" s="1209">
        <f t="shared" si="178"/>
        <v>796</v>
      </c>
      <c r="T3045" s="204" t="s">
        <v>5448</v>
      </c>
      <c r="U3045" s="1901" t="s">
        <v>10861</v>
      </c>
      <c r="V3045" s="572" t="s">
        <v>1544</v>
      </c>
      <c r="W3045" s="681" t="s">
        <v>6923</v>
      </c>
      <c r="X3045" s="18"/>
      <c r="Y3045" s="4"/>
      <c r="Z3045" s="4"/>
    </row>
    <row r="3046" spans="1:26" ht="14.1" hidden="1">
      <c r="A3046" s="20">
        <v>3053</v>
      </c>
      <c r="B3046" s="1063">
        <v>42823</v>
      </c>
      <c r="C3046" s="934" t="s">
        <v>10878</v>
      </c>
      <c r="D3046" s="11" t="s">
        <v>6</v>
      </c>
      <c r="E3046" s="204" t="s">
        <v>4951</v>
      </c>
      <c r="F3046" s="934" t="s">
        <v>439</v>
      </c>
      <c r="G3046" s="204"/>
      <c r="H3046" s="358" t="s">
        <v>3898</v>
      </c>
      <c r="I3046" s="359" t="s">
        <v>574</v>
      </c>
      <c r="J3046" s="714" t="s">
        <v>5994</v>
      </c>
      <c r="K3046" s="359" t="s">
        <v>5995</v>
      </c>
      <c r="L3046" s="204" t="s">
        <v>6661</v>
      </c>
      <c r="M3046" s="204">
        <v>4</v>
      </c>
      <c r="N3046" s="204">
        <v>1</v>
      </c>
      <c r="O3046" s="204">
        <v>8</v>
      </c>
      <c r="P3046" s="204">
        <v>0</v>
      </c>
      <c r="Q3046" s="572">
        <v>4</v>
      </c>
      <c r="R3046" s="1209">
        <v>157</v>
      </c>
      <c r="S3046" s="1209">
        <f t="shared" si="178"/>
        <v>1256</v>
      </c>
      <c r="T3046" s="204" t="s">
        <v>5448</v>
      </c>
      <c r="U3046" s="1901" t="s">
        <v>10861</v>
      </c>
      <c r="V3046" s="572" t="s">
        <v>1544</v>
      </c>
      <c r="W3046" s="681" t="s">
        <v>10879</v>
      </c>
      <c r="X3046" s="18"/>
      <c r="Y3046" s="4"/>
      <c r="Z3046" s="4"/>
    </row>
    <row r="3047" spans="1:26" ht="14.1" hidden="1">
      <c r="A3047" s="20">
        <v>3054</v>
      </c>
      <c r="B3047" s="1063">
        <v>42824</v>
      </c>
      <c r="C3047" s="934" t="s">
        <v>10880</v>
      </c>
      <c r="D3047" s="11" t="s">
        <v>6</v>
      </c>
      <c r="E3047" s="204" t="s">
        <v>4951</v>
      </c>
      <c r="F3047" s="934" t="s">
        <v>439</v>
      </c>
      <c r="G3047" s="204"/>
      <c r="H3047" s="360" t="s">
        <v>1111</v>
      </c>
      <c r="I3047" s="359" t="s">
        <v>574</v>
      </c>
      <c r="J3047" s="359" t="s">
        <v>6930</v>
      </c>
      <c r="K3047" s="359" t="s">
        <v>6931</v>
      </c>
      <c r="L3047" s="204"/>
      <c r="M3047" s="204">
        <v>4</v>
      </c>
      <c r="N3047" s="204">
        <v>1</v>
      </c>
      <c r="O3047" s="204">
        <v>6</v>
      </c>
      <c r="P3047" s="204">
        <v>0</v>
      </c>
      <c r="Q3047" s="572">
        <v>4</v>
      </c>
      <c r="R3047" s="1209">
        <v>663</v>
      </c>
      <c r="S3047" s="1209">
        <f t="shared" si="178"/>
        <v>3978</v>
      </c>
      <c r="T3047" s="204" t="s">
        <v>5448</v>
      </c>
      <c r="U3047" s="1901" t="s">
        <v>1886</v>
      </c>
      <c r="V3047" s="572" t="s">
        <v>1544</v>
      </c>
      <c r="W3047" s="681" t="s">
        <v>6932</v>
      </c>
      <c r="X3047" s="18"/>
      <c r="Y3047" s="4"/>
      <c r="Z3047" s="4"/>
    </row>
    <row r="3048" spans="1:26" ht="12.95" hidden="1">
      <c r="A3048" s="20">
        <v>3055</v>
      </c>
      <c r="B3048" s="1063">
        <v>42825</v>
      </c>
      <c r="C3048" s="191"/>
      <c r="E3048" s="189"/>
      <c r="R3048" s="1273"/>
      <c r="S3048" s="1273"/>
      <c r="X3048" s="18"/>
      <c r="Y3048" s="4"/>
      <c r="Z3048" s="4"/>
    </row>
    <row r="3049" spans="1:26" ht="14.1" hidden="1">
      <c r="A3049" s="20">
        <v>3056</v>
      </c>
      <c r="B3049" s="1063">
        <v>42826</v>
      </c>
      <c r="C3049" s="934"/>
      <c r="D3049" s="37"/>
      <c r="E3049" s="204"/>
      <c r="F3049" s="934"/>
      <c r="G3049" s="204"/>
      <c r="H3049" s="204"/>
      <c r="I3049" s="204"/>
      <c r="J3049" s="204"/>
      <c r="K3049" s="204"/>
      <c r="L3049" s="204"/>
      <c r="M3049" s="204"/>
      <c r="N3049" s="204"/>
      <c r="O3049" s="204"/>
      <c r="P3049" s="204"/>
      <c r="Q3049" s="572"/>
      <c r="R3049" s="1209"/>
      <c r="S3049" s="1209"/>
      <c r="T3049" s="204"/>
      <c r="U3049" s="1901"/>
      <c r="V3049" s="572"/>
      <c r="W3049" s="681"/>
      <c r="X3049" s="18"/>
      <c r="Y3049" s="4"/>
      <c r="Z3049" s="4"/>
    </row>
    <row r="3050" spans="1:26" ht="14.1" hidden="1">
      <c r="A3050" s="20">
        <v>3057</v>
      </c>
      <c r="B3050" s="1063">
        <v>42827</v>
      </c>
      <c r="C3050" s="934"/>
      <c r="D3050" s="37"/>
      <c r="E3050" s="204"/>
      <c r="F3050" s="934"/>
      <c r="G3050" s="204"/>
      <c r="H3050" s="204"/>
      <c r="I3050" s="204"/>
      <c r="J3050" s="204"/>
      <c r="K3050" s="204"/>
      <c r="L3050" s="204"/>
      <c r="M3050" s="204"/>
      <c r="N3050" s="204"/>
      <c r="O3050" s="204"/>
      <c r="P3050" s="204"/>
      <c r="Q3050" s="572"/>
      <c r="R3050" s="1209"/>
      <c r="S3050" s="1209"/>
      <c r="T3050" s="204"/>
      <c r="U3050" s="1901"/>
      <c r="V3050" s="572"/>
      <c r="W3050" s="681"/>
      <c r="X3050" s="18"/>
      <c r="Y3050" s="4"/>
      <c r="Z3050" s="4"/>
    </row>
    <row r="3051" spans="1:26" ht="14.1" hidden="1">
      <c r="A3051" s="20">
        <v>3058</v>
      </c>
      <c r="B3051" s="1063">
        <v>42828</v>
      </c>
      <c r="C3051" s="934" t="s">
        <v>10881</v>
      </c>
      <c r="D3051" s="11"/>
      <c r="E3051" s="204" t="s">
        <v>572</v>
      </c>
      <c r="F3051" s="934" t="s">
        <v>131</v>
      </c>
      <c r="G3051" s="204"/>
      <c r="H3051" s="204" t="s">
        <v>10882</v>
      </c>
      <c r="I3051" s="204" t="s">
        <v>39</v>
      </c>
      <c r="J3051" s="305" t="s">
        <v>10883</v>
      </c>
      <c r="K3051" s="361" t="s">
        <v>9918</v>
      </c>
      <c r="L3051" s="204"/>
      <c r="M3051" s="204">
        <v>34</v>
      </c>
      <c r="N3051" s="204">
        <v>5</v>
      </c>
      <c r="O3051" s="204">
        <v>30</v>
      </c>
      <c r="P3051" s="204">
        <v>8</v>
      </c>
      <c r="Q3051" s="572">
        <v>4</v>
      </c>
      <c r="R3051" s="1209">
        <v>83.8</v>
      </c>
      <c r="S3051" s="1209">
        <f>R3051*O3051</f>
        <v>2514</v>
      </c>
      <c r="T3051" s="204" t="s">
        <v>5448</v>
      </c>
      <c r="U3051" s="1901" t="s">
        <v>10884</v>
      </c>
      <c r="V3051" s="572" t="s">
        <v>801</v>
      </c>
      <c r="W3051" s="681" t="s">
        <v>10885</v>
      </c>
      <c r="X3051" s="18"/>
      <c r="Y3051" s="4"/>
      <c r="Z3051" s="4"/>
    </row>
    <row r="3052" spans="1:26" ht="14.1" hidden="1">
      <c r="A3052" s="20">
        <v>3059</v>
      </c>
      <c r="B3052" s="1063">
        <v>42829</v>
      </c>
      <c r="C3052" s="934" t="s">
        <v>10886</v>
      </c>
      <c r="D3052" s="11"/>
      <c r="E3052" s="204" t="s">
        <v>7956</v>
      </c>
      <c r="F3052" s="934" t="s">
        <v>404</v>
      </c>
      <c r="G3052" s="204" t="s">
        <v>10887</v>
      </c>
      <c r="H3052" s="204" t="s">
        <v>752</v>
      </c>
      <c r="I3052" s="204" t="s">
        <v>574</v>
      </c>
      <c r="J3052" s="160" t="s">
        <v>10888</v>
      </c>
      <c r="K3052" s="204" t="s">
        <v>10889</v>
      </c>
      <c r="L3052" s="204" t="s">
        <v>10890</v>
      </c>
      <c r="M3052" s="204">
        <v>2</v>
      </c>
      <c r="N3052" s="204">
        <v>1</v>
      </c>
      <c r="O3052" s="204">
        <v>5</v>
      </c>
      <c r="P3052" s="204">
        <v>0</v>
      </c>
      <c r="Q3052" s="572">
        <v>3</v>
      </c>
      <c r="R3052" s="1209">
        <v>357</v>
      </c>
      <c r="S3052" s="1209">
        <v>1785</v>
      </c>
      <c r="T3052" s="204" t="s">
        <v>311</v>
      </c>
      <c r="U3052" s="1901"/>
      <c r="V3052" s="572" t="s">
        <v>2875</v>
      </c>
      <c r="W3052" s="681" t="s">
        <v>10891</v>
      </c>
      <c r="X3052" s="18"/>
      <c r="Y3052" s="4"/>
      <c r="Z3052" s="4"/>
    </row>
    <row r="3053" spans="1:26" ht="14.1" hidden="1">
      <c r="A3053" s="20">
        <v>3060</v>
      </c>
      <c r="B3053" s="1063">
        <v>42830</v>
      </c>
      <c r="C3053" s="934" t="s">
        <v>1846</v>
      </c>
      <c r="D3053" s="11"/>
      <c r="E3053" s="204" t="s">
        <v>7956</v>
      </c>
      <c r="F3053" s="934" t="s">
        <v>404</v>
      </c>
      <c r="G3053" s="204" t="s">
        <v>6463</v>
      </c>
      <c r="H3053" s="204" t="s">
        <v>1073</v>
      </c>
      <c r="I3053" s="204" t="s">
        <v>574</v>
      </c>
      <c r="J3053" s="160" t="s">
        <v>518</v>
      </c>
      <c r="K3053" s="204" t="s">
        <v>519</v>
      </c>
      <c r="L3053" s="204" t="s">
        <v>4799</v>
      </c>
      <c r="M3053" s="204">
        <v>2</v>
      </c>
      <c r="N3053" s="204">
        <v>1</v>
      </c>
      <c r="O3053" s="204">
        <v>5</v>
      </c>
      <c r="P3053" s="204">
        <v>0</v>
      </c>
      <c r="Q3053" s="572">
        <v>3</v>
      </c>
      <c r="R3053" s="1209">
        <v>246</v>
      </c>
      <c r="S3053" s="1209">
        <v>1230</v>
      </c>
      <c r="T3053" s="204" t="s">
        <v>311</v>
      </c>
      <c r="U3053" s="1901"/>
      <c r="V3053" s="572"/>
      <c r="W3053" s="681" t="s">
        <v>10892</v>
      </c>
      <c r="X3053" s="18"/>
      <c r="Y3053" s="4"/>
      <c r="Z3053" s="4"/>
    </row>
    <row r="3054" spans="1:26" ht="14.1" hidden="1">
      <c r="A3054" s="20">
        <v>3061</v>
      </c>
      <c r="B3054" s="1063">
        <v>42831</v>
      </c>
      <c r="C3054" s="970" t="s">
        <v>503</v>
      </c>
      <c r="D3054" s="231" t="s">
        <v>6</v>
      </c>
      <c r="E3054" s="717" t="s">
        <v>7956</v>
      </c>
      <c r="F3054" s="970" t="s">
        <v>404</v>
      </c>
      <c r="G3054" s="717" t="s">
        <v>504</v>
      </c>
      <c r="H3054" s="717" t="s">
        <v>230</v>
      </c>
      <c r="I3054" s="717" t="s">
        <v>281</v>
      </c>
      <c r="J3054" s="638" t="s">
        <v>505</v>
      </c>
      <c r="K3054" s="717" t="s">
        <v>506</v>
      </c>
      <c r="L3054" s="717" t="s">
        <v>2147</v>
      </c>
      <c r="M3054" s="717">
        <v>2</v>
      </c>
      <c r="N3054" s="717">
        <v>1</v>
      </c>
      <c r="O3054" s="717">
        <v>5</v>
      </c>
      <c r="P3054" s="717">
        <v>0</v>
      </c>
      <c r="Q3054" s="718">
        <v>3</v>
      </c>
      <c r="R3054" s="1234">
        <v>461</v>
      </c>
      <c r="S3054" s="1234">
        <v>2305</v>
      </c>
      <c r="T3054" s="717" t="s">
        <v>311</v>
      </c>
      <c r="U3054" s="1927" t="s">
        <v>311</v>
      </c>
      <c r="V3054" s="718" t="s">
        <v>2875</v>
      </c>
      <c r="W3054" s="2106" t="s">
        <v>508</v>
      </c>
      <c r="X3054" s="56"/>
      <c r="Y3054" s="57"/>
      <c r="Z3054" s="57"/>
    </row>
    <row r="3055" spans="1:26" ht="14.1" hidden="1">
      <c r="A3055" s="20">
        <v>3062</v>
      </c>
      <c r="B3055" s="1063">
        <v>42832</v>
      </c>
      <c r="C3055" s="934" t="s">
        <v>509</v>
      </c>
      <c r="D3055" s="11"/>
      <c r="E3055" s="204" t="s">
        <v>7956</v>
      </c>
      <c r="F3055" s="934" t="s">
        <v>404</v>
      </c>
      <c r="G3055" s="204" t="s">
        <v>510</v>
      </c>
      <c r="H3055" s="204" t="s">
        <v>511</v>
      </c>
      <c r="I3055" s="204" t="s">
        <v>281</v>
      </c>
      <c r="J3055" s="160" t="s">
        <v>512</v>
      </c>
      <c r="K3055" s="204" t="s">
        <v>509</v>
      </c>
      <c r="L3055" s="204"/>
      <c r="M3055" s="204">
        <v>4</v>
      </c>
      <c r="N3055" s="204">
        <v>1</v>
      </c>
      <c r="O3055" s="204">
        <v>10</v>
      </c>
      <c r="P3055" s="204">
        <v>0</v>
      </c>
      <c r="Q3055" s="572">
        <v>4</v>
      </c>
      <c r="R3055" s="1209">
        <v>58.3</v>
      </c>
      <c r="S3055" s="1209">
        <v>583</v>
      </c>
      <c r="T3055" s="204" t="s">
        <v>311</v>
      </c>
      <c r="U3055" s="1901" t="s">
        <v>311</v>
      </c>
      <c r="V3055" s="572" t="s">
        <v>2875</v>
      </c>
      <c r="W3055" s="681" t="s">
        <v>514</v>
      </c>
      <c r="X3055" s="18"/>
      <c r="Y3055" s="4"/>
      <c r="Z3055" s="4"/>
    </row>
    <row r="3056" spans="1:26" ht="14.1" hidden="1">
      <c r="A3056" s="20">
        <v>3063</v>
      </c>
      <c r="B3056" s="1063">
        <v>42833</v>
      </c>
      <c r="C3056" s="934" t="s">
        <v>534</v>
      </c>
      <c r="D3056" s="11"/>
      <c r="E3056" s="204" t="s">
        <v>7956</v>
      </c>
      <c r="F3056" s="934" t="s">
        <v>404</v>
      </c>
      <c r="G3056" s="204" t="s">
        <v>535</v>
      </c>
      <c r="H3056" s="204" t="s">
        <v>536</v>
      </c>
      <c r="I3056" s="204" t="s">
        <v>281</v>
      </c>
      <c r="J3056" s="160" t="s">
        <v>537</v>
      </c>
      <c r="K3056" s="204" t="s">
        <v>538</v>
      </c>
      <c r="L3056" s="204"/>
      <c r="M3056" s="204">
        <v>2</v>
      </c>
      <c r="N3056" s="204">
        <v>1</v>
      </c>
      <c r="O3056" s="204">
        <v>2</v>
      </c>
      <c r="P3056" s="204">
        <v>2</v>
      </c>
      <c r="Q3056" s="572">
        <v>4</v>
      </c>
      <c r="R3056" s="1209">
        <v>36</v>
      </c>
      <c r="S3056" s="1209">
        <v>72</v>
      </c>
      <c r="T3056" s="204" t="s">
        <v>311</v>
      </c>
      <c r="U3056" s="1901" t="s">
        <v>311</v>
      </c>
      <c r="V3056" s="572" t="s">
        <v>2875</v>
      </c>
      <c r="W3056" s="681" t="s">
        <v>540</v>
      </c>
      <c r="X3056" s="18"/>
      <c r="Y3056" s="4"/>
      <c r="Z3056" s="4"/>
    </row>
    <row r="3057" spans="1:26" ht="14.1" hidden="1">
      <c r="A3057" s="20">
        <v>3064</v>
      </c>
      <c r="B3057" s="1063">
        <v>42834</v>
      </c>
      <c r="C3057" s="934" t="s">
        <v>541</v>
      </c>
      <c r="D3057" s="11"/>
      <c r="E3057" s="204" t="s">
        <v>7956</v>
      </c>
      <c r="F3057" s="934" t="s">
        <v>404</v>
      </c>
      <c r="G3057" s="204" t="s">
        <v>542</v>
      </c>
      <c r="H3057" s="204" t="s">
        <v>543</v>
      </c>
      <c r="I3057" s="204" t="s">
        <v>281</v>
      </c>
      <c r="J3057" s="160" t="s">
        <v>544</v>
      </c>
      <c r="K3057" s="204" t="s">
        <v>545</v>
      </c>
      <c r="L3057" s="204"/>
      <c r="M3057" s="204">
        <v>4</v>
      </c>
      <c r="N3057" s="204">
        <v>1</v>
      </c>
      <c r="O3057" s="204">
        <v>3</v>
      </c>
      <c r="P3057" s="204">
        <v>3</v>
      </c>
      <c r="Q3057" s="572">
        <v>2</v>
      </c>
      <c r="R3057" s="1209">
        <v>1596</v>
      </c>
      <c r="S3057" s="1209">
        <v>4788</v>
      </c>
      <c r="T3057" s="204" t="s">
        <v>311</v>
      </c>
      <c r="U3057" s="1901" t="s">
        <v>311</v>
      </c>
      <c r="V3057" s="572" t="s">
        <v>2875</v>
      </c>
      <c r="W3057" s="681" t="s">
        <v>547</v>
      </c>
      <c r="X3057" s="18"/>
      <c r="Y3057" s="4"/>
      <c r="Z3057" s="4"/>
    </row>
    <row r="3058" spans="1:26" ht="14.1" hidden="1">
      <c r="A3058" s="20">
        <v>3065</v>
      </c>
      <c r="B3058" s="1063">
        <v>42835</v>
      </c>
      <c r="C3058" s="934" t="s">
        <v>1083</v>
      </c>
      <c r="D3058" s="11"/>
      <c r="E3058" s="204" t="s">
        <v>7956</v>
      </c>
      <c r="F3058" s="934" t="s">
        <v>404</v>
      </c>
      <c r="G3058" s="204" t="s">
        <v>2943</v>
      </c>
      <c r="H3058" s="204" t="s">
        <v>2944</v>
      </c>
      <c r="I3058" s="204" t="s">
        <v>281</v>
      </c>
      <c r="J3058" s="160" t="s">
        <v>2945</v>
      </c>
      <c r="K3058" s="1" t="s">
        <v>2946</v>
      </c>
      <c r="L3058" s="683"/>
      <c r="M3058" s="204">
        <v>4</v>
      </c>
      <c r="N3058" s="204">
        <v>1</v>
      </c>
      <c r="O3058" s="204">
        <v>4</v>
      </c>
      <c r="P3058" s="204">
        <v>0</v>
      </c>
      <c r="Q3058" s="572">
        <v>2</v>
      </c>
      <c r="R3058" s="1209">
        <v>358</v>
      </c>
      <c r="S3058" s="1209">
        <v>1432</v>
      </c>
      <c r="T3058" s="204" t="s">
        <v>311</v>
      </c>
      <c r="U3058" s="1901" t="s">
        <v>311</v>
      </c>
      <c r="V3058" s="572" t="s">
        <v>2875</v>
      </c>
      <c r="W3058" s="681" t="s">
        <v>2947</v>
      </c>
      <c r="X3058" s="18"/>
      <c r="Y3058" s="4"/>
      <c r="Z3058" s="4"/>
    </row>
    <row r="3059" spans="1:26" ht="14.1" hidden="1">
      <c r="A3059" s="20">
        <v>3066</v>
      </c>
      <c r="B3059" s="1063">
        <v>42836</v>
      </c>
      <c r="C3059" s="934" t="s">
        <v>2912</v>
      </c>
      <c r="D3059" s="11"/>
      <c r="E3059" s="204" t="s">
        <v>7956</v>
      </c>
      <c r="F3059" s="934" t="s">
        <v>404</v>
      </c>
      <c r="G3059" s="204" t="s">
        <v>10893</v>
      </c>
      <c r="H3059" s="204" t="s">
        <v>3293</v>
      </c>
      <c r="I3059" s="204" t="s">
        <v>574</v>
      </c>
      <c r="J3059" s="160" t="s">
        <v>10894</v>
      </c>
      <c r="K3059" s="204">
        <v>1043</v>
      </c>
      <c r="L3059" s="204" t="s">
        <v>1</v>
      </c>
      <c r="M3059" s="204">
        <v>4</v>
      </c>
      <c r="N3059" s="204">
        <v>1</v>
      </c>
      <c r="O3059" s="204">
        <v>5</v>
      </c>
      <c r="P3059" s="204">
        <v>0</v>
      </c>
      <c r="Q3059" s="572">
        <v>1</v>
      </c>
      <c r="R3059" s="1209">
        <v>335</v>
      </c>
      <c r="S3059" s="1209">
        <v>1675</v>
      </c>
      <c r="T3059" s="204" t="s">
        <v>422</v>
      </c>
      <c r="U3059" s="1901" t="s">
        <v>311</v>
      </c>
      <c r="V3059" s="572" t="s">
        <v>2875</v>
      </c>
      <c r="W3059" s="681" t="s">
        <v>10895</v>
      </c>
      <c r="X3059" s="18"/>
      <c r="Y3059" s="4"/>
      <c r="Z3059" s="4"/>
    </row>
    <row r="3060" spans="1:26" ht="14.1" hidden="1">
      <c r="A3060" s="20">
        <v>3067</v>
      </c>
      <c r="B3060" s="1063">
        <v>42837</v>
      </c>
      <c r="C3060" s="934" t="s">
        <v>10896</v>
      </c>
      <c r="D3060" s="11"/>
      <c r="E3060" s="204" t="s">
        <v>7956</v>
      </c>
      <c r="F3060" s="934" t="s">
        <v>404</v>
      </c>
      <c r="G3060" s="204" t="s">
        <v>10897</v>
      </c>
      <c r="H3060" s="204" t="s">
        <v>1865</v>
      </c>
      <c r="I3060" s="204" t="s">
        <v>574</v>
      </c>
      <c r="J3060" s="160" t="s">
        <v>10898</v>
      </c>
      <c r="K3060" s="204" t="s">
        <v>10899</v>
      </c>
      <c r="L3060" s="204" t="s">
        <v>3894</v>
      </c>
      <c r="M3060" s="204">
        <v>8</v>
      </c>
      <c r="N3060" s="204">
        <v>1</v>
      </c>
      <c r="O3060" s="204">
        <v>10</v>
      </c>
      <c r="P3060" s="204">
        <v>0</v>
      </c>
      <c r="Q3060" s="572">
        <v>2</v>
      </c>
      <c r="R3060" s="1209">
        <v>40.6</v>
      </c>
      <c r="S3060" s="1209">
        <f t="shared" ref="S3060:S3069" si="179">R3060*O3060</f>
        <v>406</v>
      </c>
      <c r="T3060" s="204" t="s">
        <v>422</v>
      </c>
      <c r="U3060" s="1901" t="s">
        <v>311</v>
      </c>
      <c r="V3060" s="572" t="s">
        <v>2875</v>
      </c>
      <c r="W3060" s="804" t="s">
        <v>10900</v>
      </c>
      <c r="X3060" s="18"/>
      <c r="Y3060" s="4"/>
      <c r="Z3060" s="4"/>
    </row>
    <row r="3061" spans="1:26" ht="14.1" hidden="1">
      <c r="A3061" s="20">
        <v>3068</v>
      </c>
      <c r="B3061" s="1063">
        <v>42838</v>
      </c>
      <c r="C3061" s="934" t="s">
        <v>10901</v>
      </c>
      <c r="D3061" s="11"/>
      <c r="E3061" s="204" t="s">
        <v>7956</v>
      </c>
      <c r="F3061" s="934" t="s">
        <v>404</v>
      </c>
      <c r="G3061" s="204" t="s">
        <v>10902</v>
      </c>
      <c r="H3061" s="204" t="s">
        <v>10903</v>
      </c>
      <c r="I3061" s="204" t="s">
        <v>574</v>
      </c>
      <c r="J3061" s="160" t="s">
        <v>10904</v>
      </c>
      <c r="K3061" s="204" t="s">
        <v>10905</v>
      </c>
      <c r="L3061" s="683"/>
      <c r="M3061" s="204">
        <v>4</v>
      </c>
      <c r="N3061" s="204">
        <v>1</v>
      </c>
      <c r="O3061" s="204">
        <v>5</v>
      </c>
      <c r="P3061" s="204">
        <v>0</v>
      </c>
      <c r="Q3061" s="572">
        <v>1</v>
      </c>
      <c r="R3061" s="1209">
        <v>49</v>
      </c>
      <c r="S3061" s="1209">
        <f t="shared" si="179"/>
        <v>245</v>
      </c>
      <c r="T3061" s="204" t="s">
        <v>422</v>
      </c>
      <c r="U3061" s="1901" t="s">
        <v>311</v>
      </c>
      <c r="V3061" s="572" t="s">
        <v>2875</v>
      </c>
      <c r="W3061" s="804" t="s">
        <v>10906</v>
      </c>
      <c r="X3061" s="18"/>
      <c r="Y3061" s="4"/>
      <c r="Z3061" s="4"/>
    </row>
    <row r="3062" spans="1:26" ht="14.1" hidden="1">
      <c r="A3062" s="20">
        <v>3069</v>
      </c>
      <c r="B3062" s="1063">
        <v>42839</v>
      </c>
      <c r="C3062" s="934" t="s">
        <v>10907</v>
      </c>
      <c r="D3062" s="11"/>
      <c r="E3062" s="204" t="s">
        <v>7956</v>
      </c>
      <c r="F3062" s="934" t="s">
        <v>404</v>
      </c>
      <c r="G3062" s="204" t="s">
        <v>10908</v>
      </c>
      <c r="H3062" s="204" t="s">
        <v>7828</v>
      </c>
      <c r="I3062" s="204" t="s">
        <v>574</v>
      </c>
      <c r="J3062" s="160" t="s">
        <v>10909</v>
      </c>
      <c r="K3062" s="204" t="s">
        <v>10910</v>
      </c>
      <c r="L3062" s="683">
        <v>805</v>
      </c>
      <c r="M3062" s="204">
        <v>8</v>
      </c>
      <c r="N3062" s="204">
        <v>1</v>
      </c>
      <c r="O3062" s="204">
        <v>20</v>
      </c>
      <c r="P3062" s="204">
        <v>2</v>
      </c>
      <c r="Q3062" s="572">
        <v>1</v>
      </c>
      <c r="R3062" s="1209">
        <v>16.100000000000001</v>
      </c>
      <c r="S3062" s="1209">
        <f t="shared" si="179"/>
        <v>322</v>
      </c>
      <c r="T3062" s="204" t="s">
        <v>422</v>
      </c>
      <c r="U3062" s="1901" t="s">
        <v>311</v>
      </c>
      <c r="V3062" s="572" t="s">
        <v>2875</v>
      </c>
      <c r="W3062" s="681" t="s">
        <v>10911</v>
      </c>
      <c r="X3062" s="18"/>
      <c r="Y3062" s="4"/>
      <c r="Z3062" s="4"/>
    </row>
    <row r="3063" spans="1:26" ht="14.1" hidden="1">
      <c r="A3063" s="20">
        <v>3070</v>
      </c>
      <c r="B3063" s="1063">
        <v>42840</v>
      </c>
      <c r="C3063" s="934" t="s">
        <v>10912</v>
      </c>
      <c r="D3063" s="11"/>
      <c r="E3063" s="204" t="s">
        <v>7956</v>
      </c>
      <c r="F3063" s="934" t="s">
        <v>404</v>
      </c>
      <c r="G3063" s="204" t="s">
        <v>10913</v>
      </c>
      <c r="H3063" s="204" t="s">
        <v>8141</v>
      </c>
      <c r="I3063" s="204" t="s">
        <v>574</v>
      </c>
      <c r="J3063" s="160" t="s">
        <v>10914</v>
      </c>
      <c r="K3063" s="204" t="s">
        <v>10915</v>
      </c>
      <c r="L3063" s="683">
        <v>805</v>
      </c>
      <c r="M3063" s="204">
        <v>2</v>
      </c>
      <c r="N3063" s="204">
        <v>1</v>
      </c>
      <c r="O3063" s="204">
        <v>10</v>
      </c>
      <c r="P3063" s="204">
        <v>0</v>
      </c>
      <c r="Q3063" s="572">
        <v>8</v>
      </c>
      <c r="R3063" s="1209">
        <v>14.9</v>
      </c>
      <c r="S3063" s="1209">
        <f t="shared" si="179"/>
        <v>149</v>
      </c>
      <c r="T3063" s="204" t="s">
        <v>422</v>
      </c>
      <c r="U3063" s="1901" t="s">
        <v>311</v>
      </c>
      <c r="V3063" s="572" t="s">
        <v>2875</v>
      </c>
      <c r="W3063" s="681" t="s">
        <v>10916</v>
      </c>
      <c r="X3063" s="18"/>
      <c r="Y3063" s="4"/>
      <c r="Z3063" s="4"/>
    </row>
    <row r="3064" spans="1:26" ht="14.1" hidden="1">
      <c r="A3064" s="20">
        <v>3071</v>
      </c>
      <c r="B3064" s="1063">
        <v>42841</v>
      </c>
      <c r="C3064" s="934" t="s">
        <v>10886</v>
      </c>
      <c r="D3064" s="11"/>
      <c r="E3064" s="204" t="s">
        <v>7956</v>
      </c>
      <c r="F3064" s="934" t="s">
        <v>404</v>
      </c>
      <c r="G3064" s="204" t="s">
        <v>10917</v>
      </c>
      <c r="H3064" s="204" t="s">
        <v>1073</v>
      </c>
      <c r="I3064" s="204" t="s">
        <v>574</v>
      </c>
      <c r="J3064" s="160" t="s">
        <v>10918</v>
      </c>
      <c r="K3064" s="204" t="s">
        <v>10919</v>
      </c>
      <c r="L3064" s="683"/>
      <c r="M3064" s="204">
        <v>2</v>
      </c>
      <c r="N3064" s="204">
        <v>1</v>
      </c>
      <c r="O3064" s="204">
        <v>3</v>
      </c>
      <c r="P3064" s="204">
        <v>0</v>
      </c>
      <c r="Q3064" s="572">
        <v>3</v>
      </c>
      <c r="R3064" s="1209">
        <v>934</v>
      </c>
      <c r="S3064" s="1209">
        <f t="shared" si="179"/>
        <v>2802</v>
      </c>
      <c r="T3064" s="204" t="s">
        <v>422</v>
      </c>
      <c r="U3064" s="1901" t="s">
        <v>311</v>
      </c>
      <c r="V3064" s="572" t="s">
        <v>2875</v>
      </c>
      <c r="W3064" s="681" t="s">
        <v>10920</v>
      </c>
      <c r="X3064" s="18"/>
      <c r="Y3064" s="4"/>
      <c r="Z3064" s="4"/>
    </row>
    <row r="3065" spans="1:26" ht="14.1" hidden="1">
      <c r="A3065" s="20">
        <v>3072</v>
      </c>
      <c r="B3065" s="1063">
        <v>42842</v>
      </c>
      <c r="C3065" s="934" t="s">
        <v>6465</v>
      </c>
      <c r="D3065" s="11"/>
      <c r="E3065" s="204" t="s">
        <v>7956</v>
      </c>
      <c r="F3065" s="934" t="s">
        <v>404</v>
      </c>
      <c r="G3065" s="204" t="s">
        <v>10921</v>
      </c>
      <c r="H3065" s="204" t="s">
        <v>460</v>
      </c>
      <c r="I3065" s="204" t="s">
        <v>574</v>
      </c>
      <c r="J3065" s="160" t="s">
        <v>10922</v>
      </c>
      <c r="K3065" s="204" t="s">
        <v>10923</v>
      </c>
      <c r="L3065" s="683"/>
      <c r="M3065" s="204">
        <v>4</v>
      </c>
      <c r="N3065" s="204">
        <v>1</v>
      </c>
      <c r="O3065" s="204">
        <v>6</v>
      </c>
      <c r="P3065" s="204">
        <v>0</v>
      </c>
      <c r="Q3065" s="572">
        <v>2</v>
      </c>
      <c r="R3065" s="1209">
        <v>189</v>
      </c>
      <c r="S3065" s="1209">
        <f t="shared" si="179"/>
        <v>1134</v>
      </c>
      <c r="T3065" s="204" t="s">
        <v>422</v>
      </c>
      <c r="U3065" s="1901" t="s">
        <v>311</v>
      </c>
      <c r="V3065" s="572" t="s">
        <v>2875</v>
      </c>
      <c r="W3065" s="681" t="s">
        <v>10924</v>
      </c>
      <c r="X3065" s="18"/>
      <c r="Y3065" s="4"/>
      <c r="Z3065" s="4"/>
    </row>
    <row r="3066" spans="1:26" ht="14.1" hidden="1">
      <c r="A3066" s="20">
        <v>3073</v>
      </c>
      <c r="B3066" s="1063">
        <v>42843</v>
      </c>
      <c r="C3066" s="934" t="s">
        <v>10925</v>
      </c>
      <c r="D3066" s="11"/>
      <c r="E3066" s="204" t="s">
        <v>7956</v>
      </c>
      <c r="F3066" s="934" t="s">
        <v>404</v>
      </c>
      <c r="G3066" s="204" t="s">
        <v>10926</v>
      </c>
      <c r="H3066" s="204" t="s">
        <v>2008</v>
      </c>
      <c r="I3066" s="204" t="s">
        <v>574</v>
      </c>
      <c r="J3066" s="160" t="s">
        <v>10927</v>
      </c>
      <c r="K3066" s="204" t="s">
        <v>10928</v>
      </c>
      <c r="L3066" s="204"/>
      <c r="M3066" s="204">
        <v>2</v>
      </c>
      <c r="N3066" s="204">
        <v>1</v>
      </c>
      <c r="O3066" s="204">
        <v>4</v>
      </c>
      <c r="P3066" s="204">
        <v>0</v>
      </c>
      <c r="Q3066" s="572">
        <v>2</v>
      </c>
      <c r="R3066" s="1209">
        <v>85</v>
      </c>
      <c r="S3066" s="1209">
        <f t="shared" si="179"/>
        <v>340</v>
      </c>
      <c r="T3066" s="204" t="s">
        <v>422</v>
      </c>
      <c r="U3066" s="1901" t="s">
        <v>311</v>
      </c>
      <c r="V3066" s="572" t="s">
        <v>2875</v>
      </c>
      <c r="W3066" s="681" t="s">
        <v>10929</v>
      </c>
      <c r="X3066" s="18"/>
      <c r="Y3066" s="4"/>
      <c r="Z3066" s="4"/>
    </row>
    <row r="3067" spans="1:26" ht="14.1" hidden="1">
      <c r="A3067" s="20">
        <v>3074</v>
      </c>
      <c r="B3067" s="1063">
        <v>42844</v>
      </c>
      <c r="C3067" s="934" t="s">
        <v>10930</v>
      </c>
      <c r="D3067" s="11"/>
      <c r="E3067" s="204" t="s">
        <v>7956</v>
      </c>
      <c r="F3067" s="934" t="s">
        <v>404</v>
      </c>
      <c r="G3067" s="204" t="s">
        <v>10931</v>
      </c>
      <c r="H3067" s="204" t="s">
        <v>10932</v>
      </c>
      <c r="I3067" s="204" t="s">
        <v>574</v>
      </c>
      <c r="J3067" s="160" t="s">
        <v>10933</v>
      </c>
      <c r="K3067" s="204">
        <v>74404032015</v>
      </c>
      <c r="L3067" s="204"/>
      <c r="M3067" s="204">
        <v>2</v>
      </c>
      <c r="N3067" s="204">
        <v>1</v>
      </c>
      <c r="O3067" s="204">
        <v>4</v>
      </c>
      <c r="P3067" s="204">
        <v>0</v>
      </c>
      <c r="Q3067" s="572">
        <v>2</v>
      </c>
      <c r="R3067" s="1209">
        <v>122</v>
      </c>
      <c r="S3067" s="1209">
        <f t="shared" si="179"/>
        <v>488</v>
      </c>
      <c r="T3067" s="204" t="s">
        <v>422</v>
      </c>
      <c r="U3067" s="1901" t="s">
        <v>311</v>
      </c>
      <c r="V3067" s="572" t="s">
        <v>2875</v>
      </c>
      <c r="W3067" s="681" t="s">
        <v>10934</v>
      </c>
      <c r="X3067" s="18"/>
      <c r="Y3067" s="4"/>
      <c r="Z3067" s="4"/>
    </row>
    <row r="3068" spans="1:26" ht="14.1" hidden="1">
      <c r="A3068" s="20">
        <v>3075</v>
      </c>
      <c r="B3068" s="1063">
        <v>42845</v>
      </c>
      <c r="C3068" s="934" t="s">
        <v>10935</v>
      </c>
      <c r="D3068" s="11"/>
      <c r="E3068" s="204" t="s">
        <v>7956</v>
      </c>
      <c r="F3068" s="934" t="s">
        <v>404</v>
      </c>
      <c r="G3068" s="204" t="s">
        <v>10936</v>
      </c>
      <c r="H3068" s="204" t="s">
        <v>2008</v>
      </c>
      <c r="I3068" s="204" t="s">
        <v>574</v>
      </c>
      <c r="J3068" s="160" t="s">
        <v>10937</v>
      </c>
      <c r="K3068" s="1" t="s">
        <v>10938</v>
      </c>
      <c r="L3068" s="683"/>
      <c r="M3068" s="204">
        <v>2</v>
      </c>
      <c r="N3068" s="204">
        <v>1</v>
      </c>
      <c r="O3068" s="204">
        <v>4</v>
      </c>
      <c r="P3068" s="204">
        <v>0</v>
      </c>
      <c r="Q3068" s="572">
        <v>2</v>
      </c>
      <c r="R3068" s="1209">
        <v>54</v>
      </c>
      <c r="S3068" s="1209">
        <f t="shared" si="179"/>
        <v>216</v>
      </c>
      <c r="T3068" s="204" t="s">
        <v>422</v>
      </c>
      <c r="U3068" s="1901" t="s">
        <v>311</v>
      </c>
      <c r="V3068" s="572" t="s">
        <v>2875</v>
      </c>
      <c r="W3068" s="681" t="s">
        <v>10939</v>
      </c>
      <c r="X3068" s="18"/>
      <c r="Y3068" s="4"/>
      <c r="Z3068" s="4"/>
    </row>
    <row r="3069" spans="1:26" ht="14.1" hidden="1">
      <c r="A3069" s="20">
        <v>3076</v>
      </c>
      <c r="B3069" s="1063">
        <v>42846</v>
      </c>
      <c r="C3069" s="934" t="s">
        <v>10940</v>
      </c>
      <c r="D3069" s="11"/>
      <c r="E3069" s="204" t="s">
        <v>7956</v>
      </c>
      <c r="F3069" s="934" t="s">
        <v>404</v>
      </c>
      <c r="G3069" s="204" t="s">
        <v>8223</v>
      </c>
      <c r="H3069" s="204" t="s">
        <v>230</v>
      </c>
      <c r="I3069" s="204" t="s">
        <v>1144</v>
      </c>
      <c r="J3069" s="160" t="s">
        <v>505</v>
      </c>
      <c r="K3069" s="204" t="s">
        <v>506</v>
      </c>
      <c r="L3069" s="204" t="s">
        <v>10941</v>
      </c>
      <c r="M3069" s="204">
        <v>4</v>
      </c>
      <c r="N3069" s="204">
        <v>1</v>
      </c>
      <c r="O3069" s="204">
        <v>6</v>
      </c>
      <c r="P3069" s="204">
        <v>0</v>
      </c>
      <c r="Q3069" s="572">
        <v>2</v>
      </c>
      <c r="R3069" s="1209">
        <v>457</v>
      </c>
      <c r="S3069" s="1209">
        <f t="shared" si="179"/>
        <v>2742</v>
      </c>
      <c r="T3069" s="204" t="s">
        <v>422</v>
      </c>
      <c r="U3069" s="1901" t="s">
        <v>311</v>
      </c>
      <c r="V3069" s="572" t="s">
        <v>2875</v>
      </c>
      <c r="W3069" s="681" t="s">
        <v>10942</v>
      </c>
      <c r="X3069" s="18"/>
      <c r="Y3069" s="4"/>
      <c r="Z3069" s="4"/>
    </row>
    <row r="3070" spans="1:26" ht="14.1" hidden="1">
      <c r="A3070" s="20">
        <v>3077</v>
      </c>
      <c r="B3070" s="1063">
        <v>42847</v>
      </c>
      <c r="C3070" s="934" t="s">
        <v>10943</v>
      </c>
      <c r="D3070" s="11"/>
      <c r="E3070" s="204" t="s">
        <v>7956</v>
      </c>
      <c r="F3070" s="934" t="s">
        <v>404</v>
      </c>
      <c r="G3070" s="204" t="s">
        <v>6409</v>
      </c>
      <c r="H3070" s="204" t="s">
        <v>3676</v>
      </c>
      <c r="I3070" s="204" t="s">
        <v>574</v>
      </c>
      <c r="J3070" s="160" t="s">
        <v>6410</v>
      </c>
      <c r="K3070" s="204" t="s">
        <v>6411</v>
      </c>
      <c r="L3070" s="204">
        <v>805</v>
      </c>
      <c r="M3070" s="204">
        <v>2</v>
      </c>
      <c r="N3070" s="204">
        <v>1</v>
      </c>
      <c r="O3070" s="204">
        <v>10</v>
      </c>
      <c r="P3070" s="204">
        <v>0</v>
      </c>
      <c r="Q3070" s="572">
        <v>8</v>
      </c>
      <c r="R3070" s="1209">
        <v>6.4</v>
      </c>
      <c r="S3070" s="1209">
        <v>64</v>
      </c>
      <c r="T3070" s="204" t="s">
        <v>422</v>
      </c>
      <c r="U3070" s="1901" t="s">
        <v>311</v>
      </c>
      <c r="V3070" s="572" t="s">
        <v>2875</v>
      </c>
      <c r="W3070" s="681" t="s">
        <v>6412</v>
      </c>
      <c r="X3070" s="18"/>
      <c r="Y3070" s="4"/>
      <c r="Z3070" s="4"/>
    </row>
    <row r="3071" spans="1:26" ht="14.1" hidden="1">
      <c r="A3071" s="20">
        <v>3078</v>
      </c>
      <c r="B3071" s="1063">
        <v>42848</v>
      </c>
      <c r="C3071" s="934" t="s">
        <v>10944</v>
      </c>
      <c r="D3071" s="11"/>
      <c r="E3071" s="204" t="s">
        <v>7956</v>
      </c>
      <c r="F3071" s="934" t="s">
        <v>404</v>
      </c>
      <c r="G3071" s="204" t="s">
        <v>10945</v>
      </c>
      <c r="H3071" s="204" t="s">
        <v>1216</v>
      </c>
      <c r="I3071" s="204" t="s">
        <v>574</v>
      </c>
      <c r="J3071" s="160" t="s">
        <v>10946</v>
      </c>
      <c r="K3071" s="204" t="s">
        <v>10947</v>
      </c>
      <c r="L3071" s="204">
        <v>805</v>
      </c>
      <c r="M3071" s="204">
        <v>2</v>
      </c>
      <c r="N3071" s="204">
        <v>1</v>
      </c>
      <c r="O3071" s="204">
        <v>5</v>
      </c>
      <c r="P3071" s="204">
        <v>0</v>
      </c>
      <c r="Q3071" s="572">
        <v>3</v>
      </c>
      <c r="R3071" s="1209">
        <v>63</v>
      </c>
      <c r="S3071" s="1209">
        <v>315</v>
      </c>
      <c r="T3071" s="204" t="s">
        <v>422</v>
      </c>
      <c r="U3071" s="1901" t="s">
        <v>311</v>
      </c>
      <c r="V3071" s="572" t="s">
        <v>2875</v>
      </c>
      <c r="W3071" s="681" t="s">
        <v>10948</v>
      </c>
      <c r="X3071" s="18"/>
      <c r="Y3071" s="4"/>
      <c r="Z3071" s="4"/>
    </row>
    <row r="3072" spans="1:26" ht="14.1" hidden="1">
      <c r="A3072" s="20">
        <v>3079</v>
      </c>
      <c r="B3072" s="1063">
        <v>42849</v>
      </c>
      <c r="C3072" s="934" t="s">
        <v>10949</v>
      </c>
      <c r="D3072" s="11"/>
      <c r="E3072" s="204" t="s">
        <v>7956</v>
      </c>
      <c r="G3072" s="204" t="s">
        <v>10950</v>
      </c>
      <c r="H3072" s="204" t="s">
        <v>3612</v>
      </c>
      <c r="I3072" s="204" t="s">
        <v>574</v>
      </c>
      <c r="J3072" s="204" t="s">
        <v>10951</v>
      </c>
      <c r="K3072" s="2344" t="s">
        <v>10952</v>
      </c>
      <c r="L3072" s="2347"/>
      <c r="M3072" s="204">
        <v>18</v>
      </c>
      <c r="N3072" s="204">
        <v>1</v>
      </c>
      <c r="O3072" s="204">
        <v>25</v>
      </c>
      <c r="P3072" s="204">
        <v>0</v>
      </c>
      <c r="Q3072" s="572">
        <v>7</v>
      </c>
      <c r="R3072" s="1209">
        <v>59.9</v>
      </c>
      <c r="S3072" s="1209">
        <v>1497.5</v>
      </c>
      <c r="T3072" s="204" t="s">
        <v>422</v>
      </c>
      <c r="U3072" s="1901" t="s">
        <v>311</v>
      </c>
      <c r="V3072" s="572" t="s">
        <v>2875</v>
      </c>
      <c r="W3072" s="681" t="s">
        <v>10953</v>
      </c>
      <c r="X3072" s="18"/>
      <c r="Y3072" s="4"/>
      <c r="Z3072" s="4"/>
    </row>
    <row r="3073" spans="1:26" ht="14.1" hidden="1">
      <c r="A3073" s="20">
        <v>3080</v>
      </c>
      <c r="B3073" s="1063">
        <v>42850</v>
      </c>
      <c r="C3073" s="934" t="s">
        <v>10954</v>
      </c>
      <c r="D3073" s="11"/>
      <c r="E3073" s="204" t="s">
        <v>7956</v>
      </c>
      <c r="F3073" s="934" t="s">
        <v>404</v>
      </c>
      <c r="G3073" s="204" t="s">
        <v>10955</v>
      </c>
      <c r="H3073" s="204" t="s">
        <v>3612</v>
      </c>
      <c r="I3073" s="204" t="s">
        <v>574</v>
      </c>
      <c r="J3073" s="204" t="s">
        <v>10956</v>
      </c>
      <c r="K3073" s="2344" t="s">
        <v>10957</v>
      </c>
      <c r="L3073" s="2347"/>
      <c r="M3073" s="204">
        <v>6</v>
      </c>
      <c r="N3073" s="204">
        <v>1</v>
      </c>
      <c r="O3073" s="204">
        <v>10</v>
      </c>
      <c r="P3073" s="204">
        <v>0</v>
      </c>
      <c r="Q3073" s="572">
        <v>4</v>
      </c>
      <c r="R3073" s="1209">
        <v>63.9</v>
      </c>
      <c r="S3073" s="1209">
        <v>639</v>
      </c>
      <c r="T3073" s="204" t="s">
        <v>422</v>
      </c>
      <c r="U3073" s="1901" t="s">
        <v>311</v>
      </c>
      <c r="V3073" s="572" t="s">
        <v>2875</v>
      </c>
      <c r="W3073" s="681" t="s">
        <v>10958</v>
      </c>
      <c r="X3073" s="18"/>
      <c r="Y3073" s="4"/>
      <c r="Z3073" s="4"/>
    </row>
    <row r="3074" spans="1:26" ht="14.1" hidden="1">
      <c r="A3074" s="20">
        <v>3081</v>
      </c>
      <c r="B3074" s="1063">
        <v>42851</v>
      </c>
      <c r="C3074" s="934" t="s">
        <v>10959</v>
      </c>
      <c r="D3074" s="11" t="s">
        <v>6</v>
      </c>
      <c r="E3074" s="204" t="s">
        <v>4951</v>
      </c>
      <c r="F3074" s="934" t="s">
        <v>7782</v>
      </c>
      <c r="G3074" s="204" t="s">
        <v>10960</v>
      </c>
      <c r="H3074" s="204" t="s">
        <v>1715</v>
      </c>
      <c r="I3074" s="204" t="s">
        <v>8025</v>
      </c>
      <c r="J3074" s="204">
        <v>13024386</v>
      </c>
      <c r="K3074" s="204" t="s">
        <v>10959</v>
      </c>
      <c r="L3074" s="204" t="s">
        <v>10961</v>
      </c>
      <c r="M3074" s="204">
        <v>2</v>
      </c>
      <c r="N3074" s="204">
        <v>1</v>
      </c>
      <c r="O3074" s="204">
        <v>5</v>
      </c>
      <c r="P3074" s="204">
        <v>0</v>
      </c>
      <c r="Q3074" s="572">
        <v>3</v>
      </c>
      <c r="R3074" s="1209">
        <v>941.03</v>
      </c>
      <c r="S3074" s="1209">
        <f>O3074*R3074</f>
        <v>4705.1499999999996</v>
      </c>
      <c r="T3074" s="204" t="s">
        <v>5448</v>
      </c>
      <c r="U3074" s="1901" t="s">
        <v>8765</v>
      </c>
      <c r="V3074" s="572" t="s">
        <v>1544</v>
      </c>
      <c r="W3074" s="804" t="s">
        <v>10962</v>
      </c>
      <c r="X3074" s="18"/>
      <c r="Y3074" s="4"/>
      <c r="Z3074" s="4"/>
    </row>
    <row r="3075" spans="1:26" ht="14.1" hidden="1">
      <c r="A3075" s="20">
        <v>3082</v>
      </c>
      <c r="B3075" s="1063">
        <v>42852</v>
      </c>
      <c r="C3075" s="934" t="s">
        <v>4506</v>
      </c>
      <c r="D3075" s="11"/>
      <c r="E3075" s="204" t="s">
        <v>572</v>
      </c>
      <c r="F3075" s="934" t="s">
        <v>6097</v>
      </c>
      <c r="G3075" s="204" t="s">
        <v>10963</v>
      </c>
      <c r="H3075" s="204" t="s">
        <v>4172</v>
      </c>
      <c r="I3075" s="204"/>
      <c r="J3075" s="204"/>
      <c r="K3075" s="204"/>
      <c r="L3075" s="204"/>
      <c r="M3075" s="204">
        <v>3</v>
      </c>
      <c r="N3075" s="204">
        <v>1</v>
      </c>
      <c r="O3075" s="204">
        <v>4</v>
      </c>
      <c r="P3075" s="204">
        <v>0</v>
      </c>
      <c r="Q3075" s="572">
        <v>1</v>
      </c>
      <c r="R3075" s="1209">
        <v>2250</v>
      </c>
      <c r="S3075" s="1209">
        <f>R3075*O3075</f>
        <v>9000</v>
      </c>
      <c r="T3075" s="204" t="s">
        <v>5448</v>
      </c>
      <c r="U3075" s="1901" t="s">
        <v>5939</v>
      </c>
      <c r="V3075" s="572" t="s">
        <v>801</v>
      </c>
      <c r="W3075" s="804" t="s">
        <v>5699</v>
      </c>
      <c r="X3075" s="18"/>
      <c r="Y3075" s="4"/>
      <c r="Z3075" s="4"/>
    </row>
    <row r="3076" spans="1:26" ht="14.1" hidden="1">
      <c r="A3076" s="20">
        <v>3083</v>
      </c>
      <c r="B3076" s="1063">
        <v>42853</v>
      </c>
      <c r="C3076" s="934" t="s">
        <v>10964</v>
      </c>
      <c r="D3076" s="11"/>
      <c r="E3076" s="204" t="s">
        <v>10965</v>
      </c>
      <c r="F3076" s="934" t="s">
        <v>10966</v>
      </c>
      <c r="G3076" s="204" t="s">
        <v>10967</v>
      </c>
      <c r="H3076" s="204" t="s">
        <v>10968</v>
      </c>
      <c r="I3076" s="204" t="s">
        <v>7274</v>
      </c>
      <c r="J3076" s="204" t="s">
        <v>10969</v>
      </c>
      <c r="K3076" s="204">
        <v>4957180134987</v>
      </c>
      <c r="L3076" s="204"/>
      <c r="M3076" s="204">
        <v>1</v>
      </c>
      <c r="N3076" s="204">
        <v>1</v>
      </c>
      <c r="O3076" s="204">
        <v>1</v>
      </c>
      <c r="P3076" s="204">
        <v>0</v>
      </c>
      <c r="Q3076" s="572">
        <v>1</v>
      </c>
      <c r="R3076" s="1209">
        <v>10770</v>
      </c>
      <c r="S3076" s="1209">
        <v>10770</v>
      </c>
      <c r="T3076" s="204" t="s">
        <v>9485</v>
      </c>
      <c r="U3076" s="1901" t="s">
        <v>10970</v>
      </c>
      <c r="V3076" s="572" t="s">
        <v>931</v>
      </c>
      <c r="W3076" s="681" t="s">
        <v>10971</v>
      </c>
      <c r="X3076" s="18"/>
      <c r="Y3076" s="4"/>
      <c r="Z3076" s="4"/>
    </row>
    <row r="3077" spans="1:26" ht="14.1" hidden="1">
      <c r="A3077" s="20">
        <v>3084</v>
      </c>
      <c r="B3077" s="1063">
        <v>42854</v>
      </c>
      <c r="C3077" s="934" t="s">
        <v>10972</v>
      </c>
      <c r="D3077" s="11"/>
      <c r="E3077" s="204" t="s">
        <v>10965</v>
      </c>
      <c r="F3077" s="934" t="s">
        <v>10966</v>
      </c>
      <c r="G3077" s="204" t="s">
        <v>10973</v>
      </c>
      <c r="H3077" s="204" t="s">
        <v>10968</v>
      </c>
      <c r="I3077" s="204" t="s">
        <v>7274</v>
      </c>
      <c r="J3077" s="204" t="s">
        <v>10974</v>
      </c>
      <c r="K3077" s="204" t="s">
        <v>10975</v>
      </c>
      <c r="L3077" s="204"/>
      <c r="M3077" s="204">
        <v>1</v>
      </c>
      <c r="N3077" s="204">
        <v>1</v>
      </c>
      <c r="O3077" s="204">
        <v>1</v>
      </c>
      <c r="P3077" s="204">
        <v>0</v>
      </c>
      <c r="Q3077" s="572">
        <v>1</v>
      </c>
      <c r="R3077" s="1209">
        <v>2660</v>
      </c>
      <c r="S3077" s="1209">
        <v>2660</v>
      </c>
      <c r="T3077" s="204" t="s">
        <v>9485</v>
      </c>
      <c r="U3077" s="1901" t="s">
        <v>10970</v>
      </c>
      <c r="V3077" s="572" t="s">
        <v>931</v>
      </c>
      <c r="W3077" s="681" t="s">
        <v>10976</v>
      </c>
      <c r="X3077" s="18"/>
      <c r="Y3077" s="4"/>
      <c r="Z3077" s="4"/>
    </row>
    <row r="3078" spans="1:26" ht="14.1" hidden="1">
      <c r="A3078" s="20">
        <v>3085</v>
      </c>
      <c r="B3078" s="1063">
        <v>42855</v>
      </c>
      <c r="C3078" s="934" t="s">
        <v>10977</v>
      </c>
      <c r="D3078" s="11" t="s">
        <v>6</v>
      </c>
      <c r="E3078" s="204" t="s">
        <v>5448</v>
      </c>
      <c r="F3078" s="934" t="s">
        <v>439</v>
      </c>
      <c r="G3078" s="204"/>
      <c r="H3078" s="204" t="s">
        <v>8601</v>
      </c>
      <c r="I3078" s="204" t="s">
        <v>8601</v>
      </c>
      <c r="J3078" s="204"/>
      <c r="K3078" s="204"/>
      <c r="L3078" s="204"/>
      <c r="M3078" s="204">
        <v>1</v>
      </c>
      <c r="N3078" s="204">
        <v>1</v>
      </c>
      <c r="O3078" s="204" t="s">
        <v>10978</v>
      </c>
      <c r="P3078" s="204">
        <v>0</v>
      </c>
      <c r="Q3078" s="572" t="s">
        <v>8603</v>
      </c>
      <c r="R3078" s="1209">
        <v>21512</v>
      </c>
      <c r="S3078" s="1209">
        <v>86049</v>
      </c>
      <c r="T3078" s="204" t="s">
        <v>6634</v>
      </c>
      <c r="U3078" s="1901" t="s">
        <v>8604</v>
      </c>
      <c r="V3078" s="572" t="s">
        <v>1544</v>
      </c>
      <c r="W3078" s="681"/>
      <c r="X3078" s="18"/>
      <c r="Y3078" s="4"/>
      <c r="Z3078" s="4"/>
    </row>
    <row r="3079" spans="1:26" ht="14.1" hidden="1">
      <c r="A3079" s="20">
        <v>3086</v>
      </c>
      <c r="B3079" s="1063">
        <v>42856</v>
      </c>
      <c r="C3079" s="934" t="s">
        <v>7908</v>
      </c>
      <c r="D3079" s="278" t="s">
        <v>6</v>
      </c>
      <c r="E3079" s="204" t="s">
        <v>5448</v>
      </c>
      <c r="F3079" s="934" t="s">
        <v>9454</v>
      </c>
      <c r="G3079" s="204" t="s">
        <v>10979</v>
      </c>
      <c r="H3079" s="204" t="s">
        <v>10980</v>
      </c>
      <c r="I3079" s="204" t="s">
        <v>10980</v>
      </c>
      <c r="J3079" s="204" t="s">
        <v>10981</v>
      </c>
      <c r="K3079" s="204" t="s">
        <v>10981</v>
      </c>
      <c r="L3079" s="204"/>
      <c r="M3079" s="204">
        <v>1</v>
      </c>
      <c r="N3079" s="204">
        <v>1</v>
      </c>
      <c r="O3079" s="204">
        <v>4</v>
      </c>
      <c r="P3079" s="204">
        <v>0</v>
      </c>
      <c r="Q3079" s="572">
        <v>3</v>
      </c>
      <c r="R3079" s="1209">
        <v>9490</v>
      </c>
      <c r="S3079" s="1209">
        <v>37960</v>
      </c>
      <c r="T3079" s="204" t="s">
        <v>5448</v>
      </c>
      <c r="U3079" s="1901" t="s">
        <v>9458</v>
      </c>
      <c r="V3079" s="572" t="s">
        <v>10982</v>
      </c>
      <c r="W3079" s="804" t="s">
        <v>3188</v>
      </c>
      <c r="X3079" s="18"/>
      <c r="Y3079" s="4"/>
      <c r="Z3079" s="4"/>
    </row>
    <row r="3080" spans="1:26" ht="14.45" hidden="1">
      <c r="A3080" s="20">
        <v>3087</v>
      </c>
      <c r="B3080" s="1063">
        <v>42857</v>
      </c>
      <c r="C3080" s="934"/>
      <c r="D3080" s="37"/>
      <c r="E3080" s="204"/>
      <c r="F3080" s="934"/>
      <c r="G3080" s="204"/>
      <c r="H3080" s="204"/>
      <c r="I3080" s="204"/>
      <c r="J3080" s="204"/>
      <c r="K3080" s="204"/>
      <c r="L3080" s="1109"/>
      <c r="M3080" s="204"/>
      <c r="N3080" s="204"/>
      <c r="O3080" s="204"/>
      <c r="P3080" s="204"/>
      <c r="Q3080" s="572"/>
      <c r="R3080" s="1209"/>
      <c r="S3080" s="1209"/>
      <c r="T3080" s="204"/>
      <c r="U3080" s="1901"/>
      <c r="V3080" s="572"/>
      <c r="W3080" s="681"/>
      <c r="X3080" s="18"/>
      <c r="Y3080" s="4"/>
      <c r="Z3080" s="4"/>
    </row>
    <row r="3081" spans="1:26" ht="14.1" hidden="1">
      <c r="A3081" s="20">
        <v>3088</v>
      </c>
      <c r="B3081" s="1063">
        <v>42858</v>
      </c>
      <c r="C3081" s="934" t="s">
        <v>10983</v>
      </c>
      <c r="D3081" s="11" t="s">
        <v>6</v>
      </c>
      <c r="E3081" s="204" t="s">
        <v>5448</v>
      </c>
      <c r="F3081" s="934" t="s">
        <v>2876</v>
      </c>
      <c r="G3081" s="204" t="s">
        <v>10984</v>
      </c>
      <c r="H3081" s="204" t="s">
        <v>10985</v>
      </c>
      <c r="I3081" s="208" t="s">
        <v>10985</v>
      </c>
      <c r="J3081" s="208" t="s">
        <v>10984</v>
      </c>
      <c r="K3081" s="208" t="s">
        <v>10984</v>
      </c>
      <c r="L3081" s="204"/>
      <c r="M3081" s="204">
        <v>12</v>
      </c>
      <c r="N3081" s="204">
        <v>1</v>
      </c>
      <c r="O3081" s="204">
        <v>25</v>
      </c>
      <c r="P3081" s="204">
        <v>13</v>
      </c>
      <c r="Q3081" s="572">
        <v>0</v>
      </c>
      <c r="R3081" s="1209">
        <v>180</v>
      </c>
      <c r="S3081" s="1209">
        <f>O3081*R3081</f>
        <v>4500</v>
      </c>
      <c r="T3081" s="204"/>
      <c r="U3081" s="1901" t="s">
        <v>10986</v>
      </c>
      <c r="V3081" s="572" t="s">
        <v>10987</v>
      </c>
      <c r="W3081" s="681" t="s">
        <v>10988</v>
      </c>
      <c r="X3081" s="18"/>
      <c r="Y3081" s="4"/>
      <c r="Z3081" s="4"/>
    </row>
    <row r="3082" spans="1:26" ht="14.1" hidden="1">
      <c r="A3082" s="20">
        <v>3089</v>
      </c>
      <c r="B3082" s="1063">
        <v>42859</v>
      </c>
      <c r="C3082" s="934" t="s">
        <v>10989</v>
      </c>
      <c r="D3082" s="11" t="s">
        <v>6</v>
      </c>
      <c r="E3082" s="204" t="s">
        <v>572</v>
      </c>
      <c r="F3082" s="934" t="s">
        <v>439</v>
      </c>
      <c r="G3082" s="204"/>
      <c r="H3082" s="204" t="s">
        <v>8601</v>
      </c>
      <c r="I3082" s="204" t="s">
        <v>8601</v>
      </c>
      <c r="J3082" s="204"/>
      <c r="K3082" s="204"/>
      <c r="L3082" s="204"/>
      <c r="M3082" s="204">
        <v>1</v>
      </c>
      <c r="N3082" s="204">
        <v>1</v>
      </c>
      <c r="O3082" s="204" t="s">
        <v>10990</v>
      </c>
      <c r="P3082" s="204">
        <v>0</v>
      </c>
      <c r="Q3082" s="572" t="s">
        <v>10991</v>
      </c>
      <c r="R3082" s="1209">
        <v>13257</v>
      </c>
      <c r="S3082" s="1209">
        <v>53029</v>
      </c>
      <c r="T3082" s="204" t="s">
        <v>6634</v>
      </c>
      <c r="U3082" s="1901" t="s">
        <v>10992</v>
      </c>
      <c r="V3082" s="572" t="s">
        <v>1544</v>
      </c>
      <c r="W3082" s="681" t="s">
        <v>5265</v>
      </c>
      <c r="X3082" s="18"/>
      <c r="Y3082" s="4"/>
      <c r="Z3082" s="4"/>
    </row>
    <row r="3083" spans="1:26" ht="14.1" hidden="1">
      <c r="A3083" s="20">
        <v>3090</v>
      </c>
      <c r="B3083" s="1063">
        <v>42860</v>
      </c>
      <c r="C3083" s="934" t="s">
        <v>10993</v>
      </c>
      <c r="D3083" s="11" t="s">
        <v>6</v>
      </c>
      <c r="E3083" s="204" t="s">
        <v>5448</v>
      </c>
      <c r="F3083" s="934" t="s">
        <v>439</v>
      </c>
      <c r="G3083" s="204"/>
      <c r="H3083" s="204" t="s">
        <v>8601</v>
      </c>
      <c r="I3083" s="204" t="s">
        <v>8601</v>
      </c>
      <c r="J3083" s="204"/>
      <c r="K3083" s="204"/>
      <c r="L3083" s="204"/>
      <c r="M3083" s="204">
        <v>1</v>
      </c>
      <c r="N3083" s="204">
        <v>1</v>
      </c>
      <c r="O3083" s="204" t="s">
        <v>10990</v>
      </c>
      <c r="P3083" s="204">
        <v>0</v>
      </c>
      <c r="Q3083" s="572" t="s">
        <v>10991</v>
      </c>
      <c r="R3083" s="1209">
        <v>13257</v>
      </c>
      <c r="S3083" s="1209">
        <v>53029</v>
      </c>
      <c r="T3083" s="204" t="s">
        <v>6634</v>
      </c>
      <c r="U3083" s="1901" t="s">
        <v>8604</v>
      </c>
      <c r="V3083" s="572" t="s">
        <v>1544</v>
      </c>
      <c r="W3083" s="681" t="s">
        <v>5265</v>
      </c>
      <c r="X3083" s="18"/>
      <c r="Y3083" s="4"/>
      <c r="Z3083" s="4"/>
    </row>
    <row r="3084" spans="1:26" ht="14.1" hidden="1">
      <c r="A3084" s="20">
        <v>3091</v>
      </c>
      <c r="B3084" s="1063">
        <v>42861</v>
      </c>
      <c r="C3084" s="934" t="s">
        <v>9024</v>
      </c>
      <c r="D3084" s="11" t="s">
        <v>6</v>
      </c>
      <c r="E3084" s="204" t="s">
        <v>572</v>
      </c>
      <c r="F3084" s="934" t="s">
        <v>439</v>
      </c>
      <c r="G3084" s="204"/>
      <c r="H3084" s="204" t="s">
        <v>8601</v>
      </c>
      <c r="I3084" s="204" t="s">
        <v>8601</v>
      </c>
      <c r="J3084" s="204"/>
      <c r="K3084" s="204"/>
      <c r="L3084" s="204"/>
      <c r="M3084" s="204">
        <v>1</v>
      </c>
      <c r="N3084" s="204">
        <v>1</v>
      </c>
      <c r="O3084" s="204" t="s">
        <v>10990</v>
      </c>
      <c r="P3084" s="204">
        <v>0</v>
      </c>
      <c r="Q3084" s="572" t="s">
        <v>10991</v>
      </c>
      <c r="R3084" s="1209">
        <v>13257</v>
      </c>
      <c r="S3084" s="1209">
        <v>53029</v>
      </c>
      <c r="T3084" s="204" t="s">
        <v>6634</v>
      </c>
      <c r="U3084" s="1901" t="s">
        <v>10992</v>
      </c>
      <c r="V3084" s="572" t="s">
        <v>1544</v>
      </c>
      <c r="W3084" s="681" t="s">
        <v>5265</v>
      </c>
      <c r="X3084" s="18"/>
      <c r="Y3084" s="4"/>
      <c r="Z3084" s="4"/>
    </row>
    <row r="3085" spans="1:26" ht="14.1" hidden="1">
      <c r="A3085" s="20">
        <v>3092</v>
      </c>
      <c r="B3085" s="1063">
        <v>42862</v>
      </c>
      <c r="C3085" s="934" t="s">
        <v>10994</v>
      </c>
      <c r="D3085" s="11"/>
      <c r="E3085" s="204" t="s">
        <v>4951</v>
      </c>
      <c r="F3085" s="934" t="s">
        <v>439</v>
      </c>
      <c r="G3085" s="688" t="s">
        <v>10995</v>
      </c>
      <c r="H3085" s="719" t="s">
        <v>6659</v>
      </c>
      <c r="I3085" s="719" t="s">
        <v>5723</v>
      </c>
      <c r="J3085" s="720" t="s">
        <v>6660</v>
      </c>
      <c r="K3085" s="688" t="s">
        <v>6660</v>
      </c>
      <c r="L3085" s="688" t="s">
        <v>6661</v>
      </c>
      <c r="M3085" s="204">
        <v>8</v>
      </c>
      <c r="N3085" s="204">
        <v>1</v>
      </c>
      <c r="O3085" s="204">
        <v>20</v>
      </c>
      <c r="P3085" s="204">
        <v>4</v>
      </c>
      <c r="Q3085" s="572">
        <v>16</v>
      </c>
      <c r="R3085" s="1209">
        <v>484</v>
      </c>
      <c r="S3085" s="1209">
        <v>9680</v>
      </c>
      <c r="T3085" s="204" t="s">
        <v>6634</v>
      </c>
      <c r="U3085" s="1901" t="s">
        <v>10996</v>
      </c>
      <c r="V3085" s="572" t="s">
        <v>1544</v>
      </c>
      <c r="W3085" s="681" t="s">
        <v>3270</v>
      </c>
      <c r="X3085" s="18"/>
      <c r="Y3085" s="4"/>
      <c r="Z3085" s="4"/>
    </row>
    <row r="3086" spans="1:26" ht="14.1" hidden="1">
      <c r="A3086" s="20">
        <v>3093</v>
      </c>
      <c r="B3086" s="1063">
        <v>42863</v>
      </c>
      <c r="C3086" s="934" t="s">
        <v>10997</v>
      </c>
      <c r="D3086" s="11"/>
      <c r="E3086" s="204" t="s">
        <v>4951</v>
      </c>
      <c r="F3086" s="934" t="s">
        <v>439</v>
      </c>
      <c r="G3086" s="688" t="s">
        <v>6678</v>
      </c>
      <c r="H3086" s="686" t="s">
        <v>6679</v>
      </c>
      <c r="I3086" s="683" t="s">
        <v>6680</v>
      </c>
      <c r="J3086" s="688" t="s">
        <v>1479</v>
      </c>
      <c r="K3086" s="204"/>
      <c r="L3086" s="204" t="s">
        <v>6661</v>
      </c>
      <c r="M3086" s="204">
        <v>10</v>
      </c>
      <c r="N3086" s="204">
        <v>1</v>
      </c>
      <c r="O3086" s="204">
        <v>15</v>
      </c>
      <c r="P3086" s="204">
        <v>5</v>
      </c>
      <c r="Q3086" s="572">
        <v>10</v>
      </c>
      <c r="R3086" s="1209">
        <v>35</v>
      </c>
      <c r="S3086" s="1209">
        <v>525</v>
      </c>
      <c r="T3086" s="204" t="s">
        <v>6634</v>
      </c>
      <c r="U3086" s="1901" t="s">
        <v>10996</v>
      </c>
      <c r="V3086" s="572" t="s">
        <v>1544</v>
      </c>
      <c r="W3086" s="681" t="s">
        <v>10998</v>
      </c>
      <c r="X3086" s="18"/>
      <c r="Y3086" s="4"/>
      <c r="Z3086" s="4"/>
    </row>
    <row r="3087" spans="1:26" ht="15.6" hidden="1">
      <c r="A3087" s="20">
        <v>3094</v>
      </c>
      <c r="B3087" s="1063">
        <v>42864</v>
      </c>
      <c r="C3087" s="971" t="s">
        <v>10999</v>
      </c>
      <c r="D3087" s="11"/>
      <c r="E3087" s="298" t="s">
        <v>10013</v>
      </c>
      <c r="F3087" s="934" t="s">
        <v>784</v>
      </c>
      <c r="G3087" s="362" t="s">
        <v>11000</v>
      </c>
      <c r="H3087" s="204" t="s">
        <v>230</v>
      </c>
      <c r="I3087" s="204" t="s">
        <v>574</v>
      </c>
      <c r="J3087" s="204" t="s">
        <v>11001</v>
      </c>
      <c r="K3087" s="204" t="s">
        <v>11002</v>
      </c>
      <c r="L3087" s="204" t="s">
        <v>149</v>
      </c>
      <c r="M3087" s="204">
        <v>2</v>
      </c>
      <c r="N3087" s="204">
        <v>1</v>
      </c>
      <c r="O3087" s="204">
        <v>2</v>
      </c>
      <c r="P3087" s="204">
        <v>0</v>
      </c>
      <c r="Q3087" s="572">
        <v>0</v>
      </c>
      <c r="R3087" s="1209">
        <v>9971</v>
      </c>
      <c r="S3087" s="1209">
        <f t="shared" ref="S3087:S3099" si="180">R3087*O3087</f>
        <v>19942</v>
      </c>
      <c r="T3087" s="204" t="s">
        <v>10016</v>
      </c>
      <c r="U3087" s="1901" t="s">
        <v>10016</v>
      </c>
      <c r="V3087" s="572" t="s">
        <v>11003</v>
      </c>
      <c r="W3087" s="2107" t="s">
        <v>11004</v>
      </c>
      <c r="X3087" s="18"/>
      <c r="Y3087" s="4"/>
      <c r="Z3087" s="4"/>
    </row>
    <row r="3088" spans="1:26" ht="15.6" hidden="1">
      <c r="A3088" s="20">
        <v>3095</v>
      </c>
      <c r="B3088" s="1063">
        <v>42865</v>
      </c>
      <c r="C3088" s="972" t="s">
        <v>11005</v>
      </c>
      <c r="D3088" s="11"/>
      <c r="E3088" s="298" t="s">
        <v>10013</v>
      </c>
      <c r="F3088" s="934" t="s">
        <v>784</v>
      </c>
      <c r="G3088" s="363" t="s">
        <v>11006</v>
      </c>
      <c r="H3088" s="204" t="s">
        <v>11007</v>
      </c>
      <c r="I3088" s="204" t="s">
        <v>574</v>
      </c>
      <c r="J3088" s="204" t="s">
        <v>11008</v>
      </c>
      <c r="K3088" s="204" t="s">
        <v>11009</v>
      </c>
      <c r="L3088" s="204" t="s">
        <v>149</v>
      </c>
      <c r="M3088" s="204">
        <v>1</v>
      </c>
      <c r="N3088" s="204">
        <v>1</v>
      </c>
      <c r="O3088" s="204">
        <v>1</v>
      </c>
      <c r="P3088" s="204">
        <v>0</v>
      </c>
      <c r="Q3088" s="572">
        <v>0</v>
      </c>
      <c r="R3088" s="1209">
        <v>11202</v>
      </c>
      <c r="S3088" s="1209">
        <f t="shared" si="180"/>
        <v>11202</v>
      </c>
      <c r="T3088" s="204" t="s">
        <v>10016</v>
      </c>
      <c r="U3088" s="1901" t="s">
        <v>10016</v>
      </c>
      <c r="V3088" s="572" t="s">
        <v>11003</v>
      </c>
      <c r="W3088" s="2107" t="s">
        <v>11010</v>
      </c>
      <c r="X3088" s="18"/>
      <c r="Y3088" s="4"/>
      <c r="Z3088" s="4"/>
    </row>
    <row r="3089" spans="1:26" ht="15.6" hidden="1">
      <c r="A3089" s="20">
        <v>3096</v>
      </c>
      <c r="B3089" s="1063">
        <v>42866</v>
      </c>
      <c r="C3089" s="972" t="s">
        <v>11011</v>
      </c>
      <c r="D3089" s="11"/>
      <c r="E3089" s="298" t="s">
        <v>10013</v>
      </c>
      <c r="F3089" s="934" t="s">
        <v>784</v>
      </c>
      <c r="G3089" s="363" t="s">
        <v>11012</v>
      </c>
      <c r="H3089" s="204" t="s">
        <v>10743</v>
      </c>
      <c r="I3089" s="204" t="s">
        <v>84</v>
      </c>
      <c r="J3089" s="204" t="s">
        <v>11013</v>
      </c>
      <c r="K3089" s="204">
        <v>19557642</v>
      </c>
      <c r="L3089" s="204" t="s">
        <v>149</v>
      </c>
      <c r="M3089" s="204">
        <v>1</v>
      </c>
      <c r="N3089" s="204">
        <v>1</v>
      </c>
      <c r="O3089" s="204">
        <v>1</v>
      </c>
      <c r="P3089" s="204">
        <v>0</v>
      </c>
      <c r="Q3089" s="572">
        <v>0</v>
      </c>
      <c r="R3089" s="1209">
        <v>16900</v>
      </c>
      <c r="S3089" s="1209">
        <f t="shared" si="180"/>
        <v>16900</v>
      </c>
      <c r="T3089" s="204" t="s">
        <v>10016</v>
      </c>
      <c r="U3089" s="1901" t="s">
        <v>10016</v>
      </c>
      <c r="V3089" s="572" t="s">
        <v>11003</v>
      </c>
      <c r="W3089" s="2107" t="s">
        <v>11014</v>
      </c>
      <c r="X3089" s="18"/>
      <c r="Y3089" s="4"/>
      <c r="Z3089" s="4"/>
    </row>
    <row r="3090" spans="1:26" ht="15.6" hidden="1">
      <c r="A3090" s="20">
        <v>3097</v>
      </c>
      <c r="B3090" s="1063">
        <v>42867</v>
      </c>
      <c r="C3090" s="972" t="s">
        <v>11015</v>
      </c>
      <c r="D3090" s="11"/>
      <c r="E3090" s="298" t="s">
        <v>10013</v>
      </c>
      <c r="F3090" s="934" t="s">
        <v>784</v>
      </c>
      <c r="G3090" s="363" t="s">
        <v>11016</v>
      </c>
      <c r="H3090" s="204" t="s">
        <v>10759</v>
      </c>
      <c r="I3090" s="204" t="s">
        <v>84</v>
      </c>
      <c r="J3090" s="204" t="s">
        <v>11017</v>
      </c>
      <c r="K3090" s="204">
        <v>34693714</v>
      </c>
      <c r="L3090" s="204" t="s">
        <v>149</v>
      </c>
      <c r="M3090" s="204">
        <v>1</v>
      </c>
      <c r="N3090" s="204">
        <v>1</v>
      </c>
      <c r="O3090" s="204">
        <v>2</v>
      </c>
      <c r="P3090" s="204">
        <v>0</v>
      </c>
      <c r="Q3090" s="572">
        <v>0</v>
      </c>
      <c r="R3090" s="1209">
        <v>2790</v>
      </c>
      <c r="S3090" s="1209">
        <f t="shared" si="180"/>
        <v>5580</v>
      </c>
      <c r="T3090" s="204" t="s">
        <v>10016</v>
      </c>
      <c r="U3090" s="1901" t="s">
        <v>10016</v>
      </c>
      <c r="V3090" s="572" t="s">
        <v>11003</v>
      </c>
      <c r="W3090" s="2107" t="s">
        <v>11018</v>
      </c>
      <c r="X3090" s="18"/>
      <c r="Y3090" s="4"/>
      <c r="Z3090" s="4"/>
    </row>
    <row r="3091" spans="1:26" ht="15.6" hidden="1">
      <c r="A3091" s="20">
        <v>3098</v>
      </c>
      <c r="B3091" s="1063">
        <v>42868</v>
      </c>
      <c r="C3091" s="972" t="s">
        <v>11019</v>
      </c>
      <c r="D3091" s="11"/>
      <c r="E3091" s="298" t="s">
        <v>10013</v>
      </c>
      <c r="F3091" s="934" t="s">
        <v>784</v>
      </c>
      <c r="G3091" s="363" t="s">
        <v>11020</v>
      </c>
      <c r="H3091" s="204" t="s">
        <v>10743</v>
      </c>
      <c r="I3091" s="204" t="s">
        <v>84</v>
      </c>
      <c r="J3091" s="204" t="s">
        <v>11021</v>
      </c>
      <c r="K3091" s="204">
        <v>76040772</v>
      </c>
      <c r="L3091" s="204" t="s">
        <v>149</v>
      </c>
      <c r="M3091" s="204">
        <v>1</v>
      </c>
      <c r="N3091" s="204">
        <v>1</v>
      </c>
      <c r="O3091" s="204">
        <v>4</v>
      </c>
      <c r="P3091" s="204">
        <v>0</v>
      </c>
      <c r="Q3091" s="572">
        <v>0</v>
      </c>
      <c r="R3091" s="1209">
        <v>1290</v>
      </c>
      <c r="S3091" s="1209">
        <f t="shared" si="180"/>
        <v>5160</v>
      </c>
      <c r="T3091" s="204" t="s">
        <v>10016</v>
      </c>
      <c r="U3091" s="1901" t="s">
        <v>10016</v>
      </c>
      <c r="V3091" s="572" t="s">
        <v>11003</v>
      </c>
      <c r="W3091" s="2107" t="s">
        <v>11022</v>
      </c>
      <c r="X3091" s="18"/>
      <c r="Y3091" s="4"/>
      <c r="Z3091" s="4"/>
    </row>
    <row r="3092" spans="1:26" ht="15.6" hidden="1">
      <c r="A3092" s="20">
        <v>3099</v>
      </c>
      <c r="B3092" s="1063">
        <v>42869</v>
      </c>
      <c r="C3092" s="972" t="s">
        <v>11023</v>
      </c>
      <c r="D3092" s="11"/>
      <c r="E3092" s="298" t="s">
        <v>10013</v>
      </c>
      <c r="F3092" s="934" t="s">
        <v>784</v>
      </c>
      <c r="G3092" s="363" t="s">
        <v>11024</v>
      </c>
      <c r="H3092" s="204" t="s">
        <v>11025</v>
      </c>
      <c r="I3092" s="204" t="s">
        <v>84</v>
      </c>
      <c r="J3092" s="204" t="s">
        <v>11026</v>
      </c>
      <c r="K3092" s="204">
        <v>33660297</v>
      </c>
      <c r="L3092" s="204" t="s">
        <v>149</v>
      </c>
      <c r="M3092" s="204">
        <v>1</v>
      </c>
      <c r="N3092" s="204">
        <v>1</v>
      </c>
      <c r="O3092" s="204">
        <v>2</v>
      </c>
      <c r="P3092" s="204">
        <v>0</v>
      </c>
      <c r="Q3092" s="572">
        <v>0</v>
      </c>
      <c r="R3092" s="1209">
        <v>31900</v>
      </c>
      <c r="S3092" s="1209">
        <f t="shared" si="180"/>
        <v>63800</v>
      </c>
      <c r="T3092" s="204" t="s">
        <v>10016</v>
      </c>
      <c r="U3092" s="1901" t="s">
        <v>10016</v>
      </c>
      <c r="V3092" s="572" t="s">
        <v>11003</v>
      </c>
      <c r="W3092" s="2107" t="s">
        <v>11027</v>
      </c>
      <c r="X3092" s="18"/>
      <c r="Y3092" s="4"/>
      <c r="Z3092" s="4"/>
    </row>
    <row r="3093" spans="1:26" ht="15.6" hidden="1">
      <c r="A3093" s="20">
        <v>3100</v>
      </c>
      <c r="B3093" s="1063">
        <v>42870</v>
      </c>
      <c r="C3093" s="972" t="s">
        <v>7139</v>
      </c>
      <c r="D3093" s="11"/>
      <c r="E3093" s="298" t="s">
        <v>10013</v>
      </c>
      <c r="F3093" s="934" t="s">
        <v>784</v>
      </c>
      <c r="G3093" s="363" t="s">
        <v>11028</v>
      </c>
      <c r="H3093" s="204" t="s">
        <v>11029</v>
      </c>
      <c r="I3093" s="204" t="s">
        <v>84</v>
      </c>
      <c r="J3093" s="204" t="s">
        <v>11030</v>
      </c>
      <c r="K3093" s="204">
        <v>39432768</v>
      </c>
      <c r="L3093" s="204" t="s">
        <v>149</v>
      </c>
      <c r="M3093" s="204">
        <v>1</v>
      </c>
      <c r="N3093" s="204">
        <v>1</v>
      </c>
      <c r="O3093" s="204">
        <v>1</v>
      </c>
      <c r="P3093" s="204">
        <v>0</v>
      </c>
      <c r="Q3093" s="572">
        <v>0</v>
      </c>
      <c r="R3093" s="1209">
        <v>11023</v>
      </c>
      <c r="S3093" s="1209">
        <f t="shared" si="180"/>
        <v>11023</v>
      </c>
      <c r="T3093" s="204" t="s">
        <v>10016</v>
      </c>
      <c r="U3093" s="1901" t="s">
        <v>10016</v>
      </c>
      <c r="V3093" s="572" t="s">
        <v>11003</v>
      </c>
      <c r="W3093" s="2107" t="s">
        <v>11031</v>
      </c>
      <c r="X3093" s="18"/>
      <c r="Y3093" s="4"/>
      <c r="Z3093" s="4"/>
    </row>
    <row r="3094" spans="1:26" ht="15.6" hidden="1">
      <c r="A3094" s="20">
        <v>3101</v>
      </c>
      <c r="B3094" s="1063">
        <v>42871</v>
      </c>
      <c r="C3094" s="972" t="s">
        <v>5478</v>
      </c>
      <c r="D3094" s="11"/>
      <c r="E3094" s="298" t="s">
        <v>10013</v>
      </c>
      <c r="F3094" s="934" t="s">
        <v>784</v>
      </c>
      <c r="G3094" s="363" t="s">
        <v>11032</v>
      </c>
      <c r="H3094" s="204" t="s">
        <v>10743</v>
      </c>
      <c r="I3094" s="204" t="s">
        <v>84</v>
      </c>
      <c r="J3094" s="204" t="s">
        <v>11033</v>
      </c>
      <c r="K3094" s="204">
        <v>24898247</v>
      </c>
      <c r="L3094" s="204" t="s">
        <v>149</v>
      </c>
      <c r="M3094" s="204">
        <v>1</v>
      </c>
      <c r="N3094" s="204">
        <v>1</v>
      </c>
      <c r="O3094" s="204">
        <v>4</v>
      </c>
      <c r="P3094" s="204">
        <v>0</v>
      </c>
      <c r="Q3094" s="572">
        <v>0</v>
      </c>
      <c r="R3094" s="1209">
        <v>1290</v>
      </c>
      <c r="S3094" s="1209">
        <f t="shared" si="180"/>
        <v>5160</v>
      </c>
      <c r="T3094" s="204" t="s">
        <v>10016</v>
      </c>
      <c r="U3094" s="1901" t="s">
        <v>10016</v>
      </c>
      <c r="V3094" s="572" t="s">
        <v>11003</v>
      </c>
      <c r="W3094" s="2107" t="s">
        <v>11034</v>
      </c>
      <c r="X3094" s="18"/>
      <c r="Y3094" s="4"/>
      <c r="Z3094" s="4"/>
    </row>
    <row r="3095" spans="1:26" ht="15.6" hidden="1">
      <c r="A3095" s="20">
        <v>3102</v>
      </c>
      <c r="B3095" s="1063">
        <v>42872</v>
      </c>
      <c r="C3095" s="972" t="s">
        <v>11035</v>
      </c>
      <c r="D3095" s="11"/>
      <c r="E3095" s="298" t="s">
        <v>10013</v>
      </c>
      <c r="F3095" s="934" t="s">
        <v>784</v>
      </c>
      <c r="G3095" s="363" t="s">
        <v>11036</v>
      </c>
      <c r="H3095" s="204" t="s">
        <v>11037</v>
      </c>
      <c r="I3095" s="204" t="s">
        <v>84</v>
      </c>
      <c r="K3095" s="204">
        <v>11326473</v>
      </c>
      <c r="L3095" s="204" t="s">
        <v>149</v>
      </c>
      <c r="M3095" s="204">
        <v>1</v>
      </c>
      <c r="N3095" s="204">
        <v>1</v>
      </c>
      <c r="O3095" s="204">
        <v>5</v>
      </c>
      <c r="P3095" s="204">
        <v>0</v>
      </c>
      <c r="Q3095" s="572">
        <v>0</v>
      </c>
      <c r="R3095" s="1209">
        <v>339</v>
      </c>
      <c r="S3095" s="1209">
        <f t="shared" si="180"/>
        <v>1695</v>
      </c>
      <c r="T3095" s="204" t="s">
        <v>10016</v>
      </c>
      <c r="U3095" s="1901" t="s">
        <v>10016</v>
      </c>
      <c r="V3095" s="572" t="s">
        <v>11003</v>
      </c>
      <c r="W3095" s="2108" t="s">
        <v>11038</v>
      </c>
      <c r="X3095" s="18"/>
      <c r="Y3095" s="4"/>
      <c r="Z3095" s="4"/>
    </row>
    <row r="3096" spans="1:26" ht="15.6" hidden="1">
      <c r="A3096" s="20">
        <v>3103</v>
      </c>
      <c r="B3096" s="1063">
        <v>42873</v>
      </c>
      <c r="C3096" s="972" t="s">
        <v>11039</v>
      </c>
      <c r="D3096" s="11"/>
      <c r="E3096" s="298" t="s">
        <v>10013</v>
      </c>
      <c r="F3096" s="934" t="s">
        <v>784</v>
      </c>
      <c r="G3096" s="363" t="s">
        <v>11036</v>
      </c>
      <c r="H3096" s="204" t="s">
        <v>11037</v>
      </c>
      <c r="I3096" s="204" t="s">
        <v>84</v>
      </c>
      <c r="J3096" s="204" t="s">
        <v>11040</v>
      </c>
      <c r="K3096" s="204">
        <v>11344323</v>
      </c>
      <c r="L3096" s="204" t="s">
        <v>149</v>
      </c>
      <c r="M3096" s="204">
        <v>1</v>
      </c>
      <c r="N3096" s="204">
        <v>1</v>
      </c>
      <c r="O3096" s="204">
        <v>5</v>
      </c>
      <c r="P3096" s="204">
        <v>0</v>
      </c>
      <c r="Q3096" s="572">
        <v>0</v>
      </c>
      <c r="R3096" s="1209">
        <v>669</v>
      </c>
      <c r="S3096" s="1209">
        <f t="shared" si="180"/>
        <v>3345</v>
      </c>
      <c r="T3096" s="204" t="s">
        <v>10016</v>
      </c>
      <c r="U3096" s="1901" t="s">
        <v>10016</v>
      </c>
      <c r="V3096" s="572" t="s">
        <v>11003</v>
      </c>
      <c r="W3096" s="2108" t="s">
        <v>11041</v>
      </c>
      <c r="X3096" s="18"/>
      <c r="Y3096" s="4"/>
      <c r="Z3096" s="4"/>
    </row>
    <row r="3097" spans="1:26" ht="15.6" hidden="1">
      <c r="A3097" s="20">
        <v>3104</v>
      </c>
      <c r="B3097" s="1063">
        <v>42874</v>
      </c>
      <c r="C3097" s="972" t="s">
        <v>11042</v>
      </c>
      <c r="D3097" s="11"/>
      <c r="E3097" s="298" t="s">
        <v>10013</v>
      </c>
      <c r="F3097" s="934" t="s">
        <v>784</v>
      </c>
      <c r="G3097" s="363" t="s">
        <v>1005</v>
      </c>
      <c r="H3097" s="204" t="s">
        <v>11037</v>
      </c>
      <c r="I3097" s="204" t="s">
        <v>84</v>
      </c>
      <c r="J3097" s="204" t="s">
        <v>11043</v>
      </c>
      <c r="K3097" s="204">
        <v>42263015</v>
      </c>
      <c r="L3097" s="204" t="s">
        <v>149</v>
      </c>
      <c r="M3097" s="204">
        <v>1</v>
      </c>
      <c r="N3097" s="204">
        <v>1</v>
      </c>
      <c r="O3097" s="204">
        <v>10</v>
      </c>
      <c r="P3097" s="204">
        <v>0</v>
      </c>
      <c r="Q3097" s="572">
        <v>0</v>
      </c>
      <c r="R3097" s="1209">
        <v>399</v>
      </c>
      <c r="S3097" s="1209">
        <f t="shared" si="180"/>
        <v>3990</v>
      </c>
      <c r="T3097" s="204" t="s">
        <v>10016</v>
      </c>
      <c r="U3097" s="1901" t="s">
        <v>10016</v>
      </c>
      <c r="V3097" s="572" t="s">
        <v>11003</v>
      </c>
      <c r="W3097" s="2108" t="s">
        <v>11044</v>
      </c>
      <c r="X3097" s="18"/>
      <c r="Y3097" s="4"/>
      <c r="Z3097" s="4"/>
    </row>
    <row r="3098" spans="1:26" ht="15.6" hidden="1">
      <c r="A3098" s="20">
        <v>3105</v>
      </c>
      <c r="B3098" s="1063">
        <v>42875</v>
      </c>
      <c r="C3098" s="972" t="s">
        <v>11045</v>
      </c>
      <c r="D3098" s="11"/>
      <c r="E3098" s="298" t="s">
        <v>10013</v>
      </c>
      <c r="F3098" s="934" t="s">
        <v>784</v>
      </c>
      <c r="G3098" s="363" t="s">
        <v>1005</v>
      </c>
      <c r="H3098" s="204" t="s">
        <v>11037</v>
      </c>
      <c r="I3098" s="204" t="s">
        <v>84</v>
      </c>
      <c r="J3098" s="204" t="s">
        <v>11046</v>
      </c>
      <c r="K3098" s="204">
        <v>57144378</v>
      </c>
      <c r="L3098" s="204" t="s">
        <v>149</v>
      </c>
      <c r="M3098" s="204">
        <v>1</v>
      </c>
      <c r="N3098" s="204">
        <v>1</v>
      </c>
      <c r="O3098" s="204">
        <v>1</v>
      </c>
      <c r="P3098" s="204">
        <v>0</v>
      </c>
      <c r="Q3098" s="572">
        <v>0</v>
      </c>
      <c r="R3098" s="1209">
        <v>1990</v>
      </c>
      <c r="S3098" s="1209">
        <f t="shared" si="180"/>
        <v>1990</v>
      </c>
      <c r="T3098" s="204" t="s">
        <v>10016</v>
      </c>
      <c r="U3098" s="1901" t="s">
        <v>10016</v>
      </c>
      <c r="V3098" s="572" t="s">
        <v>11003</v>
      </c>
      <c r="W3098" s="2108" t="s">
        <v>11047</v>
      </c>
      <c r="X3098" s="18"/>
      <c r="Y3098" s="4"/>
      <c r="Z3098" s="4"/>
    </row>
    <row r="3099" spans="1:26" ht="15.6" hidden="1">
      <c r="A3099" s="20">
        <v>3106</v>
      </c>
      <c r="B3099" s="1063">
        <v>42876</v>
      </c>
      <c r="C3099" s="972" t="s">
        <v>11048</v>
      </c>
      <c r="D3099" s="11"/>
      <c r="E3099" s="298" t="s">
        <v>10013</v>
      </c>
      <c r="F3099" s="934" t="s">
        <v>784</v>
      </c>
      <c r="G3099" s="363" t="s">
        <v>11049</v>
      </c>
      <c r="H3099" s="204" t="s">
        <v>149</v>
      </c>
      <c r="I3099" s="204" t="s">
        <v>84</v>
      </c>
      <c r="J3099" s="204">
        <v>150</v>
      </c>
      <c r="K3099" s="204">
        <v>27399338</v>
      </c>
      <c r="L3099" s="204" t="s">
        <v>149</v>
      </c>
      <c r="M3099" s="204">
        <v>1</v>
      </c>
      <c r="N3099" s="204">
        <v>1</v>
      </c>
      <c r="O3099" s="204">
        <v>1</v>
      </c>
      <c r="P3099" s="204">
        <v>0</v>
      </c>
      <c r="Q3099" s="572">
        <v>0</v>
      </c>
      <c r="R3099" s="1209">
        <v>149</v>
      </c>
      <c r="S3099" s="1209">
        <f t="shared" si="180"/>
        <v>149</v>
      </c>
      <c r="T3099" s="204" t="s">
        <v>10016</v>
      </c>
      <c r="U3099" s="1901" t="s">
        <v>10016</v>
      </c>
      <c r="V3099" s="572" t="s">
        <v>11003</v>
      </c>
      <c r="W3099" s="2108" t="s">
        <v>11050</v>
      </c>
      <c r="X3099" s="18"/>
      <c r="Y3099" s="4"/>
      <c r="Z3099" s="4"/>
    </row>
    <row r="3100" spans="1:26" ht="14.1" hidden="1">
      <c r="A3100" s="20">
        <v>3107</v>
      </c>
      <c r="B3100" s="1063">
        <v>42877</v>
      </c>
      <c r="C3100" s="934" t="s">
        <v>11051</v>
      </c>
      <c r="D3100" s="11"/>
      <c r="E3100" s="204" t="s">
        <v>166</v>
      </c>
      <c r="F3100" s="934" t="s">
        <v>7782</v>
      </c>
      <c r="G3100" s="204" t="s">
        <v>285</v>
      </c>
      <c r="H3100" s="204" t="s">
        <v>1002</v>
      </c>
      <c r="I3100" s="204" t="s">
        <v>2868</v>
      </c>
      <c r="J3100" s="204"/>
      <c r="K3100" s="204"/>
      <c r="L3100" s="204"/>
      <c r="M3100" s="204">
        <v>1</v>
      </c>
      <c r="N3100" s="204">
        <v>1</v>
      </c>
      <c r="O3100" s="204" t="s">
        <v>10990</v>
      </c>
      <c r="P3100" s="204">
        <v>0</v>
      </c>
      <c r="Q3100" s="572" t="s">
        <v>10991</v>
      </c>
      <c r="R3100" s="1209"/>
      <c r="S3100" s="1209">
        <v>128970</v>
      </c>
      <c r="T3100" s="204" t="s">
        <v>6634</v>
      </c>
      <c r="U3100" s="1901" t="s">
        <v>11052</v>
      </c>
      <c r="V3100" s="572" t="s">
        <v>1544</v>
      </c>
      <c r="W3100" s="681" t="s">
        <v>5265</v>
      </c>
      <c r="X3100" s="18"/>
      <c r="Y3100" s="4"/>
      <c r="Z3100" s="4"/>
    </row>
    <row r="3101" spans="1:26" ht="14.1" hidden="1">
      <c r="A3101" s="20">
        <v>3108</v>
      </c>
      <c r="B3101" s="1063">
        <v>42878</v>
      </c>
      <c r="C3101" s="934" t="s">
        <v>11053</v>
      </c>
      <c r="D3101" s="11"/>
      <c r="E3101" s="204" t="s">
        <v>166</v>
      </c>
      <c r="F3101" s="934" t="s">
        <v>7046</v>
      </c>
      <c r="G3101" s="204" t="s">
        <v>285</v>
      </c>
      <c r="H3101" s="204" t="s">
        <v>1002</v>
      </c>
      <c r="I3101" s="204" t="s">
        <v>2868</v>
      </c>
      <c r="J3101" s="204">
        <v>20111300222</v>
      </c>
      <c r="K3101" s="204"/>
      <c r="L3101" s="204"/>
      <c r="M3101" s="204">
        <v>1</v>
      </c>
      <c r="N3101" s="204">
        <v>1</v>
      </c>
      <c r="O3101" s="204" t="s">
        <v>10990</v>
      </c>
      <c r="P3101" s="204">
        <v>0</v>
      </c>
      <c r="Q3101" s="572" t="s">
        <v>10991</v>
      </c>
      <c r="R3101" s="1209"/>
      <c r="S3101" s="1209">
        <v>113276</v>
      </c>
      <c r="T3101" s="204" t="s">
        <v>6634</v>
      </c>
      <c r="U3101" s="1901" t="s">
        <v>11054</v>
      </c>
      <c r="V3101" s="572" t="s">
        <v>1544</v>
      </c>
      <c r="W3101" s="681"/>
      <c r="X3101" s="18"/>
      <c r="Y3101" s="4"/>
      <c r="Z3101" s="4"/>
    </row>
    <row r="3102" spans="1:26" ht="14.1" hidden="1">
      <c r="A3102" s="20">
        <v>3109</v>
      </c>
      <c r="B3102" s="1063">
        <v>42879</v>
      </c>
      <c r="C3102" s="934" t="s">
        <v>11055</v>
      </c>
      <c r="D3102" s="11"/>
      <c r="E3102" s="204" t="s">
        <v>572</v>
      </c>
      <c r="F3102" s="934" t="s">
        <v>2699</v>
      </c>
      <c r="G3102" s="204" t="s">
        <v>11056</v>
      </c>
      <c r="H3102" s="204" t="s">
        <v>1379</v>
      </c>
      <c r="I3102" s="204" t="s">
        <v>1379</v>
      </c>
      <c r="J3102" s="204">
        <v>20111300132</v>
      </c>
      <c r="K3102" s="204"/>
      <c r="L3102" s="204"/>
      <c r="M3102" s="204" t="s">
        <v>11057</v>
      </c>
      <c r="N3102" s="204">
        <v>1</v>
      </c>
      <c r="O3102" s="204">
        <v>4</v>
      </c>
      <c r="P3102" s="204">
        <v>0</v>
      </c>
      <c r="Q3102" s="572">
        <v>4</v>
      </c>
      <c r="R3102" s="1209"/>
      <c r="S3102" s="1209">
        <v>18601</v>
      </c>
      <c r="T3102" s="204"/>
      <c r="U3102" s="1901" t="s">
        <v>11058</v>
      </c>
      <c r="V3102" s="572" t="s">
        <v>931</v>
      </c>
      <c r="W3102" s="681"/>
      <c r="X3102" s="18"/>
      <c r="Y3102" s="4"/>
      <c r="Z3102" s="4"/>
    </row>
    <row r="3103" spans="1:26" ht="14.1" hidden="1">
      <c r="A3103" s="20">
        <v>3110</v>
      </c>
      <c r="B3103" s="1063">
        <v>42880</v>
      </c>
      <c r="C3103" s="934" t="s">
        <v>8769</v>
      </c>
      <c r="D3103" s="11"/>
      <c r="E3103" s="204" t="s">
        <v>4951</v>
      </c>
      <c r="F3103" s="934" t="s">
        <v>7782</v>
      </c>
      <c r="G3103" s="26" t="s">
        <v>8770</v>
      </c>
      <c r="H3103" s="204" t="s">
        <v>184</v>
      </c>
      <c r="I3103" s="204" t="s">
        <v>8819</v>
      </c>
      <c r="J3103" s="204" t="s">
        <v>11059</v>
      </c>
      <c r="K3103" s="204" t="s">
        <v>8773</v>
      </c>
      <c r="L3103" s="204" t="s">
        <v>8774</v>
      </c>
      <c r="M3103" s="204">
        <v>20</v>
      </c>
      <c r="N3103" s="204">
        <v>1</v>
      </c>
      <c r="O3103" s="204">
        <v>15</v>
      </c>
      <c r="P3103" s="204">
        <v>10</v>
      </c>
      <c r="Q3103" s="572">
        <f t="shared" ref="Q3103:Q3155" si="181">(O3103+P3103)-M3103</f>
        <v>5</v>
      </c>
      <c r="R3103" s="1209">
        <v>88</v>
      </c>
      <c r="S3103" s="1209">
        <f t="shared" ref="S3103:S3156" si="182">R3103*O3103</f>
        <v>1320</v>
      </c>
      <c r="T3103" s="204" t="s">
        <v>5448</v>
      </c>
      <c r="U3103" s="1901" t="s">
        <v>11052</v>
      </c>
      <c r="V3103" s="572" t="s">
        <v>1544</v>
      </c>
      <c r="W3103" s="681" t="s">
        <v>11060</v>
      </c>
      <c r="X3103" s="18"/>
      <c r="Y3103" s="4"/>
      <c r="Z3103" s="4"/>
    </row>
    <row r="3104" spans="1:26" ht="14.1" hidden="1">
      <c r="A3104" s="20">
        <v>3111</v>
      </c>
      <c r="B3104" s="1063">
        <v>42881</v>
      </c>
      <c r="C3104" s="934" t="s">
        <v>3709</v>
      </c>
      <c r="D3104" s="11"/>
      <c r="E3104" s="204" t="s">
        <v>4951</v>
      </c>
      <c r="F3104" s="934" t="s">
        <v>7782</v>
      </c>
      <c r="G3104" s="26" t="s">
        <v>8776</v>
      </c>
      <c r="H3104" s="204" t="s">
        <v>184</v>
      </c>
      <c r="I3104" s="204" t="s">
        <v>8819</v>
      </c>
      <c r="J3104" s="204" t="s">
        <v>11061</v>
      </c>
      <c r="K3104" s="204" t="s">
        <v>8778</v>
      </c>
      <c r="L3104" s="204" t="s">
        <v>732</v>
      </c>
      <c r="M3104" s="204">
        <v>72</v>
      </c>
      <c r="N3104" s="204">
        <v>1</v>
      </c>
      <c r="O3104" s="204">
        <v>55</v>
      </c>
      <c r="P3104" s="204">
        <v>24</v>
      </c>
      <c r="Q3104" s="572">
        <f t="shared" si="181"/>
        <v>7</v>
      </c>
      <c r="R3104" s="1209">
        <v>47</v>
      </c>
      <c r="S3104" s="1209">
        <f t="shared" si="182"/>
        <v>2585</v>
      </c>
      <c r="T3104" s="204" t="s">
        <v>5448</v>
      </c>
      <c r="U3104" s="1901" t="s">
        <v>11052</v>
      </c>
      <c r="V3104" s="572" t="s">
        <v>1544</v>
      </c>
      <c r="W3104" s="681" t="s">
        <v>11062</v>
      </c>
      <c r="X3104" s="18"/>
      <c r="Y3104" s="4"/>
      <c r="Z3104" s="4"/>
    </row>
    <row r="3105" spans="1:26" ht="14.1" hidden="1">
      <c r="A3105" s="20">
        <v>3112</v>
      </c>
      <c r="B3105" s="1063">
        <v>42882</v>
      </c>
      <c r="C3105" s="934" t="s">
        <v>8780</v>
      </c>
      <c r="D3105" s="11"/>
      <c r="E3105" s="204" t="s">
        <v>4951</v>
      </c>
      <c r="F3105" s="934" t="s">
        <v>7782</v>
      </c>
      <c r="G3105" s="26" t="s">
        <v>8776</v>
      </c>
      <c r="H3105" s="204" t="s">
        <v>184</v>
      </c>
      <c r="I3105" s="204" t="s">
        <v>8819</v>
      </c>
      <c r="J3105" s="204" t="s">
        <v>11063</v>
      </c>
      <c r="K3105" s="204" t="s">
        <v>8782</v>
      </c>
      <c r="L3105" s="204" t="s">
        <v>732</v>
      </c>
      <c r="M3105" s="204">
        <v>8</v>
      </c>
      <c r="N3105" s="204">
        <v>1</v>
      </c>
      <c r="O3105" s="204">
        <v>5</v>
      </c>
      <c r="P3105" s="204">
        <v>6</v>
      </c>
      <c r="Q3105" s="572">
        <f t="shared" si="181"/>
        <v>3</v>
      </c>
      <c r="R3105" s="1209">
        <v>20</v>
      </c>
      <c r="S3105" s="1209">
        <f t="shared" si="182"/>
        <v>100</v>
      </c>
      <c r="T3105" s="204" t="s">
        <v>5448</v>
      </c>
      <c r="U3105" s="1901" t="s">
        <v>11052</v>
      </c>
      <c r="V3105" s="572" t="s">
        <v>1544</v>
      </c>
      <c r="W3105" s="681" t="s">
        <v>11064</v>
      </c>
      <c r="X3105" s="18"/>
      <c r="Y3105" s="4"/>
      <c r="Z3105" s="4"/>
    </row>
    <row r="3106" spans="1:26" ht="14.1" hidden="1">
      <c r="A3106" s="20">
        <v>3113</v>
      </c>
      <c r="B3106" s="1063">
        <v>42883</v>
      </c>
      <c r="C3106" s="934" t="s">
        <v>8784</v>
      </c>
      <c r="D3106" s="11"/>
      <c r="E3106" s="204" t="s">
        <v>4951</v>
      </c>
      <c r="F3106" s="934" t="s">
        <v>7782</v>
      </c>
      <c r="G3106" s="26" t="s">
        <v>8776</v>
      </c>
      <c r="H3106" s="204" t="s">
        <v>184</v>
      </c>
      <c r="I3106" s="204" t="s">
        <v>8819</v>
      </c>
      <c r="J3106" s="204" t="s">
        <v>11065</v>
      </c>
      <c r="K3106" s="204" t="s">
        <v>8786</v>
      </c>
      <c r="L3106" s="204" t="s">
        <v>732</v>
      </c>
      <c r="M3106" s="204">
        <v>24</v>
      </c>
      <c r="N3106" s="204">
        <v>1</v>
      </c>
      <c r="O3106" s="204">
        <v>15</v>
      </c>
      <c r="P3106" s="204">
        <v>13</v>
      </c>
      <c r="Q3106" s="572">
        <f t="shared" si="181"/>
        <v>4</v>
      </c>
      <c r="R3106" s="1209">
        <v>35</v>
      </c>
      <c r="S3106" s="1209">
        <f t="shared" si="182"/>
        <v>525</v>
      </c>
      <c r="T3106" s="204" t="s">
        <v>5448</v>
      </c>
      <c r="U3106" s="1901" t="s">
        <v>11052</v>
      </c>
      <c r="V3106" s="572" t="s">
        <v>1544</v>
      </c>
      <c r="W3106" s="681" t="s">
        <v>11066</v>
      </c>
      <c r="X3106" s="18"/>
      <c r="Y3106" s="4"/>
      <c r="Z3106" s="4"/>
    </row>
    <row r="3107" spans="1:26" ht="14.1" hidden="1">
      <c r="A3107" s="20">
        <v>3114</v>
      </c>
      <c r="B3107" s="1063">
        <v>42884</v>
      </c>
      <c r="C3107" s="934" t="s">
        <v>8788</v>
      </c>
      <c r="D3107" s="11"/>
      <c r="E3107" s="204" t="s">
        <v>4951</v>
      </c>
      <c r="F3107" s="934" t="s">
        <v>7782</v>
      </c>
      <c r="G3107" s="26" t="s">
        <v>8776</v>
      </c>
      <c r="H3107" s="204" t="s">
        <v>184</v>
      </c>
      <c r="I3107" s="204" t="s">
        <v>8819</v>
      </c>
      <c r="J3107" s="204" t="s">
        <v>11067</v>
      </c>
      <c r="K3107" s="204" t="s">
        <v>8790</v>
      </c>
      <c r="L3107" s="204" t="s">
        <v>732</v>
      </c>
      <c r="M3107" s="204">
        <v>16</v>
      </c>
      <c r="N3107" s="204">
        <v>1</v>
      </c>
      <c r="O3107" s="204">
        <v>10</v>
      </c>
      <c r="P3107" s="204">
        <v>7</v>
      </c>
      <c r="Q3107" s="572">
        <f t="shared" si="181"/>
        <v>1</v>
      </c>
      <c r="R3107" s="1209">
        <v>30</v>
      </c>
      <c r="S3107" s="1209">
        <f t="shared" si="182"/>
        <v>300</v>
      </c>
      <c r="T3107" s="204" t="s">
        <v>5448</v>
      </c>
      <c r="U3107" s="1901" t="s">
        <v>11052</v>
      </c>
      <c r="V3107" s="572" t="s">
        <v>1544</v>
      </c>
      <c r="W3107" s="681" t="s">
        <v>11068</v>
      </c>
      <c r="X3107" s="18"/>
      <c r="Y3107" s="4"/>
      <c r="Z3107" s="4"/>
    </row>
    <row r="3108" spans="1:26" ht="14.1" hidden="1">
      <c r="A3108" s="20">
        <v>3115</v>
      </c>
      <c r="B3108" s="1063">
        <v>42885</v>
      </c>
      <c r="C3108" s="934" t="s">
        <v>8792</v>
      </c>
      <c r="D3108" s="11"/>
      <c r="E3108" s="204" t="s">
        <v>4951</v>
      </c>
      <c r="F3108" s="934" t="s">
        <v>7782</v>
      </c>
      <c r="G3108" s="26" t="s">
        <v>8776</v>
      </c>
      <c r="H3108" s="204" t="s">
        <v>184</v>
      </c>
      <c r="I3108" s="204" t="s">
        <v>8819</v>
      </c>
      <c r="J3108" s="204" t="s">
        <v>11069</v>
      </c>
      <c r="K3108" s="204" t="s">
        <v>8794</v>
      </c>
      <c r="L3108" s="204" t="s">
        <v>732</v>
      </c>
      <c r="M3108" s="204">
        <v>4</v>
      </c>
      <c r="N3108" s="204">
        <v>1</v>
      </c>
      <c r="O3108" s="204">
        <v>5</v>
      </c>
      <c r="P3108" s="204">
        <v>3</v>
      </c>
      <c r="Q3108" s="572">
        <f t="shared" si="181"/>
        <v>4</v>
      </c>
      <c r="R3108" s="1209">
        <v>11</v>
      </c>
      <c r="S3108" s="1209">
        <f t="shared" si="182"/>
        <v>55</v>
      </c>
      <c r="T3108" s="204" t="s">
        <v>5448</v>
      </c>
      <c r="U3108" s="1901" t="s">
        <v>11052</v>
      </c>
      <c r="V3108" s="572" t="s">
        <v>1544</v>
      </c>
      <c r="W3108" s="681" t="s">
        <v>11070</v>
      </c>
      <c r="X3108" s="18"/>
      <c r="Y3108" s="4"/>
      <c r="Z3108" s="4"/>
    </row>
    <row r="3109" spans="1:26" ht="14.1" hidden="1">
      <c r="A3109" s="20">
        <v>3116</v>
      </c>
      <c r="B3109" s="1063">
        <v>42886</v>
      </c>
      <c r="C3109" s="934" t="s">
        <v>8796</v>
      </c>
      <c r="D3109" s="11"/>
      <c r="E3109" s="204" t="s">
        <v>4951</v>
      </c>
      <c r="F3109" s="934" t="s">
        <v>7782</v>
      </c>
      <c r="G3109" s="26" t="s">
        <v>8776</v>
      </c>
      <c r="H3109" s="204" t="s">
        <v>184</v>
      </c>
      <c r="I3109" s="204" t="s">
        <v>574</v>
      </c>
      <c r="J3109" s="204" t="s">
        <v>8797</v>
      </c>
      <c r="K3109" s="204" t="s">
        <v>8798</v>
      </c>
      <c r="L3109" s="204" t="s">
        <v>732</v>
      </c>
      <c r="M3109" s="204">
        <v>8</v>
      </c>
      <c r="N3109" s="204">
        <v>1</v>
      </c>
      <c r="O3109" s="204">
        <v>5</v>
      </c>
      <c r="P3109" s="204">
        <v>6</v>
      </c>
      <c r="Q3109" s="572">
        <f t="shared" si="181"/>
        <v>3</v>
      </c>
      <c r="R3109" s="1209">
        <v>28</v>
      </c>
      <c r="S3109" s="1209">
        <f t="shared" si="182"/>
        <v>140</v>
      </c>
      <c r="T3109" s="204" t="s">
        <v>5448</v>
      </c>
      <c r="U3109" s="1901" t="s">
        <v>11052</v>
      </c>
      <c r="V3109" s="572" t="s">
        <v>1544</v>
      </c>
      <c r="W3109" s="681" t="s">
        <v>8799</v>
      </c>
      <c r="X3109" s="18"/>
      <c r="Y3109" s="4"/>
      <c r="Z3109" s="4"/>
    </row>
    <row r="3110" spans="1:26" ht="14.1" hidden="1">
      <c r="A3110" s="20">
        <v>3117</v>
      </c>
      <c r="B3110" s="1063">
        <v>42887</v>
      </c>
      <c r="C3110" s="934" t="s">
        <v>3703</v>
      </c>
      <c r="D3110" s="11"/>
      <c r="E3110" s="204" t="s">
        <v>4951</v>
      </c>
      <c r="F3110" s="934" t="s">
        <v>7782</v>
      </c>
      <c r="G3110" s="26" t="s">
        <v>8776</v>
      </c>
      <c r="H3110" s="204" t="s">
        <v>184</v>
      </c>
      <c r="I3110" s="204" t="s">
        <v>574</v>
      </c>
      <c r="J3110" s="204" t="s">
        <v>8800</v>
      </c>
      <c r="K3110" s="204" t="s">
        <v>8801</v>
      </c>
      <c r="L3110" s="204" t="s">
        <v>732</v>
      </c>
      <c r="M3110" s="204">
        <v>24</v>
      </c>
      <c r="N3110" s="204">
        <v>1</v>
      </c>
      <c r="O3110" s="204">
        <v>20</v>
      </c>
      <c r="P3110" s="204">
        <v>8</v>
      </c>
      <c r="Q3110" s="572">
        <f t="shared" si="181"/>
        <v>4</v>
      </c>
      <c r="R3110" s="1209">
        <v>52</v>
      </c>
      <c r="S3110" s="1209">
        <f t="shared" si="182"/>
        <v>1040</v>
      </c>
      <c r="T3110" s="204" t="s">
        <v>5448</v>
      </c>
      <c r="U3110" s="1901" t="s">
        <v>11052</v>
      </c>
      <c r="V3110" s="572" t="s">
        <v>1544</v>
      </c>
      <c r="W3110" s="681" t="s">
        <v>8802</v>
      </c>
      <c r="X3110" s="18"/>
      <c r="Y3110" s="4"/>
      <c r="Z3110" s="4"/>
    </row>
    <row r="3111" spans="1:26" ht="14.1" hidden="1">
      <c r="A3111" s="20">
        <v>3118</v>
      </c>
      <c r="B3111" s="1063">
        <v>42888</v>
      </c>
      <c r="C3111" s="934" t="s">
        <v>8803</v>
      </c>
      <c r="D3111" s="11"/>
      <c r="E3111" s="204" t="s">
        <v>4951</v>
      </c>
      <c r="F3111" s="934" t="s">
        <v>7782</v>
      </c>
      <c r="G3111" s="26" t="s">
        <v>8776</v>
      </c>
      <c r="H3111" s="204" t="s">
        <v>184</v>
      </c>
      <c r="I3111" s="204" t="s">
        <v>8819</v>
      </c>
      <c r="J3111" s="204" t="s">
        <v>11071</v>
      </c>
      <c r="K3111" s="204" t="s">
        <v>8805</v>
      </c>
      <c r="L3111" s="204" t="s">
        <v>732</v>
      </c>
      <c r="M3111" s="204">
        <v>4</v>
      </c>
      <c r="N3111" s="204">
        <v>1</v>
      </c>
      <c r="O3111" s="204">
        <v>5</v>
      </c>
      <c r="P3111" s="204">
        <v>3</v>
      </c>
      <c r="Q3111" s="572">
        <f t="shared" si="181"/>
        <v>4</v>
      </c>
      <c r="R3111" s="1209">
        <v>11</v>
      </c>
      <c r="S3111" s="1209">
        <f t="shared" si="182"/>
        <v>55</v>
      </c>
      <c r="T3111" s="204" t="s">
        <v>5448</v>
      </c>
      <c r="U3111" s="1901" t="s">
        <v>11052</v>
      </c>
      <c r="V3111" s="572" t="s">
        <v>1544</v>
      </c>
      <c r="W3111" s="681" t="s">
        <v>11072</v>
      </c>
      <c r="X3111" s="18"/>
      <c r="Y3111" s="4"/>
      <c r="Z3111" s="4"/>
    </row>
    <row r="3112" spans="1:26" ht="14.1" hidden="1">
      <c r="A3112" s="20">
        <v>3119</v>
      </c>
      <c r="B3112" s="1063">
        <v>42889</v>
      </c>
      <c r="C3112" s="934" t="s">
        <v>8807</v>
      </c>
      <c r="D3112" s="11"/>
      <c r="E3112" s="204" t="s">
        <v>4951</v>
      </c>
      <c r="F3112" s="934" t="s">
        <v>7782</v>
      </c>
      <c r="G3112" s="26" t="s">
        <v>8776</v>
      </c>
      <c r="H3112" s="204" t="s">
        <v>184</v>
      </c>
      <c r="I3112" s="204" t="s">
        <v>574</v>
      </c>
      <c r="J3112" s="204" t="s">
        <v>8808</v>
      </c>
      <c r="K3112" s="204" t="s">
        <v>8809</v>
      </c>
      <c r="L3112" s="204" t="s">
        <v>732</v>
      </c>
      <c r="M3112" s="204">
        <v>8</v>
      </c>
      <c r="N3112" s="204">
        <v>1</v>
      </c>
      <c r="O3112" s="204">
        <v>5</v>
      </c>
      <c r="P3112" s="204">
        <v>6</v>
      </c>
      <c r="Q3112" s="572">
        <f t="shared" si="181"/>
        <v>3</v>
      </c>
      <c r="R3112" s="1209">
        <v>36</v>
      </c>
      <c r="S3112" s="1209">
        <f t="shared" si="182"/>
        <v>180</v>
      </c>
      <c r="T3112" s="204" t="s">
        <v>5448</v>
      </c>
      <c r="U3112" s="1901" t="s">
        <v>11052</v>
      </c>
      <c r="V3112" s="572" t="s">
        <v>1544</v>
      </c>
      <c r="W3112" s="681" t="s">
        <v>8810</v>
      </c>
      <c r="X3112" s="18"/>
      <c r="Y3112" s="4"/>
      <c r="Z3112" s="4"/>
    </row>
    <row r="3113" spans="1:26" ht="14.1" hidden="1">
      <c r="A3113" s="20">
        <v>3120</v>
      </c>
      <c r="B3113" s="1063">
        <v>42890</v>
      </c>
      <c r="C3113" s="934" t="s">
        <v>8811</v>
      </c>
      <c r="D3113" s="11"/>
      <c r="E3113" s="204" t="s">
        <v>4951</v>
      </c>
      <c r="F3113" s="934" t="s">
        <v>7782</v>
      </c>
      <c r="G3113" s="26" t="s">
        <v>8776</v>
      </c>
      <c r="H3113" s="204" t="s">
        <v>184</v>
      </c>
      <c r="I3113" s="204" t="s">
        <v>574</v>
      </c>
      <c r="J3113" s="204" t="s">
        <v>8812</v>
      </c>
      <c r="K3113" s="204" t="s">
        <v>8813</v>
      </c>
      <c r="L3113" s="204" t="s">
        <v>732</v>
      </c>
      <c r="M3113" s="204">
        <v>12</v>
      </c>
      <c r="N3113" s="204">
        <v>1</v>
      </c>
      <c r="O3113" s="204">
        <v>5</v>
      </c>
      <c r="P3113" s="204">
        <v>9</v>
      </c>
      <c r="Q3113" s="572">
        <f t="shared" si="181"/>
        <v>2</v>
      </c>
      <c r="R3113" s="1209">
        <v>52</v>
      </c>
      <c r="S3113" s="1209">
        <f t="shared" si="182"/>
        <v>260</v>
      </c>
      <c r="T3113" s="204" t="s">
        <v>5448</v>
      </c>
      <c r="U3113" s="1901" t="s">
        <v>11052</v>
      </c>
      <c r="V3113" s="572" t="s">
        <v>1544</v>
      </c>
      <c r="W3113" s="681" t="s">
        <v>8814</v>
      </c>
      <c r="X3113" s="18"/>
      <c r="Y3113" s="4"/>
      <c r="Z3113" s="4"/>
    </row>
    <row r="3114" spans="1:26" ht="14.1" hidden="1">
      <c r="A3114" s="20">
        <v>3121</v>
      </c>
      <c r="B3114" s="1063">
        <v>42891</v>
      </c>
      <c r="C3114" s="934" t="s">
        <v>3714</v>
      </c>
      <c r="D3114" s="11"/>
      <c r="E3114" s="204" t="s">
        <v>4951</v>
      </c>
      <c r="F3114" s="934" t="s">
        <v>7782</v>
      </c>
      <c r="G3114" s="26" t="s">
        <v>8776</v>
      </c>
      <c r="H3114" s="204" t="s">
        <v>184</v>
      </c>
      <c r="I3114" s="204" t="s">
        <v>8819</v>
      </c>
      <c r="J3114" s="204" t="s">
        <v>11073</v>
      </c>
      <c r="K3114" s="204" t="s">
        <v>8816</v>
      </c>
      <c r="L3114" s="204" t="s">
        <v>732</v>
      </c>
      <c r="M3114" s="204">
        <v>12</v>
      </c>
      <c r="N3114" s="204">
        <v>1</v>
      </c>
      <c r="O3114" s="204">
        <v>5</v>
      </c>
      <c r="P3114" s="204">
        <v>9</v>
      </c>
      <c r="Q3114" s="572">
        <f t="shared" si="181"/>
        <v>2</v>
      </c>
      <c r="R3114" s="1209">
        <v>15</v>
      </c>
      <c r="S3114" s="1209">
        <f t="shared" si="182"/>
        <v>75</v>
      </c>
      <c r="T3114" s="204" t="s">
        <v>5448</v>
      </c>
      <c r="U3114" s="1901" t="s">
        <v>11052</v>
      </c>
      <c r="V3114" s="572" t="s">
        <v>1544</v>
      </c>
      <c r="W3114" s="681" t="s">
        <v>11074</v>
      </c>
      <c r="X3114" s="18"/>
      <c r="Y3114" s="4"/>
      <c r="Z3114" s="4"/>
    </row>
    <row r="3115" spans="1:26" ht="14.1" hidden="1">
      <c r="A3115" s="20">
        <v>3122</v>
      </c>
      <c r="B3115" s="1063">
        <v>42892</v>
      </c>
      <c r="C3115" s="934" t="s">
        <v>10907</v>
      </c>
      <c r="D3115" s="11"/>
      <c r="E3115" s="204" t="s">
        <v>4951</v>
      </c>
      <c r="F3115" s="934" t="s">
        <v>7782</v>
      </c>
      <c r="G3115" s="26" t="s">
        <v>8776</v>
      </c>
      <c r="H3115" s="204" t="s">
        <v>5730</v>
      </c>
      <c r="I3115" s="204" t="s">
        <v>8819</v>
      </c>
      <c r="J3115" s="204" t="s">
        <v>8820</v>
      </c>
      <c r="K3115" s="204" t="s">
        <v>8821</v>
      </c>
      <c r="L3115" s="204" t="s">
        <v>732</v>
      </c>
      <c r="M3115" s="204">
        <v>12</v>
      </c>
      <c r="N3115" s="204">
        <v>1</v>
      </c>
      <c r="O3115" s="204">
        <v>5</v>
      </c>
      <c r="P3115" s="204">
        <v>9</v>
      </c>
      <c r="Q3115" s="572">
        <f t="shared" si="181"/>
        <v>2</v>
      </c>
      <c r="R3115" s="1209">
        <v>66</v>
      </c>
      <c r="S3115" s="1209">
        <f t="shared" si="182"/>
        <v>330</v>
      </c>
      <c r="T3115" s="204" t="s">
        <v>5448</v>
      </c>
      <c r="U3115" s="1901" t="s">
        <v>11052</v>
      </c>
      <c r="V3115" s="572" t="s">
        <v>1544</v>
      </c>
      <c r="W3115" s="681" t="s">
        <v>8822</v>
      </c>
      <c r="X3115" s="18"/>
      <c r="Y3115" s="4"/>
      <c r="Z3115" s="4"/>
    </row>
    <row r="3116" spans="1:26" ht="14.1" hidden="1">
      <c r="A3116" s="20">
        <v>3123</v>
      </c>
      <c r="B3116" s="1063">
        <v>42893</v>
      </c>
      <c r="C3116" s="934" t="s">
        <v>11075</v>
      </c>
      <c r="D3116" s="11"/>
      <c r="E3116" s="204" t="s">
        <v>4951</v>
      </c>
      <c r="F3116" s="934" t="s">
        <v>7782</v>
      </c>
      <c r="G3116" s="26" t="s">
        <v>8776</v>
      </c>
      <c r="H3116" s="204" t="s">
        <v>184</v>
      </c>
      <c r="I3116" s="204" t="s">
        <v>8819</v>
      </c>
      <c r="J3116" s="204" t="s">
        <v>11076</v>
      </c>
      <c r="K3116" s="204" t="s">
        <v>8825</v>
      </c>
      <c r="L3116" s="204" t="s">
        <v>732</v>
      </c>
      <c r="M3116" s="204">
        <v>4</v>
      </c>
      <c r="N3116" s="204">
        <v>1</v>
      </c>
      <c r="O3116" s="204">
        <v>5</v>
      </c>
      <c r="P3116" s="204">
        <v>3</v>
      </c>
      <c r="Q3116" s="572">
        <f t="shared" si="181"/>
        <v>4</v>
      </c>
      <c r="R3116" s="1209">
        <v>92</v>
      </c>
      <c r="S3116" s="1209">
        <f t="shared" si="182"/>
        <v>460</v>
      </c>
      <c r="T3116" s="204" t="s">
        <v>5448</v>
      </c>
      <c r="U3116" s="1901" t="s">
        <v>11052</v>
      </c>
      <c r="V3116" s="572" t="s">
        <v>1544</v>
      </c>
      <c r="W3116" s="681" t="s">
        <v>11077</v>
      </c>
      <c r="X3116" s="18"/>
      <c r="Y3116" s="4"/>
      <c r="Z3116" s="4"/>
    </row>
    <row r="3117" spans="1:26" ht="14.1" hidden="1">
      <c r="A3117" s="20">
        <v>3124</v>
      </c>
      <c r="B3117" s="1063">
        <v>42894</v>
      </c>
      <c r="C3117" s="934" t="s">
        <v>8827</v>
      </c>
      <c r="D3117" s="11"/>
      <c r="E3117" s="204" t="s">
        <v>4951</v>
      </c>
      <c r="F3117" s="934" t="s">
        <v>7782</v>
      </c>
      <c r="G3117" s="26" t="s">
        <v>8776</v>
      </c>
      <c r="H3117" s="204" t="s">
        <v>5174</v>
      </c>
      <c r="I3117" s="204" t="s">
        <v>8819</v>
      </c>
      <c r="J3117" s="204" t="s">
        <v>11078</v>
      </c>
      <c r="K3117" s="204" t="s">
        <v>8829</v>
      </c>
      <c r="L3117" s="204" t="s">
        <v>4291</v>
      </c>
      <c r="M3117" s="204">
        <v>28</v>
      </c>
      <c r="N3117" s="204">
        <v>1</v>
      </c>
      <c r="O3117" s="204">
        <v>25</v>
      </c>
      <c r="P3117" s="204">
        <v>8</v>
      </c>
      <c r="Q3117" s="572">
        <f t="shared" si="181"/>
        <v>5</v>
      </c>
      <c r="R3117" s="1209">
        <v>11</v>
      </c>
      <c r="S3117" s="1209">
        <f t="shared" si="182"/>
        <v>275</v>
      </c>
      <c r="T3117" s="204" t="s">
        <v>5448</v>
      </c>
      <c r="U3117" s="1901" t="s">
        <v>11052</v>
      </c>
      <c r="V3117" s="572" t="s">
        <v>1544</v>
      </c>
      <c r="W3117" s="681" t="s">
        <v>11079</v>
      </c>
      <c r="X3117" s="18"/>
      <c r="Y3117" s="4"/>
      <c r="Z3117" s="4"/>
    </row>
    <row r="3118" spans="1:26" ht="14.1" hidden="1">
      <c r="A3118" s="20">
        <v>3125</v>
      </c>
      <c r="B3118" s="1063">
        <v>42895</v>
      </c>
      <c r="C3118" s="934" t="s">
        <v>8831</v>
      </c>
      <c r="D3118" s="11"/>
      <c r="E3118" s="204" t="s">
        <v>4951</v>
      </c>
      <c r="F3118" s="934" t="s">
        <v>7782</v>
      </c>
      <c r="G3118" s="26" t="s">
        <v>8980</v>
      </c>
      <c r="H3118" s="204" t="s">
        <v>5174</v>
      </c>
      <c r="I3118" s="204" t="s">
        <v>8819</v>
      </c>
      <c r="J3118" s="204" t="s">
        <v>11080</v>
      </c>
      <c r="K3118" s="204" t="s">
        <v>6354</v>
      </c>
      <c r="L3118" s="204" t="s">
        <v>3723</v>
      </c>
      <c r="M3118" s="204">
        <v>20</v>
      </c>
      <c r="N3118" s="204">
        <v>1</v>
      </c>
      <c r="O3118" s="204">
        <v>25</v>
      </c>
      <c r="P3118" s="204">
        <v>0</v>
      </c>
      <c r="Q3118" s="572">
        <f t="shared" si="181"/>
        <v>5</v>
      </c>
      <c r="R3118" s="1209">
        <v>81</v>
      </c>
      <c r="S3118" s="1209">
        <f t="shared" si="182"/>
        <v>2025</v>
      </c>
      <c r="T3118" s="204" t="s">
        <v>5448</v>
      </c>
      <c r="U3118" s="1901" t="s">
        <v>11052</v>
      </c>
      <c r="V3118" s="572" t="s">
        <v>1544</v>
      </c>
      <c r="W3118" s="681" t="s">
        <v>11081</v>
      </c>
      <c r="X3118" s="18"/>
      <c r="Y3118" s="4"/>
      <c r="Z3118" s="4"/>
    </row>
    <row r="3119" spans="1:26" ht="14.1" hidden="1">
      <c r="A3119" s="20">
        <v>3126</v>
      </c>
      <c r="B3119" s="1063">
        <v>42896</v>
      </c>
      <c r="C3119" s="934" t="s">
        <v>8832</v>
      </c>
      <c r="D3119" s="11"/>
      <c r="E3119" s="204" t="s">
        <v>4951</v>
      </c>
      <c r="F3119" s="934" t="s">
        <v>7782</v>
      </c>
      <c r="G3119" s="26" t="s">
        <v>8776</v>
      </c>
      <c r="H3119" s="204" t="s">
        <v>5174</v>
      </c>
      <c r="I3119" s="204" t="s">
        <v>8819</v>
      </c>
      <c r="J3119" s="204" t="s">
        <v>11082</v>
      </c>
      <c r="K3119" s="204" t="s">
        <v>8834</v>
      </c>
      <c r="L3119" s="204" t="s">
        <v>4291</v>
      </c>
      <c r="M3119" s="204">
        <v>40</v>
      </c>
      <c r="N3119" s="204">
        <v>1</v>
      </c>
      <c r="O3119" s="204">
        <v>30</v>
      </c>
      <c r="P3119" s="204">
        <v>15</v>
      </c>
      <c r="Q3119" s="572">
        <f t="shared" si="181"/>
        <v>5</v>
      </c>
      <c r="R3119" s="1209">
        <v>11</v>
      </c>
      <c r="S3119" s="1209">
        <f t="shared" si="182"/>
        <v>330</v>
      </c>
      <c r="T3119" s="204" t="s">
        <v>5448</v>
      </c>
      <c r="U3119" s="1901" t="s">
        <v>11052</v>
      </c>
      <c r="V3119" s="572" t="s">
        <v>1544</v>
      </c>
      <c r="W3119" s="681" t="s">
        <v>11083</v>
      </c>
      <c r="X3119" s="18"/>
      <c r="Y3119" s="4"/>
      <c r="Z3119" s="4"/>
    </row>
    <row r="3120" spans="1:26" ht="14.1" hidden="1">
      <c r="A3120" s="20">
        <v>3127</v>
      </c>
      <c r="B3120" s="1063">
        <v>42897</v>
      </c>
      <c r="C3120" s="934" t="s">
        <v>11084</v>
      </c>
      <c r="D3120" s="11"/>
      <c r="E3120" s="204" t="s">
        <v>4951</v>
      </c>
      <c r="F3120" s="934" t="s">
        <v>7782</v>
      </c>
      <c r="G3120" s="26" t="s">
        <v>8776</v>
      </c>
      <c r="H3120" s="204" t="s">
        <v>5174</v>
      </c>
      <c r="I3120" s="204" t="s">
        <v>8819</v>
      </c>
      <c r="J3120" s="204" t="s">
        <v>11085</v>
      </c>
      <c r="K3120" s="204" t="s">
        <v>11086</v>
      </c>
      <c r="L3120" s="204" t="s">
        <v>4291</v>
      </c>
      <c r="M3120" s="204">
        <v>4</v>
      </c>
      <c r="N3120" s="204">
        <v>1</v>
      </c>
      <c r="O3120" s="204">
        <v>10</v>
      </c>
      <c r="P3120" s="204">
        <v>0</v>
      </c>
      <c r="Q3120" s="572">
        <f t="shared" si="181"/>
        <v>6</v>
      </c>
      <c r="R3120" s="1209">
        <v>11</v>
      </c>
      <c r="S3120" s="1209">
        <f t="shared" si="182"/>
        <v>110</v>
      </c>
      <c r="T3120" s="204" t="s">
        <v>5448</v>
      </c>
      <c r="U3120" s="1901" t="s">
        <v>11052</v>
      </c>
      <c r="V3120" s="572" t="s">
        <v>1544</v>
      </c>
      <c r="W3120" s="681" t="s">
        <v>11087</v>
      </c>
      <c r="X3120" s="18"/>
      <c r="Y3120" s="4"/>
      <c r="Z3120" s="4"/>
    </row>
    <row r="3121" spans="1:26" ht="14.1" hidden="1">
      <c r="A3121" s="20">
        <v>3128</v>
      </c>
      <c r="B3121" s="1063">
        <v>42898</v>
      </c>
      <c r="C3121" s="934" t="s">
        <v>11088</v>
      </c>
      <c r="D3121" s="11"/>
      <c r="E3121" s="204" t="s">
        <v>4951</v>
      </c>
      <c r="F3121" s="934" t="s">
        <v>7782</v>
      </c>
      <c r="G3121" s="26" t="s">
        <v>8776</v>
      </c>
      <c r="H3121" s="204" t="s">
        <v>5174</v>
      </c>
      <c r="I3121" s="204" t="s">
        <v>8819</v>
      </c>
      <c r="J3121" s="204" t="s">
        <v>11089</v>
      </c>
      <c r="K3121" s="204" t="s">
        <v>8838</v>
      </c>
      <c r="L3121" s="204" t="s">
        <v>4291</v>
      </c>
      <c r="M3121" s="204">
        <v>16</v>
      </c>
      <c r="N3121" s="204">
        <v>1</v>
      </c>
      <c r="O3121" s="204">
        <v>10</v>
      </c>
      <c r="P3121" s="204">
        <v>7</v>
      </c>
      <c r="Q3121" s="572">
        <f t="shared" si="181"/>
        <v>1</v>
      </c>
      <c r="R3121" s="1209">
        <v>11</v>
      </c>
      <c r="S3121" s="1209">
        <f t="shared" si="182"/>
        <v>110</v>
      </c>
      <c r="T3121" s="204" t="s">
        <v>5448</v>
      </c>
      <c r="U3121" s="1901" t="s">
        <v>11052</v>
      </c>
      <c r="V3121" s="572" t="s">
        <v>1544</v>
      </c>
      <c r="W3121" s="681" t="s">
        <v>11090</v>
      </c>
      <c r="X3121" s="18"/>
      <c r="Y3121" s="4"/>
      <c r="Z3121" s="4"/>
    </row>
    <row r="3122" spans="1:26" ht="14.1" hidden="1">
      <c r="A3122" s="20">
        <v>3129</v>
      </c>
      <c r="B3122" s="1063">
        <v>42899</v>
      </c>
      <c r="C3122" s="934" t="s">
        <v>8840</v>
      </c>
      <c r="D3122" s="11"/>
      <c r="E3122" s="204" t="s">
        <v>4951</v>
      </c>
      <c r="F3122" s="934" t="s">
        <v>7782</v>
      </c>
      <c r="G3122" s="26" t="s">
        <v>8776</v>
      </c>
      <c r="H3122" s="204" t="s">
        <v>5174</v>
      </c>
      <c r="I3122" s="204" t="s">
        <v>8819</v>
      </c>
      <c r="J3122" s="204" t="s">
        <v>11091</v>
      </c>
      <c r="K3122" s="204" t="s">
        <v>8842</v>
      </c>
      <c r="L3122" s="204" t="s">
        <v>4291</v>
      </c>
      <c r="M3122" s="204">
        <v>16</v>
      </c>
      <c r="N3122" s="204">
        <v>1</v>
      </c>
      <c r="O3122" s="204">
        <v>10</v>
      </c>
      <c r="P3122" s="204">
        <v>7</v>
      </c>
      <c r="Q3122" s="572">
        <f t="shared" si="181"/>
        <v>1</v>
      </c>
      <c r="R3122" s="1209">
        <v>11</v>
      </c>
      <c r="S3122" s="1209">
        <f t="shared" si="182"/>
        <v>110</v>
      </c>
      <c r="T3122" s="204" t="s">
        <v>5448</v>
      </c>
      <c r="U3122" s="1901" t="s">
        <v>11052</v>
      </c>
      <c r="V3122" s="572" t="s">
        <v>1544</v>
      </c>
      <c r="W3122" s="681" t="s">
        <v>11092</v>
      </c>
      <c r="X3122" s="18"/>
      <c r="Y3122" s="4"/>
      <c r="Z3122" s="4"/>
    </row>
    <row r="3123" spans="1:26" ht="14.1" hidden="1">
      <c r="A3123" s="20">
        <v>3130</v>
      </c>
      <c r="B3123" s="1063">
        <v>42900</v>
      </c>
      <c r="C3123" s="934" t="s">
        <v>8844</v>
      </c>
      <c r="D3123" s="11"/>
      <c r="E3123" s="204" t="s">
        <v>4951</v>
      </c>
      <c r="F3123" s="934" t="s">
        <v>7782</v>
      </c>
      <c r="G3123" s="26" t="s">
        <v>8776</v>
      </c>
      <c r="H3123" s="204" t="s">
        <v>5174</v>
      </c>
      <c r="I3123" s="204" t="s">
        <v>8819</v>
      </c>
      <c r="J3123" s="204" t="s">
        <v>11093</v>
      </c>
      <c r="K3123" s="204" t="s">
        <v>8846</v>
      </c>
      <c r="L3123" s="204" t="s">
        <v>4291</v>
      </c>
      <c r="M3123" s="204">
        <v>16</v>
      </c>
      <c r="N3123" s="204">
        <v>1</v>
      </c>
      <c r="O3123" s="204">
        <v>10</v>
      </c>
      <c r="P3123" s="204">
        <v>7</v>
      </c>
      <c r="Q3123" s="572">
        <f t="shared" si="181"/>
        <v>1</v>
      </c>
      <c r="R3123" s="1209">
        <v>11</v>
      </c>
      <c r="S3123" s="1209">
        <f t="shared" si="182"/>
        <v>110</v>
      </c>
      <c r="T3123" s="204" t="s">
        <v>5448</v>
      </c>
      <c r="U3123" s="1901" t="s">
        <v>11052</v>
      </c>
      <c r="V3123" s="572" t="s">
        <v>1544</v>
      </c>
      <c r="W3123" s="681" t="s">
        <v>11094</v>
      </c>
      <c r="X3123" s="18"/>
      <c r="Y3123" s="4"/>
      <c r="Z3123" s="4"/>
    </row>
    <row r="3124" spans="1:26" ht="14.1" hidden="1">
      <c r="A3124" s="20">
        <v>3131</v>
      </c>
      <c r="B3124" s="1063">
        <v>42901</v>
      </c>
      <c r="C3124" s="934" t="s">
        <v>8848</v>
      </c>
      <c r="D3124" s="11"/>
      <c r="E3124" s="204" t="s">
        <v>4951</v>
      </c>
      <c r="F3124" s="934" t="s">
        <v>7782</v>
      </c>
      <c r="G3124" s="26" t="s">
        <v>8776</v>
      </c>
      <c r="H3124" s="204" t="s">
        <v>5174</v>
      </c>
      <c r="I3124" s="204" t="s">
        <v>8819</v>
      </c>
      <c r="J3124" s="204" t="s">
        <v>11095</v>
      </c>
      <c r="K3124" s="204" t="s">
        <v>8850</v>
      </c>
      <c r="L3124" s="204" t="s">
        <v>4291</v>
      </c>
      <c r="M3124" s="204">
        <v>12</v>
      </c>
      <c r="N3124" s="204">
        <v>1</v>
      </c>
      <c r="O3124" s="204">
        <v>5</v>
      </c>
      <c r="P3124" s="204">
        <v>9</v>
      </c>
      <c r="Q3124" s="572">
        <f t="shared" si="181"/>
        <v>2</v>
      </c>
      <c r="R3124" s="1209">
        <v>11</v>
      </c>
      <c r="S3124" s="1209">
        <f t="shared" si="182"/>
        <v>55</v>
      </c>
      <c r="T3124" s="204" t="s">
        <v>5448</v>
      </c>
      <c r="U3124" s="1901" t="s">
        <v>11052</v>
      </c>
      <c r="V3124" s="572" t="s">
        <v>1544</v>
      </c>
      <c r="W3124" s="681" t="s">
        <v>11096</v>
      </c>
      <c r="X3124" s="18"/>
      <c r="Y3124" s="4"/>
      <c r="Z3124" s="4"/>
    </row>
    <row r="3125" spans="1:26" ht="14.1" hidden="1">
      <c r="A3125" s="20">
        <v>3132</v>
      </c>
      <c r="B3125" s="1063">
        <v>42902</v>
      </c>
      <c r="C3125" s="934" t="s">
        <v>8852</v>
      </c>
      <c r="D3125" s="11"/>
      <c r="E3125" s="204" t="s">
        <v>4951</v>
      </c>
      <c r="F3125" s="934" t="s">
        <v>7782</v>
      </c>
      <c r="G3125" s="26" t="s">
        <v>8776</v>
      </c>
      <c r="H3125" s="204" t="s">
        <v>3676</v>
      </c>
      <c r="I3125" s="204" t="s">
        <v>8819</v>
      </c>
      <c r="J3125" s="204" t="s">
        <v>11097</v>
      </c>
      <c r="K3125" s="204" t="s">
        <v>8854</v>
      </c>
      <c r="L3125" s="204" t="s">
        <v>4291</v>
      </c>
      <c r="M3125" s="204">
        <v>4</v>
      </c>
      <c r="N3125" s="204">
        <v>1</v>
      </c>
      <c r="O3125" s="204">
        <v>5</v>
      </c>
      <c r="P3125" s="204">
        <v>0</v>
      </c>
      <c r="Q3125" s="572">
        <f t="shared" si="181"/>
        <v>1</v>
      </c>
      <c r="R3125" s="1209">
        <v>11</v>
      </c>
      <c r="S3125" s="1209">
        <f t="shared" si="182"/>
        <v>55</v>
      </c>
      <c r="T3125" s="204" t="s">
        <v>5448</v>
      </c>
      <c r="U3125" s="1901" t="s">
        <v>11052</v>
      </c>
      <c r="V3125" s="572" t="s">
        <v>1544</v>
      </c>
      <c r="W3125" s="681" t="s">
        <v>11098</v>
      </c>
      <c r="X3125" s="18"/>
      <c r="Y3125" s="4"/>
      <c r="Z3125" s="4"/>
    </row>
    <row r="3126" spans="1:26" ht="14.1" hidden="1">
      <c r="A3126" s="20">
        <v>3133</v>
      </c>
      <c r="B3126" s="1063">
        <v>42903</v>
      </c>
      <c r="C3126" s="934" t="s">
        <v>8856</v>
      </c>
      <c r="D3126" s="11"/>
      <c r="E3126" s="204" t="s">
        <v>4951</v>
      </c>
      <c r="F3126" s="934" t="s">
        <v>7782</v>
      </c>
      <c r="G3126" s="26" t="s">
        <v>8776</v>
      </c>
      <c r="H3126" s="204" t="s">
        <v>5174</v>
      </c>
      <c r="I3126" s="204" t="s">
        <v>8819</v>
      </c>
      <c r="J3126" s="204" t="s">
        <v>11099</v>
      </c>
      <c r="K3126" s="204" t="s">
        <v>8858</v>
      </c>
      <c r="L3126" s="204" t="s">
        <v>4291</v>
      </c>
      <c r="M3126" s="204">
        <v>4</v>
      </c>
      <c r="N3126" s="204">
        <v>1</v>
      </c>
      <c r="O3126" s="204">
        <v>5</v>
      </c>
      <c r="P3126" s="204">
        <v>3</v>
      </c>
      <c r="Q3126" s="572">
        <f t="shared" si="181"/>
        <v>4</v>
      </c>
      <c r="R3126" s="1209">
        <v>11</v>
      </c>
      <c r="S3126" s="1209">
        <f t="shared" si="182"/>
        <v>55</v>
      </c>
      <c r="T3126" s="204" t="s">
        <v>5448</v>
      </c>
      <c r="U3126" s="1901" t="s">
        <v>11052</v>
      </c>
      <c r="V3126" s="572" t="s">
        <v>1544</v>
      </c>
      <c r="W3126" s="681" t="s">
        <v>11100</v>
      </c>
      <c r="X3126" s="18"/>
      <c r="Y3126" s="4"/>
      <c r="Z3126" s="4"/>
    </row>
    <row r="3127" spans="1:26" ht="14.1" hidden="1">
      <c r="A3127" s="20">
        <v>3134</v>
      </c>
      <c r="B3127" s="1063">
        <v>42904</v>
      </c>
      <c r="C3127" s="934" t="s">
        <v>8860</v>
      </c>
      <c r="D3127" s="11"/>
      <c r="E3127" s="204" t="s">
        <v>4951</v>
      </c>
      <c r="F3127" s="934" t="s">
        <v>7782</v>
      </c>
      <c r="G3127" s="26" t="s">
        <v>8776</v>
      </c>
      <c r="H3127" s="204" t="s">
        <v>5174</v>
      </c>
      <c r="I3127" s="204" t="s">
        <v>8819</v>
      </c>
      <c r="J3127" s="204" t="s">
        <v>11101</v>
      </c>
      <c r="K3127" s="204" t="s">
        <v>8862</v>
      </c>
      <c r="L3127" s="204" t="s">
        <v>4291</v>
      </c>
      <c r="M3127" s="204">
        <v>4</v>
      </c>
      <c r="N3127" s="204">
        <v>1</v>
      </c>
      <c r="O3127" s="204">
        <v>5</v>
      </c>
      <c r="P3127" s="204">
        <v>3</v>
      </c>
      <c r="Q3127" s="572">
        <f t="shared" si="181"/>
        <v>4</v>
      </c>
      <c r="R3127" s="1209">
        <v>11</v>
      </c>
      <c r="S3127" s="1209">
        <f t="shared" si="182"/>
        <v>55</v>
      </c>
      <c r="T3127" s="204" t="s">
        <v>5448</v>
      </c>
      <c r="U3127" s="1901" t="s">
        <v>11052</v>
      </c>
      <c r="V3127" s="572" t="s">
        <v>1544</v>
      </c>
      <c r="W3127" s="681" t="s">
        <v>11102</v>
      </c>
      <c r="X3127" s="18"/>
      <c r="Y3127" s="4"/>
      <c r="Z3127" s="4"/>
    </row>
    <row r="3128" spans="1:26" ht="14.1" hidden="1">
      <c r="A3128" s="20">
        <v>3135</v>
      </c>
      <c r="B3128" s="1063">
        <v>42905</v>
      </c>
      <c r="C3128" s="934" t="s">
        <v>8864</v>
      </c>
      <c r="D3128" s="11"/>
      <c r="E3128" s="204" t="s">
        <v>4951</v>
      </c>
      <c r="F3128" s="934" t="s">
        <v>7782</v>
      </c>
      <c r="G3128" s="26" t="s">
        <v>8776</v>
      </c>
      <c r="H3128" s="204" t="s">
        <v>5174</v>
      </c>
      <c r="I3128" s="204" t="s">
        <v>8819</v>
      </c>
      <c r="J3128" s="204" t="s">
        <v>11103</v>
      </c>
      <c r="K3128" s="204" t="s">
        <v>8866</v>
      </c>
      <c r="L3128" s="204" t="s">
        <v>4291</v>
      </c>
      <c r="M3128" s="204">
        <v>12</v>
      </c>
      <c r="N3128" s="204">
        <v>1</v>
      </c>
      <c r="O3128" s="204">
        <v>5</v>
      </c>
      <c r="P3128" s="204">
        <v>9</v>
      </c>
      <c r="Q3128" s="572">
        <f t="shared" si="181"/>
        <v>2</v>
      </c>
      <c r="R3128" s="1209">
        <v>11</v>
      </c>
      <c r="S3128" s="1209">
        <f t="shared" si="182"/>
        <v>55</v>
      </c>
      <c r="T3128" s="204" t="s">
        <v>5448</v>
      </c>
      <c r="U3128" s="1901" t="s">
        <v>11052</v>
      </c>
      <c r="V3128" s="572" t="s">
        <v>1544</v>
      </c>
      <c r="W3128" s="681" t="s">
        <v>11104</v>
      </c>
      <c r="X3128" s="18"/>
      <c r="Y3128" s="4"/>
      <c r="Z3128" s="4"/>
    </row>
    <row r="3129" spans="1:26" ht="14.1" hidden="1">
      <c r="A3129" s="20">
        <v>3136</v>
      </c>
      <c r="B3129" s="1063">
        <v>42906</v>
      </c>
      <c r="C3129" s="934" t="s">
        <v>11105</v>
      </c>
      <c r="D3129" s="11"/>
      <c r="E3129" s="204" t="s">
        <v>4951</v>
      </c>
      <c r="F3129" s="934" t="s">
        <v>7782</v>
      </c>
      <c r="G3129" s="26" t="s">
        <v>8776</v>
      </c>
      <c r="H3129" s="204" t="s">
        <v>5174</v>
      </c>
      <c r="I3129" s="204" t="s">
        <v>8819</v>
      </c>
      <c r="J3129" s="204" t="s">
        <v>11106</v>
      </c>
      <c r="K3129" s="204" t="s">
        <v>11107</v>
      </c>
      <c r="L3129" s="204" t="s">
        <v>4291</v>
      </c>
      <c r="M3129" s="204">
        <v>12</v>
      </c>
      <c r="N3129" s="204">
        <v>1</v>
      </c>
      <c r="O3129" s="204">
        <v>15</v>
      </c>
      <c r="P3129" s="204">
        <v>0</v>
      </c>
      <c r="Q3129" s="572">
        <f t="shared" si="181"/>
        <v>3</v>
      </c>
      <c r="R3129" s="1209">
        <v>11</v>
      </c>
      <c r="S3129" s="1209">
        <f t="shared" si="182"/>
        <v>165</v>
      </c>
      <c r="T3129" s="204" t="s">
        <v>5448</v>
      </c>
      <c r="U3129" s="1901" t="s">
        <v>11052</v>
      </c>
      <c r="V3129" s="572" t="s">
        <v>1544</v>
      </c>
      <c r="W3129" s="681" t="s">
        <v>11108</v>
      </c>
      <c r="X3129" s="18"/>
      <c r="Y3129" s="4"/>
      <c r="Z3129" s="4"/>
    </row>
    <row r="3130" spans="1:26" ht="14.1" hidden="1">
      <c r="A3130" s="20">
        <v>3137</v>
      </c>
      <c r="B3130" s="1063">
        <v>42907</v>
      </c>
      <c r="C3130" s="934" t="s">
        <v>8868</v>
      </c>
      <c r="D3130" s="11"/>
      <c r="E3130" s="204" t="s">
        <v>4951</v>
      </c>
      <c r="F3130" s="934" t="s">
        <v>7782</v>
      </c>
      <c r="G3130" s="26" t="s">
        <v>8776</v>
      </c>
      <c r="H3130" s="204" t="s">
        <v>5174</v>
      </c>
      <c r="I3130" s="204" t="s">
        <v>8819</v>
      </c>
      <c r="J3130" s="204" t="s">
        <v>11109</v>
      </c>
      <c r="K3130" s="204" t="s">
        <v>8870</v>
      </c>
      <c r="L3130" s="204" t="s">
        <v>4291</v>
      </c>
      <c r="M3130" s="204">
        <v>12</v>
      </c>
      <c r="N3130" s="204">
        <v>1</v>
      </c>
      <c r="O3130" s="204">
        <v>10</v>
      </c>
      <c r="P3130" s="204">
        <v>6</v>
      </c>
      <c r="Q3130" s="572">
        <f t="shared" si="181"/>
        <v>4</v>
      </c>
      <c r="R3130" s="1209">
        <v>11</v>
      </c>
      <c r="S3130" s="1209">
        <f t="shared" si="182"/>
        <v>110</v>
      </c>
      <c r="T3130" s="204" t="s">
        <v>5448</v>
      </c>
      <c r="U3130" s="1901" t="s">
        <v>11052</v>
      </c>
      <c r="V3130" s="572" t="s">
        <v>1544</v>
      </c>
      <c r="W3130" s="681" t="s">
        <v>11110</v>
      </c>
      <c r="X3130" s="18"/>
      <c r="Y3130" s="4"/>
      <c r="Z3130" s="4"/>
    </row>
    <row r="3131" spans="1:26" ht="14.1" hidden="1">
      <c r="A3131" s="20">
        <v>3138</v>
      </c>
      <c r="B3131" s="1063">
        <v>42908</v>
      </c>
      <c r="C3131" s="934" t="s">
        <v>8872</v>
      </c>
      <c r="D3131" s="11"/>
      <c r="E3131" s="204" t="s">
        <v>4951</v>
      </c>
      <c r="F3131" s="934" t="s">
        <v>7782</v>
      </c>
      <c r="G3131" s="26" t="s">
        <v>8776</v>
      </c>
      <c r="H3131" s="204" t="s">
        <v>5174</v>
      </c>
      <c r="I3131" s="204" t="s">
        <v>8819</v>
      </c>
      <c r="J3131" s="204" t="s">
        <v>11111</v>
      </c>
      <c r="K3131" s="204" t="s">
        <v>8351</v>
      </c>
      <c r="L3131" s="204" t="s">
        <v>4291</v>
      </c>
      <c r="M3131" s="204">
        <v>12</v>
      </c>
      <c r="N3131" s="204">
        <v>1</v>
      </c>
      <c r="O3131" s="204">
        <v>15</v>
      </c>
      <c r="P3131" s="204">
        <v>0</v>
      </c>
      <c r="Q3131" s="572">
        <f t="shared" si="181"/>
        <v>3</v>
      </c>
      <c r="R3131" s="1209">
        <v>11</v>
      </c>
      <c r="S3131" s="1209">
        <f t="shared" si="182"/>
        <v>165</v>
      </c>
      <c r="T3131" s="204" t="s">
        <v>5448</v>
      </c>
      <c r="U3131" s="1901" t="s">
        <v>11052</v>
      </c>
      <c r="V3131" s="572" t="s">
        <v>1544</v>
      </c>
      <c r="W3131" s="681" t="s">
        <v>11112</v>
      </c>
      <c r="X3131" s="18"/>
      <c r="Y3131" s="4"/>
      <c r="Z3131" s="4"/>
    </row>
    <row r="3132" spans="1:26" ht="14.1" hidden="1">
      <c r="A3132" s="20">
        <v>3139</v>
      </c>
      <c r="B3132" s="1063">
        <v>42909</v>
      </c>
      <c r="C3132" s="934" t="s">
        <v>8876</v>
      </c>
      <c r="D3132" s="11"/>
      <c r="E3132" s="204" t="s">
        <v>4951</v>
      </c>
      <c r="F3132" s="934" t="s">
        <v>7782</v>
      </c>
      <c r="G3132" s="26" t="s">
        <v>8776</v>
      </c>
      <c r="H3132" s="204" t="s">
        <v>5174</v>
      </c>
      <c r="I3132" s="204" t="s">
        <v>574</v>
      </c>
      <c r="J3132" s="204" t="s">
        <v>8877</v>
      </c>
      <c r="K3132" s="204" t="s">
        <v>8878</v>
      </c>
      <c r="L3132" s="204" t="s">
        <v>4291</v>
      </c>
      <c r="M3132" s="204">
        <v>12</v>
      </c>
      <c r="N3132" s="204">
        <v>1</v>
      </c>
      <c r="O3132" s="204">
        <v>5</v>
      </c>
      <c r="P3132" s="204">
        <v>9</v>
      </c>
      <c r="Q3132" s="572">
        <f t="shared" si="181"/>
        <v>2</v>
      </c>
      <c r="R3132" s="1209">
        <v>11</v>
      </c>
      <c r="S3132" s="1209">
        <f t="shared" si="182"/>
        <v>55</v>
      </c>
      <c r="T3132" s="204" t="s">
        <v>5448</v>
      </c>
      <c r="U3132" s="1901" t="s">
        <v>11052</v>
      </c>
      <c r="V3132" s="572" t="s">
        <v>1544</v>
      </c>
      <c r="W3132" s="681" t="s">
        <v>8879</v>
      </c>
      <c r="X3132" s="18"/>
      <c r="Y3132" s="4"/>
      <c r="Z3132" s="4"/>
    </row>
    <row r="3133" spans="1:26" ht="14.1" hidden="1">
      <c r="A3133" s="20">
        <v>3140</v>
      </c>
      <c r="B3133" s="1063">
        <v>42910</v>
      </c>
      <c r="C3133" s="934" t="s">
        <v>8880</v>
      </c>
      <c r="D3133" s="11"/>
      <c r="E3133" s="204" t="s">
        <v>4951</v>
      </c>
      <c r="F3133" s="934" t="s">
        <v>7782</v>
      </c>
      <c r="G3133" s="26" t="s">
        <v>8776</v>
      </c>
      <c r="H3133" s="204" t="s">
        <v>5174</v>
      </c>
      <c r="I3133" s="204" t="s">
        <v>8819</v>
      </c>
      <c r="J3133" s="204" t="s">
        <v>11113</v>
      </c>
      <c r="K3133" s="204" t="s">
        <v>8882</v>
      </c>
      <c r="L3133" s="204" t="s">
        <v>4291</v>
      </c>
      <c r="M3133" s="204">
        <v>12</v>
      </c>
      <c r="N3133" s="204">
        <v>1</v>
      </c>
      <c r="O3133" s="204">
        <v>5</v>
      </c>
      <c r="P3133" s="204">
        <v>9</v>
      </c>
      <c r="Q3133" s="572">
        <f t="shared" si="181"/>
        <v>2</v>
      </c>
      <c r="R3133" s="1209">
        <v>11</v>
      </c>
      <c r="S3133" s="1209">
        <f t="shared" si="182"/>
        <v>55</v>
      </c>
      <c r="T3133" s="204" t="s">
        <v>5448</v>
      </c>
      <c r="U3133" s="1901" t="s">
        <v>11052</v>
      </c>
      <c r="V3133" s="572" t="s">
        <v>1544</v>
      </c>
      <c r="W3133" s="681" t="s">
        <v>11114</v>
      </c>
      <c r="X3133" s="18"/>
      <c r="Y3133" s="4"/>
      <c r="Z3133" s="4"/>
    </row>
    <row r="3134" spans="1:26" ht="14.1" hidden="1">
      <c r="A3134" s="20">
        <v>3141</v>
      </c>
      <c r="B3134" s="1063">
        <v>42911</v>
      </c>
      <c r="C3134" s="934" t="s">
        <v>11115</v>
      </c>
      <c r="D3134" s="11"/>
      <c r="E3134" s="204" t="s">
        <v>4951</v>
      </c>
      <c r="F3134" s="934" t="s">
        <v>7782</v>
      </c>
      <c r="G3134" s="204" t="s">
        <v>8885</v>
      </c>
      <c r="H3134" s="204" t="s">
        <v>7079</v>
      </c>
      <c r="I3134" s="204" t="s">
        <v>8819</v>
      </c>
      <c r="J3134" s="204" t="s">
        <v>11116</v>
      </c>
      <c r="K3134" s="204" t="s">
        <v>7081</v>
      </c>
      <c r="L3134" s="204" t="s">
        <v>5267</v>
      </c>
      <c r="M3134" s="204">
        <v>4</v>
      </c>
      <c r="N3134" s="204">
        <v>1</v>
      </c>
      <c r="O3134" s="204">
        <v>1</v>
      </c>
      <c r="P3134" s="204">
        <v>4</v>
      </c>
      <c r="Q3134" s="572">
        <f t="shared" si="181"/>
        <v>1</v>
      </c>
      <c r="R3134" s="1209">
        <v>481</v>
      </c>
      <c r="S3134" s="1209">
        <f t="shared" si="182"/>
        <v>481</v>
      </c>
      <c r="T3134" s="204" t="s">
        <v>5448</v>
      </c>
      <c r="U3134" s="1901" t="s">
        <v>11052</v>
      </c>
      <c r="V3134" s="572" t="s">
        <v>1544</v>
      </c>
      <c r="W3134" s="681" t="s">
        <v>11117</v>
      </c>
      <c r="X3134" s="18"/>
      <c r="Y3134" s="4"/>
      <c r="Z3134" s="4"/>
    </row>
    <row r="3135" spans="1:26" ht="14.1" hidden="1">
      <c r="A3135" s="20">
        <v>3142</v>
      </c>
      <c r="B3135" s="1063">
        <v>42912</v>
      </c>
      <c r="C3135" s="934" t="s">
        <v>11118</v>
      </c>
      <c r="D3135" s="11"/>
      <c r="E3135" s="204" t="s">
        <v>4951</v>
      </c>
      <c r="F3135" s="934" t="s">
        <v>7782</v>
      </c>
      <c r="G3135" s="204" t="s">
        <v>8887</v>
      </c>
      <c r="H3135" s="204" t="s">
        <v>8888</v>
      </c>
      <c r="I3135" s="204" t="s">
        <v>8819</v>
      </c>
      <c r="J3135" s="204" t="s">
        <v>11119</v>
      </c>
      <c r="K3135" s="204" t="s">
        <v>11120</v>
      </c>
      <c r="L3135" s="204" t="s">
        <v>1088</v>
      </c>
      <c r="M3135" s="204">
        <v>24</v>
      </c>
      <c r="N3135" s="204">
        <v>1</v>
      </c>
      <c r="O3135" s="204">
        <v>21</v>
      </c>
      <c r="P3135" s="204">
        <v>3</v>
      </c>
      <c r="Q3135" s="572">
        <f t="shared" si="181"/>
        <v>0</v>
      </c>
      <c r="R3135" s="1209">
        <v>143</v>
      </c>
      <c r="S3135" s="1209">
        <f t="shared" si="182"/>
        <v>3003</v>
      </c>
      <c r="T3135" s="204" t="s">
        <v>5448</v>
      </c>
      <c r="U3135" s="1901" t="s">
        <v>11052</v>
      </c>
      <c r="V3135" s="572" t="s">
        <v>1544</v>
      </c>
      <c r="W3135" s="681" t="s">
        <v>11121</v>
      </c>
      <c r="X3135" s="18"/>
      <c r="Y3135" s="4"/>
      <c r="Z3135" s="4"/>
    </row>
    <row r="3136" spans="1:26" ht="14.1" hidden="1">
      <c r="A3136" s="20">
        <v>3143</v>
      </c>
      <c r="B3136" s="1063">
        <v>42913</v>
      </c>
      <c r="C3136" s="934" t="s">
        <v>8891</v>
      </c>
      <c r="D3136" s="11"/>
      <c r="E3136" s="204" t="s">
        <v>4951</v>
      </c>
      <c r="F3136" s="934" t="s">
        <v>7782</v>
      </c>
      <c r="G3136" s="204" t="s">
        <v>8892</v>
      </c>
      <c r="H3136" s="204" t="s">
        <v>2280</v>
      </c>
      <c r="I3136" s="204" t="s">
        <v>574</v>
      </c>
      <c r="J3136" s="204" t="s">
        <v>512</v>
      </c>
      <c r="K3136" s="204" t="s">
        <v>2281</v>
      </c>
      <c r="L3136" s="204" t="s">
        <v>8893</v>
      </c>
      <c r="M3136" s="204">
        <v>8</v>
      </c>
      <c r="N3136" s="204">
        <v>1</v>
      </c>
      <c r="O3136" s="204">
        <v>2</v>
      </c>
      <c r="P3136" s="204">
        <v>6</v>
      </c>
      <c r="Q3136" s="572">
        <f t="shared" si="181"/>
        <v>0</v>
      </c>
      <c r="R3136" s="1209">
        <v>59</v>
      </c>
      <c r="S3136" s="1209">
        <f t="shared" si="182"/>
        <v>118</v>
      </c>
      <c r="T3136" s="204" t="s">
        <v>5448</v>
      </c>
      <c r="U3136" s="1901" t="s">
        <v>11052</v>
      </c>
      <c r="V3136" s="572" t="s">
        <v>1544</v>
      </c>
      <c r="W3136" s="2091" t="s">
        <v>8894</v>
      </c>
      <c r="X3136" s="18"/>
      <c r="Y3136" s="4"/>
      <c r="Z3136" s="4"/>
    </row>
    <row r="3137" spans="1:26" ht="14.1" hidden="1">
      <c r="A3137" s="20">
        <v>3144</v>
      </c>
      <c r="B3137" s="1063">
        <v>42914</v>
      </c>
      <c r="C3137" s="934" t="s">
        <v>11122</v>
      </c>
      <c r="D3137" s="11"/>
      <c r="E3137" s="204" t="s">
        <v>4951</v>
      </c>
      <c r="F3137" s="934" t="s">
        <v>7782</v>
      </c>
      <c r="G3137" s="204" t="s">
        <v>8896</v>
      </c>
      <c r="H3137" s="204" t="s">
        <v>1498</v>
      </c>
      <c r="I3137" s="204" t="s">
        <v>8819</v>
      </c>
      <c r="J3137" s="204" t="s">
        <v>8897</v>
      </c>
      <c r="K3137" s="204" t="s">
        <v>8898</v>
      </c>
      <c r="L3137" s="204" t="s">
        <v>8899</v>
      </c>
      <c r="M3137" s="204">
        <v>12</v>
      </c>
      <c r="N3137" s="204">
        <v>1</v>
      </c>
      <c r="O3137" s="204">
        <v>3</v>
      </c>
      <c r="P3137" s="204">
        <v>9</v>
      </c>
      <c r="Q3137" s="572">
        <f t="shared" si="181"/>
        <v>0</v>
      </c>
      <c r="R3137" s="1209">
        <v>877</v>
      </c>
      <c r="S3137" s="1209">
        <f t="shared" si="182"/>
        <v>2631</v>
      </c>
      <c r="T3137" s="204" t="s">
        <v>5448</v>
      </c>
      <c r="U3137" s="1901" t="s">
        <v>11052</v>
      </c>
      <c r="V3137" s="572" t="s">
        <v>1544</v>
      </c>
      <c r="W3137" s="681" t="s">
        <v>11123</v>
      </c>
      <c r="X3137" s="18"/>
      <c r="Y3137" s="4"/>
      <c r="Z3137" s="4"/>
    </row>
    <row r="3138" spans="1:26" ht="14.1" hidden="1">
      <c r="A3138" s="20">
        <v>3145</v>
      </c>
      <c r="B3138" s="1063">
        <v>42915</v>
      </c>
      <c r="C3138" s="934" t="s">
        <v>11124</v>
      </c>
      <c r="D3138" s="11"/>
      <c r="E3138" s="204" t="s">
        <v>4951</v>
      </c>
      <c r="F3138" s="934" t="s">
        <v>7782</v>
      </c>
      <c r="G3138" s="204" t="s">
        <v>8903</v>
      </c>
      <c r="H3138" s="204" t="s">
        <v>1498</v>
      </c>
      <c r="I3138" s="204" t="s">
        <v>8819</v>
      </c>
      <c r="J3138" s="204" t="s">
        <v>8687</v>
      </c>
      <c r="K3138" s="204" t="s">
        <v>8221</v>
      </c>
      <c r="L3138" s="204" t="s">
        <v>8904</v>
      </c>
      <c r="M3138" s="204">
        <v>8</v>
      </c>
      <c r="N3138" s="204">
        <v>1</v>
      </c>
      <c r="O3138" s="204">
        <v>1</v>
      </c>
      <c r="P3138" s="204">
        <v>7</v>
      </c>
      <c r="Q3138" s="572">
        <f t="shared" si="181"/>
        <v>0</v>
      </c>
      <c r="R3138" s="1209">
        <v>445</v>
      </c>
      <c r="S3138" s="1209">
        <f t="shared" si="182"/>
        <v>445</v>
      </c>
      <c r="T3138" s="204" t="s">
        <v>5448</v>
      </c>
      <c r="U3138" s="1901" t="s">
        <v>11052</v>
      </c>
      <c r="V3138" s="572" t="s">
        <v>1544</v>
      </c>
      <c r="W3138" s="681" t="s">
        <v>11125</v>
      </c>
      <c r="X3138" s="18"/>
      <c r="Y3138" s="4"/>
      <c r="Z3138" s="4"/>
    </row>
    <row r="3139" spans="1:26" ht="14.1" hidden="1">
      <c r="A3139" s="20">
        <v>3146</v>
      </c>
      <c r="B3139" s="1063">
        <v>42916</v>
      </c>
      <c r="C3139" s="934" t="s">
        <v>8907</v>
      </c>
      <c r="D3139" s="11"/>
      <c r="E3139" s="204" t="s">
        <v>4951</v>
      </c>
      <c r="F3139" s="934" t="s">
        <v>7782</v>
      </c>
      <c r="G3139" s="204" t="s">
        <v>8908</v>
      </c>
      <c r="H3139" s="204" t="s">
        <v>7079</v>
      </c>
      <c r="I3139" s="204" t="s">
        <v>8819</v>
      </c>
      <c r="J3139" s="204" t="s">
        <v>11126</v>
      </c>
      <c r="K3139" s="204" t="s">
        <v>8698</v>
      </c>
      <c r="L3139" s="204" t="s">
        <v>1088</v>
      </c>
      <c r="M3139" s="204">
        <v>4</v>
      </c>
      <c r="N3139" s="204">
        <v>1</v>
      </c>
      <c r="O3139" s="204">
        <v>3</v>
      </c>
      <c r="P3139" s="204">
        <v>1</v>
      </c>
      <c r="Q3139" s="572">
        <f t="shared" si="181"/>
        <v>0</v>
      </c>
      <c r="R3139" s="1209">
        <v>458</v>
      </c>
      <c r="S3139" s="1209">
        <f t="shared" si="182"/>
        <v>1374</v>
      </c>
      <c r="T3139" s="204" t="s">
        <v>5448</v>
      </c>
      <c r="U3139" s="1901" t="s">
        <v>11052</v>
      </c>
      <c r="V3139" s="572" t="s">
        <v>1544</v>
      </c>
      <c r="W3139" s="681" t="s">
        <v>11127</v>
      </c>
      <c r="X3139" s="18"/>
      <c r="Y3139" s="4"/>
      <c r="Z3139" s="4"/>
    </row>
    <row r="3140" spans="1:26" ht="14.1" hidden="1">
      <c r="A3140" s="20">
        <v>3147</v>
      </c>
      <c r="B3140" s="1063">
        <v>42917</v>
      </c>
      <c r="C3140" s="934" t="s">
        <v>11128</v>
      </c>
      <c r="D3140" s="11"/>
      <c r="E3140" s="204" t="s">
        <v>4951</v>
      </c>
      <c r="F3140" s="934" t="s">
        <v>7782</v>
      </c>
      <c r="G3140" s="204" t="s">
        <v>10547</v>
      </c>
      <c r="H3140" s="204" t="s">
        <v>8911</v>
      </c>
      <c r="I3140" s="204" t="s">
        <v>8819</v>
      </c>
      <c r="J3140" s="204" t="s">
        <v>11129</v>
      </c>
      <c r="K3140" s="204" t="s">
        <v>9403</v>
      </c>
      <c r="L3140" s="204" t="s">
        <v>2063</v>
      </c>
      <c r="M3140" s="204">
        <v>4</v>
      </c>
      <c r="N3140" s="204">
        <v>1</v>
      </c>
      <c r="O3140" s="204">
        <v>4</v>
      </c>
      <c r="P3140" s="204">
        <v>0</v>
      </c>
      <c r="Q3140" s="572">
        <f t="shared" si="181"/>
        <v>0</v>
      </c>
      <c r="R3140" s="1209">
        <v>549</v>
      </c>
      <c r="S3140" s="1209">
        <f t="shared" si="182"/>
        <v>2196</v>
      </c>
      <c r="T3140" s="204" t="s">
        <v>5448</v>
      </c>
      <c r="U3140" s="1901" t="s">
        <v>11052</v>
      </c>
      <c r="V3140" s="572" t="s">
        <v>1544</v>
      </c>
      <c r="W3140" s="681" t="s">
        <v>11130</v>
      </c>
      <c r="X3140" s="18"/>
      <c r="Y3140" s="4"/>
      <c r="Z3140" s="4"/>
    </row>
    <row r="3141" spans="1:26" ht="14.1" hidden="1">
      <c r="A3141" s="20">
        <v>3148</v>
      </c>
      <c r="B3141" s="1063">
        <v>42918</v>
      </c>
      <c r="C3141" s="934" t="s">
        <v>11131</v>
      </c>
      <c r="D3141" s="11"/>
      <c r="E3141" s="204" t="s">
        <v>4951</v>
      </c>
      <c r="F3141" s="934" t="s">
        <v>7782</v>
      </c>
      <c r="G3141" s="204" t="s">
        <v>8916</v>
      </c>
      <c r="H3141" s="204" t="s">
        <v>5730</v>
      </c>
      <c r="I3141" s="204" t="s">
        <v>8819</v>
      </c>
      <c r="J3141" s="204" t="s">
        <v>11132</v>
      </c>
      <c r="K3141" s="204" t="s">
        <v>6026</v>
      </c>
      <c r="L3141" s="204">
        <v>603</v>
      </c>
      <c r="M3141" s="204">
        <v>8</v>
      </c>
      <c r="N3141" s="204">
        <v>1</v>
      </c>
      <c r="O3141" s="204">
        <v>4</v>
      </c>
      <c r="P3141" s="204">
        <v>4</v>
      </c>
      <c r="Q3141" s="572">
        <f t="shared" si="181"/>
        <v>0</v>
      </c>
      <c r="R3141" s="1209">
        <v>11</v>
      </c>
      <c r="S3141" s="1209">
        <f t="shared" si="182"/>
        <v>44</v>
      </c>
      <c r="T3141" s="204" t="s">
        <v>5448</v>
      </c>
      <c r="U3141" s="1901" t="s">
        <v>11052</v>
      </c>
      <c r="V3141" s="572" t="s">
        <v>1544</v>
      </c>
      <c r="W3141" s="681" t="s">
        <v>11133</v>
      </c>
      <c r="X3141" s="18"/>
      <c r="Y3141" s="4"/>
      <c r="Z3141" s="4"/>
    </row>
    <row r="3142" spans="1:26" ht="14.1" hidden="1">
      <c r="A3142" s="20">
        <v>3149</v>
      </c>
      <c r="B3142" s="1063">
        <v>42919</v>
      </c>
      <c r="C3142" s="934" t="s">
        <v>11134</v>
      </c>
      <c r="D3142" s="11"/>
      <c r="E3142" s="204" t="s">
        <v>4951</v>
      </c>
      <c r="F3142" s="934" t="s">
        <v>7782</v>
      </c>
      <c r="G3142" s="204" t="s">
        <v>11135</v>
      </c>
      <c r="H3142" s="204" t="s">
        <v>641</v>
      </c>
      <c r="I3142" s="204" t="s">
        <v>8819</v>
      </c>
      <c r="J3142" s="204" t="s">
        <v>11136</v>
      </c>
      <c r="K3142" s="204" t="s">
        <v>7124</v>
      </c>
      <c r="L3142" s="204" t="s">
        <v>1088</v>
      </c>
      <c r="M3142" s="204">
        <v>8</v>
      </c>
      <c r="N3142" s="204">
        <v>1</v>
      </c>
      <c r="O3142" s="204">
        <v>6</v>
      </c>
      <c r="P3142" s="204">
        <v>2</v>
      </c>
      <c r="Q3142" s="572">
        <f t="shared" si="181"/>
        <v>0</v>
      </c>
      <c r="R3142" s="1209">
        <v>33</v>
      </c>
      <c r="S3142" s="1209">
        <f t="shared" si="182"/>
        <v>198</v>
      </c>
      <c r="T3142" s="204" t="s">
        <v>5448</v>
      </c>
      <c r="U3142" s="1901" t="s">
        <v>11052</v>
      </c>
      <c r="V3142" s="572" t="s">
        <v>1544</v>
      </c>
      <c r="W3142" s="681" t="s">
        <v>11137</v>
      </c>
      <c r="X3142" s="18"/>
      <c r="Y3142" s="4"/>
      <c r="Z3142" s="4"/>
    </row>
    <row r="3143" spans="1:26" ht="14.1" hidden="1">
      <c r="A3143" s="20">
        <v>3150</v>
      </c>
      <c r="B3143" s="1063">
        <v>42920</v>
      </c>
      <c r="C3143" s="934" t="s">
        <v>11138</v>
      </c>
      <c r="D3143" s="11"/>
      <c r="E3143" s="204" t="s">
        <v>4951</v>
      </c>
      <c r="F3143" s="934" t="s">
        <v>7782</v>
      </c>
      <c r="G3143" s="204" t="s">
        <v>8918</v>
      </c>
      <c r="H3143" s="204" t="s">
        <v>452</v>
      </c>
      <c r="I3143" s="204" t="s">
        <v>8819</v>
      </c>
      <c r="J3143" s="204" t="s">
        <v>11139</v>
      </c>
      <c r="K3143" s="204" t="s">
        <v>6455</v>
      </c>
      <c r="L3143" s="204" t="s">
        <v>8919</v>
      </c>
      <c r="M3143" s="204">
        <v>8</v>
      </c>
      <c r="N3143" s="204">
        <v>1</v>
      </c>
      <c r="O3143" s="204">
        <v>3</v>
      </c>
      <c r="P3143" s="204">
        <v>5</v>
      </c>
      <c r="Q3143" s="572">
        <f t="shared" si="181"/>
        <v>0</v>
      </c>
      <c r="R3143" s="1209">
        <v>16</v>
      </c>
      <c r="S3143" s="1209">
        <f t="shared" si="182"/>
        <v>48</v>
      </c>
      <c r="T3143" s="204" t="s">
        <v>5448</v>
      </c>
      <c r="U3143" s="1901" t="s">
        <v>11052</v>
      </c>
      <c r="V3143" s="572" t="s">
        <v>1544</v>
      </c>
      <c r="W3143" s="681" t="s">
        <v>11140</v>
      </c>
      <c r="X3143" s="18"/>
      <c r="Y3143" s="4"/>
      <c r="Z3143" s="4"/>
    </row>
    <row r="3144" spans="1:26" ht="14.1" hidden="1">
      <c r="A3144" s="20">
        <v>3151</v>
      </c>
      <c r="B3144" s="1063">
        <v>42921</v>
      </c>
      <c r="C3144" s="934" t="s">
        <v>2043</v>
      </c>
      <c r="D3144" s="11"/>
      <c r="E3144" s="204" t="s">
        <v>4951</v>
      </c>
      <c r="F3144" s="934" t="s">
        <v>7782</v>
      </c>
      <c r="G3144" s="204" t="s">
        <v>8922</v>
      </c>
      <c r="H3144" s="204" t="s">
        <v>1740</v>
      </c>
      <c r="I3144" s="204" t="s">
        <v>8819</v>
      </c>
      <c r="J3144" s="204" t="s">
        <v>11141</v>
      </c>
      <c r="K3144" s="204" t="s">
        <v>8924</v>
      </c>
      <c r="L3144" s="204" t="s">
        <v>526</v>
      </c>
      <c r="M3144" s="204">
        <v>4</v>
      </c>
      <c r="N3144" s="204">
        <v>1</v>
      </c>
      <c r="O3144" s="204">
        <v>1</v>
      </c>
      <c r="P3144" s="204">
        <v>3</v>
      </c>
      <c r="Q3144" s="572">
        <f t="shared" si="181"/>
        <v>0</v>
      </c>
      <c r="R3144" s="1209">
        <v>108</v>
      </c>
      <c r="S3144" s="1209">
        <f t="shared" si="182"/>
        <v>108</v>
      </c>
      <c r="T3144" s="204" t="s">
        <v>5448</v>
      </c>
      <c r="U3144" s="1901" t="s">
        <v>11052</v>
      </c>
      <c r="V3144" s="572" t="s">
        <v>1544</v>
      </c>
      <c r="W3144" s="681" t="s">
        <v>11142</v>
      </c>
      <c r="X3144" s="18"/>
      <c r="Y3144" s="4"/>
      <c r="Z3144" s="4"/>
    </row>
    <row r="3145" spans="1:26" ht="14.1" hidden="1">
      <c r="A3145" s="20">
        <v>3152</v>
      </c>
      <c r="B3145" s="1063">
        <v>42922</v>
      </c>
      <c r="C3145" s="934" t="s">
        <v>8891</v>
      </c>
      <c r="D3145" s="11"/>
      <c r="E3145" s="204" t="s">
        <v>4951</v>
      </c>
      <c r="F3145" s="934" t="s">
        <v>7782</v>
      </c>
      <c r="G3145" s="204" t="s">
        <v>8926</v>
      </c>
      <c r="H3145" s="204" t="s">
        <v>3097</v>
      </c>
      <c r="I3145" s="204" t="s">
        <v>8819</v>
      </c>
      <c r="J3145" s="204" t="s">
        <v>11143</v>
      </c>
      <c r="K3145" s="204" t="s">
        <v>7105</v>
      </c>
      <c r="L3145" s="204" t="s">
        <v>7106</v>
      </c>
      <c r="M3145" s="204">
        <v>12</v>
      </c>
      <c r="N3145" s="204">
        <v>1</v>
      </c>
      <c r="O3145" s="204">
        <v>9</v>
      </c>
      <c r="P3145" s="204">
        <v>3</v>
      </c>
      <c r="Q3145" s="572">
        <f t="shared" si="181"/>
        <v>0</v>
      </c>
      <c r="R3145" s="1209">
        <v>33</v>
      </c>
      <c r="S3145" s="1209">
        <f t="shared" si="182"/>
        <v>297</v>
      </c>
      <c r="T3145" s="204" t="s">
        <v>5448</v>
      </c>
      <c r="U3145" s="1901" t="s">
        <v>11052</v>
      </c>
      <c r="V3145" s="572" t="s">
        <v>1544</v>
      </c>
      <c r="W3145" s="681" t="s">
        <v>11144</v>
      </c>
      <c r="X3145" s="18"/>
      <c r="Y3145" s="4"/>
      <c r="Z3145" s="4"/>
    </row>
    <row r="3146" spans="1:26" ht="14.1" hidden="1">
      <c r="A3146" s="20">
        <v>3153</v>
      </c>
      <c r="B3146" s="1063">
        <v>42923</v>
      </c>
      <c r="C3146" s="934" t="s">
        <v>8891</v>
      </c>
      <c r="D3146" s="11"/>
      <c r="E3146" s="204" t="s">
        <v>4951</v>
      </c>
      <c r="F3146" s="934" t="s">
        <v>7782</v>
      </c>
      <c r="G3146" s="204" t="s">
        <v>8928</v>
      </c>
      <c r="H3146" s="204" t="s">
        <v>2280</v>
      </c>
      <c r="I3146" s="204" t="s">
        <v>8819</v>
      </c>
      <c r="J3146" s="204" t="s">
        <v>11145</v>
      </c>
      <c r="K3146" s="204" t="s">
        <v>11146</v>
      </c>
      <c r="L3146" s="204" t="s">
        <v>8931</v>
      </c>
      <c r="M3146" s="204">
        <v>24</v>
      </c>
      <c r="N3146" s="204">
        <v>1</v>
      </c>
      <c r="O3146" s="204">
        <v>20</v>
      </c>
      <c r="P3146" s="204">
        <v>13</v>
      </c>
      <c r="Q3146" s="572">
        <f t="shared" si="181"/>
        <v>9</v>
      </c>
      <c r="R3146" s="1209">
        <v>51</v>
      </c>
      <c r="S3146" s="1209">
        <f t="shared" si="182"/>
        <v>1020</v>
      </c>
      <c r="T3146" s="204" t="s">
        <v>5448</v>
      </c>
      <c r="U3146" s="1901" t="s">
        <v>11052</v>
      </c>
      <c r="V3146" s="572" t="s">
        <v>1544</v>
      </c>
      <c r="W3146" s="681" t="s">
        <v>11147</v>
      </c>
      <c r="X3146" s="18"/>
      <c r="Y3146" s="4"/>
      <c r="Z3146" s="4"/>
    </row>
    <row r="3147" spans="1:26" ht="14.1" hidden="1">
      <c r="A3147" s="20">
        <v>3154</v>
      </c>
      <c r="B3147" s="1063">
        <v>42924</v>
      </c>
      <c r="C3147" s="934" t="s">
        <v>11148</v>
      </c>
      <c r="D3147" s="11"/>
      <c r="E3147" s="204" t="s">
        <v>4951</v>
      </c>
      <c r="F3147" s="934" t="s">
        <v>7782</v>
      </c>
      <c r="G3147" s="204" t="s">
        <v>8934</v>
      </c>
      <c r="H3147" s="204" t="s">
        <v>3898</v>
      </c>
      <c r="I3147" s="204" t="s">
        <v>8819</v>
      </c>
      <c r="J3147" s="204" t="s">
        <v>11149</v>
      </c>
      <c r="K3147" s="204" t="s">
        <v>8513</v>
      </c>
      <c r="L3147" s="204" t="s">
        <v>2011</v>
      </c>
      <c r="M3147" s="204">
        <v>4</v>
      </c>
      <c r="N3147" s="204">
        <v>1</v>
      </c>
      <c r="O3147" s="204">
        <v>2</v>
      </c>
      <c r="P3147" s="204">
        <v>2</v>
      </c>
      <c r="Q3147" s="572">
        <f t="shared" si="181"/>
        <v>0</v>
      </c>
      <c r="R3147" s="1209">
        <v>291</v>
      </c>
      <c r="S3147" s="1209">
        <f t="shared" si="182"/>
        <v>582</v>
      </c>
      <c r="T3147" s="204" t="s">
        <v>5448</v>
      </c>
      <c r="U3147" s="1901" t="s">
        <v>11052</v>
      </c>
      <c r="V3147" s="572" t="s">
        <v>1544</v>
      </c>
      <c r="W3147" s="681" t="s">
        <v>11150</v>
      </c>
      <c r="X3147" s="18"/>
      <c r="Y3147" s="4"/>
      <c r="Z3147" s="4"/>
    </row>
    <row r="3148" spans="1:26" ht="14.1" hidden="1">
      <c r="A3148" s="20">
        <v>3155</v>
      </c>
      <c r="B3148" s="1063">
        <v>42925</v>
      </c>
      <c r="C3148" s="934" t="s">
        <v>8281</v>
      </c>
      <c r="D3148" s="11"/>
      <c r="E3148" s="204" t="s">
        <v>4951</v>
      </c>
      <c r="F3148" s="934" t="s">
        <v>7782</v>
      </c>
      <c r="G3148" s="204" t="s">
        <v>8935</v>
      </c>
      <c r="H3148" s="204" t="s">
        <v>460</v>
      </c>
      <c r="I3148" s="204" t="s">
        <v>8819</v>
      </c>
      <c r="J3148" s="204" t="s">
        <v>11151</v>
      </c>
      <c r="K3148" s="204" t="s">
        <v>6488</v>
      </c>
      <c r="L3148" s="204" t="s">
        <v>5959</v>
      </c>
      <c r="M3148" s="204">
        <v>4</v>
      </c>
      <c r="N3148" s="204">
        <v>1</v>
      </c>
      <c r="O3148" s="204">
        <v>1</v>
      </c>
      <c r="P3148" s="204">
        <v>3</v>
      </c>
      <c r="Q3148" s="572">
        <f t="shared" si="181"/>
        <v>0</v>
      </c>
      <c r="R3148" s="1209">
        <v>119</v>
      </c>
      <c r="S3148" s="1209">
        <f t="shared" si="182"/>
        <v>119</v>
      </c>
      <c r="T3148" s="204" t="s">
        <v>5448</v>
      </c>
      <c r="U3148" s="1901" t="s">
        <v>11052</v>
      </c>
      <c r="V3148" s="572" t="s">
        <v>1544</v>
      </c>
      <c r="W3148" s="681" t="s">
        <v>11152</v>
      </c>
      <c r="X3148" s="18"/>
      <c r="Y3148" s="4"/>
      <c r="Z3148" s="4"/>
    </row>
    <row r="3149" spans="1:26" ht="14.1" hidden="1">
      <c r="A3149" s="20">
        <v>3156</v>
      </c>
      <c r="B3149" s="1063">
        <v>42926</v>
      </c>
      <c r="C3149" s="934" t="s">
        <v>8936</v>
      </c>
      <c r="D3149" s="11"/>
      <c r="E3149" s="204" t="s">
        <v>4951</v>
      </c>
      <c r="F3149" s="934" t="s">
        <v>7782</v>
      </c>
      <c r="G3149" s="204" t="s">
        <v>8937</v>
      </c>
      <c r="H3149" s="204" t="s">
        <v>8938</v>
      </c>
      <c r="I3149" s="204" t="s">
        <v>8819</v>
      </c>
      <c r="J3149" s="204" t="s">
        <v>11153</v>
      </c>
      <c r="K3149" s="204" t="s">
        <v>8940</v>
      </c>
      <c r="L3149" s="204" t="s">
        <v>1088</v>
      </c>
      <c r="M3149" s="204">
        <v>4</v>
      </c>
      <c r="N3149" s="204">
        <v>1</v>
      </c>
      <c r="O3149" s="204">
        <v>1</v>
      </c>
      <c r="P3149" s="204">
        <v>3</v>
      </c>
      <c r="Q3149" s="572">
        <f t="shared" si="181"/>
        <v>0</v>
      </c>
      <c r="R3149" s="1209">
        <v>57</v>
      </c>
      <c r="S3149" s="1209">
        <f t="shared" si="182"/>
        <v>57</v>
      </c>
      <c r="T3149" s="204" t="s">
        <v>5448</v>
      </c>
      <c r="U3149" s="1901" t="s">
        <v>11052</v>
      </c>
      <c r="V3149" s="572" t="s">
        <v>1544</v>
      </c>
      <c r="W3149" s="681" t="s">
        <v>11154</v>
      </c>
      <c r="X3149" s="18"/>
      <c r="Y3149" s="4"/>
      <c r="Z3149" s="4"/>
    </row>
    <row r="3150" spans="1:26" ht="14.1" hidden="1">
      <c r="A3150" s="20">
        <v>3157</v>
      </c>
      <c r="B3150" s="1063">
        <v>42927</v>
      </c>
      <c r="C3150" s="934" t="s">
        <v>8942</v>
      </c>
      <c r="D3150" s="11"/>
      <c r="E3150" s="204" t="s">
        <v>4951</v>
      </c>
      <c r="F3150" s="934" t="s">
        <v>7782</v>
      </c>
      <c r="G3150" s="204" t="s">
        <v>8937</v>
      </c>
      <c r="H3150" s="204" t="s">
        <v>8938</v>
      </c>
      <c r="I3150" s="204" t="s">
        <v>8819</v>
      </c>
      <c r="J3150" s="204" t="s">
        <v>11155</v>
      </c>
      <c r="K3150" s="204" t="s">
        <v>8944</v>
      </c>
      <c r="L3150" s="204" t="s">
        <v>1088</v>
      </c>
      <c r="M3150" s="204">
        <v>12</v>
      </c>
      <c r="N3150" s="204">
        <v>1</v>
      </c>
      <c r="O3150" s="204">
        <v>6</v>
      </c>
      <c r="P3150" s="204">
        <v>6</v>
      </c>
      <c r="Q3150" s="572">
        <f t="shared" si="181"/>
        <v>0</v>
      </c>
      <c r="R3150" s="1209">
        <v>63</v>
      </c>
      <c r="S3150" s="1209">
        <f t="shared" si="182"/>
        <v>378</v>
      </c>
      <c r="T3150" s="204" t="s">
        <v>5448</v>
      </c>
      <c r="U3150" s="1901" t="s">
        <v>11052</v>
      </c>
      <c r="V3150" s="572" t="s">
        <v>1544</v>
      </c>
      <c r="W3150" s="681" t="s">
        <v>11156</v>
      </c>
      <c r="X3150" s="18"/>
      <c r="Y3150" s="4"/>
      <c r="Z3150" s="4"/>
    </row>
    <row r="3151" spans="1:26" ht="14.1" hidden="1">
      <c r="A3151" s="20">
        <v>3158</v>
      </c>
      <c r="B3151" s="1063">
        <v>42928</v>
      </c>
      <c r="C3151" s="934" t="s">
        <v>8946</v>
      </c>
      <c r="D3151" s="11"/>
      <c r="E3151" s="204" t="s">
        <v>4951</v>
      </c>
      <c r="F3151" s="934" t="s">
        <v>7782</v>
      </c>
      <c r="G3151" s="204" t="s">
        <v>8947</v>
      </c>
      <c r="H3151" s="204" t="s">
        <v>8948</v>
      </c>
      <c r="I3151" s="204" t="s">
        <v>8819</v>
      </c>
      <c r="J3151" s="204" t="s">
        <v>11157</v>
      </c>
      <c r="K3151" s="204" t="s">
        <v>7151</v>
      </c>
      <c r="L3151" s="204" t="s">
        <v>8949</v>
      </c>
      <c r="M3151" s="204">
        <v>4</v>
      </c>
      <c r="N3151" s="204">
        <v>1</v>
      </c>
      <c r="O3151" s="204">
        <v>1</v>
      </c>
      <c r="P3151" s="204">
        <v>3</v>
      </c>
      <c r="Q3151" s="572">
        <f t="shared" si="181"/>
        <v>0</v>
      </c>
      <c r="R3151" s="1209">
        <v>831</v>
      </c>
      <c r="S3151" s="1209">
        <f t="shared" si="182"/>
        <v>831</v>
      </c>
      <c r="T3151" s="204" t="s">
        <v>5448</v>
      </c>
      <c r="U3151" s="1901" t="s">
        <v>11052</v>
      </c>
      <c r="V3151" s="572" t="s">
        <v>1544</v>
      </c>
      <c r="W3151" s="804" t="s">
        <v>11158</v>
      </c>
      <c r="X3151" s="18"/>
      <c r="Y3151" s="4"/>
      <c r="Z3151" s="4"/>
    </row>
    <row r="3152" spans="1:26" ht="14.1" hidden="1">
      <c r="A3152" s="20">
        <v>3159</v>
      </c>
      <c r="B3152" s="1063">
        <v>42929</v>
      </c>
      <c r="C3152" s="934" t="s">
        <v>11159</v>
      </c>
      <c r="D3152" s="11"/>
      <c r="E3152" s="204" t="s">
        <v>4951</v>
      </c>
      <c r="F3152" s="934" t="s">
        <v>7782</v>
      </c>
      <c r="G3152" s="204" t="s">
        <v>11160</v>
      </c>
      <c r="H3152" s="204" t="s">
        <v>452</v>
      </c>
      <c r="I3152" s="204" t="s">
        <v>8819</v>
      </c>
      <c r="J3152" s="204" t="s">
        <v>11161</v>
      </c>
      <c r="K3152" s="204" t="s">
        <v>7099</v>
      </c>
      <c r="L3152" s="204" t="s">
        <v>11162</v>
      </c>
      <c r="M3152" s="204">
        <v>4</v>
      </c>
      <c r="N3152" s="204">
        <v>1</v>
      </c>
      <c r="O3152" s="204">
        <v>2</v>
      </c>
      <c r="P3152" s="204">
        <v>2</v>
      </c>
      <c r="Q3152" s="572">
        <f t="shared" si="181"/>
        <v>0</v>
      </c>
      <c r="R3152" s="1209">
        <v>64</v>
      </c>
      <c r="S3152" s="1209">
        <f t="shared" si="182"/>
        <v>128</v>
      </c>
      <c r="T3152" s="204" t="s">
        <v>5448</v>
      </c>
      <c r="U3152" s="1901" t="s">
        <v>11052</v>
      </c>
      <c r="V3152" s="572" t="s">
        <v>1544</v>
      </c>
      <c r="W3152" s="804" t="s">
        <v>11163</v>
      </c>
      <c r="X3152" s="18"/>
      <c r="Y3152" s="4"/>
      <c r="Z3152" s="4"/>
    </row>
    <row r="3153" spans="1:26" ht="14.1" hidden="1">
      <c r="A3153" s="20">
        <v>3160</v>
      </c>
      <c r="B3153" s="1063">
        <v>42930</v>
      </c>
      <c r="C3153" s="934" t="s">
        <v>8958</v>
      </c>
      <c r="D3153" s="11"/>
      <c r="E3153" s="204" t="s">
        <v>4951</v>
      </c>
      <c r="F3153" s="934" t="s">
        <v>7782</v>
      </c>
      <c r="G3153" s="204" t="s">
        <v>8959</v>
      </c>
      <c r="H3153" s="204" t="s">
        <v>8911</v>
      </c>
      <c r="I3153" s="204" t="s">
        <v>8819</v>
      </c>
      <c r="J3153" s="204" t="s">
        <v>11164</v>
      </c>
      <c r="K3153" s="204" t="s">
        <v>8961</v>
      </c>
      <c r="L3153" s="204" t="s">
        <v>8955</v>
      </c>
      <c r="M3153" s="204">
        <v>4</v>
      </c>
      <c r="N3153" s="204">
        <v>1</v>
      </c>
      <c r="O3153" s="204">
        <v>1</v>
      </c>
      <c r="P3153" s="204">
        <v>3</v>
      </c>
      <c r="Q3153" s="572">
        <f t="shared" si="181"/>
        <v>0</v>
      </c>
      <c r="R3153" s="1209">
        <v>50</v>
      </c>
      <c r="S3153" s="1209">
        <f t="shared" si="182"/>
        <v>50</v>
      </c>
      <c r="T3153" s="204" t="s">
        <v>5448</v>
      </c>
      <c r="U3153" s="1901" t="s">
        <v>11052</v>
      </c>
      <c r="V3153" s="572" t="s">
        <v>1544</v>
      </c>
      <c r="W3153" s="681" t="s">
        <v>11165</v>
      </c>
      <c r="X3153" s="18"/>
      <c r="Y3153" s="4"/>
      <c r="Z3153" s="4"/>
    </row>
    <row r="3154" spans="1:26" ht="14.1" hidden="1">
      <c r="A3154" s="20">
        <v>3161</v>
      </c>
      <c r="B3154" s="1063">
        <v>42931</v>
      </c>
      <c r="C3154" s="934" t="s">
        <v>11166</v>
      </c>
      <c r="D3154" s="11"/>
      <c r="E3154" s="204" t="s">
        <v>4951</v>
      </c>
      <c r="F3154" s="934" t="s">
        <v>7782</v>
      </c>
      <c r="G3154" s="204" t="s">
        <v>8887</v>
      </c>
      <c r="H3154" s="204" t="s">
        <v>8888</v>
      </c>
      <c r="I3154" s="204" t="s">
        <v>8819</v>
      </c>
      <c r="J3154" s="204" t="s">
        <v>10421</v>
      </c>
      <c r="K3154" s="204" t="s">
        <v>307</v>
      </c>
      <c r="L3154" s="204" t="s">
        <v>8955</v>
      </c>
      <c r="M3154" s="204">
        <v>24</v>
      </c>
      <c r="N3154" s="204">
        <v>1</v>
      </c>
      <c r="O3154" s="204">
        <v>20</v>
      </c>
      <c r="P3154" s="204">
        <v>11</v>
      </c>
      <c r="Q3154" s="572">
        <f t="shared" si="181"/>
        <v>7</v>
      </c>
      <c r="R3154" s="1209">
        <v>57.3</v>
      </c>
      <c r="S3154" s="1209">
        <f t="shared" si="182"/>
        <v>1146</v>
      </c>
      <c r="T3154" s="204" t="s">
        <v>5448</v>
      </c>
      <c r="U3154" s="1901" t="s">
        <v>11052</v>
      </c>
      <c r="V3154" s="572" t="s">
        <v>1544</v>
      </c>
      <c r="W3154" s="681" t="s">
        <v>11167</v>
      </c>
      <c r="X3154" s="18"/>
      <c r="Y3154" s="4"/>
      <c r="Z3154" s="4"/>
    </row>
    <row r="3155" spans="1:26" ht="14.1" hidden="1">
      <c r="A3155" s="20">
        <v>3162</v>
      </c>
      <c r="B3155" s="1063">
        <v>42932</v>
      </c>
      <c r="C3155" s="934" t="s">
        <v>10507</v>
      </c>
      <c r="D3155" s="11"/>
      <c r="E3155" s="204" t="s">
        <v>4951</v>
      </c>
      <c r="F3155" s="934" t="s">
        <v>7782</v>
      </c>
      <c r="G3155" s="204" t="s">
        <v>11168</v>
      </c>
      <c r="H3155" s="204" t="s">
        <v>8888</v>
      </c>
      <c r="I3155" s="204" t="s">
        <v>8819</v>
      </c>
      <c r="J3155" s="204" t="s">
        <v>11169</v>
      </c>
      <c r="K3155" s="204" t="s">
        <v>11170</v>
      </c>
      <c r="L3155" s="204" t="s">
        <v>9248</v>
      </c>
      <c r="M3155" s="204">
        <v>48</v>
      </c>
      <c r="N3155" s="204">
        <v>100</v>
      </c>
      <c r="O3155" s="204">
        <v>100</v>
      </c>
      <c r="P3155" s="204">
        <v>0</v>
      </c>
      <c r="Q3155" s="572">
        <f t="shared" si="181"/>
        <v>52</v>
      </c>
      <c r="R3155" s="1209">
        <v>3.8</v>
      </c>
      <c r="S3155" s="1209">
        <f t="shared" si="182"/>
        <v>380</v>
      </c>
      <c r="T3155" s="204" t="s">
        <v>5448</v>
      </c>
      <c r="U3155" s="1901" t="s">
        <v>11052</v>
      </c>
      <c r="V3155" s="572" t="s">
        <v>1544</v>
      </c>
      <c r="W3155" s="681" t="s">
        <v>11171</v>
      </c>
      <c r="X3155" s="18"/>
      <c r="Y3155" s="4"/>
      <c r="Z3155" s="4"/>
    </row>
    <row r="3156" spans="1:26" ht="14.1" hidden="1">
      <c r="A3156" s="20">
        <v>3163</v>
      </c>
      <c r="B3156" s="1063">
        <v>42933</v>
      </c>
      <c r="C3156" s="191" t="s">
        <v>11172</v>
      </c>
      <c r="D3156" s="11"/>
      <c r="E3156" s="204" t="s">
        <v>572</v>
      </c>
      <c r="F3156" s="934" t="s">
        <v>131</v>
      </c>
      <c r="G3156" s="189" t="s">
        <v>11173</v>
      </c>
      <c r="I3156" s="204" t="s">
        <v>366</v>
      </c>
      <c r="J3156" s="1083" t="s">
        <v>9151</v>
      </c>
      <c r="K3156" s="364" t="s">
        <v>9151</v>
      </c>
      <c r="M3156" s="189">
        <v>12</v>
      </c>
      <c r="N3156" s="189">
        <v>1</v>
      </c>
      <c r="O3156" s="204">
        <v>20</v>
      </c>
      <c r="P3156" s="204">
        <v>0</v>
      </c>
      <c r="Q3156" s="572">
        <v>8</v>
      </c>
      <c r="R3156" s="1209">
        <v>180</v>
      </c>
      <c r="S3156" s="1209">
        <f t="shared" si="182"/>
        <v>3600</v>
      </c>
      <c r="T3156" s="204" t="s">
        <v>5448</v>
      </c>
      <c r="U3156" s="1901" t="s">
        <v>11174</v>
      </c>
      <c r="V3156" s="572" t="s">
        <v>1544</v>
      </c>
      <c r="W3156" s="804" t="s">
        <v>9152</v>
      </c>
      <c r="X3156" s="18"/>
      <c r="Y3156" s="4"/>
      <c r="Z3156" s="4"/>
    </row>
    <row r="3157" spans="1:26" ht="14.1" hidden="1">
      <c r="A3157" s="20">
        <v>3164</v>
      </c>
      <c r="B3157" s="1063">
        <v>42934</v>
      </c>
      <c r="C3157" s="934" t="s">
        <v>11175</v>
      </c>
      <c r="D3157" s="11"/>
      <c r="E3157" s="204" t="s">
        <v>572</v>
      </c>
      <c r="F3157" s="934" t="s">
        <v>131</v>
      </c>
      <c r="G3157" s="204" t="s">
        <v>11176</v>
      </c>
      <c r="H3157" s="204"/>
      <c r="I3157" s="204" t="s">
        <v>366</v>
      </c>
      <c r="J3157" s="204" t="s">
        <v>11177</v>
      </c>
      <c r="K3157" s="204" t="s">
        <v>11177</v>
      </c>
      <c r="L3157" s="204"/>
      <c r="M3157" s="204">
        <v>1</v>
      </c>
      <c r="N3157" s="204">
        <v>1</v>
      </c>
      <c r="O3157" s="204">
        <v>1</v>
      </c>
      <c r="P3157" s="204">
        <v>0</v>
      </c>
      <c r="Q3157" s="572">
        <v>0</v>
      </c>
      <c r="R3157" s="1209">
        <v>5489</v>
      </c>
      <c r="S3157" s="1209">
        <v>5489</v>
      </c>
      <c r="T3157" s="204" t="s">
        <v>5448</v>
      </c>
      <c r="U3157" s="1901" t="s">
        <v>11174</v>
      </c>
      <c r="V3157" s="572" t="s">
        <v>1544</v>
      </c>
      <c r="W3157" s="681" t="s">
        <v>11178</v>
      </c>
      <c r="X3157" s="18"/>
      <c r="Y3157" s="4"/>
      <c r="Z3157" s="4"/>
    </row>
    <row r="3158" spans="1:26" ht="18" hidden="1">
      <c r="A3158" s="20">
        <v>3165</v>
      </c>
      <c r="B3158" s="1063">
        <v>42935</v>
      </c>
      <c r="C3158" s="934" t="s">
        <v>11179</v>
      </c>
      <c r="D3158" s="11"/>
      <c r="E3158" s="204" t="s">
        <v>7956</v>
      </c>
      <c r="F3158" s="934" t="s">
        <v>6097</v>
      </c>
      <c r="G3158" s="204" t="s">
        <v>11180</v>
      </c>
      <c r="H3158" s="204" t="s">
        <v>11181</v>
      </c>
      <c r="I3158" s="204" t="s">
        <v>1022</v>
      </c>
      <c r="J3158" s="204"/>
      <c r="K3158" s="204"/>
      <c r="L3158" s="204"/>
      <c r="M3158" s="204">
        <v>3</v>
      </c>
      <c r="N3158" s="204">
        <v>1</v>
      </c>
      <c r="O3158" s="204">
        <v>3</v>
      </c>
      <c r="P3158" s="204" t="s">
        <v>1</v>
      </c>
      <c r="Q3158" s="572" t="s">
        <v>1</v>
      </c>
      <c r="R3158" s="1209">
        <v>3025</v>
      </c>
      <c r="S3158" s="1209">
        <v>9075</v>
      </c>
      <c r="T3158" s="204" t="s">
        <v>11182</v>
      </c>
      <c r="U3158" s="1901" t="s">
        <v>11183</v>
      </c>
      <c r="V3158" s="572" t="s">
        <v>11184</v>
      </c>
      <c r="W3158" s="2109" t="s">
        <v>11185</v>
      </c>
      <c r="X3158" s="18"/>
      <c r="Y3158" s="4"/>
      <c r="Z3158" s="4"/>
    </row>
    <row r="3159" spans="1:26" ht="18" hidden="1">
      <c r="A3159" s="20">
        <v>3166</v>
      </c>
      <c r="B3159" s="1063">
        <v>42936</v>
      </c>
      <c r="C3159" s="934" t="s">
        <v>11186</v>
      </c>
      <c r="D3159" s="11"/>
      <c r="E3159" s="204" t="s">
        <v>62</v>
      </c>
      <c r="F3159" s="934" t="s">
        <v>6097</v>
      </c>
      <c r="G3159" s="204" t="s">
        <v>11187</v>
      </c>
      <c r="H3159" s="204"/>
      <c r="I3159" s="204" t="s">
        <v>1063</v>
      </c>
      <c r="J3159" s="204" t="s">
        <v>11188</v>
      </c>
      <c r="K3159" s="204"/>
      <c r="L3159" s="204"/>
      <c r="M3159" s="204">
        <v>1</v>
      </c>
      <c r="N3159" s="204">
        <v>1</v>
      </c>
      <c r="O3159" s="204">
        <v>1</v>
      </c>
      <c r="P3159" s="204" t="s">
        <v>1</v>
      </c>
      <c r="Q3159" s="572" t="s">
        <v>1</v>
      </c>
      <c r="R3159" s="1209">
        <v>400</v>
      </c>
      <c r="S3159" s="1209">
        <v>400</v>
      </c>
      <c r="T3159" s="204" t="s">
        <v>11182</v>
      </c>
      <c r="U3159" s="1901" t="s">
        <v>11183</v>
      </c>
      <c r="V3159" s="572" t="s">
        <v>11184</v>
      </c>
      <c r="W3159" s="2109" t="s">
        <v>11189</v>
      </c>
      <c r="X3159" s="18"/>
      <c r="Y3159" s="4"/>
      <c r="Z3159" s="4"/>
    </row>
    <row r="3160" spans="1:26" ht="18" hidden="1">
      <c r="A3160" s="20">
        <v>3167</v>
      </c>
      <c r="B3160" s="1063">
        <v>42937</v>
      </c>
      <c r="C3160" s="934" t="s">
        <v>11190</v>
      </c>
      <c r="D3160" s="11"/>
      <c r="E3160" s="204" t="s">
        <v>62</v>
      </c>
      <c r="F3160" s="934" t="s">
        <v>6097</v>
      </c>
      <c r="G3160" s="204"/>
      <c r="H3160" s="204"/>
      <c r="I3160" s="204" t="s">
        <v>1063</v>
      </c>
      <c r="J3160" s="204" t="s">
        <v>11191</v>
      </c>
      <c r="K3160" s="204"/>
      <c r="L3160" s="204"/>
      <c r="M3160" s="204">
        <v>1</v>
      </c>
      <c r="N3160" s="204">
        <v>1</v>
      </c>
      <c r="O3160" s="204">
        <v>1</v>
      </c>
      <c r="P3160" s="204" t="s">
        <v>1</v>
      </c>
      <c r="Q3160" s="572" t="s">
        <v>1</v>
      </c>
      <c r="R3160" s="1209">
        <v>1620</v>
      </c>
      <c r="S3160" s="1209">
        <v>1620</v>
      </c>
      <c r="T3160" s="204" t="s">
        <v>11182</v>
      </c>
      <c r="U3160" s="1901" t="s">
        <v>11183</v>
      </c>
      <c r="V3160" s="572" t="s">
        <v>11184</v>
      </c>
      <c r="W3160" s="2109" t="s">
        <v>11192</v>
      </c>
      <c r="X3160" s="18"/>
      <c r="Y3160" s="4"/>
      <c r="Z3160" s="4"/>
    </row>
    <row r="3161" spans="1:26" ht="18" hidden="1">
      <c r="A3161" s="20">
        <v>3168</v>
      </c>
      <c r="B3161" s="1063">
        <v>42938</v>
      </c>
      <c r="C3161" s="934" t="s">
        <v>11193</v>
      </c>
      <c r="D3161" s="11"/>
      <c r="E3161" s="204" t="s">
        <v>62</v>
      </c>
      <c r="F3161" s="934" t="s">
        <v>6097</v>
      </c>
      <c r="G3161" s="204" t="s">
        <v>11194</v>
      </c>
      <c r="H3161" s="204"/>
      <c r="I3161" s="204" t="s">
        <v>1022</v>
      </c>
      <c r="J3161" s="204"/>
      <c r="K3161" s="204"/>
      <c r="L3161" s="204"/>
      <c r="M3161" s="204">
        <v>1</v>
      </c>
      <c r="N3161" s="204">
        <v>1</v>
      </c>
      <c r="O3161" s="204">
        <v>1</v>
      </c>
      <c r="P3161" s="204" t="s">
        <v>1</v>
      </c>
      <c r="Q3161" s="572" t="s">
        <v>1</v>
      </c>
      <c r="R3161" s="1209">
        <v>1898</v>
      </c>
      <c r="S3161" s="1209">
        <v>1898</v>
      </c>
      <c r="T3161" s="204" t="s">
        <v>11182</v>
      </c>
      <c r="U3161" s="1901" t="s">
        <v>11183</v>
      </c>
      <c r="V3161" s="572" t="s">
        <v>11184</v>
      </c>
      <c r="W3161" s="2110" t="s">
        <v>11195</v>
      </c>
      <c r="X3161" s="18"/>
      <c r="Y3161" s="4"/>
      <c r="Z3161" s="4"/>
    </row>
    <row r="3162" spans="1:26" ht="18" hidden="1">
      <c r="A3162" s="20">
        <v>3169</v>
      </c>
      <c r="B3162" s="1063">
        <v>42939</v>
      </c>
      <c r="C3162" s="934" t="s">
        <v>11196</v>
      </c>
      <c r="D3162" s="11"/>
      <c r="E3162" s="204" t="s">
        <v>62</v>
      </c>
      <c r="F3162" s="934" t="s">
        <v>6097</v>
      </c>
      <c r="G3162" s="204" t="s">
        <v>11197</v>
      </c>
      <c r="H3162" s="204"/>
      <c r="I3162" s="204" t="s">
        <v>1022</v>
      </c>
      <c r="J3162" s="204"/>
      <c r="K3162" s="204"/>
      <c r="L3162" s="204"/>
      <c r="M3162" s="204">
        <v>1</v>
      </c>
      <c r="N3162" s="204">
        <v>1</v>
      </c>
      <c r="O3162" s="204">
        <v>1</v>
      </c>
      <c r="P3162" s="204" t="s">
        <v>1</v>
      </c>
      <c r="Q3162" s="572" t="s">
        <v>1</v>
      </c>
      <c r="R3162" s="1209">
        <v>2279</v>
      </c>
      <c r="S3162" s="1209">
        <v>2279</v>
      </c>
      <c r="T3162" s="204" t="s">
        <v>11182</v>
      </c>
      <c r="U3162" s="1901" t="s">
        <v>11183</v>
      </c>
      <c r="V3162" s="572" t="s">
        <v>11184</v>
      </c>
      <c r="W3162" s="2110" t="s">
        <v>11198</v>
      </c>
      <c r="X3162" s="18"/>
      <c r="Y3162" s="4"/>
      <c r="Z3162" s="4"/>
    </row>
    <row r="3163" spans="1:26" ht="18" hidden="1">
      <c r="A3163" s="20">
        <v>3170</v>
      </c>
      <c r="B3163" s="1063">
        <v>42940</v>
      </c>
      <c r="C3163" s="934" t="s">
        <v>11199</v>
      </c>
      <c r="D3163" s="11"/>
      <c r="E3163" s="204" t="s">
        <v>62</v>
      </c>
      <c r="F3163" s="934" t="s">
        <v>6097</v>
      </c>
      <c r="G3163" s="204"/>
      <c r="H3163" s="204"/>
      <c r="I3163" s="204" t="s">
        <v>1022</v>
      </c>
      <c r="J3163" s="204"/>
      <c r="K3163" s="204" t="s">
        <v>11200</v>
      </c>
      <c r="L3163" s="204" t="s">
        <v>8535</v>
      </c>
      <c r="M3163" s="204">
        <v>3</v>
      </c>
      <c r="N3163" s="204">
        <v>1</v>
      </c>
      <c r="O3163" s="204">
        <v>3</v>
      </c>
      <c r="P3163" s="204" t="s">
        <v>1</v>
      </c>
      <c r="Q3163" s="572" t="s">
        <v>1</v>
      </c>
      <c r="R3163" s="1209">
        <v>3322</v>
      </c>
      <c r="S3163" s="1209">
        <v>9966</v>
      </c>
      <c r="T3163" s="204" t="s">
        <v>11182</v>
      </c>
      <c r="U3163" s="1901" t="s">
        <v>11183</v>
      </c>
      <c r="V3163" s="572" t="s">
        <v>11184</v>
      </c>
      <c r="W3163" s="2110" t="s">
        <v>11201</v>
      </c>
      <c r="X3163" s="18"/>
      <c r="Y3163" s="4"/>
      <c r="Z3163" s="4"/>
    </row>
    <row r="3164" spans="1:26" ht="18" hidden="1">
      <c r="A3164" s="20">
        <v>3171</v>
      </c>
      <c r="B3164" s="1063">
        <v>42941</v>
      </c>
      <c r="C3164" s="934" t="s">
        <v>11202</v>
      </c>
      <c r="D3164" s="11"/>
      <c r="E3164" s="204" t="s">
        <v>62</v>
      </c>
      <c r="F3164" s="934" t="s">
        <v>6097</v>
      </c>
      <c r="I3164" s="189" t="s">
        <v>1022</v>
      </c>
      <c r="M3164" s="204">
        <v>3</v>
      </c>
      <c r="N3164" s="204">
        <v>1</v>
      </c>
      <c r="O3164" s="204">
        <v>3</v>
      </c>
      <c r="P3164" s="204" t="s">
        <v>1</v>
      </c>
      <c r="Q3164" s="572" t="s">
        <v>1</v>
      </c>
      <c r="R3164" s="1209">
        <v>999</v>
      </c>
      <c r="S3164" s="1209">
        <v>2997</v>
      </c>
      <c r="T3164" s="204" t="s">
        <v>11182</v>
      </c>
      <c r="U3164" s="1901" t="s">
        <v>11183</v>
      </c>
      <c r="V3164" s="572" t="s">
        <v>11184</v>
      </c>
      <c r="W3164" s="2109" t="s">
        <v>11203</v>
      </c>
      <c r="X3164" s="18"/>
      <c r="Y3164" s="4"/>
      <c r="Z3164" s="4"/>
    </row>
    <row r="3165" spans="1:26" ht="18" hidden="1">
      <c r="A3165" s="20">
        <v>3172</v>
      </c>
      <c r="B3165" s="1063">
        <v>42942</v>
      </c>
      <c r="C3165" s="934" t="s">
        <v>11204</v>
      </c>
      <c r="D3165" s="11"/>
      <c r="E3165" s="204" t="s">
        <v>62</v>
      </c>
      <c r="F3165" s="934" t="s">
        <v>6097</v>
      </c>
      <c r="G3165" s="204"/>
      <c r="H3165" s="204"/>
      <c r="I3165" s="204" t="s">
        <v>1063</v>
      </c>
      <c r="J3165" s="204" t="s">
        <v>11205</v>
      </c>
      <c r="K3165" s="204" t="s">
        <v>11206</v>
      </c>
      <c r="L3165" s="204"/>
      <c r="M3165" s="204">
        <v>1</v>
      </c>
      <c r="N3165" s="204">
        <v>1</v>
      </c>
      <c r="O3165" s="204">
        <v>1</v>
      </c>
      <c r="P3165" s="204" t="s">
        <v>1</v>
      </c>
      <c r="Q3165" s="572" t="s">
        <v>1</v>
      </c>
      <c r="R3165" s="1209">
        <v>3700</v>
      </c>
      <c r="S3165" s="1209">
        <v>3700</v>
      </c>
      <c r="T3165" s="204" t="s">
        <v>11182</v>
      </c>
      <c r="U3165" s="1901" t="s">
        <v>11183</v>
      </c>
      <c r="V3165" s="572" t="s">
        <v>11184</v>
      </c>
      <c r="W3165" s="2109" t="s">
        <v>11207</v>
      </c>
      <c r="X3165" s="18"/>
      <c r="Y3165" s="4"/>
      <c r="Z3165" s="4"/>
    </row>
    <row r="3166" spans="1:26" ht="18" hidden="1">
      <c r="A3166" s="20">
        <v>3173</v>
      </c>
      <c r="B3166" s="1063">
        <v>42943</v>
      </c>
      <c r="C3166" s="934" t="s">
        <v>11208</v>
      </c>
      <c r="D3166" s="11"/>
      <c r="E3166" s="204" t="s">
        <v>62</v>
      </c>
      <c r="F3166" s="934" t="s">
        <v>6097</v>
      </c>
      <c r="G3166" s="204"/>
      <c r="H3166" s="204"/>
      <c r="I3166" s="204" t="s">
        <v>1063</v>
      </c>
      <c r="J3166" s="204" t="s">
        <v>11209</v>
      </c>
      <c r="K3166" s="204" t="s">
        <v>11210</v>
      </c>
      <c r="L3166" s="204"/>
      <c r="M3166" s="204">
        <v>6</v>
      </c>
      <c r="N3166" s="204">
        <v>1</v>
      </c>
      <c r="O3166" s="204">
        <v>6</v>
      </c>
      <c r="P3166" s="204" t="s">
        <v>1</v>
      </c>
      <c r="Q3166" s="572" t="s">
        <v>1</v>
      </c>
      <c r="R3166" s="1209">
        <v>200</v>
      </c>
      <c r="S3166" s="1209">
        <v>1200</v>
      </c>
      <c r="T3166" s="204" t="s">
        <v>11182</v>
      </c>
      <c r="U3166" s="1901" t="s">
        <v>11183</v>
      </c>
      <c r="V3166" s="572" t="s">
        <v>11184</v>
      </c>
      <c r="W3166" s="2109" t="s">
        <v>11211</v>
      </c>
      <c r="X3166" s="18"/>
      <c r="Y3166" s="4"/>
      <c r="Z3166" s="4"/>
    </row>
    <row r="3167" spans="1:26" ht="18" hidden="1">
      <c r="A3167" s="20">
        <v>3174</v>
      </c>
      <c r="B3167" s="1063">
        <v>42944</v>
      </c>
      <c r="C3167" s="934" t="s">
        <v>11212</v>
      </c>
      <c r="D3167" s="11"/>
      <c r="E3167" s="204" t="s">
        <v>62</v>
      </c>
      <c r="F3167" s="934" t="s">
        <v>6097</v>
      </c>
      <c r="G3167" s="204"/>
      <c r="H3167" s="204"/>
      <c r="I3167" s="204" t="s">
        <v>1063</v>
      </c>
      <c r="J3167" s="204" t="s">
        <v>11213</v>
      </c>
      <c r="K3167" s="204" t="s">
        <v>11214</v>
      </c>
      <c r="L3167" s="204"/>
      <c r="M3167" s="204">
        <v>1</v>
      </c>
      <c r="N3167" s="204">
        <v>1</v>
      </c>
      <c r="O3167" s="204">
        <v>1</v>
      </c>
      <c r="P3167" s="204" t="s">
        <v>1</v>
      </c>
      <c r="Q3167" s="572" t="s">
        <v>1</v>
      </c>
      <c r="R3167" s="1209">
        <v>750</v>
      </c>
      <c r="S3167" s="1209">
        <v>750</v>
      </c>
      <c r="T3167" s="204" t="s">
        <v>11182</v>
      </c>
      <c r="U3167" s="1901" t="s">
        <v>11183</v>
      </c>
      <c r="V3167" s="572" t="s">
        <v>11184</v>
      </c>
      <c r="W3167" s="2109" t="s">
        <v>11215</v>
      </c>
      <c r="X3167" s="18"/>
      <c r="Y3167" s="4"/>
      <c r="Z3167" s="4"/>
    </row>
    <row r="3168" spans="1:26" ht="18" hidden="1">
      <c r="A3168" s="20">
        <v>3175</v>
      </c>
      <c r="B3168" s="1063">
        <v>42945</v>
      </c>
      <c r="C3168" s="934" t="s">
        <v>11216</v>
      </c>
      <c r="D3168" s="11"/>
      <c r="E3168" s="204" t="s">
        <v>62</v>
      </c>
      <c r="F3168" s="934" t="s">
        <v>6097</v>
      </c>
      <c r="G3168" s="204" t="s">
        <v>11217</v>
      </c>
      <c r="H3168" s="204"/>
      <c r="I3168" s="204" t="s">
        <v>11218</v>
      </c>
      <c r="J3168" s="204" t="s">
        <v>11219</v>
      </c>
      <c r="K3168" s="204"/>
      <c r="L3168" s="204"/>
      <c r="M3168" s="204">
        <v>1</v>
      </c>
      <c r="N3168" s="204">
        <v>1</v>
      </c>
      <c r="O3168" s="204">
        <v>1</v>
      </c>
      <c r="P3168" s="204" t="s">
        <v>1</v>
      </c>
      <c r="Q3168" s="572" t="s">
        <v>1</v>
      </c>
      <c r="R3168" s="1209">
        <v>935</v>
      </c>
      <c r="S3168" s="1209">
        <v>935</v>
      </c>
      <c r="T3168" s="204" t="s">
        <v>11182</v>
      </c>
      <c r="U3168" s="1901" t="s">
        <v>11183</v>
      </c>
      <c r="V3168" s="572" t="s">
        <v>11184</v>
      </c>
      <c r="W3168" s="2109" t="s">
        <v>11220</v>
      </c>
      <c r="X3168" s="18"/>
      <c r="Y3168" s="4"/>
      <c r="Z3168" s="4"/>
    </row>
    <row r="3169" spans="1:26" ht="18" hidden="1">
      <c r="A3169" s="20">
        <v>3176</v>
      </c>
      <c r="B3169" s="1063">
        <v>42946</v>
      </c>
      <c r="C3169" s="934" t="s">
        <v>11221</v>
      </c>
      <c r="D3169" s="11"/>
      <c r="E3169" s="204" t="s">
        <v>7956</v>
      </c>
      <c r="F3169" s="934" t="s">
        <v>6097</v>
      </c>
      <c r="G3169" s="204" t="s">
        <v>11222</v>
      </c>
      <c r="H3169" s="204" t="s">
        <v>2668</v>
      </c>
      <c r="I3169" s="204" t="s">
        <v>1022</v>
      </c>
      <c r="J3169" s="204"/>
      <c r="K3169" s="204"/>
      <c r="L3169" s="204"/>
      <c r="M3169" s="204">
        <v>1</v>
      </c>
      <c r="N3169" s="204">
        <v>1</v>
      </c>
      <c r="O3169" s="204">
        <v>1</v>
      </c>
      <c r="P3169" s="204" t="s">
        <v>1</v>
      </c>
      <c r="Q3169" s="572" t="s">
        <v>1</v>
      </c>
      <c r="R3169" s="1209">
        <v>6875</v>
      </c>
      <c r="S3169" s="1209">
        <v>6875</v>
      </c>
      <c r="T3169" s="204" t="s">
        <v>11182</v>
      </c>
      <c r="U3169" s="1901" t="s">
        <v>11183</v>
      </c>
      <c r="V3169" s="572" t="s">
        <v>11184</v>
      </c>
      <c r="W3169" s="2109" t="s">
        <v>11223</v>
      </c>
      <c r="X3169" s="18"/>
      <c r="Y3169" s="4"/>
      <c r="Z3169" s="4"/>
    </row>
    <row r="3170" spans="1:26" ht="18" hidden="1">
      <c r="A3170" s="20">
        <v>3177</v>
      </c>
      <c r="B3170" s="1063">
        <v>42947</v>
      </c>
      <c r="C3170" s="934" t="s">
        <v>11224</v>
      </c>
      <c r="D3170" s="11"/>
      <c r="E3170" s="204" t="s">
        <v>62</v>
      </c>
      <c r="F3170" s="934" t="s">
        <v>6097</v>
      </c>
      <c r="G3170" s="204" t="s">
        <v>11225</v>
      </c>
      <c r="H3170" s="204" t="s">
        <v>2668</v>
      </c>
      <c r="I3170" s="204" t="s">
        <v>1022</v>
      </c>
      <c r="J3170" s="204"/>
      <c r="K3170" s="204"/>
      <c r="L3170" s="204"/>
      <c r="M3170" s="204">
        <v>1</v>
      </c>
      <c r="N3170" s="204">
        <v>1</v>
      </c>
      <c r="O3170" s="204">
        <v>1</v>
      </c>
      <c r="P3170" s="204" t="s">
        <v>1</v>
      </c>
      <c r="Q3170" s="572" t="s">
        <v>1</v>
      </c>
      <c r="R3170" s="1209">
        <v>3580</v>
      </c>
      <c r="S3170" s="1209">
        <v>3580</v>
      </c>
      <c r="T3170" s="204" t="s">
        <v>11182</v>
      </c>
      <c r="U3170" s="1901" t="s">
        <v>11183</v>
      </c>
      <c r="V3170" s="572" t="s">
        <v>11184</v>
      </c>
      <c r="W3170" s="2110" t="s">
        <v>11226</v>
      </c>
      <c r="X3170" s="18"/>
      <c r="Y3170" s="4"/>
      <c r="Z3170" s="4"/>
    </row>
    <row r="3171" spans="1:26" ht="18" hidden="1">
      <c r="A3171" s="20">
        <v>3178</v>
      </c>
      <c r="B3171" s="1063">
        <v>42948</v>
      </c>
      <c r="C3171" s="934" t="s">
        <v>11227</v>
      </c>
      <c r="D3171" s="11"/>
      <c r="E3171" s="204" t="s">
        <v>62</v>
      </c>
      <c r="F3171" s="934" t="s">
        <v>6097</v>
      </c>
      <c r="G3171" s="204" t="s">
        <v>11228</v>
      </c>
      <c r="H3171" s="204"/>
      <c r="I3171" s="204" t="s">
        <v>7274</v>
      </c>
      <c r="J3171" s="204" t="s">
        <v>11229</v>
      </c>
      <c r="K3171" s="204"/>
      <c r="L3171" s="204"/>
      <c r="M3171" s="204">
        <v>1</v>
      </c>
      <c r="N3171" s="204">
        <v>1</v>
      </c>
      <c r="O3171" s="204">
        <v>1</v>
      </c>
      <c r="P3171" s="204" t="s">
        <v>1</v>
      </c>
      <c r="Q3171" s="572" t="s">
        <v>1</v>
      </c>
      <c r="R3171" s="1209">
        <v>1928</v>
      </c>
      <c r="S3171" s="1209">
        <v>1928</v>
      </c>
      <c r="T3171" s="204" t="s">
        <v>11182</v>
      </c>
      <c r="U3171" s="1901" t="s">
        <v>11183</v>
      </c>
      <c r="V3171" s="572" t="s">
        <v>11184</v>
      </c>
      <c r="W3171" s="2109" t="s">
        <v>11230</v>
      </c>
      <c r="X3171" s="18"/>
      <c r="Y3171" s="4"/>
      <c r="Z3171" s="4"/>
    </row>
    <row r="3172" spans="1:26" ht="18" hidden="1">
      <c r="A3172" s="20">
        <v>3179</v>
      </c>
      <c r="B3172" s="1063">
        <v>42949</v>
      </c>
      <c r="C3172" s="934" t="s">
        <v>11231</v>
      </c>
      <c r="D3172" s="11"/>
      <c r="E3172" s="204" t="s">
        <v>62</v>
      </c>
      <c r="F3172" s="934" t="s">
        <v>6097</v>
      </c>
      <c r="G3172" s="204"/>
      <c r="H3172" s="204" t="s">
        <v>11232</v>
      </c>
      <c r="I3172" s="204" t="s">
        <v>1022</v>
      </c>
      <c r="J3172" s="204"/>
      <c r="K3172" s="204" t="s">
        <v>11233</v>
      </c>
      <c r="L3172" s="204"/>
      <c r="M3172" s="204">
        <v>3</v>
      </c>
      <c r="N3172" s="204">
        <v>1</v>
      </c>
      <c r="O3172" s="204">
        <v>3</v>
      </c>
      <c r="P3172" s="204" t="s">
        <v>1</v>
      </c>
      <c r="Q3172" s="572" t="s">
        <v>1</v>
      </c>
      <c r="R3172" s="1209">
        <v>880</v>
      </c>
      <c r="S3172" s="1209">
        <v>2640</v>
      </c>
      <c r="T3172" s="204" t="s">
        <v>11182</v>
      </c>
      <c r="U3172" s="1901" t="s">
        <v>11183</v>
      </c>
      <c r="V3172" s="572" t="s">
        <v>11184</v>
      </c>
      <c r="W3172" s="2109" t="s">
        <v>11234</v>
      </c>
      <c r="X3172" s="18"/>
      <c r="Y3172" s="4"/>
      <c r="Z3172" s="4"/>
    </row>
    <row r="3173" spans="1:26" ht="18" hidden="1">
      <c r="A3173" s="20">
        <v>3180</v>
      </c>
      <c r="B3173" s="1063">
        <v>42950</v>
      </c>
      <c r="C3173" s="934" t="s">
        <v>11235</v>
      </c>
      <c r="D3173" s="11"/>
      <c r="E3173" s="204" t="s">
        <v>62</v>
      </c>
      <c r="F3173" s="934" t="s">
        <v>6097</v>
      </c>
      <c r="G3173" s="204"/>
      <c r="H3173" s="204" t="s">
        <v>11236</v>
      </c>
      <c r="I3173" s="204" t="s">
        <v>1022</v>
      </c>
      <c r="J3173" s="204"/>
      <c r="K3173" s="204"/>
      <c r="L3173" s="204"/>
      <c r="M3173" s="204">
        <v>4</v>
      </c>
      <c r="N3173" s="204">
        <v>1</v>
      </c>
      <c r="O3173" s="204">
        <v>4</v>
      </c>
      <c r="P3173" s="204" t="s">
        <v>1</v>
      </c>
      <c r="Q3173" s="572" t="s">
        <v>1</v>
      </c>
      <c r="R3173" s="1209">
        <v>668</v>
      </c>
      <c r="S3173" s="1209">
        <v>2672</v>
      </c>
      <c r="T3173" s="204" t="s">
        <v>11182</v>
      </c>
      <c r="U3173" s="1901" t="s">
        <v>11183</v>
      </c>
      <c r="V3173" s="572" t="s">
        <v>11184</v>
      </c>
      <c r="W3173" s="2110" t="s">
        <v>11237</v>
      </c>
      <c r="X3173" s="18"/>
      <c r="Y3173" s="4"/>
      <c r="Z3173" s="4"/>
    </row>
    <row r="3174" spans="1:26" ht="18" hidden="1">
      <c r="A3174" s="20">
        <v>3181</v>
      </c>
      <c r="B3174" s="1063">
        <v>42951</v>
      </c>
      <c r="C3174" s="934" t="s">
        <v>11238</v>
      </c>
      <c r="D3174" s="11"/>
      <c r="E3174" s="204" t="s">
        <v>62</v>
      </c>
      <c r="F3174" s="934" t="s">
        <v>6097</v>
      </c>
      <c r="G3174" s="204"/>
      <c r="H3174" s="204" t="s">
        <v>11239</v>
      </c>
      <c r="I3174" s="204" t="s">
        <v>1022</v>
      </c>
      <c r="J3174" s="204"/>
      <c r="K3174" s="204" t="s">
        <v>11240</v>
      </c>
      <c r="L3174" s="204"/>
      <c r="M3174" s="204">
        <v>4</v>
      </c>
      <c r="N3174" s="204">
        <v>1</v>
      </c>
      <c r="O3174" s="204">
        <v>4</v>
      </c>
      <c r="P3174" s="204" t="s">
        <v>1</v>
      </c>
      <c r="Q3174" s="572" t="s">
        <v>1</v>
      </c>
      <c r="R3174" s="1209">
        <v>1627</v>
      </c>
      <c r="S3174" s="1209">
        <v>6508</v>
      </c>
      <c r="T3174" s="204" t="s">
        <v>11182</v>
      </c>
      <c r="U3174" s="1901" t="s">
        <v>11183</v>
      </c>
      <c r="V3174" s="572" t="s">
        <v>11184</v>
      </c>
      <c r="W3174" s="2110" t="s">
        <v>11241</v>
      </c>
      <c r="X3174" s="18"/>
      <c r="Y3174" s="4"/>
      <c r="Z3174" s="4"/>
    </row>
    <row r="3175" spans="1:26" ht="18" hidden="1">
      <c r="A3175" s="20">
        <v>3182</v>
      </c>
      <c r="B3175" s="1063">
        <v>42952</v>
      </c>
      <c r="C3175" s="934" t="s">
        <v>11242</v>
      </c>
      <c r="D3175" s="11"/>
      <c r="E3175" s="204" t="s">
        <v>62</v>
      </c>
      <c r="F3175" s="934" t="s">
        <v>6097</v>
      </c>
      <c r="G3175" s="204"/>
      <c r="H3175" s="204" t="s">
        <v>11243</v>
      </c>
      <c r="I3175" s="204" t="s">
        <v>1022</v>
      </c>
      <c r="J3175" s="204"/>
      <c r="K3175" s="204"/>
      <c r="L3175" s="204"/>
      <c r="M3175" s="204">
        <v>3</v>
      </c>
      <c r="N3175" s="204">
        <v>1</v>
      </c>
      <c r="O3175" s="204">
        <v>3</v>
      </c>
      <c r="P3175" s="204" t="s">
        <v>1</v>
      </c>
      <c r="Q3175" s="572" t="s">
        <v>1</v>
      </c>
      <c r="R3175" s="1209">
        <v>690</v>
      </c>
      <c r="S3175" s="1209">
        <v>2070</v>
      </c>
      <c r="T3175" s="204" t="s">
        <v>11182</v>
      </c>
      <c r="U3175" s="1901" t="s">
        <v>11183</v>
      </c>
      <c r="V3175" s="572" t="s">
        <v>11184</v>
      </c>
      <c r="W3175" s="2110" t="s">
        <v>11244</v>
      </c>
      <c r="X3175" s="18"/>
      <c r="Y3175" s="4"/>
      <c r="Z3175" s="4"/>
    </row>
    <row r="3176" spans="1:26" ht="18" hidden="1">
      <c r="A3176" s="20">
        <v>3183</v>
      </c>
      <c r="B3176" s="1063">
        <v>42953</v>
      </c>
      <c r="C3176" s="934" t="s">
        <v>11245</v>
      </c>
      <c r="D3176" s="11"/>
      <c r="E3176" s="204" t="s">
        <v>62</v>
      </c>
      <c r="F3176" s="934" t="s">
        <v>6097</v>
      </c>
      <c r="G3176" s="204"/>
      <c r="H3176" s="204" t="s">
        <v>11246</v>
      </c>
      <c r="I3176" s="204" t="s">
        <v>1022</v>
      </c>
      <c r="J3176" s="204"/>
      <c r="K3176" s="204"/>
      <c r="L3176" s="204"/>
      <c r="M3176" s="204">
        <v>3</v>
      </c>
      <c r="N3176" s="204">
        <v>1</v>
      </c>
      <c r="O3176" s="204">
        <v>3</v>
      </c>
      <c r="P3176" s="204" t="s">
        <v>1</v>
      </c>
      <c r="Q3176" s="572" t="s">
        <v>1</v>
      </c>
      <c r="R3176" s="1209">
        <v>260</v>
      </c>
      <c r="S3176" s="1209">
        <v>780</v>
      </c>
      <c r="T3176" s="204" t="s">
        <v>11182</v>
      </c>
      <c r="U3176" s="1901" t="s">
        <v>11183</v>
      </c>
      <c r="V3176" s="572" t="s">
        <v>11184</v>
      </c>
      <c r="W3176" s="2110" t="s">
        <v>11247</v>
      </c>
      <c r="X3176" s="18"/>
      <c r="Y3176" s="4"/>
      <c r="Z3176" s="4"/>
    </row>
    <row r="3177" spans="1:26" ht="18" hidden="1">
      <c r="A3177" s="20">
        <v>3184</v>
      </c>
      <c r="B3177" s="1063">
        <v>42954</v>
      </c>
      <c r="C3177" s="934" t="s">
        <v>11248</v>
      </c>
      <c r="D3177" s="11"/>
      <c r="E3177" s="204" t="s">
        <v>62</v>
      </c>
      <c r="F3177" s="934" t="s">
        <v>6097</v>
      </c>
      <c r="G3177" s="204" t="s">
        <v>11249</v>
      </c>
      <c r="H3177" s="204"/>
      <c r="I3177" s="204" t="s">
        <v>1022</v>
      </c>
      <c r="J3177" s="204"/>
      <c r="K3177" s="204"/>
      <c r="L3177" s="204"/>
      <c r="M3177" s="204">
        <v>2</v>
      </c>
      <c r="N3177" s="204">
        <v>1</v>
      </c>
      <c r="O3177" s="204">
        <v>2</v>
      </c>
      <c r="P3177" s="204" t="s">
        <v>1</v>
      </c>
      <c r="Q3177" s="572" t="s">
        <v>1</v>
      </c>
      <c r="R3177" s="1209">
        <v>698</v>
      </c>
      <c r="S3177" s="1209">
        <v>1396</v>
      </c>
      <c r="T3177" s="204" t="s">
        <v>11182</v>
      </c>
      <c r="U3177" s="1901" t="s">
        <v>11183</v>
      </c>
      <c r="V3177" s="572" t="s">
        <v>11184</v>
      </c>
      <c r="W3177" s="2110" t="s">
        <v>11250</v>
      </c>
      <c r="X3177" s="18"/>
      <c r="Y3177" s="4"/>
      <c r="Z3177" s="4"/>
    </row>
    <row r="3178" spans="1:26" ht="18" hidden="1">
      <c r="A3178" s="20">
        <v>3185</v>
      </c>
      <c r="B3178" s="1063">
        <v>42955</v>
      </c>
      <c r="C3178" s="934" t="s">
        <v>11251</v>
      </c>
      <c r="D3178" s="11"/>
      <c r="E3178" s="204" t="s">
        <v>62</v>
      </c>
      <c r="F3178" s="934" t="s">
        <v>6097</v>
      </c>
      <c r="G3178" s="204"/>
      <c r="H3178" s="204" t="s">
        <v>11252</v>
      </c>
      <c r="I3178" s="204" t="s">
        <v>1022</v>
      </c>
      <c r="J3178" s="204"/>
      <c r="K3178" s="366" t="s">
        <v>11253</v>
      </c>
      <c r="L3178" s="204"/>
      <c r="M3178" s="204">
        <v>1</v>
      </c>
      <c r="N3178" s="204">
        <v>1</v>
      </c>
      <c r="O3178" s="204">
        <v>1</v>
      </c>
      <c r="P3178" s="204" t="s">
        <v>1</v>
      </c>
      <c r="Q3178" s="572" t="s">
        <v>1</v>
      </c>
      <c r="R3178" s="1209">
        <v>1399</v>
      </c>
      <c r="S3178" s="1209">
        <v>1399</v>
      </c>
      <c r="T3178" s="204" t="s">
        <v>11182</v>
      </c>
      <c r="U3178" s="1901" t="s">
        <v>11183</v>
      </c>
      <c r="V3178" s="572" t="s">
        <v>11184</v>
      </c>
      <c r="W3178" s="2110" t="s">
        <v>11254</v>
      </c>
      <c r="X3178" s="18"/>
      <c r="Y3178" s="4"/>
      <c r="Z3178" s="4"/>
    </row>
    <row r="3179" spans="1:26" ht="18" hidden="1">
      <c r="A3179" s="20">
        <v>3186</v>
      </c>
      <c r="B3179" s="1063">
        <v>42956</v>
      </c>
      <c r="C3179" s="934" t="s">
        <v>11255</v>
      </c>
      <c r="D3179" s="11"/>
      <c r="E3179" s="204" t="s">
        <v>62</v>
      </c>
      <c r="F3179" s="934" t="s">
        <v>6097</v>
      </c>
      <c r="G3179" s="204" t="s">
        <v>11256</v>
      </c>
      <c r="H3179" s="204" t="s">
        <v>6041</v>
      </c>
      <c r="I3179" s="204" t="s">
        <v>1022</v>
      </c>
      <c r="J3179" s="204"/>
      <c r="K3179" s="204"/>
      <c r="L3179" s="204"/>
      <c r="M3179" s="204">
        <v>1</v>
      </c>
      <c r="N3179" s="204">
        <v>1</v>
      </c>
      <c r="O3179" s="204">
        <v>1</v>
      </c>
      <c r="P3179" s="204" t="s">
        <v>1</v>
      </c>
      <c r="Q3179" s="572" t="s">
        <v>1</v>
      </c>
      <c r="R3179" s="1209">
        <v>1980</v>
      </c>
      <c r="S3179" s="1209">
        <v>1980</v>
      </c>
      <c r="T3179" s="204" t="s">
        <v>11182</v>
      </c>
      <c r="U3179" s="1901" t="s">
        <v>11183</v>
      </c>
      <c r="V3179" s="572" t="s">
        <v>11184</v>
      </c>
      <c r="W3179" s="2110" t="s">
        <v>11257</v>
      </c>
      <c r="X3179" s="18"/>
      <c r="Y3179" s="4"/>
      <c r="Z3179" s="4"/>
    </row>
    <row r="3180" spans="1:26" ht="18" hidden="1">
      <c r="A3180" s="20">
        <v>3187</v>
      </c>
      <c r="B3180" s="1063">
        <v>42957</v>
      </c>
      <c r="C3180" s="934" t="s">
        <v>11258</v>
      </c>
      <c r="D3180" s="11"/>
      <c r="E3180" s="204" t="s">
        <v>62</v>
      </c>
      <c r="F3180" s="934" t="s">
        <v>6097</v>
      </c>
      <c r="G3180" s="204" t="s">
        <v>11259</v>
      </c>
      <c r="H3180" s="204" t="s">
        <v>11260</v>
      </c>
      <c r="I3180" s="204" t="s">
        <v>1022</v>
      </c>
      <c r="J3180" s="204"/>
      <c r="K3180" s="367" t="s">
        <v>11261</v>
      </c>
      <c r="L3180" s="204"/>
      <c r="M3180" s="204">
        <v>4</v>
      </c>
      <c r="N3180" s="204">
        <v>1</v>
      </c>
      <c r="O3180" s="204">
        <v>4</v>
      </c>
      <c r="P3180" s="204" t="s">
        <v>1</v>
      </c>
      <c r="Q3180" s="572" t="s">
        <v>1</v>
      </c>
      <c r="R3180" s="1209">
        <v>393</v>
      </c>
      <c r="S3180" s="1209">
        <v>1572</v>
      </c>
      <c r="T3180" s="204" t="s">
        <v>11182</v>
      </c>
      <c r="U3180" s="1901" t="s">
        <v>11183</v>
      </c>
      <c r="V3180" s="572" t="s">
        <v>11184</v>
      </c>
      <c r="W3180" s="2110" t="s">
        <v>11262</v>
      </c>
      <c r="X3180" s="18"/>
      <c r="Y3180" s="4"/>
      <c r="Z3180" s="4"/>
    </row>
    <row r="3181" spans="1:26" ht="18" hidden="1">
      <c r="A3181" s="20">
        <v>3188</v>
      </c>
      <c r="B3181" s="1063">
        <v>42958</v>
      </c>
      <c r="C3181" s="934" t="s">
        <v>11263</v>
      </c>
      <c r="D3181" s="11"/>
      <c r="E3181" s="204" t="s">
        <v>62</v>
      </c>
      <c r="F3181" s="934" t="s">
        <v>6097</v>
      </c>
      <c r="G3181" s="204"/>
      <c r="H3181" s="204" t="s">
        <v>11264</v>
      </c>
      <c r="I3181" s="204" t="s">
        <v>1022</v>
      </c>
      <c r="J3181" s="204"/>
      <c r="K3181" s="367" t="s">
        <v>11265</v>
      </c>
      <c r="L3181" s="204"/>
      <c r="M3181" s="204">
        <v>1</v>
      </c>
      <c r="N3181" s="204">
        <v>1</v>
      </c>
      <c r="O3181" s="204">
        <v>1</v>
      </c>
      <c r="P3181" s="204" t="s">
        <v>1</v>
      </c>
      <c r="Q3181" s="572" t="s">
        <v>1</v>
      </c>
      <c r="R3181" s="1209">
        <v>723</v>
      </c>
      <c r="S3181" s="1209">
        <v>723</v>
      </c>
      <c r="T3181" s="204" t="s">
        <v>11182</v>
      </c>
      <c r="U3181" s="1901" t="s">
        <v>11183</v>
      </c>
      <c r="V3181" s="572" t="s">
        <v>11184</v>
      </c>
      <c r="W3181" s="2110" t="s">
        <v>11266</v>
      </c>
      <c r="X3181" s="18"/>
      <c r="Y3181" s="4"/>
      <c r="Z3181" s="4"/>
    </row>
    <row r="3182" spans="1:26" ht="18" hidden="1">
      <c r="A3182" s="20">
        <v>3189</v>
      </c>
      <c r="B3182" s="1063">
        <v>42959</v>
      </c>
      <c r="C3182" s="934" t="s">
        <v>11267</v>
      </c>
      <c r="D3182" s="11"/>
      <c r="E3182" s="204" t="s">
        <v>62</v>
      </c>
      <c r="F3182" s="934" t="s">
        <v>6097</v>
      </c>
      <c r="G3182" s="204"/>
      <c r="H3182" s="204" t="s">
        <v>11260</v>
      </c>
      <c r="I3182" s="204" t="s">
        <v>1022</v>
      </c>
      <c r="J3182" s="204"/>
      <c r="K3182" s="367" t="s">
        <v>11268</v>
      </c>
      <c r="L3182" s="204"/>
      <c r="M3182" s="204">
        <v>3</v>
      </c>
      <c r="N3182" s="204">
        <v>1</v>
      </c>
      <c r="O3182" s="204">
        <v>3</v>
      </c>
      <c r="P3182" s="204" t="s">
        <v>1</v>
      </c>
      <c r="Q3182" s="572" t="s">
        <v>1</v>
      </c>
      <c r="R3182" s="1209">
        <v>773</v>
      </c>
      <c r="S3182" s="1209">
        <v>2319</v>
      </c>
      <c r="T3182" s="204" t="s">
        <v>11182</v>
      </c>
      <c r="U3182" s="1901" t="s">
        <v>11183</v>
      </c>
      <c r="V3182" s="572" t="s">
        <v>11184</v>
      </c>
      <c r="W3182" s="2110" t="s">
        <v>11269</v>
      </c>
      <c r="X3182" s="18"/>
      <c r="Y3182" s="4"/>
      <c r="Z3182" s="4"/>
    </row>
    <row r="3183" spans="1:26" ht="14.1" hidden="1">
      <c r="A3183" s="20">
        <v>3190</v>
      </c>
      <c r="B3183" s="1063">
        <v>42960</v>
      </c>
      <c r="C3183" s="934" t="s">
        <v>11270</v>
      </c>
      <c r="D3183" s="11" t="s">
        <v>6</v>
      </c>
      <c r="E3183" s="204" t="s">
        <v>2722</v>
      </c>
      <c r="F3183" s="934" t="s">
        <v>3413</v>
      </c>
      <c r="G3183" s="204" t="s">
        <v>11271</v>
      </c>
      <c r="H3183" s="204" t="s">
        <v>366</v>
      </c>
      <c r="I3183" s="204" t="s">
        <v>366</v>
      </c>
      <c r="J3183" s="204"/>
      <c r="K3183" s="367" t="s">
        <v>11271</v>
      </c>
      <c r="L3183" s="204"/>
      <c r="M3183" s="204">
        <v>100</v>
      </c>
      <c r="N3183" s="204">
        <f t="shared" ref="N3183:N3193" si="183">M3183</f>
        <v>100</v>
      </c>
      <c r="O3183" s="204"/>
      <c r="P3183" s="204" t="s">
        <v>1</v>
      </c>
      <c r="Q3183" s="572" t="s">
        <v>1</v>
      </c>
      <c r="R3183" s="1209">
        <f t="shared" ref="R3183:R3199" si="184">S3183/N3183</f>
        <v>6</v>
      </c>
      <c r="S3183" s="1209">
        <v>600</v>
      </c>
      <c r="T3183" s="204" t="s">
        <v>311</v>
      </c>
      <c r="U3183" s="1901" t="s">
        <v>311</v>
      </c>
      <c r="V3183" s="572" t="s">
        <v>3187</v>
      </c>
      <c r="W3183" s="681" t="s">
        <v>11272</v>
      </c>
      <c r="X3183" s="18"/>
      <c r="Y3183" s="4"/>
      <c r="Z3183" s="4"/>
    </row>
    <row r="3184" spans="1:26" ht="14.1" hidden="1">
      <c r="A3184" s="20">
        <v>3191</v>
      </c>
      <c r="B3184" s="1063">
        <v>42961</v>
      </c>
      <c r="C3184" s="934" t="s">
        <v>11270</v>
      </c>
      <c r="D3184" s="11" t="s">
        <v>6</v>
      </c>
      <c r="E3184" s="204" t="s">
        <v>2722</v>
      </c>
      <c r="F3184" s="934" t="s">
        <v>3413</v>
      </c>
      <c r="G3184" s="204" t="s">
        <v>9165</v>
      </c>
      <c r="H3184" s="204" t="s">
        <v>366</v>
      </c>
      <c r="I3184" s="204" t="s">
        <v>366</v>
      </c>
      <c r="J3184" s="204"/>
      <c r="K3184" s="367" t="s">
        <v>9165</v>
      </c>
      <c r="L3184" s="204"/>
      <c r="M3184" s="204">
        <v>100</v>
      </c>
      <c r="N3184" s="204">
        <f t="shared" si="183"/>
        <v>100</v>
      </c>
      <c r="O3184" s="204"/>
      <c r="P3184" s="204" t="s">
        <v>1</v>
      </c>
      <c r="Q3184" s="572" t="s">
        <v>1</v>
      </c>
      <c r="R3184" s="1209">
        <f t="shared" si="184"/>
        <v>6</v>
      </c>
      <c r="S3184" s="1209">
        <v>600</v>
      </c>
      <c r="T3184" s="204" t="s">
        <v>311</v>
      </c>
      <c r="U3184" s="1901" t="s">
        <v>311</v>
      </c>
      <c r="V3184" s="572" t="s">
        <v>3187</v>
      </c>
      <c r="W3184" s="681" t="s">
        <v>11273</v>
      </c>
      <c r="X3184" s="18"/>
      <c r="Y3184" s="4"/>
      <c r="Z3184" s="4"/>
    </row>
    <row r="3185" spans="1:26" ht="14.1" hidden="1">
      <c r="A3185" s="20">
        <v>3192</v>
      </c>
      <c r="B3185" s="1063">
        <v>42962</v>
      </c>
      <c r="C3185" s="934" t="s">
        <v>11274</v>
      </c>
      <c r="D3185" s="11" t="s">
        <v>6</v>
      </c>
      <c r="E3185" s="204" t="s">
        <v>2722</v>
      </c>
      <c r="F3185" s="934" t="s">
        <v>3413</v>
      </c>
      <c r="G3185" s="204" t="s">
        <v>11275</v>
      </c>
      <c r="H3185" s="204" t="s">
        <v>366</v>
      </c>
      <c r="I3185" s="204" t="s">
        <v>366</v>
      </c>
      <c r="J3185" s="204"/>
      <c r="K3185" s="367" t="s">
        <v>11275</v>
      </c>
      <c r="L3185" s="160" t="s">
        <v>11276</v>
      </c>
      <c r="M3185" s="204">
        <v>1</v>
      </c>
      <c r="N3185" s="204">
        <f t="shared" si="183"/>
        <v>1</v>
      </c>
      <c r="O3185" s="204"/>
      <c r="P3185" s="204" t="s">
        <v>1</v>
      </c>
      <c r="Q3185" s="572" t="s">
        <v>1</v>
      </c>
      <c r="R3185" s="1209">
        <f t="shared" si="184"/>
        <v>30760</v>
      </c>
      <c r="S3185" s="1209">
        <v>30760</v>
      </c>
      <c r="T3185" s="204" t="s">
        <v>311</v>
      </c>
      <c r="U3185" s="1901" t="s">
        <v>311</v>
      </c>
      <c r="V3185" s="572" t="s">
        <v>3187</v>
      </c>
      <c r="W3185" s="681" t="s">
        <v>11277</v>
      </c>
      <c r="X3185" s="18"/>
      <c r="Y3185" s="4"/>
      <c r="Z3185" s="4"/>
    </row>
    <row r="3186" spans="1:26" ht="14.1" hidden="1">
      <c r="A3186" s="20">
        <v>3193</v>
      </c>
      <c r="B3186" s="1063">
        <v>42963</v>
      </c>
      <c r="C3186" s="934" t="s">
        <v>11278</v>
      </c>
      <c r="D3186" s="11" t="s">
        <v>6</v>
      </c>
      <c r="E3186" s="204" t="s">
        <v>2722</v>
      </c>
      <c r="F3186" s="934" t="s">
        <v>3413</v>
      </c>
      <c r="G3186" s="204" t="s">
        <v>11279</v>
      </c>
      <c r="H3186" s="204" t="s">
        <v>366</v>
      </c>
      <c r="I3186" s="204" t="s">
        <v>366</v>
      </c>
      <c r="J3186" s="204"/>
      <c r="K3186" s="367" t="s">
        <v>11279</v>
      </c>
      <c r="L3186" s="160"/>
      <c r="M3186" s="204">
        <v>64</v>
      </c>
      <c r="N3186" s="204">
        <f t="shared" si="183"/>
        <v>64</v>
      </c>
      <c r="O3186" s="204"/>
      <c r="P3186" s="204" t="s">
        <v>1</v>
      </c>
      <c r="Q3186" s="572" t="s">
        <v>1</v>
      </c>
      <c r="R3186" s="1209">
        <f t="shared" si="184"/>
        <v>53</v>
      </c>
      <c r="S3186" s="1209">
        <v>3392</v>
      </c>
      <c r="T3186" s="204" t="s">
        <v>311</v>
      </c>
      <c r="U3186" s="1901" t="s">
        <v>311</v>
      </c>
      <c r="V3186" s="572" t="s">
        <v>3187</v>
      </c>
      <c r="W3186" s="681" t="s">
        <v>11280</v>
      </c>
      <c r="X3186" s="18"/>
      <c r="Y3186" s="4"/>
      <c r="Z3186" s="4"/>
    </row>
    <row r="3187" spans="1:26" ht="14.1" hidden="1">
      <c r="A3187" s="20">
        <v>3194</v>
      </c>
      <c r="B3187" s="1063">
        <v>42964</v>
      </c>
      <c r="C3187" s="934" t="s">
        <v>11278</v>
      </c>
      <c r="D3187" s="11" t="s">
        <v>6</v>
      </c>
      <c r="E3187" s="204" t="s">
        <v>2722</v>
      </c>
      <c r="F3187" s="934" t="s">
        <v>3413</v>
      </c>
      <c r="G3187" s="204" t="s">
        <v>11281</v>
      </c>
      <c r="H3187" s="204" t="s">
        <v>366</v>
      </c>
      <c r="I3187" s="204" t="s">
        <v>366</v>
      </c>
      <c r="J3187" s="204"/>
      <c r="K3187" s="367" t="s">
        <v>11281</v>
      </c>
      <c r="L3187" s="160"/>
      <c r="M3187" s="204">
        <v>32</v>
      </c>
      <c r="N3187" s="204">
        <f t="shared" si="183"/>
        <v>32</v>
      </c>
      <c r="O3187" s="204"/>
      <c r="P3187" s="204" t="s">
        <v>1</v>
      </c>
      <c r="Q3187" s="572" t="s">
        <v>1</v>
      </c>
      <c r="R3187" s="1209">
        <f t="shared" si="184"/>
        <v>62</v>
      </c>
      <c r="S3187" s="1209">
        <v>1984</v>
      </c>
      <c r="T3187" s="204" t="s">
        <v>311</v>
      </c>
      <c r="U3187" s="1901" t="s">
        <v>311</v>
      </c>
      <c r="V3187" s="572" t="s">
        <v>3187</v>
      </c>
      <c r="W3187" s="681" t="s">
        <v>11280</v>
      </c>
      <c r="X3187" s="18"/>
      <c r="Y3187" s="4"/>
      <c r="Z3187" s="4"/>
    </row>
    <row r="3188" spans="1:26" ht="14.1" hidden="1">
      <c r="A3188" s="20">
        <v>3195</v>
      </c>
      <c r="B3188" s="1063">
        <v>42965</v>
      </c>
      <c r="C3188" s="934" t="s">
        <v>11282</v>
      </c>
      <c r="D3188" s="11" t="s">
        <v>6</v>
      </c>
      <c r="E3188" s="204" t="s">
        <v>2722</v>
      </c>
      <c r="F3188" s="934" t="s">
        <v>3413</v>
      </c>
      <c r="G3188" s="204" t="s">
        <v>11283</v>
      </c>
      <c r="H3188" s="204" t="s">
        <v>366</v>
      </c>
      <c r="I3188" s="204" t="s">
        <v>366</v>
      </c>
      <c r="J3188" s="204"/>
      <c r="K3188" s="367" t="s">
        <v>11283</v>
      </c>
      <c r="L3188" s="160"/>
      <c r="M3188" s="204">
        <v>5</v>
      </c>
      <c r="N3188" s="204">
        <f t="shared" si="183"/>
        <v>5</v>
      </c>
      <c r="O3188" s="204"/>
      <c r="P3188" s="204" t="s">
        <v>1</v>
      </c>
      <c r="Q3188" s="572" t="s">
        <v>1</v>
      </c>
      <c r="R3188" s="1209">
        <f t="shared" si="184"/>
        <v>673</v>
      </c>
      <c r="S3188" s="1209">
        <v>3365</v>
      </c>
      <c r="T3188" s="204" t="s">
        <v>311</v>
      </c>
      <c r="U3188" s="1901" t="s">
        <v>311</v>
      </c>
      <c r="V3188" s="572" t="s">
        <v>3187</v>
      </c>
      <c r="W3188" s="681" t="s">
        <v>11284</v>
      </c>
      <c r="X3188" s="18"/>
      <c r="Y3188" s="4"/>
      <c r="Z3188" s="4"/>
    </row>
    <row r="3189" spans="1:26" ht="14.1" hidden="1">
      <c r="A3189" s="20">
        <v>3196</v>
      </c>
      <c r="B3189" s="1063">
        <v>42966</v>
      </c>
      <c r="C3189" s="934" t="s">
        <v>11285</v>
      </c>
      <c r="D3189" s="11" t="s">
        <v>6</v>
      </c>
      <c r="E3189" s="204" t="s">
        <v>2722</v>
      </c>
      <c r="F3189" s="934" t="s">
        <v>3413</v>
      </c>
      <c r="G3189" s="204" t="s">
        <v>11286</v>
      </c>
      <c r="H3189" s="204" t="s">
        <v>366</v>
      </c>
      <c r="I3189" s="204" t="s">
        <v>366</v>
      </c>
      <c r="J3189" s="204"/>
      <c r="K3189" s="367" t="s">
        <v>11286</v>
      </c>
      <c r="L3189" s="160" t="s">
        <v>11287</v>
      </c>
      <c r="M3189" s="204">
        <v>10</v>
      </c>
      <c r="N3189" s="204">
        <f t="shared" si="183"/>
        <v>10</v>
      </c>
      <c r="O3189" s="204"/>
      <c r="P3189" s="204" t="s">
        <v>1</v>
      </c>
      <c r="Q3189" s="572" t="s">
        <v>1</v>
      </c>
      <c r="R3189" s="1209">
        <f t="shared" si="184"/>
        <v>390</v>
      </c>
      <c r="S3189" s="1209">
        <v>3900</v>
      </c>
      <c r="T3189" s="204" t="s">
        <v>311</v>
      </c>
      <c r="U3189" s="1901" t="s">
        <v>311</v>
      </c>
      <c r="V3189" s="572" t="s">
        <v>3187</v>
      </c>
      <c r="W3189" s="681" t="s">
        <v>11288</v>
      </c>
      <c r="X3189" s="18"/>
      <c r="Y3189" s="4"/>
      <c r="Z3189" s="4"/>
    </row>
    <row r="3190" spans="1:26" ht="14.1" hidden="1">
      <c r="A3190" s="20">
        <v>3197</v>
      </c>
      <c r="B3190" s="1063">
        <v>42967</v>
      </c>
      <c r="C3190" s="934" t="s">
        <v>11289</v>
      </c>
      <c r="D3190" s="11" t="s">
        <v>6</v>
      </c>
      <c r="E3190" s="204" t="s">
        <v>2722</v>
      </c>
      <c r="F3190" s="934" t="s">
        <v>3413</v>
      </c>
      <c r="G3190" s="204" t="s">
        <v>11290</v>
      </c>
      <c r="H3190" s="204" t="s">
        <v>366</v>
      </c>
      <c r="I3190" s="204" t="s">
        <v>366</v>
      </c>
      <c r="J3190" s="204"/>
      <c r="K3190" s="367" t="s">
        <v>11290</v>
      </c>
      <c r="L3190" s="160"/>
      <c r="M3190" s="204">
        <v>64</v>
      </c>
      <c r="N3190" s="204">
        <f t="shared" si="183"/>
        <v>64</v>
      </c>
      <c r="O3190" s="204"/>
      <c r="P3190" s="204" t="s">
        <v>1</v>
      </c>
      <c r="Q3190" s="572" t="s">
        <v>1</v>
      </c>
      <c r="R3190" s="1209">
        <f t="shared" si="184"/>
        <v>145</v>
      </c>
      <c r="S3190" s="1209">
        <v>9280</v>
      </c>
      <c r="T3190" s="204" t="s">
        <v>311</v>
      </c>
      <c r="U3190" s="1901" t="s">
        <v>311</v>
      </c>
      <c r="V3190" s="572" t="s">
        <v>3187</v>
      </c>
      <c r="W3190" s="681" t="s">
        <v>11291</v>
      </c>
      <c r="X3190" s="18"/>
      <c r="Y3190" s="4"/>
      <c r="Z3190" s="4"/>
    </row>
    <row r="3191" spans="1:26" ht="14.1" hidden="1">
      <c r="A3191" s="20">
        <v>3198</v>
      </c>
      <c r="B3191" s="1063">
        <v>42968</v>
      </c>
      <c r="C3191" s="934" t="s">
        <v>11292</v>
      </c>
      <c r="D3191" s="11" t="s">
        <v>6</v>
      </c>
      <c r="E3191" s="204" t="s">
        <v>2722</v>
      </c>
      <c r="F3191" s="934" t="s">
        <v>3413</v>
      </c>
      <c r="G3191" s="204" t="s">
        <v>9156</v>
      </c>
      <c r="H3191" s="204" t="s">
        <v>366</v>
      </c>
      <c r="I3191" s="204" t="s">
        <v>366</v>
      </c>
      <c r="J3191" s="204"/>
      <c r="K3191" s="367" t="s">
        <v>9156</v>
      </c>
      <c r="L3191" s="160"/>
      <c r="M3191" s="204">
        <v>50</v>
      </c>
      <c r="N3191" s="204">
        <f t="shared" si="183"/>
        <v>50</v>
      </c>
      <c r="O3191" s="204"/>
      <c r="P3191" s="204" t="s">
        <v>1</v>
      </c>
      <c r="Q3191" s="572" t="s">
        <v>1</v>
      </c>
      <c r="R3191" s="1209">
        <f t="shared" si="184"/>
        <v>150</v>
      </c>
      <c r="S3191" s="1209">
        <v>7500</v>
      </c>
      <c r="T3191" s="204" t="s">
        <v>311</v>
      </c>
      <c r="U3191" s="1901" t="s">
        <v>311</v>
      </c>
      <c r="V3191" s="572" t="s">
        <v>3187</v>
      </c>
      <c r="W3191" s="681" t="s">
        <v>11293</v>
      </c>
      <c r="X3191" s="18"/>
      <c r="Y3191" s="4"/>
      <c r="Z3191" s="4"/>
    </row>
    <row r="3192" spans="1:26" ht="14.1" hidden="1">
      <c r="A3192" s="20">
        <v>3199</v>
      </c>
      <c r="B3192" s="1063">
        <v>42969</v>
      </c>
      <c r="C3192" s="934" t="s">
        <v>11292</v>
      </c>
      <c r="D3192" s="11" t="s">
        <v>6</v>
      </c>
      <c r="E3192" s="204" t="s">
        <v>2722</v>
      </c>
      <c r="F3192" s="934" t="s">
        <v>3413</v>
      </c>
      <c r="G3192" s="204" t="s">
        <v>372</v>
      </c>
      <c r="H3192" s="204" t="s">
        <v>366</v>
      </c>
      <c r="I3192" s="204" t="s">
        <v>366</v>
      </c>
      <c r="J3192" s="204"/>
      <c r="K3192" s="367" t="s">
        <v>372</v>
      </c>
      <c r="L3192" s="160"/>
      <c r="M3192" s="204">
        <v>50</v>
      </c>
      <c r="N3192" s="204">
        <f t="shared" si="183"/>
        <v>50</v>
      </c>
      <c r="O3192" s="204"/>
      <c r="P3192" s="204" t="s">
        <v>1</v>
      </c>
      <c r="Q3192" s="572" t="s">
        <v>1</v>
      </c>
      <c r="R3192" s="1209">
        <f t="shared" si="184"/>
        <v>150</v>
      </c>
      <c r="S3192" s="1209">
        <v>7500</v>
      </c>
      <c r="T3192" s="204" t="s">
        <v>311</v>
      </c>
      <c r="U3192" s="1901" t="s">
        <v>311</v>
      </c>
      <c r="V3192" s="572" t="s">
        <v>3187</v>
      </c>
      <c r="W3192" s="681" t="s">
        <v>11293</v>
      </c>
      <c r="X3192" s="18"/>
      <c r="Y3192" s="4"/>
      <c r="Z3192" s="4"/>
    </row>
    <row r="3193" spans="1:26" ht="14.1" hidden="1">
      <c r="A3193" s="20">
        <v>3200</v>
      </c>
      <c r="B3193" s="1063">
        <v>42970</v>
      </c>
      <c r="C3193" s="934" t="s">
        <v>11294</v>
      </c>
      <c r="D3193" s="11" t="s">
        <v>6</v>
      </c>
      <c r="E3193" s="204" t="s">
        <v>2722</v>
      </c>
      <c r="F3193" s="934" t="s">
        <v>3413</v>
      </c>
      <c r="G3193" s="204" t="s">
        <v>11295</v>
      </c>
      <c r="H3193" s="204" t="s">
        <v>686</v>
      </c>
      <c r="I3193" s="204" t="s">
        <v>366</v>
      </c>
      <c r="J3193" s="204"/>
      <c r="K3193" s="367" t="s">
        <v>11295</v>
      </c>
      <c r="L3193" s="160"/>
      <c r="M3193" s="204">
        <v>16</v>
      </c>
      <c r="N3193" s="204">
        <f t="shared" si="183"/>
        <v>16</v>
      </c>
      <c r="O3193" s="204"/>
      <c r="P3193" s="204" t="s">
        <v>1</v>
      </c>
      <c r="Q3193" s="572" t="s">
        <v>1</v>
      </c>
      <c r="R3193" s="1209">
        <f t="shared" si="184"/>
        <v>176</v>
      </c>
      <c r="S3193" s="1209">
        <v>2816</v>
      </c>
      <c r="T3193" s="204" t="s">
        <v>311</v>
      </c>
      <c r="U3193" s="1901" t="s">
        <v>311</v>
      </c>
      <c r="V3193" s="572" t="s">
        <v>3187</v>
      </c>
      <c r="W3193" s="681" t="s">
        <v>11296</v>
      </c>
      <c r="X3193" s="18"/>
      <c r="Y3193" s="4"/>
      <c r="Z3193" s="4"/>
    </row>
    <row r="3194" spans="1:26" ht="14.1" hidden="1">
      <c r="A3194" s="20">
        <v>3201</v>
      </c>
      <c r="B3194" s="1063">
        <v>42971</v>
      </c>
      <c r="C3194" s="934" t="s">
        <v>11297</v>
      </c>
      <c r="D3194" s="11" t="s">
        <v>6</v>
      </c>
      <c r="E3194" s="204" t="s">
        <v>2722</v>
      </c>
      <c r="F3194" s="934" t="s">
        <v>3413</v>
      </c>
      <c r="G3194" s="204" t="s">
        <v>11298</v>
      </c>
      <c r="H3194" s="204" t="s">
        <v>7673</v>
      </c>
      <c r="I3194" s="204" t="s">
        <v>84</v>
      </c>
      <c r="J3194" s="204"/>
      <c r="K3194" s="367" t="s">
        <v>11299</v>
      </c>
      <c r="L3194" s="160" t="s">
        <v>11276</v>
      </c>
      <c r="M3194" s="204">
        <v>1</v>
      </c>
      <c r="N3194" s="204">
        <v>1</v>
      </c>
      <c r="O3194" s="204"/>
      <c r="P3194" s="204" t="s">
        <v>1</v>
      </c>
      <c r="Q3194" s="572" t="s">
        <v>1</v>
      </c>
      <c r="R3194" s="1209">
        <f t="shared" si="184"/>
        <v>3690</v>
      </c>
      <c r="S3194" s="1209">
        <v>3690</v>
      </c>
      <c r="T3194" s="204" t="s">
        <v>311</v>
      </c>
      <c r="U3194" s="1901" t="s">
        <v>311</v>
      </c>
      <c r="V3194" s="572" t="s">
        <v>3187</v>
      </c>
      <c r="W3194" s="681" t="s">
        <v>11300</v>
      </c>
      <c r="X3194" s="18"/>
      <c r="Y3194" s="4"/>
      <c r="Z3194" s="4"/>
    </row>
    <row r="3195" spans="1:26" ht="14.1" hidden="1">
      <c r="A3195" s="20">
        <v>3202</v>
      </c>
      <c r="B3195" s="1063">
        <v>42972</v>
      </c>
      <c r="C3195" s="934" t="s">
        <v>11301</v>
      </c>
      <c r="D3195" s="11" t="s">
        <v>6</v>
      </c>
      <c r="E3195" s="204" t="s">
        <v>2722</v>
      </c>
      <c r="F3195" s="934" t="s">
        <v>3413</v>
      </c>
      <c r="G3195" s="204" t="s">
        <v>11302</v>
      </c>
      <c r="H3195" s="204" t="s">
        <v>9298</v>
      </c>
      <c r="I3195" s="204" t="s">
        <v>84</v>
      </c>
      <c r="J3195" s="204"/>
      <c r="K3195" s="367" t="s">
        <v>11303</v>
      </c>
      <c r="L3195" s="160"/>
      <c r="M3195" s="204">
        <v>4</v>
      </c>
      <c r="N3195" s="204">
        <f t="shared" ref="N3195:N3199" si="185">M3195</f>
        <v>4</v>
      </c>
      <c r="O3195" s="204"/>
      <c r="P3195" s="204" t="s">
        <v>1</v>
      </c>
      <c r="Q3195" s="572" t="s">
        <v>1</v>
      </c>
      <c r="R3195" s="1209">
        <f t="shared" si="184"/>
        <v>3190</v>
      </c>
      <c r="S3195" s="1209">
        <v>12760</v>
      </c>
      <c r="T3195" s="204" t="s">
        <v>311</v>
      </c>
      <c r="U3195" s="1901" t="s">
        <v>311</v>
      </c>
      <c r="V3195" s="572" t="s">
        <v>3187</v>
      </c>
      <c r="W3195" s="681" t="s">
        <v>11304</v>
      </c>
      <c r="X3195" s="18"/>
      <c r="Y3195" s="4"/>
      <c r="Z3195" s="4"/>
    </row>
    <row r="3196" spans="1:26" ht="14.1" hidden="1">
      <c r="A3196" s="20">
        <v>3203</v>
      </c>
      <c r="B3196" s="1063">
        <v>42973</v>
      </c>
      <c r="C3196" s="934" t="s">
        <v>11305</v>
      </c>
      <c r="D3196" s="11" t="s">
        <v>6</v>
      </c>
      <c r="E3196" s="204" t="s">
        <v>2722</v>
      </c>
      <c r="F3196" s="934" t="s">
        <v>3413</v>
      </c>
      <c r="G3196" s="204" t="s">
        <v>11306</v>
      </c>
      <c r="H3196" s="204" t="s">
        <v>11307</v>
      </c>
      <c r="I3196" s="204" t="s">
        <v>84</v>
      </c>
      <c r="J3196" s="204"/>
      <c r="K3196" s="367" t="s">
        <v>11308</v>
      </c>
      <c r="L3196" s="160"/>
      <c r="M3196" s="204">
        <v>1</v>
      </c>
      <c r="N3196" s="204">
        <f t="shared" si="185"/>
        <v>1</v>
      </c>
      <c r="O3196" s="204"/>
      <c r="P3196" s="204" t="s">
        <v>1</v>
      </c>
      <c r="Q3196" s="572" t="s">
        <v>1</v>
      </c>
      <c r="R3196" s="1209">
        <f t="shared" si="184"/>
        <v>3290</v>
      </c>
      <c r="S3196" s="1209">
        <v>3290</v>
      </c>
      <c r="T3196" s="204" t="s">
        <v>311</v>
      </c>
      <c r="U3196" s="1901" t="s">
        <v>311</v>
      </c>
      <c r="V3196" s="572" t="s">
        <v>3187</v>
      </c>
      <c r="W3196" s="681" t="s">
        <v>11309</v>
      </c>
      <c r="X3196" s="18"/>
      <c r="Y3196" s="4"/>
      <c r="Z3196" s="4"/>
    </row>
    <row r="3197" spans="1:26" ht="14.1" hidden="1">
      <c r="A3197" s="20">
        <v>3204</v>
      </c>
      <c r="B3197" s="1063">
        <v>42974</v>
      </c>
      <c r="C3197" s="934" t="s">
        <v>11305</v>
      </c>
      <c r="D3197" s="11" t="s">
        <v>6</v>
      </c>
      <c r="E3197" s="204" t="s">
        <v>2722</v>
      </c>
      <c r="F3197" s="934" t="s">
        <v>3413</v>
      </c>
      <c r="G3197" s="204" t="s">
        <v>11310</v>
      </c>
      <c r="H3197" s="204" t="s">
        <v>11307</v>
      </c>
      <c r="I3197" s="204" t="s">
        <v>84</v>
      </c>
      <c r="J3197" s="204"/>
      <c r="K3197" s="367" t="s">
        <v>11311</v>
      </c>
      <c r="L3197" s="160"/>
      <c r="M3197" s="204">
        <v>1</v>
      </c>
      <c r="N3197" s="204">
        <f t="shared" si="185"/>
        <v>1</v>
      </c>
      <c r="O3197" s="204"/>
      <c r="P3197" s="204" t="s">
        <v>1</v>
      </c>
      <c r="Q3197" s="572" t="s">
        <v>1</v>
      </c>
      <c r="R3197" s="1209">
        <f t="shared" si="184"/>
        <v>4690</v>
      </c>
      <c r="S3197" s="1209">
        <v>4690</v>
      </c>
      <c r="T3197" s="204" t="s">
        <v>311</v>
      </c>
      <c r="U3197" s="1901" t="s">
        <v>311</v>
      </c>
      <c r="V3197" s="572" t="s">
        <v>3187</v>
      </c>
      <c r="W3197" s="681" t="s">
        <v>11312</v>
      </c>
      <c r="X3197" s="18"/>
      <c r="Y3197" s="4"/>
      <c r="Z3197" s="4"/>
    </row>
    <row r="3198" spans="1:26" ht="14.1" hidden="1">
      <c r="A3198" s="20">
        <v>3205</v>
      </c>
      <c r="B3198" s="1063">
        <v>42975</v>
      </c>
      <c r="C3198" s="934" t="s">
        <v>11313</v>
      </c>
      <c r="D3198" s="11" t="s">
        <v>6</v>
      </c>
      <c r="E3198" s="204" t="s">
        <v>2722</v>
      </c>
      <c r="F3198" s="934" t="s">
        <v>3413</v>
      </c>
      <c r="G3198" s="204" t="s">
        <v>11314</v>
      </c>
      <c r="H3198" s="204" t="s">
        <v>7673</v>
      </c>
      <c r="I3198" s="204" t="s">
        <v>84</v>
      </c>
      <c r="J3198" s="204"/>
      <c r="K3198" s="367" t="s">
        <v>11315</v>
      </c>
      <c r="L3198" s="160" t="s">
        <v>11316</v>
      </c>
      <c r="M3198" s="204">
        <v>10</v>
      </c>
      <c r="N3198" s="204">
        <f t="shared" si="185"/>
        <v>10</v>
      </c>
      <c r="O3198" s="204"/>
      <c r="P3198" s="204" t="s">
        <v>1</v>
      </c>
      <c r="Q3198" s="572" t="s">
        <v>1</v>
      </c>
      <c r="R3198" s="1209">
        <f t="shared" si="184"/>
        <v>499</v>
      </c>
      <c r="S3198" s="1209">
        <v>4990</v>
      </c>
      <c r="T3198" s="204" t="s">
        <v>311</v>
      </c>
      <c r="U3198" s="1901" t="s">
        <v>311</v>
      </c>
      <c r="V3198" s="572" t="s">
        <v>3187</v>
      </c>
      <c r="W3198" s="681" t="s">
        <v>11317</v>
      </c>
      <c r="X3198" s="18"/>
      <c r="Y3198" s="4"/>
      <c r="Z3198" s="4"/>
    </row>
    <row r="3199" spans="1:26" ht="14.1" hidden="1">
      <c r="A3199" s="20">
        <v>3206</v>
      </c>
      <c r="B3199" s="1063">
        <v>42976</v>
      </c>
      <c r="C3199" s="934" t="s">
        <v>11318</v>
      </c>
      <c r="D3199" s="11" t="s">
        <v>6</v>
      </c>
      <c r="E3199" s="204" t="s">
        <v>2722</v>
      </c>
      <c r="F3199" s="934" t="s">
        <v>3413</v>
      </c>
      <c r="G3199" s="204" t="s">
        <v>11319</v>
      </c>
      <c r="H3199" s="204" t="s">
        <v>84</v>
      </c>
      <c r="I3199" s="204" t="s">
        <v>84</v>
      </c>
      <c r="J3199" s="204"/>
      <c r="K3199" s="367" t="s">
        <v>11320</v>
      </c>
      <c r="L3199" s="204"/>
      <c r="M3199" s="204">
        <v>1</v>
      </c>
      <c r="N3199" s="204">
        <f t="shared" si="185"/>
        <v>1</v>
      </c>
      <c r="O3199" s="204"/>
      <c r="P3199" s="204" t="s">
        <v>1</v>
      </c>
      <c r="Q3199" s="572" t="s">
        <v>1</v>
      </c>
      <c r="R3199" s="1209">
        <f t="shared" si="184"/>
        <v>2790</v>
      </c>
      <c r="S3199" s="1209">
        <f>2790</f>
        <v>2790</v>
      </c>
      <c r="T3199" s="204" t="s">
        <v>311</v>
      </c>
      <c r="U3199" s="1901" t="s">
        <v>311</v>
      </c>
      <c r="V3199" s="572" t="s">
        <v>3187</v>
      </c>
      <c r="W3199" s="681" t="s">
        <v>11321</v>
      </c>
      <c r="X3199" s="18"/>
      <c r="Y3199" s="4"/>
      <c r="Z3199" s="4"/>
    </row>
    <row r="3200" spans="1:26" ht="14.1" hidden="1">
      <c r="A3200" s="20">
        <v>3207</v>
      </c>
      <c r="B3200" s="1063">
        <v>42977</v>
      </c>
      <c r="C3200" s="934" t="s">
        <v>11322</v>
      </c>
      <c r="D3200" s="11" t="s">
        <v>6</v>
      </c>
      <c r="E3200" s="204" t="s">
        <v>4951</v>
      </c>
      <c r="F3200" s="934" t="s">
        <v>11323</v>
      </c>
      <c r="G3200" s="204" t="s">
        <v>11324</v>
      </c>
      <c r="H3200" s="365" t="s">
        <v>3898</v>
      </c>
      <c r="I3200" s="359" t="s">
        <v>574</v>
      </c>
      <c r="J3200" s="20" t="s">
        <v>933</v>
      </c>
      <c r="K3200" s="365" t="s">
        <v>8112</v>
      </c>
      <c r="L3200" s="204" t="s">
        <v>11325</v>
      </c>
      <c r="M3200" s="204">
        <v>45</v>
      </c>
      <c r="N3200" s="204">
        <v>1</v>
      </c>
      <c r="O3200" s="204">
        <v>45</v>
      </c>
      <c r="P3200" s="204">
        <v>0</v>
      </c>
      <c r="Q3200" s="572">
        <v>45</v>
      </c>
      <c r="R3200" s="1209">
        <v>545.5</v>
      </c>
      <c r="S3200" s="1209">
        <f t="shared" ref="S3200:S3201" si="186">(R3200*O3200)</f>
        <v>24547.5</v>
      </c>
      <c r="T3200" s="204" t="s">
        <v>9485</v>
      </c>
      <c r="U3200" s="1901" t="s">
        <v>3637</v>
      </c>
      <c r="V3200" s="572" t="s">
        <v>104</v>
      </c>
      <c r="W3200" s="681" t="s">
        <v>10342</v>
      </c>
      <c r="X3200" s="18"/>
      <c r="Y3200" s="4"/>
      <c r="Z3200" s="4"/>
    </row>
    <row r="3201" spans="1:26" ht="14.1" hidden="1">
      <c r="A3201" s="20">
        <v>3208</v>
      </c>
      <c r="B3201" s="1063">
        <v>42978</v>
      </c>
      <c r="C3201" s="934" t="s">
        <v>11326</v>
      </c>
      <c r="D3201" s="11" t="s">
        <v>6</v>
      </c>
      <c r="E3201" s="204" t="s">
        <v>4951</v>
      </c>
      <c r="F3201" s="934" t="s">
        <v>11323</v>
      </c>
      <c r="G3201" s="58" t="s">
        <v>3266</v>
      </c>
      <c r="H3201" s="58" t="s">
        <v>3267</v>
      </c>
      <c r="I3201" s="58" t="s">
        <v>3268</v>
      </c>
      <c r="J3201" s="1084" t="s">
        <v>6660</v>
      </c>
      <c r="K3201" s="204" t="s">
        <v>6660</v>
      </c>
      <c r="L3201" s="204"/>
      <c r="M3201" s="204">
        <v>45</v>
      </c>
      <c r="N3201" s="204">
        <v>20</v>
      </c>
      <c r="O3201" s="204">
        <v>45</v>
      </c>
      <c r="P3201" s="204">
        <v>0</v>
      </c>
      <c r="Q3201" s="572">
        <v>45</v>
      </c>
      <c r="R3201" s="1209">
        <v>440</v>
      </c>
      <c r="S3201" s="1209">
        <f t="shared" si="186"/>
        <v>19800</v>
      </c>
      <c r="T3201" s="204" t="s">
        <v>9485</v>
      </c>
      <c r="U3201" s="1901" t="s">
        <v>3637</v>
      </c>
      <c r="V3201" s="572" t="s">
        <v>104</v>
      </c>
      <c r="W3201" s="681" t="s">
        <v>3270</v>
      </c>
      <c r="X3201" s="18"/>
      <c r="Y3201" s="4"/>
      <c r="Z3201" s="4"/>
    </row>
    <row r="3202" spans="1:26" ht="14.1" hidden="1">
      <c r="A3202" s="20">
        <v>3209</v>
      </c>
      <c r="B3202" s="1063">
        <v>42979</v>
      </c>
      <c r="C3202" s="22" t="s">
        <v>478</v>
      </c>
      <c r="D3202" s="11"/>
      <c r="E3202" s="22" t="s">
        <v>166</v>
      </c>
      <c r="F3202" s="22" t="s">
        <v>404</v>
      </c>
      <c r="G3202" s="22" t="s">
        <v>111</v>
      </c>
      <c r="H3202" s="35" t="s">
        <v>112</v>
      </c>
      <c r="I3202" s="35" t="s">
        <v>113</v>
      </c>
      <c r="J3202" s="35" t="s">
        <v>114</v>
      </c>
      <c r="K3202" s="35"/>
      <c r="L3202" s="35"/>
      <c r="M3202" s="35">
        <v>1</v>
      </c>
      <c r="N3202" s="35">
        <v>1</v>
      </c>
      <c r="O3202" s="35">
        <v>1</v>
      </c>
      <c r="P3202" s="35">
        <v>0</v>
      </c>
      <c r="Q3202" s="35">
        <v>0</v>
      </c>
      <c r="R3202" s="1203">
        <v>2090</v>
      </c>
      <c r="S3202" s="1203">
        <v>2090</v>
      </c>
      <c r="T3202" s="35" t="s">
        <v>5448</v>
      </c>
      <c r="U3202" s="1855" t="s">
        <v>8730</v>
      </c>
      <c r="V3202" s="22" t="s">
        <v>801</v>
      </c>
      <c r="W3202" s="2010" t="s">
        <v>479</v>
      </c>
      <c r="X3202" s="18"/>
      <c r="Y3202" s="4"/>
      <c r="Z3202" s="4"/>
    </row>
    <row r="3203" spans="1:26" ht="14.1" hidden="1">
      <c r="A3203" s="20">
        <v>3210</v>
      </c>
      <c r="B3203" s="1063">
        <v>42980</v>
      </c>
      <c r="C3203" s="22" t="s">
        <v>797</v>
      </c>
      <c r="D3203" s="11"/>
      <c r="E3203" s="22" t="s">
        <v>166</v>
      </c>
      <c r="F3203" s="22" t="s">
        <v>404</v>
      </c>
      <c r="G3203" s="22" t="s">
        <v>798</v>
      </c>
      <c r="H3203" s="22" t="s">
        <v>799</v>
      </c>
      <c r="I3203" s="22" t="s">
        <v>322</v>
      </c>
      <c r="J3203" s="22" t="s">
        <v>800</v>
      </c>
      <c r="K3203" s="22" t="s">
        <v>1</v>
      </c>
      <c r="L3203" s="22" t="s">
        <v>1</v>
      </c>
      <c r="M3203" s="22">
        <v>3</v>
      </c>
      <c r="N3203" s="22">
        <v>1</v>
      </c>
      <c r="O3203" s="22">
        <v>3</v>
      </c>
      <c r="P3203" s="22">
        <v>1</v>
      </c>
      <c r="Q3203" s="22">
        <v>0</v>
      </c>
      <c r="R3203" s="1201">
        <v>10900</v>
      </c>
      <c r="S3203" s="1201">
        <f>M3203*R3203</f>
        <v>32700</v>
      </c>
      <c r="T3203" s="22" t="s">
        <v>5448</v>
      </c>
      <c r="U3203" s="1855" t="s">
        <v>8730</v>
      </c>
      <c r="V3203" s="22" t="s">
        <v>801</v>
      </c>
      <c r="W3203" s="2006" t="s">
        <v>802</v>
      </c>
      <c r="X3203" s="18"/>
      <c r="Y3203" s="4"/>
      <c r="Z3203" s="4"/>
    </row>
    <row r="3204" spans="1:26" ht="14.1" hidden="1">
      <c r="A3204" s="20">
        <v>3211</v>
      </c>
      <c r="B3204" s="1063">
        <v>42981</v>
      </c>
      <c r="C3204" s="934" t="s">
        <v>11327</v>
      </c>
      <c r="D3204" s="11" t="s">
        <v>6</v>
      </c>
      <c r="E3204" s="22" t="s">
        <v>166</v>
      </c>
      <c r="F3204" s="934" t="s">
        <v>2143</v>
      </c>
      <c r="G3204" s="204" t="s">
        <v>11328</v>
      </c>
      <c r="H3204" s="204" t="s">
        <v>5878</v>
      </c>
      <c r="I3204" s="204" t="s">
        <v>574</v>
      </c>
      <c r="J3204" s="204" t="s">
        <v>11329</v>
      </c>
      <c r="K3204" s="204" t="s">
        <v>11330</v>
      </c>
      <c r="L3204" s="204" t="s">
        <v>11331</v>
      </c>
      <c r="M3204" s="204">
        <v>3</v>
      </c>
      <c r="N3204" s="204">
        <v>1</v>
      </c>
      <c r="O3204" s="204">
        <v>3</v>
      </c>
      <c r="P3204" s="204">
        <v>0</v>
      </c>
      <c r="Q3204" s="572">
        <v>0</v>
      </c>
      <c r="R3204" s="1209">
        <v>11427</v>
      </c>
      <c r="S3204" s="1209">
        <f>R3204*O3204</f>
        <v>34281</v>
      </c>
      <c r="T3204" s="204" t="s">
        <v>5448</v>
      </c>
      <c r="U3204" s="1901" t="s">
        <v>5881</v>
      </c>
      <c r="V3204" s="572" t="s">
        <v>801</v>
      </c>
      <c r="W3204" s="681" t="s">
        <v>11332</v>
      </c>
      <c r="X3204" s="18"/>
      <c r="Y3204" s="4"/>
      <c r="Z3204" s="4"/>
    </row>
    <row r="3205" spans="1:26" ht="14.1" hidden="1">
      <c r="A3205" s="20">
        <v>3212</v>
      </c>
      <c r="B3205" s="1063">
        <v>42982</v>
      </c>
      <c r="C3205" s="934" t="s">
        <v>11333</v>
      </c>
      <c r="D3205" s="11" t="s">
        <v>6</v>
      </c>
      <c r="E3205" s="22" t="s">
        <v>166</v>
      </c>
      <c r="F3205" s="934" t="s">
        <v>2143</v>
      </c>
      <c r="G3205" s="204" t="s">
        <v>11334</v>
      </c>
      <c r="H3205" s="204" t="s">
        <v>11335</v>
      </c>
      <c r="I3205" s="204" t="s">
        <v>7690</v>
      </c>
      <c r="J3205" s="204">
        <v>38108725</v>
      </c>
      <c r="K3205" s="204" t="s">
        <v>11336</v>
      </c>
      <c r="L3205" s="204"/>
      <c r="M3205" s="204">
        <v>1</v>
      </c>
      <c r="N3205" s="204">
        <v>1</v>
      </c>
      <c r="O3205" s="204">
        <v>0</v>
      </c>
      <c r="P3205" s="204">
        <v>0</v>
      </c>
      <c r="Q3205" s="572">
        <v>0</v>
      </c>
      <c r="R3205" s="1209">
        <v>349</v>
      </c>
      <c r="S3205" s="1209">
        <v>349</v>
      </c>
      <c r="T3205" s="204" t="s">
        <v>311</v>
      </c>
      <c r="U3205" s="1901" t="s">
        <v>1</v>
      </c>
      <c r="V3205" s="572" t="s">
        <v>11337</v>
      </c>
      <c r="W3205" s="681"/>
      <c r="X3205" s="18" t="s">
        <v>11338</v>
      </c>
      <c r="Y3205" s="4"/>
      <c r="Z3205" s="4"/>
    </row>
    <row r="3206" spans="1:26" ht="14.1" hidden="1">
      <c r="A3206" s="20">
        <v>3213</v>
      </c>
      <c r="B3206" s="1063">
        <v>42983</v>
      </c>
      <c r="C3206" s="934" t="s">
        <v>11339</v>
      </c>
      <c r="D3206" s="11" t="s">
        <v>6</v>
      </c>
      <c r="E3206" s="22" t="s">
        <v>166</v>
      </c>
      <c r="F3206" s="934" t="s">
        <v>2143</v>
      </c>
      <c r="G3206" s="204" t="s">
        <v>11340</v>
      </c>
      <c r="H3206" s="204" t="s">
        <v>11341</v>
      </c>
      <c r="I3206" s="204" t="s">
        <v>7690</v>
      </c>
      <c r="J3206" s="204"/>
      <c r="K3206" s="204"/>
      <c r="L3206" s="204"/>
      <c r="M3206" s="204">
        <v>1</v>
      </c>
      <c r="N3206" s="204">
        <v>1</v>
      </c>
      <c r="O3206" s="204">
        <v>0</v>
      </c>
      <c r="P3206" s="204">
        <v>0</v>
      </c>
      <c r="Q3206" s="572">
        <v>0</v>
      </c>
      <c r="R3206" s="1209">
        <v>602</v>
      </c>
      <c r="S3206" s="1209">
        <v>602</v>
      </c>
      <c r="T3206" s="204" t="s">
        <v>11342</v>
      </c>
      <c r="U3206" s="1901" t="s">
        <v>1</v>
      </c>
      <c r="V3206" s="572" t="s">
        <v>11337</v>
      </c>
      <c r="W3206" s="681"/>
      <c r="X3206" s="18"/>
      <c r="Y3206" s="4"/>
      <c r="Z3206" s="4"/>
    </row>
    <row r="3207" spans="1:26" ht="14.1" hidden="1">
      <c r="A3207" s="20">
        <v>3214</v>
      </c>
      <c r="B3207" s="1063">
        <v>42984</v>
      </c>
      <c r="C3207" s="934" t="s">
        <v>11343</v>
      </c>
      <c r="D3207" s="11" t="s">
        <v>6</v>
      </c>
      <c r="E3207" s="204" t="s">
        <v>572</v>
      </c>
      <c r="F3207" s="934" t="s">
        <v>11344</v>
      </c>
      <c r="G3207" s="204" t="s">
        <v>11345</v>
      </c>
      <c r="H3207" s="204" t="s">
        <v>11346</v>
      </c>
      <c r="I3207" s="204" t="s">
        <v>39</v>
      </c>
      <c r="J3207" s="204" t="s">
        <v>11347</v>
      </c>
      <c r="K3207" s="204" t="s">
        <v>11348</v>
      </c>
      <c r="L3207" s="204" t="s">
        <v>11349</v>
      </c>
      <c r="M3207" s="204">
        <v>1</v>
      </c>
      <c r="N3207" s="204">
        <v>1</v>
      </c>
      <c r="O3207" s="204">
        <v>0</v>
      </c>
      <c r="P3207" s="204">
        <v>0</v>
      </c>
      <c r="Q3207" s="572">
        <v>0</v>
      </c>
      <c r="R3207" s="1209">
        <v>9980</v>
      </c>
      <c r="S3207" s="1209">
        <v>9980</v>
      </c>
      <c r="T3207" s="204" t="s">
        <v>11350</v>
      </c>
      <c r="U3207" s="1901" t="s">
        <v>11351</v>
      </c>
      <c r="V3207" s="572" t="s">
        <v>931</v>
      </c>
      <c r="W3207" s="804" t="s">
        <v>11352</v>
      </c>
      <c r="X3207" s="18"/>
      <c r="Y3207" s="4"/>
      <c r="Z3207" s="4"/>
    </row>
    <row r="3208" spans="1:26" ht="14.1" hidden="1">
      <c r="A3208" s="20">
        <v>3215</v>
      </c>
      <c r="B3208" s="1063">
        <v>42985</v>
      </c>
      <c r="C3208" s="948" t="s">
        <v>11353</v>
      </c>
      <c r="D3208" s="11" t="s">
        <v>6</v>
      </c>
      <c r="E3208" s="204" t="s">
        <v>572</v>
      </c>
      <c r="F3208" s="948" t="s">
        <v>1398</v>
      </c>
      <c r="G3208" s="196" t="s">
        <v>11354</v>
      </c>
      <c r="H3208" s="196" t="s">
        <v>220</v>
      </c>
      <c r="I3208" s="196" t="s">
        <v>281</v>
      </c>
      <c r="J3208" s="196" t="s">
        <v>11355</v>
      </c>
      <c r="K3208" s="196" t="s">
        <v>1812</v>
      </c>
      <c r="L3208" s="369"/>
      <c r="M3208" s="196">
        <v>30</v>
      </c>
      <c r="N3208" s="196">
        <v>10</v>
      </c>
      <c r="O3208" s="196">
        <v>30</v>
      </c>
      <c r="P3208" s="196">
        <v>0</v>
      </c>
      <c r="Q3208" s="196">
        <v>30</v>
      </c>
      <c r="R3208" s="1247">
        <v>8.1</v>
      </c>
      <c r="S3208" s="1247">
        <v>243</v>
      </c>
      <c r="T3208" s="196" t="s">
        <v>4669</v>
      </c>
      <c r="U3208" s="375"/>
      <c r="V3208" s="196" t="s">
        <v>352</v>
      </c>
      <c r="W3208" s="2111" t="s">
        <v>11356</v>
      </c>
      <c r="X3208" s="18"/>
      <c r="Y3208" s="4"/>
      <c r="Z3208" s="4"/>
    </row>
    <row r="3209" spans="1:26" ht="14.1" hidden="1">
      <c r="A3209" s="20">
        <v>3216</v>
      </c>
      <c r="B3209" s="1063">
        <v>42986</v>
      </c>
      <c r="C3209" s="948" t="s">
        <v>11357</v>
      </c>
      <c r="D3209" s="11" t="s">
        <v>6</v>
      </c>
      <c r="E3209" s="204" t="s">
        <v>572</v>
      </c>
      <c r="F3209" s="948" t="s">
        <v>1398</v>
      </c>
      <c r="G3209" s="196" t="s">
        <v>11354</v>
      </c>
      <c r="H3209" s="196" t="s">
        <v>220</v>
      </c>
      <c r="I3209" s="196" t="s">
        <v>281</v>
      </c>
      <c r="J3209" s="196" t="s">
        <v>11358</v>
      </c>
      <c r="K3209" s="196" t="s">
        <v>1815</v>
      </c>
      <c r="L3209" s="369"/>
      <c r="M3209" s="196">
        <v>30</v>
      </c>
      <c r="N3209" s="196">
        <v>10</v>
      </c>
      <c r="O3209" s="196">
        <v>30</v>
      </c>
      <c r="P3209" s="196">
        <v>0</v>
      </c>
      <c r="Q3209" s="196">
        <v>30</v>
      </c>
      <c r="R3209" s="1247">
        <v>9</v>
      </c>
      <c r="S3209" s="1247">
        <v>270</v>
      </c>
      <c r="T3209" s="196" t="s">
        <v>4669</v>
      </c>
      <c r="U3209" s="375"/>
      <c r="V3209" s="196" t="s">
        <v>352</v>
      </c>
      <c r="W3209" s="2111" t="s">
        <v>11359</v>
      </c>
      <c r="X3209" s="18"/>
      <c r="Y3209" s="4"/>
      <c r="Z3209" s="4"/>
    </row>
    <row r="3210" spans="1:26" ht="14.1" hidden="1">
      <c r="A3210" s="20">
        <v>3217</v>
      </c>
      <c r="B3210" s="1063">
        <v>42987</v>
      </c>
      <c r="C3210" s="948" t="s">
        <v>11360</v>
      </c>
      <c r="D3210" s="11" t="s">
        <v>6</v>
      </c>
      <c r="E3210" s="204" t="s">
        <v>572</v>
      </c>
      <c r="F3210" s="948" t="s">
        <v>1398</v>
      </c>
      <c r="G3210" s="196" t="s">
        <v>11354</v>
      </c>
      <c r="H3210" s="196" t="s">
        <v>220</v>
      </c>
      <c r="I3210" s="196" t="s">
        <v>281</v>
      </c>
      <c r="J3210" s="196" t="s">
        <v>11361</v>
      </c>
      <c r="K3210" s="196" t="s">
        <v>11362</v>
      </c>
      <c r="L3210" s="369"/>
      <c r="M3210" s="196">
        <v>30</v>
      </c>
      <c r="N3210" s="196">
        <v>10</v>
      </c>
      <c r="O3210" s="196">
        <v>30</v>
      </c>
      <c r="P3210" s="196">
        <v>0</v>
      </c>
      <c r="Q3210" s="196">
        <v>30</v>
      </c>
      <c r="R3210" s="1247">
        <v>17.600000000000001</v>
      </c>
      <c r="S3210" s="1247">
        <v>528</v>
      </c>
      <c r="T3210" s="196" t="s">
        <v>4669</v>
      </c>
      <c r="U3210" s="375"/>
      <c r="V3210" s="196" t="s">
        <v>352</v>
      </c>
      <c r="W3210" s="2111" t="s">
        <v>11363</v>
      </c>
      <c r="X3210" s="18"/>
      <c r="Y3210" s="4"/>
      <c r="Z3210" s="4"/>
    </row>
    <row r="3211" spans="1:26" ht="14.1" hidden="1">
      <c r="A3211" s="20">
        <v>3218</v>
      </c>
      <c r="B3211" s="1063">
        <v>42988</v>
      </c>
      <c r="C3211" s="948" t="s">
        <v>11364</v>
      </c>
      <c r="D3211" s="11" t="s">
        <v>6</v>
      </c>
      <c r="E3211" s="204" t="s">
        <v>572</v>
      </c>
      <c r="F3211" s="948" t="s">
        <v>1398</v>
      </c>
      <c r="G3211" s="196" t="s">
        <v>11354</v>
      </c>
      <c r="H3211" s="196" t="s">
        <v>220</v>
      </c>
      <c r="I3211" s="196" t="s">
        <v>281</v>
      </c>
      <c r="J3211" s="196" t="s">
        <v>11365</v>
      </c>
      <c r="K3211" s="196" t="s">
        <v>11366</v>
      </c>
      <c r="L3211" s="369"/>
      <c r="M3211" s="196">
        <v>30</v>
      </c>
      <c r="N3211" s="196">
        <v>10</v>
      </c>
      <c r="O3211" s="196">
        <v>30</v>
      </c>
      <c r="P3211" s="196">
        <v>0</v>
      </c>
      <c r="Q3211" s="196">
        <v>30</v>
      </c>
      <c r="R3211" s="1247">
        <v>20.9</v>
      </c>
      <c r="S3211" s="1247">
        <v>627</v>
      </c>
      <c r="T3211" s="196" t="s">
        <v>4669</v>
      </c>
      <c r="U3211" s="375"/>
      <c r="V3211" s="196" t="s">
        <v>352</v>
      </c>
      <c r="W3211" s="2111" t="s">
        <v>11367</v>
      </c>
      <c r="X3211" s="18"/>
      <c r="Y3211" s="4"/>
      <c r="Z3211" s="4"/>
    </row>
    <row r="3212" spans="1:26" ht="14.1" hidden="1">
      <c r="A3212" s="20">
        <v>3219</v>
      </c>
      <c r="B3212" s="1063">
        <v>42989</v>
      </c>
      <c r="C3212" s="948" t="s">
        <v>11368</v>
      </c>
      <c r="D3212" s="11" t="s">
        <v>6</v>
      </c>
      <c r="E3212" s="204" t="s">
        <v>572</v>
      </c>
      <c r="F3212" s="948" t="s">
        <v>1398</v>
      </c>
      <c r="G3212" s="369" t="s">
        <v>11369</v>
      </c>
      <c r="H3212" s="196" t="s">
        <v>220</v>
      </c>
      <c r="I3212" s="196" t="s">
        <v>281</v>
      </c>
      <c r="J3212" s="196" t="s">
        <v>11370</v>
      </c>
      <c r="K3212" s="196" t="s">
        <v>11371</v>
      </c>
      <c r="L3212" s="369"/>
      <c r="M3212" s="196">
        <v>100</v>
      </c>
      <c r="N3212" s="196">
        <v>100</v>
      </c>
      <c r="O3212" s="196">
        <v>100</v>
      </c>
      <c r="P3212" s="196">
        <v>0</v>
      </c>
      <c r="Q3212" s="196">
        <v>100</v>
      </c>
      <c r="R3212" s="1247">
        <v>3.01</v>
      </c>
      <c r="S3212" s="1247">
        <v>301</v>
      </c>
      <c r="T3212" s="196" t="s">
        <v>4669</v>
      </c>
      <c r="U3212" s="375"/>
      <c r="V3212" s="196" t="s">
        <v>352</v>
      </c>
      <c r="W3212" s="2111" t="s">
        <v>11372</v>
      </c>
      <c r="X3212" s="18"/>
      <c r="Y3212" s="4"/>
      <c r="Z3212" s="4"/>
    </row>
    <row r="3213" spans="1:26" ht="14.1" hidden="1">
      <c r="A3213" s="20">
        <v>3220</v>
      </c>
      <c r="B3213" s="1063">
        <v>42990</v>
      </c>
      <c r="C3213" s="973" t="s">
        <v>11373</v>
      </c>
      <c r="D3213" s="11" t="s">
        <v>6</v>
      </c>
      <c r="E3213" s="204" t="s">
        <v>572</v>
      </c>
      <c r="F3213" s="948" t="s">
        <v>1398</v>
      </c>
      <c r="G3213" s="370" t="s">
        <v>11374</v>
      </c>
      <c r="H3213" s="370" t="s">
        <v>1478</v>
      </c>
      <c r="I3213" s="370" t="s">
        <v>4804</v>
      </c>
      <c r="J3213" s="196" t="s">
        <v>11375</v>
      </c>
      <c r="K3213" s="196" t="s">
        <v>11376</v>
      </c>
      <c r="L3213" s="196" t="s">
        <v>11377</v>
      </c>
      <c r="M3213" s="196">
        <v>20</v>
      </c>
      <c r="N3213" s="196">
        <v>25</v>
      </c>
      <c r="O3213" s="196">
        <v>25</v>
      </c>
      <c r="P3213" s="196">
        <v>0</v>
      </c>
      <c r="Q3213" s="196">
        <v>25</v>
      </c>
      <c r="R3213" s="1247">
        <v>100</v>
      </c>
      <c r="S3213" s="1247">
        <v>100</v>
      </c>
      <c r="T3213" s="196" t="s">
        <v>4669</v>
      </c>
      <c r="U3213" s="375"/>
      <c r="V3213" s="196" t="s">
        <v>352</v>
      </c>
      <c r="W3213" s="2112" t="s">
        <v>11378</v>
      </c>
      <c r="X3213" s="18"/>
      <c r="Y3213" s="4"/>
      <c r="Z3213" s="4"/>
    </row>
    <row r="3214" spans="1:26" ht="14.1" hidden="1">
      <c r="A3214" s="20">
        <v>3221</v>
      </c>
      <c r="B3214" s="1063">
        <v>42991</v>
      </c>
      <c r="C3214" s="974" t="s">
        <v>11379</v>
      </c>
      <c r="D3214" s="11" t="s">
        <v>6</v>
      </c>
      <c r="E3214" s="204" t="s">
        <v>572</v>
      </c>
      <c r="F3214" s="948" t="s">
        <v>1398</v>
      </c>
      <c r="G3214" s="369" t="s">
        <v>11380</v>
      </c>
      <c r="H3214" s="369" t="s">
        <v>11381</v>
      </c>
      <c r="I3214" s="370" t="s">
        <v>4804</v>
      </c>
      <c r="J3214" s="196" t="s">
        <v>11382</v>
      </c>
      <c r="K3214" s="196" t="s">
        <v>11383</v>
      </c>
      <c r="L3214" s="196"/>
      <c r="M3214" s="196">
        <v>3</v>
      </c>
      <c r="N3214" s="196">
        <v>1</v>
      </c>
      <c r="O3214" s="196">
        <v>3</v>
      </c>
      <c r="P3214" s="196">
        <v>0</v>
      </c>
      <c r="Q3214" s="196">
        <v>3</v>
      </c>
      <c r="R3214" s="1247">
        <v>620</v>
      </c>
      <c r="S3214" s="1247">
        <v>1860</v>
      </c>
      <c r="T3214" s="196" t="s">
        <v>4669</v>
      </c>
      <c r="U3214" s="375"/>
      <c r="V3214" s="196" t="s">
        <v>352</v>
      </c>
      <c r="W3214" s="2294" t="s">
        <v>11384</v>
      </c>
      <c r="X3214" s="18"/>
      <c r="Y3214" s="4"/>
      <c r="Z3214" s="4"/>
    </row>
    <row r="3215" spans="1:26" ht="14.1" hidden="1">
      <c r="A3215" s="20">
        <v>3222</v>
      </c>
      <c r="B3215" s="1063">
        <v>42992</v>
      </c>
      <c r="C3215" s="948" t="s">
        <v>11385</v>
      </c>
      <c r="D3215" s="11" t="s">
        <v>6</v>
      </c>
      <c r="E3215" s="204" t="s">
        <v>572</v>
      </c>
      <c r="F3215" s="948" t="s">
        <v>1398</v>
      </c>
      <c r="G3215" s="196" t="s">
        <v>2709</v>
      </c>
      <c r="H3215" s="196" t="s">
        <v>11386</v>
      </c>
      <c r="I3215" s="196" t="s">
        <v>11387</v>
      </c>
      <c r="J3215" s="196" t="s">
        <v>11385</v>
      </c>
      <c r="K3215" s="196" t="s">
        <v>11385</v>
      </c>
      <c r="L3215" s="196" t="s">
        <v>11388</v>
      </c>
      <c r="M3215" s="196">
        <v>20</v>
      </c>
      <c r="N3215" s="196">
        <v>1</v>
      </c>
      <c r="O3215" s="196">
        <v>20</v>
      </c>
      <c r="P3215" s="196">
        <v>0</v>
      </c>
      <c r="Q3215" s="196">
        <v>20</v>
      </c>
      <c r="R3215" s="1247">
        <v>632.428</v>
      </c>
      <c r="S3215" s="1247">
        <v>12648.56</v>
      </c>
      <c r="T3215" s="196" t="s">
        <v>4669</v>
      </c>
      <c r="U3215" s="375"/>
      <c r="V3215" s="196" t="s">
        <v>352</v>
      </c>
      <c r="W3215" s="2111" t="s">
        <v>11389</v>
      </c>
      <c r="X3215" s="18"/>
      <c r="Y3215" s="4"/>
      <c r="Z3215" s="4"/>
    </row>
    <row r="3216" spans="1:26" ht="14.1" hidden="1">
      <c r="A3216" s="20">
        <v>3223</v>
      </c>
      <c r="B3216" s="1063">
        <v>42993</v>
      </c>
      <c r="C3216" s="934" t="s">
        <v>11390</v>
      </c>
      <c r="D3216" s="11"/>
      <c r="E3216" s="22" t="s">
        <v>166</v>
      </c>
      <c r="F3216" s="934" t="s">
        <v>11391</v>
      </c>
      <c r="G3216" s="204" t="s">
        <v>11392</v>
      </c>
      <c r="H3216" s="204" t="s">
        <v>1073</v>
      </c>
      <c r="I3216" s="204" t="s">
        <v>281</v>
      </c>
      <c r="J3216" s="371" t="s">
        <v>11393</v>
      </c>
      <c r="K3216" s="204" t="s">
        <v>11394</v>
      </c>
      <c r="L3216" s="204" t="s">
        <v>1256</v>
      </c>
      <c r="M3216" s="204">
        <v>1</v>
      </c>
      <c r="N3216" s="204">
        <v>1</v>
      </c>
      <c r="O3216" s="204">
        <v>3</v>
      </c>
      <c r="P3216" s="204">
        <v>0</v>
      </c>
      <c r="Q3216" s="572">
        <v>2</v>
      </c>
      <c r="R3216" s="1209">
        <v>767</v>
      </c>
      <c r="S3216" s="1209">
        <v>2301</v>
      </c>
      <c r="T3216" s="204" t="s">
        <v>11395</v>
      </c>
      <c r="U3216" s="1901"/>
      <c r="V3216" s="572"/>
      <c r="W3216" s="2113" t="s">
        <v>11396</v>
      </c>
      <c r="X3216" s="18"/>
      <c r="Y3216" s="4"/>
      <c r="Z3216" s="4"/>
    </row>
    <row r="3217" spans="1:26" ht="14.1" hidden="1">
      <c r="A3217" s="20">
        <v>3224</v>
      </c>
      <c r="B3217" s="1063">
        <v>42994</v>
      </c>
      <c r="C3217" s="934" t="s">
        <v>11390</v>
      </c>
      <c r="D3217" s="11"/>
      <c r="E3217" s="22" t="s">
        <v>166</v>
      </c>
      <c r="F3217" s="934" t="s">
        <v>11391</v>
      </c>
      <c r="G3217" s="204" t="s">
        <v>11392</v>
      </c>
      <c r="H3217" s="204" t="s">
        <v>1073</v>
      </c>
      <c r="I3217" s="204" t="s">
        <v>281</v>
      </c>
      <c r="J3217" s="371" t="s">
        <v>11393</v>
      </c>
      <c r="K3217" s="204" t="s">
        <v>11394</v>
      </c>
      <c r="L3217" s="204" t="s">
        <v>1256</v>
      </c>
      <c r="M3217" s="204">
        <v>4</v>
      </c>
      <c r="N3217" s="204">
        <v>1</v>
      </c>
      <c r="O3217" s="204">
        <v>3</v>
      </c>
      <c r="P3217" s="204">
        <v>2</v>
      </c>
      <c r="Q3217" s="572">
        <v>1</v>
      </c>
      <c r="R3217" s="1209">
        <v>767</v>
      </c>
      <c r="S3217" s="1209">
        <v>2301</v>
      </c>
      <c r="T3217" s="204" t="s">
        <v>11395</v>
      </c>
      <c r="U3217" s="1901"/>
      <c r="V3217" s="572"/>
      <c r="W3217" s="2113" t="s">
        <v>11396</v>
      </c>
      <c r="X3217" s="18"/>
      <c r="Y3217" s="4"/>
      <c r="Z3217" s="4"/>
    </row>
    <row r="3218" spans="1:26" ht="14.1" hidden="1">
      <c r="A3218" s="20">
        <v>3225</v>
      </c>
      <c r="B3218" s="1063">
        <v>42995</v>
      </c>
      <c r="C3218" s="934" t="s">
        <v>11397</v>
      </c>
      <c r="D3218" s="11"/>
      <c r="E3218" s="204" t="s">
        <v>4951</v>
      </c>
      <c r="F3218" s="934" t="s">
        <v>2006</v>
      </c>
      <c r="G3218" s="204" t="s">
        <v>11398</v>
      </c>
      <c r="H3218" s="204" t="s">
        <v>11399</v>
      </c>
      <c r="I3218" s="204" t="s">
        <v>4634</v>
      </c>
      <c r="J3218" s="204" t="s">
        <v>11400</v>
      </c>
      <c r="K3218" s="204" t="s">
        <v>11401</v>
      </c>
      <c r="L3218" s="204" t="s">
        <v>3362</v>
      </c>
      <c r="M3218" s="204">
        <v>1</v>
      </c>
      <c r="N3218" s="204">
        <v>1</v>
      </c>
      <c r="O3218" s="204">
        <v>1</v>
      </c>
      <c r="P3218" s="204">
        <v>0</v>
      </c>
      <c r="Q3218" s="572">
        <v>0</v>
      </c>
      <c r="R3218" s="1209">
        <v>28111</v>
      </c>
      <c r="S3218" s="1209">
        <v>28111</v>
      </c>
      <c r="T3218" s="204" t="s">
        <v>11402</v>
      </c>
      <c r="U3218" s="1901"/>
      <c r="V3218" s="572" t="s">
        <v>352</v>
      </c>
      <c r="W3218" s="681" t="s">
        <v>11403</v>
      </c>
      <c r="X3218" s="18"/>
      <c r="Y3218" s="4"/>
      <c r="Z3218" s="4"/>
    </row>
    <row r="3219" spans="1:26" ht="14.1" hidden="1">
      <c r="A3219" s="20">
        <v>3226</v>
      </c>
      <c r="B3219" s="1063">
        <v>42996</v>
      </c>
      <c r="C3219" s="934" t="s">
        <v>11404</v>
      </c>
      <c r="D3219" s="11"/>
      <c r="E3219" s="22" t="s">
        <v>166</v>
      </c>
      <c r="F3219" s="934" t="s">
        <v>11405</v>
      </c>
      <c r="G3219" s="204" t="s">
        <v>11406</v>
      </c>
      <c r="H3219" s="204" t="s">
        <v>11407</v>
      </c>
      <c r="I3219" s="204" t="s">
        <v>11408</v>
      </c>
      <c r="J3219" s="189" t="s">
        <v>11409</v>
      </c>
      <c r="K3219" s="204"/>
      <c r="L3219" s="204"/>
      <c r="M3219" s="204">
        <v>100</v>
      </c>
      <c r="N3219" s="204">
        <v>100</v>
      </c>
      <c r="O3219" s="204">
        <v>100</v>
      </c>
      <c r="P3219" s="204">
        <v>0</v>
      </c>
      <c r="Q3219" s="572">
        <v>0</v>
      </c>
      <c r="R3219" s="1209" t="s">
        <v>11410</v>
      </c>
      <c r="S3219" s="1209" t="s">
        <v>11410</v>
      </c>
      <c r="T3219" s="204" t="s">
        <v>11411</v>
      </c>
      <c r="U3219" s="1901" t="s">
        <v>11412</v>
      </c>
      <c r="V3219" s="572" t="s">
        <v>352</v>
      </c>
      <c r="W3219" s="681" t="s">
        <v>11413</v>
      </c>
      <c r="X3219" s="18"/>
      <c r="Y3219" s="4"/>
      <c r="Z3219" s="4"/>
    </row>
    <row r="3220" spans="1:26" ht="15" hidden="1">
      <c r="A3220" s="20">
        <v>3227</v>
      </c>
      <c r="B3220" s="1063">
        <v>42997</v>
      </c>
      <c r="C3220" s="934" t="s">
        <v>11414</v>
      </c>
      <c r="D3220" s="11" t="s">
        <v>6</v>
      </c>
      <c r="E3220" s="204" t="s">
        <v>4951</v>
      </c>
      <c r="F3220" s="934" t="s">
        <v>11323</v>
      </c>
      <c r="G3220" s="204" t="s">
        <v>11414</v>
      </c>
      <c r="H3220" s="204" t="s">
        <v>1063</v>
      </c>
      <c r="I3220" s="204" t="s">
        <v>4804</v>
      </c>
      <c r="J3220" s="204" t="s">
        <v>11415</v>
      </c>
      <c r="K3220" s="372" t="s">
        <v>11416</v>
      </c>
      <c r="L3220" s="204"/>
      <c r="M3220" s="204">
        <v>1</v>
      </c>
      <c r="N3220" s="204">
        <v>1</v>
      </c>
      <c r="O3220" s="204">
        <v>3</v>
      </c>
      <c r="P3220" s="204">
        <v>0</v>
      </c>
      <c r="Q3220" s="572">
        <v>3</v>
      </c>
      <c r="R3220" s="1209"/>
      <c r="S3220" s="1209">
        <v>1500</v>
      </c>
      <c r="T3220" s="204" t="s">
        <v>311</v>
      </c>
      <c r="U3220" s="1901"/>
      <c r="V3220" s="572" t="s">
        <v>352</v>
      </c>
      <c r="W3220" s="681" t="s">
        <v>11417</v>
      </c>
      <c r="X3220" s="18"/>
      <c r="Y3220" s="4"/>
      <c r="Z3220" s="4"/>
    </row>
    <row r="3221" spans="1:26" ht="15" hidden="1">
      <c r="A3221" s="20">
        <v>3228</v>
      </c>
      <c r="B3221" s="1063">
        <v>42998</v>
      </c>
      <c r="C3221" s="934" t="s">
        <v>11418</v>
      </c>
      <c r="D3221" s="11" t="s">
        <v>6</v>
      </c>
      <c r="E3221" s="204" t="s">
        <v>4951</v>
      </c>
      <c r="F3221" s="934" t="s">
        <v>11323</v>
      </c>
      <c r="G3221" s="204" t="s">
        <v>11419</v>
      </c>
      <c r="H3221" s="373" t="s">
        <v>1063</v>
      </c>
      <c r="I3221" s="204" t="s">
        <v>4804</v>
      </c>
      <c r="J3221" s="204" t="s">
        <v>11420</v>
      </c>
      <c r="K3221" s="322" t="s">
        <v>11421</v>
      </c>
      <c r="L3221" s="204"/>
      <c r="M3221" s="204">
        <v>1</v>
      </c>
      <c r="N3221" s="204">
        <v>1</v>
      </c>
      <c r="O3221" s="204">
        <v>3</v>
      </c>
      <c r="P3221" s="204">
        <v>0</v>
      </c>
      <c r="Q3221" s="572">
        <v>3</v>
      </c>
      <c r="R3221" s="1209"/>
      <c r="S3221" s="1209">
        <v>1440</v>
      </c>
      <c r="T3221" s="204" t="s">
        <v>311</v>
      </c>
      <c r="U3221" s="1901"/>
      <c r="V3221" s="572" t="s">
        <v>352</v>
      </c>
      <c r="W3221" s="681" t="s">
        <v>11422</v>
      </c>
      <c r="X3221" s="18"/>
      <c r="Y3221" s="4"/>
      <c r="Z3221" s="4"/>
    </row>
    <row r="3222" spans="1:26" ht="15" hidden="1">
      <c r="A3222" s="20">
        <v>3229</v>
      </c>
      <c r="B3222" s="1063">
        <v>42999</v>
      </c>
      <c r="C3222" s="934" t="s">
        <v>11423</v>
      </c>
      <c r="D3222" s="11" t="s">
        <v>6</v>
      </c>
      <c r="E3222" s="204" t="s">
        <v>4951</v>
      </c>
      <c r="F3222" s="934" t="s">
        <v>11323</v>
      </c>
      <c r="G3222" s="204" t="s">
        <v>11424</v>
      </c>
      <c r="H3222" s="204" t="s">
        <v>1478</v>
      </c>
      <c r="I3222" s="204" t="s">
        <v>4804</v>
      </c>
      <c r="J3222" s="204" t="s">
        <v>11425</v>
      </c>
      <c r="K3222" s="372" t="s">
        <v>11426</v>
      </c>
      <c r="L3222" s="204"/>
      <c r="M3222" s="204">
        <v>4</v>
      </c>
      <c r="N3222" s="204">
        <v>1</v>
      </c>
      <c r="O3222" s="204">
        <v>6</v>
      </c>
      <c r="P3222" s="204">
        <v>0</v>
      </c>
      <c r="Q3222" s="572">
        <v>6</v>
      </c>
      <c r="R3222" s="1209"/>
      <c r="S3222" s="1209">
        <v>480</v>
      </c>
      <c r="T3222" s="204" t="s">
        <v>311</v>
      </c>
      <c r="U3222" s="1901"/>
      <c r="V3222" s="572" t="s">
        <v>352</v>
      </c>
      <c r="W3222" s="681" t="s">
        <v>11427</v>
      </c>
      <c r="X3222" s="18"/>
      <c r="Y3222" s="4"/>
      <c r="Z3222" s="4"/>
    </row>
    <row r="3223" spans="1:26" ht="15" hidden="1">
      <c r="A3223" s="20">
        <v>3230</v>
      </c>
      <c r="B3223" s="1063">
        <v>43000</v>
      </c>
      <c r="C3223" s="934" t="s">
        <v>11428</v>
      </c>
      <c r="D3223" s="11" t="s">
        <v>6</v>
      </c>
      <c r="E3223" s="204" t="s">
        <v>4951</v>
      </c>
      <c r="F3223" s="934" t="s">
        <v>11323</v>
      </c>
      <c r="G3223" s="204" t="s">
        <v>11429</v>
      </c>
      <c r="H3223" s="204" t="s">
        <v>1478</v>
      </c>
      <c r="I3223" s="204" t="s">
        <v>4804</v>
      </c>
      <c r="J3223" s="204" t="s">
        <v>11430</v>
      </c>
      <c r="K3223" s="372" t="s">
        <v>11431</v>
      </c>
      <c r="L3223" s="204"/>
      <c r="M3223" s="204">
        <v>4</v>
      </c>
      <c r="N3223" s="204">
        <v>1</v>
      </c>
      <c r="O3223" s="204">
        <v>6</v>
      </c>
      <c r="P3223" s="204">
        <v>0</v>
      </c>
      <c r="Q3223" s="572">
        <v>6</v>
      </c>
      <c r="R3223" s="1209"/>
      <c r="S3223" s="1209">
        <v>240</v>
      </c>
      <c r="T3223" s="204" t="s">
        <v>311</v>
      </c>
      <c r="U3223" s="1901"/>
      <c r="V3223" s="572" t="s">
        <v>352</v>
      </c>
      <c r="W3223" s="681" t="s">
        <v>11432</v>
      </c>
      <c r="X3223" s="18"/>
      <c r="Y3223" s="4"/>
      <c r="Z3223" s="4"/>
    </row>
    <row r="3224" spans="1:26" ht="14.1" hidden="1">
      <c r="A3224" s="20">
        <v>3231</v>
      </c>
      <c r="B3224" s="1063">
        <v>43001</v>
      </c>
      <c r="C3224" s="934" t="s">
        <v>11433</v>
      </c>
      <c r="D3224" s="11" t="s">
        <v>6</v>
      </c>
      <c r="E3224" s="204" t="s">
        <v>166</v>
      </c>
      <c r="F3224" s="934" t="s">
        <v>11434</v>
      </c>
      <c r="G3224" s="204" t="s">
        <v>11435</v>
      </c>
      <c r="H3224" s="204" t="s">
        <v>8535</v>
      </c>
      <c r="I3224" s="204" t="s">
        <v>113</v>
      </c>
      <c r="J3224" s="204">
        <v>37597061</v>
      </c>
      <c r="K3224" s="204"/>
      <c r="L3224" s="204"/>
      <c r="M3224" s="204">
        <v>1</v>
      </c>
      <c r="N3224" s="204">
        <v>1</v>
      </c>
      <c r="O3224" s="204">
        <v>1</v>
      </c>
      <c r="P3224" s="204">
        <v>0</v>
      </c>
      <c r="Q3224" s="572">
        <v>1</v>
      </c>
      <c r="R3224" s="1209" t="s">
        <v>11436</v>
      </c>
      <c r="S3224" s="1209"/>
      <c r="T3224" s="204" t="s">
        <v>9485</v>
      </c>
      <c r="U3224" s="1901" t="s">
        <v>3282</v>
      </c>
      <c r="V3224" s="572" t="s">
        <v>352</v>
      </c>
      <c r="W3224" s="681" t="s">
        <v>11437</v>
      </c>
      <c r="X3224" s="18"/>
      <c r="Y3224" s="4"/>
      <c r="Z3224" s="4"/>
    </row>
    <row r="3225" spans="1:26" ht="14.45" hidden="1">
      <c r="A3225" s="20">
        <v>3232</v>
      </c>
      <c r="B3225" s="1063">
        <v>43002</v>
      </c>
      <c r="C3225" s="970" t="s">
        <v>10127</v>
      </c>
      <c r="D3225" s="374"/>
      <c r="E3225" s="717"/>
      <c r="F3225" s="970" t="s">
        <v>11438</v>
      </c>
      <c r="G3225" s="674" t="s">
        <v>5197</v>
      </c>
      <c r="H3225" s="676" t="s">
        <v>2416</v>
      </c>
      <c r="I3225" s="674" t="s">
        <v>281</v>
      </c>
      <c r="J3225" s="674" t="s">
        <v>5198</v>
      </c>
      <c r="K3225" s="674" t="s">
        <v>2417</v>
      </c>
      <c r="L3225" s="674" t="s">
        <v>5199</v>
      </c>
      <c r="M3225" s="674">
        <v>3</v>
      </c>
      <c r="N3225" s="717">
        <v>1</v>
      </c>
      <c r="O3225" s="717">
        <v>1</v>
      </c>
      <c r="P3225" s="717">
        <v>2</v>
      </c>
      <c r="Q3225" s="718">
        <v>3</v>
      </c>
      <c r="R3225" s="1303">
        <v>2231</v>
      </c>
      <c r="S3225" s="1287">
        <v>2231</v>
      </c>
      <c r="T3225" s="717" t="s">
        <v>9485</v>
      </c>
      <c r="U3225" s="1927" t="s">
        <v>448</v>
      </c>
      <c r="V3225" s="718" t="s">
        <v>352</v>
      </c>
      <c r="W3225" s="721" t="s">
        <v>2418</v>
      </c>
      <c r="X3225" s="56"/>
      <c r="Y3225" s="57"/>
      <c r="Z3225" s="57"/>
    </row>
    <row r="3226" spans="1:26" ht="14.45" hidden="1">
      <c r="A3226" s="20">
        <v>3233</v>
      </c>
      <c r="B3226" s="1063">
        <v>43003</v>
      </c>
      <c r="C3226" s="970" t="s">
        <v>10125</v>
      </c>
      <c r="D3226" s="374"/>
      <c r="E3226" s="717"/>
      <c r="F3226" s="970" t="s">
        <v>11438</v>
      </c>
      <c r="G3226" s="674" t="s">
        <v>5685</v>
      </c>
      <c r="H3226" s="676" t="s">
        <v>5686</v>
      </c>
      <c r="I3226" s="674" t="s">
        <v>574</v>
      </c>
      <c r="J3226" s="674" t="s">
        <v>5687</v>
      </c>
      <c r="K3226" s="674" t="s">
        <v>299</v>
      </c>
      <c r="L3226" s="674" t="s">
        <v>5416</v>
      </c>
      <c r="M3226" s="674">
        <v>6</v>
      </c>
      <c r="N3226" s="717">
        <v>1</v>
      </c>
      <c r="O3226" s="717">
        <v>2</v>
      </c>
      <c r="P3226" s="717">
        <v>4</v>
      </c>
      <c r="Q3226" s="718">
        <v>6</v>
      </c>
      <c r="R3226" s="1303">
        <v>153.6</v>
      </c>
      <c r="S3226" s="1287">
        <v>308</v>
      </c>
      <c r="T3226" s="717" t="s">
        <v>9485</v>
      </c>
      <c r="U3226" s="1927" t="s">
        <v>448</v>
      </c>
      <c r="V3226" s="718" t="s">
        <v>352</v>
      </c>
      <c r="W3226" s="721" t="s">
        <v>10126</v>
      </c>
      <c r="X3226" s="56"/>
      <c r="Y3226" s="57"/>
      <c r="Z3226" s="57"/>
    </row>
    <row r="3227" spans="1:26" ht="14.45" hidden="1">
      <c r="A3227" s="20">
        <v>3234</v>
      </c>
      <c r="B3227" s="1063">
        <v>43004</v>
      </c>
      <c r="C3227" s="970" t="s">
        <v>11439</v>
      </c>
      <c r="D3227" s="374"/>
      <c r="E3227" s="717"/>
      <c r="F3227" s="970" t="s">
        <v>11438</v>
      </c>
      <c r="G3227" s="674" t="s">
        <v>4547</v>
      </c>
      <c r="H3227" s="676" t="s">
        <v>7942</v>
      </c>
      <c r="I3227" s="674" t="s">
        <v>574</v>
      </c>
      <c r="J3227" s="674" t="s">
        <v>4548</v>
      </c>
      <c r="K3227" s="674" t="s">
        <v>4549</v>
      </c>
      <c r="L3227" s="717"/>
      <c r="M3227" s="674">
        <v>50</v>
      </c>
      <c r="N3227" s="717">
        <v>1</v>
      </c>
      <c r="O3227" s="717">
        <v>32</v>
      </c>
      <c r="P3227" s="717">
        <v>18</v>
      </c>
      <c r="Q3227" s="718">
        <v>50</v>
      </c>
      <c r="R3227" s="1303">
        <v>3.46</v>
      </c>
      <c r="S3227" s="1287">
        <v>96</v>
      </c>
      <c r="T3227" s="717" t="s">
        <v>9485</v>
      </c>
      <c r="U3227" s="1927" t="s">
        <v>448</v>
      </c>
      <c r="V3227" s="718" t="s">
        <v>352</v>
      </c>
      <c r="W3227" s="721" t="s">
        <v>10210</v>
      </c>
      <c r="X3227" s="56"/>
      <c r="Y3227" s="57"/>
      <c r="Z3227" s="57"/>
    </row>
    <row r="3228" spans="1:26" ht="14.45" hidden="1">
      <c r="A3228" s="20">
        <v>3235</v>
      </c>
      <c r="B3228" s="1063">
        <v>43005</v>
      </c>
      <c r="C3228" s="970" t="s">
        <v>5992</v>
      </c>
      <c r="D3228" s="374"/>
      <c r="E3228" s="717"/>
      <c r="F3228" s="970" t="s">
        <v>11438</v>
      </c>
      <c r="G3228" s="722" t="s">
        <v>5993</v>
      </c>
      <c r="H3228" s="723" t="s">
        <v>3898</v>
      </c>
      <c r="I3228" s="723" t="s">
        <v>281</v>
      </c>
      <c r="J3228" s="723" t="s">
        <v>5994</v>
      </c>
      <c r="K3228" s="723" t="s">
        <v>5995</v>
      </c>
      <c r="L3228" s="723" t="s">
        <v>3636</v>
      </c>
      <c r="M3228" s="723">
        <v>10</v>
      </c>
      <c r="N3228" s="717">
        <v>10</v>
      </c>
      <c r="O3228" s="717">
        <v>10</v>
      </c>
      <c r="P3228" s="717">
        <v>8</v>
      </c>
      <c r="Q3228" s="718">
        <v>18</v>
      </c>
      <c r="R3228" s="1303">
        <v>144</v>
      </c>
      <c r="S3228" s="1303">
        <v>1440</v>
      </c>
      <c r="T3228" s="717" t="s">
        <v>9485</v>
      </c>
      <c r="U3228" s="1927" t="s">
        <v>448</v>
      </c>
      <c r="V3228" s="718" t="s">
        <v>352</v>
      </c>
      <c r="W3228" s="724" t="s">
        <v>5996</v>
      </c>
      <c r="X3228" s="56"/>
      <c r="Y3228" s="57"/>
      <c r="Z3228" s="57"/>
    </row>
    <row r="3229" spans="1:26" ht="14.1" hidden="1">
      <c r="A3229" s="20">
        <v>3236</v>
      </c>
      <c r="B3229" s="1063">
        <v>43006</v>
      </c>
      <c r="C3229" s="970" t="s">
        <v>8753</v>
      </c>
      <c r="D3229" s="374"/>
      <c r="E3229" s="717"/>
      <c r="F3229" s="970" t="s">
        <v>11438</v>
      </c>
      <c r="G3229" s="674" t="s">
        <v>8754</v>
      </c>
      <c r="H3229" s="676" t="s">
        <v>468</v>
      </c>
      <c r="I3229" s="674" t="s">
        <v>84</v>
      </c>
      <c r="J3229" s="674">
        <v>11348925</v>
      </c>
      <c r="K3229" s="674" t="s">
        <v>8755</v>
      </c>
      <c r="L3229" s="674" t="s">
        <v>2063</v>
      </c>
      <c r="M3229" s="674">
        <v>10</v>
      </c>
      <c r="N3229" s="717">
        <v>10</v>
      </c>
      <c r="O3229" s="717">
        <v>10</v>
      </c>
      <c r="P3229" s="717">
        <v>0</v>
      </c>
      <c r="Q3229" s="718">
        <v>0</v>
      </c>
      <c r="R3229" s="1303">
        <v>329</v>
      </c>
      <c r="S3229" s="1303">
        <v>3290</v>
      </c>
      <c r="T3229" s="717" t="s">
        <v>9485</v>
      </c>
      <c r="U3229" s="1927" t="s">
        <v>448</v>
      </c>
      <c r="V3229" s="718" t="s">
        <v>352</v>
      </c>
      <c r="W3229" s="725" t="s">
        <v>8756</v>
      </c>
      <c r="X3229" s="56"/>
      <c r="Y3229" s="57"/>
      <c r="Z3229" s="57"/>
    </row>
    <row r="3230" spans="1:26" ht="14.45" hidden="1">
      <c r="A3230" s="20">
        <v>3237</v>
      </c>
      <c r="B3230" s="1063">
        <v>43007</v>
      </c>
      <c r="C3230" s="970" t="s">
        <v>11440</v>
      </c>
      <c r="D3230" s="374"/>
      <c r="E3230" s="717"/>
      <c r="F3230" s="970" t="s">
        <v>11438</v>
      </c>
      <c r="G3230" s="674" t="s">
        <v>3184</v>
      </c>
      <c r="H3230" s="676" t="s">
        <v>3185</v>
      </c>
      <c r="I3230" s="674" t="s">
        <v>2644</v>
      </c>
      <c r="J3230" s="674" t="s">
        <v>3186</v>
      </c>
      <c r="K3230" s="674" t="s">
        <v>3186</v>
      </c>
      <c r="L3230" s="717"/>
      <c r="M3230" s="674">
        <v>3</v>
      </c>
      <c r="N3230" s="717">
        <v>1</v>
      </c>
      <c r="O3230" s="717">
        <v>3</v>
      </c>
      <c r="P3230" s="717">
        <v>0</v>
      </c>
      <c r="Q3230" s="718">
        <v>0</v>
      </c>
      <c r="R3230" s="1303">
        <v>9360</v>
      </c>
      <c r="S3230" s="1287">
        <v>28080</v>
      </c>
      <c r="T3230" s="717" t="s">
        <v>9485</v>
      </c>
      <c r="U3230" s="1927" t="s">
        <v>448</v>
      </c>
      <c r="V3230" s="718" t="s">
        <v>352</v>
      </c>
      <c r="W3230" s="721" t="s">
        <v>3188</v>
      </c>
      <c r="X3230" s="56"/>
      <c r="Y3230" s="57"/>
      <c r="Z3230" s="57"/>
    </row>
    <row r="3231" spans="1:26" ht="14.45" hidden="1">
      <c r="A3231" s="20">
        <v>3238</v>
      </c>
      <c r="B3231" s="1063">
        <v>43008</v>
      </c>
      <c r="C3231" s="970" t="s">
        <v>7796</v>
      </c>
      <c r="D3231" s="374"/>
      <c r="E3231" s="717"/>
      <c r="F3231" s="970" t="s">
        <v>11438</v>
      </c>
      <c r="G3231" s="723" t="s">
        <v>10388</v>
      </c>
      <c r="H3231" s="723" t="s">
        <v>260</v>
      </c>
      <c r="I3231" s="723" t="s">
        <v>39</v>
      </c>
      <c r="J3231" s="723" t="s">
        <v>10389</v>
      </c>
      <c r="K3231" s="723" t="s">
        <v>10389</v>
      </c>
      <c r="L3231" s="717"/>
      <c r="M3231" s="723" t="s">
        <v>10390</v>
      </c>
      <c r="N3231" s="717" t="s">
        <v>10391</v>
      </c>
      <c r="O3231" s="717" t="s">
        <v>10391</v>
      </c>
      <c r="P3231" s="717">
        <v>0</v>
      </c>
      <c r="Q3231" s="718" t="s">
        <v>10392</v>
      </c>
      <c r="R3231" s="1234"/>
      <c r="S3231" s="1276">
        <v>1866</v>
      </c>
      <c r="T3231" s="717" t="s">
        <v>9485</v>
      </c>
      <c r="U3231" s="1927" t="s">
        <v>448</v>
      </c>
      <c r="V3231" s="718" t="s">
        <v>352</v>
      </c>
      <c r="W3231" s="724" t="s">
        <v>10394</v>
      </c>
      <c r="X3231" s="56"/>
      <c r="Y3231" s="57"/>
      <c r="Z3231" s="57"/>
    </row>
    <row r="3232" spans="1:26" ht="37.5" hidden="1">
      <c r="A3232" s="20">
        <v>3239</v>
      </c>
      <c r="B3232" s="1063">
        <v>43009</v>
      </c>
      <c r="C3232" s="948" t="s">
        <v>2115</v>
      </c>
      <c r="D3232" s="11"/>
      <c r="E3232" s="204" t="s">
        <v>7956</v>
      </c>
      <c r="F3232" s="948" t="s">
        <v>11441</v>
      </c>
      <c r="G3232" s="196" t="s">
        <v>2116</v>
      </c>
      <c r="H3232" s="196" t="s">
        <v>1715</v>
      </c>
      <c r="I3232" s="375" t="s">
        <v>574</v>
      </c>
      <c r="J3232" s="375" t="s">
        <v>2117</v>
      </c>
      <c r="K3232" s="376" t="s">
        <v>2115</v>
      </c>
      <c r="L3232" s="196" t="s">
        <v>1861</v>
      </c>
      <c r="M3232" s="196">
        <v>1</v>
      </c>
      <c r="N3232" s="196">
        <v>1</v>
      </c>
      <c r="O3232" s="196">
        <v>2</v>
      </c>
      <c r="P3232" s="196">
        <v>0</v>
      </c>
      <c r="Q3232" s="196">
        <v>2</v>
      </c>
      <c r="R3232" s="1247">
        <v>597</v>
      </c>
      <c r="S3232" s="1209">
        <f t="shared" ref="S3232:S3254" si="187">R3232*O3232</f>
        <v>1194</v>
      </c>
      <c r="T3232" s="204" t="s">
        <v>9485</v>
      </c>
      <c r="U3232" s="1901" t="s">
        <v>2365</v>
      </c>
      <c r="V3232" s="572" t="s">
        <v>352</v>
      </c>
      <c r="W3232" s="2114" t="s">
        <v>2118</v>
      </c>
      <c r="X3232" s="18"/>
      <c r="Y3232" s="4"/>
      <c r="Z3232" s="4"/>
    </row>
    <row r="3233" spans="1:26" ht="50.1" hidden="1">
      <c r="A3233" s="20">
        <v>3240</v>
      </c>
      <c r="B3233" s="1063">
        <v>43010</v>
      </c>
      <c r="C3233" s="975" t="s">
        <v>1577</v>
      </c>
      <c r="D3233" s="11"/>
      <c r="E3233" s="204" t="s">
        <v>7956</v>
      </c>
      <c r="F3233" s="975" t="s">
        <v>11441</v>
      </c>
      <c r="G3233" s="377" t="s">
        <v>1578</v>
      </c>
      <c r="H3233" s="377" t="s">
        <v>1579</v>
      </c>
      <c r="I3233" s="378" t="s">
        <v>1579</v>
      </c>
      <c r="J3233" s="378"/>
      <c r="K3233" s="379"/>
      <c r="L3233" s="377"/>
      <c r="M3233" s="377">
        <v>1</v>
      </c>
      <c r="N3233" s="377">
        <v>1</v>
      </c>
      <c r="O3233" s="377">
        <v>1</v>
      </c>
      <c r="P3233" s="377">
        <v>0</v>
      </c>
      <c r="Q3233" s="196">
        <v>1</v>
      </c>
      <c r="R3233" s="1304">
        <v>9845.6</v>
      </c>
      <c r="S3233" s="1209">
        <f t="shared" si="187"/>
        <v>9845.6</v>
      </c>
      <c r="T3233" s="204" t="s">
        <v>9485</v>
      </c>
      <c r="U3233" s="1901" t="s">
        <v>2365</v>
      </c>
      <c r="V3233" s="572" t="s">
        <v>352</v>
      </c>
      <c r="W3233" s="2115" t="s">
        <v>1581</v>
      </c>
      <c r="X3233" s="18"/>
      <c r="Y3233" s="4"/>
      <c r="Z3233" s="4"/>
    </row>
    <row r="3234" spans="1:26" ht="37.5" hidden="1">
      <c r="A3234" s="20">
        <v>3241</v>
      </c>
      <c r="B3234" s="1063">
        <v>43011</v>
      </c>
      <c r="C3234" s="976" t="s">
        <v>329</v>
      </c>
      <c r="D3234" s="11"/>
      <c r="E3234" s="204" t="s">
        <v>7956</v>
      </c>
      <c r="F3234" s="975" t="s">
        <v>11441</v>
      </c>
      <c r="G3234" s="380" t="s">
        <v>11442</v>
      </c>
      <c r="H3234" s="381" t="s">
        <v>332</v>
      </c>
      <c r="I3234" s="382" t="s">
        <v>574</v>
      </c>
      <c r="J3234" s="382" t="s">
        <v>11443</v>
      </c>
      <c r="K3234" s="383" t="s">
        <v>11444</v>
      </c>
      <c r="L3234" s="380" t="s">
        <v>11445</v>
      </c>
      <c r="M3234" s="380">
        <v>1</v>
      </c>
      <c r="N3234" s="380">
        <v>10</v>
      </c>
      <c r="O3234" s="380">
        <v>10</v>
      </c>
      <c r="P3234" s="380">
        <v>0</v>
      </c>
      <c r="Q3234" s="196">
        <v>10</v>
      </c>
      <c r="R3234" s="1305">
        <v>62.1</v>
      </c>
      <c r="S3234" s="1209">
        <f t="shared" si="187"/>
        <v>621</v>
      </c>
      <c r="T3234" s="204" t="s">
        <v>9485</v>
      </c>
      <c r="U3234" s="1901" t="s">
        <v>2365</v>
      </c>
      <c r="V3234" s="572" t="s">
        <v>352</v>
      </c>
      <c r="W3234" s="2116" t="s">
        <v>11446</v>
      </c>
      <c r="X3234" s="18"/>
      <c r="Y3234" s="4"/>
      <c r="Z3234" s="4"/>
    </row>
    <row r="3235" spans="1:26" ht="37.5" hidden="1">
      <c r="A3235" s="20">
        <v>3242</v>
      </c>
      <c r="B3235" s="1063">
        <v>43012</v>
      </c>
      <c r="C3235" s="977" t="s">
        <v>442</v>
      </c>
      <c r="D3235" s="374"/>
      <c r="E3235" s="717"/>
      <c r="F3235" s="977" t="s">
        <v>11441</v>
      </c>
      <c r="G3235" s="385" t="s">
        <v>443</v>
      </c>
      <c r="H3235" s="385" t="s">
        <v>184</v>
      </c>
      <c r="I3235" s="726" t="s">
        <v>281</v>
      </c>
      <c r="J3235" s="386" t="s">
        <v>444</v>
      </c>
      <c r="K3235" s="387" t="s">
        <v>445</v>
      </c>
      <c r="L3235" s="384" t="s">
        <v>446</v>
      </c>
      <c r="M3235" s="384">
        <v>6</v>
      </c>
      <c r="N3235" s="384">
        <v>10</v>
      </c>
      <c r="O3235" s="384">
        <v>10</v>
      </c>
      <c r="P3235" s="384">
        <v>4</v>
      </c>
      <c r="Q3235" s="388">
        <v>14</v>
      </c>
      <c r="R3235" s="1306">
        <v>5.96</v>
      </c>
      <c r="S3235" s="1234">
        <f t="shared" si="187"/>
        <v>59.6</v>
      </c>
      <c r="T3235" s="717" t="s">
        <v>9485</v>
      </c>
      <c r="U3235" s="1927" t="s">
        <v>2365</v>
      </c>
      <c r="V3235" s="718" t="s">
        <v>352</v>
      </c>
      <c r="W3235" s="2117" t="s">
        <v>8732</v>
      </c>
      <c r="X3235" s="56"/>
      <c r="Y3235" s="57"/>
      <c r="Z3235" s="57"/>
    </row>
    <row r="3236" spans="1:26" ht="24.95" hidden="1">
      <c r="A3236" s="20">
        <v>3243</v>
      </c>
      <c r="B3236" s="1063">
        <v>43013</v>
      </c>
      <c r="C3236" s="977" t="s">
        <v>158</v>
      </c>
      <c r="D3236" s="374"/>
      <c r="E3236" s="717"/>
      <c r="F3236" s="977" t="s">
        <v>11441</v>
      </c>
      <c r="G3236" s="389" t="s">
        <v>159</v>
      </c>
      <c r="H3236" s="384" t="s">
        <v>160</v>
      </c>
      <c r="I3236" s="386" t="s">
        <v>39</v>
      </c>
      <c r="J3236" s="386" t="s">
        <v>161</v>
      </c>
      <c r="K3236" s="387" t="s">
        <v>162</v>
      </c>
      <c r="L3236" s="384" t="s">
        <v>163</v>
      </c>
      <c r="M3236" s="384">
        <v>2</v>
      </c>
      <c r="N3236" s="384">
        <v>10</v>
      </c>
      <c r="O3236" s="384">
        <v>10</v>
      </c>
      <c r="P3236" s="384">
        <v>0</v>
      </c>
      <c r="Q3236" s="388">
        <v>10</v>
      </c>
      <c r="R3236" s="1306">
        <v>59.5</v>
      </c>
      <c r="S3236" s="1234">
        <f t="shared" si="187"/>
        <v>595</v>
      </c>
      <c r="T3236" s="717" t="s">
        <v>9485</v>
      </c>
      <c r="U3236" s="1927" t="s">
        <v>2365</v>
      </c>
      <c r="V3236" s="718" t="s">
        <v>352</v>
      </c>
      <c r="W3236" s="2118" t="s">
        <v>164</v>
      </c>
      <c r="X3236" s="56"/>
      <c r="Y3236" s="57"/>
      <c r="Z3236" s="57"/>
    </row>
    <row r="3237" spans="1:26" ht="24.95" hidden="1">
      <c r="A3237" s="20">
        <v>3244</v>
      </c>
      <c r="B3237" s="1063">
        <v>43014</v>
      </c>
      <c r="C3237" s="978" t="s">
        <v>188</v>
      </c>
      <c r="D3237" s="374"/>
      <c r="E3237" s="717"/>
      <c r="F3237" s="977" t="s">
        <v>11441</v>
      </c>
      <c r="G3237" s="391" t="s">
        <v>4404</v>
      </c>
      <c r="H3237" s="390" t="s">
        <v>201</v>
      </c>
      <c r="I3237" s="392" t="s">
        <v>39</v>
      </c>
      <c r="J3237" s="392" t="s">
        <v>4405</v>
      </c>
      <c r="K3237" s="393" t="s">
        <v>4406</v>
      </c>
      <c r="L3237" s="394" t="s">
        <v>4407</v>
      </c>
      <c r="M3237" s="394">
        <v>2</v>
      </c>
      <c r="N3237" s="394">
        <v>1</v>
      </c>
      <c r="O3237" s="394">
        <v>10</v>
      </c>
      <c r="P3237" s="394">
        <v>0</v>
      </c>
      <c r="Q3237" s="388">
        <v>10</v>
      </c>
      <c r="R3237" s="1307">
        <v>88.8</v>
      </c>
      <c r="S3237" s="1234">
        <f t="shared" si="187"/>
        <v>888</v>
      </c>
      <c r="T3237" s="717" t="s">
        <v>9485</v>
      </c>
      <c r="U3237" s="1927" t="s">
        <v>2365</v>
      </c>
      <c r="V3237" s="718" t="s">
        <v>352</v>
      </c>
      <c r="W3237" s="2117" t="s">
        <v>4408</v>
      </c>
      <c r="X3237" s="56"/>
      <c r="Y3237" s="57"/>
      <c r="Z3237" s="57"/>
    </row>
    <row r="3238" spans="1:26" ht="14.1" hidden="1">
      <c r="A3238" s="20">
        <v>3245</v>
      </c>
      <c r="B3238" s="1063">
        <v>43015</v>
      </c>
      <c r="C3238" s="979" t="s">
        <v>152</v>
      </c>
      <c r="D3238" s="11"/>
      <c r="E3238" s="204" t="s">
        <v>7956</v>
      </c>
      <c r="F3238" s="975" t="s">
        <v>11441</v>
      </c>
      <c r="G3238" s="395" t="s">
        <v>11447</v>
      </c>
      <c r="H3238" s="196" t="s">
        <v>2786</v>
      </c>
      <c r="I3238" s="396" t="s">
        <v>1144</v>
      </c>
      <c r="J3238" s="396" t="s">
        <v>11448</v>
      </c>
      <c r="K3238" s="397" t="s">
        <v>11449</v>
      </c>
      <c r="L3238" s="398">
        <v>603</v>
      </c>
      <c r="M3238" s="398">
        <v>3</v>
      </c>
      <c r="N3238" s="398">
        <v>10</v>
      </c>
      <c r="O3238" s="398">
        <v>10</v>
      </c>
      <c r="P3238" s="398">
        <v>0</v>
      </c>
      <c r="Q3238" s="196">
        <v>10</v>
      </c>
      <c r="R3238" s="1308">
        <v>7.3</v>
      </c>
      <c r="S3238" s="1209">
        <f t="shared" si="187"/>
        <v>73</v>
      </c>
      <c r="T3238" s="204" t="s">
        <v>9485</v>
      </c>
      <c r="U3238" s="1901" t="s">
        <v>2365</v>
      </c>
      <c r="V3238" s="572" t="s">
        <v>352</v>
      </c>
      <c r="W3238" s="2119" t="s">
        <v>11450</v>
      </c>
      <c r="X3238" s="18"/>
      <c r="Y3238" s="4"/>
      <c r="Z3238" s="4"/>
    </row>
    <row r="3239" spans="1:26" ht="50.1" hidden="1">
      <c r="A3239" s="20">
        <v>3246</v>
      </c>
      <c r="B3239" s="1063">
        <v>43016</v>
      </c>
      <c r="C3239" s="980" t="s">
        <v>152</v>
      </c>
      <c r="D3239" s="11"/>
      <c r="E3239" s="204" t="s">
        <v>7956</v>
      </c>
      <c r="F3239" s="975" t="s">
        <v>11441</v>
      </c>
      <c r="G3239" s="398" t="s">
        <v>11451</v>
      </c>
      <c r="H3239" s="377" t="s">
        <v>2786</v>
      </c>
      <c r="I3239" s="399" t="s">
        <v>1144</v>
      </c>
      <c r="J3239" s="399" t="s">
        <v>11452</v>
      </c>
      <c r="K3239" s="397" t="s">
        <v>11453</v>
      </c>
      <c r="L3239" s="398">
        <v>603</v>
      </c>
      <c r="M3239" s="398">
        <v>2</v>
      </c>
      <c r="N3239" s="398">
        <v>10</v>
      </c>
      <c r="O3239" s="398">
        <v>10</v>
      </c>
      <c r="P3239" s="398">
        <v>0</v>
      </c>
      <c r="Q3239" s="196">
        <v>10</v>
      </c>
      <c r="R3239" s="1308">
        <v>2.2000000000000002</v>
      </c>
      <c r="S3239" s="1209">
        <f t="shared" si="187"/>
        <v>22</v>
      </c>
      <c r="T3239" s="204" t="s">
        <v>9485</v>
      </c>
      <c r="U3239" s="1901" t="s">
        <v>2365</v>
      </c>
      <c r="V3239" s="572" t="s">
        <v>352</v>
      </c>
      <c r="W3239" s="2120" t="s">
        <v>11454</v>
      </c>
      <c r="X3239" s="18"/>
      <c r="Y3239" s="4"/>
      <c r="Z3239" s="4"/>
    </row>
    <row r="3240" spans="1:26" ht="37.5" hidden="1">
      <c r="A3240" s="20">
        <v>3247</v>
      </c>
      <c r="B3240" s="1063">
        <v>43017</v>
      </c>
      <c r="C3240" s="980" t="s">
        <v>152</v>
      </c>
      <c r="D3240" s="11"/>
      <c r="E3240" s="204" t="s">
        <v>7956</v>
      </c>
      <c r="F3240" s="975" t="s">
        <v>11441</v>
      </c>
      <c r="G3240" s="398" t="s">
        <v>11455</v>
      </c>
      <c r="H3240" s="377" t="s">
        <v>2786</v>
      </c>
      <c r="I3240" s="399" t="s">
        <v>1144</v>
      </c>
      <c r="J3240" s="399" t="s">
        <v>8354</v>
      </c>
      <c r="K3240" s="397" t="s">
        <v>8355</v>
      </c>
      <c r="L3240" s="398">
        <v>603</v>
      </c>
      <c r="M3240" s="398">
        <v>1</v>
      </c>
      <c r="N3240" s="398">
        <v>10</v>
      </c>
      <c r="O3240" s="398">
        <v>10</v>
      </c>
      <c r="P3240" s="398">
        <v>0</v>
      </c>
      <c r="Q3240" s="196">
        <v>10</v>
      </c>
      <c r="R3240" s="1308">
        <v>2.2000000000000002</v>
      </c>
      <c r="S3240" s="1209">
        <f t="shared" si="187"/>
        <v>22</v>
      </c>
      <c r="T3240" s="204" t="s">
        <v>9485</v>
      </c>
      <c r="U3240" s="1901" t="s">
        <v>2365</v>
      </c>
      <c r="V3240" s="572" t="s">
        <v>352</v>
      </c>
      <c r="W3240" s="2120" t="s">
        <v>8356</v>
      </c>
      <c r="X3240" s="18"/>
      <c r="Y3240" s="4"/>
      <c r="Z3240" s="4"/>
    </row>
    <row r="3241" spans="1:26" ht="137.44999999999999" hidden="1">
      <c r="A3241" s="20">
        <v>3248</v>
      </c>
      <c r="B3241" s="1063">
        <v>43018</v>
      </c>
      <c r="C3241" s="975" t="s">
        <v>11456</v>
      </c>
      <c r="D3241" s="11"/>
      <c r="E3241" s="204" t="s">
        <v>7956</v>
      </c>
      <c r="F3241" s="975" t="s">
        <v>11441</v>
      </c>
      <c r="G3241" s="398" t="s">
        <v>11457</v>
      </c>
      <c r="H3241" s="377" t="s">
        <v>5174</v>
      </c>
      <c r="I3241" s="399" t="s">
        <v>8771</v>
      </c>
      <c r="J3241" s="399" t="s">
        <v>8869</v>
      </c>
      <c r="K3241" s="397" t="s">
        <v>8870</v>
      </c>
      <c r="L3241" s="398" t="s">
        <v>4291</v>
      </c>
      <c r="M3241" s="398">
        <v>2</v>
      </c>
      <c r="N3241" s="398">
        <v>10</v>
      </c>
      <c r="O3241" s="398">
        <v>10</v>
      </c>
      <c r="P3241" s="398">
        <v>0</v>
      </c>
      <c r="Q3241" s="196">
        <v>10</v>
      </c>
      <c r="R3241" s="1308">
        <v>1.5</v>
      </c>
      <c r="S3241" s="1209">
        <f t="shared" si="187"/>
        <v>15</v>
      </c>
      <c r="T3241" s="204" t="s">
        <v>9485</v>
      </c>
      <c r="U3241" s="1901" t="s">
        <v>2365</v>
      </c>
      <c r="V3241" s="572" t="s">
        <v>352</v>
      </c>
      <c r="W3241" s="2120" t="s">
        <v>8871</v>
      </c>
      <c r="X3241" s="18"/>
      <c r="Y3241" s="4"/>
      <c r="Z3241" s="4"/>
    </row>
    <row r="3242" spans="1:26" ht="37.5" hidden="1">
      <c r="A3242" s="20">
        <v>3249</v>
      </c>
      <c r="B3242" s="1063">
        <v>43019</v>
      </c>
      <c r="C3242" s="980" t="s">
        <v>152</v>
      </c>
      <c r="D3242" s="11"/>
      <c r="E3242" s="204" t="s">
        <v>7956</v>
      </c>
      <c r="F3242" s="975" t="s">
        <v>11441</v>
      </c>
      <c r="G3242" s="398" t="s">
        <v>11458</v>
      </c>
      <c r="H3242" s="377" t="s">
        <v>2786</v>
      </c>
      <c r="I3242" s="399" t="s">
        <v>1144</v>
      </c>
      <c r="J3242" s="399" t="s">
        <v>8361</v>
      </c>
      <c r="K3242" s="397" t="s">
        <v>8362</v>
      </c>
      <c r="L3242" s="398">
        <v>603</v>
      </c>
      <c r="M3242" s="398">
        <v>2</v>
      </c>
      <c r="N3242" s="398">
        <v>10</v>
      </c>
      <c r="O3242" s="398">
        <v>10</v>
      </c>
      <c r="P3242" s="398">
        <v>0</v>
      </c>
      <c r="Q3242" s="196">
        <v>10</v>
      </c>
      <c r="R3242" s="1308">
        <v>2.2000000000000002</v>
      </c>
      <c r="S3242" s="1209">
        <f t="shared" si="187"/>
        <v>22</v>
      </c>
      <c r="T3242" s="204" t="s">
        <v>9485</v>
      </c>
      <c r="U3242" s="1901" t="s">
        <v>2365</v>
      </c>
      <c r="V3242" s="572" t="s">
        <v>352</v>
      </c>
      <c r="W3242" s="2120" t="s">
        <v>8363</v>
      </c>
      <c r="X3242" s="18"/>
      <c r="Y3242" s="4"/>
      <c r="Z3242" s="4"/>
    </row>
    <row r="3243" spans="1:26" ht="37.5" hidden="1">
      <c r="A3243" s="20">
        <v>3250</v>
      </c>
      <c r="B3243" s="1063">
        <v>43020</v>
      </c>
      <c r="C3243" s="980" t="s">
        <v>152</v>
      </c>
      <c r="D3243" s="11"/>
      <c r="E3243" s="204" t="s">
        <v>7956</v>
      </c>
      <c r="F3243" s="975" t="s">
        <v>11441</v>
      </c>
      <c r="G3243" s="398" t="s">
        <v>11459</v>
      </c>
      <c r="H3243" s="377" t="s">
        <v>2786</v>
      </c>
      <c r="I3243" s="399" t="s">
        <v>1144</v>
      </c>
      <c r="J3243" s="399" t="s">
        <v>8346</v>
      </c>
      <c r="K3243" s="397" t="s">
        <v>8347</v>
      </c>
      <c r="L3243" s="398">
        <v>603</v>
      </c>
      <c r="M3243" s="398">
        <v>2</v>
      </c>
      <c r="N3243" s="398">
        <v>10</v>
      </c>
      <c r="O3243" s="398">
        <v>10</v>
      </c>
      <c r="P3243" s="398">
        <v>0</v>
      </c>
      <c r="Q3243" s="196">
        <v>10</v>
      </c>
      <c r="R3243" s="1308">
        <v>1.5</v>
      </c>
      <c r="S3243" s="1209">
        <f t="shared" si="187"/>
        <v>15</v>
      </c>
      <c r="T3243" s="204" t="s">
        <v>9485</v>
      </c>
      <c r="U3243" s="1901" t="s">
        <v>2365</v>
      </c>
      <c r="V3243" s="572" t="s">
        <v>352</v>
      </c>
      <c r="W3243" s="2120" t="s">
        <v>8348</v>
      </c>
      <c r="X3243" s="18"/>
      <c r="Y3243" s="4"/>
      <c r="Z3243" s="4"/>
    </row>
    <row r="3244" spans="1:26" ht="37.5" hidden="1">
      <c r="A3244" s="20">
        <v>3251</v>
      </c>
      <c r="B3244" s="1063">
        <v>43021</v>
      </c>
      <c r="C3244" s="980" t="s">
        <v>152</v>
      </c>
      <c r="D3244" s="11"/>
      <c r="E3244" s="204" t="s">
        <v>7956</v>
      </c>
      <c r="F3244" s="975" t="s">
        <v>11441</v>
      </c>
      <c r="G3244" s="398" t="s">
        <v>11460</v>
      </c>
      <c r="H3244" s="377" t="s">
        <v>2786</v>
      </c>
      <c r="I3244" s="399" t="s">
        <v>1144</v>
      </c>
      <c r="J3244" s="399" t="s">
        <v>8338</v>
      </c>
      <c r="K3244" s="397" t="s">
        <v>8339</v>
      </c>
      <c r="L3244" s="398">
        <v>603</v>
      </c>
      <c r="M3244" s="398">
        <v>2</v>
      </c>
      <c r="N3244" s="398">
        <v>10</v>
      </c>
      <c r="O3244" s="398">
        <v>10</v>
      </c>
      <c r="P3244" s="398">
        <v>0</v>
      </c>
      <c r="Q3244" s="196">
        <v>10</v>
      </c>
      <c r="R3244" s="1308">
        <v>2.2000000000000002</v>
      </c>
      <c r="S3244" s="1209">
        <f t="shared" si="187"/>
        <v>22</v>
      </c>
      <c r="T3244" s="204" t="s">
        <v>9485</v>
      </c>
      <c r="U3244" s="1901" t="s">
        <v>2365</v>
      </c>
      <c r="V3244" s="572" t="s">
        <v>352</v>
      </c>
      <c r="W3244" s="2120" t="s">
        <v>8340</v>
      </c>
      <c r="X3244" s="18"/>
      <c r="Y3244" s="4"/>
      <c r="Z3244" s="4"/>
    </row>
    <row r="3245" spans="1:26" ht="37.5" hidden="1">
      <c r="A3245" s="20">
        <v>3252</v>
      </c>
      <c r="B3245" s="1063">
        <v>43022</v>
      </c>
      <c r="C3245" s="980" t="s">
        <v>152</v>
      </c>
      <c r="D3245" s="11"/>
      <c r="E3245" s="204" t="s">
        <v>7956</v>
      </c>
      <c r="F3245" s="975" t="s">
        <v>11441</v>
      </c>
      <c r="G3245" s="398" t="s">
        <v>11461</v>
      </c>
      <c r="H3245" s="377" t="s">
        <v>2786</v>
      </c>
      <c r="I3245" s="399" t="s">
        <v>1144</v>
      </c>
      <c r="J3245" s="399" t="s">
        <v>8342</v>
      </c>
      <c r="K3245" s="397" t="s">
        <v>8343</v>
      </c>
      <c r="L3245" s="398">
        <v>603</v>
      </c>
      <c r="M3245" s="398">
        <v>2</v>
      </c>
      <c r="N3245" s="398">
        <v>10</v>
      </c>
      <c r="O3245" s="398">
        <v>10</v>
      </c>
      <c r="P3245" s="398">
        <v>0</v>
      </c>
      <c r="Q3245" s="196">
        <v>10</v>
      </c>
      <c r="R3245" s="1308">
        <v>2.2000000000000002</v>
      </c>
      <c r="S3245" s="1209">
        <f t="shared" si="187"/>
        <v>22</v>
      </c>
      <c r="T3245" s="204" t="s">
        <v>9485</v>
      </c>
      <c r="U3245" s="1901" t="s">
        <v>2365</v>
      </c>
      <c r="V3245" s="572" t="s">
        <v>352</v>
      </c>
      <c r="W3245" s="2120" t="s">
        <v>8344</v>
      </c>
      <c r="X3245" s="18"/>
      <c r="Y3245" s="4"/>
      <c r="Z3245" s="4"/>
    </row>
    <row r="3246" spans="1:26" ht="50.1" hidden="1">
      <c r="A3246" s="20">
        <v>3253</v>
      </c>
      <c r="B3246" s="1063">
        <v>43023</v>
      </c>
      <c r="C3246" s="980" t="s">
        <v>152</v>
      </c>
      <c r="D3246" s="11"/>
      <c r="E3246" s="204" t="s">
        <v>7956</v>
      </c>
      <c r="F3246" s="975" t="s">
        <v>11441</v>
      </c>
      <c r="G3246" s="398" t="s">
        <v>11462</v>
      </c>
      <c r="H3246" s="377" t="s">
        <v>2786</v>
      </c>
      <c r="I3246" s="399" t="s">
        <v>1144</v>
      </c>
      <c r="J3246" s="399" t="s">
        <v>11463</v>
      </c>
      <c r="K3246" s="397" t="s">
        <v>11464</v>
      </c>
      <c r="L3246" s="398">
        <v>603</v>
      </c>
      <c r="M3246" s="398">
        <v>1</v>
      </c>
      <c r="N3246" s="398">
        <v>10</v>
      </c>
      <c r="O3246" s="398">
        <v>10</v>
      </c>
      <c r="P3246" s="398">
        <v>0</v>
      </c>
      <c r="Q3246" s="196">
        <v>10</v>
      </c>
      <c r="R3246" s="1308">
        <v>2.2000000000000002</v>
      </c>
      <c r="S3246" s="1209">
        <f t="shared" si="187"/>
        <v>22</v>
      </c>
      <c r="T3246" s="204" t="s">
        <v>9485</v>
      </c>
      <c r="U3246" s="1901" t="s">
        <v>2365</v>
      </c>
      <c r="V3246" s="572" t="s">
        <v>352</v>
      </c>
      <c r="W3246" s="2120" t="s">
        <v>11465</v>
      </c>
      <c r="X3246" s="18"/>
      <c r="Y3246" s="4"/>
      <c r="Z3246" s="4"/>
    </row>
    <row r="3247" spans="1:26" ht="37.5" hidden="1">
      <c r="A3247" s="20">
        <v>3254</v>
      </c>
      <c r="B3247" s="1063">
        <v>43024</v>
      </c>
      <c r="C3247" s="980" t="s">
        <v>152</v>
      </c>
      <c r="D3247" s="11"/>
      <c r="E3247" s="204" t="s">
        <v>7956</v>
      </c>
      <c r="F3247" s="975" t="s">
        <v>11441</v>
      </c>
      <c r="G3247" s="398" t="s">
        <v>11466</v>
      </c>
      <c r="H3247" s="377" t="s">
        <v>2786</v>
      </c>
      <c r="I3247" s="399" t="s">
        <v>1144</v>
      </c>
      <c r="J3247" s="399" t="s">
        <v>8334</v>
      </c>
      <c r="K3247" s="397" t="s">
        <v>8335</v>
      </c>
      <c r="L3247" s="398">
        <v>603</v>
      </c>
      <c r="M3247" s="398">
        <v>4</v>
      </c>
      <c r="N3247" s="398">
        <v>10</v>
      </c>
      <c r="O3247" s="398">
        <v>10</v>
      </c>
      <c r="P3247" s="398">
        <v>3</v>
      </c>
      <c r="Q3247" s="196">
        <f>P3247+O3247</f>
        <v>13</v>
      </c>
      <c r="R3247" s="1308">
        <v>2.2000000000000002</v>
      </c>
      <c r="S3247" s="1209">
        <f t="shared" si="187"/>
        <v>22</v>
      </c>
      <c r="T3247" s="204" t="s">
        <v>9485</v>
      </c>
      <c r="U3247" s="1901" t="s">
        <v>2365</v>
      </c>
      <c r="V3247" s="572" t="s">
        <v>352</v>
      </c>
      <c r="W3247" s="2120" t="s">
        <v>8336</v>
      </c>
      <c r="X3247" s="18"/>
      <c r="Y3247" s="4"/>
      <c r="Z3247" s="4"/>
    </row>
    <row r="3248" spans="1:26" ht="37.5" hidden="1">
      <c r="A3248" s="20">
        <v>3255</v>
      </c>
      <c r="B3248" s="1063">
        <v>43025</v>
      </c>
      <c r="C3248" s="977" t="s">
        <v>188</v>
      </c>
      <c r="D3248" s="374"/>
      <c r="E3248" s="717"/>
      <c r="F3248" s="977" t="s">
        <v>11441</v>
      </c>
      <c r="G3248" s="384" t="s">
        <v>188</v>
      </c>
      <c r="H3248" s="384" t="s">
        <v>1691</v>
      </c>
      <c r="I3248" s="386" t="s">
        <v>1144</v>
      </c>
      <c r="J3248" s="400" t="s">
        <v>1692</v>
      </c>
      <c r="K3248" s="401" t="s">
        <v>1693</v>
      </c>
      <c r="L3248" s="384">
        <v>805</v>
      </c>
      <c r="M3248" s="384">
        <v>2</v>
      </c>
      <c r="N3248" s="384">
        <v>1</v>
      </c>
      <c r="O3248" s="384">
        <v>10</v>
      </c>
      <c r="P3248" s="384">
        <v>0</v>
      </c>
      <c r="Q3248" s="388">
        <v>10</v>
      </c>
      <c r="R3248" s="1306">
        <v>14</v>
      </c>
      <c r="S3248" s="1234">
        <f t="shared" si="187"/>
        <v>140</v>
      </c>
      <c r="T3248" s="717" t="s">
        <v>9485</v>
      </c>
      <c r="U3248" s="1927" t="s">
        <v>2365</v>
      </c>
      <c r="V3248" s="718" t="s">
        <v>352</v>
      </c>
      <c r="W3248" s="2118" t="s">
        <v>1694</v>
      </c>
      <c r="X3248" s="56"/>
      <c r="Y3248" s="57"/>
      <c r="Z3248" s="57"/>
    </row>
    <row r="3249" spans="1:26" ht="50.1" hidden="1">
      <c r="A3249" s="20">
        <v>3256</v>
      </c>
      <c r="B3249" s="1063">
        <v>43026</v>
      </c>
      <c r="C3249" s="981" t="s">
        <v>329</v>
      </c>
      <c r="D3249" s="374"/>
      <c r="E3249" s="717"/>
      <c r="F3249" s="977" t="s">
        <v>11441</v>
      </c>
      <c r="G3249" s="403" t="s">
        <v>3973</v>
      </c>
      <c r="H3249" s="403" t="s">
        <v>2285</v>
      </c>
      <c r="I3249" s="404" t="s">
        <v>574</v>
      </c>
      <c r="J3249" s="400" t="s">
        <v>3974</v>
      </c>
      <c r="K3249" s="401" t="s">
        <v>3975</v>
      </c>
      <c r="L3249" s="402" t="s">
        <v>11467</v>
      </c>
      <c r="M3249" s="403">
        <v>2</v>
      </c>
      <c r="N3249" s="403">
        <v>10</v>
      </c>
      <c r="O3249" s="403">
        <v>10</v>
      </c>
      <c r="P3249" s="403">
        <v>0</v>
      </c>
      <c r="Q3249" s="388">
        <v>10</v>
      </c>
      <c r="R3249" s="1309">
        <v>160.4</v>
      </c>
      <c r="S3249" s="1234">
        <f t="shared" si="187"/>
        <v>1604</v>
      </c>
      <c r="T3249" s="717" t="s">
        <v>9485</v>
      </c>
      <c r="U3249" s="1927" t="s">
        <v>2365</v>
      </c>
      <c r="V3249" s="718" t="s">
        <v>352</v>
      </c>
      <c r="W3249" s="2121" t="s">
        <v>3976</v>
      </c>
      <c r="X3249" s="56"/>
      <c r="Y3249" s="57"/>
      <c r="Z3249" s="57"/>
    </row>
    <row r="3250" spans="1:26" ht="43.5" hidden="1">
      <c r="A3250" s="20">
        <v>3257</v>
      </c>
      <c r="B3250" s="1063">
        <v>43027</v>
      </c>
      <c r="C3250" s="976" t="s">
        <v>11468</v>
      </c>
      <c r="D3250" s="11"/>
      <c r="E3250" s="204" t="s">
        <v>7956</v>
      </c>
      <c r="F3250" s="975" t="s">
        <v>11441</v>
      </c>
      <c r="G3250" s="381" t="s">
        <v>11469</v>
      </c>
      <c r="H3250" s="381" t="s">
        <v>1715</v>
      </c>
      <c r="I3250" s="382" t="s">
        <v>574</v>
      </c>
      <c r="J3250" s="405" t="s">
        <v>11470</v>
      </c>
      <c r="K3250" s="406" t="s">
        <v>11471</v>
      </c>
      <c r="L3250" s="440" t="s">
        <v>11467</v>
      </c>
      <c r="M3250" s="407">
        <v>2</v>
      </c>
      <c r="N3250" s="407">
        <v>1</v>
      </c>
      <c r="O3250" s="407">
        <v>2</v>
      </c>
      <c r="P3250" s="407">
        <v>0</v>
      </c>
      <c r="Q3250" s="196">
        <v>2</v>
      </c>
      <c r="R3250" s="1310">
        <v>114</v>
      </c>
      <c r="S3250" s="1209">
        <f t="shared" si="187"/>
        <v>228</v>
      </c>
      <c r="T3250" s="204" t="s">
        <v>9485</v>
      </c>
      <c r="U3250" s="1901" t="s">
        <v>2365</v>
      </c>
      <c r="V3250" s="572" t="s">
        <v>352</v>
      </c>
      <c r="W3250" s="2122" t="s">
        <v>11472</v>
      </c>
      <c r="X3250" s="18"/>
      <c r="Y3250" s="4"/>
      <c r="Z3250" s="4"/>
    </row>
    <row r="3251" spans="1:26" ht="14.1" hidden="1">
      <c r="A3251" s="20">
        <v>3258</v>
      </c>
      <c r="B3251" s="1063">
        <v>43028</v>
      </c>
      <c r="C3251" s="934" t="s">
        <v>11473</v>
      </c>
      <c r="D3251" s="11" t="s">
        <v>6</v>
      </c>
      <c r="E3251" s="204" t="s">
        <v>166</v>
      </c>
      <c r="F3251" s="26" t="s">
        <v>10005</v>
      </c>
      <c r="G3251" s="204" t="s">
        <v>11474</v>
      </c>
      <c r="H3251" s="204" t="s">
        <v>107</v>
      </c>
      <c r="I3251" s="204" t="s">
        <v>366</v>
      </c>
      <c r="J3251" s="204" t="s">
        <v>1</v>
      </c>
      <c r="K3251" s="204" t="s">
        <v>11475</v>
      </c>
      <c r="L3251" s="204" t="s">
        <v>149</v>
      </c>
      <c r="M3251" s="204">
        <v>4</v>
      </c>
      <c r="N3251" s="204">
        <v>50</v>
      </c>
      <c r="O3251" s="204">
        <v>50</v>
      </c>
      <c r="P3251" s="204">
        <v>0</v>
      </c>
      <c r="Q3251" s="572">
        <v>46</v>
      </c>
      <c r="R3251" s="1209">
        <v>31</v>
      </c>
      <c r="S3251" s="1209">
        <f t="shared" si="187"/>
        <v>1550</v>
      </c>
      <c r="T3251" s="26" t="s">
        <v>4220</v>
      </c>
      <c r="U3251" s="1901" t="s">
        <v>11476</v>
      </c>
      <c r="V3251" s="26" t="s">
        <v>689</v>
      </c>
      <c r="W3251" s="681" t="s">
        <v>11477</v>
      </c>
      <c r="X3251" s="18"/>
      <c r="Y3251" s="4"/>
      <c r="Z3251" s="4"/>
    </row>
    <row r="3252" spans="1:26" ht="14.1" hidden="1">
      <c r="A3252" s="20">
        <v>3259</v>
      </c>
      <c r="B3252" s="1063">
        <v>43029</v>
      </c>
      <c r="C3252" s="934" t="s">
        <v>11478</v>
      </c>
      <c r="D3252" s="11" t="s">
        <v>6</v>
      </c>
      <c r="E3252" s="204" t="s">
        <v>166</v>
      </c>
      <c r="F3252" s="26" t="s">
        <v>10005</v>
      </c>
      <c r="G3252" s="204" t="s">
        <v>11479</v>
      </c>
      <c r="H3252" s="204" t="s">
        <v>366</v>
      </c>
      <c r="I3252" s="204" t="s">
        <v>366</v>
      </c>
      <c r="J3252" s="204" t="s">
        <v>1</v>
      </c>
      <c r="K3252" s="204" t="s">
        <v>379</v>
      </c>
      <c r="L3252" s="204" t="s">
        <v>149</v>
      </c>
      <c r="M3252" s="204">
        <v>4</v>
      </c>
      <c r="N3252" s="204">
        <v>10</v>
      </c>
      <c r="O3252" s="204">
        <v>10</v>
      </c>
      <c r="P3252" s="204">
        <v>2</v>
      </c>
      <c r="Q3252" s="572">
        <v>8</v>
      </c>
      <c r="R3252" s="1209">
        <v>76</v>
      </c>
      <c r="S3252" s="1209">
        <f t="shared" si="187"/>
        <v>760</v>
      </c>
      <c r="T3252" s="26" t="s">
        <v>4220</v>
      </c>
      <c r="U3252" s="1901" t="s">
        <v>11476</v>
      </c>
      <c r="V3252" s="26" t="s">
        <v>689</v>
      </c>
      <c r="W3252" s="681" t="s">
        <v>11480</v>
      </c>
      <c r="X3252" s="18"/>
      <c r="Y3252" s="4"/>
      <c r="Z3252" s="4"/>
    </row>
    <row r="3253" spans="1:26" ht="14.1" hidden="1">
      <c r="A3253" s="20">
        <v>3260</v>
      </c>
      <c r="B3253" s="1063">
        <v>43030</v>
      </c>
      <c r="C3253" s="934" t="s">
        <v>11481</v>
      </c>
      <c r="D3253" s="11" t="s">
        <v>6</v>
      </c>
      <c r="E3253" s="204" t="s">
        <v>166</v>
      </c>
      <c r="F3253" s="26" t="s">
        <v>10005</v>
      </c>
      <c r="G3253" s="204" t="s">
        <v>11482</v>
      </c>
      <c r="H3253" s="204" t="s">
        <v>366</v>
      </c>
      <c r="I3253" s="204" t="s">
        <v>366</v>
      </c>
      <c r="J3253" s="204" t="s">
        <v>1</v>
      </c>
      <c r="K3253" s="204" t="s">
        <v>11483</v>
      </c>
      <c r="L3253" s="204" t="s">
        <v>149</v>
      </c>
      <c r="M3253" s="204">
        <v>4</v>
      </c>
      <c r="N3253" s="204">
        <v>10</v>
      </c>
      <c r="O3253" s="204">
        <v>10</v>
      </c>
      <c r="P3253" s="204">
        <v>3</v>
      </c>
      <c r="Q3253" s="572">
        <v>9</v>
      </c>
      <c r="R3253" s="1209">
        <v>45</v>
      </c>
      <c r="S3253" s="1209">
        <f t="shared" si="187"/>
        <v>450</v>
      </c>
      <c r="T3253" s="26" t="s">
        <v>4220</v>
      </c>
      <c r="U3253" s="1901" t="s">
        <v>11476</v>
      </c>
      <c r="V3253" s="26" t="s">
        <v>689</v>
      </c>
      <c r="W3253" s="681" t="s">
        <v>11484</v>
      </c>
      <c r="X3253" s="18"/>
      <c r="Y3253" s="4"/>
      <c r="Z3253" s="4"/>
    </row>
    <row r="3254" spans="1:26" ht="14.1" hidden="1">
      <c r="A3254" s="20">
        <v>3261</v>
      </c>
      <c r="B3254" s="1063">
        <v>43031</v>
      </c>
      <c r="C3254" s="934" t="s">
        <v>11485</v>
      </c>
      <c r="D3254" s="11"/>
      <c r="E3254" s="204" t="s">
        <v>10013</v>
      </c>
      <c r="F3254" s="934" t="s">
        <v>784</v>
      </c>
      <c r="G3254" s="204" t="s">
        <v>11486</v>
      </c>
      <c r="H3254" s="204" t="s">
        <v>11487</v>
      </c>
      <c r="I3254" s="204" t="s">
        <v>11488</v>
      </c>
      <c r="J3254" s="204" t="s">
        <v>11486</v>
      </c>
      <c r="K3254" s="204" t="s">
        <v>11486</v>
      </c>
      <c r="L3254" s="204" t="s">
        <v>149</v>
      </c>
      <c r="M3254" s="204">
        <v>4</v>
      </c>
      <c r="N3254" s="204">
        <v>1</v>
      </c>
      <c r="O3254" s="204">
        <v>4</v>
      </c>
      <c r="P3254" s="204">
        <v>0</v>
      </c>
      <c r="Q3254" s="572">
        <v>0</v>
      </c>
      <c r="R3254" s="1209">
        <f>467000+10000+15000</f>
        <v>492000</v>
      </c>
      <c r="S3254" s="1209">
        <f t="shared" si="187"/>
        <v>1968000</v>
      </c>
      <c r="T3254" s="204" t="s">
        <v>11350</v>
      </c>
      <c r="U3254" s="1901" t="s">
        <v>10016</v>
      </c>
      <c r="V3254" s="572" t="s">
        <v>11489</v>
      </c>
      <c r="W3254" s="681"/>
      <c r="X3254" s="18"/>
      <c r="Y3254" s="4"/>
      <c r="Z3254" s="4"/>
    </row>
    <row r="3255" spans="1:26" ht="14.45" hidden="1">
      <c r="A3255" s="20">
        <v>3262</v>
      </c>
      <c r="B3255" s="1063">
        <v>43032</v>
      </c>
      <c r="C3255" s="934" t="s">
        <v>10127</v>
      </c>
      <c r="D3255" s="11"/>
      <c r="E3255" s="204" t="s">
        <v>166</v>
      </c>
      <c r="F3255" s="934" t="s">
        <v>11438</v>
      </c>
      <c r="G3255" s="688" t="s">
        <v>5197</v>
      </c>
      <c r="H3255" s="686" t="s">
        <v>2416</v>
      </c>
      <c r="I3255" s="688" t="s">
        <v>281</v>
      </c>
      <c r="J3255" s="688" t="s">
        <v>5198</v>
      </c>
      <c r="K3255" s="688" t="s">
        <v>2417</v>
      </c>
      <c r="L3255" s="688" t="s">
        <v>5199</v>
      </c>
      <c r="M3255" s="688">
        <v>3</v>
      </c>
      <c r="N3255" s="204">
        <v>1</v>
      </c>
      <c r="O3255" s="204">
        <v>1</v>
      </c>
      <c r="P3255" s="204">
        <v>2</v>
      </c>
      <c r="Q3255" s="572">
        <v>3</v>
      </c>
      <c r="R3255" s="1311">
        <v>2231</v>
      </c>
      <c r="S3255" s="1282">
        <v>2231</v>
      </c>
      <c r="T3255" s="204" t="s">
        <v>9485</v>
      </c>
      <c r="U3255" s="1901" t="s">
        <v>448</v>
      </c>
      <c r="V3255" s="572" t="s">
        <v>352</v>
      </c>
      <c r="W3255" s="727" t="s">
        <v>2418</v>
      </c>
      <c r="X3255" s="18"/>
      <c r="Y3255" s="4"/>
      <c r="Z3255" s="4"/>
    </row>
    <row r="3256" spans="1:26" ht="14.45" hidden="1">
      <c r="A3256" s="20">
        <v>3263</v>
      </c>
      <c r="B3256" s="1063">
        <v>43033</v>
      </c>
      <c r="C3256" s="934" t="s">
        <v>10125</v>
      </c>
      <c r="D3256" s="11"/>
      <c r="E3256" s="204" t="s">
        <v>166</v>
      </c>
      <c r="F3256" s="934" t="s">
        <v>11438</v>
      </c>
      <c r="G3256" s="688" t="s">
        <v>5685</v>
      </c>
      <c r="H3256" s="686" t="s">
        <v>5686</v>
      </c>
      <c r="I3256" s="688" t="s">
        <v>574</v>
      </c>
      <c r="J3256" s="688" t="s">
        <v>5687</v>
      </c>
      <c r="K3256" s="688" t="s">
        <v>299</v>
      </c>
      <c r="L3256" s="688" t="s">
        <v>5416</v>
      </c>
      <c r="M3256" s="688">
        <v>6</v>
      </c>
      <c r="N3256" s="204">
        <v>1</v>
      </c>
      <c r="O3256" s="204">
        <v>2</v>
      </c>
      <c r="P3256" s="204">
        <v>4</v>
      </c>
      <c r="Q3256" s="572">
        <v>6</v>
      </c>
      <c r="R3256" s="1311">
        <v>153.6</v>
      </c>
      <c r="S3256" s="1282">
        <v>308</v>
      </c>
      <c r="T3256" s="204" t="s">
        <v>9485</v>
      </c>
      <c r="U3256" s="1901" t="s">
        <v>448</v>
      </c>
      <c r="V3256" s="572" t="s">
        <v>352</v>
      </c>
      <c r="W3256" s="727" t="s">
        <v>10126</v>
      </c>
      <c r="X3256" s="18"/>
      <c r="Y3256" s="4"/>
      <c r="Z3256" s="4"/>
    </row>
    <row r="3257" spans="1:26" ht="14.45" hidden="1">
      <c r="A3257" s="20">
        <v>3264</v>
      </c>
      <c r="B3257" s="1063">
        <v>43034</v>
      </c>
      <c r="C3257" s="934" t="s">
        <v>11439</v>
      </c>
      <c r="D3257" s="11"/>
      <c r="E3257" s="204" t="s">
        <v>166</v>
      </c>
      <c r="F3257" s="934" t="s">
        <v>11438</v>
      </c>
      <c r="G3257" s="688" t="s">
        <v>4547</v>
      </c>
      <c r="H3257" s="686" t="s">
        <v>7942</v>
      </c>
      <c r="I3257" s="688" t="s">
        <v>574</v>
      </c>
      <c r="J3257" s="688" t="s">
        <v>4548</v>
      </c>
      <c r="K3257" s="688" t="s">
        <v>4549</v>
      </c>
      <c r="L3257" s="204"/>
      <c r="M3257" s="688">
        <v>50</v>
      </c>
      <c r="N3257" s="204">
        <v>1</v>
      </c>
      <c r="O3257" s="204">
        <v>32</v>
      </c>
      <c r="P3257" s="204">
        <v>18</v>
      </c>
      <c r="Q3257" s="572">
        <v>50</v>
      </c>
      <c r="R3257" s="1311">
        <v>3.46</v>
      </c>
      <c r="S3257" s="1282">
        <v>96</v>
      </c>
      <c r="T3257" s="204" t="s">
        <v>9485</v>
      </c>
      <c r="U3257" s="1901" t="s">
        <v>448</v>
      </c>
      <c r="V3257" s="572" t="s">
        <v>352</v>
      </c>
      <c r="W3257" s="727" t="s">
        <v>10210</v>
      </c>
      <c r="X3257" s="18"/>
      <c r="Y3257" s="4"/>
      <c r="Z3257" s="4"/>
    </row>
    <row r="3258" spans="1:26" ht="14.45" hidden="1">
      <c r="A3258" s="20">
        <v>3265</v>
      </c>
      <c r="B3258" s="1063">
        <v>43035</v>
      </c>
      <c r="C3258" s="934" t="s">
        <v>5992</v>
      </c>
      <c r="D3258" s="11"/>
      <c r="E3258" s="204" t="s">
        <v>166</v>
      </c>
      <c r="F3258" s="934" t="s">
        <v>11438</v>
      </c>
      <c r="G3258" s="728" t="s">
        <v>5993</v>
      </c>
      <c r="H3258" s="683" t="s">
        <v>3898</v>
      </c>
      <c r="I3258" s="683" t="s">
        <v>281</v>
      </c>
      <c r="J3258" s="683" t="s">
        <v>5994</v>
      </c>
      <c r="K3258" s="683" t="s">
        <v>5995</v>
      </c>
      <c r="L3258" s="683" t="s">
        <v>3636</v>
      </c>
      <c r="M3258" s="683">
        <v>10</v>
      </c>
      <c r="N3258" s="204">
        <v>10</v>
      </c>
      <c r="O3258" s="204">
        <v>10</v>
      </c>
      <c r="P3258" s="204">
        <v>8</v>
      </c>
      <c r="Q3258" s="572">
        <v>18</v>
      </c>
      <c r="R3258" s="1311">
        <v>144</v>
      </c>
      <c r="S3258" s="1311">
        <v>1440</v>
      </c>
      <c r="T3258" s="204" t="s">
        <v>9485</v>
      </c>
      <c r="U3258" s="1901" t="s">
        <v>448</v>
      </c>
      <c r="V3258" s="572" t="s">
        <v>352</v>
      </c>
      <c r="W3258" s="729" t="s">
        <v>5996</v>
      </c>
      <c r="X3258" s="18"/>
      <c r="Y3258" s="4"/>
      <c r="Z3258" s="4"/>
    </row>
    <row r="3259" spans="1:26" ht="14.1" hidden="1">
      <c r="A3259" s="20">
        <v>3266</v>
      </c>
      <c r="B3259" s="1063">
        <v>43036</v>
      </c>
      <c r="C3259" s="934" t="s">
        <v>8753</v>
      </c>
      <c r="D3259" s="11"/>
      <c r="E3259" s="204" t="s">
        <v>166</v>
      </c>
      <c r="F3259" s="934" t="s">
        <v>11438</v>
      </c>
      <c r="G3259" s="688" t="s">
        <v>8754</v>
      </c>
      <c r="H3259" s="686" t="s">
        <v>468</v>
      </c>
      <c r="I3259" s="688" t="s">
        <v>84</v>
      </c>
      <c r="J3259" s="688">
        <v>11348925</v>
      </c>
      <c r="K3259" s="688" t="s">
        <v>8755</v>
      </c>
      <c r="L3259" s="688" t="s">
        <v>2063</v>
      </c>
      <c r="M3259" s="688">
        <v>10</v>
      </c>
      <c r="N3259" s="204">
        <v>10</v>
      </c>
      <c r="O3259" s="204">
        <v>10</v>
      </c>
      <c r="P3259" s="204">
        <v>0</v>
      </c>
      <c r="Q3259" s="572">
        <v>0</v>
      </c>
      <c r="R3259" s="1311">
        <v>329</v>
      </c>
      <c r="S3259" s="1311">
        <v>3290</v>
      </c>
      <c r="T3259" s="204" t="s">
        <v>9485</v>
      </c>
      <c r="U3259" s="1901" t="s">
        <v>448</v>
      </c>
      <c r="V3259" s="572" t="s">
        <v>352</v>
      </c>
      <c r="W3259" s="730" t="s">
        <v>8756</v>
      </c>
      <c r="X3259" s="18"/>
      <c r="Y3259" s="4"/>
      <c r="Z3259" s="4"/>
    </row>
    <row r="3260" spans="1:26" ht="14.45" hidden="1">
      <c r="A3260" s="20">
        <v>3267</v>
      </c>
      <c r="B3260" s="1063">
        <v>43037</v>
      </c>
      <c r="C3260" s="970" t="s">
        <v>7796</v>
      </c>
      <c r="D3260" s="374" t="s">
        <v>6</v>
      </c>
      <c r="E3260" s="717" t="s">
        <v>166</v>
      </c>
      <c r="F3260" s="970" t="s">
        <v>11438</v>
      </c>
      <c r="G3260" s="723" t="s">
        <v>11490</v>
      </c>
      <c r="H3260" s="723" t="s">
        <v>260</v>
      </c>
      <c r="I3260" s="723" t="s">
        <v>39</v>
      </c>
      <c r="J3260" s="233" t="s">
        <v>11491</v>
      </c>
      <c r="K3260" s="233" t="s">
        <v>11491</v>
      </c>
      <c r="L3260" s="717"/>
      <c r="M3260" s="723" t="s">
        <v>10390</v>
      </c>
      <c r="N3260" s="717" t="s">
        <v>3431</v>
      </c>
      <c r="O3260" s="717" t="s">
        <v>3431</v>
      </c>
      <c r="P3260" s="717">
        <v>0</v>
      </c>
      <c r="Q3260" s="718" t="s">
        <v>11492</v>
      </c>
      <c r="R3260" s="1234">
        <v>75</v>
      </c>
      <c r="S3260" s="1276">
        <v>7500</v>
      </c>
      <c r="T3260" s="717" t="s">
        <v>9485</v>
      </c>
      <c r="U3260" s="1927" t="s">
        <v>448</v>
      </c>
      <c r="V3260" s="718" t="s">
        <v>352</v>
      </c>
      <c r="W3260" s="724" t="s">
        <v>11493</v>
      </c>
      <c r="X3260" s="56"/>
      <c r="Y3260" s="57"/>
      <c r="Z3260" s="57"/>
    </row>
    <row r="3261" spans="1:26" ht="14.1" hidden="1">
      <c r="A3261" s="20">
        <v>3268</v>
      </c>
      <c r="B3261" s="1063">
        <v>43038</v>
      </c>
      <c r="C3261" s="970" t="s">
        <v>11494</v>
      </c>
      <c r="D3261" s="374" t="s">
        <v>6</v>
      </c>
      <c r="E3261" s="717" t="s">
        <v>166</v>
      </c>
      <c r="F3261" s="970" t="s">
        <v>11438</v>
      </c>
      <c r="G3261" s="408" t="s">
        <v>11495</v>
      </c>
      <c r="H3261" s="717" t="s">
        <v>5686</v>
      </c>
      <c r="I3261" s="717" t="s">
        <v>39</v>
      </c>
      <c r="J3261" s="717" t="s">
        <v>299</v>
      </c>
      <c r="K3261" s="717" t="s">
        <v>5687</v>
      </c>
      <c r="L3261" s="717" t="s">
        <v>5267</v>
      </c>
      <c r="M3261" s="717">
        <v>4</v>
      </c>
      <c r="N3261" s="717">
        <v>1</v>
      </c>
      <c r="O3261" s="717">
        <v>4</v>
      </c>
      <c r="P3261" s="717">
        <v>0</v>
      </c>
      <c r="Q3261" s="718">
        <v>0</v>
      </c>
      <c r="R3261" s="1234">
        <v>156</v>
      </c>
      <c r="S3261" s="1234">
        <v>624</v>
      </c>
      <c r="T3261" s="717" t="s">
        <v>9485</v>
      </c>
      <c r="U3261" s="1927" t="s">
        <v>448</v>
      </c>
      <c r="V3261" s="718" t="s">
        <v>352</v>
      </c>
      <c r="W3261" s="1184" t="s">
        <v>5688</v>
      </c>
      <c r="X3261" s="56"/>
      <c r="Y3261" s="57"/>
      <c r="Z3261" s="57"/>
    </row>
    <row r="3262" spans="1:26" ht="14.45" hidden="1">
      <c r="A3262" s="20">
        <v>3269</v>
      </c>
      <c r="B3262" s="1063">
        <v>43039</v>
      </c>
      <c r="C3262" s="934" t="s">
        <v>11440</v>
      </c>
      <c r="D3262" s="11"/>
      <c r="E3262" s="204" t="s">
        <v>166</v>
      </c>
      <c r="F3262" s="934" t="s">
        <v>11438</v>
      </c>
      <c r="G3262" s="688" t="s">
        <v>3184</v>
      </c>
      <c r="H3262" s="686" t="s">
        <v>3185</v>
      </c>
      <c r="I3262" s="688" t="s">
        <v>2644</v>
      </c>
      <c r="J3262" s="688" t="s">
        <v>3186</v>
      </c>
      <c r="K3262" s="688" t="s">
        <v>3186</v>
      </c>
      <c r="L3262" s="204"/>
      <c r="M3262" s="688">
        <v>2</v>
      </c>
      <c r="N3262" s="204">
        <v>1</v>
      </c>
      <c r="O3262" s="204">
        <v>3</v>
      </c>
      <c r="P3262" s="204">
        <v>1</v>
      </c>
      <c r="Q3262" s="572">
        <v>0</v>
      </c>
      <c r="R3262" s="1311">
        <v>9360</v>
      </c>
      <c r="S3262" s="1282">
        <v>28080</v>
      </c>
      <c r="T3262" s="204" t="s">
        <v>9485</v>
      </c>
      <c r="U3262" s="1901" t="s">
        <v>448</v>
      </c>
      <c r="V3262" s="572" t="s">
        <v>352</v>
      </c>
      <c r="W3262" s="727" t="s">
        <v>3188</v>
      </c>
      <c r="X3262" s="18"/>
      <c r="Y3262" s="4"/>
      <c r="Z3262" s="4"/>
    </row>
    <row r="3263" spans="1:26" ht="14.1" hidden="1">
      <c r="A3263" s="20">
        <v>3270</v>
      </c>
      <c r="B3263" s="1063">
        <v>43040</v>
      </c>
      <c r="C3263" s="934" t="s">
        <v>11496</v>
      </c>
      <c r="D3263" s="11"/>
      <c r="E3263" s="204" t="s">
        <v>10013</v>
      </c>
      <c r="F3263" s="934" t="s">
        <v>784</v>
      </c>
      <c r="G3263" s="204" t="s">
        <v>11497</v>
      </c>
      <c r="H3263" s="204" t="s">
        <v>2026</v>
      </c>
      <c r="I3263" s="204" t="s">
        <v>39</v>
      </c>
      <c r="J3263" s="204" t="s">
        <v>11498</v>
      </c>
      <c r="K3263" s="204" t="s">
        <v>11497</v>
      </c>
      <c r="L3263" s="204" t="s">
        <v>149</v>
      </c>
      <c r="M3263" s="204">
        <v>4</v>
      </c>
      <c r="N3263" s="204">
        <v>1</v>
      </c>
      <c r="O3263" s="204">
        <v>4</v>
      </c>
      <c r="P3263" s="204">
        <v>0</v>
      </c>
      <c r="Q3263" s="572">
        <v>0</v>
      </c>
      <c r="R3263" s="1209">
        <v>6184</v>
      </c>
      <c r="S3263" s="1209">
        <f t="shared" ref="S3263:S3268" si="188">R3263*O3263</f>
        <v>24736</v>
      </c>
      <c r="T3263" s="204" t="s">
        <v>11350</v>
      </c>
      <c r="U3263" s="1901" t="s">
        <v>10016</v>
      </c>
      <c r="V3263" s="572" t="s">
        <v>11489</v>
      </c>
      <c r="W3263" s="681" t="s">
        <v>11499</v>
      </c>
      <c r="X3263" s="18"/>
      <c r="Y3263" s="4"/>
      <c r="Z3263" s="4"/>
    </row>
    <row r="3264" spans="1:26" ht="14.1" hidden="1">
      <c r="A3264" s="20">
        <v>3271</v>
      </c>
      <c r="B3264" s="1063">
        <v>43041</v>
      </c>
      <c r="C3264" s="934" t="s">
        <v>11500</v>
      </c>
      <c r="D3264" s="11"/>
      <c r="E3264" s="204" t="s">
        <v>10013</v>
      </c>
      <c r="F3264" s="934" t="s">
        <v>784</v>
      </c>
      <c r="G3264" s="204" t="s">
        <v>11501</v>
      </c>
      <c r="H3264" s="204" t="s">
        <v>2026</v>
      </c>
      <c r="I3264" s="204" t="s">
        <v>39</v>
      </c>
      <c r="J3264" s="204" t="s">
        <v>11502</v>
      </c>
      <c r="K3264" s="204" t="s">
        <v>11501</v>
      </c>
      <c r="L3264" s="204" t="s">
        <v>149</v>
      </c>
      <c r="M3264" s="204">
        <v>4</v>
      </c>
      <c r="N3264" s="204">
        <v>1</v>
      </c>
      <c r="O3264" s="204">
        <v>4</v>
      </c>
      <c r="P3264" s="204">
        <v>0</v>
      </c>
      <c r="Q3264" s="572">
        <v>0</v>
      </c>
      <c r="R3264" s="1209">
        <v>2848</v>
      </c>
      <c r="S3264" s="1209">
        <f t="shared" si="188"/>
        <v>11392</v>
      </c>
      <c r="T3264" s="204" t="s">
        <v>11350</v>
      </c>
      <c r="U3264" s="1901" t="s">
        <v>10016</v>
      </c>
      <c r="V3264" s="572" t="s">
        <v>11489</v>
      </c>
      <c r="W3264" s="681" t="s">
        <v>11503</v>
      </c>
      <c r="X3264" s="18"/>
      <c r="Y3264" s="4"/>
      <c r="Z3264" s="4"/>
    </row>
    <row r="3265" spans="1:26" ht="14.1" hidden="1">
      <c r="A3265" s="20">
        <v>3272</v>
      </c>
      <c r="B3265" s="1063">
        <v>43042</v>
      </c>
      <c r="C3265" s="934" t="s">
        <v>11504</v>
      </c>
      <c r="D3265" s="11"/>
      <c r="E3265" s="204" t="s">
        <v>10013</v>
      </c>
      <c r="F3265" s="934" t="s">
        <v>784</v>
      </c>
      <c r="G3265" s="204" t="s">
        <v>11505</v>
      </c>
      <c r="H3265" s="204" t="s">
        <v>11506</v>
      </c>
      <c r="I3265" s="204" t="s">
        <v>39</v>
      </c>
      <c r="J3265" s="204" t="s">
        <v>11507</v>
      </c>
      <c r="K3265" s="204" t="s">
        <v>11505</v>
      </c>
      <c r="L3265" s="204" t="s">
        <v>149</v>
      </c>
      <c r="M3265" s="204">
        <v>6</v>
      </c>
      <c r="N3265" s="204">
        <v>1</v>
      </c>
      <c r="O3265" s="204">
        <v>6</v>
      </c>
      <c r="P3265" s="204">
        <v>0</v>
      </c>
      <c r="Q3265" s="572">
        <v>0</v>
      </c>
      <c r="R3265" s="1209">
        <v>1166</v>
      </c>
      <c r="S3265" s="1209">
        <f t="shared" si="188"/>
        <v>6996</v>
      </c>
      <c r="T3265" s="204" t="s">
        <v>11350</v>
      </c>
      <c r="U3265" s="1901" t="s">
        <v>10016</v>
      </c>
      <c r="V3265" s="572" t="s">
        <v>11489</v>
      </c>
      <c r="W3265" s="681" t="s">
        <v>11508</v>
      </c>
      <c r="X3265" s="18"/>
      <c r="Y3265" s="4"/>
      <c r="Z3265" s="4"/>
    </row>
    <row r="3266" spans="1:26" ht="14.1" hidden="1">
      <c r="A3266" s="20">
        <v>3273</v>
      </c>
      <c r="B3266" s="1063">
        <v>43043</v>
      </c>
      <c r="C3266" s="934" t="s">
        <v>11509</v>
      </c>
      <c r="D3266" s="11"/>
      <c r="E3266" s="204" t="s">
        <v>10013</v>
      </c>
      <c r="F3266" s="934" t="s">
        <v>784</v>
      </c>
      <c r="G3266" s="204" t="s">
        <v>11510</v>
      </c>
      <c r="H3266" s="204" t="s">
        <v>2786</v>
      </c>
      <c r="I3266" s="204" t="s">
        <v>39</v>
      </c>
      <c r="J3266" s="204" t="s">
        <v>11511</v>
      </c>
      <c r="K3266" s="204" t="s">
        <v>11510</v>
      </c>
      <c r="L3266" s="204" t="s">
        <v>149</v>
      </c>
      <c r="M3266" s="204">
        <v>1</v>
      </c>
      <c r="N3266" s="204">
        <v>1</v>
      </c>
      <c r="O3266" s="204">
        <v>1</v>
      </c>
      <c r="P3266" s="204">
        <v>0</v>
      </c>
      <c r="Q3266" s="572">
        <v>0</v>
      </c>
      <c r="R3266" s="1209">
        <v>14942</v>
      </c>
      <c r="S3266" s="1209">
        <f t="shared" si="188"/>
        <v>14942</v>
      </c>
      <c r="T3266" s="204" t="s">
        <v>11350</v>
      </c>
      <c r="U3266" s="1901" t="s">
        <v>10016</v>
      </c>
      <c r="V3266" s="572" t="s">
        <v>11489</v>
      </c>
      <c r="W3266" s="681" t="s">
        <v>11512</v>
      </c>
      <c r="X3266" s="18"/>
      <c r="Y3266" s="4"/>
      <c r="Z3266" s="4"/>
    </row>
    <row r="3267" spans="1:26" ht="14.1" hidden="1">
      <c r="A3267" s="20">
        <v>3274</v>
      </c>
      <c r="B3267" s="1063">
        <v>43044</v>
      </c>
      <c r="C3267" s="934" t="s">
        <v>11513</v>
      </c>
      <c r="D3267" s="11"/>
      <c r="E3267" s="204" t="s">
        <v>10013</v>
      </c>
      <c r="F3267" s="934" t="s">
        <v>784</v>
      </c>
      <c r="G3267" s="204" t="s">
        <v>11514</v>
      </c>
      <c r="H3267" s="204" t="s">
        <v>10743</v>
      </c>
      <c r="I3267" s="204" t="s">
        <v>84</v>
      </c>
      <c r="J3267" s="204">
        <v>76066952</v>
      </c>
      <c r="K3267" s="204" t="s">
        <v>11515</v>
      </c>
      <c r="L3267" s="204" t="s">
        <v>149</v>
      </c>
      <c r="M3267" s="204">
        <v>1</v>
      </c>
      <c r="N3267" s="204">
        <v>1</v>
      </c>
      <c r="O3267" s="204">
        <v>1</v>
      </c>
      <c r="P3267" s="204">
        <v>0</v>
      </c>
      <c r="Q3267" s="572">
        <v>0</v>
      </c>
      <c r="R3267" s="1209">
        <v>3990</v>
      </c>
      <c r="S3267" s="1209">
        <f t="shared" si="188"/>
        <v>3990</v>
      </c>
      <c r="T3267" s="204" t="s">
        <v>11350</v>
      </c>
      <c r="U3267" s="1901" t="s">
        <v>10016</v>
      </c>
      <c r="V3267" s="572" t="s">
        <v>11489</v>
      </c>
      <c r="W3267" s="681" t="s">
        <v>11516</v>
      </c>
      <c r="X3267" s="18"/>
      <c r="Y3267" s="4"/>
      <c r="Z3267" s="4"/>
    </row>
    <row r="3268" spans="1:26" ht="14.1" hidden="1">
      <c r="A3268" s="20">
        <v>3275</v>
      </c>
      <c r="B3268" s="1063">
        <v>43045</v>
      </c>
      <c r="C3268" s="934" t="s">
        <v>11517</v>
      </c>
      <c r="D3268" s="11"/>
      <c r="E3268" s="204" t="s">
        <v>10013</v>
      </c>
      <c r="F3268" s="934" t="s">
        <v>784</v>
      </c>
      <c r="G3268" s="204" t="s">
        <v>9893</v>
      </c>
      <c r="H3268" s="204" t="s">
        <v>10759</v>
      </c>
      <c r="I3268" s="204" t="s">
        <v>84</v>
      </c>
      <c r="J3268" s="204">
        <v>20111498</v>
      </c>
      <c r="K3268" s="204" t="s">
        <v>11518</v>
      </c>
      <c r="L3268" s="204" t="s">
        <v>149</v>
      </c>
      <c r="M3268" s="204">
        <v>1</v>
      </c>
      <c r="N3268" s="204">
        <v>1</v>
      </c>
      <c r="O3268" s="204">
        <v>1</v>
      </c>
      <c r="P3268" s="204">
        <v>0</v>
      </c>
      <c r="Q3268" s="572">
        <v>0</v>
      </c>
      <c r="R3268" s="1209">
        <v>1890</v>
      </c>
      <c r="S3268" s="1209">
        <f t="shared" si="188"/>
        <v>1890</v>
      </c>
      <c r="T3268" s="204" t="s">
        <v>11350</v>
      </c>
      <c r="U3268" s="1901" t="s">
        <v>10016</v>
      </c>
      <c r="V3268" s="572" t="s">
        <v>11489</v>
      </c>
      <c r="W3268" s="681" t="s">
        <v>11519</v>
      </c>
      <c r="X3268" s="18"/>
      <c r="Y3268" s="4"/>
      <c r="Z3268" s="4"/>
    </row>
    <row r="3269" spans="1:26" ht="14.1" hidden="1">
      <c r="A3269" s="20">
        <v>3276</v>
      </c>
      <c r="B3269" s="1063">
        <v>43046</v>
      </c>
      <c r="C3269" s="934" t="s">
        <v>11520</v>
      </c>
      <c r="D3269" s="11" t="s">
        <v>6</v>
      </c>
      <c r="E3269" s="204" t="s">
        <v>166</v>
      </c>
      <c r="F3269" s="934" t="s">
        <v>131</v>
      </c>
      <c r="G3269" s="204" t="s">
        <v>11521</v>
      </c>
      <c r="H3269" s="204" t="s">
        <v>11522</v>
      </c>
      <c r="I3269" s="204" t="s">
        <v>107</v>
      </c>
      <c r="J3269" s="204" t="s">
        <v>11523</v>
      </c>
      <c r="K3269" s="204" t="s">
        <v>11523</v>
      </c>
      <c r="L3269" s="204" t="s">
        <v>149</v>
      </c>
      <c r="M3269" s="204">
        <v>8</v>
      </c>
      <c r="N3269" s="204">
        <v>50</v>
      </c>
      <c r="O3269" s="204">
        <v>50</v>
      </c>
      <c r="P3269" s="204">
        <v>0</v>
      </c>
      <c r="Q3269" s="572">
        <v>0</v>
      </c>
      <c r="R3269" s="1209">
        <v>950</v>
      </c>
      <c r="S3269" s="1209">
        <v>950</v>
      </c>
      <c r="T3269" s="204" t="s">
        <v>5448</v>
      </c>
      <c r="U3269" s="1901" t="s">
        <v>5448</v>
      </c>
      <c r="V3269" s="572" t="s">
        <v>11524</v>
      </c>
      <c r="W3269" s="681" t="s">
        <v>11525</v>
      </c>
      <c r="X3269" s="18"/>
      <c r="Y3269" s="4"/>
      <c r="Z3269" s="4"/>
    </row>
    <row r="3270" spans="1:26" ht="14.1" hidden="1">
      <c r="A3270" s="20">
        <v>3277</v>
      </c>
      <c r="B3270" s="1063">
        <v>43047</v>
      </c>
      <c r="C3270" s="26" t="s">
        <v>9427</v>
      </c>
      <c r="D3270" s="11" t="s">
        <v>6</v>
      </c>
      <c r="E3270" s="204" t="s">
        <v>166</v>
      </c>
      <c r="F3270" s="26" t="s">
        <v>131</v>
      </c>
      <c r="G3270" s="26" t="s">
        <v>9428</v>
      </c>
      <c r="H3270" s="237" t="s">
        <v>9429</v>
      </c>
      <c r="I3270" s="26" t="s">
        <v>113</v>
      </c>
      <c r="J3270" s="26" t="s">
        <v>9430</v>
      </c>
      <c r="K3270" s="26" t="s">
        <v>9430</v>
      </c>
      <c r="L3270" s="204" t="s">
        <v>149</v>
      </c>
      <c r="M3270" s="26">
        <v>2</v>
      </c>
      <c r="N3270" s="26">
        <v>1</v>
      </c>
      <c r="O3270" s="26">
        <v>2</v>
      </c>
      <c r="P3270" s="26">
        <v>0</v>
      </c>
      <c r="Q3270" s="26">
        <v>0</v>
      </c>
      <c r="R3270" s="1209">
        <v>710</v>
      </c>
      <c r="S3270" s="1209">
        <f>R3270*O3270</f>
        <v>1420</v>
      </c>
      <c r="T3270" s="26" t="s">
        <v>5448</v>
      </c>
      <c r="U3270" s="1859" t="s">
        <v>138</v>
      </c>
      <c r="V3270" s="26" t="s">
        <v>104</v>
      </c>
      <c r="W3270" s="701" t="s">
        <v>9431</v>
      </c>
      <c r="X3270" s="18"/>
      <c r="Y3270" s="4"/>
      <c r="Z3270" s="4"/>
    </row>
    <row r="3271" spans="1:26" ht="14.1" hidden="1">
      <c r="A3271" s="20">
        <v>3278</v>
      </c>
      <c r="B3271" s="1063">
        <v>43048</v>
      </c>
      <c r="C3271" s="934" t="s">
        <v>11526</v>
      </c>
      <c r="D3271" s="11"/>
      <c r="E3271" s="204" t="s">
        <v>166</v>
      </c>
      <c r="F3271" s="934" t="s">
        <v>131</v>
      </c>
      <c r="G3271" s="204" t="s">
        <v>11527</v>
      </c>
      <c r="H3271" s="204"/>
      <c r="I3271" s="204" t="s">
        <v>7875</v>
      </c>
      <c r="J3271" s="204"/>
      <c r="K3271" s="204"/>
      <c r="L3271" s="204"/>
      <c r="M3271" s="409">
        <v>43862</v>
      </c>
      <c r="N3271" s="409">
        <v>43831</v>
      </c>
      <c r="O3271" s="409">
        <v>43923</v>
      </c>
      <c r="P3271" s="204" t="s">
        <v>11528</v>
      </c>
      <c r="Q3271" s="731">
        <v>43862</v>
      </c>
      <c r="R3271" s="1209">
        <v>11000</v>
      </c>
      <c r="S3271" s="1209">
        <v>66000</v>
      </c>
      <c r="T3271" s="204" t="s">
        <v>5448</v>
      </c>
      <c r="U3271" s="1901" t="s">
        <v>138</v>
      </c>
      <c r="V3271" s="572" t="s">
        <v>3342</v>
      </c>
      <c r="W3271" s="681" t="s">
        <v>1</v>
      </c>
      <c r="X3271" s="18"/>
      <c r="Y3271" s="4"/>
      <c r="Z3271" s="4"/>
    </row>
    <row r="3272" spans="1:26" ht="14.1" hidden="1">
      <c r="A3272" s="20">
        <v>3279</v>
      </c>
      <c r="B3272" s="1063">
        <v>43049</v>
      </c>
      <c r="C3272" s="934" t="s">
        <v>11529</v>
      </c>
      <c r="D3272" s="11"/>
      <c r="E3272" s="204" t="s">
        <v>166</v>
      </c>
      <c r="F3272" s="934" t="s">
        <v>131</v>
      </c>
      <c r="G3272" s="204" t="s">
        <v>5433</v>
      </c>
      <c r="H3272" s="204" t="s">
        <v>7663</v>
      </c>
      <c r="I3272" s="204" t="s">
        <v>1063</v>
      </c>
      <c r="J3272" s="204" t="s">
        <v>7665</v>
      </c>
      <c r="K3272" s="204" t="s">
        <v>7666</v>
      </c>
      <c r="L3272" s="204" t="s">
        <v>6661</v>
      </c>
      <c r="M3272" s="204">
        <v>6</v>
      </c>
      <c r="N3272" s="204">
        <v>1</v>
      </c>
      <c r="O3272" s="204">
        <v>10</v>
      </c>
      <c r="P3272" s="204">
        <v>0</v>
      </c>
      <c r="Q3272" s="572">
        <v>4</v>
      </c>
      <c r="R3272" s="1209">
        <v>250</v>
      </c>
      <c r="S3272" s="1209">
        <f>R3272*O3272</f>
        <v>2500</v>
      </c>
      <c r="T3272" s="204" t="s">
        <v>5448</v>
      </c>
      <c r="U3272" s="1901" t="s">
        <v>138</v>
      </c>
      <c r="V3272" s="572" t="s">
        <v>3140</v>
      </c>
      <c r="W3272" s="804" t="s">
        <v>11530</v>
      </c>
      <c r="X3272" s="18"/>
      <c r="Y3272" s="4"/>
      <c r="Z3272" s="4"/>
    </row>
    <row r="3273" spans="1:26" ht="14.1" hidden="1">
      <c r="A3273" s="20">
        <v>3280</v>
      </c>
      <c r="B3273" s="1063">
        <v>43050</v>
      </c>
      <c r="C3273" s="934" t="s">
        <v>11531</v>
      </c>
      <c r="D3273" s="11" t="s">
        <v>6</v>
      </c>
      <c r="E3273" s="204" t="s">
        <v>166</v>
      </c>
      <c r="F3273" s="934" t="s">
        <v>131</v>
      </c>
      <c r="G3273" s="204" t="s">
        <v>9089</v>
      </c>
      <c r="H3273" s="204" t="s">
        <v>6242</v>
      </c>
      <c r="I3273" s="204" t="s">
        <v>84</v>
      </c>
      <c r="J3273" s="204"/>
      <c r="K3273" s="204" t="s">
        <v>10116</v>
      </c>
      <c r="L3273" s="204"/>
      <c r="M3273" s="204">
        <v>1</v>
      </c>
      <c r="N3273" s="204">
        <v>1</v>
      </c>
      <c r="O3273" s="204">
        <v>0</v>
      </c>
      <c r="P3273" s="204">
        <v>0</v>
      </c>
      <c r="Q3273" s="572">
        <v>0</v>
      </c>
      <c r="R3273" s="1209">
        <v>699</v>
      </c>
      <c r="S3273" s="1209">
        <v>699</v>
      </c>
      <c r="T3273" s="204" t="s">
        <v>11532</v>
      </c>
      <c r="U3273" s="1901" t="s">
        <v>138</v>
      </c>
      <c r="V3273" s="572" t="s">
        <v>3342</v>
      </c>
      <c r="W3273" s="681" t="s">
        <v>9090</v>
      </c>
      <c r="X3273" s="18"/>
      <c r="Y3273" s="4"/>
      <c r="Z3273" s="4"/>
    </row>
    <row r="3274" spans="1:26" ht="90.95" hidden="1">
      <c r="A3274" s="20">
        <v>3281</v>
      </c>
      <c r="B3274" s="1063">
        <v>43051</v>
      </c>
      <c r="C3274" s="934" t="s">
        <v>8950</v>
      </c>
      <c r="D3274" s="11" t="s">
        <v>6</v>
      </c>
      <c r="E3274" s="204" t="s">
        <v>166</v>
      </c>
      <c r="F3274" s="934" t="s">
        <v>7782</v>
      </c>
      <c r="G3274" s="204" t="s">
        <v>11533</v>
      </c>
      <c r="H3274" s="204" t="s">
        <v>11534</v>
      </c>
      <c r="I3274" s="204" t="s">
        <v>281</v>
      </c>
      <c r="J3274" s="204" t="s">
        <v>11535</v>
      </c>
      <c r="K3274" s="204" t="s">
        <v>11536</v>
      </c>
      <c r="L3274" s="204" t="s">
        <v>1806</v>
      </c>
      <c r="M3274" s="204">
        <v>1</v>
      </c>
      <c r="N3274" s="204">
        <v>1</v>
      </c>
      <c r="O3274" s="204">
        <v>3</v>
      </c>
      <c r="P3274" s="204">
        <v>0</v>
      </c>
      <c r="Q3274" s="572">
        <v>2</v>
      </c>
      <c r="R3274" s="1209">
        <v>2371</v>
      </c>
      <c r="S3274" s="1209">
        <f t="shared" ref="S3274:S3275" si="189">R3274*O3274</f>
        <v>7113</v>
      </c>
      <c r="T3274" s="204" t="s">
        <v>5448</v>
      </c>
      <c r="U3274" s="1901" t="s">
        <v>11052</v>
      </c>
      <c r="V3274" s="572" t="s">
        <v>3140</v>
      </c>
      <c r="W3274" s="804" t="s">
        <v>11537</v>
      </c>
      <c r="X3274" s="18" t="s">
        <v>11538</v>
      </c>
      <c r="Y3274" s="4"/>
      <c r="Z3274" s="4"/>
    </row>
    <row r="3275" spans="1:26" ht="14.1" hidden="1">
      <c r="A3275" s="20">
        <v>3282</v>
      </c>
      <c r="B3275" s="1063">
        <v>43052</v>
      </c>
      <c r="C3275" s="934" t="s">
        <v>11539</v>
      </c>
      <c r="D3275" s="11" t="s">
        <v>6</v>
      </c>
      <c r="E3275" s="204" t="s">
        <v>166</v>
      </c>
      <c r="F3275" s="934" t="s">
        <v>2143</v>
      </c>
      <c r="G3275" s="204" t="s">
        <v>11540</v>
      </c>
      <c r="H3275" s="204" t="s">
        <v>3767</v>
      </c>
      <c r="I3275" s="204" t="s">
        <v>84</v>
      </c>
      <c r="J3275" s="204" t="s">
        <v>2417</v>
      </c>
      <c r="K3275" s="204" t="s">
        <v>2417</v>
      </c>
      <c r="L3275" s="204"/>
      <c r="M3275" s="204">
        <v>3</v>
      </c>
      <c r="N3275" s="204">
        <v>1</v>
      </c>
      <c r="O3275" s="204">
        <v>6</v>
      </c>
      <c r="P3275" s="204">
        <v>0</v>
      </c>
      <c r="Q3275" s="572">
        <v>3</v>
      </c>
      <c r="R3275" s="1209">
        <v>1990</v>
      </c>
      <c r="S3275" s="1209">
        <f t="shared" si="189"/>
        <v>11940</v>
      </c>
      <c r="T3275" s="204" t="s">
        <v>5448</v>
      </c>
      <c r="U3275" s="1901" t="s">
        <v>11541</v>
      </c>
      <c r="V3275" s="572" t="s">
        <v>3342</v>
      </c>
      <c r="W3275" s="681" t="s">
        <v>11542</v>
      </c>
      <c r="X3275" s="18"/>
      <c r="Y3275" s="4"/>
      <c r="Z3275" s="4"/>
    </row>
    <row r="3276" spans="1:26" ht="14.1" hidden="1">
      <c r="A3276" s="20">
        <v>3283</v>
      </c>
      <c r="B3276" s="1063">
        <v>43053</v>
      </c>
      <c r="C3276" s="934" t="s">
        <v>11543</v>
      </c>
      <c r="D3276" s="10" t="s">
        <v>6</v>
      </c>
      <c r="E3276" s="189" t="s">
        <v>2722</v>
      </c>
      <c r="F3276" s="934" t="s">
        <v>11544</v>
      </c>
      <c r="G3276" s="204" t="s">
        <v>11545</v>
      </c>
      <c r="H3276" s="204" t="s">
        <v>11546</v>
      </c>
      <c r="I3276" s="204" t="s">
        <v>11547</v>
      </c>
      <c r="J3276" s="204" t="s">
        <v>11548</v>
      </c>
      <c r="K3276" s="204" t="s">
        <v>11549</v>
      </c>
      <c r="L3276" s="204"/>
      <c r="M3276" s="204">
        <v>61</v>
      </c>
      <c r="N3276" s="204">
        <v>1</v>
      </c>
      <c r="O3276" s="204">
        <v>65</v>
      </c>
      <c r="P3276" s="204">
        <v>4</v>
      </c>
      <c r="Q3276" s="572">
        <v>8</v>
      </c>
      <c r="R3276" s="1209">
        <v>34600</v>
      </c>
      <c r="S3276" s="1209">
        <v>2279000</v>
      </c>
      <c r="T3276" s="204" t="s">
        <v>11550</v>
      </c>
      <c r="U3276" s="1901" t="s">
        <v>448</v>
      </c>
      <c r="V3276" s="572" t="s">
        <v>3342</v>
      </c>
      <c r="W3276" s="681" t="s">
        <v>11551</v>
      </c>
      <c r="X3276" s="18"/>
      <c r="Y3276" s="4"/>
      <c r="Z3276" s="4"/>
    </row>
    <row r="3277" spans="1:26" ht="14.1" hidden="1">
      <c r="A3277" s="20">
        <v>3284</v>
      </c>
      <c r="B3277" s="1063">
        <v>43054</v>
      </c>
      <c r="C3277" s="934" t="s">
        <v>11552</v>
      </c>
      <c r="D3277" s="11" t="s">
        <v>6</v>
      </c>
      <c r="E3277" s="204" t="s">
        <v>4951</v>
      </c>
      <c r="F3277" s="934" t="s">
        <v>3413</v>
      </c>
      <c r="G3277" s="204" t="s">
        <v>11553</v>
      </c>
      <c r="H3277" s="204" t="s">
        <v>11554</v>
      </c>
      <c r="I3277" s="204" t="s">
        <v>102</v>
      </c>
      <c r="J3277" s="204"/>
      <c r="K3277" s="204" t="s">
        <v>11555</v>
      </c>
      <c r="L3277" s="204"/>
      <c r="M3277" s="204">
        <v>8</v>
      </c>
      <c r="N3277" s="204">
        <v>8</v>
      </c>
      <c r="O3277" s="204">
        <v>8</v>
      </c>
      <c r="P3277" s="204">
        <v>0</v>
      </c>
      <c r="Q3277" s="572">
        <v>0</v>
      </c>
      <c r="R3277" s="1209">
        <f>S3277/M3277</f>
        <v>209</v>
      </c>
      <c r="S3277" s="1209">
        <v>1672</v>
      </c>
      <c r="T3277" s="204" t="s">
        <v>5448</v>
      </c>
      <c r="U3277" s="1901" t="s">
        <v>11541</v>
      </c>
      <c r="V3277" s="572" t="s">
        <v>3342</v>
      </c>
      <c r="W3277" s="681" t="s">
        <v>11556</v>
      </c>
      <c r="X3277" s="18"/>
      <c r="Y3277" s="4"/>
      <c r="Z3277" s="4"/>
    </row>
    <row r="3278" spans="1:26" ht="14.1" hidden="1">
      <c r="A3278" s="20">
        <v>3285</v>
      </c>
      <c r="B3278" s="1063">
        <v>43055</v>
      </c>
      <c r="C3278" s="934" t="s">
        <v>11557</v>
      </c>
      <c r="D3278" s="11"/>
      <c r="E3278" s="204" t="s">
        <v>11558</v>
      </c>
      <c r="F3278" s="934" t="s">
        <v>11559</v>
      </c>
      <c r="G3278" s="410" t="s">
        <v>11560</v>
      </c>
      <c r="H3278" s="204" t="s">
        <v>220</v>
      </c>
      <c r="I3278" s="204" t="s">
        <v>39</v>
      </c>
      <c r="J3278" s="204" t="s">
        <v>11561</v>
      </c>
      <c r="K3278" s="204" t="s">
        <v>11562</v>
      </c>
      <c r="L3278" s="204" t="s">
        <v>4886</v>
      </c>
      <c r="M3278" s="204">
        <v>3</v>
      </c>
      <c r="N3278" s="204">
        <v>10</v>
      </c>
      <c r="O3278" s="204">
        <v>10</v>
      </c>
      <c r="P3278" s="204">
        <v>0</v>
      </c>
      <c r="Q3278" s="572">
        <v>10</v>
      </c>
      <c r="R3278" s="1209" t="s">
        <v>11563</v>
      </c>
      <c r="S3278" s="1209" t="s">
        <v>11564</v>
      </c>
      <c r="T3278" s="204" t="s">
        <v>9485</v>
      </c>
      <c r="U3278" s="1901" t="s">
        <v>441</v>
      </c>
      <c r="V3278" s="572" t="s">
        <v>352</v>
      </c>
      <c r="W3278" s="804" t="s">
        <v>11565</v>
      </c>
      <c r="X3278" s="18"/>
      <c r="Y3278" s="4"/>
      <c r="Z3278" s="4"/>
    </row>
    <row r="3279" spans="1:26" ht="14.1" hidden="1">
      <c r="A3279" s="20">
        <v>3286</v>
      </c>
      <c r="B3279" s="1063">
        <v>43056</v>
      </c>
      <c r="C3279" s="934" t="s">
        <v>11566</v>
      </c>
      <c r="D3279" s="11" t="s">
        <v>6</v>
      </c>
      <c r="E3279" s="204" t="s">
        <v>166</v>
      </c>
      <c r="F3279" s="934" t="s">
        <v>10651</v>
      </c>
      <c r="G3279" s="204" t="s">
        <v>11567</v>
      </c>
      <c r="H3279" s="204" t="s">
        <v>429</v>
      </c>
      <c r="I3279" s="204" t="s">
        <v>429</v>
      </c>
      <c r="J3279" s="204" t="s">
        <v>11568</v>
      </c>
      <c r="K3279" s="204" t="s">
        <v>11568</v>
      </c>
      <c r="L3279" s="204"/>
      <c r="M3279" s="204">
        <v>1</v>
      </c>
      <c r="N3279" s="204">
        <v>1</v>
      </c>
      <c r="O3279" s="204">
        <v>1</v>
      </c>
      <c r="P3279" s="204">
        <v>0</v>
      </c>
      <c r="Q3279" s="572">
        <v>0</v>
      </c>
      <c r="R3279" s="1209">
        <v>2767</v>
      </c>
      <c r="S3279" s="1209">
        <v>2767</v>
      </c>
      <c r="T3279" s="204" t="s">
        <v>5448</v>
      </c>
      <c r="U3279" s="1901" t="s">
        <v>10655</v>
      </c>
      <c r="V3279" s="572" t="s">
        <v>10656</v>
      </c>
      <c r="W3279" s="681" t="s">
        <v>11569</v>
      </c>
      <c r="X3279" s="18"/>
      <c r="Y3279" s="4"/>
      <c r="Z3279" s="4"/>
    </row>
    <row r="3280" spans="1:26" ht="14.1" hidden="1">
      <c r="A3280" s="20">
        <v>3287</v>
      </c>
      <c r="B3280" s="1063">
        <v>43057</v>
      </c>
      <c r="C3280" s="934" t="s">
        <v>11570</v>
      </c>
      <c r="D3280" s="11" t="s">
        <v>6</v>
      </c>
      <c r="E3280" s="204" t="s">
        <v>166</v>
      </c>
      <c r="F3280" s="934" t="s">
        <v>10651</v>
      </c>
      <c r="G3280" s="204" t="s">
        <v>11571</v>
      </c>
      <c r="H3280" s="204" t="s">
        <v>429</v>
      </c>
      <c r="I3280" s="204" t="s">
        <v>429</v>
      </c>
      <c r="J3280" s="204" t="s">
        <v>11572</v>
      </c>
      <c r="K3280" s="204" t="s">
        <v>11572</v>
      </c>
      <c r="L3280" s="204"/>
      <c r="M3280" s="204">
        <v>1</v>
      </c>
      <c r="N3280" s="204">
        <v>1</v>
      </c>
      <c r="O3280" s="204">
        <v>1</v>
      </c>
      <c r="P3280" s="204">
        <v>0</v>
      </c>
      <c r="Q3280" s="572">
        <v>0</v>
      </c>
      <c r="R3280" s="1209">
        <v>3528</v>
      </c>
      <c r="S3280" s="1209">
        <v>3528</v>
      </c>
      <c r="T3280" s="204" t="s">
        <v>5448</v>
      </c>
      <c r="U3280" s="1901" t="s">
        <v>10655</v>
      </c>
      <c r="V3280" s="572" t="s">
        <v>10656</v>
      </c>
      <c r="W3280" s="681" t="s">
        <v>11573</v>
      </c>
      <c r="X3280" s="18"/>
      <c r="Y3280" s="4"/>
      <c r="Z3280" s="4"/>
    </row>
    <row r="3281" spans="1:26" ht="14.1" hidden="1">
      <c r="A3281" s="20">
        <v>3288</v>
      </c>
      <c r="B3281" s="1063">
        <v>43058</v>
      </c>
      <c r="C3281" s="934" t="s">
        <v>11574</v>
      </c>
      <c r="D3281" s="11" t="s">
        <v>6</v>
      </c>
      <c r="E3281" s="204" t="s">
        <v>166</v>
      </c>
      <c r="F3281" s="934" t="s">
        <v>10651</v>
      </c>
      <c r="G3281" s="204" t="s">
        <v>11575</v>
      </c>
      <c r="H3281" s="204" t="s">
        <v>429</v>
      </c>
      <c r="I3281" s="204" t="s">
        <v>429</v>
      </c>
      <c r="J3281" s="204" t="s">
        <v>11576</v>
      </c>
      <c r="K3281" s="204" t="s">
        <v>11576</v>
      </c>
      <c r="L3281" s="204"/>
      <c r="M3281" s="204">
        <v>1</v>
      </c>
      <c r="N3281" s="204">
        <v>1</v>
      </c>
      <c r="O3281" s="204">
        <v>1</v>
      </c>
      <c r="P3281" s="204">
        <v>0</v>
      </c>
      <c r="Q3281" s="572">
        <v>0</v>
      </c>
      <c r="R3281" s="1209">
        <v>4569</v>
      </c>
      <c r="S3281" s="1209">
        <v>4569</v>
      </c>
      <c r="T3281" s="204" t="s">
        <v>5448</v>
      </c>
      <c r="U3281" s="1901" t="s">
        <v>10655</v>
      </c>
      <c r="V3281" s="572" t="s">
        <v>10656</v>
      </c>
      <c r="W3281" s="681" t="s">
        <v>11577</v>
      </c>
      <c r="X3281" s="18"/>
      <c r="Y3281" s="4"/>
      <c r="Z3281" s="4"/>
    </row>
    <row r="3282" spans="1:26" ht="14.1" hidden="1">
      <c r="A3282" s="20">
        <v>3289</v>
      </c>
      <c r="B3282" s="1063">
        <v>43059</v>
      </c>
      <c r="C3282" s="934" t="s">
        <v>11578</v>
      </c>
      <c r="D3282" s="11" t="s">
        <v>6</v>
      </c>
      <c r="E3282" s="204" t="s">
        <v>166</v>
      </c>
      <c r="F3282" s="934" t="s">
        <v>10651</v>
      </c>
      <c r="G3282" s="204" t="s">
        <v>11579</v>
      </c>
      <c r="H3282" s="204" t="s">
        <v>429</v>
      </c>
      <c r="I3282" s="204" t="s">
        <v>429</v>
      </c>
      <c r="J3282" s="204" t="s">
        <v>11580</v>
      </c>
      <c r="K3282" s="204" t="s">
        <v>11580</v>
      </c>
      <c r="L3282" s="204"/>
      <c r="M3282" s="204">
        <v>1</v>
      </c>
      <c r="N3282" s="204">
        <v>1</v>
      </c>
      <c r="O3282" s="204">
        <v>1</v>
      </c>
      <c r="P3282" s="204">
        <v>0</v>
      </c>
      <c r="Q3282" s="572">
        <v>0</v>
      </c>
      <c r="R3282" s="1209">
        <v>4711</v>
      </c>
      <c r="S3282" s="1209">
        <v>4711</v>
      </c>
      <c r="T3282" s="204" t="s">
        <v>5448</v>
      </c>
      <c r="U3282" s="1901" t="s">
        <v>10655</v>
      </c>
      <c r="V3282" s="572" t="s">
        <v>10656</v>
      </c>
      <c r="W3282" s="681" t="s">
        <v>11581</v>
      </c>
      <c r="X3282" s="18"/>
      <c r="Y3282" s="4"/>
      <c r="Z3282" s="4"/>
    </row>
    <row r="3283" spans="1:26" ht="14.1" hidden="1">
      <c r="A3283" s="20">
        <v>3290</v>
      </c>
      <c r="B3283" s="1063">
        <v>43060</v>
      </c>
      <c r="C3283" s="934" t="s">
        <v>11582</v>
      </c>
      <c r="D3283" s="11" t="s">
        <v>6</v>
      </c>
      <c r="E3283" s="204" t="s">
        <v>166</v>
      </c>
      <c r="F3283" s="934" t="s">
        <v>10651</v>
      </c>
      <c r="G3283" s="204" t="s">
        <v>11583</v>
      </c>
      <c r="H3283" s="204" t="s">
        <v>429</v>
      </c>
      <c r="I3283" s="204" t="s">
        <v>429</v>
      </c>
      <c r="J3283" s="204" t="s">
        <v>11584</v>
      </c>
      <c r="K3283" s="204" t="s">
        <v>11584</v>
      </c>
      <c r="L3283" s="204"/>
      <c r="M3283" s="204">
        <v>1</v>
      </c>
      <c r="N3283" s="204">
        <v>1</v>
      </c>
      <c r="O3283" s="204">
        <v>1</v>
      </c>
      <c r="P3283" s="204">
        <v>0</v>
      </c>
      <c r="Q3283" s="572">
        <v>0</v>
      </c>
      <c r="R3283" s="1209">
        <v>13900</v>
      </c>
      <c r="S3283" s="1209">
        <v>13900</v>
      </c>
      <c r="T3283" s="204" t="s">
        <v>5448</v>
      </c>
      <c r="U3283" s="1901" t="s">
        <v>10655</v>
      </c>
      <c r="V3283" s="572" t="s">
        <v>10656</v>
      </c>
      <c r="W3283" s="681" t="s">
        <v>11585</v>
      </c>
      <c r="X3283" s="18"/>
      <c r="Y3283" s="4"/>
      <c r="Z3283" s="4"/>
    </row>
    <row r="3284" spans="1:26" ht="14.1" hidden="1">
      <c r="A3284" s="20">
        <v>3291</v>
      </c>
      <c r="B3284" s="1063">
        <v>43061</v>
      </c>
      <c r="C3284" s="934" t="s">
        <v>11586</v>
      </c>
      <c r="D3284" s="11" t="s">
        <v>6</v>
      </c>
      <c r="E3284" s="204" t="s">
        <v>166</v>
      </c>
      <c r="F3284" s="934" t="s">
        <v>10651</v>
      </c>
      <c r="G3284" s="204" t="s">
        <v>11587</v>
      </c>
      <c r="H3284" s="204" t="s">
        <v>429</v>
      </c>
      <c r="I3284" s="204" t="s">
        <v>429</v>
      </c>
      <c r="J3284" s="204" t="s">
        <v>11588</v>
      </c>
      <c r="K3284" s="204" t="s">
        <v>11588</v>
      </c>
      <c r="L3284" s="204"/>
      <c r="M3284" s="204">
        <v>1</v>
      </c>
      <c r="N3284" s="204">
        <v>1</v>
      </c>
      <c r="O3284" s="204">
        <v>1</v>
      </c>
      <c r="P3284" s="204">
        <v>0</v>
      </c>
      <c r="Q3284" s="572">
        <v>0</v>
      </c>
      <c r="R3284" s="1209">
        <v>4380</v>
      </c>
      <c r="S3284" s="1209">
        <v>4380</v>
      </c>
      <c r="T3284" s="204" t="s">
        <v>5448</v>
      </c>
      <c r="U3284" s="1901" t="s">
        <v>10655</v>
      </c>
      <c r="V3284" s="572" t="s">
        <v>10656</v>
      </c>
      <c r="W3284" s="681" t="s">
        <v>11589</v>
      </c>
      <c r="X3284" s="18"/>
      <c r="Y3284" s="4"/>
      <c r="Z3284" s="4"/>
    </row>
    <row r="3285" spans="1:26" ht="14.1" hidden="1">
      <c r="A3285" s="20">
        <v>3292</v>
      </c>
      <c r="B3285" s="1063">
        <v>43062</v>
      </c>
      <c r="C3285" s="934" t="s">
        <v>11590</v>
      </c>
      <c r="D3285" s="11" t="s">
        <v>6</v>
      </c>
      <c r="E3285" s="204" t="s">
        <v>166</v>
      </c>
      <c r="F3285" s="934" t="s">
        <v>10651</v>
      </c>
      <c r="G3285" s="204" t="s">
        <v>11591</v>
      </c>
      <c r="H3285" s="204" t="s">
        <v>429</v>
      </c>
      <c r="I3285" s="204" t="s">
        <v>429</v>
      </c>
      <c r="J3285" s="204" t="s">
        <v>11592</v>
      </c>
      <c r="K3285" s="204" t="s">
        <v>11592</v>
      </c>
      <c r="L3285" s="204"/>
      <c r="M3285" s="204">
        <v>2</v>
      </c>
      <c r="N3285" s="204">
        <v>1</v>
      </c>
      <c r="O3285" s="204">
        <v>2</v>
      </c>
      <c r="P3285" s="204">
        <v>0</v>
      </c>
      <c r="Q3285" s="572">
        <v>0</v>
      </c>
      <c r="R3285" s="1209">
        <v>1487</v>
      </c>
      <c r="S3285" s="1209">
        <v>2974</v>
      </c>
      <c r="T3285" s="204" t="s">
        <v>5448</v>
      </c>
      <c r="U3285" s="1901" t="s">
        <v>10655</v>
      </c>
      <c r="V3285" s="572" t="s">
        <v>10656</v>
      </c>
      <c r="W3285" s="681" t="s">
        <v>11593</v>
      </c>
      <c r="X3285" s="18"/>
      <c r="Y3285" s="4"/>
      <c r="Z3285" s="4"/>
    </row>
    <row r="3286" spans="1:26" ht="14.1" hidden="1">
      <c r="A3286" s="20">
        <v>3293</v>
      </c>
      <c r="B3286" s="1063">
        <v>43063</v>
      </c>
      <c r="C3286" s="934" t="s">
        <v>11594</v>
      </c>
      <c r="D3286" s="11" t="s">
        <v>6</v>
      </c>
      <c r="E3286" s="204" t="s">
        <v>166</v>
      </c>
      <c r="F3286" s="934" t="s">
        <v>10651</v>
      </c>
      <c r="G3286" s="204" t="s">
        <v>11595</v>
      </c>
      <c r="H3286" s="204" t="s">
        <v>429</v>
      </c>
      <c r="I3286" s="204" t="s">
        <v>429</v>
      </c>
      <c r="J3286" s="204" t="s">
        <v>11596</v>
      </c>
      <c r="K3286" s="204" t="s">
        <v>11596</v>
      </c>
      <c r="L3286" s="204"/>
      <c r="M3286" s="204">
        <v>1</v>
      </c>
      <c r="N3286" s="204">
        <v>1</v>
      </c>
      <c r="O3286" s="204">
        <v>1</v>
      </c>
      <c r="P3286" s="204">
        <v>0</v>
      </c>
      <c r="Q3286" s="572">
        <v>0</v>
      </c>
      <c r="R3286" s="1209">
        <v>4530</v>
      </c>
      <c r="S3286" s="1209">
        <v>4530</v>
      </c>
      <c r="T3286" s="204" t="s">
        <v>5448</v>
      </c>
      <c r="U3286" s="1901" t="s">
        <v>10655</v>
      </c>
      <c r="V3286" s="572" t="s">
        <v>10656</v>
      </c>
      <c r="W3286" s="681" t="s">
        <v>11593</v>
      </c>
      <c r="X3286" s="18"/>
      <c r="Y3286" s="4"/>
      <c r="Z3286" s="4"/>
    </row>
    <row r="3287" spans="1:26" ht="14.1" hidden="1">
      <c r="A3287" s="20">
        <v>3294</v>
      </c>
      <c r="B3287" s="1063">
        <v>43064</v>
      </c>
      <c r="C3287" s="934" t="s">
        <v>11597</v>
      </c>
      <c r="D3287" s="11" t="s">
        <v>6</v>
      </c>
      <c r="E3287" s="204" t="s">
        <v>166</v>
      </c>
      <c r="F3287" s="934" t="s">
        <v>10651</v>
      </c>
      <c r="G3287" s="204" t="s">
        <v>11598</v>
      </c>
      <c r="H3287" s="204" t="s">
        <v>429</v>
      </c>
      <c r="I3287" s="204" t="s">
        <v>429</v>
      </c>
      <c r="J3287" s="204" t="s">
        <v>11599</v>
      </c>
      <c r="K3287" s="204" t="s">
        <v>11599</v>
      </c>
      <c r="L3287" s="204"/>
      <c r="M3287" s="204">
        <v>1</v>
      </c>
      <c r="N3287" s="204">
        <v>1</v>
      </c>
      <c r="O3287" s="204">
        <v>1</v>
      </c>
      <c r="P3287" s="204">
        <v>0</v>
      </c>
      <c r="Q3287" s="572">
        <v>0</v>
      </c>
      <c r="R3287" s="1209">
        <v>4530</v>
      </c>
      <c r="S3287" s="1209">
        <v>4530</v>
      </c>
      <c r="T3287" s="204" t="s">
        <v>5448</v>
      </c>
      <c r="U3287" s="1901" t="s">
        <v>10655</v>
      </c>
      <c r="V3287" s="572" t="s">
        <v>10656</v>
      </c>
      <c r="W3287" s="681" t="s">
        <v>11600</v>
      </c>
      <c r="X3287" s="18"/>
      <c r="Y3287" s="4"/>
      <c r="Z3287" s="4"/>
    </row>
    <row r="3288" spans="1:26" ht="14.1" hidden="1">
      <c r="A3288" s="20">
        <v>3295</v>
      </c>
      <c r="B3288" s="1063">
        <v>43065</v>
      </c>
      <c r="C3288" s="934" t="s">
        <v>11601</v>
      </c>
      <c r="D3288" s="11" t="s">
        <v>6</v>
      </c>
      <c r="E3288" s="204" t="s">
        <v>166</v>
      </c>
      <c r="F3288" s="934" t="s">
        <v>10651</v>
      </c>
      <c r="G3288" s="204" t="s">
        <v>11602</v>
      </c>
      <c r="H3288" s="204" t="s">
        <v>429</v>
      </c>
      <c r="I3288" s="204" t="s">
        <v>429</v>
      </c>
      <c r="J3288" s="204" t="s">
        <v>11603</v>
      </c>
      <c r="K3288" s="204" t="s">
        <v>11603</v>
      </c>
      <c r="L3288" s="204"/>
      <c r="M3288" s="204">
        <v>1</v>
      </c>
      <c r="N3288" s="204">
        <v>1</v>
      </c>
      <c r="O3288" s="204">
        <v>1</v>
      </c>
      <c r="P3288" s="204">
        <v>0</v>
      </c>
      <c r="Q3288" s="572">
        <v>0</v>
      </c>
      <c r="R3288" s="1209">
        <v>1385</v>
      </c>
      <c r="S3288" s="1209">
        <v>1385</v>
      </c>
      <c r="T3288" s="204" t="s">
        <v>5448</v>
      </c>
      <c r="U3288" s="1901" t="s">
        <v>10655</v>
      </c>
      <c r="V3288" s="572" t="s">
        <v>10656</v>
      </c>
      <c r="W3288" s="681" t="s">
        <v>11604</v>
      </c>
      <c r="X3288" s="18"/>
      <c r="Y3288" s="4"/>
      <c r="Z3288" s="4"/>
    </row>
    <row r="3289" spans="1:26" ht="14.1" hidden="1">
      <c r="A3289" s="20">
        <v>3296</v>
      </c>
      <c r="B3289" s="1063">
        <v>43066</v>
      </c>
      <c r="C3289" s="934" t="s">
        <v>11605</v>
      </c>
      <c r="D3289" s="11" t="s">
        <v>6</v>
      </c>
      <c r="E3289" s="204" t="s">
        <v>166</v>
      </c>
      <c r="F3289" s="934" t="s">
        <v>10651</v>
      </c>
      <c r="G3289" s="204" t="s">
        <v>11606</v>
      </c>
      <c r="H3289" s="204" t="s">
        <v>429</v>
      </c>
      <c r="I3289" s="204" t="s">
        <v>429</v>
      </c>
      <c r="J3289" s="204" t="s">
        <v>11607</v>
      </c>
      <c r="K3289" s="204" t="s">
        <v>11607</v>
      </c>
      <c r="L3289" s="204"/>
      <c r="M3289" s="204">
        <v>2</v>
      </c>
      <c r="N3289" s="204">
        <v>2</v>
      </c>
      <c r="O3289" s="204">
        <v>2</v>
      </c>
      <c r="P3289" s="204">
        <v>0</v>
      </c>
      <c r="Q3289" s="572">
        <v>0</v>
      </c>
      <c r="R3289" s="1209">
        <v>969</v>
      </c>
      <c r="S3289" s="1209">
        <v>1938</v>
      </c>
      <c r="T3289" s="204" t="s">
        <v>5448</v>
      </c>
      <c r="U3289" s="1901" t="s">
        <v>10655</v>
      </c>
      <c r="V3289" s="572" t="s">
        <v>10656</v>
      </c>
      <c r="W3289" s="681" t="s">
        <v>11608</v>
      </c>
      <c r="X3289" s="18"/>
      <c r="Y3289" s="4"/>
      <c r="Z3289" s="4"/>
    </row>
    <row r="3290" spans="1:26" ht="14.1" hidden="1">
      <c r="A3290" s="20">
        <v>3297</v>
      </c>
      <c r="B3290" s="1063">
        <v>43067</v>
      </c>
      <c r="C3290" s="934" t="s">
        <v>11609</v>
      </c>
      <c r="D3290" s="11" t="s">
        <v>6</v>
      </c>
      <c r="E3290" s="204" t="s">
        <v>166</v>
      </c>
      <c r="F3290" s="934" t="s">
        <v>10651</v>
      </c>
      <c r="G3290" s="204" t="s">
        <v>11610</v>
      </c>
      <c r="H3290" s="204" t="s">
        <v>429</v>
      </c>
      <c r="I3290" s="204" t="s">
        <v>429</v>
      </c>
      <c r="J3290" s="204" t="s">
        <v>11611</v>
      </c>
      <c r="K3290" s="204" t="s">
        <v>11611</v>
      </c>
      <c r="L3290" s="204"/>
      <c r="M3290" s="204">
        <v>250</v>
      </c>
      <c r="N3290" s="204">
        <v>250</v>
      </c>
      <c r="O3290" s="204">
        <v>250</v>
      </c>
      <c r="P3290" s="204">
        <v>0</v>
      </c>
      <c r="Q3290" s="572">
        <v>0</v>
      </c>
      <c r="R3290" s="1209">
        <v>156</v>
      </c>
      <c r="S3290" s="1209">
        <v>38250</v>
      </c>
      <c r="T3290" s="204" t="s">
        <v>5448</v>
      </c>
      <c r="U3290" s="1901" t="s">
        <v>10655</v>
      </c>
      <c r="V3290" s="572" t="s">
        <v>10656</v>
      </c>
      <c r="W3290" s="681" t="s">
        <v>11612</v>
      </c>
      <c r="X3290" s="18"/>
      <c r="Y3290" s="4"/>
      <c r="Z3290" s="4"/>
    </row>
    <row r="3291" spans="1:26" ht="14.1" hidden="1">
      <c r="A3291" s="20">
        <v>3298</v>
      </c>
      <c r="B3291" s="1063">
        <v>43068</v>
      </c>
      <c r="C3291" s="934" t="s">
        <v>11613</v>
      </c>
      <c r="D3291" s="11" t="s">
        <v>6</v>
      </c>
      <c r="E3291" s="204" t="s">
        <v>166</v>
      </c>
      <c r="F3291" s="934" t="s">
        <v>10651</v>
      </c>
      <c r="G3291" s="204" t="s">
        <v>11614</v>
      </c>
      <c r="H3291" s="204" t="s">
        <v>429</v>
      </c>
      <c r="I3291" s="204" t="s">
        <v>429</v>
      </c>
      <c r="J3291" s="204" t="s">
        <v>10654</v>
      </c>
      <c r="K3291" s="204" t="s">
        <v>11615</v>
      </c>
      <c r="L3291" s="204"/>
      <c r="M3291" s="204">
        <v>1</v>
      </c>
      <c r="N3291" s="204">
        <v>1</v>
      </c>
      <c r="O3291" s="204">
        <v>1</v>
      </c>
      <c r="P3291" s="204">
        <v>0</v>
      </c>
      <c r="Q3291" s="572">
        <v>0</v>
      </c>
      <c r="R3291" s="1209">
        <v>8999</v>
      </c>
      <c r="S3291" s="1209">
        <v>8999</v>
      </c>
      <c r="T3291" s="204" t="s">
        <v>5448</v>
      </c>
      <c r="U3291" s="1901" t="s">
        <v>10655</v>
      </c>
      <c r="V3291" s="572" t="s">
        <v>10656</v>
      </c>
      <c r="W3291" s="681" t="s">
        <v>11616</v>
      </c>
      <c r="X3291" s="18"/>
      <c r="Y3291" s="4"/>
      <c r="Z3291" s="4"/>
    </row>
    <row r="3292" spans="1:26" ht="50.1" hidden="1">
      <c r="A3292" s="20">
        <v>3299</v>
      </c>
      <c r="B3292" s="1063">
        <v>43069</v>
      </c>
      <c r="C3292" s="934" t="s">
        <v>11617</v>
      </c>
      <c r="D3292" s="11" t="s">
        <v>6</v>
      </c>
      <c r="E3292" s="204" t="s">
        <v>11558</v>
      </c>
      <c r="F3292" s="934" t="s">
        <v>10696</v>
      </c>
      <c r="G3292" s="160" t="s">
        <v>11618</v>
      </c>
      <c r="H3292" s="204" t="s">
        <v>713</v>
      </c>
      <c r="I3292" s="204" t="s">
        <v>6651</v>
      </c>
      <c r="J3292" s="204" t="s">
        <v>11619</v>
      </c>
      <c r="K3292" s="204"/>
      <c r="L3292" s="204"/>
      <c r="M3292" s="204">
        <v>1</v>
      </c>
      <c r="N3292" s="204">
        <v>1</v>
      </c>
      <c r="O3292" s="204">
        <v>1</v>
      </c>
      <c r="P3292" s="204">
        <v>0</v>
      </c>
      <c r="Q3292" s="572">
        <v>0</v>
      </c>
      <c r="R3292" s="1209">
        <v>15600</v>
      </c>
      <c r="S3292" s="1209">
        <v>15600</v>
      </c>
      <c r="T3292" s="204" t="s">
        <v>9485</v>
      </c>
      <c r="U3292" s="1901" t="s">
        <v>11620</v>
      </c>
      <c r="V3292" s="572" t="s">
        <v>352</v>
      </c>
      <c r="W3292" s="2041" t="s">
        <v>11621</v>
      </c>
      <c r="X3292" s="18"/>
      <c r="Y3292" s="4"/>
      <c r="Z3292" s="4"/>
    </row>
    <row r="3293" spans="1:26" ht="14.1" hidden="1">
      <c r="A3293" s="20">
        <v>3300</v>
      </c>
      <c r="B3293" s="1063">
        <v>43070</v>
      </c>
      <c r="C3293" s="934" t="s">
        <v>11622</v>
      </c>
      <c r="D3293" s="11" t="s">
        <v>6</v>
      </c>
      <c r="E3293" s="204" t="s">
        <v>166</v>
      </c>
      <c r="F3293" s="934" t="s">
        <v>2143</v>
      </c>
      <c r="G3293" s="204" t="s">
        <v>11623</v>
      </c>
      <c r="H3293" s="204" t="s">
        <v>5694</v>
      </c>
      <c r="I3293" s="204" t="s">
        <v>84</v>
      </c>
      <c r="J3293" s="204">
        <v>8098921</v>
      </c>
      <c r="K3293" s="204" t="s">
        <v>11624</v>
      </c>
      <c r="L3293" s="204"/>
      <c r="M3293" s="204">
        <v>3</v>
      </c>
      <c r="N3293" s="204">
        <v>1</v>
      </c>
      <c r="O3293" s="204">
        <v>3</v>
      </c>
      <c r="P3293" s="204">
        <v>0</v>
      </c>
      <c r="Q3293" s="572">
        <v>0</v>
      </c>
      <c r="R3293" s="1209">
        <v>1290</v>
      </c>
      <c r="S3293" s="1209">
        <f>R3293*O3293</f>
        <v>3870</v>
      </c>
      <c r="T3293" s="204" t="s">
        <v>5448</v>
      </c>
      <c r="U3293" s="1901" t="s">
        <v>138</v>
      </c>
      <c r="V3293" s="572" t="s">
        <v>10656</v>
      </c>
      <c r="W3293" s="681" t="s">
        <v>11625</v>
      </c>
      <c r="X3293" s="18" t="s">
        <v>11626</v>
      </c>
      <c r="Y3293" s="4"/>
      <c r="Z3293" s="4"/>
    </row>
    <row r="3294" spans="1:26" ht="14.1" hidden="1">
      <c r="A3294" s="20">
        <v>3301</v>
      </c>
      <c r="B3294" s="1063">
        <v>43071</v>
      </c>
      <c r="C3294" s="934" t="s">
        <v>1183</v>
      </c>
      <c r="D3294" s="11"/>
      <c r="E3294" s="204" t="s">
        <v>11558</v>
      </c>
      <c r="F3294" s="934" t="s">
        <v>73</v>
      </c>
      <c r="G3294" s="204" t="s">
        <v>11627</v>
      </c>
      <c r="H3294" s="204" t="s">
        <v>366</v>
      </c>
      <c r="I3294" s="204" t="s">
        <v>366</v>
      </c>
      <c r="J3294" s="204" t="s">
        <v>11628</v>
      </c>
      <c r="K3294" s="204" t="s">
        <v>11628</v>
      </c>
      <c r="L3294" s="204"/>
      <c r="M3294" s="204">
        <v>1</v>
      </c>
      <c r="N3294" s="204">
        <v>1</v>
      </c>
      <c r="O3294" s="204">
        <v>1</v>
      </c>
      <c r="P3294" s="204">
        <v>0</v>
      </c>
      <c r="Q3294" s="572">
        <v>0</v>
      </c>
      <c r="R3294" s="1209">
        <v>5530</v>
      </c>
      <c r="S3294" s="1209">
        <v>5530</v>
      </c>
      <c r="T3294" s="204" t="s">
        <v>4220</v>
      </c>
      <c r="U3294" s="1901" t="s">
        <v>4220</v>
      </c>
      <c r="V3294" s="572" t="s">
        <v>11629</v>
      </c>
      <c r="W3294" s="681" t="s">
        <v>11630</v>
      </c>
      <c r="X3294" s="18"/>
      <c r="Y3294" s="4"/>
      <c r="Z3294" s="4"/>
    </row>
    <row r="3295" spans="1:26" ht="14.1" hidden="1">
      <c r="A3295" s="20">
        <v>3302</v>
      </c>
      <c r="B3295" s="1063">
        <v>43072</v>
      </c>
      <c r="C3295" s="934" t="s">
        <v>1183</v>
      </c>
      <c r="D3295" s="11"/>
      <c r="E3295" s="204" t="s">
        <v>11558</v>
      </c>
      <c r="F3295" s="934" t="s">
        <v>73</v>
      </c>
      <c r="G3295" s="204" t="s">
        <v>11631</v>
      </c>
      <c r="H3295" s="204" t="s">
        <v>366</v>
      </c>
      <c r="I3295" s="204" t="s">
        <v>366</v>
      </c>
      <c r="J3295" s="204" t="s">
        <v>11632</v>
      </c>
      <c r="K3295" s="204" t="s">
        <v>11632</v>
      </c>
      <c r="L3295" s="204"/>
      <c r="M3295" s="204">
        <v>1</v>
      </c>
      <c r="N3295" s="204">
        <v>1</v>
      </c>
      <c r="O3295" s="204">
        <v>1</v>
      </c>
      <c r="P3295" s="204">
        <v>0</v>
      </c>
      <c r="Q3295" s="572">
        <v>0</v>
      </c>
      <c r="R3295" s="1209">
        <v>4668</v>
      </c>
      <c r="S3295" s="1209">
        <v>4668</v>
      </c>
      <c r="T3295" s="204" t="s">
        <v>4220</v>
      </c>
      <c r="U3295" s="1901" t="s">
        <v>4220</v>
      </c>
      <c r="V3295" s="572" t="s">
        <v>11629</v>
      </c>
      <c r="W3295" s="681" t="s">
        <v>11633</v>
      </c>
      <c r="X3295" s="18"/>
      <c r="Y3295" s="4"/>
      <c r="Z3295" s="4"/>
    </row>
    <row r="3296" spans="1:26" ht="14.1" hidden="1">
      <c r="A3296" s="20">
        <v>3303</v>
      </c>
      <c r="B3296" s="1063">
        <v>43073</v>
      </c>
      <c r="C3296" s="934" t="s">
        <v>1183</v>
      </c>
      <c r="D3296" s="11"/>
      <c r="E3296" s="204" t="s">
        <v>11558</v>
      </c>
      <c r="F3296" s="934" t="s">
        <v>73</v>
      </c>
      <c r="G3296" s="204" t="s">
        <v>11634</v>
      </c>
      <c r="H3296" s="204" t="s">
        <v>366</v>
      </c>
      <c r="I3296" s="204" t="s">
        <v>366</v>
      </c>
      <c r="J3296" s="204" t="s">
        <v>11635</v>
      </c>
      <c r="K3296" s="204" t="s">
        <v>11635</v>
      </c>
      <c r="L3296" s="204"/>
      <c r="M3296" s="204">
        <v>4</v>
      </c>
      <c r="N3296" s="204">
        <v>1</v>
      </c>
      <c r="O3296" s="204">
        <v>4</v>
      </c>
      <c r="P3296" s="204">
        <v>0</v>
      </c>
      <c r="Q3296" s="572">
        <v>0</v>
      </c>
      <c r="R3296" s="1209">
        <v>698</v>
      </c>
      <c r="S3296" s="1209">
        <v>2792</v>
      </c>
      <c r="T3296" s="204" t="s">
        <v>4220</v>
      </c>
      <c r="U3296" s="1901" t="s">
        <v>4220</v>
      </c>
      <c r="V3296" s="572" t="s">
        <v>11629</v>
      </c>
      <c r="W3296" s="681" t="s">
        <v>11636</v>
      </c>
      <c r="X3296" s="18"/>
      <c r="Y3296" s="4"/>
      <c r="Z3296" s="4"/>
    </row>
    <row r="3297" spans="1:26" ht="14.1" hidden="1">
      <c r="A3297" s="20">
        <v>3304</v>
      </c>
      <c r="B3297" s="1063">
        <v>43074</v>
      </c>
      <c r="C3297" s="934" t="s">
        <v>1183</v>
      </c>
      <c r="D3297" s="11"/>
      <c r="E3297" s="204" t="s">
        <v>11558</v>
      </c>
      <c r="F3297" s="934" t="s">
        <v>73</v>
      </c>
      <c r="G3297" s="204" t="s">
        <v>11637</v>
      </c>
      <c r="H3297" s="204" t="s">
        <v>366</v>
      </c>
      <c r="I3297" s="204" t="s">
        <v>366</v>
      </c>
      <c r="J3297" s="204" t="s">
        <v>11638</v>
      </c>
      <c r="K3297" s="204" t="s">
        <v>11638</v>
      </c>
      <c r="L3297" s="204"/>
      <c r="M3297" s="204">
        <v>1</v>
      </c>
      <c r="N3297" s="204">
        <v>1</v>
      </c>
      <c r="O3297" s="204">
        <v>1</v>
      </c>
      <c r="P3297" s="204">
        <v>0</v>
      </c>
      <c r="Q3297" s="572">
        <v>0</v>
      </c>
      <c r="R3297" s="1209">
        <v>2170</v>
      </c>
      <c r="S3297" s="1209">
        <v>2170</v>
      </c>
      <c r="T3297" s="204" t="s">
        <v>4220</v>
      </c>
      <c r="U3297" s="1901" t="s">
        <v>4220</v>
      </c>
      <c r="V3297" s="572" t="s">
        <v>11629</v>
      </c>
      <c r="W3297" s="681" t="s">
        <v>11639</v>
      </c>
      <c r="X3297" s="18"/>
      <c r="Y3297" s="4"/>
      <c r="Z3297" s="4"/>
    </row>
    <row r="3298" spans="1:26" ht="14.1" hidden="1">
      <c r="A3298" s="20">
        <v>3305</v>
      </c>
      <c r="B3298" s="1063">
        <v>43075</v>
      </c>
      <c r="C3298" s="934" t="s">
        <v>11640</v>
      </c>
      <c r="D3298" s="11" t="s">
        <v>6</v>
      </c>
      <c r="E3298" s="204" t="s">
        <v>166</v>
      </c>
      <c r="F3298" s="934" t="s">
        <v>3413</v>
      </c>
      <c r="G3298" s="204" t="s">
        <v>11641</v>
      </c>
      <c r="H3298" s="204" t="s">
        <v>11642</v>
      </c>
      <c r="I3298" s="204" t="s">
        <v>84</v>
      </c>
      <c r="J3298" s="204"/>
      <c r="K3298" s="204">
        <v>35038</v>
      </c>
      <c r="L3298" s="204"/>
      <c r="M3298" s="204">
        <v>1</v>
      </c>
      <c r="N3298" s="204">
        <v>1</v>
      </c>
      <c r="O3298" s="204">
        <v>1</v>
      </c>
      <c r="P3298" s="204">
        <v>0</v>
      </c>
      <c r="Q3298" s="572">
        <v>0</v>
      </c>
      <c r="R3298" s="1209">
        <v>7990</v>
      </c>
      <c r="S3298" s="1209">
        <v>7990</v>
      </c>
      <c r="T3298" s="204" t="s">
        <v>311</v>
      </c>
      <c r="U3298" s="1901" t="s">
        <v>311</v>
      </c>
      <c r="V3298" s="572" t="s">
        <v>3187</v>
      </c>
      <c r="W3298" s="681" t="s">
        <v>11643</v>
      </c>
      <c r="X3298" s="18"/>
      <c r="Y3298" s="4"/>
      <c r="Z3298" s="4"/>
    </row>
    <row r="3299" spans="1:26" ht="14.45" hidden="1">
      <c r="A3299" s="20">
        <v>3306</v>
      </c>
      <c r="B3299" s="1063">
        <v>43076</v>
      </c>
      <c r="C3299" s="934" t="s">
        <v>7796</v>
      </c>
      <c r="D3299" s="11"/>
      <c r="E3299" s="204" t="s">
        <v>166</v>
      </c>
      <c r="F3299" s="934" t="s">
        <v>11438</v>
      </c>
      <c r="G3299" s="213" t="s">
        <v>11644</v>
      </c>
      <c r="H3299" s="411" t="s">
        <v>839</v>
      </c>
      <c r="I3299" s="204" t="s">
        <v>281</v>
      </c>
      <c r="J3299" s="284" t="s">
        <v>11645</v>
      </c>
      <c r="K3299" s="284" t="s">
        <v>11646</v>
      </c>
      <c r="L3299" s="412" t="s">
        <v>11647</v>
      </c>
      <c r="M3299" s="204" t="s">
        <v>10390</v>
      </c>
      <c r="N3299" s="214" t="s">
        <v>11648</v>
      </c>
      <c r="O3299" s="214" t="s">
        <v>11648</v>
      </c>
      <c r="P3299" s="204">
        <v>0</v>
      </c>
      <c r="Q3299" s="572" t="s">
        <v>11649</v>
      </c>
      <c r="R3299" s="1245">
        <v>4001</v>
      </c>
      <c r="S3299" s="1245">
        <v>4001</v>
      </c>
      <c r="T3299" s="204" t="s">
        <v>9485</v>
      </c>
      <c r="U3299" s="1901" t="s">
        <v>448</v>
      </c>
      <c r="V3299" s="572" t="s">
        <v>352</v>
      </c>
      <c r="W3299" s="729" t="s">
        <v>11650</v>
      </c>
      <c r="X3299" s="18"/>
      <c r="Y3299" s="18"/>
      <c r="Z3299" s="18"/>
    </row>
    <row r="3300" spans="1:26" ht="14.1" hidden="1">
      <c r="A3300" s="20">
        <v>3307</v>
      </c>
      <c r="B3300" s="1063">
        <v>43077</v>
      </c>
      <c r="C3300" s="934" t="s">
        <v>11494</v>
      </c>
      <c r="D3300" s="11"/>
      <c r="E3300" s="204" t="s">
        <v>166</v>
      </c>
      <c r="F3300" s="934" t="s">
        <v>11438</v>
      </c>
      <c r="G3300" s="413" t="s">
        <v>11495</v>
      </c>
      <c r="H3300" s="204" t="s">
        <v>5686</v>
      </c>
      <c r="I3300" s="204" t="s">
        <v>281</v>
      </c>
      <c r="J3300" s="216" t="s">
        <v>298</v>
      </c>
      <c r="K3300" s="204" t="s">
        <v>5687</v>
      </c>
      <c r="L3300" s="204" t="s">
        <v>5267</v>
      </c>
      <c r="M3300" s="204">
        <v>4</v>
      </c>
      <c r="N3300" s="204">
        <v>1</v>
      </c>
      <c r="O3300" s="204">
        <v>4</v>
      </c>
      <c r="P3300" s="204">
        <v>0</v>
      </c>
      <c r="Q3300" s="572">
        <v>0</v>
      </c>
      <c r="R3300" s="1209">
        <v>158</v>
      </c>
      <c r="S3300" s="1209">
        <v>632</v>
      </c>
      <c r="T3300" s="204" t="s">
        <v>9485</v>
      </c>
      <c r="U3300" s="1901" t="s">
        <v>448</v>
      </c>
      <c r="V3300" s="572" t="s">
        <v>352</v>
      </c>
      <c r="W3300" s="681" t="s">
        <v>10126</v>
      </c>
      <c r="X3300" s="18"/>
      <c r="Y3300" s="4"/>
      <c r="Z3300" s="4"/>
    </row>
    <row r="3301" spans="1:26" ht="14.1" hidden="1">
      <c r="A3301" s="20">
        <f t="shared" ref="A3301:A3305" si="190">A3300+1</f>
        <v>3308</v>
      </c>
      <c r="B3301" s="1063">
        <v>43078</v>
      </c>
      <c r="C3301" s="934" t="s">
        <v>11651</v>
      </c>
      <c r="D3301" s="11" t="s">
        <v>6</v>
      </c>
      <c r="E3301" s="204" t="s">
        <v>166</v>
      </c>
      <c r="F3301" s="934" t="s">
        <v>7046</v>
      </c>
      <c r="G3301" s="204" t="s">
        <v>11652</v>
      </c>
      <c r="H3301" s="204" t="s">
        <v>366</v>
      </c>
      <c r="I3301" s="204" t="s">
        <v>366</v>
      </c>
      <c r="J3301" s="204" t="s">
        <v>11652</v>
      </c>
      <c r="K3301" s="204" t="s">
        <v>11652</v>
      </c>
      <c r="L3301" s="204"/>
      <c r="M3301" s="204">
        <v>1</v>
      </c>
      <c r="N3301" s="204">
        <v>1</v>
      </c>
      <c r="O3301" s="204">
        <v>1</v>
      </c>
      <c r="P3301" s="204">
        <v>0</v>
      </c>
      <c r="Q3301" s="572">
        <v>0</v>
      </c>
      <c r="R3301" s="1209">
        <v>4354</v>
      </c>
      <c r="S3301" s="1209">
        <f t="shared" ref="S3301:S3302" si="191">R3301</f>
        <v>4354</v>
      </c>
      <c r="T3301" s="204" t="s">
        <v>5448</v>
      </c>
      <c r="U3301" s="1901" t="s">
        <v>1886</v>
      </c>
      <c r="V3301" s="572" t="s">
        <v>11653</v>
      </c>
      <c r="W3301" s="681" t="s">
        <v>11654</v>
      </c>
      <c r="X3301" s="18"/>
      <c r="Y3301" s="4"/>
      <c r="Z3301" s="4"/>
    </row>
    <row r="3302" spans="1:26" ht="14.1" hidden="1">
      <c r="A3302" s="20">
        <f t="shared" si="190"/>
        <v>3309</v>
      </c>
      <c r="B3302" s="1063">
        <v>43079</v>
      </c>
      <c r="C3302" s="934" t="s">
        <v>11655</v>
      </c>
      <c r="D3302" s="11" t="s">
        <v>6</v>
      </c>
      <c r="E3302" s="204" t="s">
        <v>166</v>
      </c>
      <c r="F3302" s="934" t="s">
        <v>7046</v>
      </c>
      <c r="G3302" s="204" t="s">
        <v>11656</v>
      </c>
      <c r="H3302" s="204" t="s">
        <v>366</v>
      </c>
      <c r="I3302" s="204" t="s">
        <v>366</v>
      </c>
      <c r="J3302" s="204" t="s">
        <v>11656</v>
      </c>
      <c r="K3302" s="204" t="s">
        <v>11656</v>
      </c>
      <c r="L3302" s="204"/>
      <c r="M3302" s="204">
        <v>1</v>
      </c>
      <c r="N3302" s="204">
        <v>1</v>
      </c>
      <c r="O3302" s="204">
        <v>1</v>
      </c>
      <c r="P3302" s="204">
        <v>0</v>
      </c>
      <c r="Q3302" s="572">
        <v>0</v>
      </c>
      <c r="R3302" s="1209">
        <v>5330</v>
      </c>
      <c r="S3302" s="1209">
        <f t="shared" si="191"/>
        <v>5330</v>
      </c>
      <c r="T3302" s="204" t="s">
        <v>5448</v>
      </c>
      <c r="U3302" s="1901" t="s">
        <v>1886</v>
      </c>
      <c r="V3302" s="572" t="s">
        <v>11653</v>
      </c>
      <c r="W3302" s="681" t="s">
        <v>11657</v>
      </c>
      <c r="X3302" s="18"/>
      <c r="Y3302" s="4"/>
      <c r="Z3302" s="4"/>
    </row>
    <row r="3303" spans="1:26" ht="14.1" hidden="1">
      <c r="A3303" s="20">
        <f t="shared" si="190"/>
        <v>3310</v>
      </c>
      <c r="B3303" s="1063">
        <v>43080</v>
      </c>
      <c r="C3303" s="934" t="s">
        <v>11658</v>
      </c>
      <c r="D3303" s="11" t="s">
        <v>6</v>
      </c>
      <c r="E3303" s="204" t="s">
        <v>10013</v>
      </c>
      <c r="F3303" s="934" t="s">
        <v>2143</v>
      </c>
      <c r="G3303" s="204"/>
      <c r="H3303" s="204"/>
      <c r="I3303" s="204"/>
      <c r="J3303" s="204"/>
      <c r="K3303" s="204"/>
      <c r="L3303" s="204"/>
      <c r="M3303" s="204">
        <v>1</v>
      </c>
      <c r="N3303" s="204">
        <v>1</v>
      </c>
      <c r="O3303" s="204">
        <v>1</v>
      </c>
      <c r="P3303" s="204">
        <v>0</v>
      </c>
      <c r="Q3303" s="572">
        <v>0</v>
      </c>
      <c r="R3303" s="1209">
        <v>3867</v>
      </c>
      <c r="S3303" s="1209">
        <v>3867</v>
      </c>
      <c r="T3303" s="204" t="s">
        <v>5448</v>
      </c>
      <c r="U3303" s="1901" t="s">
        <v>138</v>
      </c>
      <c r="V3303" s="572"/>
      <c r="W3303" s="681" t="s">
        <v>11659</v>
      </c>
      <c r="X3303" s="18"/>
      <c r="Y3303" s="4"/>
      <c r="Z3303" s="4"/>
    </row>
    <row r="3304" spans="1:26" ht="14.1" hidden="1">
      <c r="A3304" s="20">
        <f t="shared" si="190"/>
        <v>3311</v>
      </c>
      <c r="B3304" s="1063">
        <v>43081</v>
      </c>
      <c r="C3304" s="934" t="s">
        <v>11660</v>
      </c>
      <c r="D3304" s="11" t="s">
        <v>6</v>
      </c>
      <c r="E3304" s="204" t="s">
        <v>166</v>
      </c>
      <c r="F3304" s="26" t="s">
        <v>10005</v>
      </c>
      <c r="G3304" s="204" t="s">
        <v>11661</v>
      </c>
      <c r="H3304" s="204" t="s">
        <v>11662</v>
      </c>
      <c r="I3304" s="204" t="s">
        <v>366</v>
      </c>
      <c r="J3304" s="204" t="s">
        <v>1</v>
      </c>
      <c r="K3304" s="204" t="s">
        <v>11663</v>
      </c>
      <c r="L3304" s="204" t="s">
        <v>149</v>
      </c>
      <c r="M3304" s="204">
        <v>1</v>
      </c>
      <c r="N3304" s="204">
        <v>1</v>
      </c>
      <c r="O3304" s="204">
        <v>1</v>
      </c>
      <c r="P3304" s="204">
        <v>0</v>
      </c>
      <c r="Q3304" s="572">
        <v>0</v>
      </c>
      <c r="R3304" s="1209">
        <v>1187</v>
      </c>
      <c r="S3304" s="1209">
        <f t="shared" ref="S3304:S3305" si="192">R3304*O3304</f>
        <v>1187</v>
      </c>
      <c r="T3304" s="26" t="s">
        <v>4220</v>
      </c>
      <c r="U3304" s="1901" t="s">
        <v>11664</v>
      </c>
      <c r="V3304" s="26" t="s">
        <v>689</v>
      </c>
      <c r="W3304" s="681" t="s">
        <v>11665</v>
      </c>
      <c r="X3304" s="18"/>
      <c r="Y3304" s="4"/>
      <c r="Z3304" s="4"/>
    </row>
    <row r="3305" spans="1:26" ht="14.1" hidden="1">
      <c r="A3305" s="20">
        <f t="shared" si="190"/>
        <v>3312</v>
      </c>
      <c r="B3305" s="1063">
        <v>43082</v>
      </c>
      <c r="C3305" s="934" t="s">
        <v>11666</v>
      </c>
      <c r="D3305" s="11" t="s">
        <v>6</v>
      </c>
      <c r="E3305" s="204" t="s">
        <v>166</v>
      </c>
      <c r="F3305" s="26" t="s">
        <v>10005</v>
      </c>
      <c r="G3305" s="204" t="s">
        <v>11667</v>
      </c>
      <c r="H3305" s="204" t="s">
        <v>11662</v>
      </c>
      <c r="I3305" s="204" t="s">
        <v>366</v>
      </c>
      <c r="J3305" s="204" t="s">
        <v>1</v>
      </c>
      <c r="K3305" s="204" t="s">
        <v>11668</v>
      </c>
      <c r="L3305" s="204" t="s">
        <v>149</v>
      </c>
      <c r="M3305" s="204">
        <v>1</v>
      </c>
      <c r="N3305" s="204">
        <v>1</v>
      </c>
      <c r="O3305" s="204">
        <v>1</v>
      </c>
      <c r="P3305" s="204">
        <v>0</v>
      </c>
      <c r="Q3305" s="572">
        <v>0</v>
      </c>
      <c r="R3305" s="1209">
        <v>648</v>
      </c>
      <c r="S3305" s="1209">
        <f t="shared" si="192"/>
        <v>648</v>
      </c>
      <c r="T3305" s="26" t="s">
        <v>4220</v>
      </c>
      <c r="U3305" s="1901" t="s">
        <v>11664</v>
      </c>
      <c r="V3305" s="26" t="s">
        <v>689</v>
      </c>
      <c r="W3305" s="681" t="s">
        <v>11669</v>
      </c>
      <c r="X3305" s="18"/>
      <c r="Y3305" s="4"/>
      <c r="Z3305" s="4"/>
    </row>
    <row r="3306" spans="1:26" ht="18.600000000000001" hidden="1">
      <c r="A3306" s="20">
        <v>3313</v>
      </c>
      <c r="B3306" s="1063">
        <v>43083</v>
      </c>
      <c r="C3306" s="934" t="s">
        <v>11670</v>
      </c>
      <c r="D3306" s="278" t="s">
        <v>6</v>
      </c>
      <c r="E3306" s="204" t="s">
        <v>166</v>
      </c>
      <c r="F3306" s="934" t="s">
        <v>9454</v>
      </c>
      <c r="G3306" s="204" t="s">
        <v>11671</v>
      </c>
      <c r="H3306" s="414" t="s">
        <v>11672</v>
      </c>
      <c r="I3306" s="204" t="s">
        <v>11673</v>
      </c>
      <c r="J3306" s="204" t="s">
        <v>11674</v>
      </c>
      <c r="K3306" s="204" t="s">
        <v>11674</v>
      </c>
      <c r="L3306" s="204"/>
      <c r="M3306" s="204">
        <v>1</v>
      </c>
      <c r="N3306" s="204">
        <v>1</v>
      </c>
      <c r="O3306" s="204">
        <v>1</v>
      </c>
      <c r="P3306" s="204">
        <v>0</v>
      </c>
      <c r="Q3306" s="572">
        <v>0</v>
      </c>
      <c r="R3306" s="1209" t="s">
        <v>11675</v>
      </c>
      <c r="S3306" s="1209" t="s">
        <v>11675</v>
      </c>
      <c r="T3306" s="204" t="s">
        <v>4897</v>
      </c>
      <c r="U3306" s="1901" t="s">
        <v>9458</v>
      </c>
      <c r="V3306" s="572" t="s">
        <v>11676</v>
      </c>
      <c r="W3306" s="804" t="s">
        <v>11677</v>
      </c>
      <c r="X3306" s="18"/>
      <c r="Y3306" s="4"/>
      <c r="Z3306" s="4"/>
    </row>
    <row r="3307" spans="1:26" ht="14.1" hidden="1">
      <c r="A3307" s="20">
        <f t="shared" ref="A3307:A3311" si="193">A3306+1</f>
        <v>3314</v>
      </c>
      <c r="B3307" s="1063">
        <v>43084</v>
      </c>
      <c r="C3307" s="934" t="s">
        <v>11678</v>
      </c>
      <c r="D3307" s="278" t="s">
        <v>6</v>
      </c>
      <c r="E3307" s="204" t="s">
        <v>166</v>
      </c>
      <c r="F3307" s="934" t="s">
        <v>9454</v>
      </c>
      <c r="G3307" s="204" t="s">
        <v>11679</v>
      </c>
      <c r="H3307" s="415" t="s">
        <v>11680</v>
      </c>
      <c r="I3307" s="204" t="s">
        <v>11673</v>
      </c>
      <c r="J3307" s="450" t="s">
        <v>11681</v>
      </c>
      <c r="K3307" s="415" t="s">
        <v>11681</v>
      </c>
      <c r="L3307" s="204"/>
      <c r="M3307" s="204">
        <v>1</v>
      </c>
      <c r="N3307" s="204">
        <v>1</v>
      </c>
      <c r="O3307" s="204">
        <v>1</v>
      </c>
      <c r="P3307" s="204">
        <v>0</v>
      </c>
      <c r="Q3307" s="572">
        <v>0</v>
      </c>
      <c r="R3307" s="1209" t="s">
        <v>11682</v>
      </c>
      <c r="S3307" s="1209" t="s">
        <v>11682</v>
      </c>
      <c r="T3307" s="204" t="s">
        <v>4897</v>
      </c>
      <c r="U3307" s="1901" t="s">
        <v>9458</v>
      </c>
      <c r="V3307" s="572" t="s">
        <v>11676</v>
      </c>
      <c r="W3307" s="804" t="s">
        <v>11683</v>
      </c>
      <c r="X3307" s="18"/>
      <c r="Y3307" s="4"/>
      <c r="Z3307" s="4"/>
    </row>
    <row r="3308" spans="1:26" ht="14.1" hidden="1">
      <c r="A3308" s="20">
        <f t="shared" si="193"/>
        <v>3315</v>
      </c>
      <c r="B3308" s="1063">
        <v>43085</v>
      </c>
      <c r="C3308" s="934" t="s">
        <v>11684</v>
      </c>
      <c r="D3308" s="11"/>
      <c r="E3308" s="204" t="s">
        <v>10013</v>
      </c>
      <c r="F3308" s="934" t="s">
        <v>784</v>
      </c>
      <c r="G3308" s="204" t="s">
        <v>11685</v>
      </c>
      <c r="H3308" s="204" t="s">
        <v>5132</v>
      </c>
      <c r="I3308" s="204" t="s">
        <v>5132</v>
      </c>
      <c r="J3308" s="204" t="s">
        <v>11684</v>
      </c>
      <c r="K3308" s="204" t="s">
        <v>11684</v>
      </c>
      <c r="L3308" s="204" t="s">
        <v>149</v>
      </c>
      <c r="M3308" s="204">
        <v>1</v>
      </c>
      <c r="N3308" s="204">
        <v>1</v>
      </c>
      <c r="O3308" s="204">
        <v>1</v>
      </c>
      <c r="P3308" s="204">
        <v>0</v>
      </c>
      <c r="Q3308" s="572">
        <v>0</v>
      </c>
      <c r="R3308" s="1209">
        <v>592200</v>
      </c>
      <c r="S3308" s="1209">
        <f t="shared" ref="S3308:S3309" si="194">R3308*O3308</f>
        <v>592200</v>
      </c>
      <c r="T3308" s="204" t="s">
        <v>11350</v>
      </c>
      <c r="U3308" s="1901" t="s">
        <v>5448</v>
      </c>
      <c r="V3308" s="572" t="s">
        <v>11676</v>
      </c>
      <c r="W3308" s="681"/>
      <c r="X3308" s="18"/>
      <c r="Y3308" s="4"/>
      <c r="Z3308" s="4"/>
    </row>
    <row r="3309" spans="1:26" ht="14.1" hidden="1">
      <c r="A3309" s="20">
        <f t="shared" si="193"/>
        <v>3316</v>
      </c>
      <c r="B3309" s="1063">
        <v>43086</v>
      </c>
      <c r="C3309" s="934" t="s">
        <v>11686</v>
      </c>
      <c r="D3309" s="11"/>
      <c r="E3309" s="204" t="s">
        <v>10013</v>
      </c>
      <c r="F3309" s="934" t="s">
        <v>784</v>
      </c>
      <c r="G3309" s="204" t="s">
        <v>11687</v>
      </c>
      <c r="H3309" s="204" t="s">
        <v>5132</v>
      </c>
      <c r="I3309" s="204" t="s">
        <v>5132</v>
      </c>
      <c r="J3309" s="204" t="s">
        <v>11686</v>
      </c>
      <c r="K3309" s="204" t="s">
        <v>11686</v>
      </c>
      <c r="L3309" s="204" t="s">
        <v>149</v>
      </c>
      <c r="M3309" s="204">
        <v>1</v>
      </c>
      <c r="N3309" s="204">
        <v>1</v>
      </c>
      <c r="O3309" s="204">
        <v>1</v>
      </c>
      <c r="P3309" s="204">
        <v>0</v>
      </c>
      <c r="Q3309" s="572">
        <v>0</v>
      </c>
      <c r="R3309" s="1209">
        <v>799000</v>
      </c>
      <c r="S3309" s="1209">
        <f t="shared" si="194"/>
        <v>799000</v>
      </c>
      <c r="T3309" s="204" t="s">
        <v>11350</v>
      </c>
      <c r="U3309" s="1901" t="s">
        <v>5448</v>
      </c>
      <c r="V3309" s="572" t="s">
        <v>11676</v>
      </c>
      <c r="W3309" s="681"/>
      <c r="X3309" s="18"/>
      <c r="Y3309" s="4"/>
      <c r="Z3309" s="4"/>
    </row>
    <row r="3310" spans="1:26" ht="14.1" hidden="1">
      <c r="A3310" s="20">
        <f t="shared" si="193"/>
        <v>3317</v>
      </c>
      <c r="B3310" s="1063">
        <v>43087</v>
      </c>
      <c r="C3310" s="934" t="s">
        <v>11688</v>
      </c>
      <c r="D3310" s="11" t="s">
        <v>6</v>
      </c>
      <c r="E3310" s="204" t="s">
        <v>166</v>
      </c>
      <c r="F3310" s="934" t="s">
        <v>3413</v>
      </c>
      <c r="G3310" s="204" t="s">
        <v>11688</v>
      </c>
      <c r="H3310" s="204" t="s">
        <v>366</v>
      </c>
      <c r="I3310" s="204" t="s">
        <v>366</v>
      </c>
      <c r="J3310" s="204"/>
      <c r="K3310" s="204" t="s">
        <v>11689</v>
      </c>
      <c r="L3310" s="204"/>
      <c r="M3310" s="204">
        <v>6</v>
      </c>
      <c r="N3310" s="204">
        <v>6</v>
      </c>
      <c r="O3310" s="204">
        <v>6</v>
      </c>
      <c r="P3310" s="204">
        <v>0</v>
      </c>
      <c r="Q3310" s="572">
        <v>0</v>
      </c>
      <c r="R3310" s="1209">
        <v>110</v>
      </c>
      <c r="S3310" s="1209">
        <v>660</v>
      </c>
      <c r="T3310" s="204" t="s">
        <v>5448</v>
      </c>
      <c r="U3310" s="1901" t="s">
        <v>5448</v>
      </c>
      <c r="V3310" s="572" t="s">
        <v>11676</v>
      </c>
      <c r="W3310" s="681" t="s">
        <v>11690</v>
      </c>
      <c r="X3310" s="18"/>
      <c r="Y3310" s="4"/>
      <c r="Z3310" s="4"/>
    </row>
    <row r="3311" spans="1:26" ht="15.95" hidden="1">
      <c r="A3311" s="20">
        <f t="shared" si="193"/>
        <v>3318</v>
      </c>
      <c r="B3311" s="1063">
        <v>43088</v>
      </c>
      <c r="C3311" s="934" t="s">
        <v>11691</v>
      </c>
      <c r="D3311" s="11" t="s">
        <v>6</v>
      </c>
      <c r="E3311" s="204" t="s">
        <v>166</v>
      </c>
      <c r="F3311" s="934" t="s">
        <v>2693</v>
      </c>
      <c r="G3311" s="204" t="s">
        <v>11692</v>
      </c>
      <c r="H3311" s="204" t="s">
        <v>11693</v>
      </c>
      <c r="I3311" s="204" t="s">
        <v>84</v>
      </c>
      <c r="J3311" s="204">
        <v>59604713</v>
      </c>
      <c r="K3311" s="228" t="s">
        <v>11694</v>
      </c>
      <c r="L3311" s="204" t="s">
        <v>149</v>
      </c>
      <c r="M3311" s="204">
        <v>1</v>
      </c>
      <c r="N3311" s="204">
        <v>1</v>
      </c>
      <c r="O3311" s="204">
        <v>1</v>
      </c>
      <c r="P3311" s="204">
        <v>0</v>
      </c>
      <c r="Q3311" s="572">
        <v>1</v>
      </c>
      <c r="R3311" s="1209">
        <v>7790</v>
      </c>
      <c r="S3311" s="1209">
        <v>7790</v>
      </c>
      <c r="T3311" s="204" t="s">
        <v>311</v>
      </c>
      <c r="U3311" s="1901" t="s">
        <v>311</v>
      </c>
      <c r="V3311" s="572" t="s">
        <v>11676</v>
      </c>
      <c r="W3311" s="681" t="s">
        <v>11695</v>
      </c>
      <c r="X3311" s="18"/>
      <c r="Y3311" s="4"/>
      <c r="Z3311" s="4"/>
    </row>
    <row r="3312" spans="1:26" ht="15.95" hidden="1">
      <c r="A3312" s="20">
        <v>3319</v>
      </c>
      <c r="B3312" s="1063">
        <v>43089</v>
      </c>
      <c r="C3312" s="934" t="s">
        <v>11696</v>
      </c>
      <c r="D3312" s="11" t="s">
        <v>6</v>
      </c>
      <c r="E3312" s="204" t="s">
        <v>166</v>
      </c>
      <c r="F3312" s="934" t="s">
        <v>2693</v>
      </c>
      <c r="G3312" s="204" t="s">
        <v>11697</v>
      </c>
      <c r="H3312" s="204" t="s">
        <v>11698</v>
      </c>
      <c r="I3312" s="204" t="s">
        <v>84</v>
      </c>
      <c r="J3312" s="204">
        <v>50433243</v>
      </c>
      <c r="K3312" s="228" t="s">
        <v>11699</v>
      </c>
      <c r="L3312" s="204" t="s">
        <v>149</v>
      </c>
      <c r="M3312" s="204">
        <v>1</v>
      </c>
      <c r="N3312" s="204">
        <v>1</v>
      </c>
      <c r="O3312" s="204">
        <v>1</v>
      </c>
      <c r="P3312" s="204">
        <v>0</v>
      </c>
      <c r="Q3312" s="572">
        <v>0</v>
      </c>
      <c r="R3312" s="1209">
        <v>1800</v>
      </c>
      <c r="S3312" s="1209">
        <v>1800</v>
      </c>
      <c r="T3312" s="204" t="s">
        <v>311</v>
      </c>
      <c r="U3312" s="1901" t="s">
        <v>311</v>
      </c>
      <c r="V3312" s="572" t="s">
        <v>11676</v>
      </c>
      <c r="W3312" s="804" t="s">
        <v>11700</v>
      </c>
      <c r="X3312" s="18"/>
      <c r="Y3312" s="4"/>
      <c r="Z3312" s="4"/>
    </row>
    <row r="3313" spans="1:26" ht="15.95" hidden="1">
      <c r="A3313" s="20">
        <f t="shared" ref="A3313:A3554" si="195">A3312+1</f>
        <v>3320</v>
      </c>
      <c r="B3313" s="1063">
        <v>43090</v>
      </c>
      <c r="C3313" s="934" t="s">
        <v>11701</v>
      </c>
      <c r="D3313" s="11" t="s">
        <v>6</v>
      </c>
      <c r="E3313" s="204" t="s">
        <v>166</v>
      </c>
      <c r="F3313" s="934" t="s">
        <v>2693</v>
      </c>
      <c r="G3313" s="204" t="s">
        <v>11702</v>
      </c>
      <c r="H3313" s="204" t="s">
        <v>11703</v>
      </c>
      <c r="I3313" s="204" t="s">
        <v>84</v>
      </c>
      <c r="J3313" s="204">
        <v>88923021</v>
      </c>
      <c r="K3313" s="180" t="s">
        <v>11704</v>
      </c>
      <c r="L3313" s="204" t="s">
        <v>149</v>
      </c>
      <c r="M3313" s="204">
        <v>2</v>
      </c>
      <c r="N3313" s="204">
        <v>1</v>
      </c>
      <c r="O3313" s="204">
        <v>2</v>
      </c>
      <c r="P3313" s="204">
        <v>0</v>
      </c>
      <c r="Q3313" s="572">
        <v>1</v>
      </c>
      <c r="R3313" s="1209">
        <v>299</v>
      </c>
      <c r="S3313" s="1209">
        <v>598</v>
      </c>
      <c r="T3313" s="204" t="s">
        <v>311</v>
      </c>
      <c r="U3313" s="1901" t="s">
        <v>311</v>
      </c>
      <c r="V3313" s="572" t="s">
        <v>11676</v>
      </c>
      <c r="W3313" s="804" t="s">
        <v>11705</v>
      </c>
      <c r="X3313" s="18"/>
      <c r="Y3313" s="4"/>
      <c r="Z3313" s="4"/>
    </row>
    <row r="3314" spans="1:26" ht="14.1" hidden="1">
      <c r="A3314" s="20">
        <f t="shared" si="195"/>
        <v>3321</v>
      </c>
      <c r="B3314" s="1063">
        <v>43091</v>
      </c>
      <c r="C3314" s="934" t="s">
        <v>3425</v>
      </c>
      <c r="D3314" s="11"/>
      <c r="E3314" s="204" t="s">
        <v>10013</v>
      </c>
      <c r="F3314" s="934" t="s">
        <v>6097</v>
      </c>
      <c r="G3314" s="204" t="s">
        <v>11706</v>
      </c>
      <c r="H3314" s="204"/>
      <c r="I3314" s="204" t="s">
        <v>11707</v>
      </c>
      <c r="J3314" s="204"/>
      <c r="K3314" s="204"/>
      <c r="L3314" s="204"/>
      <c r="M3314" s="204">
        <v>1</v>
      </c>
      <c r="N3314" s="204">
        <v>1</v>
      </c>
      <c r="O3314" s="204">
        <v>1</v>
      </c>
      <c r="P3314" s="204">
        <v>0</v>
      </c>
      <c r="Q3314" s="572">
        <v>0</v>
      </c>
      <c r="R3314" s="1209">
        <v>1342</v>
      </c>
      <c r="S3314" s="1209">
        <v>1342</v>
      </c>
      <c r="T3314" s="204" t="s">
        <v>11708</v>
      </c>
      <c r="U3314" s="1901" t="s">
        <v>1123</v>
      </c>
      <c r="V3314" s="572" t="s">
        <v>3140</v>
      </c>
      <c r="X3314" s="18"/>
      <c r="Y3314" s="4"/>
      <c r="Z3314" s="4"/>
    </row>
    <row r="3315" spans="1:26" ht="14.1" hidden="1">
      <c r="A3315" s="20">
        <f t="shared" si="195"/>
        <v>3322</v>
      </c>
      <c r="B3315" s="1063">
        <v>43092</v>
      </c>
      <c r="C3315" s="934" t="s">
        <v>11709</v>
      </c>
      <c r="D3315" s="11" t="s">
        <v>6</v>
      </c>
      <c r="E3315" s="204" t="s">
        <v>166</v>
      </c>
      <c r="F3315" s="934" t="s">
        <v>7782</v>
      </c>
      <c r="G3315" s="204" t="s">
        <v>11710</v>
      </c>
      <c r="H3315" s="204"/>
      <c r="I3315" s="204" t="s">
        <v>11711</v>
      </c>
      <c r="J3315" s="204"/>
      <c r="K3315" s="204"/>
      <c r="L3315" s="204" t="s">
        <v>7069</v>
      </c>
      <c r="M3315" s="204">
        <v>1</v>
      </c>
      <c r="N3315" s="204">
        <v>1</v>
      </c>
      <c r="O3315" s="204">
        <v>2</v>
      </c>
      <c r="P3315" s="204">
        <v>0</v>
      </c>
      <c r="Q3315" s="572">
        <v>1</v>
      </c>
      <c r="R3315" s="1209"/>
      <c r="S3315" s="1209">
        <v>16148</v>
      </c>
      <c r="T3315" s="204" t="s">
        <v>5448</v>
      </c>
      <c r="U3315" s="1901" t="s">
        <v>11052</v>
      </c>
      <c r="V3315" s="572" t="s">
        <v>3140</v>
      </c>
      <c r="W3315" s="681"/>
      <c r="X3315" s="18" t="s">
        <v>11712</v>
      </c>
      <c r="Y3315" s="4"/>
      <c r="Z3315" s="4"/>
    </row>
    <row r="3316" spans="1:26" ht="14.1" hidden="1">
      <c r="A3316" s="20">
        <f t="shared" si="195"/>
        <v>3323</v>
      </c>
      <c r="B3316" s="1063">
        <v>43093</v>
      </c>
      <c r="C3316" s="934" t="s">
        <v>11713</v>
      </c>
      <c r="D3316" s="11" t="s">
        <v>6</v>
      </c>
      <c r="E3316" s="204" t="s">
        <v>166</v>
      </c>
      <c r="F3316" s="934" t="s">
        <v>3413</v>
      </c>
      <c r="G3316" s="204" t="s">
        <v>11714</v>
      </c>
      <c r="H3316" s="204" t="s">
        <v>9182</v>
      </c>
      <c r="I3316" s="204" t="s">
        <v>366</v>
      </c>
      <c r="J3316" s="204"/>
      <c r="K3316" s="204" t="s">
        <v>11715</v>
      </c>
      <c r="L3316" s="204"/>
      <c r="M3316" s="204">
        <v>50</v>
      </c>
      <c r="N3316" s="204">
        <v>50</v>
      </c>
      <c r="O3316" s="204">
        <v>50</v>
      </c>
      <c r="P3316" s="204">
        <v>0</v>
      </c>
      <c r="Q3316" s="572">
        <v>0</v>
      </c>
      <c r="R3316" s="1209">
        <f>1300/50</f>
        <v>26</v>
      </c>
      <c r="S3316" s="1209">
        <v>1300</v>
      </c>
      <c r="T3316" s="204" t="s">
        <v>5448</v>
      </c>
      <c r="U3316" s="1901" t="s">
        <v>5448</v>
      </c>
      <c r="V3316" s="572" t="s">
        <v>11676</v>
      </c>
      <c r="W3316" s="681" t="s">
        <v>11716</v>
      </c>
      <c r="X3316" s="18"/>
      <c r="Y3316" s="4"/>
      <c r="Z3316" s="4"/>
    </row>
    <row r="3317" spans="1:26" ht="14.1" hidden="1">
      <c r="A3317" s="20">
        <f t="shared" si="195"/>
        <v>3324</v>
      </c>
      <c r="B3317" s="1063">
        <v>43094</v>
      </c>
      <c r="C3317" s="934" t="s">
        <v>11717</v>
      </c>
      <c r="D3317" s="11" t="s">
        <v>6</v>
      </c>
      <c r="E3317" s="204" t="s">
        <v>166</v>
      </c>
      <c r="F3317" s="934" t="s">
        <v>1569</v>
      </c>
      <c r="G3317" s="204" t="s">
        <v>11718</v>
      </c>
      <c r="H3317" s="204" t="s">
        <v>5102</v>
      </c>
      <c r="I3317" s="204" t="s">
        <v>5102</v>
      </c>
      <c r="J3317" s="204" t="s">
        <v>11719</v>
      </c>
      <c r="K3317" s="204" t="s">
        <v>11719</v>
      </c>
      <c r="L3317" s="204" t="s">
        <v>1606</v>
      </c>
      <c r="M3317" s="204">
        <v>1</v>
      </c>
      <c r="N3317" s="204">
        <v>1</v>
      </c>
      <c r="O3317" s="204">
        <v>1</v>
      </c>
      <c r="P3317" s="204">
        <v>0</v>
      </c>
      <c r="Q3317" s="572">
        <v>0</v>
      </c>
      <c r="R3317" s="1209">
        <v>252000</v>
      </c>
      <c r="S3317" s="1209">
        <v>252000</v>
      </c>
      <c r="T3317" s="204" t="s">
        <v>311</v>
      </c>
      <c r="U3317" s="1901"/>
      <c r="V3317" s="572"/>
      <c r="W3317" s="681"/>
      <c r="X3317" s="18"/>
      <c r="Y3317" s="4"/>
      <c r="Z3317" s="4"/>
    </row>
    <row r="3318" spans="1:26" ht="14.1" hidden="1">
      <c r="A3318" s="20">
        <f t="shared" si="195"/>
        <v>3325</v>
      </c>
      <c r="B3318" s="1063">
        <v>43095</v>
      </c>
      <c r="C3318" s="934" t="s">
        <v>11720</v>
      </c>
      <c r="D3318" s="11" t="s">
        <v>6</v>
      </c>
      <c r="E3318" s="204" t="s">
        <v>166</v>
      </c>
      <c r="F3318" s="934" t="s">
        <v>1569</v>
      </c>
      <c r="G3318" s="204" t="s">
        <v>11721</v>
      </c>
      <c r="H3318" s="204" t="s">
        <v>11722</v>
      </c>
      <c r="I3318" s="204" t="s">
        <v>11722</v>
      </c>
      <c r="J3318" s="204" t="s">
        <v>11723</v>
      </c>
      <c r="K3318" s="204" t="s">
        <v>11723</v>
      </c>
      <c r="L3318" s="204" t="s">
        <v>1606</v>
      </c>
      <c r="M3318" s="204">
        <v>1</v>
      </c>
      <c r="N3318" s="204">
        <v>1</v>
      </c>
      <c r="O3318" s="204">
        <v>1</v>
      </c>
      <c r="P3318" s="204">
        <v>0</v>
      </c>
      <c r="Q3318" s="572">
        <v>0</v>
      </c>
      <c r="R3318" s="1209">
        <v>136000</v>
      </c>
      <c r="S3318" s="1209">
        <v>136000</v>
      </c>
      <c r="T3318" s="204" t="s">
        <v>311</v>
      </c>
      <c r="U3318" s="1901"/>
      <c r="V3318" s="572"/>
      <c r="W3318" s="681"/>
      <c r="X3318" s="18"/>
      <c r="Y3318" s="4"/>
      <c r="Z3318" s="4"/>
    </row>
    <row r="3319" spans="1:26" ht="14.1" hidden="1">
      <c r="A3319" s="20">
        <f t="shared" si="195"/>
        <v>3326</v>
      </c>
      <c r="B3319" s="1063">
        <v>43096</v>
      </c>
      <c r="C3319" s="934" t="s">
        <v>11724</v>
      </c>
      <c r="D3319" s="11" t="s">
        <v>6</v>
      </c>
      <c r="E3319" s="204" t="s">
        <v>166</v>
      </c>
      <c r="F3319" s="934" t="s">
        <v>2143</v>
      </c>
      <c r="G3319" s="204" t="s">
        <v>11725</v>
      </c>
      <c r="H3319" s="204" t="s">
        <v>1085</v>
      </c>
      <c r="I3319" s="204" t="s">
        <v>574</v>
      </c>
      <c r="J3319" s="204" t="s">
        <v>11726</v>
      </c>
      <c r="K3319" s="204" t="s">
        <v>11727</v>
      </c>
      <c r="L3319" s="204"/>
      <c r="M3319" s="204">
        <v>1</v>
      </c>
      <c r="N3319" s="204">
        <v>1</v>
      </c>
      <c r="O3319" s="204">
        <v>3</v>
      </c>
      <c r="P3319" s="204">
        <v>0</v>
      </c>
      <c r="Q3319" s="572">
        <v>2</v>
      </c>
      <c r="R3319" s="1209">
        <v>1184</v>
      </c>
      <c r="S3319" s="1209">
        <f t="shared" ref="S3319:S3320" si="196">R3319*O3319</f>
        <v>3552</v>
      </c>
      <c r="T3319" s="204" t="s">
        <v>5448</v>
      </c>
      <c r="U3319" s="1901" t="s">
        <v>5881</v>
      </c>
      <c r="V3319" s="572" t="s">
        <v>3140</v>
      </c>
      <c r="W3319" s="681" t="s">
        <v>11728</v>
      </c>
      <c r="X3319" s="18"/>
      <c r="Y3319" s="4"/>
      <c r="Z3319" s="4"/>
    </row>
    <row r="3320" spans="1:26" ht="14.1" hidden="1">
      <c r="A3320" s="20">
        <f t="shared" si="195"/>
        <v>3327</v>
      </c>
      <c r="B3320" s="1063">
        <v>43097</v>
      </c>
      <c r="C3320" s="934" t="s">
        <v>11327</v>
      </c>
      <c r="D3320" s="11" t="s">
        <v>6</v>
      </c>
      <c r="E3320" s="204" t="s">
        <v>166</v>
      </c>
      <c r="F3320" s="934" t="s">
        <v>2143</v>
      </c>
      <c r="G3320" s="204" t="s">
        <v>11328</v>
      </c>
      <c r="H3320" s="204" t="s">
        <v>5878</v>
      </c>
      <c r="I3320" s="204" t="s">
        <v>574</v>
      </c>
      <c r="J3320" s="204" t="s">
        <v>11329</v>
      </c>
      <c r="K3320" s="204" t="s">
        <v>11330</v>
      </c>
      <c r="L3320" s="204" t="s">
        <v>11331</v>
      </c>
      <c r="M3320" s="204">
        <v>3</v>
      </c>
      <c r="N3320" s="204">
        <v>1</v>
      </c>
      <c r="O3320" s="204">
        <v>3</v>
      </c>
      <c r="P3320" s="204">
        <v>0</v>
      </c>
      <c r="Q3320" s="572">
        <v>0</v>
      </c>
      <c r="R3320" s="1209">
        <v>11427</v>
      </c>
      <c r="S3320" s="1209">
        <f t="shared" si="196"/>
        <v>34281</v>
      </c>
      <c r="T3320" s="204" t="s">
        <v>5448</v>
      </c>
      <c r="U3320" s="1901" t="s">
        <v>5881</v>
      </c>
      <c r="V3320" s="572" t="s">
        <v>801</v>
      </c>
      <c r="W3320" s="681" t="s">
        <v>11332</v>
      </c>
      <c r="X3320" s="18"/>
      <c r="Y3320" s="4"/>
      <c r="Z3320" s="4"/>
    </row>
    <row r="3321" spans="1:26" ht="14.1" hidden="1">
      <c r="A3321" s="20">
        <f t="shared" si="195"/>
        <v>3328</v>
      </c>
      <c r="B3321" s="1063">
        <v>43098</v>
      </c>
      <c r="C3321" s="934" t="s">
        <v>11729</v>
      </c>
      <c r="D3321" s="11" t="s">
        <v>6</v>
      </c>
      <c r="E3321" s="204" t="s">
        <v>166</v>
      </c>
      <c r="F3321" s="934" t="s">
        <v>7046</v>
      </c>
      <c r="G3321" s="204" t="s">
        <v>11730</v>
      </c>
      <c r="H3321" s="204" t="s">
        <v>287</v>
      </c>
      <c r="I3321" s="204" t="s">
        <v>287</v>
      </c>
      <c r="J3321" s="204">
        <v>20120800176</v>
      </c>
      <c r="K3321" s="204">
        <v>20120800176</v>
      </c>
      <c r="L3321" s="204" t="s">
        <v>1</v>
      </c>
      <c r="M3321" s="204">
        <v>1</v>
      </c>
      <c r="N3321" s="204">
        <v>1</v>
      </c>
      <c r="O3321" s="204">
        <v>1</v>
      </c>
      <c r="P3321" s="204">
        <v>0</v>
      </c>
      <c r="Q3321" s="572">
        <v>0</v>
      </c>
      <c r="R3321" s="1209">
        <v>15600</v>
      </c>
      <c r="S3321" s="1209">
        <v>15600</v>
      </c>
      <c r="T3321" s="204" t="s">
        <v>5448</v>
      </c>
      <c r="U3321" s="1901" t="s">
        <v>1886</v>
      </c>
      <c r="V3321" s="572" t="s">
        <v>801</v>
      </c>
      <c r="W3321" s="681" t="s">
        <v>11731</v>
      </c>
      <c r="X3321" s="18"/>
      <c r="Y3321" s="4"/>
      <c r="Z3321" s="4"/>
    </row>
    <row r="3322" spans="1:26" ht="14.1" hidden="1">
      <c r="A3322" s="20">
        <f t="shared" si="195"/>
        <v>3329</v>
      </c>
      <c r="B3322" s="1063">
        <v>43099</v>
      </c>
      <c r="C3322" s="934" t="s">
        <v>11732</v>
      </c>
      <c r="D3322" s="11" t="s">
        <v>6</v>
      </c>
      <c r="E3322" s="204" t="s">
        <v>7956</v>
      </c>
      <c r="F3322" s="934" t="s">
        <v>2143</v>
      </c>
      <c r="G3322" s="204" t="s">
        <v>11733</v>
      </c>
      <c r="H3322" s="204" t="s">
        <v>113</v>
      </c>
      <c r="I3322" s="204" t="s">
        <v>84</v>
      </c>
      <c r="J3322" s="204">
        <v>62927174</v>
      </c>
      <c r="K3322" s="204" t="s">
        <v>11734</v>
      </c>
      <c r="L3322" s="204"/>
      <c r="M3322" s="204">
        <v>1</v>
      </c>
      <c r="N3322" s="204">
        <v>1</v>
      </c>
      <c r="O3322" s="204">
        <v>1</v>
      </c>
      <c r="P3322" s="204">
        <v>0</v>
      </c>
      <c r="Q3322" s="572">
        <v>0</v>
      </c>
      <c r="R3322" s="1209">
        <v>569</v>
      </c>
      <c r="S3322" s="1209">
        <v>569</v>
      </c>
      <c r="T3322" s="204" t="s">
        <v>5448</v>
      </c>
      <c r="U3322" s="1901" t="s">
        <v>138</v>
      </c>
      <c r="V3322" s="572" t="s">
        <v>2875</v>
      </c>
      <c r="W3322" s="681" t="s">
        <v>11735</v>
      </c>
      <c r="X3322" s="18"/>
      <c r="Y3322" s="4"/>
      <c r="Z3322" s="4"/>
    </row>
    <row r="3323" spans="1:26" ht="14.1" hidden="1">
      <c r="A3323" s="20">
        <f t="shared" si="195"/>
        <v>3330</v>
      </c>
      <c r="B3323" s="1063">
        <v>43100</v>
      </c>
      <c r="C3323" s="934" t="s">
        <v>11736</v>
      </c>
      <c r="D3323" s="11" t="s">
        <v>6</v>
      </c>
      <c r="E3323" s="204" t="s">
        <v>7956</v>
      </c>
      <c r="F3323" s="934" t="s">
        <v>2143</v>
      </c>
      <c r="G3323" s="204" t="s">
        <v>11737</v>
      </c>
      <c r="H3323" s="204" t="s">
        <v>113</v>
      </c>
      <c r="I3323" s="204" t="s">
        <v>84</v>
      </c>
      <c r="J3323" s="204">
        <v>38395404</v>
      </c>
      <c r="K3323" s="204" t="s">
        <v>1</v>
      </c>
      <c r="L3323" s="204"/>
      <c r="M3323" s="204">
        <v>1</v>
      </c>
      <c r="N3323" s="204">
        <v>1</v>
      </c>
      <c r="O3323" s="204">
        <v>1</v>
      </c>
      <c r="P3323" s="204">
        <v>0</v>
      </c>
      <c r="Q3323" s="572">
        <v>0</v>
      </c>
      <c r="R3323" s="1209">
        <v>5490</v>
      </c>
      <c r="S3323" s="1209">
        <v>5490</v>
      </c>
      <c r="T3323" s="204" t="s">
        <v>5448</v>
      </c>
      <c r="U3323" s="1901" t="s">
        <v>138</v>
      </c>
      <c r="V3323" s="572" t="s">
        <v>2875</v>
      </c>
      <c r="W3323" s="681" t="s">
        <v>11738</v>
      </c>
      <c r="X3323" s="18"/>
      <c r="Y3323" s="4"/>
      <c r="Z3323" s="4"/>
    </row>
    <row r="3324" spans="1:26" ht="14.1" hidden="1">
      <c r="A3324" s="20">
        <f t="shared" si="195"/>
        <v>3331</v>
      </c>
      <c r="B3324" s="1063">
        <v>43101</v>
      </c>
      <c r="C3324" s="934" t="s">
        <v>11739</v>
      </c>
      <c r="D3324" s="11" t="s">
        <v>6</v>
      </c>
      <c r="E3324" s="204" t="s">
        <v>166</v>
      </c>
      <c r="F3324" s="934" t="s">
        <v>3413</v>
      </c>
      <c r="G3324" s="204" t="s">
        <v>11740</v>
      </c>
      <c r="H3324" s="204" t="s">
        <v>107</v>
      </c>
      <c r="I3324" s="204" t="s">
        <v>366</v>
      </c>
      <c r="J3324" s="204"/>
      <c r="K3324" s="204" t="s">
        <v>11740</v>
      </c>
      <c r="L3324" s="204"/>
      <c r="M3324" s="204">
        <v>10</v>
      </c>
      <c r="N3324" s="204">
        <v>10</v>
      </c>
      <c r="O3324" s="204">
        <v>10</v>
      </c>
      <c r="P3324" s="204">
        <v>0</v>
      </c>
      <c r="Q3324" s="572">
        <v>0</v>
      </c>
      <c r="R3324" s="1209">
        <v>188</v>
      </c>
      <c r="S3324" s="1209">
        <v>1880</v>
      </c>
      <c r="T3324" s="204" t="s">
        <v>5448</v>
      </c>
      <c r="U3324" s="1901" t="s">
        <v>9101</v>
      </c>
      <c r="V3324" s="572" t="s">
        <v>801</v>
      </c>
      <c r="W3324" s="681" t="s">
        <v>11741</v>
      </c>
      <c r="X3324" s="18"/>
      <c r="Y3324" s="4"/>
      <c r="Z3324" s="4"/>
    </row>
    <row r="3325" spans="1:26" ht="24.95" hidden="1">
      <c r="A3325" s="20">
        <f t="shared" si="195"/>
        <v>3332</v>
      </c>
      <c r="B3325" s="1063">
        <v>43102</v>
      </c>
      <c r="C3325" s="982" t="s">
        <v>5485</v>
      </c>
      <c r="D3325" s="39" t="s">
        <v>6</v>
      </c>
      <c r="E3325" s="139"/>
      <c r="F3325" s="1051" t="s">
        <v>131</v>
      </c>
      <c r="G3325" s="416" t="s">
        <v>5485</v>
      </c>
      <c r="H3325" s="717" t="s">
        <v>5486</v>
      </c>
      <c r="I3325" s="139" t="s">
        <v>4634</v>
      </c>
      <c r="J3325" s="416" t="s">
        <v>5487</v>
      </c>
      <c r="K3325" s="416" t="s">
        <v>5488</v>
      </c>
      <c r="L3325" s="139"/>
      <c r="M3325" s="139">
        <v>3</v>
      </c>
      <c r="N3325" s="139">
        <v>1</v>
      </c>
      <c r="O3325" s="139">
        <v>3</v>
      </c>
      <c r="P3325" s="139">
        <v>0</v>
      </c>
      <c r="Q3325" s="139">
        <v>2</v>
      </c>
      <c r="R3325" s="1234">
        <v>20944</v>
      </c>
      <c r="S3325" s="1234">
        <f>R3325*O3325</f>
        <v>62832</v>
      </c>
      <c r="T3325" s="139" t="s">
        <v>5448</v>
      </c>
      <c r="U3325" s="1928" t="s">
        <v>11742</v>
      </c>
      <c r="V3325" s="139" t="s">
        <v>11743</v>
      </c>
      <c r="W3325" s="2082" t="s">
        <v>11744</v>
      </c>
      <c r="X3325" s="56"/>
      <c r="Y3325" s="57"/>
      <c r="Z3325" s="57"/>
    </row>
    <row r="3326" spans="1:26" ht="26.1" hidden="1">
      <c r="A3326" s="20">
        <f t="shared" si="195"/>
        <v>3333</v>
      </c>
      <c r="B3326" s="1063">
        <v>43103</v>
      </c>
      <c r="C3326" s="934" t="s">
        <v>11745</v>
      </c>
      <c r="D3326" s="278"/>
      <c r="E3326" s="204" t="s">
        <v>166</v>
      </c>
      <c r="F3326" s="934" t="s">
        <v>9454</v>
      </c>
      <c r="G3326" s="204" t="s">
        <v>11746</v>
      </c>
      <c r="H3326" s="204" t="s">
        <v>11747</v>
      </c>
      <c r="I3326" s="204" t="s">
        <v>482</v>
      </c>
      <c r="J3326" s="204">
        <v>836464</v>
      </c>
      <c r="K3326" s="204"/>
      <c r="L3326" s="204"/>
      <c r="M3326" s="204">
        <v>10</v>
      </c>
      <c r="N3326" s="204">
        <v>1</v>
      </c>
      <c r="O3326" s="204">
        <v>5</v>
      </c>
      <c r="P3326" s="204">
        <v>2</v>
      </c>
      <c r="Q3326" s="572">
        <v>7</v>
      </c>
      <c r="R3326" s="1209">
        <v>1270</v>
      </c>
      <c r="S3326" s="1209">
        <v>6350</v>
      </c>
      <c r="T3326" s="204" t="s">
        <v>7779</v>
      </c>
      <c r="U3326" s="1901" t="s">
        <v>9101</v>
      </c>
      <c r="V3326" s="572" t="s">
        <v>3342</v>
      </c>
      <c r="W3326" s="804" t="s">
        <v>11748</v>
      </c>
      <c r="X3326" s="18" t="s">
        <v>11749</v>
      </c>
      <c r="Y3326" s="4"/>
      <c r="Z3326" s="4"/>
    </row>
    <row r="3327" spans="1:26" ht="14.1" hidden="1">
      <c r="A3327" s="20">
        <f t="shared" si="195"/>
        <v>3334</v>
      </c>
      <c r="B3327" s="1063">
        <v>43104</v>
      </c>
      <c r="C3327" s="934" t="s">
        <v>11750</v>
      </c>
      <c r="D3327" s="278"/>
      <c r="E3327" s="204" t="s">
        <v>166</v>
      </c>
      <c r="F3327" s="934" t="s">
        <v>9454</v>
      </c>
      <c r="G3327" s="204" t="s">
        <v>11746</v>
      </c>
      <c r="H3327" s="204" t="s">
        <v>11747</v>
      </c>
      <c r="I3327" s="204" t="s">
        <v>482</v>
      </c>
      <c r="J3327" s="204">
        <v>836491</v>
      </c>
      <c r="K3327" s="204"/>
      <c r="L3327" s="204"/>
      <c r="M3327" s="204">
        <v>10</v>
      </c>
      <c r="N3327" s="204">
        <v>1</v>
      </c>
      <c r="O3327" s="204">
        <v>10</v>
      </c>
      <c r="P3327" s="204">
        <v>2</v>
      </c>
      <c r="Q3327" s="572">
        <v>12</v>
      </c>
      <c r="R3327" s="1209">
        <v>1270</v>
      </c>
      <c r="S3327" s="1209">
        <v>12700</v>
      </c>
      <c r="T3327" s="204" t="s">
        <v>7779</v>
      </c>
      <c r="U3327" s="1901" t="s">
        <v>9101</v>
      </c>
      <c r="V3327" s="572" t="s">
        <v>3342</v>
      </c>
      <c r="W3327" s="804" t="s">
        <v>11751</v>
      </c>
      <c r="X3327" s="18"/>
      <c r="Y3327" s="4"/>
      <c r="Z3327" s="4"/>
    </row>
    <row r="3328" spans="1:26" ht="14.1" hidden="1">
      <c r="A3328" s="20">
        <f t="shared" si="195"/>
        <v>3335</v>
      </c>
      <c r="B3328" s="1063">
        <v>43105</v>
      </c>
      <c r="C3328" s="934" t="s">
        <v>11752</v>
      </c>
      <c r="D3328" s="11" t="s">
        <v>6</v>
      </c>
      <c r="E3328" s="204" t="s">
        <v>166</v>
      </c>
      <c r="F3328" s="934" t="s">
        <v>6097</v>
      </c>
      <c r="G3328" s="204"/>
      <c r="H3328" s="204" t="s">
        <v>113</v>
      </c>
      <c r="I3328" s="204" t="s">
        <v>113</v>
      </c>
      <c r="J3328" s="204">
        <v>9217241</v>
      </c>
      <c r="K3328" s="204" t="s">
        <v>11753</v>
      </c>
      <c r="L3328" s="204"/>
      <c r="M3328" s="204">
        <v>4</v>
      </c>
      <c r="N3328" s="204">
        <v>3</v>
      </c>
      <c r="O3328" s="204">
        <v>4</v>
      </c>
      <c r="P3328" s="204">
        <v>0</v>
      </c>
      <c r="Q3328" s="572">
        <v>0</v>
      </c>
      <c r="R3328" s="1209">
        <v>399</v>
      </c>
      <c r="S3328" s="1209">
        <v>1596</v>
      </c>
      <c r="T3328" s="204" t="s">
        <v>11182</v>
      </c>
      <c r="U3328" s="1901" t="s">
        <v>11183</v>
      </c>
      <c r="V3328" s="572" t="s">
        <v>11754</v>
      </c>
      <c r="W3328" s="681" t="s">
        <v>11755</v>
      </c>
      <c r="X3328" s="18"/>
      <c r="Y3328" s="4"/>
      <c r="Z3328" s="4"/>
    </row>
    <row r="3329" spans="1:26" ht="14.1" hidden="1">
      <c r="A3329" s="20">
        <f t="shared" si="195"/>
        <v>3336</v>
      </c>
      <c r="B3329" s="1063">
        <v>43106</v>
      </c>
      <c r="C3329" s="934" t="s">
        <v>11756</v>
      </c>
      <c r="D3329" s="11" t="s">
        <v>6</v>
      </c>
      <c r="E3329" s="204" t="s">
        <v>166</v>
      </c>
      <c r="F3329" s="934" t="s">
        <v>6097</v>
      </c>
      <c r="G3329" s="204"/>
      <c r="H3329" s="204" t="s">
        <v>113</v>
      </c>
      <c r="I3329" s="204" t="s">
        <v>113</v>
      </c>
      <c r="J3329" s="204">
        <v>33138202</v>
      </c>
      <c r="K3329" s="204" t="s">
        <v>11757</v>
      </c>
      <c r="L3329" s="204"/>
      <c r="M3329" s="204">
        <v>3</v>
      </c>
      <c r="N3329" s="204">
        <v>3</v>
      </c>
      <c r="O3329" s="204">
        <v>3</v>
      </c>
      <c r="P3329" s="204">
        <v>0</v>
      </c>
      <c r="Q3329" s="572">
        <v>0</v>
      </c>
      <c r="R3329" s="1209">
        <v>599</v>
      </c>
      <c r="S3329" s="1209">
        <v>1797</v>
      </c>
      <c r="T3329" s="204" t="s">
        <v>11182</v>
      </c>
      <c r="U3329" s="1901" t="s">
        <v>11183</v>
      </c>
      <c r="V3329" s="572" t="s">
        <v>11754</v>
      </c>
      <c r="W3329" s="681" t="s">
        <v>11758</v>
      </c>
      <c r="X3329" s="18"/>
      <c r="Y3329" s="4"/>
      <c r="Z3329" s="4"/>
    </row>
    <row r="3330" spans="1:26" ht="14.1" hidden="1">
      <c r="A3330" s="20">
        <f t="shared" si="195"/>
        <v>3337</v>
      </c>
      <c r="B3330" s="1063">
        <v>43107</v>
      </c>
      <c r="C3330" s="934" t="s">
        <v>11759</v>
      </c>
      <c r="D3330" s="11" t="s">
        <v>6</v>
      </c>
      <c r="E3330" s="204" t="s">
        <v>166</v>
      </c>
      <c r="F3330" s="934" t="s">
        <v>6097</v>
      </c>
      <c r="G3330" s="204"/>
      <c r="H3330" s="204" t="s">
        <v>8535</v>
      </c>
      <c r="I3330" s="204" t="s">
        <v>39</v>
      </c>
      <c r="J3330" s="204" t="s">
        <v>11760</v>
      </c>
      <c r="K3330" s="204" t="s">
        <v>11761</v>
      </c>
      <c r="L3330" s="204"/>
      <c r="M3330" s="204">
        <v>3</v>
      </c>
      <c r="N3330" s="204">
        <v>10</v>
      </c>
      <c r="O3330" s="204">
        <v>3</v>
      </c>
      <c r="P3330" s="204">
        <v>0</v>
      </c>
      <c r="Q3330" s="572">
        <v>7</v>
      </c>
      <c r="R3330" s="1209">
        <v>55</v>
      </c>
      <c r="S3330" s="1209">
        <f>R3330*N3330</f>
        <v>550</v>
      </c>
      <c r="T3330" s="204" t="s">
        <v>11182</v>
      </c>
      <c r="U3330" s="1901" t="s">
        <v>11183</v>
      </c>
      <c r="V3330" s="572" t="s">
        <v>11754</v>
      </c>
      <c r="W3330" s="681" t="s">
        <v>11762</v>
      </c>
      <c r="X3330" s="18"/>
      <c r="Y3330" s="4"/>
      <c r="Z3330" s="4"/>
    </row>
    <row r="3331" spans="1:26" ht="14.1" hidden="1">
      <c r="A3331" s="20">
        <f t="shared" si="195"/>
        <v>3338</v>
      </c>
      <c r="B3331" s="1063">
        <v>43108</v>
      </c>
      <c r="C3331" s="934" t="s">
        <v>11763</v>
      </c>
      <c r="D3331" s="11" t="s">
        <v>6</v>
      </c>
      <c r="E3331" s="204" t="s">
        <v>166</v>
      </c>
      <c r="F3331" s="934" t="s">
        <v>6097</v>
      </c>
      <c r="G3331" s="204"/>
      <c r="H3331" s="204" t="s">
        <v>1729</v>
      </c>
      <c r="I3331" s="204" t="s">
        <v>11764</v>
      </c>
      <c r="J3331" s="204" t="s">
        <v>11765</v>
      </c>
      <c r="K3331" s="204"/>
      <c r="L3331" s="204"/>
      <c r="M3331" s="204">
        <v>1</v>
      </c>
      <c r="N3331" s="204">
        <v>1</v>
      </c>
      <c r="O3331" s="204">
        <v>1</v>
      </c>
      <c r="P3331" s="204">
        <v>0</v>
      </c>
      <c r="Q3331" s="572">
        <v>0</v>
      </c>
      <c r="R3331" s="1209">
        <v>5280</v>
      </c>
      <c r="S3331" s="1209">
        <v>5280</v>
      </c>
      <c r="T3331" s="204" t="s">
        <v>11182</v>
      </c>
      <c r="U3331" s="1901" t="s">
        <v>11183</v>
      </c>
      <c r="V3331" s="572" t="s">
        <v>11754</v>
      </c>
      <c r="W3331" s="681" t="s">
        <v>11766</v>
      </c>
      <c r="X3331" s="18"/>
      <c r="Y3331" s="4"/>
      <c r="Z3331" s="4"/>
    </row>
    <row r="3332" spans="1:26" ht="14.1" hidden="1">
      <c r="A3332" s="20">
        <f t="shared" si="195"/>
        <v>3339</v>
      </c>
      <c r="B3332" s="1063">
        <v>43109</v>
      </c>
      <c r="C3332" s="934" t="s">
        <v>11767</v>
      </c>
      <c r="D3332" s="11" t="s">
        <v>6</v>
      </c>
      <c r="E3332" s="204" t="s">
        <v>166</v>
      </c>
      <c r="F3332" s="934" t="s">
        <v>6097</v>
      </c>
      <c r="G3332" s="204"/>
      <c r="H3332" s="204"/>
      <c r="I3332" s="204" t="s">
        <v>11764</v>
      </c>
      <c r="J3332" s="204" t="s">
        <v>11768</v>
      </c>
      <c r="K3332" s="204"/>
      <c r="L3332" s="204"/>
      <c r="M3332" s="204">
        <v>3</v>
      </c>
      <c r="N3332" s="204">
        <v>2</v>
      </c>
      <c r="O3332" s="204">
        <v>3</v>
      </c>
      <c r="P3332" s="204">
        <v>0</v>
      </c>
      <c r="Q3332" s="572">
        <v>0</v>
      </c>
      <c r="R3332" s="1209">
        <v>165</v>
      </c>
      <c r="S3332" s="1209">
        <v>495</v>
      </c>
      <c r="T3332" s="204" t="s">
        <v>11182</v>
      </c>
      <c r="U3332" s="1901" t="s">
        <v>11183</v>
      </c>
      <c r="V3332" s="572" t="s">
        <v>11754</v>
      </c>
      <c r="W3332" s="681" t="s">
        <v>11769</v>
      </c>
      <c r="X3332" s="18"/>
      <c r="Y3332" s="4"/>
      <c r="Z3332" s="4"/>
    </row>
    <row r="3333" spans="1:26" ht="14.1" hidden="1">
      <c r="A3333" s="20">
        <f t="shared" si="195"/>
        <v>3340</v>
      </c>
      <c r="B3333" s="1063">
        <v>43110</v>
      </c>
      <c r="C3333" s="934" t="s">
        <v>11770</v>
      </c>
      <c r="D3333" s="11" t="s">
        <v>6</v>
      </c>
      <c r="E3333" s="204" t="s">
        <v>166</v>
      </c>
      <c r="F3333" s="934" t="s">
        <v>6097</v>
      </c>
      <c r="G3333" s="204" t="s">
        <v>11771</v>
      </c>
      <c r="H3333" s="204" t="s">
        <v>8558</v>
      </c>
      <c r="I3333" s="204" t="s">
        <v>11772</v>
      </c>
      <c r="J3333" s="204"/>
      <c r="K3333" s="204" t="s">
        <v>11773</v>
      </c>
      <c r="L3333" s="204"/>
      <c r="M3333" s="204">
        <v>5</v>
      </c>
      <c r="N3333" s="204">
        <v>1</v>
      </c>
      <c r="O3333" s="204">
        <v>10</v>
      </c>
      <c r="P3333" s="204">
        <v>0</v>
      </c>
      <c r="Q3333" s="572">
        <v>5</v>
      </c>
      <c r="R3333" s="1209">
        <v>46</v>
      </c>
      <c r="S3333" s="1209">
        <v>460</v>
      </c>
      <c r="T3333" s="204" t="s">
        <v>11182</v>
      </c>
      <c r="U3333" s="1901" t="s">
        <v>11183</v>
      </c>
      <c r="V3333" s="572" t="s">
        <v>11754</v>
      </c>
      <c r="W3333" s="804" t="s">
        <v>11774</v>
      </c>
      <c r="X3333" s="18"/>
      <c r="Y3333" s="4"/>
      <c r="Z3333" s="4"/>
    </row>
    <row r="3334" spans="1:26" ht="14.1" hidden="1">
      <c r="A3334" s="20">
        <f t="shared" si="195"/>
        <v>3341</v>
      </c>
      <c r="B3334" s="1063">
        <v>43111</v>
      </c>
      <c r="C3334" s="934" t="s">
        <v>4832</v>
      </c>
      <c r="D3334" s="11" t="s">
        <v>6</v>
      </c>
      <c r="E3334" s="204" t="s">
        <v>166</v>
      </c>
      <c r="F3334" s="934" t="s">
        <v>6097</v>
      </c>
      <c r="G3334" s="204" t="s">
        <v>11775</v>
      </c>
      <c r="H3334" s="204"/>
      <c r="I3334" s="204" t="s">
        <v>1063</v>
      </c>
      <c r="J3334" s="204" t="s">
        <v>11776</v>
      </c>
      <c r="K3334" s="204"/>
      <c r="L3334" s="204"/>
      <c r="M3334" s="204">
        <v>8</v>
      </c>
      <c r="N3334" s="204">
        <v>1</v>
      </c>
      <c r="O3334" s="204">
        <v>10</v>
      </c>
      <c r="P3334" s="204">
        <v>0</v>
      </c>
      <c r="Q3334" s="572">
        <v>2</v>
      </c>
      <c r="R3334" s="1209">
        <v>400</v>
      </c>
      <c r="S3334" s="1209">
        <f>R3334*O3334</f>
        <v>4000</v>
      </c>
      <c r="T3334" s="204" t="s">
        <v>11182</v>
      </c>
      <c r="U3334" s="1901" t="s">
        <v>11183</v>
      </c>
      <c r="V3334" s="572" t="s">
        <v>11754</v>
      </c>
      <c r="W3334" s="804" t="s">
        <v>11777</v>
      </c>
      <c r="X3334" s="18"/>
      <c r="Y3334" s="4"/>
      <c r="Z3334" s="4"/>
    </row>
    <row r="3335" spans="1:26" ht="14.1" hidden="1">
      <c r="A3335" s="20">
        <f t="shared" si="195"/>
        <v>3342</v>
      </c>
      <c r="B3335" s="1063">
        <v>43112</v>
      </c>
      <c r="C3335" s="934" t="s">
        <v>11778</v>
      </c>
      <c r="D3335" s="11" t="s">
        <v>6</v>
      </c>
      <c r="E3335" s="204" t="s">
        <v>166</v>
      </c>
      <c r="F3335" s="934" t="s">
        <v>6097</v>
      </c>
      <c r="G3335" s="26" t="s">
        <v>6658</v>
      </c>
      <c r="H3335" s="187" t="s">
        <v>6659</v>
      </c>
      <c r="I3335" s="187" t="s">
        <v>5723</v>
      </c>
      <c r="J3335" s="212" t="s">
        <v>6660</v>
      </c>
      <c r="K3335" s="26" t="s">
        <v>6660</v>
      </c>
      <c r="L3335" s="26" t="s">
        <v>6661</v>
      </c>
      <c r="M3335" s="26">
        <v>10</v>
      </c>
      <c r="N3335" s="26">
        <v>20</v>
      </c>
      <c r="O3335" s="26">
        <v>20</v>
      </c>
      <c r="P3335" s="26">
        <v>0</v>
      </c>
      <c r="Q3335" s="26">
        <v>10</v>
      </c>
      <c r="R3335" s="1209">
        <v>580.79999999999995</v>
      </c>
      <c r="S3335" s="1209">
        <v>11616</v>
      </c>
      <c r="T3335" s="204" t="s">
        <v>11182</v>
      </c>
      <c r="U3335" s="1901" t="s">
        <v>11183</v>
      </c>
      <c r="V3335" s="572" t="s">
        <v>11754</v>
      </c>
      <c r="W3335" s="2065" t="s">
        <v>3270</v>
      </c>
      <c r="X3335" s="18"/>
      <c r="Y3335" s="4"/>
      <c r="Z3335" s="4"/>
    </row>
    <row r="3336" spans="1:26" ht="14.1" hidden="1">
      <c r="A3336" s="20">
        <f t="shared" si="195"/>
        <v>3343</v>
      </c>
      <c r="B3336" s="1063">
        <v>43113</v>
      </c>
      <c r="C3336" s="934" t="s">
        <v>11779</v>
      </c>
      <c r="D3336" s="11" t="s">
        <v>6</v>
      </c>
      <c r="E3336" s="204" t="s">
        <v>7956</v>
      </c>
      <c r="F3336" s="934" t="s">
        <v>11441</v>
      </c>
      <c r="G3336" s="204" t="s">
        <v>3218</v>
      </c>
      <c r="H3336" s="204" t="s">
        <v>11780</v>
      </c>
      <c r="I3336" s="204" t="s">
        <v>11780</v>
      </c>
      <c r="J3336" s="204" t="s">
        <v>3219</v>
      </c>
      <c r="K3336" s="204" t="s">
        <v>3219</v>
      </c>
      <c r="L3336" s="204" t="s">
        <v>11781</v>
      </c>
      <c r="M3336" s="204">
        <v>6</v>
      </c>
      <c r="N3336" s="204">
        <v>1</v>
      </c>
      <c r="O3336" s="204">
        <v>6</v>
      </c>
      <c r="P3336" s="204">
        <v>0</v>
      </c>
      <c r="Q3336" s="572">
        <v>6</v>
      </c>
      <c r="R3336" s="1209">
        <v>3575</v>
      </c>
      <c r="S3336" s="1209">
        <v>21450</v>
      </c>
      <c r="T3336" s="204" t="s">
        <v>9485</v>
      </c>
      <c r="U3336" s="1901" t="s">
        <v>11782</v>
      </c>
      <c r="V3336" s="572" t="s">
        <v>11783</v>
      </c>
      <c r="W3336" s="681" t="s">
        <v>11784</v>
      </c>
      <c r="X3336" s="18"/>
      <c r="Y3336" s="4"/>
      <c r="Z3336" s="4"/>
    </row>
    <row r="3337" spans="1:26" ht="14.1" hidden="1">
      <c r="A3337" s="200">
        <f t="shared" si="195"/>
        <v>3344</v>
      </c>
      <c r="B3337" s="1063">
        <v>43114</v>
      </c>
      <c r="C3337" s="970" t="s">
        <v>11785</v>
      </c>
      <c r="D3337" s="417" t="s">
        <v>6</v>
      </c>
      <c r="E3337" s="717" t="s">
        <v>166</v>
      </c>
      <c r="F3337" s="970" t="s">
        <v>6097</v>
      </c>
      <c r="G3337" s="717"/>
      <c r="H3337" s="717" t="s">
        <v>113</v>
      </c>
      <c r="I3337" s="717">
        <v>37626025</v>
      </c>
      <c r="J3337" s="717" t="s">
        <v>11786</v>
      </c>
      <c r="K3337" s="717"/>
      <c r="L3337" s="200"/>
      <c r="M3337" s="717">
        <v>3</v>
      </c>
      <c r="N3337" s="717">
        <v>2</v>
      </c>
      <c r="O3337" s="717">
        <v>3</v>
      </c>
      <c r="P3337" s="717">
        <v>0</v>
      </c>
      <c r="Q3337" s="717">
        <v>0</v>
      </c>
      <c r="R3337" s="1312">
        <v>319</v>
      </c>
      <c r="S3337" s="1234">
        <v>957</v>
      </c>
      <c r="T3337" s="418" t="s">
        <v>11182</v>
      </c>
      <c r="U3337" s="1929" t="s">
        <v>11183</v>
      </c>
      <c r="V3337" s="718" t="s">
        <v>11754</v>
      </c>
      <c r="W3337" s="2123" t="s">
        <v>11787</v>
      </c>
      <c r="X3337" s="56"/>
      <c r="Y3337" s="57"/>
      <c r="Z3337" s="57"/>
    </row>
    <row r="3338" spans="1:26" ht="14.1" hidden="1">
      <c r="A3338" s="20">
        <f t="shared" si="195"/>
        <v>3345</v>
      </c>
      <c r="B3338" s="1063">
        <v>43115</v>
      </c>
      <c r="C3338" s="934" t="s">
        <v>11788</v>
      </c>
      <c r="D3338" s="11" t="s">
        <v>6</v>
      </c>
      <c r="E3338" s="204" t="s">
        <v>166</v>
      </c>
      <c r="F3338" s="934" t="s">
        <v>6097</v>
      </c>
      <c r="G3338" s="204"/>
      <c r="H3338" s="204" t="s">
        <v>113</v>
      </c>
      <c r="I3338" s="204">
        <v>34713684</v>
      </c>
      <c r="J3338" s="204" t="s">
        <v>11788</v>
      </c>
      <c r="K3338" s="204"/>
      <c r="L3338" s="20"/>
      <c r="M3338" s="204">
        <v>3</v>
      </c>
      <c r="N3338" s="204">
        <v>2</v>
      </c>
      <c r="O3338" s="204">
        <v>3</v>
      </c>
      <c r="P3338" s="204">
        <v>0</v>
      </c>
      <c r="Q3338" s="204">
        <v>0</v>
      </c>
      <c r="R3338" s="1313">
        <v>80</v>
      </c>
      <c r="S3338" s="1209">
        <v>240</v>
      </c>
      <c r="T3338" s="419" t="s">
        <v>11182</v>
      </c>
      <c r="U3338" s="1" t="s">
        <v>11183</v>
      </c>
      <c r="V3338" s="572" t="s">
        <v>11754</v>
      </c>
      <c r="W3338" s="2124" t="s">
        <v>11789</v>
      </c>
      <c r="X3338" s="18"/>
      <c r="Y3338" s="4"/>
      <c r="Z3338" s="4"/>
    </row>
    <row r="3339" spans="1:26" ht="14.1" hidden="1">
      <c r="A3339" s="20">
        <f t="shared" si="195"/>
        <v>3346</v>
      </c>
      <c r="B3339" s="1063">
        <v>43116</v>
      </c>
      <c r="C3339" s="934" t="s">
        <v>1075</v>
      </c>
      <c r="D3339" s="11" t="s">
        <v>6</v>
      </c>
      <c r="E3339" s="204" t="s">
        <v>166</v>
      </c>
      <c r="F3339" s="934" t="s">
        <v>6097</v>
      </c>
      <c r="G3339" s="204"/>
      <c r="H3339" s="368"/>
      <c r="I3339" s="204" t="s">
        <v>3098</v>
      </c>
      <c r="J3339" s="204" t="s">
        <v>1074</v>
      </c>
      <c r="K3339" s="204" t="s">
        <v>1075</v>
      </c>
      <c r="L3339" s="20"/>
      <c r="M3339" s="204">
        <v>3</v>
      </c>
      <c r="N3339" s="204">
        <v>2</v>
      </c>
      <c r="O3339" s="204">
        <v>3</v>
      </c>
      <c r="P3339" s="204">
        <v>0</v>
      </c>
      <c r="Q3339" s="204">
        <v>0</v>
      </c>
      <c r="R3339" s="1313">
        <v>240</v>
      </c>
      <c r="S3339" s="1209">
        <v>720</v>
      </c>
      <c r="T3339" s="419" t="s">
        <v>11182</v>
      </c>
      <c r="U3339" s="1" t="s">
        <v>11183</v>
      </c>
      <c r="V3339" s="572" t="s">
        <v>11754</v>
      </c>
      <c r="W3339" s="2124" t="s">
        <v>1076</v>
      </c>
      <c r="X3339" s="18"/>
      <c r="Y3339" s="4"/>
      <c r="Z3339" s="4"/>
    </row>
    <row r="3340" spans="1:26" ht="14.1" hidden="1">
      <c r="A3340" s="20">
        <f t="shared" si="195"/>
        <v>3347</v>
      </c>
      <c r="B3340" s="1063">
        <v>43117</v>
      </c>
      <c r="C3340" s="934" t="s">
        <v>11790</v>
      </c>
      <c r="D3340" s="11" t="s">
        <v>6</v>
      </c>
      <c r="E3340" s="204" t="s">
        <v>166</v>
      </c>
      <c r="F3340" s="934" t="s">
        <v>6097</v>
      </c>
      <c r="G3340" s="204"/>
      <c r="H3340" s="368"/>
      <c r="I3340" s="204" t="s">
        <v>3098</v>
      </c>
      <c r="J3340" s="204" t="s">
        <v>11791</v>
      </c>
      <c r="K3340" s="204" t="s">
        <v>11790</v>
      </c>
      <c r="L3340" s="20"/>
      <c r="M3340" s="204">
        <v>3</v>
      </c>
      <c r="N3340" s="204">
        <v>2</v>
      </c>
      <c r="O3340" s="204">
        <v>3</v>
      </c>
      <c r="P3340" s="204">
        <v>0</v>
      </c>
      <c r="Q3340" s="204">
        <v>0</v>
      </c>
      <c r="R3340" s="1313">
        <v>411</v>
      </c>
      <c r="S3340" s="1209">
        <v>1233</v>
      </c>
      <c r="T3340" s="419" t="s">
        <v>11182</v>
      </c>
      <c r="U3340" s="1" t="s">
        <v>11183</v>
      </c>
      <c r="V3340" s="572" t="s">
        <v>11754</v>
      </c>
      <c r="W3340" s="2124" t="s">
        <v>11792</v>
      </c>
      <c r="X3340" s="18"/>
      <c r="Y3340" s="4"/>
      <c r="Z3340" s="4"/>
    </row>
    <row r="3341" spans="1:26" ht="14.1" hidden="1">
      <c r="A3341" s="200">
        <f t="shared" si="195"/>
        <v>3348</v>
      </c>
      <c r="B3341" s="1063">
        <v>43118</v>
      </c>
      <c r="C3341" s="970" t="s">
        <v>11292</v>
      </c>
      <c r="D3341" s="374"/>
      <c r="E3341" s="717"/>
      <c r="F3341" s="970" t="s">
        <v>3413</v>
      </c>
      <c r="G3341" s="717" t="s">
        <v>372</v>
      </c>
      <c r="H3341" s="717" t="s">
        <v>366</v>
      </c>
      <c r="I3341" s="717" t="s">
        <v>366</v>
      </c>
      <c r="J3341" s="717"/>
      <c r="K3341" s="732" t="s">
        <v>372</v>
      </c>
      <c r="L3341" s="638"/>
      <c r="M3341" s="717">
        <v>50</v>
      </c>
      <c r="N3341" s="717">
        <f>M3341</f>
        <v>50</v>
      </c>
      <c r="O3341" s="717"/>
      <c r="P3341" s="717" t="s">
        <v>1</v>
      </c>
      <c r="Q3341" s="718" t="s">
        <v>1</v>
      </c>
      <c r="R3341" s="1234">
        <f>S3341/N3341</f>
        <v>150</v>
      </c>
      <c r="S3341" s="1234">
        <v>7500</v>
      </c>
      <c r="T3341" s="717" t="s">
        <v>311</v>
      </c>
      <c r="U3341" s="1927" t="s">
        <v>311</v>
      </c>
      <c r="V3341" s="718" t="s">
        <v>3187</v>
      </c>
      <c r="W3341" s="2106" t="s">
        <v>11293</v>
      </c>
      <c r="X3341" s="18"/>
      <c r="Y3341" s="4"/>
      <c r="Z3341" s="4"/>
    </row>
    <row r="3342" spans="1:26" ht="14.1" hidden="1">
      <c r="A3342" s="20">
        <f t="shared" si="195"/>
        <v>3349</v>
      </c>
      <c r="B3342" s="1063">
        <v>43119</v>
      </c>
      <c r="C3342" s="934" t="s">
        <v>11793</v>
      </c>
      <c r="D3342" s="11" t="s">
        <v>6</v>
      </c>
      <c r="E3342" s="204" t="s">
        <v>166</v>
      </c>
      <c r="F3342" s="934" t="s">
        <v>6097</v>
      </c>
      <c r="G3342" s="204" t="s">
        <v>11794</v>
      </c>
      <c r="H3342" s="204"/>
      <c r="I3342" s="204" t="s">
        <v>11795</v>
      </c>
      <c r="J3342" s="204"/>
      <c r="K3342" s="204"/>
      <c r="L3342" s="204"/>
      <c r="M3342" s="204">
        <v>8</v>
      </c>
      <c r="N3342" s="204">
        <v>1</v>
      </c>
      <c r="O3342" s="204">
        <v>10</v>
      </c>
      <c r="P3342" s="204">
        <v>0</v>
      </c>
      <c r="Q3342" s="572">
        <v>2</v>
      </c>
      <c r="R3342" s="1209"/>
      <c r="S3342" s="1209">
        <v>506</v>
      </c>
      <c r="T3342" s="419" t="s">
        <v>11182</v>
      </c>
      <c r="U3342" s="1" t="s">
        <v>11183</v>
      </c>
      <c r="V3342" s="572" t="s">
        <v>11754</v>
      </c>
      <c r="W3342" s="804" t="s">
        <v>11796</v>
      </c>
      <c r="X3342" s="18"/>
      <c r="Y3342" s="4"/>
      <c r="Z3342" s="4"/>
    </row>
    <row r="3343" spans="1:26" ht="14.1" hidden="1">
      <c r="A3343" s="20">
        <f t="shared" si="195"/>
        <v>3350</v>
      </c>
      <c r="B3343" s="1063">
        <v>43120</v>
      </c>
      <c r="C3343" s="934" t="s">
        <v>10704</v>
      </c>
      <c r="D3343" s="11" t="s">
        <v>6</v>
      </c>
      <c r="E3343" s="204" t="s">
        <v>166</v>
      </c>
      <c r="F3343" s="934" t="s">
        <v>10696</v>
      </c>
      <c r="G3343" s="204" t="s">
        <v>11797</v>
      </c>
      <c r="H3343" s="204" t="s">
        <v>713</v>
      </c>
      <c r="I3343" s="204" t="s">
        <v>6651</v>
      </c>
      <c r="J3343" s="527" t="s">
        <v>11798</v>
      </c>
      <c r="K3343" s="420" t="s">
        <v>11799</v>
      </c>
      <c r="L3343" s="204"/>
      <c r="M3343" s="204">
        <v>6</v>
      </c>
      <c r="N3343" s="204">
        <v>20</v>
      </c>
      <c r="O3343" s="204">
        <v>20</v>
      </c>
      <c r="P3343" s="204">
        <v>0</v>
      </c>
      <c r="Q3343" s="572">
        <v>20</v>
      </c>
      <c r="R3343" s="1209">
        <v>1039</v>
      </c>
      <c r="S3343" s="1209">
        <f t="shared" ref="S3343:S3346" si="197">R3343*O3343</f>
        <v>20780</v>
      </c>
      <c r="T3343" s="204" t="s">
        <v>9485</v>
      </c>
      <c r="U3343" s="1901" t="s">
        <v>3646</v>
      </c>
      <c r="V3343" s="572" t="s">
        <v>11783</v>
      </c>
      <c r="W3343" s="681" t="s">
        <v>11800</v>
      </c>
      <c r="X3343" s="18"/>
      <c r="Y3343" s="4"/>
      <c r="Z3343" s="4"/>
    </row>
    <row r="3344" spans="1:26" ht="62.45" hidden="1">
      <c r="A3344" s="20">
        <f t="shared" si="195"/>
        <v>3351</v>
      </c>
      <c r="B3344" s="1063">
        <v>43121</v>
      </c>
      <c r="C3344" s="934" t="s">
        <v>11801</v>
      </c>
      <c r="D3344" s="11" t="s">
        <v>6</v>
      </c>
      <c r="E3344" s="204" t="s">
        <v>166</v>
      </c>
      <c r="F3344" s="934" t="s">
        <v>10696</v>
      </c>
      <c r="G3344" s="160" t="s">
        <v>11802</v>
      </c>
      <c r="H3344" s="204" t="s">
        <v>2668</v>
      </c>
      <c r="I3344" s="204" t="s">
        <v>11803</v>
      </c>
      <c r="J3344" s="1085" t="s">
        <v>11804</v>
      </c>
      <c r="K3344" s="204"/>
      <c r="L3344" s="204"/>
      <c r="M3344" s="204">
        <v>2</v>
      </c>
      <c r="N3344" s="204">
        <v>2</v>
      </c>
      <c r="O3344" s="204">
        <v>2</v>
      </c>
      <c r="P3344" s="204">
        <v>0</v>
      </c>
      <c r="Q3344" s="572">
        <v>2</v>
      </c>
      <c r="R3344" s="1209">
        <v>1320</v>
      </c>
      <c r="S3344" s="1209">
        <f t="shared" si="197"/>
        <v>2640</v>
      </c>
      <c r="T3344" s="204" t="s">
        <v>11805</v>
      </c>
      <c r="U3344" s="1901" t="s">
        <v>3646</v>
      </c>
      <c r="V3344" s="572" t="s">
        <v>11783</v>
      </c>
      <c r="W3344" s="681" t="s">
        <v>11806</v>
      </c>
      <c r="X3344" s="18"/>
      <c r="Y3344" s="4"/>
      <c r="Z3344" s="4"/>
    </row>
    <row r="3345" spans="1:26" ht="14.1" hidden="1">
      <c r="A3345" s="20">
        <f t="shared" si="195"/>
        <v>3352</v>
      </c>
      <c r="B3345" s="1063">
        <v>43122</v>
      </c>
      <c r="C3345" s="983" t="s">
        <v>11807</v>
      </c>
      <c r="D3345" s="11" t="s">
        <v>6</v>
      </c>
      <c r="E3345" s="204" t="s">
        <v>166</v>
      </c>
      <c r="F3345" s="934" t="s">
        <v>10696</v>
      </c>
      <c r="G3345" s="422" t="s">
        <v>11808</v>
      </c>
      <c r="H3345" s="204" t="s">
        <v>2668</v>
      </c>
      <c r="I3345" s="204" t="s">
        <v>11803</v>
      </c>
      <c r="J3345" s="204" t="s">
        <v>11809</v>
      </c>
      <c r="K3345" s="421" t="s">
        <v>11810</v>
      </c>
      <c r="L3345" s="204"/>
      <c r="M3345" s="204">
        <v>3</v>
      </c>
      <c r="N3345" s="204">
        <v>2</v>
      </c>
      <c r="O3345" s="204">
        <v>3</v>
      </c>
      <c r="P3345" s="204">
        <v>0</v>
      </c>
      <c r="Q3345" s="572">
        <v>3</v>
      </c>
      <c r="R3345" s="1209">
        <v>130</v>
      </c>
      <c r="S3345" s="1209">
        <f t="shared" si="197"/>
        <v>390</v>
      </c>
      <c r="T3345" s="204" t="s">
        <v>11811</v>
      </c>
      <c r="U3345" s="1901" t="s">
        <v>3646</v>
      </c>
      <c r="V3345" s="572" t="s">
        <v>11783</v>
      </c>
      <c r="W3345" s="681" t="s">
        <v>11812</v>
      </c>
      <c r="X3345" s="18"/>
      <c r="Y3345" s="4"/>
      <c r="Z3345" s="4"/>
    </row>
    <row r="3346" spans="1:26" ht="14.1" hidden="1">
      <c r="A3346" s="20">
        <f t="shared" si="195"/>
        <v>3353</v>
      </c>
      <c r="B3346" s="1063">
        <v>43123</v>
      </c>
      <c r="C3346" s="984" t="s">
        <v>11813</v>
      </c>
      <c r="D3346" s="11" t="s">
        <v>6</v>
      </c>
      <c r="E3346" s="204" t="s">
        <v>166</v>
      </c>
      <c r="F3346" s="934" t="s">
        <v>10696</v>
      </c>
      <c r="G3346" s="423" t="s">
        <v>11814</v>
      </c>
      <c r="H3346" s="204" t="s">
        <v>2668</v>
      </c>
      <c r="I3346" s="204" t="s">
        <v>11803</v>
      </c>
      <c r="J3346" s="204" t="s">
        <v>11815</v>
      </c>
      <c r="K3346" s="424" t="s">
        <v>11816</v>
      </c>
      <c r="L3346" s="204"/>
      <c r="M3346" s="204">
        <v>3</v>
      </c>
      <c r="N3346" s="204">
        <v>2</v>
      </c>
      <c r="O3346" s="204">
        <v>3</v>
      </c>
      <c r="P3346" s="204">
        <v>0</v>
      </c>
      <c r="Q3346" s="572">
        <v>3</v>
      </c>
      <c r="R3346" s="1209">
        <v>198</v>
      </c>
      <c r="S3346" s="1209">
        <f t="shared" si="197"/>
        <v>594</v>
      </c>
      <c r="T3346" s="204" t="s">
        <v>11817</v>
      </c>
      <c r="U3346" s="1901" t="s">
        <v>3646</v>
      </c>
      <c r="V3346" s="572" t="s">
        <v>11783</v>
      </c>
      <c r="W3346" s="681" t="s">
        <v>11818</v>
      </c>
      <c r="X3346" s="18"/>
      <c r="Y3346" s="4"/>
      <c r="Z3346" s="4"/>
    </row>
    <row r="3347" spans="1:26" ht="125.1" hidden="1">
      <c r="A3347" s="20">
        <f t="shared" si="195"/>
        <v>3354</v>
      </c>
      <c r="B3347" s="1063">
        <v>43124</v>
      </c>
      <c r="C3347" s="934" t="s">
        <v>9395</v>
      </c>
      <c r="D3347" s="11" t="s">
        <v>6</v>
      </c>
      <c r="E3347" s="204" t="s">
        <v>166</v>
      </c>
      <c r="F3347" s="934" t="s">
        <v>10696</v>
      </c>
      <c r="G3347" s="160" t="s">
        <v>10720</v>
      </c>
      <c r="H3347" s="298"/>
      <c r="I3347" s="298" t="s">
        <v>1022</v>
      </c>
      <c r="J3347" s="298"/>
      <c r="K3347" s="298"/>
      <c r="L3347" s="298"/>
      <c r="M3347" s="298">
        <v>2</v>
      </c>
      <c r="N3347" s="298">
        <v>1</v>
      </c>
      <c r="O3347" s="298">
        <v>2</v>
      </c>
      <c r="P3347" s="298">
        <v>0</v>
      </c>
      <c r="Q3347" s="669">
        <v>2</v>
      </c>
      <c r="R3347" s="1209">
        <v>648</v>
      </c>
      <c r="S3347" s="1209"/>
      <c r="T3347" s="683" t="s">
        <v>9485</v>
      </c>
      <c r="U3347" s="1909" t="s">
        <v>3646</v>
      </c>
      <c r="V3347" s="572" t="s">
        <v>352</v>
      </c>
      <c r="W3347" s="712" t="s">
        <v>10721</v>
      </c>
      <c r="X3347" s="18"/>
      <c r="Y3347" s="4"/>
      <c r="Z3347" s="4"/>
    </row>
    <row r="3348" spans="1:26" ht="14.1" hidden="1">
      <c r="A3348" s="20">
        <f t="shared" si="195"/>
        <v>3355</v>
      </c>
      <c r="B3348" s="1063">
        <v>43125</v>
      </c>
      <c r="C3348" s="934" t="s">
        <v>11819</v>
      </c>
      <c r="D3348" s="11"/>
      <c r="E3348" s="204" t="s">
        <v>166</v>
      </c>
      <c r="F3348" s="934" t="s">
        <v>6097</v>
      </c>
      <c r="G3348" s="204" t="s">
        <v>11820</v>
      </c>
      <c r="H3348" s="204"/>
      <c r="I3348" s="204" t="s">
        <v>11795</v>
      </c>
      <c r="J3348" s="204"/>
      <c r="K3348" s="204"/>
      <c r="L3348" s="204"/>
      <c r="M3348" s="204">
        <v>6</v>
      </c>
      <c r="N3348" s="204">
        <v>5</v>
      </c>
      <c r="O3348" s="204">
        <v>10</v>
      </c>
      <c r="P3348" s="204">
        <v>0</v>
      </c>
      <c r="Q3348" s="572">
        <v>4</v>
      </c>
      <c r="R3348" s="1209"/>
      <c r="S3348" s="1209">
        <v>622</v>
      </c>
      <c r="T3348" s="204" t="s">
        <v>11182</v>
      </c>
      <c r="U3348" s="1901"/>
      <c r="V3348" s="572" t="s">
        <v>11183</v>
      </c>
      <c r="W3348" s="681"/>
      <c r="X3348" s="18"/>
      <c r="Y3348" s="4"/>
      <c r="Z3348" s="4"/>
    </row>
    <row r="3349" spans="1:26" ht="14.1" hidden="1">
      <c r="A3349" s="20">
        <f t="shared" si="195"/>
        <v>3356</v>
      </c>
      <c r="B3349" s="1063">
        <v>43126</v>
      </c>
      <c r="C3349" s="934" t="s">
        <v>11821</v>
      </c>
      <c r="D3349" s="11" t="s">
        <v>6</v>
      </c>
      <c r="E3349" s="204" t="s">
        <v>166</v>
      </c>
      <c r="F3349" s="934" t="s">
        <v>2143</v>
      </c>
      <c r="G3349" s="204" t="s">
        <v>11822</v>
      </c>
      <c r="H3349" s="204"/>
      <c r="I3349" s="204" t="s">
        <v>11823</v>
      </c>
      <c r="J3349" s="204"/>
      <c r="K3349" s="204"/>
      <c r="L3349" s="204"/>
      <c r="M3349" s="204">
        <v>1</v>
      </c>
      <c r="N3349" s="204">
        <v>1</v>
      </c>
      <c r="O3349" s="204">
        <v>1</v>
      </c>
      <c r="P3349" s="204">
        <v>0</v>
      </c>
      <c r="Q3349" s="572">
        <v>1</v>
      </c>
      <c r="R3349" s="1209">
        <v>5500</v>
      </c>
      <c r="S3349" s="1209">
        <v>5500</v>
      </c>
      <c r="T3349" s="204" t="s">
        <v>5448</v>
      </c>
      <c r="U3349" s="1901" t="s">
        <v>118</v>
      </c>
      <c r="V3349" s="572"/>
      <c r="W3349" s="681"/>
      <c r="X3349" s="18"/>
      <c r="Y3349" s="4"/>
      <c r="Z3349" s="4"/>
    </row>
    <row r="3350" spans="1:26" ht="37.5" hidden="1">
      <c r="A3350" s="20">
        <f t="shared" si="195"/>
        <v>3357</v>
      </c>
      <c r="B3350" s="1063">
        <v>43127</v>
      </c>
      <c r="C3350" s="934" t="s">
        <v>5853</v>
      </c>
      <c r="D3350" s="278" t="s">
        <v>6</v>
      </c>
      <c r="E3350" s="204" t="s">
        <v>166</v>
      </c>
      <c r="F3350" s="934" t="s">
        <v>9454</v>
      </c>
      <c r="G3350" s="26" t="s">
        <v>11824</v>
      </c>
      <c r="H3350" s="26" t="s">
        <v>5855</v>
      </c>
      <c r="I3350" s="26" t="s">
        <v>482</v>
      </c>
      <c r="J3350" s="26">
        <v>2062405</v>
      </c>
      <c r="K3350" s="26">
        <v>4901750102401</v>
      </c>
      <c r="L3350" s="26" t="s">
        <v>1</v>
      </c>
      <c r="M3350" s="26">
        <v>1</v>
      </c>
      <c r="N3350" s="26">
        <v>1</v>
      </c>
      <c r="O3350" s="26">
        <v>1</v>
      </c>
      <c r="P3350" s="26">
        <v>0</v>
      </c>
      <c r="Q3350" s="26">
        <v>1</v>
      </c>
      <c r="R3350" s="1209">
        <v>8915</v>
      </c>
      <c r="S3350" s="1209">
        <v>8915</v>
      </c>
      <c r="T3350" s="26" t="s">
        <v>11825</v>
      </c>
      <c r="U3350" s="1859"/>
      <c r="V3350" s="26" t="s">
        <v>11826</v>
      </c>
      <c r="W3350" s="2125" t="s">
        <v>11827</v>
      </c>
      <c r="X3350" s="18"/>
      <c r="Y3350" s="4"/>
      <c r="Z3350" s="4"/>
    </row>
    <row r="3351" spans="1:26" ht="24.95" hidden="1">
      <c r="A3351" s="20">
        <f t="shared" si="195"/>
        <v>3358</v>
      </c>
      <c r="B3351" s="1063">
        <v>43128</v>
      </c>
      <c r="C3351" s="934" t="s">
        <v>9556</v>
      </c>
      <c r="D3351" s="278" t="s">
        <v>6</v>
      </c>
      <c r="E3351" s="204" t="s">
        <v>166</v>
      </c>
      <c r="F3351" s="26" t="s">
        <v>9454</v>
      </c>
      <c r="G3351" s="26" t="s">
        <v>9557</v>
      </c>
      <c r="H3351" s="237" t="s">
        <v>1172</v>
      </c>
      <c r="I3351" s="26" t="s">
        <v>84</v>
      </c>
      <c r="J3351" s="26">
        <v>9206154</v>
      </c>
      <c r="K3351" s="26" t="s">
        <v>9558</v>
      </c>
      <c r="L3351" s="26"/>
      <c r="M3351" s="26">
        <v>1</v>
      </c>
      <c r="N3351" s="26">
        <v>1</v>
      </c>
      <c r="O3351" s="26">
        <v>1</v>
      </c>
      <c r="P3351" s="26">
        <v>0.2</v>
      </c>
      <c r="Q3351" s="26">
        <v>1.2</v>
      </c>
      <c r="R3351" s="1209">
        <v>799</v>
      </c>
      <c r="S3351" s="1209">
        <v>799</v>
      </c>
      <c r="T3351" s="26" t="s">
        <v>11825</v>
      </c>
      <c r="V3351" s="26" t="s">
        <v>9445</v>
      </c>
      <c r="W3351" s="649" t="s">
        <v>9559</v>
      </c>
      <c r="X3351" s="18"/>
      <c r="Y3351" s="4"/>
      <c r="Z3351" s="4"/>
    </row>
    <row r="3352" spans="1:26" ht="14.1" hidden="1">
      <c r="A3352" s="20">
        <f t="shared" si="195"/>
        <v>3359</v>
      </c>
      <c r="B3352" s="1063">
        <v>43129</v>
      </c>
      <c r="C3352" s="934" t="s">
        <v>11828</v>
      </c>
      <c r="D3352" s="278" t="s">
        <v>6</v>
      </c>
      <c r="E3352" s="204" t="s">
        <v>166</v>
      </c>
      <c r="F3352" s="26" t="s">
        <v>9454</v>
      </c>
      <c r="G3352" s="204" t="s">
        <v>11829</v>
      </c>
      <c r="H3352" s="204" t="s">
        <v>11830</v>
      </c>
      <c r="I3352" s="26" t="s">
        <v>84</v>
      </c>
      <c r="J3352" s="204">
        <v>10330311</v>
      </c>
      <c r="K3352" s="204" t="s">
        <v>11831</v>
      </c>
      <c r="L3352" s="204"/>
      <c r="M3352" s="204">
        <v>1</v>
      </c>
      <c r="N3352" s="204">
        <v>1</v>
      </c>
      <c r="O3352" s="204">
        <v>1</v>
      </c>
      <c r="P3352" s="204" t="s">
        <v>11832</v>
      </c>
      <c r="Q3352" s="572" t="s">
        <v>11833</v>
      </c>
      <c r="R3352" s="1209">
        <v>4990</v>
      </c>
      <c r="S3352" s="1209">
        <v>4990</v>
      </c>
      <c r="T3352" s="26" t="s">
        <v>11825</v>
      </c>
      <c r="U3352" s="1901"/>
      <c r="V3352" s="26" t="s">
        <v>11834</v>
      </c>
      <c r="W3352" s="804" t="s">
        <v>11835</v>
      </c>
      <c r="X3352" s="18"/>
      <c r="Y3352" s="4"/>
      <c r="Z3352" s="4"/>
    </row>
    <row r="3353" spans="1:26" ht="14.1" hidden="1">
      <c r="A3353" s="20">
        <f t="shared" si="195"/>
        <v>3360</v>
      </c>
      <c r="B3353" s="1063">
        <v>43130</v>
      </c>
      <c r="C3353" s="934" t="s">
        <v>11836</v>
      </c>
      <c r="D3353" s="278" t="s">
        <v>6</v>
      </c>
      <c r="E3353" s="204" t="s">
        <v>166</v>
      </c>
      <c r="F3353" s="26" t="s">
        <v>9454</v>
      </c>
      <c r="G3353" s="204" t="s">
        <v>11837</v>
      </c>
      <c r="H3353" s="204" t="s">
        <v>113</v>
      </c>
      <c r="I3353" s="26" t="s">
        <v>84</v>
      </c>
      <c r="J3353" s="204">
        <v>87080813</v>
      </c>
      <c r="K3353" s="204"/>
      <c r="L3353" s="204"/>
      <c r="M3353" s="204">
        <v>1</v>
      </c>
      <c r="N3353" s="204">
        <v>1</v>
      </c>
      <c r="O3353" s="204">
        <v>1</v>
      </c>
      <c r="P3353" s="204">
        <v>0</v>
      </c>
      <c r="Q3353" s="572">
        <v>1</v>
      </c>
      <c r="R3353" s="1209">
        <v>9490</v>
      </c>
      <c r="S3353" s="1209">
        <v>9490</v>
      </c>
      <c r="T3353" s="26" t="s">
        <v>11825</v>
      </c>
      <c r="U3353" s="1901"/>
      <c r="V3353" s="26" t="s">
        <v>11834</v>
      </c>
      <c r="W3353" s="804" t="s">
        <v>11838</v>
      </c>
      <c r="X3353" s="18"/>
      <c r="Y3353" s="4"/>
      <c r="Z3353" s="4"/>
    </row>
    <row r="3354" spans="1:26" ht="14.1" hidden="1">
      <c r="A3354" s="20">
        <f t="shared" si="195"/>
        <v>3361</v>
      </c>
      <c r="B3354" s="1063">
        <v>43131</v>
      </c>
      <c r="C3354" s="970" t="s">
        <v>11322</v>
      </c>
      <c r="D3354" s="231" t="s">
        <v>6</v>
      </c>
      <c r="E3354" s="717" t="s">
        <v>4951</v>
      </c>
      <c r="F3354" s="970" t="s">
        <v>11323</v>
      </c>
      <c r="G3354" s="717" t="s">
        <v>11324</v>
      </c>
      <c r="H3354" s="425" t="s">
        <v>3898</v>
      </c>
      <c r="I3354" s="359" t="s">
        <v>39</v>
      </c>
      <c r="J3354" s="234" t="s">
        <v>818</v>
      </c>
      <c r="K3354" s="365" t="s">
        <v>8112</v>
      </c>
      <c r="L3354" s="204" t="s">
        <v>11325</v>
      </c>
      <c r="M3354" s="204">
        <v>30</v>
      </c>
      <c r="N3354" s="204">
        <v>1</v>
      </c>
      <c r="O3354" s="204">
        <v>30</v>
      </c>
      <c r="P3354" s="204">
        <v>45</v>
      </c>
      <c r="Q3354" s="572">
        <v>75</v>
      </c>
      <c r="R3354" s="1209">
        <v>545.4</v>
      </c>
      <c r="S3354" s="1209">
        <f t="shared" ref="S3354:S3355" si="198">O3354*R3354</f>
        <v>16362</v>
      </c>
      <c r="T3354" s="204" t="s">
        <v>9485</v>
      </c>
      <c r="U3354" s="1901"/>
      <c r="V3354" s="572" t="s">
        <v>352</v>
      </c>
      <c r="W3354" s="2126" t="s">
        <v>11839</v>
      </c>
      <c r="X3354" s="18"/>
      <c r="Y3354" s="4"/>
      <c r="Z3354" s="4"/>
    </row>
    <row r="3355" spans="1:26" ht="14.1" hidden="1">
      <c r="A3355" s="20">
        <f t="shared" si="195"/>
        <v>3362</v>
      </c>
      <c r="B3355" s="1063">
        <v>43132</v>
      </c>
      <c r="C3355" s="934" t="s">
        <v>11326</v>
      </c>
      <c r="D3355" s="11" t="s">
        <v>6</v>
      </c>
      <c r="E3355" s="204" t="s">
        <v>4951</v>
      </c>
      <c r="F3355" s="934" t="s">
        <v>11323</v>
      </c>
      <c r="G3355" s="58" t="s">
        <v>3266</v>
      </c>
      <c r="H3355" s="58" t="s">
        <v>3267</v>
      </c>
      <c r="I3355" s="58" t="s">
        <v>3268</v>
      </c>
      <c r="J3355" s="1086" t="s">
        <v>6660</v>
      </c>
      <c r="K3355" s="204" t="s">
        <v>6660</v>
      </c>
      <c r="L3355" s="204"/>
      <c r="M3355" s="204">
        <v>30</v>
      </c>
      <c r="N3355" s="204">
        <v>1</v>
      </c>
      <c r="O3355" s="204">
        <v>30</v>
      </c>
      <c r="P3355" s="204">
        <v>43</v>
      </c>
      <c r="Q3355" s="572">
        <v>73</v>
      </c>
      <c r="R3355" s="1209">
        <v>440</v>
      </c>
      <c r="S3355" s="1209">
        <f t="shared" si="198"/>
        <v>13200</v>
      </c>
      <c r="T3355" s="204" t="s">
        <v>9485</v>
      </c>
      <c r="U3355" s="1901"/>
      <c r="V3355" s="572" t="s">
        <v>352</v>
      </c>
      <c r="W3355" s="804" t="s">
        <v>3270</v>
      </c>
      <c r="X3355" s="18"/>
      <c r="Y3355" s="4"/>
      <c r="Z3355" s="4"/>
    </row>
    <row r="3356" spans="1:26" ht="14.1" hidden="1">
      <c r="A3356" s="20">
        <f t="shared" si="195"/>
        <v>3363</v>
      </c>
      <c r="B3356" s="1063">
        <v>43133</v>
      </c>
      <c r="C3356" s="970" t="s">
        <v>10076</v>
      </c>
      <c r="D3356" s="231"/>
      <c r="E3356" s="717" t="s">
        <v>4951</v>
      </c>
      <c r="F3356" s="970" t="s">
        <v>11323</v>
      </c>
      <c r="G3356" s="717" t="s">
        <v>11840</v>
      </c>
      <c r="H3356" s="717" t="s">
        <v>1928</v>
      </c>
      <c r="I3356" s="204" t="s">
        <v>39</v>
      </c>
      <c r="J3356" s="204" t="s">
        <v>938</v>
      </c>
      <c r="K3356" s="204" t="s">
        <v>11841</v>
      </c>
      <c r="L3356" s="204"/>
      <c r="M3356" s="204">
        <v>40</v>
      </c>
      <c r="N3356" s="204">
        <v>1</v>
      </c>
      <c r="O3356" s="204">
        <v>25</v>
      </c>
      <c r="P3356" s="204">
        <v>0</v>
      </c>
      <c r="Q3356" s="572">
        <v>25</v>
      </c>
      <c r="R3356" s="1209">
        <v>236</v>
      </c>
      <c r="S3356" s="1209">
        <f t="shared" ref="S3356:S3358" si="199">R3356*O3356</f>
        <v>5900</v>
      </c>
      <c r="T3356" s="204" t="s">
        <v>9485</v>
      </c>
      <c r="U3356" s="1901"/>
      <c r="V3356" s="572" t="s">
        <v>352</v>
      </c>
      <c r="W3356" s="681" t="s">
        <v>11842</v>
      </c>
      <c r="X3356" s="18"/>
      <c r="Y3356" s="4"/>
      <c r="Z3356" s="4"/>
    </row>
    <row r="3357" spans="1:26" ht="14.1" hidden="1">
      <c r="A3357" s="20">
        <f t="shared" si="195"/>
        <v>3364</v>
      </c>
      <c r="B3357" s="1063">
        <v>43134</v>
      </c>
      <c r="C3357" s="934" t="s">
        <v>1819</v>
      </c>
      <c r="D3357" s="11" t="s">
        <v>6</v>
      </c>
      <c r="E3357" s="204" t="s">
        <v>4951</v>
      </c>
      <c r="F3357" s="934" t="s">
        <v>11323</v>
      </c>
      <c r="G3357" s="204" t="s">
        <v>11843</v>
      </c>
      <c r="H3357" s="204" t="s">
        <v>11844</v>
      </c>
      <c r="I3357" s="204" t="s">
        <v>1063</v>
      </c>
      <c r="J3357" s="204" t="s">
        <v>4805</v>
      </c>
      <c r="K3357" s="204" t="s">
        <v>4806</v>
      </c>
      <c r="L3357" s="204"/>
      <c r="M3357" s="204">
        <v>13</v>
      </c>
      <c r="N3357" s="204">
        <v>1</v>
      </c>
      <c r="O3357" s="204">
        <v>13</v>
      </c>
      <c r="P3357" s="204">
        <v>0</v>
      </c>
      <c r="Q3357" s="572">
        <v>13</v>
      </c>
      <c r="R3357" s="1209">
        <v>80</v>
      </c>
      <c r="S3357" s="1209">
        <f t="shared" si="199"/>
        <v>1040</v>
      </c>
      <c r="T3357" s="204" t="s">
        <v>9485</v>
      </c>
      <c r="U3357" s="1901"/>
      <c r="V3357" s="572" t="s">
        <v>352</v>
      </c>
      <c r="W3357" s="681" t="s">
        <v>11845</v>
      </c>
      <c r="X3357" s="18"/>
      <c r="Y3357" s="4"/>
      <c r="Z3357" s="4"/>
    </row>
    <row r="3358" spans="1:26" ht="14.1" hidden="1">
      <c r="A3358" s="20">
        <f t="shared" si="195"/>
        <v>3365</v>
      </c>
      <c r="B3358" s="1063">
        <v>43135</v>
      </c>
      <c r="C3358" s="934" t="s">
        <v>11846</v>
      </c>
      <c r="D3358" s="11" t="s">
        <v>6</v>
      </c>
      <c r="E3358" s="204" t="s">
        <v>4951</v>
      </c>
      <c r="F3358" s="934" t="s">
        <v>11323</v>
      </c>
      <c r="G3358" s="204" t="s">
        <v>11847</v>
      </c>
      <c r="H3358" s="204" t="s">
        <v>4823</v>
      </c>
      <c r="I3358" s="204" t="s">
        <v>1063</v>
      </c>
      <c r="J3358" s="204" t="s">
        <v>11848</v>
      </c>
      <c r="K3358" s="204"/>
      <c r="L3358" s="204"/>
      <c r="M3358" s="204">
        <v>5</v>
      </c>
      <c r="N3358" s="204">
        <v>1</v>
      </c>
      <c r="O3358" s="204">
        <v>5</v>
      </c>
      <c r="P3358" s="204">
        <v>0</v>
      </c>
      <c r="Q3358" s="572">
        <v>5</v>
      </c>
      <c r="R3358" s="1209">
        <v>100</v>
      </c>
      <c r="S3358" s="1209">
        <f t="shared" si="199"/>
        <v>500</v>
      </c>
      <c r="T3358" s="204" t="s">
        <v>9485</v>
      </c>
      <c r="U3358" s="1901"/>
      <c r="V3358" s="572" t="s">
        <v>352</v>
      </c>
      <c r="W3358" s="681" t="s">
        <v>11849</v>
      </c>
      <c r="X3358" s="18"/>
      <c r="Y3358" s="4"/>
      <c r="Z3358" s="4"/>
    </row>
    <row r="3359" spans="1:26" ht="14.1" hidden="1">
      <c r="A3359" s="20">
        <f t="shared" si="195"/>
        <v>3366</v>
      </c>
      <c r="B3359" s="1063">
        <v>43136</v>
      </c>
      <c r="C3359" s="970" t="s">
        <v>11850</v>
      </c>
      <c r="D3359" s="8" t="s">
        <v>6</v>
      </c>
      <c r="E3359" s="204" t="s">
        <v>4951</v>
      </c>
      <c r="F3359" s="970" t="s">
        <v>11323</v>
      </c>
      <c r="G3359" s="717" t="s">
        <v>11850</v>
      </c>
      <c r="H3359" s="717"/>
      <c r="I3359" s="717" t="s">
        <v>11851</v>
      </c>
      <c r="J3359" s="717"/>
      <c r="K3359" s="717"/>
      <c r="L3359" s="717"/>
      <c r="M3359" s="717">
        <v>5</v>
      </c>
      <c r="N3359" s="717">
        <v>1</v>
      </c>
      <c r="O3359" s="717">
        <v>5</v>
      </c>
      <c r="P3359" s="717">
        <v>7</v>
      </c>
      <c r="Q3359" s="718">
        <v>2</v>
      </c>
      <c r="R3359" s="1234"/>
      <c r="S3359" s="1234"/>
      <c r="T3359" s="717" t="s">
        <v>9485</v>
      </c>
      <c r="U3359" s="1927"/>
      <c r="V3359" s="718" t="s">
        <v>352</v>
      </c>
      <c r="W3359" s="2106"/>
      <c r="X3359" s="56"/>
      <c r="Y3359" s="57"/>
      <c r="Z3359" s="57"/>
    </row>
    <row r="3360" spans="1:26" ht="14.1" hidden="1">
      <c r="A3360" s="20">
        <f t="shared" si="195"/>
        <v>3367</v>
      </c>
      <c r="B3360" s="1063">
        <v>43137</v>
      </c>
      <c r="C3360" s="934" t="s">
        <v>11852</v>
      </c>
      <c r="D3360" s="11"/>
      <c r="E3360" s="204" t="s">
        <v>166</v>
      </c>
      <c r="F3360" s="934" t="s">
        <v>6097</v>
      </c>
      <c r="G3360" s="204" t="s">
        <v>11852</v>
      </c>
      <c r="H3360" s="204" t="s">
        <v>1478</v>
      </c>
      <c r="I3360" s="204" t="s">
        <v>1063</v>
      </c>
      <c r="J3360" s="204" t="s">
        <v>11853</v>
      </c>
      <c r="K3360" s="204" t="s">
        <v>11854</v>
      </c>
      <c r="L3360" s="204"/>
      <c r="M3360" s="204">
        <v>5</v>
      </c>
      <c r="N3360" s="204">
        <v>5</v>
      </c>
      <c r="O3360" s="204">
        <v>5</v>
      </c>
      <c r="P3360" s="204">
        <v>0</v>
      </c>
      <c r="Q3360" s="572">
        <f t="shared" ref="Q3360:Q3387" si="200">O3360-M3360</f>
        <v>0</v>
      </c>
      <c r="R3360" s="1209">
        <v>80</v>
      </c>
      <c r="S3360" s="1209">
        <f t="shared" ref="S3360:S3389" si="201">R3360*O3360</f>
        <v>400</v>
      </c>
      <c r="T3360" s="204" t="s">
        <v>11182</v>
      </c>
      <c r="U3360" s="1901" t="s">
        <v>11183</v>
      </c>
      <c r="V3360" s="572" t="s">
        <v>11754</v>
      </c>
      <c r="W3360" s="681" t="s">
        <v>11855</v>
      </c>
      <c r="X3360" s="18"/>
      <c r="Y3360" s="4"/>
      <c r="Z3360" s="4"/>
    </row>
    <row r="3361" spans="1:26" ht="14.1" hidden="1">
      <c r="A3361" s="20">
        <f t="shared" si="195"/>
        <v>3368</v>
      </c>
      <c r="B3361" s="1063">
        <v>43138</v>
      </c>
      <c r="C3361" s="934" t="s">
        <v>11856</v>
      </c>
      <c r="D3361" s="11" t="s">
        <v>6</v>
      </c>
      <c r="E3361" s="204" t="s">
        <v>166</v>
      </c>
      <c r="F3361" s="934" t="s">
        <v>6097</v>
      </c>
      <c r="G3361" s="204" t="s">
        <v>11856</v>
      </c>
      <c r="H3361" s="204" t="s">
        <v>11857</v>
      </c>
      <c r="I3361" s="204" t="s">
        <v>1063</v>
      </c>
      <c r="J3361" s="204" t="s">
        <v>11858</v>
      </c>
      <c r="K3361" s="204" t="s">
        <v>11859</v>
      </c>
      <c r="L3361" s="204"/>
      <c r="M3361" s="204">
        <v>10</v>
      </c>
      <c r="N3361" s="204">
        <v>40</v>
      </c>
      <c r="O3361" s="204">
        <v>40</v>
      </c>
      <c r="P3361" s="204">
        <v>0</v>
      </c>
      <c r="Q3361" s="572">
        <f t="shared" si="200"/>
        <v>30</v>
      </c>
      <c r="R3361" s="1209">
        <v>100</v>
      </c>
      <c r="S3361" s="1209">
        <f t="shared" si="201"/>
        <v>4000</v>
      </c>
      <c r="T3361" s="204" t="s">
        <v>11182</v>
      </c>
      <c r="U3361" s="1901" t="s">
        <v>11183</v>
      </c>
      <c r="V3361" s="572" t="s">
        <v>11754</v>
      </c>
      <c r="W3361" s="681" t="s">
        <v>11860</v>
      </c>
      <c r="X3361" s="18"/>
      <c r="Y3361" s="4"/>
      <c r="Z3361" s="4"/>
    </row>
    <row r="3362" spans="1:26" ht="14.1" hidden="1">
      <c r="A3362" s="20">
        <f t="shared" si="195"/>
        <v>3369</v>
      </c>
      <c r="B3362" s="1063">
        <v>43139</v>
      </c>
      <c r="C3362" s="934" t="s">
        <v>11861</v>
      </c>
      <c r="D3362" s="11" t="s">
        <v>6</v>
      </c>
      <c r="E3362" s="204" t="s">
        <v>166</v>
      </c>
      <c r="F3362" s="934" t="s">
        <v>6097</v>
      </c>
      <c r="G3362" s="204" t="s">
        <v>11861</v>
      </c>
      <c r="H3362" s="204" t="s">
        <v>11857</v>
      </c>
      <c r="I3362" s="204" t="s">
        <v>1063</v>
      </c>
      <c r="J3362" s="204" t="s">
        <v>11862</v>
      </c>
      <c r="K3362" s="204" t="s">
        <v>11863</v>
      </c>
      <c r="L3362" s="204"/>
      <c r="M3362" s="204">
        <v>10</v>
      </c>
      <c r="N3362" s="204">
        <v>20</v>
      </c>
      <c r="O3362" s="204">
        <v>20</v>
      </c>
      <c r="P3362" s="204">
        <v>0</v>
      </c>
      <c r="Q3362" s="572">
        <f t="shared" si="200"/>
        <v>10</v>
      </c>
      <c r="R3362" s="1209">
        <v>100</v>
      </c>
      <c r="S3362" s="1209">
        <f t="shared" si="201"/>
        <v>2000</v>
      </c>
      <c r="T3362" s="204" t="s">
        <v>11182</v>
      </c>
      <c r="U3362" s="1901" t="s">
        <v>11183</v>
      </c>
      <c r="V3362" s="572" t="s">
        <v>11754</v>
      </c>
      <c r="W3362" s="681" t="s">
        <v>11864</v>
      </c>
      <c r="X3362" s="18"/>
      <c r="Y3362" s="4"/>
      <c r="Z3362" s="4"/>
    </row>
    <row r="3363" spans="1:26" ht="14.1" hidden="1">
      <c r="A3363" s="20">
        <f t="shared" si="195"/>
        <v>3370</v>
      </c>
      <c r="B3363" s="1063">
        <v>43140</v>
      </c>
      <c r="C3363" s="934" t="s">
        <v>11865</v>
      </c>
      <c r="D3363" s="11" t="s">
        <v>6</v>
      </c>
      <c r="E3363" s="204" t="s">
        <v>166</v>
      </c>
      <c r="F3363" s="934" t="s">
        <v>6097</v>
      </c>
      <c r="G3363" s="204" t="s">
        <v>11865</v>
      </c>
      <c r="H3363" s="204" t="s">
        <v>11857</v>
      </c>
      <c r="I3363" s="204" t="s">
        <v>1063</v>
      </c>
      <c r="J3363" s="204" t="s">
        <v>11866</v>
      </c>
      <c r="K3363" s="204" t="s">
        <v>11867</v>
      </c>
      <c r="L3363" s="204"/>
      <c r="M3363" s="204">
        <v>10</v>
      </c>
      <c r="N3363" s="204">
        <v>40</v>
      </c>
      <c r="O3363" s="204">
        <v>40</v>
      </c>
      <c r="P3363" s="204">
        <v>0</v>
      </c>
      <c r="Q3363" s="572">
        <f t="shared" si="200"/>
        <v>30</v>
      </c>
      <c r="R3363" s="1209">
        <v>100</v>
      </c>
      <c r="S3363" s="1209">
        <f t="shared" si="201"/>
        <v>4000</v>
      </c>
      <c r="T3363" s="204" t="s">
        <v>11182</v>
      </c>
      <c r="U3363" s="1901" t="s">
        <v>11183</v>
      </c>
      <c r="V3363" s="572" t="s">
        <v>11754</v>
      </c>
      <c r="W3363" s="681" t="s">
        <v>11868</v>
      </c>
      <c r="X3363" s="18"/>
      <c r="Y3363" s="4"/>
      <c r="Z3363" s="4"/>
    </row>
    <row r="3364" spans="1:26" ht="14.1" hidden="1">
      <c r="A3364" s="20">
        <f t="shared" si="195"/>
        <v>3371</v>
      </c>
      <c r="B3364" s="1063">
        <v>43141</v>
      </c>
      <c r="C3364" s="934" t="s">
        <v>11869</v>
      </c>
      <c r="D3364" s="11" t="s">
        <v>6</v>
      </c>
      <c r="E3364" s="204" t="s">
        <v>166</v>
      </c>
      <c r="F3364" s="934" t="s">
        <v>6097</v>
      </c>
      <c r="G3364" s="204" t="s">
        <v>11869</v>
      </c>
      <c r="H3364" s="204" t="s">
        <v>452</v>
      </c>
      <c r="I3364" s="204" t="s">
        <v>11870</v>
      </c>
      <c r="J3364" s="204" t="s">
        <v>11871</v>
      </c>
      <c r="K3364" s="204" t="s">
        <v>11872</v>
      </c>
      <c r="L3364" s="204"/>
      <c r="M3364" s="204">
        <v>15</v>
      </c>
      <c r="N3364" s="204">
        <v>1</v>
      </c>
      <c r="O3364" s="204">
        <v>15</v>
      </c>
      <c r="P3364" s="204">
        <v>0</v>
      </c>
      <c r="Q3364" s="572">
        <f t="shared" si="200"/>
        <v>0</v>
      </c>
      <c r="R3364" s="1209">
        <v>43.7</v>
      </c>
      <c r="S3364" s="1209">
        <f t="shared" si="201"/>
        <v>655.5</v>
      </c>
      <c r="T3364" s="204" t="s">
        <v>11182</v>
      </c>
      <c r="U3364" s="1901" t="s">
        <v>11183</v>
      </c>
      <c r="V3364" s="572" t="s">
        <v>11754</v>
      </c>
      <c r="W3364" s="681" t="s">
        <v>11873</v>
      </c>
      <c r="X3364" s="18"/>
      <c r="Y3364" s="4"/>
      <c r="Z3364" s="4"/>
    </row>
    <row r="3365" spans="1:26" ht="14.1" hidden="1">
      <c r="A3365" s="20">
        <f t="shared" si="195"/>
        <v>3372</v>
      </c>
      <c r="B3365" s="1063">
        <v>43142</v>
      </c>
      <c r="C3365" s="934" t="s">
        <v>11874</v>
      </c>
      <c r="D3365" s="11" t="s">
        <v>6</v>
      </c>
      <c r="E3365" s="204" t="s">
        <v>166</v>
      </c>
      <c r="F3365" s="934" t="s">
        <v>6097</v>
      </c>
      <c r="G3365" s="204" t="s">
        <v>11874</v>
      </c>
      <c r="H3365" s="204" t="s">
        <v>1400</v>
      </c>
      <c r="I3365" s="204" t="s">
        <v>39</v>
      </c>
      <c r="J3365" s="204" t="s">
        <v>11875</v>
      </c>
      <c r="K3365" s="204" t="s">
        <v>11876</v>
      </c>
      <c r="L3365" s="204"/>
      <c r="M3365" s="204">
        <v>10</v>
      </c>
      <c r="N3365" s="204">
        <v>100</v>
      </c>
      <c r="O3365" s="204">
        <v>100</v>
      </c>
      <c r="P3365" s="204">
        <v>0</v>
      </c>
      <c r="Q3365" s="572">
        <f t="shared" si="200"/>
        <v>90</v>
      </c>
      <c r="R3365" s="1209">
        <v>6.72</v>
      </c>
      <c r="S3365" s="1209">
        <f t="shared" si="201"/>
        <v>672</v>
      </c>
      <c r="T3365" s="204" t="s">
        <v>11182</v>
      </c>
      <c r="U3365" s="1901" t="s">
        <v>11183</v>
      </c>
      <c r="V3365" s="572" t="s">
        <v>11754</v>
      </c>
      <c r="W3365" s="681" t="s">
        <v>11877</v>
      </c>
      <c r="X3365" s="18"/>
      <c r="Y3365" s="4"/>
      <c r="Z3365" s="4"/>
    </row>
    <row r="3366" spans="1:26" ht="14.1" hidden="1">
      <c r="A3366" s="20">
        <f t="shared" si="195"/>
        <v>3373</v>
      </c>
      <c r="B3366" s="1063">
        <v>43143</v>
      </c>
      <c r="C3366" s="934" t="s">
        <v>11878</v>
      </c>
      <c r="D3366" s="11" t="s">
        <v>6</v>
      </c>
      <c r="E3366" s="204" t="s">
        <v>166</v>
      </c>
      <c r="F3366" s="934" t="s">
        <v>6097</v>
      </c>
      <c r="G3366" s="204" t="s">
        <v>11878</v>
      </c>
      <c r="H3366" s="204" t="s">
        <v>1400</v>
      </c>
      <c r="I3366" s="204" t="s">
        <v>11870</v>
      </c>
      <c r="J3366" s="204" t="s">
        <v>11879</v>
      </c>
      <c r="K3366" s="204" t="s">
        <v>11880</v>
      </c>
      <c r="L3366" s="204"/>
      <c r="M3366" s="204">
        <v>15</v>
      </c>
      <c r="N3366" s="204">
        <v>1</v>
      </c>
      <c r="O3366" s="204">
        <v>15</v>
      </c>
      <c r="P3366" s="204">
        <v>0</v>
      </c>
      <c r="Q3366" s="572">
        <f t="shared" si="200"/>
        <v>0</v>
      </c>
      <c r="R3366" s="1209">
        <v>3.3</v>
      </c>
      <c r="S3366" s="1209">
        <f t="shared" si="201"/>
        <v>49.5</v>
      </c>
      <c r="T3366" s="204" t="s">
        <v>11182</v>
      </c>
      <c r="U3366" s="1901" t="s">
        <v>11183</v>
      </c>
      <c r="V3366" s="572" t="s">
        <v>11754</v>
      </c>
      <c r="W3366" s="681" t="s">
        <v>11881</v>
      </c>
      <c r="X3366" s="18"/>
      <c r="Y3366" s="4"/>
      <c r="Z3366" s="4"/>
    </row>
    <row r="3367" spans="1:26" ht="14.1" hidden="1">
      <c r="A3367" s="20">
        <f t="shared" si="195"/>
        <v>3374</v>
      </c>
      <c r="B3367" s="1063">
        <v>43144</v>
      </c>
      <c r="C3367" s="934" t="s">
        <v>11882</v>
      </c>
      <c r="D3367" s="11" t="s">
        <v>6</v>
      </c>
      <c r="E3367" s="204" t="s">
        <v>166</v>
      </c>
      <c r="F3367" s="934" t="s">
        <v>6097</v>
      </c>
      <c r="G3367" s="204" t="s">
        <v>11882</v>
      </c>
      <c r="H3367" s="204" t="s">
        <v>1478</v>
      </c>
      <c r="I3367" s="204" t="s">
        <v>1063</v>
      </c>
      <c r="J3367" s="204" t="s">
        <v>11883</v>
      </c>
      <c r="K3367" s="204" t="s">
        <v>11884</v>
      </c>
      <c r="L3367" s="204"/>
      <c r="M3367" s="204">
        <v>4</v>
      </c>
      <c r="N3367" s="204">
        <v>4</v>
      </c>
      <c r="O3367" s="204">
        <v>4</v>
      </c>
      <c r="P3367" s="204">
        <v>0</v>
      </c>
      <c r="Q3367" s="572">
        <f t="shared" si="200"/>
        <v>0</v>
      </c>
      <c r="R3367" s="1209">
        <v>50</v>
      </c>
      <c r="S3367" s="1209">
        <f t="shared" si="201"/>
        <v>200</v>
      </c>
      <c r="T3367" s="204" t="s">
        <v>11182</v>
      </c>
      <c r="U3367" s="1901" t="s">
        <v>11183</v>
      </c>
      <c r="V3367" s="572" t="s">
        <v>11754</v>
      </c>
      <c r="W3367" s="681" t="s">
        <v>11885</v>
      </c>
      <c r="X3367" s="18"/>
      <c r="Y3367" s="4"/>
      <c r="Z3367" s="4"/>
    </row>
    <row r="3368" spans="1:26" ht="14.1" hidden="1">
      <c r="A3368" s="20">
        <f t="shared" si="195"/>
        <v>3375</v>
      </c>
      <c r="B3368" s="1063">
        <v>43145</v>
      </c>
      <c r="C3368" s="934" t="s">
        <v>11886</v>
      </c>
      <c r="D3368" s="11" t="s">
        <v>6</v>
      </c>
      <c r="E3368" s="204" t="s">
        <v>166</v>
      </c>
      <c r="F3368" s="934" t="s">
        <v>6097</v>
      </c>
      <c r="G3368" s="204" t="s">
        <v>11886</v>
      </c>
      <c r="H3368" s="204" t="s">
        <v>1478</v>
      </c>
      <c r="I3368" s="204" t="s">
        <v>1063</v>
      </c>
      <c r="J3368" s="204" t="s">
        <v>11887</v>
      </c>
      <c r="K3368" s="204" t="s">
        <v>11888</v>
      </c>
      <c r="L3368" s="204"/>
      <c r="M3368" s="204">
        <v>10</v>
      </c>
      <c r="N3368" s="204">
        <v>10</v>
      </c>
      <c r="O3368" s="204">
        <v>10</v>
      </c>
      <c r="P3368" s="204">
        <v>0</v>
      </c>
      <c r="Q3368" s="572">
        <f t="shared" si="200"/>
        <v>0</v>
      </c>
      <c r="R3368" s="1209">
        <v>25</v>
      </c>
      <c r="S3368" s="1209">
        <f t="shared" si="201"/>
        <v>250</v>
      </c>
      <c r="T3368" s="204" t="s">
        <v>11182</v>
      </c>
      <c r="U3368" s="1901" t="s">
        <v>11183</v>
      </c>
      <c r="V3368" s="572" t="s">
        <v>11754</v>
      </c>
      <c r="W3368" s="681" t="s">
        <v>11889</v>
      </c>
      <c r="X3368" s="18"/>
      <c r="Y3368" s="4"/>
      <c r="Z3368" s="4"/>
    </row>
    <row r="3369" spans="1:26" ht="14.1" hidden="1">
      <c r="A3369" s="20">
        <f t="shared" si="195"/>
        <v>3376</v>
      </c>
      <c r="B3369" s="1063">
        <v>43146</v>
      </c>
      <c r="C3369" s="934" t="s">
        <v>11890</v>
      </c>
      <c r="D3369" s="11" t="s">
        <v>6</v>
      </c>
      <c r="E3369" s="204" t="s">
        <v>166</v>
      </c>
      <c r="F3369" s="934" t="s">
        <v>6097</v>
      </c>
      <c r="G3369" s="204" t="s">
        <v>11890</v>
      </c>
      <c r="H3369" s="204" t="s">
        <v>4823</v>
      </c>
      <c r="I3369" s="204" t="s">
        <v>1063</v>
      </c>
      <c r="J3369" s="204" t="s">
        <v>11891</v>
      </c>
      <c r="K3369" s="204" t="s">
        <v>11892</v>
      </c>
      <c r="L3369" s="204"/>
      <c r="M3369" s="204">
        <v>4</v>
      </c>
      <c r="N3369" s="204">
        <v>4</v>
      </c>
      <c r="O3369" s="204">
        <v>4</v>
      </c>
      <c r="P3369" s="204">
        <v>0</v>
      </c>
      <c r="Q3369" s="572">
        <f t="shared" si="200"/>
        <v>0</v>
      </c>
      <c r="R3369" s="1209">
        <v>100</v>
      </c>
      <c r="S3369" s="1209">
        <f t="shared" si="201"/>
        <v>400</v>
      </c>
      <c r="T3369" s="204" t="s">
        <v>11182</v>
      </c>
      <c r="U3369" s="1901" t="s">
        <v>11183</v>
      </c>
      <c r="V3369" s="572" t="s">
        <v>11754</v>
      </c>
      <c r="W3369" s="681" t="s">
        <v>11893</v>
      </c>
      <c r="X3369" s="18"/>
      <c r="Y3369" s="4"/>
      <c r="Z3369" s="4"/>
    </row>
    <row r="3370" spans="1:26" ht="14.1" hidden="1">
      <c r="A3370" s="20">
        <f t="shared" si="195"/>
        <v>3377</v>
      </c>
      <c r="B3370" s="1063">
        <v>43147</v>
      </c>
      <c r="C3370" s="934" t="s">
        <v>11894</v>
      </c>
      <c r="D3370" s="11" t="s">
        <v>6</v>
      </c>
      <c r="E3370" s="204" t="s">
        <v>166</v>
      </c>
      <c r="F3370" s="934" t="s">
        <v>6097</v>
      </c>
      <c r="G3370" s="204" t="s">
        <v>11894</v>
      </c>
      <c r="H3370" s="204" t="s">
        <v>10932</v>
      </c>
      <c r="I3370" s="204" t="s">
        <v>11870</v>
      </c>
      <c r="J3370" s="204" t="s">
        <v>11895</v>
      </c>
      <c r="K3370" s="204">
        <v>742792040</v>
      </c>
      <c r="L3370" s="204"/>
      <c r="M3370" s="204">
        <v>15</v>
      </c>
      <c r="N3370" s="204">
        <v>1</v>
      </c>
      <c r="O3370" s="204">
        <v>15</v>
      </c>
      <c r="P3370" s="204">
        <v>0</v>
      </c>
      <c r="Q3370" s="572">
        <f t="shared" si="200"/>
        <v>0</v>
      </c>
      <c r="R3370" s="1209">
        <v>25</v>
      </c>
      <c r="S3370" s="1209">
        <f t="shared" si="201"/>
        <v>375</v>
      </c>
      <c r="T3370" s="204" t="s">
        <v>11182</v>
      </c>
      <c r="U3370" s="1901" t="s">
        <v>11183</v>
      </c>
      <c r="V3370" s="572" t="s">
        <v>11754</v>
      </c>
      <c r="W3370" s="681" t="s">
        <v>11896</v>
      </c>
      <c r="X3370" s="18"/>
      <c r="Y3370" s="4"/>
      <c r="Z3370" s="4"/>
    </row>
    <row r="3371" spans="1:26" ht="14.1" hidden="1">
      <c r="A3371" s="20">
        <f t="shared" si="195"/>
        <v>3378</v>
      </c>
      <c r="B3371" s="1063">
        <v>43148</v>
      </c>
      <c r="C3371" s="934" t="s">
        <v>11897</v>
      </c>
      <c r="D3371" s="11" t="s">
        <v>6</v>
      </c>
      <c r="E3371" s="204" t="s">
        <v>166</v>
      </c>
      <c r="F3371" s="934" t="s">
        <v>6097</v>
      </c>
      <c r="G3371" s="204" t="s">
        <v>11897</v>
      </c>
      <c r="H3371" s="204" t="s">
        <v>4823</v>
      </c>
      <c r="I3371" s="204" t="s">
        <v>1063</v>
      </c>
      <c r="J3371" s="204" t="s">
        <v>11898</v>
      </c>
      <c r="K3371" s="204" t="s">
        <v>11899</v>
      </c>
      <c r="L3371" s="204"/>
      <c r="M3371" s="204">
        <v>15</v>
      </c>
      <c r="N3371" s="204">
        <v>10</v>
      </c>
      <c r="O3371" s="204">
        <v>20</v>
      </c>
      <c r="P3371" s="204">
        <v>0</v>
      </c>
      <c r="Q3371" s="572">
        <f t="shared" si="200"/>
        <v>5</v>
      </c>
      <c r="R3371" s="1209">
        <v>200</v>
      </c>
      <c r="S3371" s="1209">
        <f t="shared" si="201"/>
        <v>4000</v>
      </c>
      <c r="T3371" s="204" t="s">
        <v>11182</v>
      </c>
      <c r="U3371" s="1901" t="s">
        <v>11183</v>
      </c>
      <c r="V3371" s="572" t="s">
        <v>11754</v>
      </c>
      <c r="W3371" s="681" t="s">
        <v>11900</v>
      </c>
      <c r="X3371" s="18"/>
      <c r="Y3371" s="4"/>
      <c r="Z3371" s="4"/>
    </row>
    <row r="3372" spans="1:26" ht="14.1" hidden="1">
      <c r="A3372" s="20">
        <f t="shared" si="195"/>
        <v>3379</v>
      </c>
      <c r="B3372" s="1063">
        <v>43149</v>
      </c>
      <c r="C3372" s="934" t="s">
        <v>11901</v>
      </c>
      <c r="D3372" s="11" t="s">
        <v>6</v>
      </c>
      <c r="E3372" s="204" t="s">
        <v>166</v>
      </c>
      <c r="F3372" s="934" t="s">
        <v>6097</v>
      </c>
      <c r="G3372" s="204" t="s">
        <v>11901</v>
      </c>
      <c r="H3372" s="204" t="s">
        <v>1653</v>
      </c>
      <c r="I3372" s="204" t="s">
        <v>11870</v>
      </c>
      <c r="J3372" s="204" t="s">
        <v>11902</v>
      </c>
      <c r="K3372" s="204" t="s">
        <v>11903</v>
      </c>
      <c r="L3372" s="204"/>
      <c r="M3372" s="204">
        <v>30</v>
      </c>
      <c r="N3372" s="204">
        <v>1</v>
      </c>
      <c r="O3372" s="204">
        <v>30</v>
      </c>
      <c r="P3372" s="204">
        <v>0</v>
      </c>
      <c r="Q3372" s="572">
        <f t="shared" si="200"/>
        <v>0</v>
      </c>
      <c r="R3372" s="1209">
        <v>34</v>
      </c>
      <c r="S3372" s="1209">
        <f t="shared" si="201"/>
        <v>1020</v>
      </c>
      <c r="T3372" s="204" t="s">
        <v>11182</v>
      </c>
      <c r="U3372" s="1901" t="s">
        <v>11183</v>
      </c>
      <c r="V3372" s="572" t="s">
        <v>11754</v>
      </c>
      <c r="W3372" s="681" t="s">
        <v>11904</v>
      </c>
      <c r="X3372" s="18"/>
      <c r="Y3372" s="4"/>
      <c r="Z3372" s="4"/>
    </row>
    <row r="3373" spans="1:26" ht="14.1" hidden="1">
      <c r="A3373" s="20">
        <f t="shared" si="195"/>
        <v>3380</v>
      </c>
      <c r="B3373" s="1063">
        <v>43150</v>
      </c>
      <c r="C3373" s="934" t="s">
        <v>11905</v>
      </c>
      <c r="D3373" s="11" t="s">
        <v>6</v>
      </c>
      <c r="E3373" s="204" t="s">
        <v>166</v>
      </c>
      <c r="F3373" s="934" t="s">
        <v>6097</v>
      </c>
      <c r="G3373" s="204" t="s">
        <v>11905</v>
      </c>
      <c r="H3373" s="204" t="s">
        <v>1400</v>
      </c>
      <c r="I3373" s="204" t="s">
        <v>39</v>
      </c>
      <c r="J3373" s="204" t="s">
        <v>11906</v>
      </c>
      <c r="K3373" s="204" t="s">
        <v>11907</v>
      </c>
      <c r="L3373" s="204"/>
      <c r="M3373" s="204">
        <v>15</v>
      </c>
      <c r="N3373" s="204">
        <v>5</v>
      </c>
      <c r="O3373" s="204">
        <v>15</v>
      </c>
      <c r="P3373" s="204">
        <v>0</v>
      </c>
      <c r="Q3373" s="572">
        <f t="shared" si="200"/>
        <v>0</v>
      </c>
      <c r="R3373" s="1209">
        <v>12.2</v>
      </c>
      <c r="S3373" s="1209">
        <f t="shared" si="201"/>
        <v>183</v>
      </c>
      <c r="T3373" s="204" t="s">
        <v>11182</v>
      </c>
      <c r="U3373" s="1901" t="s">
        <v>11183</v>
      </c>
      <c r="V3373" s="572" t="s">
        <v>11754</v>
      </c>
      <c r="W3373" s="681" t="s">
        <v>11908</v>
      </c>
      <c r="X3373" s="18"/>
      <c r="Y3373" s="4"/>
      <c r="Z3373" s="4"/>
    </row>
    <row r="3374" spans="1:26" ht="14.1" hidden="1">
      <c r="A3374" s="20">
        <f t="shared" si="195"/>
        <v>3381</v>
      </c>
      <c r="B3374" s="1063">
        <v>43151</v>
      </c>
      <c r="C3374" s="934" t="s">
        <v>11909</v>
      </c>
      <c r="D3374" s="11" t="s">
        <v>6</v>
      </c>
      <c r="E3374" s="204" t="s">
        <v>166</v>
      </c>
      <c r="F3374" s="934" t="s">
        <v>6097</v>
      </c>
      <c r="G3374" s="204" t="s">
        <v>11909</v>
      </c>
      <c r="H3374" s="204" t="s">
        <v>1400</v>
      </c>
      <c r="I3374" s="204" t="s">
        <v>39</v>
      </c>
      <c r="J3374" s="204" t="s">
        <v>11910</v>
      </c>
      <c r="K3374" s="204" t="s">
        <v>11911</v>
      </c>
      <c r="L3374" s="204"/>
      <c r="M3374" s="204">
        <v>15</v>
      </c>
      <c r="N3374" s="204">
        <v>50</v>
      </c>
      <c r="O3374" s="204">
        <v>50</v>
      </c>
      <c r="P3374" s="204">
        <v>0</v>
      </c>
      <c r="Q3374" s="572">
        <f t="shared" si="200"/>
        <v>35</v>
      </c>
      <c r="R3374" s="1209">
        <v>118</v>
      </c>
      <c r="S3374" s="1209">
        <f t="shared" si="201"/>
        <v>5900</v>
      </c>
      <c r="T3374" s="204" t="s">
        <v>11182</v>
      </c>
      <c r="U3374" s="1901" t="s">
        <v>11183</v>
      </c>
      <c r="V3374" s="572" t="s">
        <v>11754</v>
      </c>
      <c r="W3374" s="681" t="s">
        <v>11912</v>
      </c>
      <c r="X3374" s="18"/>
      <c r="Y3374" s="4"/>
      <c r="Z3374" s="4"/>
    </row>
    <row r="3375" spans="1:26" ht="14.1" hidden="1">
      <c r="A3375" s="20">
        <f t="shared" si="195"/>
        <v>3382</v>
      </c>
      <c r="B3375" s="1063">
        <v>43152</v>
      </c>
      <c r="C3375" s="934" t="s">
        <v>11913</v>
      </c>
      <c r="D3375" s="11" t="s">
        <v>6</v>
      </c>
      <c r="E3375" s="204" t="s">
        <v>166</v>
      </c>
      <c r="F3375" s="934" t="s">
        <v>6097</v>
      </c>
      <c r="G3375" s="204" t="s">
        <v>11913</v>
      </c>
      <c r="H3375" s="204" t="s">
        <v>1400</v>
      </c>
      <c r="I3375" s="204" t="s">
        <v>39</v>
      </c>
      <c r="J3375" s="204" t="s">
        <v>11914</v>
      </c>
      <c r="K3375" s="204" t="s">
        <v>11915</v>
      </c>
      <c r="L3375" s="204"/>
      <c r="M3375" s="204">
        <v>15</v>
      </c>
      <c r="N3375" s="204">
        <v>50</v>
      </c>
      <c r="O3375" s="204">
        <v>50</v>
      </c>
      <c r="P3375" s="204">
        <v>0</v>
      </c>
      <c r="Q3375" s="572">
        <f t="shared" si="200"/>
        <v>35</v>
      </c>
      <c r="R3375" s="1209">
        <v>108</v>
      </c>
      <c r="S3375" s="1209">
        <f t="shared" si="201"/>
        <v>5400</v>
      </c>
      <c r="T3375" s="204" t="s">
        <v>11182</v>
      </c>
      <c r="U3375" s="1901" t="s">
        <v>11183</v>
      </c>
      <c r="V3375" s="572" t="s">
        <v>11754</v>
      </c>
      <c r="W3375" s="681" t="s">
        <v>11916</v>
      </c>
      <c r="X3375" s="18"/>
      <c r="Y3375" s="4"/>
      <c r="Z3375" s="4"/>
    </row>
    <row r="3376" spans="1:26" ht="14.1" hidden="1">
      <c r="A3376" s="20">
        <f t="shared" si="195"/>
        <v>3383</v>
      </c>
      <c r="B3376" s="1063">
        <v>43153</v>
      </c>
      <c r="C3376" s="934" t="s">
        <v>11917</v>
      </c>
      <c r="D3376" s="11" t="s">
        <v>6</v>
      </c>
      <c r="E3376" s="204" t="s">
        <v>166</v>
      </c>
      <c r="F3376" s="934" t="s">
        <v>6097</v>
      </c>
      <c r="G3376" s="204" t="s">
        <v>11917</v>
      </c>
      <c r="H3376" s="204" t="s">
        <v>452</v>
      </c>
      <c r="I3376" s="204" t="s">
        <v>39</v>
      </c>
      <c r="J3376" s="204" t="s">
        <v>11918</v>
      </c>
      <c r="K3376" s="204" t="s">
        <v>11919</v>
      </c>
      <c r="L3376" s="204"/>
      <c r="M3376" s="204">
        <v>10</v>
      </c>
      <c r="N3376" s="204">
        <v>5</v>
      </c>
      <c r="O3376" s="204">
        <v>10</v>
      </c>
      <c r="P3376" s="204">
        <v>0</v>
      </c>
      <c r="Q3376" s="572">
        <f t="shared" si="200"/>
        <v>0</v>
      </c>
      <c r="R3376" s="1209">
        <v>259</v>
      </c>
      <c r="S3376" s="1209">
        <f t="shared" si="201"/>
        <v>2590</v>
      </c>
      <c r="T3376" s="204" t="s">
        <v>11182</v>
      </c>
      <c r="U3376" s="1901" t="s">
        <v>11183</v>
      </c>
      <c r="V3376" s="572" t="s">
        <v>11754</v>
      </c>
      <c r="W3376" s="681" t="s">
        <v>11920</v>
      </c>
      <c r="X3376" s="18"/>
      <c r="Y3376" s="4"/>
      <c r="Z3376" s="4"/>
    </row>
    <row r="3377" spans="1:26" ht="14.1" hidden="1">
      <c r="A3377" s="20">
        <f t="shared" si="195"/>
        <v>3384</v>
      </c>
      <c r="B3377" s="1063">
        <v>43154</v>
      </c>
      <c r="C3377" s="934" t="s">
        <v>11921</v>
      </c>
      <c r="D3377" s="11" t="s">
        <v>6</v>
      </c>
      <c r="E3377" s="204" t="s">
        <v>166</v>
      </c>
      <c r="F3377" s="934" t="s">
        <v>6097</v>
      </c>
      <c r="G3377" s="204" t="s">
        <v>11921</v>
      </c>
      <c r="H3377" s="204" t="s">
        <v>452</v>
      </c>
      <c r="I3377" s="204" t="s">
        <v>39</v>
      </c>
      <c r="J3377" s="204" t="s">
        <v>11922</v>
      </c>
      <c r="K3377" s="204" t="s">
        <v>11923</v>
      </c>
      <c r="L3377" s="204"/>
      <c r="M3377" s="204">
        <v>10</v>
      </c>
      <c r="N3377" s="204">
        <v>20</v>
      </c>
      <c r="O3377" s="204">
        <v>20</v>
      </c>
      <c r="P3377" s="204">
        <v>0</v>
      </c>
      <c r="Q3377" s="572">
        <f t="shared" si="200"/>
        <v>10</v>
      </c>
      <c r="R3377" s="1209">
        <v>831</v>
      </c>
      <c r="S3377" s="1209">
        <f t="shared" si="201"/>
        <v>16620</v>
      </c>
      <c r="T3377" s="204" t="s">
        <v>11182</v>
      </c>
      <c r="U3377" s="1901" t="s">
        <v>11183</v>
      </c>
      <c r="V3377" s="572" t="s">
        <v>11754</v>
      </c>
      <c r="W3377" s="681" t="s">
        <v>11924</v>
      </c>
      <c r="X3377" s="18"/>
      <c r="Y3377" s="4"/>
      <c r="Z3377" s="4"/>
    </row>
    <row r="3378" spans="1:26" ht="14.1" hidden="1">
      <c r="A3378" s="20">
        <f t="shared" si="195"/>
        <v>3385</v>
      </c>
      <c r="B3378" s="1063">
        <v>43155</v>
      </c>
      <c r="C3378" s="934" t="s">
        <v>11925</v>
      </c>
      <c r="D3378" s="11" t="s">
        <v>6</v>
      </c>
      <c r="E3378" s="204" t="s">
        <v>166</v>
      </c>
      <c r="F3378" s="934" t="s">
        <v>6097</v>
      </c>
      <c r="G3378" s="204" t="s">
        <v>11925</v>
      </c>
      <c r="H3378" s="204" t="s">
        <v>460</v>
      </c>
      <c r="I3378" s="204" t="s">
        <v>39</v>
      </c>
      <c r="J3378" s="204" t="s">
        <v>11926</v>
      </c>
      <c r="K3378" s="204" t="s">
        <v>11927</v>
      </c>
      <c r="L3378" s="204"/>
      <c r="M3378" s="204">
        <v>10</v>
      </c>
      <c r="N3378" s="204">
        <v>10</v>
      </c>
      <c r="O3378" s="204">
        <v>10</v>
      </c>
      <c r="P3378" s="204">
        <v>0</v>
      </c>
      <c r="Q3378" s="572">
        <f t="shared" si="200"/>
        <v>0</v>
      </c>
      <c r="R3378" s="1209">
        <v>510</v>
      </c>
      <c r="S3378" s="1209">
        <f t="shared" si="201"/>
        <v>5100</v>
      </c>
      <c r="T3378" s="204" t="s">
        <v>11182</v>
      </c>
      <c r="U3378" s="1901" t="s">
        <v>11183</v>
      </c>
      <c r="V3378" s="572" t="s">
        <v>11754</v>
      </c>
      <c r="W3378" s="681" t="s">
        <v>11928</v>
      </c>
      <c r="X3378" s="18"/>
      <c r="Y3378" s="4"/>
      <c r="Z3378" s="4"/>
    </row>
    <row r="3379" spans="1:26" ht="14.1" hidden="1">
      <c r="A3379" s="20">
        <f t="shared" si="195"/>
        <v>3386</v>
      </c>
      <c r="B3379" s="1063">
        <v>43156</v>
      </c>
      <c r="C3379" s="934" t="s">
        <v>11929</v>
      </c>
      <c r="D3379" s="11" t="s">
        <v>6</v>
      </c>
      <c r="E3379" s="204" t="s">
        <v>166</v>
      </c>
      <c r="F3379" s="934" t="s">
        <v>6097</v>
      </c>
      <c r="G3379" s="204" t="s">
        <v>11929</v>
      </c>
      <c r="H3379" s="204" t="s">
        <v>230</v>
      </c>
      <c r="I3379" s="204" t="s">
        <v>39</v>
      </c>
      <c r="J3379" s="204" t="s">
        <v>11930</v>
      </c>
      <c r="K3379" s="204" t="s">
        <v>11931</v>
      </c>
      <c r="L3379" s="204"/>
      <c r="M3379" s="204">
        <v>10</v>
      </c>
      <c r="N3379" s="204">
        <v>5</v>
      </c>
      <c r="O3379" s="204">
        <v>10</v>
      </c>
      <c r="P3379" s="204">
        <v>0</v>
      </c>
      <c r="Q3379" s="572">
        <f t="shared" si="200"/>
        <v>0</v>
      </c>
      <c r="R3379" s="1209">
        <v>1363</v>
      </c>
      <c r="S3379" s="1209">
        <f t="shared" si="201"/>
        <v>13630</v>
      </c>
      <c r="T3379" s="204" t="s">
        <v>11182</v>
      </c>
      <c r="U3379" s="1901" t="s">
        <v>11183</v>
      </c>
      <c r="V3379" s="572" t="s">
        <v>11754</v>
      </c>
      <c r="W3379" s="681" t="s">
        <v>11932</v>
      </c>
      <c r="X3379" s="18"/>
      <c r="Y3379" s="4"/>
      <c r="Z3379" s="4"/>
    </row>
    <row r="3380" spans="1:26" ht="14.1" hidden="1">
      <c r="A3380" s="20">
        <f t="shared" si="195"/>
        <v>3387</v>
      </c>
      <c r="B3380" s="1063">
        <v>43157</v>
      </c>
      <c r="C3380" s="934" t="s">
        <v>11933</v>
      </c>
      <c r="D3380" s="11" t="s">
        <v>6</v>
      </c>
      <c r="E3380" s="204" t="s">
        <v>166</v>
      </c>
      <c r="F3380" s="934" t="s">
        <v>6097</v>
      </c>
      <c r="G3380" s="204" t="s">
        <v>11933</v>
      </c>
      <c r="H3380" s="204" t="s">
        <v>460</v>
      </c>
      <c r="I3380" s="204" t="s">
        <v>1144</v>
      </c>
      <c r="J3380" s="204" t="s">
        <v>11934</v>
      </c>
      <c r="K3380" s="204" t="s">
        <v>11935</v>
      </c>
      <c r="L3380" s="204"/>
      <c r="M3380" s="204">
        <v>10</v>
      </c>
      <c r="N3380" s="204">
        <v>1</v>
      </c>
      <c r="O3380" s="204">
        <v>10</v>
      </c>
      <c r="P3380" s="204">
        <v>0</v>
      </c>
      <c r="Q3380" s="572">
        <f t="shared" si="200"/>
        <v>0</v>
      </c>
      <c r="R3380" s="1209">
        <v>41.9</v>
      </c>
      <c r="S3380" s="1209">
        <f t="shared" si="201"/>
        <v>419</v>
      </c>
      <c r="T3380" s="204" t="s">
        <v>11182</v>
      </c>
      <c r="U3380" s="1901" t="s">
        <v>11183</v>
      </c>
      <c r="V3380" s="572" t="s">
        <v>11754</v>
      </c>
      <c r="W3380" s="681" t="s">
        <v>11936</v>
      </c>
      <c r="X3380" s="18"/>
      <c r="Y3380" s="4"/>
      <c r="Z3380" s="4"/>
    </row>
    <row r="3381" spans="1:26" ht="14.1" hidden="1">
      <c r="A3381" s="20">
        <f t="shared" si="195"/>
        <v>3388</v>
      </c>
      <c r="B3381" s="1063">
        <v>43158</v>
      </c>
      <c r="C3381" s="934" t="s">
        <v>11937</v>
      </c>
      <c r="D3381" s="11" t="s">
        <v>6</v>
      </c>
      <c r="E3381" s="204" t="s">
        <v>166</v>
      </c>
      <c r="F3381" s="934" t="s">
        <v>6097</v>
      </c>
      <c r="G3381" s="204" t="s">
        <v>11937</v>
      </c>
      <c r="H3381" s="204" t="s">
        <v>11938</v>
      </c>
      <c r="I3381" s="204" t="s">
        <v>1063</v>
      </c>
      <c r="J3381" s="204" t="s">
        <v>11939</v>
      </c>
      <c r="K3381" s="204" t="s">
        <v>11940</v>
      </c>
      <c r="L3381" s="204"/>
      <c r="M3381" s="204">
        <v>10</v>
      </c>
      <c r="N3381" s="204">
        <v>1</v>
      </c>
      <c r="O3381" s="204">
        <v>10</v>
      </c>
      <c r="P3381" s="204">
        <v>0</v>
      </c>
      <c r="Q3381" s="572">
        <f t="shared" si="200"/>
        <v>0</v>
      </c>
      <c r="R3381" s="1209">
        <v>35</v>
      </c>
      <c r="S3381" s="1209">
        <f t="shared" si="201"/>
        <v>350</v>
      </c>
      <c r="T3381" s="204" t="s">
        <v>11182</v>
      </c>
      <c r="U3381" s="1901" t="s">
        <v>11183</v>
      </c>
      <c r="V3381" s="572" t="s">
        <v>11754</v>
      </c>
      <c r="W3381" s="681" t="s">
        <v>11941</v>
      </c>
      <c r="X3381" s="18"/>
      <c r="Y3381" s="4"/>
      <c r="Z3381" s="4"/>
    </row>
    <row r="3382" spans="1:26" ht="14.1" hidden="1">
      <c r="A3382" s="20">
        <f t="shared" si="195"/>
        <v>3389</v>
      </c>
      <c r="B3382" s="1063">
        <v>43159</v>
      </c>
      <c r="C3382" s="934" t="s">
        <v>11942</v>
      </c>
      <c r="D3382" s="11" t="s">
        <v>6</v>
      </c>
      <c r="E3382" s="204" t="s">
        <v>166</v>
      </c>
      <c r="F3382" s="934" t="s">
        <v>6097</v>
      </c>
      <c r="G3382" s="204" t="s">
        <v>11942</v>
      </c>
      <c r="H3382" s="204" t="s">
        <v>5827</v>
      </c>
      <c r="I3382" s="204" t="s">
        <v>1063</v>
      </c>
      <c r="J3382" s="204" t="s">
        <v>11943</v>
      </c>
      <c r="K3382" s="204" t="s">
        <v>11944</v>
      </c>
      <c r="L3382" s="204"/>
      <c r="M3382" s="204">
        <v>10</v>
      </c>
      <c r="N3382" s="204">
        <v>1</v>
      </c>
      <c r="O3382" s="204">
        <v>10</v>
      </c>
      <c r="P3382" s="204">
        <v>0</v>
      </c>
      <c r="Q3382" s="572">
        <f t="shared" si="200"/>
        <v>0</v>
      </c>
      <c r="R3382" s="1209">
        <v>50</v>
      </c>
      <c r="S3382" s="1209">
        <f t="shared" si="201"/>
        <v>500</v>
      </c>
      <c r="T3382" s="204" t="s">
        <v>11182</v>
      </c>
      <c r="U3382" s="1901" t="s">
        <v>11183</v>
      </c>
      <c r="V3382" s="572" t="s">
        <v>11754</v>
      </c>
      <c r="W3382" s="681" t="s">
        <v>11945</v>
      </c>
      <c r="X3382" s="18"/>
      <c r="Y3382" s="4"/>
      <c r="Z3382" s="4"/>
    </row>
    <row r="3383" spans="1:26" ht="14.1" hidden="1">
      <c r="A3383" s="20">
        <f t="shared" si="195"/>
        <v>3390</v>
      </c>
      <c r="B3383" s="1063">
        <v>43160</v>
      </c>
      <c r="C3383" s="934" t="s">
        <v>11946</v>
      </c>
      <c r="D3383" s="11" t="s">
        <v>6</v>
      </c>
      <c r="E3383" s="204" t="s">
        <v>166</v>
      </c>
      <c r="F3383" s="934" t="s">
        <v>6097</v>
      </c>
      <c r="G3383" s="204" t="s">
        <v>11946</v>
      </c>
      <c r="H3383" s="204" t="s">
        <v>11947</v>
      </c>
      <c r="I3383" s="204" t="s">
        <v>1063</v>
      </c>
      <c r="J3383" s="204" t="s">
        <v>11948</v>
      </c>
      <c r="K3383" s="204" t="s">
        <v>11949</v>
      </c>
      <c r="L3383" s="204"/>
      <c r="M3383" s="204">
        <v>10</v>
      </c>
      <c r="N3383" s="204">
        <v>1</v>
      </c>
      <c r="O3383" s="204">
        <v>10</v>
      </c>
      <c r="P3383" s="204">
        <v>0</v>
      </c>
      <c r="Q3383" s="572">
        <f t="shared" si="200"/>
        <v>0</v>
      </c>
      <c r="R3383" s="1209">
        <v>30</v>
      </c>
      <c r="S3383" s="1209">
        <f t="shared" si="201"/>
        <v>300</v>
      </c>
      <c r="T3383" s="204" t="s">
        <v>11182</v>
      </c>
      <c r="U3383" s="1901" t="s">
        <v>11183</v>
      </c>
      <c r="V3383" s="572" t="s">
        <v>11754</v>
      </c>
      <c r="W3383" s="681" t="s">
        <v>11950</v>
      </c>
      <c r="X3383" s="18"/>
      <c r="Y3383" s="4"/>
      <c r="Z3383" s="4"/>
    </row>
    <row r="3384" spans="1:26" ht="14.1" hidden="1">
      <c r="A3384" s="20">
        <f t="shared" si="195"/>
        <v>3391</v>
      </c>
      <c r="B3384" s="1063">
        <v>43161</v>
      </c>
      <c r="C3384" s="934" t="s">
        <v>11951</v>
      </c>
      <c r="D3384" s="11" t="s">
        <v>6</v>
      </c>
      <c r="E3384" s="204" t="s">
        <v>166</v>
      </c>
      <c r="F3384" s="934" t="s">
        <v>6097</v>
      </c>
      <c r="G3384" s="204" t="s">
        <v>11951</v>
      </c>
      <c r="H3384" s="204" t="s">
        <v>11857</v>
      </c>
      <c r="I3384" s="204" t="s">
        <v>1063</v>
      </c>
      <c r="J3384" s="204" t="s">
        <v>11952</v>
      </c>
      <c r="K3384" s="204" t="s">
        <v>11953</v>
      </c>
      <c r="L3384" s="204"/>
      <c r="M3384" s="204">
        <v>15</v>
      </c>
      <c r="N3384" s="204">
        <v>5</v>
      </c>
      <c r="O3384" s="204">
        <v>15</v>
      </c>
      <c r="P3384" s="204">
        <v>0</v>
      </c>
      <c r="Q3384" s="572">
        <f t="shared" si="200"/>
        <v>0</v>
      </c>
      <c r="R3384" s="1209">
        <v>200</v>
      </c>
      <c r="S3384" s="1209">
        <f t="shared" si="201"/>
        <v>3000</v>
      </c>
      <c r="T3384" s="204" t="s">
        <v>11182</v>
      </c>
      <c r="U3384" s="1901" t="s">
        <v>11183</v>
      </c>
      <c r="V3384" s="572" t="s">
        <v>11754</v>
      </c>
      <c r="W3384" s="681" t="s">
        <v>11954</v>
      </c>
      <c r="X3384" s="18"/>
      <c r="Y3384" s="4"/>
      <c r="Z3384" s="4"/>
    </row>
    <row r="3385" spans="1:26" ht="14.1" hidden="1">
      <c r="A3385" s="20">
        <f t="shared" si="195"/>
        <v>3392</v>
      </c>
      <c r="B3385" s="1063">
        <v>43162</v>
      </c>
      <c r="C3385" s="934" t="s">
        <v>11955</v>
      </c>
      <c r="D3385" s="11" t="s">
        <v>6</v>
      </c>
      <c r="E3385" s="204" t="s">
        <v>166</v>
      </c>
      <c r="F3385" s="934" t="s">
        <v>6097</v>
      </c>
      <c r="G3385" s="204" t="s">
        <v>11955</v>
      </c>
      <c r="H3385" s="204" t="s">
        <v>1400</v>
      </c>
      <c r="I3385" s="204" t="s">
        <v>1144</v>
      </c>
      <c r="J3385" s="204" t="s">
        <v>11956</v>
      </c>
      <c r="K3385" s="204" t="s">
        <v>11957</v>
      </c>
      <c r="L3385" s="204"/>
      <c r="M3385" s="204">
        <v>30</v>
      </c>
      <c r="N3385" s="204">
        <v>1</v>
      </c>
      <c r="O3385" s="204">
        <v>30</v>
      </c>
      <c r="P3385" s="204">
        <v>0</v>
      </c>
      <c r="Q3385" s="572">
        <f t="shared" si="200"/>
        <v>0</v>
      </c>
      <c r="R3385" s="1209">
        <v>389</v>
      </c>
      <c r="S3385" s="1209">
        <f t="shared" si="201"/>
        <v>11670</v>
      </c>
      <c r="T3385" s="204" t="s">
        <v>11182</v>
      </c>
      <c r="U3385" s="1901" t="s">
        <v>11183</v>
      </c>
      <c r="V3385" s="572" t="s">
        <v>11754</v>
      </c>
      <c r="W3385" s="681" t="s">
        <v>11958</v>
      </c>
      <c r="X3385" s="18"/>
      <c r="Y3385" s="4"/>
      <c r="Z3385" s="4"/>
    </row>
    <row r="3386" spans="1:26" ht="14.1" hidden="1">
      <c r="A3386" s="20">
        <f t="shared" si="195"/>
        <v>3393</v>
      </c>
      <c r="B3386" s="1063">
        <v>43163</v>
      </c>
      <c r="C3386" s="934" t="s">
        <v>11959</v>
      </c>
      <c r="D3386" s="11" t="s">
        <v>6</v>
      </c>
      <c r="E3386" s="204" t="s">
        <v>166</v>
      </c>
      <c r="F3386" s="934" t="s">
        <v>6097</v>
      </c>
      <c r="G3386" s="204" t="s">
        <v>11959</v>
      </c>
      <c r="H3386" s="204" t="s">
        <v>8399</v>
      </c>
      <c r="I3386" s="204" t="s">
        <v>1063</v>
      </c>
      <c r="J3386" s="204" t="s">
        <v>11960</v>
      </c>
      <c r="K3386" s="204" t="s">
        <v>11961</v>
      </c>
      <c r="L3386" s="204"/>
      <c r="M3386" s="204">
        <v>10</v>
      </c>
      <c r="N3386" s="204">
        <v>1</v>
      </c>
      <c r="O3386" s="204">
        <v>10</v>
      </c>
      <c r="P3386" s="204">
        <v>0</v>
      </c>
      <c r="Q3386" s="572">
        <f t="shared" si="200"/>
        <v>0</v>
      </c>
      <c r="R3386" s="1209">
        <v>210</v>
      </c>
      <c r="S3386" s="1209">
        <f t="shared" si="201"/>
        <v>2100</v>
      </c>
      <c r="T3386" s="204" t="s">
        <v>11182</v>
      </c>
      <c r="U3386" s="1901" t="s">
        <v>11183</v>
      </c>
      <c r="V3386" s="572" t="s">
        <v>11754</v>
      </c>
      <c r="W3386" s="681" t="s">
        <v>11962</v>
      </c>
      <c r="X3386" s="18"/>
      <c r="Y3386" s="4"/>
      <c r="Z3386" s="4"/>
    </row>
    <row r="3387" spans="1:26" ht="14.1" hidden="1">
      <c r="A3387" s="20">
        <f t="shared" si="195"/>
        <v>3394</v>
      </c>
      <c r="B3387" s="1063">
        <v>43164</v>
      </c>
      <c r="C3387" s="934" t="s">
        <v>11963</v>
      </c>
      <c r="D3387" s="11" t="s">
        <v>6</v>
      </c>
      <c r="E3387" s="204" t="s">
        <v>166</v>
      </c>
      <c r="F3387" s="934" t="s">
        <v>6097</v>
      </c>
      <c r="G3387" s="204" t="s">
        <v>11963</v>
      </c>
      <c r="H3387" s="204" t="s">
        <v>5827</v>
      </c>
      <c r="I3387" s="204" t="s">
        <v>1063</v>
      </c>
      <c r="J3387" s="204" t="s">
        <v>11964</v>
      </c>
      <c r="K3387" s="204" t="s">
        <v>11965</v>
      </c>
      <c r="L3387" s="204"/>
      <c r="M3387" s="204">
        <v>10</v>
      </c>
      <c r="N3387" s="204">
        <v>10</v>
      </c>
      <c r="O3387" s="204">
        <v>10</v>
      </c>
      <c r="P3387" s="204">
        <v>0</v>
      </c>
      <c r="Q3387" s="572">
        <f t="shared" si="200"/>
        <v>0</v>
      </c>
      <c r="R3387" s="1209">
        <v>200</v>
      </c>
      <c r="S3387" s="1209">
        <f t="shared" si="201"/>
        <v>2000</v>
      </c>
      <c r="T3387" s="204" t="s">
        <v>11182</v>
      </c>
      <c r="U3387" s="1901" t="s">
        <v>11183</v>
      </c>
      <c r="V3387" s="572" t="s">
        <v>11754</v>
      </c>
      <c r="W3387" s="681" t="s">
        <v>11966</v>
      </c>
      <c r="X3387" s="18"/>
      <c r="Y3387" s="4"/>
      <c r="Z3387" s="4"/>
    </row>
    <row r="3388" spans="1:26" ht="14.1" hidden="1">
      <c r="A3388" s="20">
        <f t="shared" si="195"/>
        <v>3395</v>
      </c>
      <c r="B3388" s="1063">
        <v>43165</v>
      </c>
      <c r="C3388" s="934" t="s">
        <v>11967</v>
      </c>
      <c r="D3388" s="11" t="s">
        <v>6</v>
      </c>
      <c r="E3388" s="204" t="s">
        <v>166</v>
      </c>
      <c r="F3388" s="934" t="s">
        <v>6097</v>
      </c>
      <c r="G3388" s="204" t="s">
        <v>11968</v>
      </c>
      <c r="H3388" s="204" t="s">
        <v>11969</v>
      </c>
      <c r="I3388" s="204" t="s">
        <v>574</v>
      </c>
      <c r="J3388" s="204" t="s">
        <v>11970</v>
      </c>
      <c r="K3388" s="204" t="s">
        <v>11971</v>
      </c>
      <c r="L3388" s="204"/>
      <c r="M3388" s="204">
        <v>10</v>
      </c>
      <c r="N3388" s="204">
        <v>1</v>
      </c>
      <c r="O3388" s="204">
        <v>10</v>
      </c>
      <c r="P3388" s="204">
        <v>0</v>
      </c>
      <c r="Q3388" s="572">
        <v>0</v>
      </c>
      <c r="R3388" s="1209">
        <v>38.9</v>
      </c>
      <c r="S3388" s="1209">
        <f t="shared" si="201"/>
        <v>389</v>
      </c>
      <c r="T3388" s="204" t="s">
        <v>11182</v>
      </c>
      <c r="U3388" s="1901" t="s">
        <v>11183</v>
      </c>
      <c r="V3388" s="572" t="s">
        <v>11754</v>
      </c>
      <c r="W3388" s="681" t="s">
        <v>11972</v>
      </c>
      <c r="X3388" s="18"/>
      <c r="Y3388" s="4"/>
      <c r="Z3388" s="4"/>
    </row>
    <row r="3389" spans="1:26" ht="14.1" hidden="1">
      <c r="A3389" s="20">
        <f t="shared" si="195"/>
        <v>3396</v>
      </c>
      <c r="B3389" s="1063">
        <v>43166</v>
      </c>
      <c r="C3389" s="934" t="s">
        <v>11973</v>
      </c>
      <c r="D3389" s="11" t="s">
        <v>6</v>
      </c>
      <c r="E3389" s="204" t="s">
        <v>166</v>
      </c>
      <c r="F3389" s="934" t="s">
        <v>6097</v>
      </c>
      <c r="G3389" s="204" t="s">
        <v>11974</v>
      </c>
      <c r="H3389" s="204" t="s">
        <v>166</v>
      </c>
      <c r="I3389" s="204" t="s">
        <v>39</v>
      </c>
      <c r="J3389" s="204" t="s">
        <v>11975</v>
      </c>
      <c r="K3389" s="204" t="s">
        <v>11976</v>
      </c>
      <c r="L3389" s="204"/>
      <c r="M3389" s="204">
        <v>20</v>
      </c>
      <c r="N3389" s="204">
        <v>25</v>
      </c>
      <c r="O3389" s="204">
        <v>25</v>
      </c>
      <c r="P3389" s="204">
        <v>0</v>
      </c>
      <c r="Q3389" s="572">
        <v>5</v>
      </c>
      <c r="R3389" s="1209">
        <v>19.32</v>
      </c>
      <c r="S3389" s="1209">
        <f t="shared" si="201"/>
        <v>483</v>
      </c>
      <c r="T3389" s="204" t="s">
        <v>11182</v>
      </c>
      <c r="U3389" s="1901" t="s">
        <v>11183</v>
      </c>
      <c r="V3389" s="572" t="s">
        <v>11754</v>
      </c>
      <c r="W3389" s="681" t="s">
        <v>11977</v>
      </c>
      <c r="X3389" s="18"/>
      <c r="Y3389" s="4"/>
      <c r="Z3389" s="4"/>
    </row>
    <row r="3390" spans="1:26" ht="14.1" hidden="1">
      <c r="A3390" s="20">
        <f t="shared" si="195"/>
        <v>3397</v>
      </c>
      <c r="B3390" s="1063">
        <v>43167</v>
      </c>
      <c r="C3390" s="934" t="s">
        <v>11978</v>
      </c>
      <c r="D3390" s="8" t="s">
        <v>6</v>
      </c>
      <c r="E3390" s="204" t="s">
        <v>166</v>
      </c>
      <c r="F3390" s="934" t="s">
        <v>11979</v>
      </c>
      <c r="G3390" s="204" t="s">
        <v>11980</v>
      </c>
      <c r="H3390" s="204" t="s">
        <v>366</v>
      </c>
      <c r="I3390" s="204" t="s">
        <v>366</v>
      </c>
      <c r="J3390" s="204"/>
      <c r="K3390" s="204" t="s">
        <v>11981</v>
      </c>
      <c r="L3390" s="204" t="s">
        <v>149</v>
      </c>
      <c r="M3390" s="204">
        <v>4</v>
      </c>
      <c r="N3390" s="204">
        <v>1</v>
      </c>
      <c r="O3390" s="204">
        <v>4</v>
      </c>
      <c r="P3390" s="204">
        <v>0</v>
      </c>
      <c r="Q3390" s="572">
        <v>0</v>
      </c>
      <c r="R3390" s="1209">
        <v>840</v>
      </c>
      <c r="S3390" s="1209"/>
      <c r="T3390" s="204" t="s">
        <v>5448</v>
      </c>
      <c r="U3390" s="1901" t="s">
        <v>9101</v>
      </c>
      <c r="V3390" s="572" t="s">
        <v>302</v>
      </c>
      <c r="W3390" s="804" t="s">
        <v>11982</v>
      </c>
      <c r="X3390" s="18"/>
      <c r="Y3390" s="4"/>
      <c r="Z3390" s="4"/>
    </row>
    <row r="3391" spans="1:26" ht="14.1" hidden="1">
      <c r="A3391" s="20">
        <f t="shared" si="195"/>
        <v>3398</v>
      </c>
      <c r="B3391" s="1063">
        <v>43168</v>
      </c>
      <c r="C3391" s="934" t="s">
        <v>11983</v>
      </c>
      <c r="D3391" s="8" t="s">
        <v>6</v>
      </c>
      <c r="E3391" s="204" t="s">
        <v>166</v>
      </c>
      <c r="F3391" s="934" t="s">
        <v>11979</v>
      </c>
      <c r="G3391" s="204" t="s">
        <v>11984</v>
      </c>
      <c r="H3391" s="204" t="s">
        <v>366</v>
      </c>
      <c r="I3391" s="204" t="s">
        <v>366</v>
      </c>
      <c r="J3391" s="204"/>
      <c r="K3391" s="204" t="s">
        <v>11985</v>
      </c>
      <c r="L3391" s="204" t="s">
        <v>149</v>
      </c>
      <c r="M3391" s="204">
        <v>4</v>
      </c>
      <c r="N3391" s="204">
        <v>1</v>
      </c>
      <c r="O3391" s="204">
        <v>4</v>
      </c>
      <c r="P3391" s="204">
        <v>0</v>
      </c>
      <c r="Q3391" s="572">
        <v>0</v>
      </c>
      <c r="R3391" s="1209">
        <v>1040</v>
      </c>
      <c r="S3391" s="1209"/>
      <c r="T3391" s="204" t="s">
        <v>5448</v>
      </c>
      <c r="U3391" s="1901" t="s">
        <v>9101</v>
      </c>
      <c r="V3391" s="572" t="s">
        <v>302</v>
      </c>
      <c r="W3391" s="804" t="s">
        <v>11986</v>
      </c>
      <c r="X3391" s="18"/>
      <c r="Y3391" s="4"/>
      <c r="Z3391" s="4"/>
    </row>
    <row r="3392" spans="1:26" ht="14.45" hidden="1">
      <c r="A3392" s="20">
        <f t="shared" si="195"/>
        <v>3399</v>
      </c>
      <c r="B3392" s="1063">
        <v>43169</v>
      </c>
      <c r="C3392" s="985" t="s">
        <v>11292</v>
      </c>
      <c r="D3392" s="11" t="s">
        <v>6</v>
      </c>
      <c r="E3392" s="204" t="s">
        <v>166</v>
      </c>
      <c r="F3392" s="985" t="s">
        <v>3413</v>
      </c>
      <c r="G3392" s="683" t="s">
        <v>372</v>
      </c>
      <c r="H3392" s="683" t="s">
        <v>366</v>
      </c>
      <c r="I3392" s="683" t="s">
        <v>366</v>
      </c>
      <c r="J3392" s="683"/>
      <c r="K3392" s="683" t="s">
        <v>372</v>
      </c>
      <c r="L3392" s="683"/>
      <c r="M3392" s="683">
        <v>50</v>
      </c>
      <c r="N3392" s="683">
        <v>50</v>
      </c>
      <c r="O3392" s="683">
        <v>50</v>
      </c>
      <c r="P3392" s="683" t="s">
        <v>1</v>
      </c>
      <c r="Q3392" s="683" t="s">
        <v>1</v>
      </c>
      <c r="R3392" s="1285">
        <v>150</v>
      </c>
      <c r="S3392" s="1285">
        <v>7500</v>
      </c>
      <c r="T3392" s="683" t="s">
        <v>311</v>
      </c>
      <c r="U3392" s="740" t="s">
        <v>311</v>
      </c>
      <c r="V3392" s="204" t="s">
        <v>3187</v>
      </c>
      <c r="W3392" s="733" t="s">
        <v>11293</v>
      </c>
      <c r="X3392" s="734"/>
      <c r="Y3392" s="426"/>
      <c r="Z3392" s="426"/>
    </row>
    <row r="3393" spans="1:26" ht="14.45" hidden="1">
      <c r="A3393" s="20">
        <f t="shared" si="195"/>
        <v>3400</v>
      </c>
      <c r="B3393" s="1063">
        <v>43170</v>
      </c>
      <c r="C3393" s="986" t="s">
        <v>11278</v>
      </c>
      <c r="D3393" s="11" t="s">
        <v>6</v>
      </c>
      <c r="E3393" s="204" t="s">
        <v>166</v>
      </c>
      <c r="F3393" s="986" t="s">
        <v>3413</v>
      </c>
      <c r="G3393" s="298" t="s">
        <v>11279</v>
      </c>
      <c r="H3393" s="298" t="s">
        <v>366</v>
      </c>
      <c r="I3393" s="298" t="s">
        <v>366</v>
      </c>
      <c r="J3393" s="298"/>
      <c r="K3393" s="298" t="s">
        <v>11279</v>
      </c>
      <c r="L3393" s="298"/>
      <c r="M3393" s="298">
        <v>50</v>
      </c>
      <c r="N3393" s="298">
        <v>50</v>
      </c>
      <c r="O3393" s="298">
        <v>50</v>
      </c>
      <c r="P3393" s="298" t="s">
        <v>1</v>
      </c>
      <c r="Q3393" s="298" t="s">
        <v>1</v>
      </c>
      <c r="R3393" s="1286">
        <v>53</v>
      </c>
      <c r="S3393" s="1286">
        <v>2650</v>
      </c>
      <c r="T3393" s="298" t="s">
        <v>311</v>
      </c>
      <c r="U3393" s="1537" t="s">
        <v>311</v>
      </c>
      <c r="V3393" s="204" t="s">
        <v>3187</v>
      </c>
      <c r="W3393" s="735" t="s">
        <v>11280</v>
      </c>
      <c r="X3393" s="330"/>
      <c r="Y3393" s="426"/>
      <c r="Z3393" s="426"/>
    </row>
    <row r="3394" spans="1:26" ht="14.45" hidden="1">
      <c r="A3394" s="20">
        <f t="shared" si="195"/>
        <v>3401</v>
      </c>
      <c r="B3394" s="1063">
        <v>43171</v>
      </c>
      <c r="C3394" s="986" t="s">
        <v>11270</v>
      </c>
      <c r="D3394" s="11" t="s">
        <v>6</v>
      </c>
      <c r="E3394" s="204" t="s">
        <v>166</v>
      </c>
      <c r="F3394" s="986" t="s">
        <v>3413</v>
      </c>
      <c r="G3394" s="298" t="s">
        <v>9165</v>
      </c>
      <c r="H3394" s="298" t="s">
        <v>366</v>
      </c>
      <c r="I3394" s="298" t="s">
        <v>366</v>
      </c>
      <c r="J3394" s="298"/>
      <c r="K3394" s="298" t="s">
        <v>9165</v>
      </c>
      <c r="L3394" s="298"/>
      <c r="M3394" s="298">
        <v>200</v>
      </c>
      <c r="N3394" s="298">
        <v>200</v>
      </c>
      <c r="O3394" s="298">
        <v>200</v>
      </c>
      <c r="P3394" s="298" t="s">
        <v>1</v>
      </c>
      <c r="Q3394" s="298" t="s">
        <v>1</v>
      </c>
      <c r="R3394" s="1286">
        <v>6</v>
      </c>
      <c r="S3394" s="1286">
        <v>1200</v>
      </c>
      <c r="T3394" s="298" t="s">
        <v>311</v>
      </c>
      <c r="U3394" s="1537" t="s">
        <v>311</v>
      </c>
      <c r="V3394" s="204" t="s">
        <v>3187</v>
      </c>
      <c r="W3394" s="736" t="s">
        <v>11273</v>
      </c>
      <c r="X3394" s="330"/>
      <c r="Y3394" s="426"/>
      <c r="Z3394" s="426"/>
    </row>
    <row r="3395" spans="1:26" ht="14.45" hidden="1">
      <c r="A3395" s="20">
        <f t="shared" si="195"/>
        <v>3402</v>
      </c>
      <c r="B3395" s="1063">
        <v>43172</v>
      </c>
      <c r="C3395" s="986" t="s">
        <v>11270</v>
      </c>
      <c r="D3395" s="11" t="s">
        <v>6</v>
      </c>
      <c r="E3395" s="204" t="s">
        <v>166</v>
      </c>
      <c r="F3395" s="986" t="s">
        <v>3413</v>
      </c>
      <c r="G3395" s="298" t="s">
        <v>11271</v>
      </c>
      <c r="H3395" s="298" t="s">
        <v>366</v>
      </c>
      <c r="I3395" s="298" t="s">
        <v>366</v>
      </c>
      <c r="J3395" s="298"/>
      <c r="K3395" s="298" t="s">
        <v>11271</v>
      </c>
      <c r="L3395" s="298"/>
      <c r="M3395" s="298">
        <v>300</v>
      </c>
      <c r="N3395" s="298">
        <v>300</v>
      </c>
      <c r="O3395" s="298">
        <v>300</v>
      </c>
      <c r="P3395" s="298" t="s">
        <v>1</v>
      </c>
      <c r="Q3395" s="298" t="s">
        <v>1</v>
      </c>
      <c r="R3395" s="1286">
        <v>6</v>
      </c>
      <c r="S3395" s="1286">
        <v>1800</v>
      </c>
      <c r="T3395" s="298" t="s">
        <v>311</v>
      </c>
      <c r="U3395" s="1537" t="s">
        <v>311</v>
      </c>
      <c r="V3395" s="204" t="s">
        <v>3187</v>
      </c>
      <c r="W3395" s="736" t="s">
        <v>11272</v>
      </c>
      <c r="X3395" s="330"/>
      <c r="Y3395" s="426"/>
      <c r="Z3395" s="426"/>
    </row>
    <row r="3396" spans="1:26" ht="14.45" hidden="1">
      <c r="A3396" s="20">
        <f t="shared" si="195"/>
        <v>3403</v>
      </c>
      <c r="B3396" s="1063">
        <v>43173</v>
      </c>
      <c r="C3396" s="986" t="s">
        <v>11301</v>
      </c>
      <c r="D3396" s="11" t="s">
        <v>6</v>
      </c>
      <c r="E3396" s="204" t="s">
        <v>166</v>
      </c>
      <c r="F3396" s="986" t="s">
        <v>3413</v>
      </c>
      <c r="G3396" s="298" t="s">
        <v>11302</v>
      </c>
      <c r="H3396" s="298" t="s">
        <v>9298</v>
      </c>
      <c r="I3396" s="298" t="s">
        <v>84</v>
      </c>
      <c r="J3396" s="298"/>
      <c r="K3396" s="298">
        <v>35767094</v>
      </c>
      <c r="L3396" s="298"/>
      <c r="M3396" s="298">
        <v>2</v>
      </c>
      <c r="N3396" s="298">
        <v>2</v>
      </c>
      <c r="O3396" s="298">
        <v>2</v>
      </c>
      <c r="P3396" s="298" t="s">
        <v>1</v>
      </c>
      <c r="Q3396" s="298" t="s">
        <v>1</v>
      </c>
      <c r="R3396" s="1286">
        <v>3190</v>
      </c>
      <c r="S3396" s="1286">
        <v>6380</v>
      </c>
      <c r="T3396" s="298" t="s">
        <v>311</v>
      </c>
      <c r="U3396" s="1537" t="s">
        <v>311</v>
      </c>
      <c r="V3396" s="204" t="s">
        <v>3187</v>
      </c>
      <c r="W3396" s="735" t="s">
        <v>11304</v>
      </c>
      <c r="X3396" s="330"/>
      <c r="Y3396" s="426"/>
      <c r="Z3396" s="426"/>
    </row>
    <row r="3397" spans="1:26" ht="14.1" hidden="1">
      <c r="A3397" s="20">
        <f t="shared" si="195"/>
        <v>3404</v>
      </c>
      <c r="B3397" s="1063">
        <v>43174</v>
      </c>
      <c r="C3397" s="934" t="s">
        <v>11987</v>
      </c>
      <c r="D3397" s="11" t="s">
        <v>6</v>
      </c>
      <c r="E3397" s="204" t="s">
        <v>166</v>
      </c>
      <c r="F3397" s="26" t="s">
        <v>10005</v>
      </c>
      <c r="G3397" s="204" t="s">
        <v>11988</v>
      </c>
      <c r="H3397" s="204" t="s">
        <v>2384</v>
      </c>
      <c r="I3397" s="204" t="s">
        <v>2384</v>
      </c>
      <c r="J3397" s="204" t="s">
        <v>1</v>
      </c>
      <c r="K3397" s="204" t="s">
        <v>11989</v>
      </c>
      <c r="L3397" s="204" t="s">
        <v>149</v>
      </c>
      <c r="M3397" s="204">
        <v>2</v>
      </c>
      <c r="N3397" s="204">
        <v>2</v>
      </c>
      <c r="O3397" s="204">
        <v>2</v>
      </c>
      <c r="P3397" s="204">
        <v>0</v>
      </c>
      <c r="Q3397" s="572">
        <v>0</v>
      </c>
      <c r="R3397" s="1209" t="s">
        <v>11990</v>
      </c>
      <c r="S3397" s="1209" t="s">
        <v>11991</v>
      </c>
      <c r="T3397" s="26" t="s">
        <v>4220</v>
      </c>
      <c r="U3397" s="1901" t="s">
        <v>11992</v>
      </c>
      <c r="V3397" s="26" t="s">
        <v>689</v>
      </c>
      <c r="W3397" s="681" t="s">
        <v>11993</v>
      </c>
      <c r="X3397" s="18"/>
      <c r="Y3397" s="4"/>
      <c r="Z3397" s="4"/>
    </row>
    <row r="3398" spans="1:26" ht="14.1" hidden="1">
      <c r="A3398" s="20">
        <f t="shared" si="195"/>
        <v>3405</v>
      </c>
      <c r="B3398" s="1063">
        <v>43175</v>
      </c>
      <c r="C3398" s="934" t="s">
        <v>11994</v>
      </c>
      <c r="D3398" s="11" t="s">
        <v>6</v>
      </c>
      <c r="E3398" s="204" t="s">
        <v>166</v>
      </c>
      <c r="F3398" s="26" t="s">
        <v>10005</v>
      </c>
      <c r="G3398" s="204" t="s">
        <v>11995</v>
      </c>
      <c r="H3398" s="204" t="s">
        <v>84</v>
      </c>
      <c r="I3398" s="204" t="s">
        <v>84</v>
      </c>
      <c r="J3398" s="204" t="s">
        <v>1</v>
      </c>
      <c r="K3398" s="204" t="s">
        <v>1511</v>
      </c>
      <c r="L3398" s="204" t="s">
        <v>149</v>
      </c>
      <c r="M3398" s="204">
        <v>1</v>
      </c>
      <c r="N3398" s="204">
        <v>1</v>
      </c>
      <c r="O3398" s="204">
        <v>1</v>
      </c>
      <c r="P3398" s="204">
        <v>0</v>
      </c>
      <c r="Q3398" s="572">
        <v>0</v>
      </c>
      <c r="R3398" s="1209">
        <v>5590</v>
      </c>
      <c r="S3398" s="1209">
        <v>5590</v>
      </c>
      <c r="T3398" s="26" t="s">
        <v>4220</v>
      </c>
      <c r="U3398" s="1901" t="s">
        <v>11992</v>
      </c>
      <c r="V3398" s="26" t="s">
        <v>689</v>
      </c>
      <c r="W3398" s="681" t="s">
        <v>1512</v>
      </c>
      <c r="X3398" s="18"/>
      <c r="Y3398" s="4"/>
      <c r="Z3398" s="4"/>
    </row>
    <row r="3399" spans="1:26" ht="14.1" hidden="1">
      <c r="A3399" s="20">
        <f t="shared" si="195"/>
        <v>3406</v>
      </c>
      <c r="B3399" s="1063">
        <v>43176</v>
      </c>
      <c r="C3399" s="934" t="s">
        <v>11996</v>
      </c>
      <c r="D3399" s="11" t="s">
        <v>6</v>
      </c>
      <c r="E3399" s="204" t="s">
        <v>166</v>
      </c>
      <c r="F3399" s="934" t="s">
        <v>2143</v>
      </c>
      <c r="G3399" s="204" t="s">
        <v>11997</v>
      </c>
      <c r="H3399" s="204" t="s">
        <v>11998</v>
      </c>
      <c r="I3399" s="204" t="s">
        <v>11999</v>
      </c>
      <c r="J3399" s="204" t="s">
        <v>1</v>
      </c>
      <c r="K3399" s="204" t="s">
        <v>11996</v>
      </c>
      <c r="L3399" s="204" t="s">
        <v>1</v>
      </c>
      <c r="M3399" s="204">
        <v>1</v>
      </c>
      <c r="N3399" s="204">
        <v>1</v>
      </c>
      <c r="O3399" s="204">
        <v>1</v>
      </c>
      <c r="P3399" s="204">
        <v>0</v>
      </c>
      <c r="Q3399" s="572">
        <v>0</v>
      </c>
      <c r="R3399" s="1209">
        <v>94560</v>
      </c>
      <c r="S3399" s="1209">
        <v>94560</v>
      </c>
      <c r="T3399" s="204" t="s">
        <v>5448</v>
      </c>
      <c r="U3399" s="1901" t="s">
        <v>118</v>
      </c>
      <c r="V3399" s="572" t="s">
        <v>12000</v>
      </c>
      <c r="W3399" s="681" t="s">
        <v>12001</v>
      </c>
      <c r="X3399" s="18"/>
      <c r="Y3399" s="4"/>
      <c r="Z3399" s="4"/>
    </row>
    <row r="3400" spans="1:26" ht="15.95" hidden="1">
      <c r="A3400" s="20">
        <f t="shared" si="195"/>
        <v>3407</v>
      </c>
      <c r="B3400" s="1063">
        <v>43177</v>
      </c>
      <c r="C3400" s="934" t="s">
        <v>12002</v>
      </c>
      <c r="D3400" s="11" t="s">
        <v>6</v>
      </c>
      <c r="E3400" s="204" t="s">
        <v>166</v>
      </c>
      <c r="F3400" s="934" t="s">
        <v>2143</v>
      </c>
      <c r="G3400" s="204" t="s">
        <v>12003</v>
      </c>
      <c r="H3400" s="204" t="s">
        <v>12004</v>
      </c>
      <c r="I3400" s="204" t="s">
        <v>84</v>
      </c>
      <c r="J3400" s="204">
        <v>75929917</v>
      </c>
      <c r="K3400" s="427" t="s">
        <v>12005</v>
      </c>
      <c r="L3400" s="204" t="s">
        <v>1</v>
      </c>
      <c r="M3400" s="204">
        <v>1</v>
      </c>
      <c r="N3400" s="204">
        <v>1</v>
      </c>
      <c r="O3400" s="204">
        <v>2</v>
      </c>
      <c r="P3400" s="204">
        <v>0</v>
      </c>
      <c r="Q3400" s="572">
        <v>1</v>
      </c>
      <c r="R3400" s="1209">
        <v>657</v>
      </c>
      <c r="S3400" s="1209">
        <f>R3400*O3400</f>
        <v>1314</v>
      </c>
      <c r="T3400" s="204" t="s">
        <v>5448</v>
      </c>
      <c r="U3400" s="1901" t="s">
        <v>118</v>
      </c>
      <c r="V3400" s="572" t="s">
        <v>12000</v>
      </c>
      <c r="W3400" s="681" t="s">
        <v>12006</v>
      </c>
      <c r="X3400" s="18"/>
      <c r="Y3400" s="4"/>
      <c r="Z3400" s="4"/>
    </row>
    <row r="3401" spans="1:26" ht="14.1" hidden="1">
      <c r="A3401" s="20">
        <f t="shared" si="195"/>
        <v>3408</v>
      </c>
      <c r="B3401" s="1063">
        <v>43178</v>
      </c>
      <c r="C3401" s="934" t="s">
        <v>12007</v>
      </c>
      <c r="D3401" s="10"/>
      <c r="E3401" s="204" t="s">
        <v>166</v>
      </c>
      <c r="F3401" s="934" t="s">
        <v>11544</v>
      </c>
      <c r="G3401" s="204" t="s">
        <v>12008</v>
      </c>
      <c r="H3401" s="204" t="s">
        <v>5943</v>
      </c>
      <c r="I3401" s="204" t="s">
        <v>84</v>
      </c>
      <c r="J3401" s="428">
        <v>52898624</v>
      </c>
      <c r="K3401" s="429" t="s">
        <v>12009</v>
      </c>
      <c r="L3401" s="204" t="s">
        <v>1</v>
      </c>
      <c r="M3401" s="204">
        <v>1</v>
      </c>
      <c r="N3401" s="204">
        <v>1</v>
      </c>
      <c r="O3401" s="204">
        <v>1</v>
      </c>
      <c r="P3401" s="204">
        <v>0</v>
      </c>
      <c r="Q3401" s="572">
        <v>0</v>
      </c>
      <c r="R3401" s="1209">
        <v>8502</v>
      </c>
      <c r="S3401" s="1209">
        <v>8502</v>
      </c>
      <c r="T3401" s="204" t="s">
        <v>9485</v>
      </c>
      <c r="U3401" s="1901" t="s">
        <v>9486</v>
      </c>
      <c r="V3401" s="572" t="s">
        <v>12010</v>
      </c>
      <c r="W3401" s="2127" t="s">
        <v>12011</v>
      </c>
      <c r="X3401" s="18"/>
      <c r="Y3401" s="4"/>
      <c r="Z3401" s="4"/>
    </row>
    <row r="3402" spans="1:26" ht="14.45" hidden="1">
      <c r="A3402" s="20">
        <f t="shared" si="195"/>
        <v>3409</v>
      </c>
      <c r="B3402" s="1063">
        <v>43179</v>
      </c>
      <c r="C3402" s="987" t="s">
        <v>12012</v>
      </c>
      <c r="D3402" s="11" t="s">
        <v>6</v>
      </c>
      <c r="E3402" s="204" t="s">
        <v>166</v>
      </c>
      <c r="F3402" s="961" t="s">
        <v>3413</v>
      </c>
      <c r="G3402" s="282" t="s">
        <v>12013</v>
      </c>
      <c r="H3402" s="282" t="s">
        <v>12014</v>
      </c>
      <c r="I3402" s="282" t="s">
        <v>11673</v>
      </c>
      <c r="J3402" s="282"/>
      <c r="K3402" s="282" t="s">
        <v>12015</v>
      </c>
      <c r="L3402" s="282"/>
      <c r="M3402" s="282">
        <v>1</v>
      </c>
      <c r="N3402" s="282">
        <v>1</v>
      </c>
      <c r="O3402" s="282">
        <v>1</v>
      </c>
      <c r="P3402" s="298" t="s">
        <v>1</v>
      </c>
      <c r="Q3402" s="298" t="s">
        <v>1</v>
      </c>
      <c r="R3402" s="1286">
        <v>5680</v>
      </c>
      <c r="S3402" s="1286">
        <v>5680</v>
      </c>
      <c r="T3402" s="298" t="s">
        <v>311</v>
      </c>
      <c r="U3402" s="1537" t="s">
        <v>311</v>
      </c>
      <c r="V3402" s="183" t="s">
        <v>3187</v>
      </c>
      <c r="W3402" s="737" t="s">
        <v>12016</v>
      </c>
      <c r="X3402" s="282"/>
      <c r="Y3402" s="272"/>
      <c r="Z3402" s="272"/>
    </row>
    <row r="3403" spans="1:26" ht="14.45" hidden="1">
      <c r="A3403" s="200">
        <f t="shared" si="195"/>
        <v>3410</v>
      </c>
      <c r="B3403" s="1063">
        <v>43180</v>
      </c>
      <c r="C3403" s="988" t="s">
        <v>12017</v>
      </c>
      <c r="D3403" s="679"/>
      <c r="E3403" s="679"/>
      <c r="F3403" s="952" t="s">
        <v>3413</v>
      </c>
      <c r="G3403" s="679" t="s">
        <v>12018</v>
      </c>
      <c r="H3403" s="679" t="s">
        <v>12019</v>
      </c>
      <c r="I3403" s="679" t="s">
        <v>11673</v>
      </c>
      <c r="J3403" s="679"/>
      <c r="K3403" s="679" t="s">
        <v>12020</v>
      </c>
      <c r="L3403" s="679"/>
      <c r="M3403" s="679">
        <v>1</v>
      </c>
      <c r="N3403" s="679">
        <v>1</v>
      </c>
      <c r="O3403" s="679">
        <v>1</v>
      </c>
      <c r="P3403" s="738" t="s">
        <v>1</v>
      </c>
      <c r="Q3403" s="738" t="s">
        <v>1</v>
      </c>
      <c r="R3403" s="1277">
        <v>2180</v>
      </c>
      <c r="S3403" s="1277">
        <v>2180</v>
      </c>
      <c r="T3403" s="738" t="s">
        <v>311</v>
      </c>
      <c r="U3403" s="1930" t="s">
        <v>311</v>
      </c>
      <c r="V3403" s="646" t="s">
        <v>3187</v>
      </c>
      <c r="W3403" s="430" t="s">
        <v>12021</v>
      </c>
      <c r="X3403" s="679"/>
      <c r="Y3403" s="739"/>
      <c r="Z3403" s="739"/>
    </row>
    <row r="3404" spans="1:26" ht="14.45" hidden="1">
      <c r="A3404" s="20">
        <f t="shared" si="195"/>
        <v>3411</v>
      </c>
      <c r="B3404" s="1063">
        <v>43181</v>
      </c>
      <c r="C3404" s="987" t="s">
        <v>12022</v>
      </c>
      <c r="D3404" s="11" t="s">
        <v>6</v>
      </c>
      <c r="E3404" s="204" t="s">
        <v>166</v>
      </c>
      <c r="F3404" s="961" t="s">
        <v>3413</v>
      </c>
      <c r="G3404" s="282" t="s">
        <v>12023</v>
      </c>
      <c r="H3404" s="282" t="s">
        <v>12024</v>
      </c>
      <c r="I3404" s="282" t="s">
        <v>11673</v>
      </c>
      <c r="J3404" s="282"/>
      <c r="K3404" s="282" t="s">
        <v>12025</v>
      </c>
      <c r="L3404" s="282" t="s">
        <v>12026</v>
      </c>
      <c r="M3404" s="282">
        <v>1</v>
      </c>
      <c r="N3404" s="282">
        <v>1</v>
      </c>
      <c r="O3404" s="282">
        <v>1</v>
      </c>
      <c r="P3404" s="298" t="s">
        <v>1</v>
      </c>
      <c r="Q3404" s="298" t="s">
        <v>1</v>
      </c>
      <c r="R3404" s="1286">
        <v>1101</v>
      </c>
      <c r="S3404" s="1286">
        <v>1101</v>
      </c>
      <c r="T3404" s="298" t="s">
        <v>311</v>
      </c>
      <c r="U3404" s="1537" t="s">
        <v>311</v>
      </c>
      <c r="V3404" s="183" t="s">
        <v>3187</v>
      </c>
      <c r="W3404" s="737" t="s">
        <v>12027</v>
      </c>
      <c r="X3404" s="282"/>
      <c r="Y3404" s="272"/>
      <c r="Z3404" s="272"/>
    </row>
    <row r="3405" spans="1:26" ht="14.1" hidden="1">
      <c r="A3405" s="20">
        <f t="shared" si="195"/>
        <v>3412</v>
      </c>
      <c r="B3405" s="1063">
        <v>43182</v>
      </c>
      <c r="C3405" s="934" t="s">
        <v>12028</v>
      </c>
      <c r="D3405" s="11" t="s">
        <v>6</v>
      </c>
      <c r="E3405" s="204" t="s">
        <v>4951</v>
      </c>
      <c r="F3405" s="934" t="s">
        <v>11323</v>
      </c>
      <c r="G3405" s="204" t="s">
        <v>6004</v>
      </c>
      <c r="H3405" s="204" t="s">
        <v>6005</v>
      </c>
      <c r="I3405" s="204" t="s">
        <v>281</v>
      </c>
      <c r="J3405" s="204" t="s">
        <v>6006</v>
      </c>
      <c r="K3405" s="204" t="s">
        <v>6007</v>
      </c>
      <c r="L3405" s="204" t="s">
        <v>11325</v>
      </c>
      <c r="M3405" s="204">
        <v>5</v>
      </c>
      <c r="N3405" s="204">
        <v>1</v>
      </c>
      <c r="O3405" s="204">
        <v>5</v>
      </c>
      <c r="P3405" s="204">
        <v>0</v>
      </c>
      <c r="Q3405" s="572">
        <v>5</v>
      </c>
      <c r="R3405" s="1209">
        <v>1929</v>
      </c>
      <c r="S3405" s="1209">
        <f t="shared" ref="S3405:S3406" si="202">O3405*R3405</f>
        <v>9645</v>
      </c>
      <c r="T3405" s="204" t="s">
        <v>9485</v>
      </c>
      <c r="U3405" s="1901" t="s">
        <v>3637</v>
      </c>
      <c r="V3405" s="572" t="s">
        <v>352</v>
      </c>
      <c r="W3405" s="804" t="s">
        <v>8278</v>
      </c>
      <c r="X3405" s="18"/>
      <c r="Y3405" s="4"/>
      <c r="Z3405" s="4"/>
    </row>
    <row r="3406" spans="1:26" ht="14.1" hidden="1">
      <c r="A3406" s="20">
        <f t="shared" si="195"/>
        <v>3413</v>
      </c>
      <c r="B3406" s="1063">
        <v>43183</v>
      </c>
      <c r="C3406" s="934" t="s">
        <v>3803</v>
      </c>
      <c r="D3406" s="11" t="s">
        <v>6</v>
      </c>
      <c r="E3406" s="204" t="s">
        <v>4951</v>
      </c>
      <c r="F3406" s="934" t="s">
        <v>11323</v>
      </c>
      <c r="G3406" s="204" t="s">
        <v>12029</v>
      </c>
      <c r="H3406" s="204" t="s">
        <v>8399</v>
      </c>
      <c r="I3406" s="204" t="s">
        <v>281</v>
      </c>
      <c r="J3406" s="204" t="s">
        <v>3228</v>
      </c>
      <c r="K3406" s="204" t="s">
        <v>1455</v>
      </c>
      <c r="L3406" s="204" t="s">
        <v>11325</v>
      </c>
      <c r="M3406" s="204">
        <v>5</v>
      </c>
      <c r="N3406" s="204">
        <v>1</v>
      </c>
      <c r="O3406" s="204">
        <v>20</v>
      </c>
      <c r="P3406" s="204">
        <v>0</v>
      </c>
      <c r="Q3406" s="572">
        <v>5</v>
      </c>
      <c r="R3406" s="1209">
        <v>450</v>
      </c>
      <c r="S3406" s="1209">
        <f t="shared" si="202"/>
        <v>9000</v>
      </c>
      <c r="T3406" s="204" t="s">
        <v>11805</v>
      </c>
      <c r="U3406" s="1901" t="s">
        <v>3637</v>
      </c>
      <c r="V3406" s="572" t="s">
        <v>352</v>
      </c>
      <c r="W3406" s="681" t="s">
        <v>4716</v>
      </c>
      <c r="X3406" s="18"/>
      <c r="Y3406" s="4"/>
      <c r="Z3406" s="4"/>
    </row>
    <row r="3407" spans="1:26" ht="15" hidden="1">
      <c r="A3407" s="20">
        <f t="shared" si="195"/>
        <v>3414</v>
      </c>
      <c r="B3407" s="1063">
        <v>43184</v>
      </c>
      <c r="C3407" s="934" t="s">
        <v>11423</v>
      </c>
      <c r="D3407" s="11" t="s">
        <v>6</v>
      </c>
      <c r="E3407" s="204" t="s">
        <v>4951</v>
      </c>
      <c r="F3407" s="934" t="s">
        <v>2006</v>
      </c>
      <c r="G3407" s="204" t="s">
        <v>11424</v>
      </c>
      <c r="H3407" s="204" t="s">
        <v>1478</v>
      </c>
      <c r="I3407" s="204" t="s">
        <v>4804</v>
      </c>
      <c r="J3407" s="204" t="s">
        <v>11425</v>
      </c>
      <c r="K3407" s="372" t="s">
        <v>11426</v>
      </c>
      <c r="L3407" s="204"/>
      <c r="M3407" s="204">
        <v>4</v>
      </c>
      <c r="N3407" s="204">
        <v>1</v>
      </c>
      <c r="O3407" s="204">
        <v>5</v>
      </c>
      <c r="P3407" s="204">
        <v>0</v>
      </c>
      <c r="Q3407" s="572">
        <v>1</v>
      </c>
      <c r="R3407" s="1209">
        <v>80</v>
      </c>
      <c r="S3407" s="1209">
        <f t="shared" ref="S3407:S3408" si="203">R3407*O3407</f>
        <v>400</v>
      </c>
      <c r="T3407" s="204" t="s">
        <v>311</v>
      </c>
      <c r="U3407" s="1901" t="s">
        <v>311</v>
      </c>
      <c r="V3407" s="572" t="s">
        <v>352</v>
      </c>
      <c r="W3407" s="681" t="s">
        <v>11427</v>
      </c>
      <c r="X3407" s="18"/>
      <c r="Y3407" s="4"/>
      <c r="Z3407" s="4"/>
    </row>
    <row r="3408" spans="1:26" ht="14.1" hidden="1">
      <c r="A3408" s="20">
        <f t="shared" si="195"/>
        <v>3415</v>
      </c>
      <c r="B3408" s="1063">
        <v>43185</v>
      </c>
      <c r="C3408" s="934" t="s">
        <v>12030</v>
      </c>
      <c r="D3408" s="11" t="s">
        <v>6</v>
      </c>
      <c r="E3408" s="204" t="s">
        <v>166</v>
      </c>
      <c r="F3408" s="934" t="s">
        <v>784</v>
      </c>
      <c r="G3408" s="204" t="s">
        <v>12031</v>
      </c>
      <c r="H3408" s="204" t="s">
        <v>12032</v>
      </c>
      <c r="I3408" s="204" t="s">
        <v>84</v>
      </c>
      <c r="J3408" s="204">
        <v>37696531</v>
      </c>
      <c r="K3408" s="204">
        <v>37696531</v>
      </c>
      <c r="L3408" s="204" t="s">
        <v>149</v>
      </c>
      <c r="M3408" s="204">
        <v>1</v>
      </c>
      <c r="N3408" s="204">
        <v>1</v>
      </c>
      <c r="O3408" s="204">
        <v>1</v>
      </c>
      <c r="P3408" s="204">
        <v>0</v>
      </c>
      <c r="Q3408" s="572">
        <v>0</v>
      </c>
      <c r="R3408" s="1209">
        <v>1044</v>
      </c>
      <c r="S3408" s="1209">
        <f t="shared" si="203"/>
        <v>1044</v>
      </c>
      <c r="T3408" s="204" t="s">
        <v>12033</v>
      </c>
      <c r="U3408" s="1901" t="s">
        <v>12034</v>
      </c>
      <c r="V3408" s="572" t="s">
        <v>5382</v>
      </c>
      <c r="W3408" s="681" t="s">
        <v>12035</v>
      </c>
      <c r="X3408" s="18"/>
      <c r="Y3408" s="4"/>
      <c r="Z3408" s="4"/>
    </row>
    <row r="3409" spans="1:26" ht="14.1" hidden="1">
      <c r="A3409" s="20">
        <f t="shared" si="195"/>
        <v>3416</v>
      </c>
      <c r="B3409" s="1063">
        <v>43186</v>
      </c>
      <c r="C3409" s="934" t="s">
        <v>12036</v>
      </c>
      <c r="D3409" s="11" t="s">
        <v>6</v>
      </c>
      <c r="E3409" s="204" t="s">
        <v>166</v>
      </c>
      <c r="F3409" s="26" t="s">
        <v>10005</v>
      </c>
      <c r="G3409" s="204" t="s">
        <v>12037</v>
      </c>
      <c r="H3409" s="204" t="s">
        <v>366</v>
      </c>
      <c r="I3409" s="204" t="s">
        <v>366</v>
      </c>
      <c r="J3409" s="204" t="s">
        <v>1</v>
      </c>
      <c r="K3409" s="204" t="s">
        <v>12038</v>
      </c>
      <c r="L3409" s="204" t="s">
        <v>149</v>
      </c>
      <c r="M3409" s="204">
        <v>1</v>
      </c>
      <c r="N3409" s="204">
        <v>1</v>
      </c>
      <c r="O3409" s="204">
        <v>1</v>
      </c>
      <c r="P3409" s="204">
        <v>0</v>
      </c>
      <c r="Q3409" s="572">
        <v>1</v>
      </c>
      <c r="R3409" s="1209">
        <v>630</v>
      </c>
      <c r="S3409" s="1209">
        <v>630</v>
      </c>
      <c r="T3409" s="204" t="s">
        <v>4220</v>
      </c>
      <c r="U3409" s="1901" t="s">
        <v>4220</v>
      </c>
      <c r="V3409" s="26" t="s">
        <v>689</v>
      </c>
      <c r="W3409" s="681" t="s">
        <v>12039</v>
      </c>
      <c r="X3409" s="18"/>
      <c r="Y3409" s="4"/>
      <c r="Z3409" s="4"/>
    </row>
    <row r="3410" spans="1:26" ht="14.1" hidden="1">
      <c r="A3410" s="20">
        <f t="shared" si="195"/>
        <v>3417</v>
      </c>
      <c r="B3410" s="1063">
        <v>43187</v>
      </c>
      <c r="C3410" s="934" t="s">
        <v>12040</v>
      </c>
      <c r="D3410" s="11"/>
      <c r="E3410" s="204" t="s">
        <v>7498</v>
      </c>
      <c r="F3410" s="934" t="s">
        <v>4980</v>
      </c>
      <c r="G3410" s="204" t="s">
        <v>12041</v>
      </c>
      <c r="H3410" s="204" t="s">
        <v>12042</v>
      </c>
      <c r="I3410" s="204" t="s">
        <v>12042</v>
      </c>
      <c r="J3410" s="204" t="s">
        <v>12043</v>
      </c>
      <c r="K3410" s="204" t="s">
        <v>12043</v>
      </c>
      <c r="L3410" s="204" t="s">
        <v>3182</v>
      </c>
      <c r="M3410" s="204">
        <v>1</v>
      </c>
      <c r="N3410" s="204">
        <v>1</v>
      </c>
      <c r="O3410" s="204">
        <v>2</v>
      </c>
      <c r="P3410" s="204">
        <v>0</v>
      </c>
      <c r="Q3410" s="572">
        <v>0</v>
      </c>
      <c r="R3410" s="1209">
        <v>20311</v>
      </c>
      <c r="S3410" s="1209">
        <v>20311</v>
      </c>
      <c r="T3410" s="204" t="s">
        <v>5705</v>
      </c>
      <c r="U3410" s="1" t="s">
        <v>5705</v>
      </c>
      <c r="V3410" s="572" t="s">
        <v>7705</v>
      </c>
      <c r="W3410" s="681" t="s">
        <v>12044</v>
      </c>
      <c r="X3410" s="18"/>
      <c r="Y3410" s="4"/>
      <c r="Z3410" s="4"/>
    </row>
    <row r="3411" spans="1:26" ht="14.1" hidden="1">
      <c r="A3411" s="20">
        <f t="shared" si="195"/>
        <v>3418</v>
      </c>
      <c r="B3411" s="1063">
        <v>43188</v>
      </c>
      <c r="C3411" s="934" t="s">
        <v>12045</v>
      </c>
      <c r="D3411" s="11"/>
      <c r="E3411" s="204" t="s">
        <v>7498</v>
      </c>
      <c r="F3411" s="934" t="s">
        <v>4980</v>
      </c>
      <c r="G3411" s="204" t="s">
        <v>12046</v>
      </c>
      <c r="H3411" s="204" t="s">
        <v>1073</v>
      </c>
      <c r="I3411" s="204" t="s">
        <v>281</v>
      </c>
      <c r="J3411" s="204" t="s">
        <v>12047</v>
      </c>
      <c r="K3411" s="204" t="s">
        <v>12047</v>
      </c>
      <c r="L3411" s="204" t="s">
        <v>12048</v>
      </c>
      <c r="M3411" s="204">
        <v>25</v>
      </c>
      <c r="N3411" s="204">
        <v>25</v>
      </c>
      <c r="O3411" s="204">
        <v>25</v>
      </c>
      <c r="P3411" s="204">
        <v>0</v>
      </c>
      <c r="Q3411" s="572">
        <v>0</v>
      </c>
      <c r="R3411" s="1209">
        <v>1213.8</v>
      </c>
      <c r="S3411" s="1209">
        <v>30345</v>
      </c>
      <c r="T3411" s="204" t="s">
        <v>5705</v>
      </c>
      <c r="U3411" s="1" t="s">
        <v>5705</v>
      </c>
      <c r="V3411" s="572" t="s">
        <v>7705</v>
      </c>
      <c r="W3411" s="681" t="s">
        <v>12049</v>
      </c>
      <c r="X3411" s="18"/>
      <c r="Y3411" s="4"/>
      <c r="Z3411" s="4"/>
    </row>
    <row r="3412" spans="1:26" ht="14.1" hidden="1">
      <c r="A3412" s="20">
        <f t="shared" si="195"/>
        <v>3419</v>
      </c>
      <c r="B3412" s="1063">
        <v>43189</v>
      </c>
      <c r="C3412" s="934" t="s">
        <v>12050</v>
      </c>
      <c r="D3412" s="11"/>
      <c r="E3412" s="204" t="s">
        <v>7498</v>
      </c>
      <c r="F3412" s="934" t="s">
        <v>4980</v>
      </c>
      <c r="G3412" s="204" t="s">
        <v>12051</v>
      </c>
      <c r="H3412" s="204" t="s">
        <v>1353</v>
      </c>
      <c r="I3412" s="204" t="s">
        <v>281</v>
      </c>
      <c r="J3412" s="204" t="s">
        <v>12052</v>
      </c>
      <c r="K3412" s="204" t="s">
        <v>12053</v>
      </c>
      <c r="L3412" s="204" t="s">
        <v>12048</v>
      </c>
      <c r="M3412" s="204">
        <v>25</v>
      </c>
      <c r="N3412" s="204">
        <v>25</v>
      </c>
      <c r="O3412" s="204">
        <v>25</v>
      </c>
      <c r="P3412" s="204">
        <v>0</v>
      </c>
      <c r="Q3412" s="572">
        <v>0</v>
      </c>
      <c r="R3412" s="1209">
        <v>20</v>
      </c>
      <c r="S3412" s="1209">
        <v>500</v>
      </c>
      <c r="T3412" s="204" t="s">
        <v>5705</v>
      </c>
      <c r="U3412" s="1" t="s">
        <v>5705</v>
      </c>
      <c r="V3412" s="572" t="s">
        <v>7705</v>
      </c>
      <c r="W3412" s="681" t="s">
        <v>12054</v>
      </c>
      <c r="X3412" s="18"/>
      <c r="Y3412" s="4"/>
      <c r="Z3412" s="4"/>
    </row>
    <row r="3413" spans="1:26" ht="14.1" hidden="1">
      <c r="A3413" s="20">
        <f t="shared" si="195"/>
        <v>3420</v>
      </c>
      <c r="B3413" s="1063">
        <v>43190</v>
      </c>
      <c r="C3413" s="934" t="s">
        <v>12055</v>
      </c>
      <c r="D3413" s="11"/>
      <c r="E3413" s="204" t="s">
        <v>7498</v>
      </c>
      <c r="F3413" s="934" t="s">
        <v>4980</v>
      </c>
      <c r="G3413" s="204" t="s">
        <v>12056</v>
      </c>
      <c r="H3413" s="204" t="s">
        <v>4915</v>
      </c>
      <c r="I3413" s="204" t="s">
        <v>281</v>
      </c>
      <c r="J3413" s="204" t="s">
        <v>12057</v>
      </c>
      <c r="K3413" s="204" t="s">
        <v>12058</v>
      </c>
      <c r="L3413" s="204" t="s">
        <v>12059</v>
      </c>
      <c r="M3413" s="204">
        <v>64</v>
      </c>
      <c r="N3413" s="204">
        <v>64</v>
      </c>
      <c r="O3413" s="204">
        <v>100</v>
      </c>
      <c r="P3413" s="204">
        <v>0</v>
      </c>
      <c r="Q3413" s="572">
        <v>0</v>
      </c>
      <c r="R3413" s="1209">
        <v>1.65</v>
      </c>
      <c r="S3413" s="1209">
        <v>165</v>
      </c>
      <c r="T3413" s="204" t="s">
        <v>5705</v>
      </c>
      <c r="U3413" s="1" t="s">
        <v>5705</v>
      </c>
      <c r="V3413" s="572" t="s">
        <v>7705</v>
      </c>
      <c r="W3413" s="681" t="s">
        <v>12060</v>
      </c>
      <c r="X3413" s="18"/>
      <c r="Y3413" s="4"/>
      <c r="Z3413" s="4"/>
    </row>
    <row r="3414" spans="1:26" ht="14.1" hidden="1">
      <c r="A3414" s="20">
        <f t="shared" si="195"/>
        <v>3421</v>
      </c>
      <c r="B3414" s="1063">
        <v>43191</v>
      </c>
      <c r="C3414" s="934" t="s">
        <v>12061</v>
      </c>
      <c r="D3414" s="11"/>
      <c r="E3414" s="204" t="s">
        <v>7498</v>
      </c>
      <c r="F3414" s="934" t="s">
        <v>4980</v>
      </c>
      <c r="G3414" s="204" t="s">
        <v>12056</v>
      </c>
      <c r="H3414" s="204" t="s">
        <v>4915</v>
      </c>
      <c r="I3414" s="204" t="s">
        <v>281</v>
      </c>
      <c r="J3414" s="204" t="s">
        <v>12062</v>
      </c>
      <c r="K3414" s="204" t="s">
        <v>5364</v>
      </c>
      <c r="L3414" s="204" t="s">
        <v>12059</v>
      </c>
      <c r="M3414" s="204">
        <v>64</v>
      </c>
      <c r="N3414" s="204">
        <v>64</v>
      </c>
      <c r="O3414" s="204">
        <v>100</v>
      </c>
      <c r="P3414" s="204">
        <v>0</v>
      </c>
      <c r="Q3414" s="572">
        <v>0</v>
      </c>
      <c r="R3414" s="1209">
        <v>1.65</v>
      </c>
      <c r="S3414" s="1209">
        <v>165</v>
      </c>
      <c r="T3414" s="204" t="s">
        <v>5705</v>
      </c>
      <c r="U3414" s="1" t="s">
        <v>5705</v>
      </c>
      <c r="V3414" s="572" t="s">
        <v>7705</v>
      </c>
      <c r="W3414" s="681" t="s">
        <v>12063</v>
      </c>
      <c r="X3414" s="18"/>
      <c r="Y3414" s="4"/>
      <c r="Z3414" s="4"/>
    </row>
    <row r="3415" spans="1:26" ht="14.1" hidden="1">
      <c r="A3415" s="20">
        <f t="shared" si="195"/>
        <v>3422</v>
      </c>
      <c r="B3415" s="1063">
        <v>43192</v>
      </c>
      <c r="C3415" s="934" t="s">
        <v>12064</v>
      </c>
      <c r="D3415" s="11"/>
      <c r="E3415" s="204" t="s">
        <v>7498</v>
      </c>
      <c r="F3415" s="934" t="s">
        <v>4980</v>
      </c>
      <c r="G3415" s="204" t="s">
        <v>12065</v>
      </c>
      <c r="H3415" s="204" t="s">
        <v>1729</v>
      </c>
      <c r="I3415" s="204" t="s">
        <v>281</v>
      </c>
      <c r="J3415" s="204" t="s">
        <v>12066</v>
      </c>
      <c r="K3415" s="204" t="s">
        <v>12067</v>
      </c>
      <c r="L3415" s="204" t="s">
        <v>1</v>
      </c>
      <c r="M3415" s="204">
        <v>2</v>
      </c>
      <c r="N3415" s="204">
        <v>2</v>
      </c>
      <c r="O3415" s="204">
        <v>2</v>
      </c>
      <c r="P3415" s="204">
        <v>0</v>
      </c>
      <c r="Q3415" s="572">
        <v>0</v>
      </c>
      <c r="R3415" s="1209">
        <v>4178</v>
      </c>
      <c r="S3415" s="1209">
        <v>8356</v>
      </c>
      <c r="T3415" s="204" t="s">
        <v>5705</v>
      </c>
      <c r="U3415" s="1" t="s">
        <v>5705</v>
      </c>
      <c r="V3415" s="572" t="s">
        <v>7705</v>
      </c>
      <c r="W3415" s="681" t="s">
        <v>12068</v>
      </c>
      <c r="X3415" s="18"/>
      <c r="Y3415" s="4"/>
      <c r="Z3415" s="4"/>
    </row>
    <row r="3416" spans="1:26" ht="14.1" hidden="1">
      <c r="A3416" s="20">
        <f t="shared" si="195"/>
        <v>3423</v>
      </c>
      <c r="B3416" s="1063">
        <v>43193</v>
      </c>
      <c r="C3416" s="934" t="s">
        <v>12069</v>
      </c>
      <c r="D3416" s="278" t="s">
        <v>6</v>
      </c>
      <c r="E3416" s="204" t="s">
        <v>4907</v>
      </c>
      <c r="F3416" s="934" t="s">
        <v>9454</v>
      </c>
      <c r="G3416" s="204" t="s">
        <v>12070</v>
      </c>
      <c r="H3416" s="204" t="s">
        <v>12071</v>
      </c>
      <c r="I3416" s="204" t="s">
        <v>76</v>
      </c>
      <c r="J3416" s="204">
        <v>8435579</v>
      </c>
      <c r="K3416" s="204"/>
      <c r="L3416" s="204"/>
      <c r="M3416" s="204">
        <v>5</v>
      </c>
      <c r="N3416" s="204">
        <v>1</v>
      </c>
      <c r="O3416" s="204">
        <v>5</v>
      </c>
      <c r="P3416" s="204">
        <v>4</v>
      </c>
      <c r="Q3416" s="572">
        <v>9</v>
      </c>
      <c r="R3416" s="1209">
        <v>979</v>
      </c>
      <c r="S3416" s="1209">
        <v>4895</v>
      </c>
      <c r="T3416" s="204" t="s">
        <v>5448</v>
      </c>
      <c r="U3416" s="1901" t="s">
        <v>9458</v>
      </c>
      <c r="V3416" s="572" t="s">
        <v>10987</v>
      </c>
      <c r="W3416" s="804" t="s">
        <v>12072</v>
      </c>
      <c r="X3416" s="18"/>
      <c r="Y3416" s="4"/>
      <c r="Z3416" s="4"/>
    </row>
    <row r="3417" spans="1:26" ht="14.1" hidden="1">
      <c r="A3417" s="20">
        <f t="shared" si="195"/>
        <v>3424</v>
      </c>
      <c r="B3417" s="1063">
        <v>43194</v>
      </c>
      <c r="C3417" s="934" t="s">
        <v>12073</v>
      </c>
      <c r="D3417" s="278" t="s">
        <v>6</v>
      </c>
      <c r="E3417" s="204" t="s">
        <v>4907</v>
      </c>
      <c r="F3417" s="934" t="s">
        <v>9454</v>
      </c>
      <c r="G3417" s="204" t="s">
        <v>12070</v>
      </c>
      <c r="H3417" s="204" t="s">
        <v>12071</v>
      </c>
      <c r="I3417" s="204" t="s">
        <v>76</v>
      </c>
      <c r="J3417" s="204">
        <v>8435560</v>
      </c>
      <c r="K3417" s="204"/>
      <c r="L3417" s="204"/>
      <c r="M3417" s="204">
        <v>3</v>
      </c>
      <c r="N3417" s="204">
        <v>1</v>
      </c>
      <c r="O3417" s="204">
        <v>3</v>
      </c>
      <c r="P3417" s="204">
        <v>1</v>
      </c>
      <c r="Q3417" s="572">
        <v>4</v>
      </c>
      <c r="R3417" s="1209">
        <v>979</v>
      </c>
      <c r="S3417" s="1209">
        <v>2937</v>
      </c>
      <c r="T3417" s="204" t="s">
        <v>5448</v>
      </c>
      <c r="U3417" s="1901" t="s">
        <v>9458</v>
      </c>
      <c r="V3417" s="572" t="s">
        <v>10987</v>
      </c>
      <c r="W3417" s="804" t="s">
        <v>12074</v>
      </c>
      <c r="X3417" s="18"/>
      <c r="Y3417" s="4"/>
      <c r="Z3417" s="4"/>
    </row>
    <row r="3418" spans="1:26" ht="14.1" hidden="1">
      <c r="A3418" s="20">
        <f t="shared" si="195"/>
        <v>3425</v>
      </c>
      <c r="B3418" s="1063">
        <v>43195</v>
      </c>
      <c r="C3418" s="934" t="s">
        <v>12075</v>
      </c>
      <c r="D3418" s="11" t="s">
        <v>6</v>
      </c>
      <c r="E3418" s="204" t="s">
        <v>4907</v>
      </c>
      <c r="F3418" s="934" t="s">
        <v>2143</v>
      </c>
      <c r="G3418" s="204"/>
      <c r="H3418" s="204"/>
      <c r="I3418" s="204" t="s">
        <v>11707</v>
      </c>
      <c r="J3418" s="204"/>
      <c r="K3418" s="204"/>
      <c r="L3418" s="204"/>
      <c r="M3418" s="204">
        <v>3</v>
      </c>
      <c r="N3418" s="204">
        <v>1</v>
      </c>
      <c r="O3418" s="204">
        <v>3</v>
      </c>
      <c r="P3418" s="204">
        <v>0</v>
      </c>
      <c r="Q3418" s="572">
        <v>2</v>
      </c>
      <c r="R3418" s="1209">
        <v>200</v>
      </c>
      <c r="S3418" s="1209">
        <v>600</v>
      </c>
      <c r="T3418" s="204" t="s">
        <v>5448</v>
      </c>
      <c r="U3418" s="1901" t="s">
        <v>118</v>
      </c>
      <c r="V3418" s="572" t="s">
        <v>12000</v>
      </c>
      <c r="W3418" s="681"/>
      <c r="X3418" s="18"/>
      <c r="Y3418" s="4"/>
      <c r="Z3418" s="4"/>
    </row>
    <row r="3419" spans="1:26" ht="14.1" hidden="1">
      <c r="A3419" s="20">
        <f t="shared" si="195"/>
        <v>3426</v>
      </c>
      <c r="B3419" s="1063">
        <v>43196</v>
      </c>
      <c r="C3419" s="934" t="s">
        <v>12076</v>
      </c>
      <c r="D3419" s="11" t="s">
        <v>6</v>
      </c>
      <c r="E3419" s="204" t="s">
        <v>4907</v>
      </c>
      <c r="F3419" s="934" t="s">
        <v>10005</v>
      </c>
      <c r="G3419" s="204" t="s">
        <v>12077</v>
      </c>
      <c r="H3419" s="204" t="s">
        <v>827</v>
      </c>
      <c r="I3419" s="204" t="s">
        <v>2513</v>
      </c>
      <c r="J3419" s="204" t="s">
        <v>12078</v>
      </c>
      <c r="K3419" s="204" t="s">
        <v>12079</v>
      </c>
      <c r="L3419" s="204" t="s">
        <v>149</v>
      </c>
      <c r="M3419" s="204">
        <v>1</v>
      </c>
      <c r="N3419" s="204">
        <v>1</v>
      </c>
      <c r="O3419" s="204">
        <v>1</v>
      </c>
      <c r="P3419" s="204">
        <v>0</v>
      </c>
      <c r="Q3419" s="572" t="s">
        <v>1</v>
      </c>
      <c r="R3419" s="1209">
        <v>9902</v>
      </c>
      <c r="S3419" s="1209">
        <v>9902</v>
      </c>
      <c r="T3419" s="26" t="s">
        <v>4220</v>
      </c>
      <c r="U3419" s="1901" t="s">
        <v>11992</v>
      </c>
      <c r="V3419" s="26" t="s">
        <v>689</v>
      </c>
      <c r="W3419" s="681" t="s">
        <v>12080</v>
      </c>
      <c r="X3419" s="18"/>
      <c r="Y3419" s="4"/>
      <c r="Z3419" s="4"/>
    </row>
    <row r="3420" spans="1:26" ht="14.1" hidden="1">
      <c r="A3420" s="20">
        <f t="shared" si="195"/>
        <v>3427</v>
      </c>
      <c r="B3420" s="1063">
        <v>43197</v>
      </c>
      <c r="C3420" s="934" t="s">
        <v>1577</v>
      </c>
      <c r="D3420" s="11" t="s">
        <v>6</v>
      </c>
      <c r="E3420" s="204" t="s">
        <v>7956</v>
      </c>
      <c r="F3420" s="934" t="s">
        <v>11441</v>
      </c>
      <c r="G3420" s="204" t="s">
        <v>1578</v>
      </c>
      <c r="H3420" s="204" t="s">
        <v>1579</v>
      </c>
      <c r="I3420" s="204" t="s">
        <v>1579</v>
      </c>
      <c r="J3420" s="204"/>
      <c r="K3420" s="204"/>
      <c r="L3420" s="204"/>
      <c r="M3420" s="204">
        <v>4</v>
      </c>
      <c r="N3420" s="204">
        <v>1</v>
      </c>
      <c r="O3420" s="204">
        <v>4</v>
      </c>
      <c r="P3420" s="204">
        <v>1</v>
      </c>
      <c r="Q3420" s="572">
        <v>5</v>
      </c>
      <c r="R3420" s="1209">
        <v>10640</v>
      </c>
      <c r="S3420" s="1209">
        <v>42560</v>
      </c>
      <c r="T3420" s="204" t="s">
        <v>9485</v>
      </c>
      <c r="U3420" s="1901" t="s">
        <v>12081</v>
      </c>
      <c r="V3420" s="572" t="s">
        <v>10339</v>
      </c>
      <c r="W3420" s="681"/>
      <c r="X3420" s="18"/>
      <c r="Y3420" s="4"/>
      <c r="Z3420" s="4"/>
    </row>
    <row r="3421" spans="1:26" ht="14.1" hidden="1">
      <c r="A3421" s="20">
        <f t="shared" si="195"/>
        <v>3428</v>
      </c>
      <c r="B3421" s="1063">
        <v>43198</v>
      </c>
      <c r="C3421" s="934" t="s">
        <v>12082</v>
      </c>
      <c r="D3421" s="11" t="s">
        <v>6</v>
      </c>
      <c r="E3421" s="204" t="s">
        <v>4907</v>
      </c>
      <c r="F3421" s="934" t="s">
        <v>784</v>
      </c>
      <c r="G3421" s="204" t="s">
        <v>12082</v>
      </c>
      <c r="H3421" s="204" t="s">
        <v>12083</v>
      </c>
      <c r="I3421" s="204" t="s">
        <v>5723</v>
      </c>
      <c r="J3421" s="204" t="s">
        <v>149</v>
      </c>
      <c r="K3421" s="204" t="s">
        <v>149</v>
      </c>
      <c r="L3421" s="204" t="s">
        <v>149</v>
      </c>
      <c r="M3421" s="204">
        <v>1</v>
      </c>
      <c r="N3421" s="204">
        <v>1</v>
      </c>
      <c r="O3421" s="204">
        <v>1</v>
      </c>
      <c r="P3421" s="204">
        <v>0</v>
      </c>
      <c r="Q3421" s="572">
        <v>0</v>
      </c>
      <c r="R3421" s="1209">
        <v>10400</v>
      </c>
      <c r="S3421" s="1209">
        <f>R3421*O3421</f>
        <v>10400</v>
      </c>
      <c r="T3421" s="204" t="s">
        <v>12084</v>
      </c>
      <c r="U3421" s="1901" t="s">
        <v>12085</v>
      </c>
      <c r="V3421" s="572" t="s">
        <v>12086</v>
      </c>
      <c r="W3421" s="681"/>
      <c r="X3421" s="18"/>
      <c r="Y3421" s="4"/>
      <c r="Z3421" s="4"/>
    </row>
    <row r="3422" spans="1:26" ht="14.1" hidden="1">
      <c r="A3422" s="20">
        <f t="shared" si="195"/>
        <v>3429</v>
      </c>
      <c r="B3422" s="1063">
        <v>43199</v>
      </c>
      <c r="C3422" s="934" t="s">
        <v>12087</v>
      </c>
      <c r="D3422" s="278" t="s">
        <v>6</v>
      </c>
      <c r="E3422" s="204" t="s">
        <v>2722</v>
      </c>
      <c r="F3422" s="934" t="s">
        <v>9454</v>
      </c>
      <c r="G3422" s="204" t="s">
        <v>285</v>
      </c>
      <c r="H3422" s="204" t="s">
        <v>1002</v>
      </c>
      <c r="I3422" s="204" t="s">
        <v>1002</v>
      </c>
      <c r="J3422" s="204">
        <v>21011200056</v>
      </c>
      <c r="K3422" s="204"/>
      <c r="L3422" s="204"/>
      <c r="M3422" s="204">
        <v>1</v>
      </c>
      <c r="N3422" s="204">
        <v>1</v>
      </c>
      <c r="O3422" s="204" t="s">
        <v>12088</v>
      </c>
      <c r="P3422" s="204">
        <v>0</v>
      </c>
      <c r="Q3422" s="572" t="s">
        <v>12089</v>
      </c>
      <c r="R3422" s="1209">
        <v>132185</v>
      </c>
      <c r="S3422" s="1209">
        <v>132185</v>
      </c>
      <c r="T3422" s="204" t="s">
        <v>3961</v>
      </c>
      <c r="U3422" s="1901" t="s">
        <v>9101</v>
      </c>
      <c r="V3422" s="572" t="s">
        <v>352</v>
      </c>
      <c r="W3422" s="681"/>
      <c r="X3422" s="18"/>
      <c r="Y3422" s="4"/>
      <c r="Z3422" s="4"/>
    </row>
    <row r="3423" spans="1:26" ht="14.1" hidden="1">
      <c r="A3423" s="20">
        <f t="shared" si="195"/>
        <v>3430</v>
      </c>
      <c r="B3423" s="1063">
        <v>43200</v>
      </c>
      <c r="C3423" s="985" t="s">
        <v>329</v>
      </c>
      <c r="D3423" s="11" t="s">
        <v>6</v>
      </c>
      <c r="E3423" s="683" t="s">
        <v>7956</v>
      </c>
      <c r="F3423" s="985" t="s">
        <v>10486</v>
      </c>
      <c r="G3423" s="683" t="s">
        <v>12090</v>
      </c>
      <c r="H3423" s="683" t="s">
        <v>651</v>
      </c>
      <c r="I3423" s="740" t="s">
        <v>574</v>
      </c>
      <c r="J3423" s="284" t="s">
        <v>12091</v>
      </c>
      <c r="K3423" s="683" t="s">
        <v>12092</v>
      </c>
      <c r="L3423" s="683" t="s">
        <v>12093</v>
      </c>
      <c r="M3423" s="683">
        <v>25</v>
      </c>
      <c r="N3423" s="683">
        <v>10</v>
      </c>
      <c r="O3423" s="683">
        <v>50</v>
      </c>
      <c r="P3423" s="683">
        <v>7</v>
      </c>
      <c r="Q3423" s="669">
        <v>57</v>
      </c>
      <c r="R3423" s="1314">
        <v>3</v>
      </c>
      <c r="S3423" s="1314">
        <v>170</v>
      </c>
      <c r="T3423" s="683" t="s">
        <v>3961</v>
      </c>
      <c r="U3423" s="1909" t="s">
        <v>12094</v>
      </c>
      <c r="V3423" s="572" t="s">
        <v>12095</v>
      </c>
      <c r="W3423" s="681" t="s">
        <v>12096</v>
      </c>
      <c r="X3423" s="741"/>
      <c r="Y3423" s="431"/>
      <c r="Z3423" s="431"/>
    </row>
    <row r="3424" spans="1:26" ht="14.1" hidden="1">
      <c r="A3424" s="20">
        <f t="shared" si="195"/>
        <v>3431</v>
      </c>
      <c r="B3424" s="1063">
        <v>43201</v>
      </c>
      <c r="C3424" s="986" t="s">
        <v>329</v>
      </c>
      <c r="D3424" s="11" t="s">
        <v>6</v>
      </c>
      <c r="E3424" s="683" t="s">
        <v>7956</v>
      </c>
      <c r="F3424" s="986" t="s">
        <v>10486</v>
      </c>
      <c r="G3424" s="298" t="s">
        <v>12097</v>
      </c>
      <c r="H3424" s="277" t="s">
        <v>641</v>
      </c>
      <c r="I3424" s="432" t="s">
        <v>574</v>
      </c>
      <c r="J3424" s="433" t="s">
        <v>12098</v>
      </c>
      <c r="K3424" s="434" t="s">
        <v>8300</v>
      </c>
      <c r="L3424" s="297" t="s">
        <v>12099</v>
      </c>
      <c r="M3424" s="298">
        <v>7</v>
      </c>
      <c r="N3424" s="298">
        <v>10</v>
      </c>
      <c r="O3424" s="298">
        <v>10</v>
      </c>
      <c r="P3424" s="298">
        <v>0</v>
      </c>
      <c r="Q3424" s="670">
        <v>10</v>
      </c>
      <c r="R3424" s="1315">
        <v>12</v>
      </c>
      <c r="S3424" s="1315">
        <v>126</v>
      </c>
      <c r="T3424" s="298" t="s">
        <v>3961</v>
      </c>
      <c r="U3424" s="1542" t="s">
        <v>12094</v>
      </c>
      <c r="V3424" s="572" t="s">
        <v>12095</v>
      </c>
      <c r="W3424" s="682" t="s">
        <v>12100</v>
      </c>
      <c r="X3424" s="435"/>
      <c r="Y3424" s="431"/>
      <c r="Z3424" s="431"/>
    </row>
    <row r="3425" spans="1:26" ht="14.1" hidden="1">
      <c r="A3425" s="20">
        <f t="shared" si="195"/>
        <v>3432</v>
      </c>
      <c r="B3425" s="1063">
        <v>43202</v>
      </c>
      <c r="C3425" s="986" t="s">
        <v>329</v>
      </c>
      <c r="D3425" s="11" t="s">
        <v>6</v>
      </c>
      <c r="E3425" s="683" t="s">
        <v>7956</v>
      </c>
      <c r="F3425" s="986" t="s">
        <v>10486</v>
      </c>
      <c r="G3425" s="298" t="s">
        <v>12101</v>
      </c>
      <c r="H3425" s="208" t="s">
        <v>1653</v>
      </c>
      <c r="I3425" s="297" t="s">
        <v>574</v>
      </c>
      <c r="J3425" s="298" t="s">
        <v>1654</v>
      </c>
      <c r="K3425" s="683" t="s">
        <v>3215</v>
      </c>
      <c r="L3425" s="298" t="s">
        <v>12099</v>
      </c>
      <c r="M3425" s="298">
        <v>6</v>
      </c>
      <c r="N3425" s="298">
        <v>10</v>
      </c>
      <c r="O3425" s="298">
        <v>10</v>
      </c>
      <c r="P3425" s="298">
        <v>0</v>
      </c>
      <c r="Q3425" s="670">
        <v>10</v>
      </c>
      <c r="R3425" s="1315">
        <v>7</v>
      </c>
      <c r="S3425" s="1315">
        <v>78</v>
      </c>
      <c r="T3425" s="298" t="s">
        <v>3961</v>
      </c>
      <c r="U3425" s="1542" t="s">
        <v>12094</v>
      </c>
      <c r="V3425" s="572" t="s">
        <v>12095</v>
      </c>
      <c r="W3425" s="682" t="s">
        <v>12102</v>
      </c>
      <c r="X3425" s="435"/>
      <c r="Y3425" s="431"/>
      <c r="Z3425" s="431"/>
    </row>
    <row r="3426" spans="1:26" ht="14.1" hidden="1">
      <c r="A3426" s="20">
        <f t="shared" si="195"/>
        <v>3433</v>
      </c>
      <c r="B3426" s="1063">
        <v>43203</v>
      </c>
      <c r="C3426" s="986" t="s">
        <v>329</v>
      </c>
      <c r="D3426" s="11" t="s">
        <v>6</v>
      </c>
      <c r="E3426" s="683" t="s">
        <v>7956</v>
      </c>
      <c r="F3426" s="986" t="s">
        <v>10486</v>
      </c>
      <c r="G3426" s="298" t="s">
        <v>12103</v>
      </c>
      <c r="H3426" s="683" t="s">
        <v>3243</v>
      </c>
      <c r="I3426" s="298" t="s">
        <v>574</v>
      </c>
      <c r="J3426" s="298" t="s">
        <v>3582</v>
      </c>
      <c r="K3426" s="298" t="s">
        <v>3583</v>
      </c>
      <c r="L3426" s="298" t="s">
        <v>12099</v>
      </c>
      <c r="M3426" s="298">
        <v>6</v>
      </c>
      <c r="N3426" s="298">
        <v>10</v>
      </c>
      <c r="O3426" s="298">
        <v>10</v>
      </c>
      <c r="P3426" s="298">
        <v>3</v>
      </c>
      <c r="Q3426" s="670">
        <v>13</v>
      </c>
      <c r="R3426" s="1315">
        <v>37</v>
      </c>
      <c r="S3426" s="1315">
        <v>375</v>
      </c>
      <c r="T3426" s="298" t="s">
        <v>3961</v>
      </c>
      <c r="U3426" s="1542" t="s">
        <v>12094</v>
      </c>
      <c r="V3426" s="572" t="s">
        <v>12095</v>
      </c>
      <c r="W3426" s="682" t="s">
        <v>3584</v>
      </c>
      <c r="X3426" s="435"/>
      <c r="Y3426" s="431"/>
      <c r="Z3426" s="431"/>
    </row>
    <row r="3427" spans="1:26" ht="14.1" hidden="1">
      <c r="A3427" s="20">
        <f t="shared" si="195"/>
        <v>3434</v>
      </c>
      <c r="B3427" s="1063">
        <v>43204</v>
      </c>
      <c r="C3427" s="986" t="s">
        <v>329</v>
      </c>
      <c r="D3427" s="11" t="s">
        <v>6</v>
      </c>
      <c r="E3427" s="683" t="s">
        <v>7956</v>
      </c>
      <c r="F3427" s="986" t="s">
        <v>10486</v>
      </c>
      <c r="G3427" s="298" t="s">
        <v>12104</v>
      </c>
      <c r="H3427" s="298" t="s">
        <v>3243</v>
      </c>
      <c r="I3427" s="298" t="s">
        <v>574</v>
      </c>
      <c r="J3427" s="298" t="s">
        <v>12105</v>
      </c>
      <c r="K3427" s="298" t="s">
        <v>12106</v>
      </c>
      <c r="L3427" s="298" t="s">
        <v>12099</v>
      </c>
      <c r="M3427" s="298">
        <v>5</v>
      </c>
      <c r="N3427" s="298">
        <v>10</v>
      </c>
      <c r="O3427" s="298">
        <v>10</v>
      </c>
      <c r="P3427" s="298">
        <v>2</v>
      </c>
      <c r="Q3427" s="670">
        <v>12</v>
      </c>
      <c r="R3427" s="1315">
        <v>27</v>
      </c>
      <c r="S3427" s="1315">
        <v>275</v>
      </c>
      <c r="T3427" s="298" t="s">
        <v>3961</v>
      </c>
      <c r="U3427" s="1542" t="s">
        <v>12094</v>
      </c>
      <c r="V3427" s="572" t="s">
        <v>12095</v>
      </c>
      <c r="W3427" s="682" t="s">
        <v>12107</v>
      </c>
      <c r="X3427" s="435"/>
      <c r="Y3427" s="431"/>
      <c r="Z3427" s="431"/>
    </row>
    <row r="3428" spans="1:26" ht="14.1" hidden="1">
      <c r="A3428" s="20">
        <f t="shared" si="195"/>
        <v>3435</v>
      </c>
      <c r="B3428" s="1063">
        <v>43205</v>
      </c>
      <c r="C3428" s="986" t="s">
        <v>329</v>
      </c>
      <c r="D3428" s="11" t="s">
        <v>6</v>
      </c>
      <c r="E3428" s="683" t="s">
        <v>7956</v>
      </c>
      <c r="F3428" s="986" t="s">
        <v>10486</v>
      </c>
      <c r="G3428" s="298" t="s">
        <v>12108</v>
      </c>
      <c r="H3428" s="298" t="s">
        <v>184</v>
      </c>
      <c r="I3428" s="298" t="s">
        <v>574</v>
      </c>
      <c r="J3428" s="298" t="s">
        <v>12109</v>
      </c>
      <c r="K3428" s="298" t="s">
        <v>12110</v>
      </c>
      <c r="L3428" s="298" t="s">
        <v>12099</v>
      </c>
      <c r="M3428" s="298">
        <v>2</v>
      </c>
      <c r="N3428" s="298">
        <v>10</v>
      </c>
      <c r="O3428" s="298">
        <v>10</v>
      </c>
      <c r="P3428" s="298">
        <v>0</v>
      </c>
      <c r="Q3428" s="670">
        <v>10</v>
      </c>
      <c r="R3428" s="1315">
        <v>11</v>
      </c>
      <c r="S3428" s="1315">
        <v>117</v>
      </c>
      <c r="T3428" s="298" t="s">
        <v>3961</v>
      </c>
      <c r="U3428" s="1542" t="s">
        <v>12094</v>
      </c>
      <c r="V3428" s="572" t="s">
        <v>12095</v>
      </c>
      <c r="W3428" s="682" t="s">
        <v>12111</v>
      </c>
      <c r="X3428" s="435"/>
      <c r="Y3428" s="431"/>
      <c r="Z3428" s="431"/>
    </row>
    <row r="3429" spans="1:26" ht="14.1" hidden="1">
      <c r="A3429" s="20">
        <f t="shared" si="195"/>
        <v>3436</v>
      </c>
      <c r="B3429" s="1063">
        <v>43206</v>
      </c>
      <c r="C3429" s="986" t="s">
        <v>329</v>
      </c>
      <c r="D3429" s="11" t="s">
        <v>6</v>
      </c>
      <c r="E3429" s="683" t="s">
        <v>7956</v>
      </c>
      <c r="F3429" s="986" t="s">
        <v>10486</v>
      </c>
      <c r="G3429" s="311" t="s">
        <v>12112</v>
      </c>
      <c r="H3429" s="297" t="s">
        <v>3243</v>
      </c>
      <c r="I3429" s="298" t="s">
        <v>574</v>
      </c>
      <c r="J3429" s="298" t="s">
        <v>5138</v>
      </c>
      <c r="K3429" s="298" t="s">
        <v>5139</v>
      </c>
      <c r="L3429" s="298" t="s">
        <v>12099</v>
      </c>
      <c r="M3429" s="298">
        <v>3</v>
      </c>
      <c r="N3429" s="298">
        <v>10</v>
      </c>
      <c r="O3429" s="298">
        <v>10</v>
      </c>
      <c r="P3429" s="298">
        <v>0</v>
      </c>
      <c r="Q3429" s="670">
        <v>10</v>
      </c>
      <c r="R3429" s="1315">
        <v>14</v>
      </c>
      <c r="S3429" s="1315">
        <v>144</v>
      </c>
      <c r="T3429" s="298" t="s">
        <v>3961</v>
      </c>
      <c r="U3429" s="1542" t="s">
        <v>12094</v>
      </c>
      <c r="V3429" s="572" t="s">
        <v>12095</v>
      </c>
      <c r="W3429" s="682" t="s">
        <v>12113</v>
      </c>
      <c r="X3429" s="435"/>
      <c r="Y3429" s="431"/>
      <c r="Z3429" s="431"/>
    </row>
    <row r="3430" spans="1:26" ht="14.1" hidden="1">
      <c r="A3430" s="20">
        <f t="shared" si="195"/>
        <v>3437</v>
      </c>
      <c r="B3430" s="1063">
        <v>43207</v>
      </c>
      <c r="C3430" s="986" t="s">
        <v>6498</v>
      </c>
      <c r="D3430" s="11" t="s">
        <v>6</v>
      </c>
      <c r="E3430" s="683" t="s">
        <v>7956</v>
      </c>
      <c r="F3430" s="986" t="s">
        <v>10486</v>
      </c>
      <c r="G3430" s="683" t="s">
        <v>12114</v>
      </c>
      <c r="H3430" s="298" t="s">
        <v>12115</v>
      </c>
      <c r="I3430" s="298" t="s">
        <v>574</v>
      </c>
      <c r="J3430" s="298" t="s">
        <v>12116</v>
      </c>
      <c r="K3430" s="298" t="s">
        <v>12117</v>
      </c>
      <c r="L3430" s="298" t="s">
        <v>12118</v>
      </c>
      <c r="M3430" s="298">
        <v>3</v>
      </c>
      <c r="N3430" s="298">
        <v>1</v>
      </c>
      <c r="O3430" s="298">
        <v>5</v>
      </c>
      <c r="P3430" s="298">
        <v>0</v>
      </c>
      <c r="Q3430" s="670">
        <v>5</v>
      </c>
      <c r="R3430" s="1315">
        <v>5</v>
      </c>
      <c r="S3430" s="1315">
        <v>25</v>
      </c>
      <c r="T3430" s="298" t="s">
        <v>3961</v>
      </c>
      <c r="U3430" s="1542" t="s">
        <v>12094</v>
      </c>
      <c r="V3430" s="572" t="s">
        <v>12095</v>
      </c>
      <c r="W3430" s="682" t="s">
        <v>12119</v>
      </c>
      <c r="X3430" s="435"/>
      <c r="Y3430" s="431"/>
      <c r="Z3430" s="431"/>
    </row>
    <row r="3431" spans="1:26" ht="14.1" hidden="1">
      <c r="A3431" s="20">
        <f t="shared" si="195"/>
        <v>3438</v>
      </c>
      <c r="B3431" s="1063">
        <v>43208</v>
      </c>
      <c r="C3431" s="986" t="s">
        <v>12120</v>
      </c>
      <c r="D3431" s="11" t="s">
        <v>6</v>
      </c>
      <c r="E3431" s="683" t="s">
        <v>7956</v>
      </c>
      <c r="F3431" s="986" t="s">
        <v>10486</v>
      </c>
      <c r="G3431" s="298" t="s">
        <v>12121</v>
      </c>
      <c r="H3431" s="298" t="s">
        <v>452</v>
      </c>
      <c r="I3431" s="298" t="s">
        <v>574</v>
      </c>
      <c r="J3431" s="298" t="s">
        <v>12122</v>
      </c>
      <c r="K3431" s="298" t="s">
        <v>12123</v>
      </c>
      <c r="L3431" s="298" t="s">
        <v>12118</v>
      </c>
      <c r="M3431" s="298">
        <v>1</v>
      </c>
      <c r="N3431" s="298">
        <v>1</v>
      </c>
      <c r="O3431" s="298">
        <v>1</v>
      </c>
      <c r="P3431" s="298">
        <v>0</v>
      </c>
      <c r="Q3431" s="670">
        <v>1</v>
      </c>
      <c r="R3431" s="1315">
        <v>295</v>
      </c>
      <c r="S3431" s="1315">
        <v>295</v>
      </c>
      <c r="T3431" s="298" t="s">
        <v>3961</v>
      </c>
      <c r="U3431" s="1542" t="s">
        <v>12094</v>
      </c>
      <c r="V3431" s="572" t="s">
        <v>12095</v>
      </c>
      <c r="W3431" s="682" t="s">
        <v>12124</v>
      </c>
      <c r="X3431" s="435"/>
      <c r="Y3431" s="431"/>
      <c r="Z3431" s="431"/>
    </row>
    <row r="3432" spans="1:26" ht="14.1" hidden="1">
      <c r="A3432" s="20">
        <f t="shared" si="195"/>
        <v>3439</v>
      </c>
      <c r="B3432" s="1063">
        <v>43209</v>
      </c>
      <c r="C3432" s="986" t="s">
        <v>339</v>
      </c>
      <c r="D3432" s="11" t="s">
        <v>6</v>
      </c>
      <c r="E3432" s="683" t="s">
        <v>7956</v>
      </c>
      <c r="F3432" s="986" t="s">
        <v>10486</v>
      </c>
      <c r="G3432" s="298" t="s">
        <v>12125</v>
      </c>
      <c r="H3432" s="298" t="s">
        <v>1865</v>
      </c>
      <c r="I3432" s="298" t="s">
        <v>574</v>
      </c>
      <c r="J3432" s="298" t="s">
        <v>585</v>
      </c>
      <c r="K3432" s="298" t="s">
        <v>586</v>
      </c>
      <c r="L3432" s="298" t="s">
        <v>12099</v>
      </c>
      <c r="M3432" s="298">
        <v>5</v>
      </c>
      <c r="N3432" s="298">
        <v>1</v>
      </c>
      <c r="O3432" s="298">
        <v>10</v>
      </c>
      <c r="P3432" s="298">
        <v>0</v>
      </c>
      <c r="Q3432" s="670">
        <v>10</v>
      </c>
      <c r="R3432" s="1315">
        <v>39</v>
      </c>
      <c r="S3432" s="1315">
        <v>390</v>
      </c>
      <c r="T3432" s="298" t="s">
        <v>3961</v>
      </c>
      <c r="U3432" s="1542" t="s">
        <v>12094</v>
      </c>
      <c r="V3432" s="572" t="s">
        <v>12095</v>
      </c>
      <c r="W3432" s="682" t="s">
        <v>5321</v>
      </c>
      <c r="X3432" s="435"/>
      <c r="Y3432" s="431"/>
      <c r="Z3432" s="431"/>
    </row>
    <row r="3433" spans="1:26" ht="14.1" hidden="1">
      <c r="A3433" s="20">
        <f t="shared" si="195"/>
        <v>3440</v>
      </c>
      <c r="B3433" s="1063">
        <v>43210</v>
      </c>
      <c r="C3433" s="986" t="s">
        <v>12126</v>
      </c>
      <c r="D3433" s="11" t="s">
        <v>6</v>
      </c>
      <c r="E3433" s="683" t="s">
        <v>7956</v>
      </c>
      <c r="F3433" s="986" t="s">
        <v>10486</v>
      </c>
      <c r="G3433" s="298" t="s">
        <v>12127</v>
      </c>
      <c r="H3433" s="298" t="s">
        <v>1073</v>
      </c>
      <c r="I3433" s="298" t="s">
        <v>574</v>
      </c>
      <c r="J3433" s="298" t="s">
        <v>12128</v>
      </c>
      <c r="K3433" s="298" t="s">
        <v>12129</v>
      </c>
      <c r="L3433" s="298" t="s">
        <v>12118</v>
      </c>
      <c r="M3433" s="298">
        <v>10</v>
      </c>
      <c r="N3433" s="298">
        <v>1</v>
      </c>
      <c r="O3433" s="298">
        <v>10</v>
      </c>
      <c r="P3433" s="298">
        <v>0</v>
      </c>
      <c r="Q3433" s="670">
        <v>10</v>
      </c>
      <c r="R3433" s="1315">
        <v>503</v>
      </c>
      <c r="S3433" s="1315">
        <v>5030</v>
      </c>
      <c r="T3433" s="298" t="s">
        <v>3961</v>
      </c>
      <c r="U3433" s="1542" t="s">
        <v>12094</v>
      </c>
      <c r="V3433" s="572" t="s">
        <v>12095</v>
      </c>
      <c r="W3433" s="682" t="s">
        <v>12130</v>
      </c>
      <c r="X3433" s="435"/>
      <c r="Y3433" s="431"/>
      <c r="Z3433" s="431"/>
    </row>
    <row r="3434" spans="1:26" ht="14.1" hidden="1">
      <c r="A3434" s="20">
        <f t="shared" si="195"/>
        <v>3441</v>
      </c>
      <c r="B3434" s="1063">
        <v>43211</v>
      </c>
      <c r="C3434" s="986" t="s">
        <v>3896</v>
      </c>
      <c r="D3434" s="11" t="s">
        <v>6</v>
      </c>
      <c r="E3434" s="683" t="s">
        <v>7956</v>
      </c>
      <c r="F3434" s="986" t="s">
        <v>10486</v>
      </c>
      <c r="G3434" s="298" t="s">
        <v>3832</v>
      </c>
      <c r="H3434" s="298" t="s">
        <v>7066</v>
      </c>
      <c r="I3434" s="298" t="s">
        <v>574</v>
      </c>
      <c r="J3434" s="298" t="s">
        <v>12131</v>
      </c>
      <c r="K3434" s="298" t="s">
        <v>3288</v>
      </c>
      <c r="L3434" s="298" t="s">
        <v>12118</v>
      </c>
      <c r="M3434" s="298">
        <v>1</v>
      </c>
      <c r="N3434" s="298">
        <v>1</v>
      </c>
      <c r="O3434" s="298">
        <v>1</v>
      </c>
      <c r="P3434" s="298">
        <v>0</v>
      </c>
      <c r="Q3434" s="670">
        <v>1</v>
      </c>
      <c r="R3434" s="1315">
        <v>637</v>
      </c>
      <c r="S3434" s="1315">
        <v>637</v>
      </c>
      <c r="T3434" s="298" t="s">
        <v>3961</v>
      </c>
      <c r="U3434" s="1542" t="s">
        <v>12094</v>
      </c>
      <c r="V3434" s="572" t="s">
        <v>12095</v>
      </c>
      <c r="W3434" s="682" t="s">
        <v>12132</v>
      </c>
      <c r="X3434" s="435"/>
      <c r="Y3434" s="431"/>
      <c r="Z3434" s="431"/>
    </row>
    <row r="3435" spans="1:26" ht="14.1" hidden="1">
      <c r="A3435" s="20">
        <f t="shared" si="195"/>
        <v>3442</v>
      </c>
      <c r="B3435" s="1063">
        <v>43212</v>
      </c>
      <c r="C3435" s="986" t="s">
        <v>12133</v>
      </c>
      <c r="D3435" s="11" t="s">
        <v>6</v>
      </c>
      <c r="E3435" s="683" t="s">
        <v>7956</v>
      </c>
      <c r="F3435" s="986" t="s">
        <v>10486</v>
      </c>
      <c r="G3435" s="298" t="s">
        <v>12134</v>
      </c>
      <c r="H3435" s="298" t="s">
        <v>2701</v>
      </c>
      <c r="I3435" s="298" t="s">
        <v>574</v>
      </c>
      <c r="J3435" s="298" t="s">
        <v>12135</v>
      </c>
      <c r="K3435" s="298" t="s">
        <v>12136</v>
      </c>
      <c r="L3435" s="298" t="s">
        <v>12118</v>
      </c>
      <c r="M3435" s="298">
        <v>1</v>
      </c>
      <c r="N3435" s="298">
        <v>1</v>
      </c>
      <c r="O3435" s="298">
        <v>1</v>
      </c>
      <c r="P3435" s="298">
        <v>0</v>
      </c>
      <c r="Q3435" s="670">
        <v>1</v>
      </c>
      <c r="R3435" s="1315">
        <v>248</v>
      </c>
      <c r="S3435" s="1315">
        <v>248</v>
      </c>
      <c r="T3435" s="298" t="s">
        <v>3961</v>
      </c>
      <c r="U3435" s="1542" t="s">
        <v>12094</v>
      </c>
      <c r="V3435" s="572" t="s">
        <v>12095</v>
      </c>
      <c r="W3435" s="682" t="s">
        <v>12137</v>
      </c>
      <c r="X3435" s="435"/>
      <c r="Y3435" s="431"/>
      <c r="Z3435" s="431"/>
    </row>
    <row r="3436" spans="1:26" ht="14.1" hidden="1">
      <c r="A3436" s="20">
        <f t="shared" si="195"/>
        <v>3443</v>
      </c>
      <c r="B3436" s="1063">
        <v>43213</v>
      </c>
      <c r="C3436" s="934" t="s">
        <v>12138</v>
      </c>
      <c r="D3436" s="11"/>
      <c r="E3436" s="204" t="s">
        <v>166</v>
      </c>
      <c r="F3436" s="934" t="s">
        <v>131</v>
      </c>
      <c r="G3436" s="204" t="s">
        <v>12139</v>
      </c>
      <c r="H3436" s="204" t="s">
        <v>460</v>
      </c>
      <c r="I3436" s="204" t="s">
        <v>574</v>
      </c>
      <c r="J3436" s="204" t="s">
        <v>12140</v>
      </c>
      <c r="K3436" s="204" t="s">
        <v>11786</v>
      </c>
      <c r="L3436" s="204"/>
      <c r="M3436" s="204">
        <v>3</v>
      </c>
      <c r="N3436" s="204">
        <v>1</v>
      </c>
      <c r="O3436" s="204">
        <v>3</v>
      </c>
      <c r="P3436" s="204">
        <v>0</v>
      </c>
      <c r="Q3436" s="572">
        <v>0</v>
      </c>
      <c r="R3436" s="1209">
        <v>115</v>
      </c>
      <c r="S3436" s="1209">
        <f t="shared" ref="S3436:S3439" si="204">R3436*O3436</f>
        <v>345</v>
      </c>
      <c r="T3436" s="204" t="s">
        <v>11182</v>
      </c>
      <c r="U3436" s="1901" t="s">
        <v>11183</v>
      </c>
      <c r="V3436" s="572" t="s">
        <v>11754</v>
      </c>
      <c r="W3436" s="681" t="s">
        <v>12141</v>
      </c>
      <c r="X3436" s="18"/>
      <c r="Y3436" s="4"/>
      <c r="Z3436" s="4"/>
    </row>
    <row r="3437" spans="1:26" ht="14.1" hidden="1">
      <c r="A3437" s="20">
        <f t="shared" si="195"/>
        <v>3444</v>
      </c>
      <c r="B3437" s="1063">
        <v>43214</v>
      </c>
      <c r="C3437" s="934" t="s">
        <v>12142</v>
      </c>
      <c r="D3437" s="11" t="s">
        <v>6</v>
      </c>
      <c r="E3437" s="204" t="s">
        <v>2722</v>
      </c>
      <c r="F3437" s="934" t="s">
        <v>10696</v>
      </c>
      <c r="G3437" s="463" t="s">
        <v>12143</v>
      </c>
      <c r="H3437" s="204" t="s">
        <v>10706</v>
      </c>
      <c r="I3437" s="204" t="s">
        <v>10706</v>
      </c>
      <c r="J3437" s="235" t="s">
        <v>12144</v>
      </c>
      <c r="K3437" s="204" t="s">
        <v>1</v>
      </c>
      <c r="L3437" s="204" t="s">
        <v>12118</v>
      </c>
      <c r="M3437" s="204">
        <v>1</v>
      </c>
      <c r="N3437" s="204">
        <v>1</v>
      </c>
      <c r="O3437" s="204">
        <v>1</v>
      </c>
      <c r="P3437" s="204">
        <v>0</v>
      </c>
      <c r="Q3437" s="572">
        <v>1</v>
      </c>
      <c r="R3437" s="1209">
        <v>17550</v>
      </c>
      <c r="S3437" s="1209">
        <f t="shared" si="204"/>
        <v>17550</v>
      </c>
      <c r="T3437" s="204" t="s">
        <v>3961</v>
      </c>
      <c r="U3437" s="1901" t="s">
        <v>3646</v>
      </c>
      <c r="V3437" s="572" t="s">
        <v>12095</v>
      </c>
      <c r="W3437" s="681" t="s">
        <v>12145</v>
      </c>
      <c r="X3437" s="18"/>
      <c r="Y3437" s="4"/>
      <c r="Z3437" s="4"/>
    </row>
    <row r="3438" spans="1:26" ht="14.1" hidden="1">
      <c r="A3438" s="20">
        <f t="shared" si="195"/>
        <v>3445</v>
      </c>
      <c r="B3438" s="1063">
        <v>43215</v>
      </c>
      <c r="C3438" s="934" t="s">
        <v>12142</v>
      </c>
      <c r="D3438" s="11" t="s">
        <v>6</v>
      </c>
      <c r="E3438" s="204" t="s">
        <v>2722</v>
      </c>
      <c r="F3438" s="934" t="s">
        <v>10696</v>
      </c>
      <c r="G3438" s="463" t="s">
        <v>12146</v>
      </c>
      <c r="H3438" s="204" t="s">
        <v>10706</v>
      </c>
      <c r="I3438" s="204" t="s">
        <v>10706</v>
      </c>
      <c r="J3438" s="235" t="s">
        <v>12147</v>
      </c>
      <c r="K3438" s="204" t="s">
        <v>1</v>
      </c>
      <c r="L3438" s="204" t="s">
        <v>12118</v>
      </c>
      <c r="M3438" s="204">
        <v>1</v>
      </c>
      <c r="N3438" s="204">
        <v>1</v>
      </c>
      <c r="O3438" s="204">
        <v>1</v>
      </c>
      <c r="P3438" s="204">
        <v>0</v>
      </c>
      <c r="Q3438" s="572">
        <v>1</v>
      </c>
      <c r="R3438" s="1209">
        <v>17550</v>
      </c>
      <c r="S3438" s="1209">
        <f t="shared" si="204"/>
        <v>17550</v>
      </c>
      <c r="T3438" s="204" t="s">
        <v>3961</v>
      </c>
      <c r="U3438" s="1901" t="s">
        <v>3646</v>
      </c>
      <c r="V3438" s="572" t="s">
        <v>12095</v>
      </c>
      <c r="W3438" s="681" t="s">
        <v>12148</v>
      </c>
      <c r="X3438" s="18"/>
      <c r="Y3438" s="4"/>
      <c r="Z3438" s="4"/>
    </row>
    <row r="3439" spans="1:26" ht="14.1" hidden="1">
      <c r="A3439" s="20">
        <f t="shared" si="195"/>
        <v>3446</v>
      </c>
      <c r="B3439" s="1063">
        <v>43216</v>
      </c>
      <c r="C3439" s="934" t="s">
        <v>12149</v>
      </c>
      <c r="D3439" s="11" t="s">
        <v>6</v>
      </c>
      <c r="E3439" s="204" t="s">
        <v>2722</v>
      </c>
      <c r="F3439" s="934" t="s">
        <v>10696</v>
      </c>
      <c r="G3439" s="436" t="s">
        <v>12150</v>
      </c>
      <c r="H3439" s="204" t="s">
        <v>713</v>
      </c>
      <c r="I3439" s="204" t="s">
        <v>6651</v>
      </c>
      <c r="J3439" s="204" t="s">
        <v>12151</v>
      </c>
      <c r="K3439" s="204" t="s">
        <v>1</v>
      </c>
      <c r="L3439" s="204" t="s">
        <v>12118</v>
      </c>
      <c r="M3439" s="204">
        <v>10</v>
      </c>
      <c r="N3439" s="204">
        <v>1</v>
      </c>
      <c r="O3439" s="204">
        <v>10</v>
      </c>
      <c r="P3439" s="204">
        <v>0</v>
      </c>
      <c r="Q3439" s="572">
        <v>10</v>
      </c>
      <c r="R3439" s="1209">
        <v>262.5</v>
      </c>
      <c r="S3439" s="1209">
        <f t="shared" si="204"/>
        <v>2625</v>
      </c>
      <c r="T3439" s="204" t="s">
        <v>3961</v>
      </c>
      <c r="U3439" s="1901" t="s">
        <v>3646</v>
      </c>
      <c r="V3439" s="572" t="s">
        <v>12095</v>
      </c>
      <c r="W3439" s="681" t="s">
        <v>12152</v>
      </c>
      <c r="X3439" s="18"/>
      <c r="Y3439" s="4"/>
      <c r="Z3439" s="4"/>
    </row>
    <row r="3440" spans="1:26" ht="26.1" hidden="1">
      <c r="A3440" s="20">
        <f t="shared" si="195"/>
        <v>3447</v>
      </c>
      <c r="B3440" s="1063">
        <v>43217</v>
      </c>
      <c r="C3440" s="947" t="s">
        <v>12153</v>
      </c>
      <c r="D3440" s="11" t="s">
        <v>6</v>
      </c>
      <c r="E3440" s="204" t="s">
        <v>4951</v>
      </c>
      <c r="F3440" s="934" t="s">
        <v>11438</v>
      </c>
      <c r="G3440" s="26" t="s">
        <v>12154</v>
      </c>
      <c r="H3440" s="204" t="s">
        <v>429</v>
      </c>
      <c r="I3440" s="204" t="s">
        <v>429</v>
      </c>
      <c r="J3440" s="204" t="s">
        <v>1</v>
      </c>
      <c r="K3440" s="204" t="s">
        <v>12155</v>
      </c>
      <c r="L3440" s="204" t="s">
        <v>12156</v>
      </c>
      <c r="M3440" s="204">
        <v>8</v>
      </c>
      <c r="N3440" s="204">
        <v>1</v>
      </c>
      <c r="O3440" s="204">
        <v>20</v>
      </c>
      <c r="P3440" s="204">
        <v>0</v>
      </c>
      <c r="Q3440" s="572">
        <v>12</v>
      </c>
      <c r="R3440" s="1209">
        <v>36</v>
      </c>
      <c r="S3440" s="1209">
        <v>720</v>
      </c>
      <c r="T3440" s="204" t="s">
        <v>12157</v>
      </c>
      <c r="U3440" s="1901" t="s">
        <v>448</v>
      </c>
      <c r="V3440" s="572" t="s">
        <v>12095</v>
      </c>
      <c r="W3440" s="681" t="s">
        <v>12158</v>
      </c>
      <c r="X3440" s="18" t="s">
        <v>12159</v>
      </c>
      <c r="Y3440" s="4"/>
      <c r="Z3440" s="4"/>
    </row>
    <row r="3441" spans="1:26" ht="14.1" hidden="1">
      <c r="A3441" s="20">
        <f t="shared" si="195"/>
        <v>3448</v>
      </c>
      <c r="B3441" s="1063">
        <v>43218</v>
      </c>
      <c r="C3441" s="934" t="s">
        <v>12160</v>
      </c>
      <c r="D3441" s="11" t="s">
        <v>6</v>
      </c>
      <c r="E3441" s="204" t="s">
        <v>683</v>
      </c>
      <c r="F3441" s="934" t="s">
        <v>10005</v>
      </c>
      <c r="G3441" s="204" t="s">
        <v>12161</v>
      </c>
      <c r="H3441" s="204" t="s">
        <v>84</v>
      </c>
      <c r="I3441" s="204" t="s">
        <v>84</v>
      </c>
      <c r="J3441" s="204" t="s">
        <v>1</v>
      </c>
      <c r="K3441" s="204">
        <v>19402048</v>
      </c>
      <c r="L3441" s="204" t="s">
        <v>12162</v>
      </c>
      <c r="M3441" s="204">
        <v>1</v>
      </c>
      <c r="N3441" s="204">
        <v>1</v>
      </c>
      <c r="O3441" s="204">
        <v>1</v>
      </c>
      <c r="P3441" s="204">
        <v>0</v>
      </c>
      <c r="Q3441" s="572">
        <v>1</v>
      </c>
      <c r="R3441" s="1209">
        <v>2690</v>
      </c>
      <c r="S3441" s="1209">
        <v>2690</v>
      </c>
      <c r="T3441" s="26" t="s">
        <v>4220</v>
      </c>
      <c r="U3441" s="1901" t="s">
        <v>11992</v>
      </c>
      <c r="V3441" s="26" t="s">
        <v>689</v>
      </c>
      <c r="W3441" s="681" t="s">
        <v>12163</v>
      </c>
      <c r="X3441" s="18"/>
      <c r="Y3441" s="4"/>
      <c r="Z3441" s="4"/>
    </row>
    <row r="3442" spans="1:26" ht="14.1" hidden="1">
      <c r="A3442" s="20">
        <f t="shared" si="195"/>
        <v>3449</v>
      </c>
      <c r="B3442" s="1063">
        <v>43219</v>
      </c>
      <c r="C3442" s="934" t="s">
        <v>339</v>
      </c>
      <c r="D3442" s="11" t="s">
        <v>6</v>
      </c>
      <c r="E3442" s="204" t="s">
        <v>4951</v>
      </c>
      <c r="F3442" s="934" t="s">
        <v>11544</v>
      </c>
      <c r="G3442" s="239" t="s">
        <v>7128</v>
      </c>
      <c r="H3442" s="183" t="s">
        <v>1865</v>
      </c>
      <c r="I3442" s="204" t="s">
        <v>11870</v>
      </c>
      <c r="J3442" s="742" t="s">
        <v>12164</v>
      </c>
      <c r="K3442" s="239" t="s">
        <v>586</v>
      </c>
      <c r="L3442" s="204"/>
      <c r="M3442" s="204">
        <v>2</v>
      </c>
      <c r="N3442" s="204">
        <v>1</v>
      </c>
      <c r="O3442" s="204">
        <v>4</v>
      </c>
      <c r="P3442" s="204">
        <v>0</v>
      </c>
      <c r="Q3442" s="572">
        <v>2</v>
      </c>
      <c r="R3442" s="1209">
        <v>47</v>
      </c>
      <c r="S3442" s="1209">
        <v>188</v>
      </c>
      <c r="T3442" s="204" t="s">
        <v>3961</v>
      </c>
      <c r="U3442" s="1901" t="s">
        <v>9486</v>
      </c>
      <c r="V3442" s="572" t="s">
        <v>12095</v>
      </c>
      <c r="W3442" s="681" t="s">
        <v>12165</v>
      </c>
      <c r="X3442" s="18"/>
      <c r="Y3442" s="4"/>
      <c r="Z3442" s="4"/>
    </row>
    <row r="3443" spans="1:26" ht="14.1" hidden="1">
      <c r="A3443" s="20">
        <f t="shared" si="195"/>
        <v>3450</v>
      </c>
      <c r="B3443" s="1063">
        <v>43220</v>
      </c>
      <c r="C3443" s="934" t="s">
        <v>12166</v>
      </c>
      <c r="D3443" s="11" t="s">
        <v>6</v>
      </c>
      <c r="E3443" s="204" t="s">
        <v>4951</v>
      </c>
      <c r="F3443" s="934" t="s">
        <v>11544</v>
      </c>
      <c r="G3443" s="239" t="s">
        <v>7127</v>
      </c>
      <c r="H3443" s="239" t="s">
        <v>1853</v>
      </c>
      <c r="I3443" s="204" t="s">
        <v>11870</v>
      </c>
      <c r="J3443" s="743" t="s">
        <v>599</v>
      </c>
      <c r="K3443" s="239" t="s">
        <v>1991</v>
      </c>
      <c r="L3443" s="204"/>
      <c r="M3443" s="204">
        <v>2</v>
      </c>
      <c r="N3443" s="204">
        <v>1</v>
      </c>
      <c r="O3443" s="204">
        <v>4</v>
      </c>
      <c r="P3443" s="204">
        <v>0</v>
      </c>
      <c r="Q3443" s="572">
        <v>2</v>
      </c>
      <c r="R3443" s="1209">
        <v>21</v>
      </c>
      <c r="S3443" s="1209">
        <v>84</v>
      </c>
      <c r="T3443" s="204" t="s">
        <v>3961</v>
      </c>
      <c r="U3443" s="1901" t="s">
        <v>9486</v>
      </c>
      <c r="V3443" s="572" t="s">
        <v>12095</v>
      </c>
      <c r="W3443" s="681" t="s">
        <v>602</v>
      </c>
      <c r="X3443" s="18"/>
      <c r="Y3443" s="4"/>
      <c r="Z3443" s="4"/>
    </row>
    <row r="3444" spans="1:26" ht="14.1" hidden="1">
      <c r="A3444" s="20">
        <f t="shared" si="195"/>
        <v>3451</v>
      </c>
      <c r="B3444" s="1063">
        <v>43221</v>
      </c>
      <c r="C3444" s="934" t="s">
        <v>5293</v>
      </c>
      <c r="D3444" s="11" t="s">
        <v>6</v>
      </c>
      <c r="E3444" s="204" t="s">
        <v>4951</v>
      </c>
      <c r="F3444" s="934" t="s">
        <v>11544</v>
      </c>
      <c r="G3444" s="239" t="s">
        <v>12167</v>
      </c>
      <c r="H3444" s="196" t="s">
        <v>1073</v>
      </c>
      <c r="I3444" s="204" t="s">
        <v>11870</v>
      </c>
      <c r="J3444" s="222" t="s">
        <v>12168</v>
      </c>
      <c r="K3444" s="222" t="s">
        <v>12169</v>
      </c>
      <c r="L3444" s="204"/>
      <c r="M3444" s="204">
        <v>2</v>
      </c>
      <c r="N3444" s="204">
        <v>1</v>
      </c>
      <c r="O3444" s="204">
        <v>4</v>
      </c>
      <c r="P3444" s="204">
        <v>0</v>
      </c>
      <c r="Q3444" s="572">
        <v>2</v>
      </c>
      <c r="R3444" s="1209">
        <v>401</v>
      </c>
      <c r="S3444" s="1209">
        <f t="shared" ref="S3444:S3459" si="205">R3444*O3444</f>
        <v>1604</v>
      </c>
      <c r="T3444" s="204" t="s">
        <v>3961</v>
      </c>
      <c r="U3444" s="1901" t="s">
        <v>9486</v>
      </c>
      <c r="V3444" s="572" t="s">
        <v>12095</v>
      </c>
      <c r="W3444" s="2127" t="s">
        <v>12170</v>
      </c>
      <c r="X3444" s="18"/>
      <c r="Y3444" s="4"/>
      <c r="Z3444" s="4"/>
    </row>
    <row r="3445" spans="1:26" ht="14.1" hidden="1">
      <c r="A3445" s="20">
        <f t="shared" si="195"/>
        <v>3452</v>
      </c>
      <c r="B3445" s="1063">
        <v>43222</v>
      </c>
      <c r="C3445" s="934" t="s">
        <v>12171</v>
      </c>
      <c r="D3445" s="11" t="s">
        <v>6</v>
      </c>
      <c r="E3445" s="204" t="s">
        <v>4951</v>
      </c>
      <c r="F3445" s="934" t="s">
        <v>11544</v>
      </c>
      <c r="G3445" s="239" t="s">
        <v>12172</v>
      </c>
      <c r="H3445" s="239" t="s">
        <v>1073</v>
      </c>
      <c r="I3445" s="204" t="s">
        <v>11870</v>
      </c>
      <c r="J3445" s="239" t="s">
        <v>12173</v>
      </c>
      <c r="K3445" s="239" t="s">
        <v>12174</v>
      </c>
      <c r="L3445" s="204"/>
      <c r="M3445" s="204">
        <v>2</v>
      </c>
      <c r="N3445" s="204">
        <v>1</v>
      </c>
      <c r="O3445" s="204">
        <v>4</v>
      </c>
      <c r="P3445" s="204">
        <v>2</v>
      </c>
      <c r="Q3445" s="572">
        <v>2</v>
      </c>
      <c r="R3445" s="1209">
        <v>352</v>
      </c>
      <c r="S3445" s="1209">
        <f t="shared" si="205"/>
        <v>1408</v>
      </c>
      <c r="T3445" s="204" t="s">
        <v>3961</v>
      </c>
      <c r="U3445" s="1901" t="s">
        <v>9486</v>
      </c>
      <c r="V3445" s="572" t="s">
        <v>12095</v>
      </c>
      <c r="W3445" s="681" t="s">
        <v>12175</v>
      </c>
      <c r="X3445" s="18"/>
      <c r="Y3445" s="4"/>
      <c r="Z3445" s="4"/>
    </row>
    <row r="3446" spans="1:26" ht="18" hidden="1">
      <c r="A3446" s="20">
        <f t="shared" si="195"/>
        <v>3453</v>
      </c>
      <c r="B3446" s="1063">
        <v>43223</v>
      </c>
      <c r="C3446" s="934" t="s">
        <v>10787</v>
      </c>
      <c r="D3446" s="11" t="s">
        <v>6</v>
      </c>
      <c r="E3446" s="204" t="s">
        <v>4951</v>
      </c>
      <c r="F3446" s="934" t="s">
        <v>11544</v>
      </c>
      <c r="G3446" s="239" t="s">
        <v>3004</v>
      </c>
      <c r="H3446" s="658" t="s">
        <v>1260</v>
      </c>
      <c r="I3446" s="204" t="s">
        <v>11870</v>
      </c>
      <c r="J3446" s="222" t="s">
        <v>3006</v>
      </c>
      <c r="K3446" s="743" t="s">
        <v>3007</v>
      </c>
      <c r="L3446" s="204"/>
      <c r="M3446" s="204">
        <v>1</v>
      </c>
      <c r="N3446" s="204">
        <v>1</v>
      </c>
      <c r="O3446" s="204">
        <v>1</v>
      </c>
      <c r="P3446" s="204">
        <v>1</v>
      </c>
      <c r="Q3446" s="572">
        <v>1</v>
      </c>
      <c r="R3446" s="1209">
        <v>1362</v>
      </c>
      <c r="S3446" s="1209">
        <f t="shared" si="205"/>
        <v>1362</v>
      </c>
      <c r="T3446" s="204" t="s">
        <v>3961</v>
      </c>
      <c r="U3446" s="1901" t="s">
        <v>9486</v>
      </c>
      <c r="V3446" s="572" t="s">
        <v>12095</v>
      </c>
      <c r="W3446" s="2128" t="s">
        <v>12176</v>
      </c>
      <c r="X3446" s="18"/>
      <c r="Y3446" s="4"/>
      <c r="Z3446" s="4"/>
    </row>
    <row r="3447" spans="1:26" ht="18" hidden="1">
      <c r="A3447" s="20">
        <f t="shared" si="195"/>
        <v>3454</v>
      </c>
      <c r="B3447" s="1063">
        <v>43224</v>
      </c>
      <c r="C3447" s="934" t="s">
        <v>10787</v>
      </c>
      <c r="D3447" s="11" t="s">
        <v>6</v>
      </c>
      <c r="E3447" s="204" t="s">
        <v>4951</v>
      </c>
      <c r="F3447" s="934" t="s">
        <v>11544</v>
      </c>
      <c r="G3447" s="239" t="s">
        <v>12177</v>
      </c>
      <c r="H3447" s="239" t="s">
        <v>1073</v>
      </c>
      <c r="I3447" s="204" t="s">
        <v>11870</v>
      </c>
      <c r="J3447" s="222" t="s">
        <v>2970</v>
      </c>
      <c r="K3447" s="222" t="s">
        <v>2971</v>
      </c>
      <c r="L3447" s="204"/>
      <c r="M3447" s="204">
        <v>1</v>
      </c>
      <c r="N3447" s="204">
        <v>1</v>
      </c>
      <c r="O3447" s="204">
        <v>1</v>
      </c>
      <c r="P3447" s="204">
        <v>1</v>
      </c>
      <c r="Q3447" s="572">
        <v>1</v>
      </c>
      <c r="R3447" s="1209">
        <v>324</v>
      </c>
      <c r="S3447" s="1209">
        <f t="shared" si="205"/>
        <v>324</v>
      </c>
      <c r="T3447" s="204" t="s">
        <v>3961</v>
      </c>
      <c r="U3447" s="1901" t="s">
        <v>9486</v>
      </c>
      <c r="V3447" s="572" t="s">
        <v>12095</v>
      </c>
      <c r="W3447" s="767" t="s">
        <v>12178</v>
      </c>
      <c r="X3447" s="18"/>
      <c r="Y3447" s="4"/>
      <c r="Z3447" s="4"/>
    </row>
    <row r="3448" spans="1:26" ht="18" hidden="1">
      <c r="A3448" s="20">
        <f t="shared" si="195"/>
        <v>3455</v>
      </c>
      <c r="B3448" s="1063">
        <v>43225</v>
      </c>
      <c r="C3448" s="934" t="s">
        <v>12179</v>
      </c>
      <c r="D3448" s="11" t="s">
        <v>6</v>
      </c>
      <c r="E3448" s="204" t="s">
        <v>4951</v>
      </c>
      <c r="F3448" s="934" t="s">
        <v>11544</v>
      </c>
      <c r="G3448" s="239" t="s">
        <v>12180</v>
      </c>
      <c r="H3448" s="239" t="s">
        <v>651</v>
      </c>
      <c r="I3448" s="204" t="s">
        <v>11870</v>
      </c>
      <c r="J3448" s="239" t="s">
        <v>12091</v>
      </c>
      <c r="K3448" s="222" t="s">
        <v>12092</v>
      </c>
      <c r="L3448" s="204"/>
      <c r="M3448" s="204">
        <v>16</v>
      </c>
      <c r="N3448" s="204">
        <v>1</v>
      </c>
      <c r="O3448" s="204">
        <v>50</v>
      </c>
      <c r="P3448" s="204">
        <v>0</v>
      </c>
      <c r="Q3448" s="572">
        <v>34</v>
      </c>
      <c r="R3448" s="1209">
        <v>3.4</v>
      </c>
      <c r="S3448" s="1209">
        <f t="shared" si="205"/>
        <v>170</v>
      </c>
      <c r="T3448" s="204" t="s">
        <v>3961</v>
      </c>
      <c r="U3448" s="1901" t="s">
        <v>9486</v>
      </c>
      <c r="V3448" s="572" t="s">
        <v>12095</v>
      </c>
      <c r="W3448" s="767" t="s">
        <v>12181</v>
      </c>
      <c r="X3448" s="18"/>
      <c r="Y3448" s="4"/>
      <c r="Z3448" s="4"/>
    </row>
    <row r="3449" spans="1:26" ht="18" hidden="1">
      <c r="A3449" s="20">
        <f t="shared" si="195"/>
        <v>3456</v>
      </c>
      <c r="B3449" s="1063">
        <v>43226</v>
      </c>
      <c r="C3449" s="934" t="s">
        <v>12182</v>
      </c>
      <c r="D3449" s="11" t="s">
        <v>6</v>
      </c>
      <c r="E3449" s="204" t="s">
        <v>4951</v>
      </c>
      <c r="F3449" s="934" t="s">
        <v>11544</v>
      </c>
      <c r="G3449" s="239" t="s">
        <v>12183</v>
      </c>
      <c r="H3449" s="239" t="s">
        <v>184</v>
      </c>
      <c r="I3449" s="204" t="s">
        <v>11870</v>
      </c>
      <c r="J3449" s="239" t="s">
        <v>12164</v>
      </c>
      <c r="K3449" s="239" t="s">
        <v>12184</v>
      </c>
      <c r="L3449" s="204"/>
      <c r="M3449" s="204">
        <v>2</v>
      </c>
      <c r="N3449" s="204">
        <v>1</v>
      </c>
      <c r="O3449" s="204">
        <v>10</v>
      </c>
      <c r="P3449" s="204">
        <v>0</v>
      </c>
      <c r="Q3449" s="572">
        <v>8</v>
      </c>
      <c r="R3449" s="1209">
        <v>13.4</v>
      </c>
      <c r="S3449" s="1209">
        <f t="shared" si="205"/>
        <v>134</v>
      </c>
      <c r="T3449" s="204" t="s">
        <v>3961</v>
      </c>
      <c r="U3449" s="1901" t="s">
        <v>9486</v>
      </c>
      <c r="V3449" s="572" t="s">
        <v>12095</v>
      </c>
      <c r="W3449" s="767" t="s">
        <v>12185</v>
      </c>
      <c r="X3449" s="18"/>
      <c r="Y3449" s="4"/>
      <c r="Z3449" s="4"/>
    </row>
    <row r="3450" spans="1:26" ht="18" hidden="1">
      <c r="A3450" s="20">
        <f t="shared" si="195"/>
        <v>3457</v>
      </c>
      <c r="B3450" s="1063">
        <v>43227</v>
      </c>
      <c r="C3450" s="934" t="s">
        <v>12186</v>
      </c>
      <c r="D3450" s="11" t="s">
        <v>6</v>
      </c>
      <c r="E3450" s="204" t="s">
        <v>4951</v>
      </c>
      <c r="F3450" s="934" t="s">
        <v>11544</v>
      </c>
      <c r="G3450" s="239" t="s">
        <v>12187</v>
      </c>
      <c r="H3450" s="239" t="s">
        <v>641</v>
      </c>
      <c r="I3450" s="204" t="s">
        <v>11870</v>
      </c>
      <c r="J3450" s="239" t="s">
        <v>12188</v>
      </c>
      <c r="K3450" s="239" t="s">
        <v>8300</v>
      </c>
      <c r="L3450" s="204"/>
      <c r="M3450" s="204">
        <v>22</v>
      </c>
      <c r="N3450" s="204">
        <v>1</v>
      </c>
      <c r="O3450" s="204">
        <v>50</v>
      </c>
      <c r="P3450" s="204">
        <v>0</v>
      </c>
      <c r="Q3450" s="572">
        <v>28</v>
      </c>
      <c r="R3450" s="1209">
        <v>8.3800000000000008</v>
      </c>
      <c r="S3450" s="1209">
        <f t="shared" si="205"/>
        <v>419.00000000000006</v>
      </c>
      <c r="T3450" s="204" t="s">
        <v>3961</v>
      </c>
      <c r="U3450" s="1901" t="s">
        <v>9486</v>
      </c>
      <c r="V3450" s="572" t="s">
        <v>12095</v>
      </c>
      <c r="W3450" s="767" t="s">
        <v>12189</v>
      </c>
      <c r="X3450" s="18"/>
      <c r="Y3450" s="4"/>
      <c r="Z3450" s="4"/>
    </row>
    <row r="3451" spans="1:26" ht="18" hidden="1">
      <c r="A3451" s="20">
        <f t="shared" si="195"/>
        <v>3458</v>
      </c>
      <c r="B3451" s="1063">
        <v>43228</v>
      </c>
      <c r="C3451" s="934" t="s">
        <v>12190</v>
      </c>
      <c r="D3451" s="11" t="s">
        <v>6</v>
      </c>
      <c r="E3451" s="204" t="s">
        <v>4951</v>
      </c>
      <c r="F3451" s="934" t="s">
        <v>11544</v>
      </c>
      <c r="G3451" s="239" t="s">
        <v>12191</v>
      </c>
      <c r="H3451" s="239" t="s">
        <v>651</v>
      </c>
      <c r="I3451" s="204" t="s">
        <v>11870</v>
      </c>
      <c r="J3451" s="239" t="s">
        <v>12192</v>
      </c>
      <c r="K3451" s="239" t="s">
        <v>12193</v>
      </c>
      <c r="L3451" s="204"/>
      <c r="M3451" s="204">
        <v>2</v>
      </c>
      <c r="N3451" s="204">
        <v>1</v>
      </c>
      <c r="O3451" s="204">
        <v>5</v>
      </c>
      <c r="P3451" s="204">
        <v>0</v>
      </c>
      <c r="Q3451" s="572">
        <v>3</v>
      </c>
      <c r="R3451" s="1209">
        <v>23</v>
      </c>
      <c r="S3451" s="1209">
        <f t="shared" si="205"/>
        <v>115</v>
      </c>
      <c r="T3451" s="204" t="s">
        <v>3961</v>
      </c>
      <c r="U3451" s="1901" t="s">
        <v>9486</v>
      </c>
      <c r="V3451" s="572" t="s">
        <v>12095</v>
      </c>
      <c r="W3451" s="767" t="s">
        <v>12194</v>
      </c>
      <c r="X3451" s="18"/>
      <c r="Y3451" s="4"/>
      <c r="Z3451" s="4"/>
    </row>
    <row r="3452" spans="1:26" ht="18" hidden="1">
      <c r="A3452" s="20">
        <f t="shared" si="195"/>
        <v>3459</v>
      </c>
      <c r="B3452" s="1063">
        <v>43229</v>
      </c>
      <c r="C3452" s="934" t="s">
        <v>12195</v>
      </c>
      <c r="D3452" s="11" t="s">
        <v>6</v>
      </c>
      <c r="E3452" s="204" t="s">
        <v>4951</v>
      </c>
      <c r="F3452" s="934" t="s">
        <v>11544</v>
      </c>
      <c r="G3452" s="239" t="s">
        <v>12196</v>
      </c>
      <c r="H3452" s="239" t="s">
        <v>1653</v>
      </c>
      <c r="I3452" s="204" t="s">
        <v>11870</v>
      </c>
      <c r="J3452" s="239" t="s">
        <v>12197</v>
      </c>
      <c r="K3452" s="239" t="s">
        <v>12198</v>
      </c>
      <c r="L3452" s="204"/>
      <c r="M3452" s="204">
        <v>2</v>
      </c>
      <c r="N3452" s="204">
        <v>1</v>
      </c>
      <c r="O3452" s="204">
        <v>5</v>
      </c>
      <c r="P3452" s="204">
        <v>0</v>
      </c>
      <c r="Q3452" s="572">
        <v>3</v>
      </c>
      <c r="R3452" s="1209">
        <v>12</v>
      </c>
      <c r="S3452" s="1209">
        <f t="shared" si="205"/>
        <v>60</v>
      </c>
      <c r="T3452" s="204" t="s">
        <v>3961</v>
      </c>
      <c r="U3452" s="1901" t="s">
        <v>9486</v>
      </c>
      <c r="V3452" s="572" t="s">
        <v>12095</v>
      </c>
      <c r="W3452" s="767" t="s">
        <v>12199</v>
      </c>
      <c r="X3452" s="18"/>
      <c r="Y3452" s="4"/>
      <c r="Z3452" s="4"/>
    </row>
    <row r="3453" spans="1:26" ht="18" hidden="1">
      <c r="A3453" s="20">
        <f t="shared" si="195"/>
        <v>3460</v>
      </c>
      <c r="B3453" s="1063">
        <v>43230</v>
      </c>
      <c r="C3453" s="934" t="s">
        <v>12200</v>
      </c>
      <c r="D3453" s="11" t="s">
        <v>6</v>
      </c>
      <c r="E3453" s="204" t="s">
        <v>4951</v>
      </c>
      <c r="F3453" s="934" t="s">
        <v>11544</v>
      </c>
      <c r="G3453" s="239" t="s">
        <v>12201</v>
      </c>
      <c r="H3453" s="239" t="s">
        <v>184</v>
      </c>
      <c r="I3453" s="204" t="s">
        <v>11870</v>
      </c>
      <c r="J3453" s="222" t="s">
        <v>12202</v>
      </c>
      <c r="K3453" s="239" t="s">
        <v>12203</v>
      </c>
      <c r="L3453" s="204"/>
      <c r="M3453" s="204">
        <v>6</v>
      </c>
      <c r="N3453" s="204">
        <v>1</v>
      </c>
      <c r="O3453" s="204">
        <v>10</v>
      </c>
      <c r="P3453" s="204">
        <v>0</v>
      </c>
      <c r="Q3453" s="572">
        <v>4</v>
      </c>
      <c r="R3453" s="1209">
        <v>6.4</v>
      </c>
      <c r="S3453" s="1209">
        <f t="shared" si="205"/>
        <v>64</v>
      </c>
      <c r="T3453" s="204" t="s">
        <v>3961</v>
      </c>
      <c r="U3453" s="1901" t="s">
        <v>9486</v>
      </c>
      <c r="V3453" s="572" t="s">
        <v>12095</v>
      </c>
      <c r="W3453" s="767" t="s">
        <v>12204</v>
      </c>
      <c r="X3453" s="18"/>
      <c r="Y3453" s="4"/>
      <c r="Z3453" s="4"/>
    </row>
    <row r="3454" spans="1:26" ht="18" hidden="1">
      <c r="A3454" s="20">
        <f t="shared" si="195"/>
        <v>3461</v>
      </c>
      <c r="B3454" s="1063">
        <v>43231</v>
      </c>
      <c r="C3454" s="934" t="s">
        <v>12205</v>
      </c>
      <c r="D3454" s="11" t="s">
        <v>6</v>
      </c>
      <c r="E3454" s="204" t="s">
        <v>4951</v>
      </c>
      <c r="F3454" s="934" t="s">
        <v>11544</v>
      </c>
      <c r="G3454" s="239" t="s">
        <v>12206</v>
      </c>
      <c r="H3454" s="239" t="s">
        <v>3243</v>
      </c>
      <c r="I3454" s="204" t="s">
        <v>11870</v>
      </c>
      <c r="J3454" s="239" t="s">
        <v>3582</v>
      </c>
      <c r="K3454" s="239" t="s">
        <v>3583</v>
      </c>
      <c r="L3454" s="204"/>
      <c r="M3454" s="204">
        <v>8</v>
      </c>
      <c r="N3454" s="204">
        <v>1</v>
      </c>
      <c r="O3454" s="204">
        <v>20</v>
      </c>
      <c r="P3454" s="204">
        <v>0</v>
      </c>
      <c r="Q3454" s="572">
        <v>12</v>
      </c>
      <c r="R3454" s="1209">
        <v>37.5</v>
      </c>
      <c r="S3454" s="1209">
        <f t="shared" si="205"/>
        <v>750</v>
      </c>
      <c r="T3454" s="204" t="s">
        <v>3961</v>
      </c>
      <c r="U3454" s="1901" t="s">
        <v>9486</v>
      </c>
      <c r="V3454" s="572" t="s">
        <v>12095</v>
      </c>
      <c r="W3454" s="767" t="s">
        <v>12207</v>
      </c>
      <c r="X3454" s="18"/>
      <c r="Y3454" s="4"/>
      <c r="Z3454" s="4"/>
    </row>
    <row r="3455" spans="1:26" ht="18" hidden="1">
      <c r="A3455" s="20">
        <f t="shared" si="195"/>
        <v>3462</v>
      </c>
      <c r="B3455" s="1063">
        <v>43232</v>
      </c>
      <c r="C3455" s="934" t="s">
        <v>12208</v>
      </c>
      <c r="D3455" s="11" t="s">
        <v>6</v>
      </c>
      <c r="E3455" s="204" t="s">
        <v>4951</v>
      </c>
      <c r="F3455" s="934" t="s">
        <v>11544</v>
      </c>
      <c r="G3455" s="239" t="s">
        <v>12209</v>
      </c>
      <c r="H3455" s="239" t="s">
        <v>184</v>
      </c>
      <c r="I3455" s="204" t="s">
        <v>11870</v>
      </c>
      <c r="J3455" s="239" t="s">
        <v>12210</v>
      </c>
      <c r="K3455" s="239" t="s">
        <v>12211</v>
      </c>
      <c r="L3455" s="204"/>
      <c r="M3455" s="204">
        <v>4</v>
      </c>
      <c r="N3455" s="204">
        <v>1</v>
      </c>
      <c r="O3455" s="204">
        <v>6</v>
      </c>
      <c r="P3455" s="204">
        <v>0</v>
      </c>
      <c r="Q3455" s="572">
        <v>2</v>
      </c>
      <c r="R3455" s="1209">
        <v>22</v>
      </c>
      <c r="S3455" s="1209">
        <f t="shared" si="205"/>
        <v>132</v>
      </c>
      <c r="T3455" s="204" t="s">
        <v>3961</v>
      </c>
      <c r="U3455" s="1901" t="s">
        <v>9486</v>
      </c>
      <c r="V3455" s="572" t="s">
        <v>12095</v>
      </c>
      <c r="W3455" s="767" t="s">
        <v>12212</v>
      </c>
      <c r="X3455" s="18"/>
      <c r="Y3455" s="4"/>
      <c r="Z3455" s="4"/>
    </row>
    <row r="3456" spans="1:26" ht="18" hidden="1">
      <c r="A3456" s="20">
        <f t="shared" si="195"/>
        <v>3463</v>
      </c>
      <c r="B3456" s="1063">
        <v>43233</v>
      </c>
      <c r="C3456" s="934" t="s">
        <v>12213</v>
      </c>
      <c r="D3456" s="11" t="s">
        <v>6</v>
      </c>
      <c r="E3456" s="204" t="s">
        <v>4951</v>
      </c>
      <c r="F3456" s="934" t="s">
        <v>11544</v>
      </c>
      <c r="G3456" s="239" t="s">
        <v>12214</v>
      </c>
      <c r="H3456" s="239" t="s">
        <v>1653</v>
      </c>
      <c r="I3456" s="204" t="s">
        <v>11870</v>
      </c>
      <c r="J3456" s="239" t="s">
        <v>12215</v>
      </c>
      <c r="K3456" s="239" t="s">
        <v>12216</v>
      </c>
      <c r="L3456" s="204"/>
      <c r="M3456" s="204">
        <v>4</v>
      </c>
      <c r="N3456" s="204">
        <v>1</v>
      </c>
      <c r="O3456" s="204">
        <v>10</v>
      </c>
      <c r="P3456" s="204">
        <v>0</v>
      </c>
      <c r="Q3456" s="572">
        <v>6</v>
      </c>
      <c r="R3456" s="1209">
        <v>1.9</v>
      </c>
      <c r="S3456" s="1209">
        <f t="shared" si="205"/>
        <v>19</v>
      </c>
      <c r="T3456" s="204" t="s">
        <v>3961</v>
      </c>
      <c r="U3456" s="1901" t="s">
        <v>9486</v>
      </c>
      <c r="V3456" s="572" t="s">
        <v>12095</v>
      </c>
      <c r="W3456" s="767" t="s">
        <v>12217</v>
      </c>
      <c r="X3456" s="18"/>
      <c r="Y3456" s="4"/>
      <c r="Z3456" s="4"/>
    </row>
    <row r="3457" spans="1:26" ht="14.1" hidden="1">
      <c r="A3457" s="20">
        <f t="shared" si="195"/>
        <v>3464</v>
      </c>
      <c r="B3457" s="1063">
        <v>43234</v>
      </c>
      <c r="C3457" s="934" t="s">
        <v>5792</v>
      </c>
      <c r="D3457" s="11" t="s">
        <v>6</v>
      </c>
      <c r="E3457" s="204" t="s">
        <v>4951</v>
      </c>
      <c r="F3457" s="934" t="s">
        <v>11544</v>
      </c>
      <c r="G3457" s="239" t="s">
        <v>492</v>
      </c>
      <c r="H3457" s="239" t="s">
        <v>3676</v>
      </c>
      <c r="I3457" s="204" t="s">
        <v>11870</v>
      </c>
      <c r="J3457" s="239" t="s">
        <v>494</v>
      </c>
      <c r="K3457" s="239" t="s">
        <v>495</v>
      </c>
      <c r="L3457" s="204"/>
      <c r="M3457" s="204">
        <v>4</v>
      </c>
      <c r="N3457" s="204">
        <v>1</v>
      </c>
      <c r="O3457" s="204">
        <v>10</v>
      </c>
      <c r="P3457" s="204">
        <v>0</v>
      </c>
      <c r="Q3457" s="572">
        <v>6</v>
      </c>
      <c r="R3457" s="1209">
        <v>89.3</v>
      </c>
      <c r="S3457" s="1209">
        <f t="shared" si="205"/>
        <v>893</v>
      </c>
      <c r="T3457" s="204" t="s">
        <v>3961</v>
      </c>
      <c r="U3457" s="1901" t="s">
        <v>9486</v>
      </c>
      <c r="V3457" s="572" t="s">
        <v>12095</v>
      </c>
      <c r="W3457" s="681" t="s">
        <v>12218</v>
      </c>
      <c r="X3457" s="18"/>
      <c r="Y3457" s="4"/>
      <c r="Z3457" s="4"/>
    </row>
    <row r="3458" spans="1:26" ht="14.1" hidden="1">
      <c r="A3458" s="20">
        <f t="shared" si="195"/>
        <v>3465</v>
      </c>
      <c r="B3458" s="1063">
        <v>43235</v>
      </c>
      <c r="C3458" s="934" t="s">
        <v>12219</v>
      </c>
      <c r="D3458" s="11" t="s">
        <v>6</v>
      </c>
      <c r="E3458" s="204" t="s">
        <v>4951</v>
      </c>
      <c r="F3458" s="934" t="s">
        <v>11544</v>
      </c>
      <c r="G3458" s="606" t="s">
        <v>12220</v>
      </c>
      <c r="H3458" s="744" t="s">
        <v>12221</v>
      </c>
      <c r="I3458" s="204" t="s">
        <v>39</v>
      </c>
      <c r="J3458" s="239" t="s">
        <v>8299</v>
      </c>
      <c r="K3458" s="239" t="s">
        <v>8300</v>
      </c>
      <c r="L3458" s="204"/>
      <c r="M3458" s="204">
        <v>2</v>
      </c>
      <c r="N3458" s="204">
        <v>100</v>
      </c>
      <c r="O3458" s="204">
        <v>100</v>
      </c>
      <c r="P3458" s="204">
        <v>0</v>
      </c>
      <c r="Q3458" s="572">
        <v>98</v>
      </c>
      <c r="R3458" s="1209">
        <v>7.06</v>
      </c>
      <c r="S3458" s="1209">
        <f t="shared" si="205"/>
        <v>706</v>
      </c>
      <c r="T3458" s="204" t="s">
        <v>3961</v>
      </c>
      <c r="U3458" s="1901" t="s">
        <v>9486</v>
      </c>
      <c r="V3458" s="572" t="s">
        <v>12095</v>
      </c>
      <c r="W3458" s="681" t="s">
        <v>12218</v>
      </c>
      <c r="X3458" s="18"/>
      <c r="Y3458" s="4"/>
      <c r="Z3458" s="4"/>
    </row>
    <row r="3459" spans="1:26" ht="18" hidden="1">
      <c r="A3459" s="20">
        <f t="shared" si="195"/>
        <v>3466</v>
      </c>
      <c r="B3459" s="1063">
        <v>43236</v>
      </c>
      <c r="C3459" s="934" t="s">
        <v>12222</v>
      </c>
      <c r="D3459" s="11" t="s">
        <v>6</v>
      </c>
      <c r="E3459" s="204" t="s">
        <v>4951</v>
      </c>
      <c r="F3459" s="934" t="s">
        <v>11544</v>
      </c>
      <c r="G3459" s="239" t="s">
        <v>12223</v>
      </c>
      <c r="H3459" s="745" t="s">
        <v>1216</v>
      </c>
      <c r="I3459" s="204" t="s">
        <v>11870</v>
      </c>
      <c r="J3459" s="239" t="s">
        <v>12224</v>
      </c>
      <c r="K3459" s="20" t="s">
        <v>12225</v>
      </c>
      <c r="L3459" s="204"/>
      <c r="M3459" s="204">
        <v>2</v>
      </c>
      <c r="N3459" s="204">
        <v>1</v>
      </c>
      <c r="O3459" s="204">
        <v>3</v>
      </c>
      <c r="P3459" s="204">
        <v>0</v>
      </c>
      <c r="Q3459" s="572">
        <v>1</v>
      </c>
      <c r="R3459" s="1209">
        <v>189</v>
      </c>
      <c r="S3459" s="1209">
        <f t="shared" si="205"/>
        <v>567</v>
      </c>
      <c r="T3459" s="204" t="s">
        <v>3961</v>
      </c>
      <c r="U3459" s="1901" t="s">
        <v>9486</v>
      </c>
      <c r="V3459" s="572" t="s">
        <v>12095</v>
      </c>
      <c r="W3459" s="2128" t="s">
        <v>12226</v>
      </c>
      <c r="X3459" s="18"/>
      <c r="Y3459" s="4"/>
      <c r="Z3459" s="4"/>
    </row>
    <row r="3460" spans="1:26" ht="14.1" hidden="1">
      <c r="A3460" s="200">
        <f t="shared" si="195"/>
        <v>3467</v>
      </c>
      <c r="B3460" s="1063">
        <v>43237</v>
      </c>
      <c r="C3460" s="970" t="s">
        <v>12227</v>
      </c>
      <c r="D3460" s="288" t="s">
        <v>6</v>
      </c>
      <c r="E3460" s="717" t="s">
        <v>12228</v>
      </c>
      <c r="F3460" s="970" t="s">
        <v>12229</v>
      </c>
      <c r="G3460" s="717" t="s">
        <v>12230</v>
      </c>
      <c r="H3460" s="717" t="s">
        <v>12231</v>
      </c>
      <c r="I3460" s="717" t="s">
        <v>12232</v>
      </c>
      <c r="J3460" s="717" t="s">
        <v>12233</v>
      </c>
      <c r="K3460" s="717" t="s">
        <v>12234</v>
      </c>
      <c r="L3460" s="717"/>
      <c r="M3460" s="717">
        <v>1</v>
      </c>
      <c r="N3460" s="717">
        <v>1</v>
      </c>
      <c r="O3460" s="717">
        <v>1</v>
      </c>
      <c r="P3460" s="717">
        <v>0</v>
      </c>
      <c r="Q3460" s="718">
        <v>0</v>
      </c>
      <c r="R3460" s="1234">
        <v>100000</v>
      </c>
      <c r="S3460" s="1234">
        <v>114400</v>
      </c>
      <c r="T3460" s="717" t="s">
        <v>311</v>
      </c>
      <c r="U3460" s="1927" t="s">
        <v>311</v>
      </c>
      <c r="V3460" s="718" t="s">
        <v>12235</v>
      </c>
      <c r="W3460" s="2106" t="s">
        <v>12236</v>
      </c>
      <c r="X3460" s="56"/>
      <c r="Y3460" s="57"/>
      <c r="Z3460" s="57"/>
    </row>
    <row r="3461" spans="1:26" ht="14.1" hidden="1">
      <c r="A3461" s="20">
        <f t="shared" si="195"/>
        <v>3468</v>
      </c>
      <c r="B3461" s="1063">
        <v>43238</v>
      </c>
      <c r="C3461" s="934" t="s">
        <v>12237</v>
      </c>
      <c r="D3461" s="11" t="s">
        <v>6</v>
      </c>
      <c r="E3461" s="204" t="s">
        <v>7956</v>
      </c>
      <c r="F3461" s="934" t="s">
        <v>2143</v>
      </c>
      <c r="G3461" s="204" t="s">
        <v>12238</v>
      </c>
      <c r="H3461" s="204" t="s">
        <v>7663</v>
      </c>
      <c r="I3461" s="204" t="s">
        <v>1063</v>
      </c>
      <c r="J3461" s="204" t="s">
        <v>12239</v>
      </c>
      <c r="K3461" s="204"/>
      <c r="L3461" s="204"/>
      <c r="M3461" s="204">
        <v>5</v>
      </c>
      <c r="N3461" s="204">
        <v>1</v>
      </c>
      <c r="O3461" s="204">
        <v>5</v>
      </c>
      <c r="P3461" s="204">
        <v>0</v>
      </c>
      <c r="Q3461" s="572">
        <v>5</v>
      </c>
      <c r="R3461" s="1209">
        <v>600</v>
      </c>
      <c r="S3461" s="1209">
        <f t="shared" ref="S3461:S3462" si="206">R3461*O3461</f>
        <v>3000</v>
      </c>
      <c r="T3461" s="204" t="s">
        <v>5448</v>
      </c>
      <c r="U3461" s="1901" t="s">
        <v>118</v>
      </c>
      <c r="V3461" s="572" t="s">
        <v>3140</v>
      </c>
      <c r="W3461" s="681" t="s">
        <v>12240</v>
      </c>
      <c r="X3461" s="18"/>
      <c r="Y3461" s="4"/>
      <c r="Z3461" s="4"/>
    </row>
    <row r="3462" spans="1:26" ht="14.1" hidden="1">
      <c r="A3462" s="20">
        <f t="shared" si="195"/>
        <v>3469</v>
      </c>
      <c r="B3462" s="1063">
        <v>43239</v>
      </c>
      <c r="C3462" s="934" t="s">
        <v>12241</v>
      </c>
      <c r="D3462" s="11" t="s">
        <v>6</v>
      </c>
      <c r="E3462" s="204" t="s">
        <v>7956</v>
      </c>
      <c r="F3462" s="934" t="s">
        <v>2143</v>
      </c>
      <c r="G3462" s="204" t="s">
        <v>12242</v>
      </c>
      <c r="H3462" s="204" t="s">
        <v>7663</v>
      </c>
      <c r="I3462" s="204" t="s">
        <v>1063</v>
      </c>
      <c r="J3462" s="204" t="s">
        <v>4518</v>
      </c>
      <c r="K3462" s="204"/>
      <c r="L3462" s="204"/>
      <c r="M3462" s="204">
        <v>10</v>
      </c>
      <c r="N3462" s="204">
        <v>1</v>
      </c>
      <c r="O3462" s="204">
        <v>10</v>
      </c>
      <c r="P3462" s="204">
        <v>0</v>
      </c>
      <c r="Q3462" s="572">
        <v>10</v>
      </c>
      <c r="R3462" s="1209">
        <v>600</v>
      </c>
      <c r="S3462" s="1209">
        <f t="shared" si="206"/>
        <v>6000</v>
      </c>
      <c r="T3462" s="204" t="s">
        <v>5448</v>
      </c>
      <c r="U3462" s="1901" t="s">
        <v>118</v>
      </c>
      <c r="V3462" s="572" t="s">
        <v>3140</v>
      </c>
      <c r="W3462" s="681" t="s">
        <v>12243</v>
      </c>
      <c r="X3462" s="18"/>
      <c r="Y3462" s="4"/>
      <c r="Z3462" s="4"/>
    </row>
    <row r="3463" spans="1:26" ht="14.1" hidden="1">
      <c r="A3463" s="20">
        <f t="shared" si="195"/>
        <v>3470</v>
      </c>
      <c r="B3463" s="1063">
        <v>43240</v>
      </c>
      <c r="C3463" s="934" t="s">
        <v>12244</v>
      </c>
      <c r="D3463" s="11"/>
      <c r="E3463" s="204" t="s">
        <v>7498</v>
      </c>
      <c r="F3463" s="934" t="s">
        <v>10005</v>
      </c>
      <c r="G3463" s="204" t="s">
        <v>12244</v>
      </c>
      <c r="H3463" s="204" t="s">
        <v>12245</v>
      </c>
      <c r="I3463" s="204" t="s">
        <v>84</v>
      </c>
      <c r="J3463" s="204" t="s">
        <v>12246</v>
      </c>
      <c r="K3463" s="204" t="s">
        <v>12247</v>
      </c>
      <c r="L3463" s="204" t="s">
        <v>149</v>
      </c>
      <c r="M3463" s="204">
        <v>2</v>
      </c>
      <c r="N3463" s="204">
        <v>2</v>
      </c>
      <c r="O3463" s="204">
        <v>2</v>
      </c>
      <c r="P3463" s="204">
        <v>0</v>
      </c>
      <c r="Q3463" s="572">
        <v>0</v>
      </c>
      <c r="R3463" s="1209">
        <v>269</v>
      </c>
      <c r="S3463" s="1209">
        <v>538</v>
      </c>
      <c r="T3463" s="26" t="s">
        <v>4220</v>
      </c>
      <c r="U3463" s="1901" t="s">
        <v>11992</v>
      </c>
      <c r="V3463" s="26" t="s">
        <v>689</v>
      </c>
      <c r="W3463" s="681" t="s">
        <v>12248</v>
      </c>
      <c r="X3463" s="18"/>
      <c r="Y3463" s="4"/>
      <c r="Z3463" s="4"/>
    </row>
    <row r="3464" spans="1:26" ht="14.1" hidden="1">
      <c r="A3464" s="20">
        <f t="shared" si="195"/>
        <v>3471</v>
      </c>
      <c r="B3464" s="1063">
        <v>43241</v>
      </c>
      <c r="C3464" s="934" t="s">
        <v>3803</v>
      </c>
      <c r="D3464" s="11" t="s">
        <v>6</v>
      </c>
      <c r="E3464" s="204" t="s">
        <v>7498</v>
      </c>
      <c r="F3464" s="934" t="s">
        <v>11441</v>
      </c>
      <c r="G3464" s="437" t="s">
        <v>12249</v>
      </c>
      <c r="H3464" s="746" t="s">
        <v>1715</v>
      </c>
      <c r="I3464" s="204" t="s">
        <v>1144</v>
      </c>
      <c r="J3464" s="204" t="s">
        <v>4714</v>
      </c>
      <c r="K3464" s="204" t="s">
        <v>4715</v>
      </c>
      <c r="L3464" s="204" t="s">
        <v>12250</v>
      </c>
      <c r="M3464" s="204">
        <v>2</v>
      </c>
      <c r="N3464" s="204">
        <v>1</v>
      </c>
      <c r="O3464" s="204">
        <v>5</v>
      </c>
      <c r="P3464" s="204">
        <v>0</v>
      </c>
      <c r="Q3464" s="572">
        <v>5</v>
      </c>
      <c r="R3464" s="1209">
        <v>469</v>
      </c>
      <c r="S3464" s="1209">
        <v>2345</v>
      </c>
      <c r="T3464" s="204" t="s">
        <v>3961</v>
      </c>
      <c r="U3464" s="1901" t="s">
        <v>12094</v>
      </c>
      <c r="V3464" s="572" t="s">
        <v>12095</v>
      </c>
      <c r="W3464" s="681" t="s">
        <v>4716</v>
      </c>
      <c r="X3464" s="18"/>
      <c r="Y3464" s="4"/>
      <c r="Z3464" s="4"/>
    </row>
    <row r="3465" spans="1:26" ht="14.1" hidden="1">
      <c r="A3465" s="20">
        <f t="shared" si="195"/>
        <v>3472</v>
      </c>
      <c r="B3465" s="1063">
        <v>43242</v>
      </c>
      <c r="C3465" s="934" t="s">
        <v>12251</v>
      </c>
      <c r="D3465" s="11" t="s">
        <v>6</v>
      </c>
      <c r="E3465" s="204" t="s">
        <v>7498</v>
      </c>
      <c r="F3465" s="934" t="s">
        <v>11441</v>
      </c>
      <c r="G3465" s="438" t="s">
        <v>12252</v>
      </c>
      <c r="H3465" s="204" t="s">
        <v>598</v>
      </c>
      <c r="I3465" s="204" t="s">
        <v>12253</v>
      </c>
      <c r="J3465" s="204" t="s">
        <v>5291</v>
      </c>
      <c r="K3465" s="439" t="s">
        <v>1991</v>
      </c>
      <c r="L3465" s="204" t="s">
        <v>149</v>
      </c>
      <c r="M3465" s="204">
        <v>8</v>
      </c>
      <c r="N3465" s="204">
        <v>10</v>
      </c>
      <c r="O3465" s="204">
        <v>10</v>
      </c>
      <c r="P3465" s="204">
        <v>0</v>
      </c>
      <c r="Q3465" s="572">
        <v>10</v>
      </c>
      <c r="R3465" s="1209">
        <v>21</v>
      </c>
      <c r="S3465" s="1209">
        <f t="shared" ref="S3465:S3468" si="207">R3465*O3465</f>
        <v>210</v>
      </c>
      <c r="T3465" s="204" t="s">
        <v>3961</v>
      </c>
      <c r="U3465" s="1901" t="s">
        <v>12094</v>
      </c>
      <c r="V3465" s="572" t="s">
        <v>12095</v>
      </c>
      <c r="W3465" s="681" t="s">
        <v>5292</v>
      </c>
      <c r="X3465" s="18"/>
      <c r="Y3465" s="4"/>
      <c r="Z3465" s="4"/>
    </row>
    <row r="3466" spans="1:26" ht="43.5" hidden="1">
      <c r="A3466" s="20">
        <f t="shared" si="195"/>
        <v>3473</v>
      </c>
      <c r="B3466" s="1063">
        <v>43243</v>
      </c>
      <c r="C3466" s="976" t="s">
        <v>11468</v>
      </c>
      <c r="D3466" s="11" t="s">
        <v>6</v>
      </c>
      <c r="E3466" s="204" t="s">
        <v>7498</v>
      </c>
      <c r="F3466" s="975" t="s">
        <v>11441</v>
      </c>
      <c r="G3466" s="381" t="s">
        <v>11469</v>
      </c>
      <c r="H3466" s="381" t="s">
        <v>1715</v>
      </c>
      <c r="I3466" s="382" t="s">
        <v>574</v>
      </c>
      <c r="J3466" s="405" t="s">
        <v>11470</v>
      </c>
      <c r="K3466" s="406" t="s">
        <v>11471</v>
      </c>
      <c r="L3466" s="440" t="s">
        <v>149</v>
      </c>
      <c r="M3466" s="407">
        <v>4</v>
      </c>
      <c r="N3466" s="407">
        <v>1</v>
      </c>
      <c r="O3466" s="407">
        <v>5</v>
      </c>
      <c r="P3466" s="407">
        <v>2</v>
      </c>
      <c r="Q3466" s="196">
        <v>7</v>
      </c>
      <c r="R3466" s="1310">
        <v>119</v>
      </c>
      <c r="S3466" s="1209">
        <f t="shared" si="207"/>
        <v>595</v>
      </c>
      <c r="T3466" s="204" t="s">
        <v>3961</v>
      </c>
      <c r="U3466" s="1901" t="s">
        <v>12094</v>
      </c>
      <c r="V3466" s="572" t="s">
        <v>12095</v>
      </c>
      <c r="W3466" s="2122" t="s">
        <v>11472</v>
      </c>
      <c r="X3466" s="18"/>
      <c r="Y3466" s="4"/>
      <c r="Z3466" s="4"/>
    </row>
    <row r="3467" spans="1:26" ht="14.1" hidden="1">
      <c r="A3467" s="20">
        <f t="shared" si="195"/>
        <v>3474</v>
      </c>
      <c r="B3467" s="1063">
        <v>43244</v>
      </c>
      <c r="C3467" s="934" t="s">
        <v>12219</v>
      </c>
      <c r="D3467" s="278"/>
      <c r="E3467" s="204" t="s">
        <v>7498</v>
      </c>
      <c r="F3467" s="934" t="s">
        <v>11544</v>
      </c>
      <c r="G3467" s="559" t="s">
        <v>12254</v>
      </c>
      <c r="H3467" s="310" t="s">
        <v>154</v>
      </c>
      <c r="I3467" s="204" t="s">
        <v>39</v>
      </c>
      <c r="J3467" s="588" t="s">
        <v>12255</v>
      </c>
      <c r="K3467" s="588" t="s">
        <v>12256</v>
      </c>
      <c r="L3467" s="204"/>
      <c r="M3467" s="204">
        <v>2</v>
      </c>
      <c r="N3467" s="204">
        <v>50</v>
      </c>
      <c r="O3467" s="204">
        <v>50</v>
      </c>
      <c r="P3467" s="204">
        <v>0</v>
      </c>
      <c r="Q3467" s="572">
        <v>48</v>
      </c>
      <c r="R3467" s="1209">
        <v>6.86</v>
      </c>
      <c r="S3467" s="1209">
        <f t="shared" si="207"/>
        <v>343</v>
      </c>
      <c r="T3467" s="204" t="s">
        <v>3961</v>
      </c>
      <c r="U3467" s="1901" t="s">
        <v>9486</v>
      </c>
      <c r="V3467" s="572" t="s">
        <v>12095</v>
      </c>
      <c r="W3467" s="2127" t="s">
        <v>12257</v>
      </c>
      <c r="X3467" s="18"/>
      <c r="Y3467" s="4"/>
      <c r="Z3467" s="4"/>
    </row>
    <row r="3468" spans="1:26" ht="14.1" hidden="1">
      <c r="A3468" s="20">
        <f t="shared" si="195"/>
        <v>3475</v>
      </c>
      <c r="B3468" s="1063">
        <v>43245</v>
      </c>
      <c r="C3468" s="934" t="s">
        <v>12258</v>
      </c>
      <c r="D3468" s="278"/>
      <c r="E3468" s="204" t="s">
        <v>7498</v>
      </c>
      <c r="F3468" s="934" t="s">
        <v>11544</v>
      </c>
      <c r="G3468" s="441" t="s">
        <v>12259</v>
      </c>
      <c r="H3468" s="310" t="s">
        <v>651</v>
      </c>
      <c r="I3468" s="204" t="s">
        <v>574</v>
      </c>
      <c r="J3468" s="204" t="s">
        <v>12260</v>
      </c>
      <c r="K3468" s="204" t="s">
        <v>12261</v>
      </c>
      <c r="L3468" s="204"/>
      <c r="M3468" s="204">
        <v>2</v>
      </c>
      <c r="N3468" s="204">
        <v>1</v>
      </c>
      <c r="O3468" s="204">
        <v>5</v>
      </c>
      <c r="P3468" s="204">
        <v>0</v>
      </c>
      <c r="Q3468" s="572">
        <v>3</v>
      </c>
      <c r="R3468" s="1209">
        <v>82</v>
      </c>
      <c r="S3468" s="1209">
        <f t="shared" si="207"/>
        <v>410</v>
      </c>
      <c r="T3468" s="204" t="s">
        <v>3961</v>
      </c>
      <c r="U3468" s="1901" t="s">
        <v>9486</v>
      </c>
      <c r="V3468" s="572" t="s">
        <v>12095</v>
      </c>
      <c r="W3468" s="2127" t="s">
        <v>12262</v>
      </c>
      <c r="X3468" s="18"/>
      <c r="Y3468" s="4"/>
      <c r="Z3468" s="4"/>
    </row>
    <row r="3469" spans="1:26" ht="14.1" hidden="1">
      <c r="A3469" s="20">
        <f t="shared" si="195"/>
        <v>3476</v>
      </c>
      <c r="B3469" s="1063">
        <v>43246</v>
      </c>
      <c r="C3469" s="934" t="s">
        <v>3091</v>
      </c>
      <c r="D3469" s="11"/>
      <c r="E3469" s="204" t="s">
        <v>7956</v>
      </c>
      <c r="F3469" s="934" t="s">
        <v>404</v>
      </c>
      <c r="G3469" s="204" t="s">
        <v>12263</v>
      </c>
      <c r="H3469" s="204" t="s">
        <v>12264</v>
      </c>
      <c r="I3469" s="204" t="s">
        <v>12264</v>
      </c>
      <c r="J3469" s="204" t="s">
        <v>1</v>
      </c>
      <c r="K3469" s="204" t="s">
        <v>1</v>
      </c>
      <c r="L3469" s="204" t="s">
        <v>1</v>
      </c>
      <c r="M3469" s="204">
        <v>12</v>
      </c>
      <c r="N3469" s="204">
        <v>5</v>
      </c>
      <c r="O3469" s="204">
        <v>15</v>
      </c>
      <c r="P3469" s="204">
        <v>0</v>
      </c>
      <c r="Q3469" s="572">
        <v>3</v>
      </c>
      <c r="R3469" s="1209">
        <v>12411.61</v>
      </c>
      <c r="S3469" s="1209">
        <v>12412</v>
      </c>
      <c r="T3469" s="204" t="s">
        <v>311</v>
      </c>
      <c r="U3469" s="1901" t="s">
        <v>12265</v>
      </c>
      <c r="V3469" s="572" t="s">
        <v>3187</v>
      </c>
      <c r="W3469" s="804" t="s">
        <v>12266</v>
      </c>
      <c r="X3469" s="18"/>
      <c r="Y3469" s="4"/>
      <c r="Z3469" s="4"/>
    </row>
    <row r="3470" spans="1:26" ht="14.1" hidden="1">
      <c r="A3470" s="20">
        <f t="shared" si="195"/>
        <v>3477</v>
      </c>
      <c r="B3470" s="1063">
        <v>43247</v>
      </c>
      <c r="C3470" s="934" t="s">
        <v>1846</v>
      </c>
      <c r="D3470" s="11"/>
      <c r="E3470" s="204" t="s">
        <v>7956</v>
      </c>
      <c r="F3470" s="934" t="s">
        <v>404</v>
      </c>
      <c r="G3470" s="204" t="s">
        <v>6463</v>
      </c>
      <c r="H3470" s="204" t="s">
        <v>1073</v>
      </c>
      <c r="I3470" s="204" t="s">
        <v>574</v>
      </c>
      <c r="J3470" s="204" t="s">
        <v>518</v>
      </c>
      <c r="K3470" s="204" t="s">
        <v>519</v>
      </c>
      <c r="L3470" s="204" t="s">
        <v>4799</v>
      </c>
      <c r="M3470" s="204">
        <v>24</v>
      </c>
      <c r="N3470" s="204">
        <v>1</v>
      </c>
      <c r="O3470" s="204">
        <v>25</v>
      </c>
      <c r="P3470" s="204">
        <v>0</v>
      </c>
      <c r="Q3470" s="572">
        <v>1</v>
      </c>
      <c r="R3470" s="1209">
        <v>230</v>
      </c>
      <c r="S3470" s="1209">
        <f>R3470*O3470</f>
        <v>5750</v>
      </c>
      <c r="T3470" s="204" t="s">
        <v>311</v>
      </c>
      <c r="U3470" s="1901" t="s">
        <v>12265</v>
      </c>
      <c r="V3470" s="572"/>
      <c r="W3470" s="681" t="s">
        <v>10892</v>
      </c>
      <c r="X3470" s="18"/>
      <c r="Y3470" s="4"/>
      <c r="Z3470" s="4"/>
    </row>
    <row r="3471" spans="1:26" ht="14.1" hidden="1">
      <c r="A3471" s="20">
        <f t="shared" si="195"/>
        <v>3478</v>
      </c>
      <c r="B3471" s="1063">
        <v>43248</v>
      </c>
      <c r="C3471" s="934" t="s">
        <v>12267</v>
      </c>
      <c r="D3471" s="11"/>
      <c r="E3471" s="204" t="s">
        <v>7956</v>
      </c>
      <c r="F3471" s="934" t="s">
        <v>404</v>
      </c>
      <c r="G3471" s="204" t="s">
        <v>542</v>
      </c>
      <c r="H3471" s="204" t="s">
        <v>543</v>
      </c>
      <c r="I3471" s="204" t="s">
        <v>281</v>
      </c>
      <c r="J3471" s="204" t="s">
        <v>544</v>
      </c>
      <c r="K3471" s="204" t="s">
        <v>545</v>
      </c>
      <c r="L3471" s="204"/>
      <c r="M3471" s="204">
        <v>11</v>
      </c>
      <c r="N3471" s="204">
        <v>1</v>
      </c>
      <c r="O3471" s="204">
        <v>10</v>
      </c>
      <c r="P3471" s="204">
        <v>3</v>
      </c>
      <c r="Q3471" s="572">
        <v>2</v>
      </c>
      <c r="R3471" s="1209">
        <v>1579</v>
      </c>
      <c r="S3471" s="1209">
        <v>15790</v>
      </c>
      <c r="T3471" s="204" t="s">
        <v>311</v>
      </c>
      <c r="U3471" s="1901" t="s">
        <v>12265</v>
      </c>
      <c r="V3471" s="572" t="s">
        <v>2875</v>
      </c>
      <c r="W3471" s="681" t="s">
        <v>547</v>
      </c>
      <c r="X3471" s="18"/>
      <c r="Y3471" s="4"/>
      <c r="Z3471" s="4"/>
    </row>
    <row r="3472" spans="1:26" ht="14.1" hidden="1">
      <c r="A3472" s="20">
        <f t="shared" si="195"/>
        <v>3479</v>
      </c>
      <c r="B3472" s="1063">
        <v>43249</v>
      </c>
      <c r="C3472" s="934" t="s">
        <v>1083</v>
      </c>
      <c r="D3472" s="11"/>
      <c r="E3472" s="204" t="s">
        <v>7956</v>
      </c>
      <c r="F3472" s="934" t="s">
        <v>404</v>
      </c>
      <c r="G3472" s="204" t="s">
        <v>2943</v>
      </c>
      <c r="H3472" s="204" t="s">
        <v>2944</v>
      </c>
      <c r="I3472" s="204" t="s">
        <v>281</v>
      </c>
      <c r="J3472" s="204" t="s">
        <v>2945</v>
      </c>
      <c r="K3472" s="204" t="s">
        <v>2946</v>
      </c>
      <c r="L3472" s="204"/>
      <c r="M3472" s="204">
        <v>11</v>
      </c>
      <c r="N3472" s="204">
        <v>1</v>
      </c>
      <c r="O3472" s="204">
        <v>10</v>
      </c>
      <c r="P3472" s="204">
        <v>2</v>
      </c>
      <c r="Q3472" s="572">
        <v>1</v>
      </c>
      <c r="R3472" s="1209">
        <v>358</v>
      </c>
      <c r="S3472" s="1209">
        <v>3580</v>
      </c>
      <c r="T3472" s="204" t="s">
        <v>311</v>
      </c>
      <c r="U3472" s="1901" t="s">
        <v>12265</v>
      </c>
      <c r="V3472" s="572" t="s">
        <v>2875</v>
      </c>
      <c r="W3472" s="681" t="s">
        <v>2947</v>
      </c>
      <c r="X3472" s="18"/>
      <c r="Y3472" s="4"/>
      <c r="Z3472" s="4"/>
    </row>
    <row r="3473" spans="1:26" ht="14.1" hidden="1">
      <c r="A3473" s="20">
        <f t="shared" si="195"/>
        <v>3480</v>
      </c>
      <c r="B3473" s="1063">
        <v>43250</v>
      </c>
      <c r="C3473" s="934" t="s">
        <v>2912</v>
      </c>
      <c r="D3473" s="11"/>
      <c r="E3473" s="204" t="s">
        <v>7956</v>
      </c>
      <c r="F3473" s="934" t="s">
        <v>404</v>
      </c>
      <c r="G3473" s="204" t="s">
        <v>10893</v>
      </c>
      <c r="H3473" s="204" t="s">
        <v>3293</v>
      </c>
      <c r="I3473" s="204" t="s">
        <v>574</v>
      </c>
      <c r="J3473" s="204" t="s">
        <v>10894</v>
      </c>
      <c r="K3473" s="204">
        <v>1043</v>
      </c>
      <c r="L3473" s="204" t="s">
        <v>1</v>
      </c>
      <c r="M3473" s="204">
        <v>11</v>
      </c>
      <c r="N3473" s="204">
        <v>1</v>
      </c>
      <c r="O3473" s="204">
        <v>10</v>
      </c>
      <c r="P3473" s="204">
        <v>3</v>
      </c>
      <c r="Q3473" s="572">
        <v>2</v>
      </c>
      <c r="R3473" s="1209">
        <v>329</v>
      </c>
      <c r="S3473" s="1209">
        <v>3290</v>
      </c>
      <c r="T3473" s="204" t="s">
        <v>422</v>
      </c>
      <c r="U3473" s="1901" t="s">
        <v>12265</v>
      </c>
      <c r="V3473" s="572" t="s">
        <v>2875</v>
      </c>
      <c r="W3473" s="681" t="s">
        <v>10895</v>
      </c>
      <c r="X3473" s="18"/>
      <c r="Y3473" s="4"/>
      <c r="Z3473" s="4"/>
    </row>
    <row r="3474" spans="1:26" ht="14.1" hidden="1">
      <c r="A3474" s="20">
        <f t="shared" si="195"/>
        <v>3481</v>
      </c>
      <c r="B3474" s="1063">
        <v>43251</v>
      </c>
      <c r="C3474" s="934" t="s">
        <v>10886</v>
      </c>
      <c r="D3474" s="11"/>
      <c r="E3474" s="204" t="s">
        <v>7956</v>
      </c>
      <c r="F3474" s="934" t="s">
        <v>404</v>
      </c>
      <c r="G3474" s="204" t="s">
        <v>12268</v>
      </c>
      <c r="H3474" s="204" t="s">
        <v>1073</v>
      </c>
      <c r="I3474" s="204" t="s">
        <v>574</v>
      </c>
      <c r="J3474" s="204" t="s">
        <v>12269</v>
      </c>
      <c r="K3474" s="204" t="s">
        <v>12270</v>
      </c>
      <c r="L3474" s="204" t="s">
        <v>12271</v>
      </c>
      <c r="M3474" s="204">
        <v>11</v>
      </c>
      <c r="N3474" s="204">
        <v>1</v>
      </c>
      <c r="O3474" s="204">
        <v>12</v>
      </c>
      <c r="P3474" s="204">
        <v>0</v>
      </c>
      <c r="Q3474" s="572">
        <v>1</v>
      </c>
      <c r="R3474" s="1209">
        <v>1625</v>
      </c>
      <c r="S3474" s="1209">
        <v>19500</v>
      </c>
      <c r="T3474" s="204" t="s">
        <v>422</v>
      </c>
      <c r="U3474" s="1901" t="s">
        <v>12265</v>
      </c>
      <c r="V3474" s="572" t="s">
        <v>2875</v>
      </c>
      <c r="W3474" s="681" t="s">
        <v>12272</v>
      </c>
      <c r="X3474" s="18"/>
      <c r="Y3474" s="4"/>
      <c r="Z3474" s="4"/>
    </row>
    <row r="3475" spans="1:26" ht="14.1" hidden="1">
      <c r="A3475" s="20">
        <f t="shared" si="195"/>
        <v>3482</v>
      </c>
      <c r="B3475" s="1063">
        <v>43252</v>
      </c>
      <c r="C3475" s="934" t="s">
        <v>6465</v>
      </c>
      <c r="D3475" s="11"/>
      <c r="E3475" s="204" t="s">
        <v>7956</v>
      </c>
      <c r="F3475" s="934" t="s">
        <v>404</v>
      </c>
      <c r="G3475" s="204" t="s">
        <v>10921</v>
      </c>
      <c r="H3475" s="204" t="s">
        <v>460</v>
      </c>
      <c r="I3475" s="204" t="s">
        <v>574</v>
      </c>
      <c r="J3475" s="204" t="s">
        <v>10922</v>
      </c>
      <c r="K3475" s="204" t="s">
        <v>10923</v>
      </c>
      <c r="L3475" s="204"/>
      <c r="M3475" s="204">
        <v>11</v>
      </c>
      <c r="N3475" s="204">
        <v>1</v>
      </c>
      <c r="O3475" s="204">
        <v>12</v>
      </c>
      <c r="P3475" s="204">
        <v>0</v>
      </c>
      <c r="Q3475" s="572">
        <v>1</v>
      </c>
      <c r="R3475" s="1209">
        <v>178</v>
      </c>
      <c r="S3475" s="1209">
        <v>2136</v>
      </c>
      <c r="T3475" s="204" t="s">
        <v>422</v>
      </c>
      <c r="U3475" s="1901" t="s">
        <v>12265</v>
      </c>
      <c r="V3475" s="572" t="s">
        <v>2875</v>
      </c>
      <c r="W3475" s="681" t="s">
        <v>10924</v>
      </c>
      <c r="X3475" s="18"/>
      <c r="Y3475" s="4"/>
      <c r="Z3475" s="4"/>
    </row>
    <row r="3476" spans="1:26" ht="14.1" hidden="1">
      <c r="A3476" s="20">
        <f t="shared" si="195"/>
        <v>3483</v>
      </c>
      <c r="B3476" s="1063">
        <v>43253</v>
      </c>
      <c r="C3476" s="934" t="s">
        <v>12273</v>
      </c>
      <c r="D3476" s="11"/>
      <c r="E3476" s="204" t="s">
        <v>7956</v>
      </c>
      <c r="F3476" s="934" t="s">
        <v>404</v>
      </c>
      <c r="G3476" s="204" t="s">
        <v>12274</v>
      </c>
      <c r="H3476" s="204" t="s">
        <v>1715</v>
      </c>
      <c r="I3476" s="204" t="s">
        <v>574</v>
      </c>
      <c r="J3476" s="204" t="s">
        <v>12275</v>
      </c>
      <c r="K3476" s="204" t="s">
        <v>12276</v>
      </c>
      <c r="L3476" s="204" t="s">
        <v>10941</v>
      </c>
      <c r="M3476" s="204">
        <v>11</v>
      </c>
      <c r="N3476" s="204">
        <v>1</v>
      </c>
      <c r="O3476" s="204">
        <v>9</v>
      </c>
      <c r="P3476" s="204">
        <v>2</v>
      </c>
      <c r="Q3476" s="572">
        <v>0</v>
      </c>
      <c r="R3476" s="1209">
        <v>465</v>
      </c>
      <c r="S3476" s="1209">
        <v>4185</v>
      </c>
      <c r="T3476" s="204" t="s">
        <v>422</v>
      </c>
      <c r="U3476" s="1901" t="s">
        <v>12265</v>
      </c>
      <c r="V3476" s="572" t="s">
        <v>2875</v>
      </c>
      <c r="W3476" s="681" t="s">
        <v>12277</v>
      </c>
      <c r="X3476" s="18"/>
      <c r="Y3476" s="4"/>
      <c r="Z3476" s="4"/>
    </row>
    <row r="3477" spans="1:26" ht="14.1" hidden="1">
      <c r="A3477" s="20">
        <f t="shared" si="195"/>
        <v>3484</v>
      </c>
      <c r="B3477" s="1063">
        <v>43254</v>
      </c>
      <c r="C3477" s="934" t="s">
        <v>10949</v>
      </c>
      <c r="D3477" s="11"/>
      <c r="E3477" s="204" t="s">
        <v>7956</v>
      </c>
      <c r="F3477" s="934" t="s">
        <v>404</v>
      </c>
      <c r="G3477" s="204" t="s">
        <v>12278</v>
      </c>
      <c r="H3477" s="204" t="s">
        <v>3612</v>
      </c>
      <c r="I3477" s="204" t="s">
        <v>574</v>
      </c>
      <c r="J3477" s="204" t="s">
        <v>10951</v>
      </c>
      <c r="K3477" s="204" t="s">
        <v>10952</v>
      </c>
      <c r="L3477" s="204"/>
      <c r="M3477" s="204">
        <v>99</v>
      </c>
      <c r="N3477" s="204">
        <v>1</v>
      </c>
      <c r="O3477" s="204">
        <v>100</v>
      </c>
      <c r="P3477" s="204">
        <v>0</v>
      </c>
      <c r="Q3477" s="572">
        <v>1</v>
      </c>
      <c r="R3477" s="1209">
        <v>45.42</v>
      </c>
      <c r="S3477" s="1209">
        <v>4542</v>
      </c>
      <c r="T3477" s="204" t="s">
        <v>422</v>
      </c>
      <c r="U3477" s="1901" t="s">
        <v>12265</v>
      </c>
      <c r="V3477" s="572" t="s">
        <v>2875</v>
      </c>
      <c r="W3477" s="681" t="s">
        <v>10953</v>
      </c>
      <c r="X3477" s="18"/>
      <c r="Y3477" s="4"/>
      <c r="Z3477" s="4"/>
    </row>
    <row r="3478" spans="1:26" ht="14.1" hidden="1">
      <c r="A3478" s="20">
        <f t="shared" si="195"/>
        <v>3485</v>
      </c>
      <c r="B3478" s="1063">
        <v>43255</v>
      </c>
      <c r="C3478" s="934" t="s">
        <v>10954</v>
      </c>
      <c r="D3478" s="11"/>
      <c r="E3478" s="204" t="s">
        <v>7956</v>
      </c>
      <c r="F3478" s="934" t="s">
        <v>404</v>
      </c>
      <c r="G3478" s="204" t="s">
        <v>12279</v>
      </c>
      <c r="H3478" s="204" t="s">
        <v>3612</v>
      </c>
      <c r="I3478" s="204" t="s">
        <v>574</v>
      </c>
      <c r="J3478" s="204" t="s">
        <v>10956</v>
      </c>
      <c r="K3478" s="204" t="s">
        <v>10957</v>
      </c>
      <c r="L3478" s="204"/>
      <c r="M3478" s="204">
        <v>33</v>
      </c>
      <c r="N3478" s="204">
        <v>1</v>
      </c>
      <c r="O3478" s="204">
        <v>28</v>
      </c>
      <c r="P3478" s="204">
        <v>7</v>
      </c>
      <c r="Q3478" s="572">
        <v>2</v>
      </c>
      <c r="R3478" s="1209">
        <v>63.2</v>
      </c>
      <c r="S3478" s="1209">
        <v>1769.6</v>
      </c>
      <c r="T3478" s="204" t="s">
        <v>422</v>
      </c>
      <c r="U3478" s="1901" t="s">
        <v>12265</v>
      </c>
      <c r="V3478" s="572" t="s">
        <v>2875</v>
      </c>
      <c r="W3478" s="681" t="s">
        <v>10958</v>
      </c>
      <c r="X3478" s="18"/>
      <c r="Y3478" s="4"/>
      <c r="Z3478" s="4"/>
    </row>
    <row r="3479" spans="1:26" ht="14.1" hidden="1">
      <c r="A3479" s="20">
        <f t="shared" si="195"/>
        <v>3486</v>
      </c>
      <c r="B3479" s="1063">
        <v>43256</v>
      </c>
      <c r="C3479" s="934" t="s">
        <v>329</v>
      </c>
      <c r="D3479" s="11"/>
      <c r="E3479" s="204" t="s">
        <v>7956</v>
      </c>
      <c r="F3479" s="934" t="s">
        <v>404</v>
      </c>
      <c r="G3479" s="204" t="s">
        <v>12280</v>
      </c>
      <c r="H3479" s="204" t="s">
        <v>1653</v>
      </c>
      <c r="I3479" s="204" t="s">
        <v>574</v>
      </c>
      <c r="J3479" s="204" t="s">
        <v>12281</v>
      </c>
      <c r="K3479" s="204" t="s">
        <v>12282</v>
      </c>
      <c r="L3479" s="204">
        <v>805</v>
      </c>
      <c r="M3479" s="204">
        <v>11</v>
      </c>
      <c r="N3479" s="204">
        <v>1</v>
      </c>
      <c r="O3479" s="204">
        <v>15</v>
      </c>
      <c r="P3479" s="204">
        <v>0</v>
      </c>
      <c r="Q3479" s="572">
        <v>4</v>
      </c>
      <c r="R3479" s="1209">
        <v>15.1</v>
      </c>
      <c r="S3479" s="1209">
        <v>151</v>
      </c>
      <c r="T3479" s="204" t="s">
        <v>422</v>
      </c>
      <c r="U3479" s="1901" t="s">
        <v>12265</v>
      </c>
      <c r="V3479" s="572" t="s">
        <v>2875</v>
      </c>
      <c r="W3479" s="681" t="s">
        <v>12283</v>
      </c>
      <c r="X3479" s="18"/>
      <c r="Y3479" s="4"/>
      <c r="Z3479" s="4"/>
    </row>
    <row r="3480" spans="1:26" ht="14.1" hidden="1">
      <c r="A3480" s="20">
        <f t="shared" si="195"/>
        <v>3487</v>
      </c>
      <c r="B3480" s="1063">
        <v>43257</v>
      </c>
      <c r="C3480" s="934" t="s">
        <v>2918</v>
      </c>
      <c r="D3480" s="11"/>
      <c r="E3480" s="204" t="s">
        <v>7956</v>
      </c>
      <c r="F3480" s="934" t="s">
        <v>404</v>
      </c>
      <c r="G3480" s="204" t="s">
        <v>12284</v>
      </c>
      <c r="H3480" s="204" t="s">
        <v>2920</v>
      </c>
      <c r="I3480" s="204" t="s">
        <v>574</v>
      </c>
      <c r="J3480" s="204" t="s">
        <v>2921</v>
      </c>
      <c r="K3480" s="204">
        <v>3295</v>
      </c>
      <c r="L3480" s="204"/>
      <c r="M3480" s="204">
        <v>11</v>
      </c>
      <c r="N3480" s="204">
        <v>1</v>
      </c>
      <c r="O3480" s="204">
        <v>11</v>
      </c>
      <c r="P3480" s="204">
        <v>1</v>
      </c>
      <c r="Q3480" s="572">
        <v>1</v>
      </c>
      <c r="R3480" s="1209">
        <v>549</v>
      </c>
      <c r="S3480" s="1209">
        <v>5490</v>
      </c>
      <c r="T3480" s="204" t="s">
        <v>422</v>
      </c>
      <c r="U3480" s="1901" t="s">
        <v>12265</v>
      </c>
      <c r="V3480" s="572" t="s">
        <v>2875</v>
      </c>
      <c r="W3480" s="681" t="s">
        <v>12285</v>
      </c>
      <c r="X3480" s="18"/>
      <c r="Y3480" s="4"/>
      <c r="Z3480" s="4"/>
    </row>
    <row r="3481" spans="1:26" ht="14.1" hidden="1">
      <c r="A3481" s="20">
        <f t="shared" si="195"/>
        <v>3488</v>
      </c>
      <c r="B3481" s="1063">
        <v>43258</v>
      </c>
      <c r="C3481" s="934" t="s">
        <v>12286</v>
      </c>
      <c r="D3481" s="11"/>
      <c r="E3481" s="204" t="s">
        <v>7956</v>
      </c>
      <c r="F3481" s="934" t="s">
        <v>404</v>
      </c>
      <c r="G3481" s="204" t="s">
        <v>12287</v>
      </c>
      <c r="H3481" s="204" t="s">
        <v>3394</v>
      </c>
      <c r="I3481" s="204" t="s">
        <v>574</v>
      </c>
      <c r="J3481" s="204" t="s">
        <v>12288</v>
      </c>
      <c r="K3481" s="204" t="s">
        <v>12289</v>
      </c>
      <c r="L3481" s="204"/>
      <c r="M3481" s="204">
        <v>1</v>
      </c>
      <c r="N3481" s="204">
        <v>1</v>
      </c>
      <c r="O3481" s="204">
        <v>1</v>
      </c>
      <c r="P3481" s="204">
        <v>0</v>
      </c>
      <c r="Q3481" s="572">
        <v>0</v>
      </c>
      <c r="R3481" s="1209">
        <v>1435</v>
      </c>
      <c r="S3481" s="1209">
        <v>1435</v>
      </c>
      <c r="T3481" s="204" t="s">
        <v>422</v>
      </c>
      <c r="U3481" s="1901" t="s">
        <v>12265</v>
      </c>
      <c r="V3481" s="572" t="s">
        <v>2875</v>
      </c>
      <c r="W3481" s="681" t="s">
        <v>12290</v>
      </c>
      <c r="X3481" s="18"/>
      <c r="Y3481" s="4"/>
      <c r="Z3481" s="4"/>
    </row>
    <row r="3482" spans="1:26" ht="14.1" hidden="1">
      <c r="A3482" s="20">
        <f t="shared" si="195"/>
        <v>3489</v>
      </c>
      <c r="B3482" s="1063">
        <v>43259</v>
      </c>
      <c r="C3482" s="934" t="s">
        <v>12291</v>
      </c>
      <c r="D3482" s="11"/>
      <c r="E3482" s="204" t="s">
        <v>7956</v>
      </c>
      <c r="F3482" s="934" t="s">
        <v>404</v>
      </c>
      <c r="G3482" s="204" t="s">
        <v>12292</v>
      </c>
      <c r="H3482" s="204" t="s">
        <v>12293</v>
      </c>
      <c r="I3482" s="204" t="s">
        <v>574</v>
      </c>
      <c r="J3482" s="204" t="s">
        <v>12294</v>
      </c>
      <c r="K3482" s="204" t="s">
        <v>12295</v>
      </c>
      <c r="L3482" s="204"/>
      <c r="M3482" s="204">
        <v>1</v>
      </c>
      <c r="N3482" s="204">
        <v>1</v>
      </c>
      <c r="O3482" s="204">
        <v>1</v>
      </c>
      <c r="P3482" s="204">
        <v>0</v>
      </c>
      <c r="Q3482" s="572">
        <v>0</v>
      </c>
      <c r="R3482" s="1209">
        <v>1681</v>
      </c>
      <c r="S3482" s="1209">
        <v>1681</v>
      </c>
      <c r="T3482" s="204" t="s">
        <v>422</v>
      </c>
      <c r="U3482" s="1901" t="s">
        <v>12265</v>
      </c>
      <c r="V3482" s="572" t="s">
        <v>2875</v>
      </c>
      <c r="W3482" s="681" t="s">
        <v>12296</v>
      </c>
      <c r="X3482" s="18"/>
      <c r="Y3482" s="4"/>
      <c r="Z3482" s="4"/>
    </row>
    <row r="3483" spans="1:26" ht="14.1" hidden="1">
      <c r="A3483" s="20">
        <f t="shared" si="195"/>
        <v>3490</v>
      </c>
      <c r="B3483" s="1063">
        <v>43260</v>
      </c>
      <c r="C3483" s="934" t="s">
        <v>1058</v>
      </c>
      <c r="D3483" s="11"/>
      <c r="E3483" s="204" t="s">
        <v>7956</v>
      </c>
      <c r="F3483" s="934" t="s">
        <v>404</v>
      </c>
      <c r="G3483" s="204" t="s">
        <v>9342</v>
      </c>
      <c r="H3483" s="204" t="s">
        <v>2944</v>
      </c>
      <c r="I3483" s="204" t="s">
        <v>574</v>
      </c>
      <c r="J3483" s="204" t="s">
        <v>9343</v>
      </c>
      <c r="K3483" s="204" t="s">
        <v>9344</v>
      </c>
      <c r="L3483" s="204"/>
      <c r="M3483" s="204">
        <v>10</v>
      </c>
      <c r="N3483" s="204">
        <v>1</v>
      </c>
      <c r="O3483" s="204">
        <v>10</v>
      </c>
      <c r="P3483" s="204">
        <v>0</v>
      </c>
      <c r="Q3483" s="572">
        <v>0</v>
      </c>
      <c r="R3483" s="1209">
        <v>293.60000000000002</v>
      </c>
      <c r="S3483" s="1209">
        <v>2936</v>
      </c>
      <c r="T3483" s="204" t="s">
        <v>422</v>
      </c>
      <c r="U3483" s="1901" t="s">
        <v>12265</v>
      </c>
      <c r="V3483" s="572" t="s">
        <v>2875</v>
      </c>
      <c r="W3483" s="681" t="s">
        <v>9345</v>
      </c>
      <c r="X3483" s="18"/>
      <c r="Y3483" s="4"/>
      <c r="Z3483" s="4"/>
    </row>
    <row r="3484" spans="1:26" ht="14.1" hidden="1">
      <c r="A3484" s="20">
        <f t="shared" si="195"/>
        <v>3491</v>
      </c>
      <c r="B3484" s="1063">
        <v>43261</v>
      </c>
      <c r="C3484" s="934" t="s">
        <v>11322</v>
      </c>
      <c r="D3484" s="11" t="s">
        <v>6</v>
      </c>
      <c r="E3484" s="189" t="s">
        <v>7498</v>
      </c>
      <c r="F3484" s="934" t="s">
        <v>11323</v>
      </c>
      <c r="G3484" s="204" t="s">
        <v>11324</v>
      </c>
      <c r="H3484" s="365" t="s">
        <v>3898</v>
      </c>
      <c r="I3484" s="359" t="s">
        <v>281</v>
      </c>
      <c r="J3484" s="234" t="s">
        <v>933</v>
      </c>
      <c r="K3484" s="365" t="s">
        <v>8112</v>
      </c>
      <c r="L3484" s="204" t="s">
        <v>11325</v>
      </c>
      <c r="M3484" s="204">
        <v>75</v>
      </c>
      <c r="N3484" s="204">
        <v>1</v>
      </c>
      <c r="O3484" s="204">
        <v>40</v>
      </c>
      <c r="P3484" s="204">
        <v>45</v>
      </c>
      <c r="Q3484" s="572">
        <v>85</v>
      </c>
      <c r="R3484" s="1209">
        <v>485</v>
      </c>
      <c r="S3484" s="1209">
        <f>O3484*R3484</f>
        <v>19400</v>
      </c>
      <c r="T3484" s="204" t="s">
        <v>9485</v>
      </c>
      <c r="U3484" s="1901" t="s">
        <v>3637</v>
      </c>
      <c r="V3484" s="572" t="s">
        <v>352</v>
      </c>
      <c r="W3484" s="804" t="s">
        <v>12297</v>
      </c>
      <c r="X3484" s="18"/>
      <c r="Y3484" s="4"/>
      <c r="Z3484" s="4"/>
    </row>
    <row r="3485" spans="1:26" ht="14.1" hidden="1">
      <c r="A3485" s="20">
        <f t="shared" si="195"/>
        <v>3492</v>
      </c>
      <c r="B3485" s="1063">
        <v>43262</v>
      </c>
      <c r="C3485" s="934" t="s">
        <v>10076</v>
      </c>
      <c r="D3485" s="11" t="s">
        <v>6</v>
      </c>
      <c r="E3485" s="189" t="s">
        <v>7498</v>
      </c>
      <c r="F3485" s="934" t="s">
        <v>11323</v>
      </c>
      <c r="G3485" s="204" t="s">
        <v>11840</v>
      </c>
      <c r="H3485" s="204" t="s">
        <v>1928</v>
      </c>
      <c r="I3485" s="204" t="s">
        <v>39</v>
      </c>
      <c r="J3485" s="204" t="s">
        <v>938</v>
      </c>
      <c r="K3485" s="204" t="s">
        <v>11841</v>
      </c>
      <c r="L3485" s="204"/>
      <c r="M3485" s="204">
        <v>75</v>
      </c>
      <c r="N3485" s="204">
        <v>1</v>
      </c>
      <c r="O3485" s="204">
        <v>75</v>
      </c>
      <c r="P3485" s="204">
        <v>0</v>
      </c>
      <c r="Q3485" s="572">
        <v>25</v>
      </c>
      <c r="R3485" s="1209">
        <v>240</v>
      </c>
      <c r="S3485" s="1209">
        <f>R3485*O3485</f>
        <v>18000</v>
      </c>
      <c r="T3485" s="204" t="s">
        <v>9485</v>
      </c>
      <c r="U3485" s="1901" t="s">
        <v>3637</v>
      </c>
      <c r="V3485" s="572" t="s">
        <v>352</v>
      </c>
      <c r="W3485" s="681" t="s">
        <v>11842</v>
      </c>
      <c r="X3485" s="18"/>
      <c r="Y3485" s="4"/>
      <c r="Z3485" s="4"/>
    </row>
    <row r="3486" spans="1:26" ht="14.1" hidden="1">
      <c r="A3486" s="20">
        <f t="shared" si="195"/>
        <v>3493</v>
      </c>
      <c r="B3486" s="1063">
        <v>43263</v>
      </c>
      <c r="C3486" s="934" t="s">
        <v>12028</v>
      </c>
      <c r="D3486" s="11" t="s">
        <v>6</v>
      </c>
      <c r="E3486" s="189" t="s">
        <v>7498</v>
      </c>
      <c r="F3486" s="934" t="s">
        <v>11323</v>
      </c>
      <c r="G3486" s="204" t="s">
        <v>6004</v>
      </c>
      <c r="H3486" s="204" t="s">
        <v>6005</v>
      </c>
      <c r="I3486" s="204" t="s">
        <v>281</v>
      </c>
      <c r="J3486" s="204" t="s">
        <v>6006</v>
      </c>
      <c r="K3486" s="204" t="s">
        <v>6007</v>
      </c>
      <c r="L3486" s="204" t="s">
        <v>11325</v>
      </c>
      <c r="M3486" s="204">
        <v>15</v>
      </c>
      <c r="N3486" s="204">
        <v>1</v>
      </c>
      <c r="O3486" s="204">
        <v>15</v>
      </c>
      <c r="P3486" s="204">
        <v>0</v>
      </c>
      <c r="Q3486" s="572">
        <v>15</v>
      </c>
      <c r="R3486" s="1209">
        <v>1914</v>
      </c>
      <c r="S3486" s="1209">
        <f t="shared" ref="S3486:S3488" si="208">O3486*R3486</f>
        <v>28710</v>
      </c>
      <c r="T3486" s="204" t="s">
        <v>9485</v>
      </c>
      <c r="U3486" s="1901" t="s">
        <v>3637</v>
      </c>
      <c r="V3486" s="572" t="s">
        <v>352</v>
      </c>
      <c r="W3486" s="681" t="s">
        <v>12298</v>
      </c>
      <c r="X3486" s="18"/>
      <c r="Y3486" s="4"/>
      <c r="Z3486" s="4"/>
    </row>
    <row r="3487" spans="1:26" ht="14.1" hidden="1">
      <c r="A3487" s="20">
        <f t="shared" si="195"/>
        <v>3494</v>
      </c>
      <c r="B3487" s="1063">
        <v>43264</v>
      </c>
      <c r="C3487" s="934" t="s">
        <v>3803</v>
      </c>
      <c r="D3487" s="11" t="s">
        <v>6</v>
      </c>
      <c r="E3487" s="189" t="s">
        <v>7498</v>
      </c>
      <c r="F3487" s="934" t="s">
        <v>11323</v>
      </c>
      <c r="G3487" s="204" t="s">
        <v>12029</v>
      </c>
      <c r="H3487" s="204" t="s">
        <v>8399</v>
      </c>
      <c r="I3487" s="204" t="s">
        <v>281</v>
      </c>
      <c r="J3487" s="204" t="s">
        <v>3228</v>
      </c>
      <c r="K3487" s="204" t="s">
        <v>1455</v>
      </c>
      <c r="L3487" s="204" t="s">
        <v>11325</v>
      </c>
      <c r="M3487" s="204">
        <v>15</v>
      </c>
      <c r="N3487" s="204">
        <v>1</v>
      </c>
      <c r="O3487" s="204">
        <v>15</v>
      </c>
      <c r="P3487" s="204">
        <v>0</v>
      </c>
      <c r="Q3487" s="572">
        <v>15</v>
      </c>
      <c r="R3487" s="1209">
        <v>469</v>
      </c>
      <c r="S3487" s="1209">
        <f t="shared" si="208"/>
        <v>7035</v>
      </c>
      <c r="T3487" s="204" t="s">
        <v>9485</v>
      </c>
      <c r="U3487" s="1901" t="s">
        <v>3637</v>
      </c>
      <c r="V3487" s="572" t="s">
        <v>352</v>
      </c>
      <c r="W3487" s="804" t="s">
        <v>12299</v>
      </c>
      <c r="X3487" s="18"/>
      <c r="Y3487" s="4"/>
      <c r="Z3487" s="4"/>
    </row>
    <row r="3488" spans="1:26" ht="14.1" hidden="1">
      <c r="A3488" s="20">
        <f t="shared" si="195"/>
        <v>3495</v>
      </c>
      <c r="B3488" s="1063">
        <v>43265</v>
      </c>
      <c r="C3488" s="934" t="s">
        <v>6013</v>
      </c>
      <c r="D3488" s="11" t="s">
        <v>6</v>
      </c>
      <c r="E3488" s="189" t="s">
        <v>7498</v>
      </c>
      <c r="F3488" s="934" t="s">
        <v>11323</v>
      </c>
      <c r="G3488" s="204" t="s">
        <v>12300</v>
      </c>
      <c r="H3488" s="204" t="s">
        <v>452</v>
      </c>
      <c r="I3488" s="204" t="s">
        <v>281</v>
      </c>
      <c r="J3488" s="204" t="s">
        <v>6012</v>
      </c>
      <c r="K3488" s="204" t="s">
        <v>6013</v>
      </c>
      <c r="L3488" s="204" t="s">
        <v>12301</v>
      </c>
      <c r="M3488" s="204">
        <v>15</v>
      </c>
      <c r="N3488" s="204">
        <v>1</v>
      </c>
      <c r="O3488" s="204">
        <v>15</v>
      </c>
      <c r="P3488" s="204">
        <v>0</v>
      </c>
      <c r="Q3488" s="572">
        <v>15</v>
      </c>
      <c r="R3488" s="1209">
        <v>66</v>
      </c>
      <c r="S3488" s="1209">
        <f t="shared" si="208"/>
        <v>990</v>
      </c>
      <c r="T3488" s="204" t="s">
        <v>9485</v>
      </c>
      <c r="U3488" s="1901" t="s">
        <v>3637</v>
      </c>
      <c r="V3488" s="572" t="s">
        <v>352</v>
      </c>
      <c r="W3488" s="804" t="s">
        <v>12302</v>
      </c>
      <c r="X3488" s="18"/>
      <c r="Y3488" s="4"/>
      <c r="Z3488" s="4"/>
    </row>
    <row r="3489" spans="1:26" ht="14.1" hidden="1">
      <c r="A3489" s="20">
        <f t="shared" si="195"/>
        <v>3496</v>
      </c>
      <c r="B3489" s="1063">
        <v>43266</v>
      </c>
      <c r="C3489" s="934" t="s">
        <v>12303</v>
      </c>
      <c r="D3489" s="11" t="s">
        <v>6</v>
      </c>
      <c r="E3489" s="189" t="s">
        <v>7498</v>
      </c>
      <c r="F3489" s="934" t="s">
        <v>10966</v>
      </c>
      <c r="G3489" s="204" t="s">
        <v>12304</v>
      </c>
      <c r="H3489" s="204" t="s">
        <v>12305</v>
      </c>
      <c r="I3489" s="204" t="s">
        <v>4634</v>
      </c>
      <c r="J3489" s="204" t="s">
        <v>12306</v>
      </c>
      <c r="K3489" s="204" t="s">
        <v>12307</v>
      </c>
      <c r="L3489" s="204"/>
      <c r="M3489" s="204">
        <v>2</v>
      </c>
      <c r="N3489" s="204">
        <v>1</v>
      </c>
      <c r="O3489" s="204">
        <v>2</v>
      </c>
      <c r="P3489" s="204">
        <v>0</v>
      </c>
      <c r="Q3489" s="572">
        <v>1</v>
      </c>
      <c r="R3489" s="1209">
        <v>4062</v>
      </c>
      <c r="S3489" s="1209">
        <v>4062</v>
      </c>
      <c r="T3489" s="204" t="s">
        <v>9485</v>
      </c>
      <c r="U3489" s="1901" t="s">
        <v>10970</v>
      </c>
      <c r="V3489" s="572" t="s">
        <v>352</v>
      </c>
      <c r="W3489" s="681" t="s">
        <v>12308</v>
      </c>
      <c r="X3489" s="18"/>
      <c r="Y3489" s="4"/>
      <c r="Z3489" s="4"/>
    </row>
    <row r="3490" spans="1:26" ht="14.1" hidden="1">
      <c r="A3490" s="20">
        <f t="shared" si="195"/>
        <v>3497</v>
      </c>
      <c r="B3490" s="1063">
        <v>43267</v>
      </c>
      <c r="C3490" s="934" t="s">
        <v>12309</v>
      </c>
      <c r="D3490" s="11" t="s">
        <v>6</v>
      </c>
      <c r="E3490" s="204" t="s">
        <v>7498</v>
      </c>
      <c r="F3490" s="934" t="s">
        <v>10966</v>
      </c>
      <c r="G3490" s="204" t="s">
        <v>12310</v>
      </c>
      <c r="H3490" s="204" t="s">
        <v>2668</v>
      </c>
      <c r="I3490" s="204" t="s">
        <v>574</v>
      </c>
      <c r="J3490" s="204" t="s">
        <v>12311</v>
      </c>
      <c r="K3490" s="204" t="s">
        <v>12312</v>
      </c>
      <c r="L3490" s="204"/>
      <c r="M3490" s="204">
        <v>1</v>
      </c>
      <c r="N3490" s="204">
        <v>1</v>
      </c>
      <c r="O3490" s="204">
        <v>1</v>
      </c>
      <c r="P3490" s="204">
        <v>0</v>
      </c>
      <c r="Q3490" s="572">
        <v>1</v>
      </c>
      <c r="R3490" s="1209">
        <v>2756</v>
      </c>
      <c r="S3490" s="1209">
        <v>2756</v>
      </c>
      <c r="T3490" s="204" t="s">
        <v>9485</v>
      </c>
      <c r="U3490" s="1901" t="s">
        <v>10970</v>
      </c>
      <c r="V3490" s="572" t="s">
        <v>352</v>
      </c>
      <c r="W3490" s="681" t="s">
        <v>12313</v>
      </c>
      <c r="X3490" s="18"/>
      <c r="Y3490" s="4"/>
      <c r="Z3490" s="4"/>
    </row>
    <row r="3491" spans="1:26" ht="14.1" hidden="1">
      <c r="A3491" s="20">
        <f t="shared" si="195"/>
        <v>3498</v>
      </c>
      <c r="B3491" s="1063">
        <v>43268</v>
      </c>
      <c r="C3491" s="934" t="s">
        <v>12314</v>
      </c>
      <c r="D3491" s="11" t="s">
        <v>6</v>
      </c>
      <c r="E3491" s="204" t="s">
        <v>7498</v>
      </c>
      <c r="F3491" s="934" t="s">
        <v>10966</v>
      </c>
      <c r="G3491" s="204" t="s">
        <v>12315</v>
      </c>
      <c r="H3491" s="204" t="s">
        <v>12316</v>
      </c>
      <c r="I3491" s="204" t="s">
        <v>1022</v>
      </c>
      <c r="J3491" s="204" t="s">
        <v>12317</v>
      </c>
      <c r="K3491" s="204" t="s">
        <v>12318</v>
      </c>
      <c r="L3491" s="204"/>
      <c r="M3491" s="204">
        <v>1</v>
      </c>
      <c r="N3491" s="204">
        <v>1</v>
      </c>
      <c r="O3491" s="204">
        <v>1</v>
      </c>
      <c r="P3491" s="204">
        <v>0</v>
      </c>
      <c r="Q3491" s="572">
        <v>1</v>
      </c>
      <c r="R3491" s="1209">
        <v>1280</v>
      </c>
      <c r="S3491" s="1209">
        <v>1280</v>
      </c>
      <c r="T3491" s="204" t="s">
        <v>9485</v>
      </c>
      <c r="U3491" s="1901" t="s">
        <v>10970</v>
      </c>
      <c r="V3491" s="572" t="s">
        <v>352</v>
      </c>
      <c r="W3491" s="681" t="s">
        <v>12319</v>
      </c>
      <c r="X3491" s="18"/>
      <c r="Y3491" s="4"/>
      <c r="Z3491" s="4"/>
    </row>
    <row r="3492" spans="1:26" ht="14.1" hidden="1">
      <c r="A3492" s="20">
        <f t="shared" si="195"/>
        <v>3499</v>
      </c>
      <c r="B3492" s="1063">
        <v>43269</v>
      </c>
      <c r="C3492" s="934" t="s">
        <v>12320</v>
      </c>
      <c r="D3492" s="11" t="s">
        <v>6</v>
      </c>
      <c r="E3492" s="204" t="s">
        <v>7498</v>
      </c>
      <c r="F3492" s="934" t="s">
        <v>10966</v>
      </c>
      <c r="G3492" s="204" t="s">
        <v>12321</v>
      </c>
      <c r="H3492" s="204" t="s">
        <v>12322</v>
      </c>
      <c r="I3492" s="204" t="s">
        <v>1022</v>
      </c>
      <c r="J3492" s="204" t="s">
        <v>12323</v>
      </c>
      <c r="K3492" s="204" t="s">
        <v>12324</v>
      </c>
      <c r="L3492" s="204"/>
      <c r="M3492" s="204">
        <v>1</v>
      </c>
      <c r="N3492" s="204">
        <v>1</v>
      </c>
      <c r="O3492" s="204">
        <v>1</v>
      </c>
      <c r="P3492" s="204">
        <v>0</v>
      </c>
      <c r="Q3492" s="572">
        <v>1</v>
      </c>
      <c r="R3492" s="1209">
        <v>1699</v>
      </c>
      <c r="S3492" s="1209">
        <v>1699</v>
      </c>
      <c r="T3492" s="204" t="s">
        <v>9485</v>
      </c>
      <c r="U3492" s="1901" t="s">
        <v>10970</v>
      </c>
      <c r="V3492" s="572" t="s">
        <v>352</v>
      </c>
      <c r="W3492" s="681" t="s">
        <v>12325</v>
      </c>
      <c r="X3492" s="18"/>
      <c r="Y3492" s="4"/>
      <c r="Z3492" s="4"/>
    </row>
    <row r="3493" spans="1:26" ht="14.1" hidden="1">
      <c r="A3493" s="20">
        <f t="shared" si="195"/>
        <v>3500</v>
      </c>
      <c r="B3493" s="1063">
        <v>43270</v>
      </c>
      <c r="C3493" s="934" t="s">
        <v>11481</v>
      </c>
      <c r="D3493" s="11" t="s">
        <v>6</v>
      </c>
      <c r="E3493" s="204" t="s">
        <v>7498</v>
      </c>
      <c r="F3493" s="26" t="s">
        <v>10005</v>
      </c>
      <c r="G3493" s="204" t="s">
        <v>12326</v>
      </c>
      <c r="H3493" s="204" t="s">
        <v>686</v>
      </c>
      <c r="I3493" s="204" t="s">
        <v>366</v>
      </c>
      <c r="J3493" s="204" t="s">
        <v>1</v>
      </c>
      <c r="K3493" s="204" t="s">
        <v>12327</v>
      </c>
      <c r="L3493" s="204" t="s">
        <v>149</v>
      </c>
      <c r="M3493" s="204">
        <v>4</v>
      </c>
      <c r="N3493" s="204" t="s">
        <v>149</v>
      </c>
      <c r="O3493" s="204">
        <v>10</v>
      </c>
      <c r="P3493" s="204">
        <v>0</v>
      </c>
      <c r="Q3493" s="572">
        <v>6</v>
      </c>
      <c r="R3493" s="1209">
        <v>42</v>
      </c>
      <c r="S3493" s="1209">
        <v>420</v>
      </c>
      <c r="T3493" s="204" t="s">
        <v>4220</v>
      </c>
      <c r="U3493" s="1901" t="s">
        <v>12328</v>
      </c>
      <c r="V3493" s="572" t="s">
        <v>5604</v>
      </c>
      <c r="W3493" s="681" t="s">
        <v>12329</v>
      </c>
      <c r="X3493" s="18"/>
      <c r="Y3493" s="4"/>
      <c r="Z3493" s="4"/>
    </row>
    <row r="3494" spans="1:26" ht="14.1" hidden="1">
      <c r="A3494" s="20">
        <f t="shared" si="195"/>
        <v>3501</v>
      </c>
      <c r="B3494" s="1063">
        <v>43271</v>
      </c>
      <c r="C3494" s="957" t="s">
        <v>329</v>
      </c>
      <c r="D3494" s="11"/>
      <c r="E3494" s="669" t="s">
        <v>4951</v>
      </c>
      <c r="F3494" s="685" t="s">
        <v>2006</v>
      </c>
      <c r="G3494" s="747" t="s">
        <v>8495</v>
      </c>
      <c r="H3494" s="669" t="s">
        <v>1653</v>
      </c>
      <c r="I3494" s="669" t="s">
        <v>281</v>
      </c>
      <c r="J3494" s="669" t="s">
        <v>8496</v>
      </c>
      <c r="K3494" s="669" t="s">
        <v>8497</v>
      </c>
      <c r="L3494" s="669" t="s">
        <v>5267</v>
      </c>
      <c r="M3494" s="669">
        <v>20</v>
      </c>
      <c r="N3494" s="669">
        <v>10</v>
      </c>
      <c r="O3494" s="669">
        <v>20</v>
      </c>
      <c r="P3494" s="669">
        <v>2</v>
      </c>
      <c r="Q3494" s="669">
        <f t="shared" ref="Q3494:Q3501" si="209">(O3494+P3494)-M3494</f>
        <v>2</v>
      </c>
      <c r="R3494" s="1313">
        <v>12.4</v>
      </c>
      <c r="S3494" s="1314">
        <f t="shared" ref="S3494:S3501" si="210">R3494*O3494</f>
        <v>248</v>
      </c>
      <c r="T3494" s="670" t="s">
        <v>12330</v>
      </c>
      <c r="U3494" s="1909" t="s">
        <v>678</v>
      </c>
      <c r="V3494" s="572" t="s">
        <v>5990</v>
      </c>
      <c r="W3494" s="748" t="s">
        <v>8498</v>
      </c>
      <c r="X3494" s="18"/>
      <c r="Y3494" s="4"/>
      <c r="Z3494" s="4"/>
    </row>
    <row r="3495" spans="1:26" ht="14.1" hidden="1">
      <c r="A3495" s="20">
        <f t="shared" si="195"/>
        <v>3502</v>
      </c>
      <c r="B3495" s="1063">
        <v>43272</v>
      </c>
      <c r="C3495" s="962" t="s">
        <v>329</v>
      </c>
      <c r="D3495" s="11"/>
      <c r="E3495" s="669" t="s">
        <v>4951</v>
      </c>
      <c r="F3495" s="685" t="s">
        <v>2006</v>
      </c>
      <c r="G3495" s="749" t="s">
        <v>10384</v>
      </c>
      <c r="H3495" s="670" t="s">
        <v>1653</v>
      </c>
      <c r="I3495" s="670" t="s">
        <v>281</v>
      </c>
      <c r="J3495" s="670" t="s">
        <v>10385</v>
      </c>
      <c r="K3495" s="670" t="s">
        <v>10386</v>
      </c>
      <c r="L3495" s="670" t="s">
        <v>5267</v>
      </c>
      <c r="M3495" s="670">
        <v>10</v>
      </c>
      <c r="N3495" s="670">
        <v>10</v>
      </c>
      <c r="O3495" s="670">
        <v>10</v>
      </c>
      <c r="P3495" s="670">
        <v>0</v>
      </c>
      <c r="Q3495" s="669">
        <f t="shared" si="209"/>
        <v>0</v>
      </c>
      <c r="R3495" s="1316">
        <v>21.4</v>
      </c>
      <c r="S3495" s="1314">
        <f t="shared" si="210"/>
        <v>214</v>
      </c>
      <c r="T3495" s="670" t="s">
        <v>12330</v>
      </c>
      <c r="U3495" s="1542" t="s">
        <v>678</v>
      </c>
      <c r="V3495" s="572" t="s">
        <v>5990</v>
      </c>
      <c r="W3495" s="750" t="s">
        <v>10387</v>
      </c>
      <c r="X3495" s="18"/>
      <c r="Y3495" s="4"/>
      <c r="Z3495" s="4"/>
    </row>
    <row r="3496" spans="1:26" ht="14.1" hidden="1">
      <c r="A3496" s="20">
        <f t="shared" si="195"/>
        <v>3503</v>
      </c>
      <c r="B3496" s="1063">
        <v>43273</v>
      </c>
      <c r="C3496" s="962" t="s">
        <v>329</v>
      </c>
      <c r="D3496" s="11"/>
      <c r="E3496" s="669" t="s">
        <v>4951</v>
      </c>
      <c r="F3496" s="685" t="s">
        <v>2006</v>
      </c>
      <c r="G3496" s="749" t="s">
        <v>8499</v>
      </c>
      <c r="H3496" s="670" t="s">
        <v>3243</v>
      </c>
      <c r="I3496" s="670" t="s">
        <v>281</v>
      </c>
      <c r="J3496" s="670" t="s">
        <v>8500</v>
      </c>
      <c r="K3496" s="670" t="s">
        <v>8501</v>
      </c>
      <c r="L3496" s="670" t="s">
        <v>5267</v>
      </c>
      <c r="M3496" s="670">
        <v>10</v>
      </c>
      <c r="N3496" s="670">
        <v>10</v>
      </c>
      <c r="O3496" s="670">
        <v>10</v>
      </c>
      <c r="P3496" s="670">
        <v>5</v>
      </c>
      <c r="Q3496" s="669">
        <f t="shared" si="209"/>
        <v>5</v>
      </c>
      <c r="R3496" s="1316">
        <v>50.5</v>
      </c>
      <c r="S3496" s="1314">
        <f t="shared" si="210"/>
        <v>505</v>
      </c>
      <c r="T3496" s="670" t="s">
        <v>12330</v>
      </c>
      <c r="U3496" s="1542" t="s">
        <v>678</v>
      </c>
      <c r="V3496" s="572" t="s">
        <v>5990</v>
      </c>
      <c r="W3496" s="751" t="s">
        <v>8502</v>
      </c>
      <c r="X3496" s="18"/>
      <c r="Y3496" s="4"/>
      <c r="Z3496" s="4"/>
    </row>
    <row r="3497" spans="1:26" ht="14.1" hidden="1">
      <c r="A3497" s="20">
        <f t="shared" si="195"/>
        <v>3504</v>
      </c>
      <c r="B3497" s="1063">
        <v>43274</v>
      </c>
      <c r="C3497" s="962" t="s">
        <v>329</v>
      </c>
      <c r="D3497" s="11"/>
      <c r="E3497" s="669" t="s">
        <v>4951</v>
      </c>
      <c r="F3497" s="685" t="s">
        <v>2006</v>
      </c>
      <c r="G3497" s="749" t="s">
        <v>8503</v>
      </c>
      <c r="H3497" s="670" t="s">
        <v>5730</v>
      </c>
      <c r="I3497" s="670" t="s">
        <v>281</v>
      </c>
      <c r="J3497" s="670" t="s">
        <v>6318</v>
      </c>
      <c r="K3497" s="670" t="s">
        <v>6319</v>
      </c>
      <c r="L3497" s="670" t="s">
        <v>5267</v>
      </c>
      <c r="M3497" s="670">
        <v>10</v>
      </c>
      <c r="N3497" s="670">
        <v>10</v>
      </c>
      <c r="O3497" s="670">
        <v>10</v>
      </c>
      <c r="P3497" s="670">
        <v>6</v>
      </c>
      <c r="Q3497" s="669">
        <f t="shared" si="209"/>
        <v>6</v>
      </c>
      <c r="R3497" s="1316">
        <v>15</v>
      </c>
      <c r="S3497" s="1314">
        <f t="shared" si="210"/>
        <v>150</v>
      </c>
      <c r="T3497" s="670" t="s">
        <v>12330</v>
      </c>
      <c r="U3497" s="1542" t="s">
        <v>678</v>
      </c>
      <c r="V3497" s="572" t="s">
        <v>5990</v>
      </c>
      <c r="W3497" s="751" t="s">
        <v>8504</v>
      </c>
      <c r="X3497" s="18"/>
      <c r="Y3497" s="4"/>
      <c r="Z3497" s="4"/>
    </row>
    <row r="3498" spans="1:26" ht="14.1" hidden="1">
      <c r="A3498" s="20">
        <f t="shared" si="195"/>
        <v>3505</v>
      </c>
      <c r="B3498" s="1063">
        <v>43275</v>
      </c>
      <c r="C3498" s="962" t="s">
        <v>329</v>
      </c>
      <c r="D3498" s="11"/>
      <c r="E3498" s="669" t="s">
        <v>4951</v>
      </c>
      <c r="F3498" s="685" t="s">
        <v>2006</v>
      </c>
      <c r="G3498" s="749" t="s">
        <v>8491</v>
      </c>
      <c r="H3498" s="670" t="s">
        <v>5730</v>
      </c>
      <c r="I3498" s="670" t="s">
        <v>281</v>
      </c>
      <c r="J3498" s="670" t="s">
        <v>8492</v>
      </c>
      <c r="K3498" s="670" t="s">
        <v>8493</v>
      </c>
      <c r="L3498" s="670" t="s">
        <v>5267</v>
      </c>
      <c r="M3498" s="670">
        <v>30</v>
      </c>
      <c r="N3498" s="670">
        <v>10</v>
      </c>
      <c r="O3498" s="670">
        <v>30</v>
      </c>
      <c r="P3498" s="670">
        <v>8</v>
      </c>
      <c r="Q3498" s="669">
        <f t="shared" si="209"/>
        <v>8</v>
      </c>
      <c r="R3498" s="1316">
        <v>5.8</v>
      </c>
      <c r="S3498" s="1314">
        <f t="shared" si="210"/>
        <v>174</v>
      </c>
      <c r="T3498" s="670" t="s">
        <v>12330</v>
      </c>
      <c r="U3498" s="1542" t="s">
        <v>678</v>
      </c>
      <c r="V3498" s="572" t="s">
        <v>5990</v>
      </c>
      <c r="W3498" s="751" t="s">
        <v>8494</v>
      </c>
      <c r="X3498" s="18"/>
      <c r="Y3498" s="4"/>
      <c r="Z3498" s="4"/>
    </row>
    <row r="3499" spans="1:26" ht="14.1" hidden="1">
      <c r="A3499" s="20">
        <f t="shared" si="195"/>
        <v>3506</v>
      </c>
      <c r="B3499" s="1063">
        <v>43276</v>
      </c>
      <c r="C3499" s="962" t="s">
        <v>6003</v>
      </c>
      <c r="D3499" s="11"/>
      <c r="E3499" s="669" t="s">
        <v>4951</v>
      </c>
      <c r="F3499" s="685" t="s">
        <v>2006</v>
      </c>
      <c r="G3499" s="749" t="s">
        <v>6004</v>
      </c>
      <c r="H3499" s="670" t="s">
        <v>6005</v>
      </c>
      <c r="I3499" s="670" t="s">
        <v>281</v>
      </c>
      <c r="J3499" s="670" t="s">
        <v>6006</v>
      </c>
      <c r="K3499" s="670" t="s">
        <v>6007</v>
      </c>
      <c r="L3499" s="670" t="s">
        <v>6008</v>
      </c>
      <c r="M3499" s="670">
        <v>6</v>
      </c>
      <c r="N3499" s="670">
        <v>1</v>
      </c>
      <c r="O3499" s="670">
        <v>2</v>
      </c>
      <c r="P3499" s="670">
        <v>4</v>
      </c>
      <c r="Q3499" s="669">
        <f t="shared" si="209"/>
        <v>0</v>
      </c>
      <c r="R3499" s="1316">
        <v>1914</v>
      </c>
      <c r="S3499" s="1314">
        <f t="shared" si="210"/>
        <v>3828</v>
      </c>
      <c r="T3499" s="670" t="s">
        <v>12330</v>
      </c>
      <c r="U3499" s="1542" t="s">
        <v>678</v>
      </c>
      <c r="V3499" s="572" t="s">
        <v>5990</v>
      </c>
      <c r="W3499" s="751" t="s">
        <v>8515</v>
      </c>
      <c r="X3499" s="18"/>
      <c r="Y3499" s="4"/>
      <c r="Z3499" s="4"/>
    </row>
    <row r="3500" spans="1:26" ht="14.1" hidden="1">
      <c r="A3500" s="20">
        <f t="shared" si="195"/>
        <v>3507</v>
      </c>
      <c r="B3500" s="1063">
        <v>43277</v>
      </c>
      <c r="C3500" s="962" t="s">
        <v>5992</v>
      </c>
      <c r="D3500" s="11"/>
      <c r="E3500" s="669" t="s">
        <v>4951</v>
      </c>
      <c r="F3500" s="685" t="s">
        <v>2006</v>
      </c>
      <c r="G3500" s="749" t="s">
        <v>5993</v>
      </c>
      <c r="H3500" s="670" t="s">
        <v>3898</v>
      </c>
      <c r="I3500" s="670" t="s">
        <v>281</v>
      </c>
      <c r="J3500" s="670" t="s">
        <v>5994</v>
      </c>
      <c r="K3500" s="670" t="s">
        <v>5995</v>
      </c>
      <c r="L3500" s="670" t="s">
        <v>3636</v>
      </c>
      <c r="M3500" s="670">
        <v>24</v>
      </c>
      <c r="N3500" s="670">
        <v>10</v>
      </c>
      <c r="O3500" s="670">
        <v>20</v>
      </c>
      <c r="P3500" s="670">
        <v>8</v>
      </c>
      <c r="Q3500" s="669">
        <f t="shared" si="209"/>
        <v>4</v>
      </c>
      <c r="R3500" s="1316">
        <v>141.19999999999999</v>
      </c>
      <c r="S3500" s="1314">
        <f t="shared" si="210"/>
        <v>2824</v>
      </c>
      <c r="T3500" s="670" t="s">
        <v>12330</v>
      </c>
      <c r="U3500" s="1542" t="s">
        <v>678</v>
      </c>
      <c r="V3500" s="572" t="s">
        <v>5990</v>
      </c>
      <c r="W3500" s="751" t="s">
        <v>5996</v>
      </c>
      <c r="X3500" s="18"/>
      <c r="Y3500" s="4"/>
      <c r="Z3500" s="4"/>
    </row>
    <row r="3501" spans="1:26" ht="14.1" hidden="1">
      <c r="A3501" s="20">
        <f t="shared" si="195"/>
        <v>3508</v>
      </c>
      <c r="B3501" s="1063">
        <v>43278</v>
      </c>
      <c r="C3501" s="962" t="s">
        <v>5270</v>
      </c>
      <c r="D3501" s="11"/>
      <c r="E3501" s="669" t="s">
        <v>4951</v>
      </c>
      <c r="F3501" s="685" t="s">
        <v>2006</v>
      </c>
      <c r="G3501" s="749" t="s">
        <v>5271</v>
      </c>
      <c r="H3501" s="670" t="s">
        <v>3898</v>
      </c>
      <c r="I3501" s="670" t="s">
        <v>281</v>
      </c>
      <c r="J3501" s="670" t="s">
        <v>933</v>
      </c>
      <c r="K3501" s="670" t="s">
        <v>5991</v>
      </c>
      <c r="L3501" s="670" t="s">
        <v>3636</v>
      </c>
      <c r="M3501" s="670">
        <v>30</v>
      </c>
      <c r="N3501" s="670">
        <v>10</v>
      </c>
      <c r="O3501" s="670">
        <v>20</v>
      </c>
      <c r="P3501" s="670">
        <v>10</v>
      </c>
      <c r="Q3501" s="669">
        <f t="shared" si="209"/>
        <v>0</v>
      </c>
      <c r="R3501" s="1316">
        <v>465.4</v>
      </c>
      <c r="S3501" s="1314">
        <f t="shared" si="210"/>
        <v>9308</v>
      </c>
      <c r="T3501" s="670" t="s">
        <v>12330</v>
      </c>
      <c r="U3501" s="1542" t="s">
        <v>678</v>
      </c>
      <c r="V3501" s="572" t="s">
        <v>5990</v>
      </c>
      <c r="W3501" s="750" t="s">
        <v>12331</v>
      </c>
      <c r="X3501" s="18"/>
      <c r="Y3501" s="4"/>
      <c r="Z3501" s="4"/>
    </row>
    <row r="3502" spans="1:26" ht="16.5" hidden="1">
      <c r="A3502" s="20">
        <f t="shared" si="195"/>
        <v>3509</v>
      </c>
      <c r="B3502" s="1063">
        <v>43279</v>
      </c>
      <c r="C3502" s="934" t="s">
        <v>10197</v>
      </c>
      <c r="D3502" s="11" t="s">
        <v>6</v>
      </c>
      <c r="E3502" s="204" t="s">
        <v>7498</v>
      </c>
      <c r="F3502" s="934" t="s">
        <v>11434</v>
      </c>
      <c r="G3502" s="442" t="s">
        <v>2597</v>
      </c>
      <c r="H3502" s="442" t="s">
        <v>382</v>
      </c>
      <c r="I3502" s="752" t="s">
        <v>382</v>
      </c>
      <c r="J3502" s="442" t="s">
        <v>2597</v>
      </c>
      <c r="K3502" s="204"/>
      <c r="L3502" s="204"/>
      <c r="M3502" s="204">
        <v>16</v>
      </c>
      <c r="N3502" s="204">
        <v>10</v>
      </c>
      <c r="O3502" s="204">
        <v>10</v>
      </c>
      <c r="P3502" s="204">
        <v>12</v>
      </c>
      <c r="Q3502" s="572">
        <v>22</v>
      </c>
      <c r="R3502" s="1209">
        <v>800</v>
      </c>
      <c r="S3502" s="1209">
        <v>800</v>
      </c>
      <c r="T3502" s="204" t="s">
        <v>9485</v>
      </c>
      <c r="U3502" s="1901" t="s">
        <v>301</v>
      </c>
      <c r="V3502" s="572" t="s">
        <v>352</v>
      </c>
      <c r="W3502" s="2129" t="s">
        <v>2696</v>
      </c>
      <c r="X3502" s="18"/>
      <c r="Y3502" s="4"/>
      <c r="Z3502" s="4"/>
    </row>
    <row r="3503" spans="1:26" ht="16.5" hidden="1">
      <c r="A3503" s="20">
        <f t="shared" si="195"/>
        <v>3510</v>
      </c>
      <c r="B3503" s="1063">
        <v>43280</v>
      </c>
      <c r="C3503" s="934" t="s">
        <v>10195</v>
      </c>
      <c r="D3503" s="11" t="s">
        <v>6</v>
      </c>
      <c r="E3503" s="204" t="s">
        <v>7498</v>
      </c>
      <c r="F3503" s="934" t="s">
        <v>11434</v>
      </c>
      <c r="G3503" s="443" t="s">
        <v>2595</v>
      </c>
      <c r="H3503" s="443" t="s">
        <v>382</v>
      </c>
      <c r="I3503" s="444" t="s">
        <v>382</v>
      </c>
      <c r="J3503" s="443" t="s">
        <v>2595</v>
      </c>
      <c r="K3503" s="204"/>
      <c r="L3503" s="204"/>
      <c r="M3503" s="204">
        <v>16</v>
      </c>
      <c r="N3503" s="204">
        <v>10</v>
      </c>
      <c r="O3503" s="204">
        <v>20</v>
      </c>
      <c r="P3503" s="204">
        <v>9</v>
      </c>
      <c r="Q3503" s="572">
        <v>29</v>
      </c>
      <c r="R3503" s="1209">
        <v>800</v>
      </c>
      <c r="S3503" s="1209">
        <v>1600</v>
      </c>
      <c r="T3503" s="204" t="s">
        <v>9485</v>
      </c>
      <c r="U3503" s="1901" t="s">
        <v>301</v>
      </c>
      <c r="V3503" s="572" t="s">
        <v>352</v>
      </c>
      <c r="W3503" s="2130" t="s">
        <v>2696</v>
      </c>
      <c r="X3503" s="18"/>
      <c r="Y3503" s="4"/>
      <c r="Z3503" s="4"/>
    </row>
    <row r="3504" spans="1:26" ht="16.5" hidden="1">
      <c r="A3504" s="20">
        <f t="shared" si="195"/>
        <v>3511</v>
      </c>
      <c r="B3504" s="1063">
        <v>43281</v>
      </c>
      <c r="C3504" s="934" t="s">
        <v>10187</v>
      </c>
      <c r="D3504" s="11" t="s">
        <v>6</v>
      </c>
      <c r="E3504" s="204" t="s">
        <v>7498</v>
      </c>
      <c r="F3504" s="934" t="s">
        <v>11434</v>
      </c>
      <c r="G3504" s="204" t="s">
        <v>372</v>
      </c>
      <c r="H3504" s="442" t="s">
        <v>429</v>
      </c>
      <c r="I3504" s="752" t="s">
        <v>429</v>
      </c>
      <c r="J3504" s="204" t="s">
        <v>372</v>
      </c>
      <c r="K3504" s="204"/>
      <c r="L3504" s="204"/>
      <c r="M3504" s="204">
        <v>8</v>
      </c>
      <c r="N3504" s="204">
        <v>1</v>
      </c>
      <c r="O3504" s="204">
        <v>10</v>
      </c>
      <c r="P3504" s="204">
        <v>0</v>
      </c>
      <c r="Q3504" s="572">
        <v>10</v>
      </c>
      <c r="R3504" s="1209">
        <v>230</v>
      </c>
      <c r="S3504" s="1209">
        <v>2300</v>
      </c>
      <c r="T3504" s="204" t="s">
        <v>9485</v>
      </c>
      <c r="U3504" s="1901" t="s">
        <v>301</v>
      </c>
      <c r="V3504" s="572" t="s">
        <v>352</v>
      </c>
      <c r="W3504" s="2129" t="s">
        <v>2695</v>
      </c>
      <c r="X3504" s="18"/>
      <c r="Y3504" s="4"/>
      <c r="Z3504" s="4"/>
    </row>
    <row r="3505" spans="1:26" ht="16.5" hidden="1">
      <c r="A3505" s="20">
        <f t="shared" si="195"/>
        <v>3512</v>
      </c>
      <c r="B3505" s="1063">
        <v>43282</v>
      </c>
      <c r="C3505" s="934" t="s">
        <v>10199</v>
      </c>
      <c r="D3505" s="11" t="s">
        <v>6</v>
      </c>
      <c r="E3505" s="204" t="s">
        <v>7498</v>
      </c>
      <c r="F3505" s="934" t="s">
        <v>11434</v>
      </c>
      <c r="G3505" s="204" t="s">
        <v>379</v>
      </c>
      <c r="H3505" s="442" t="s">
        <v>429</v>
      </c>
      <c r="I3505" s="752" t="s">
        <v>429</v>
      </c>
      <c r="J3505" s="204" t="s">
        <v>379</v>
      </c>
      <c r="K3505" s="204"/>
      <c r="L3505" s="204"/>
      <c r="M3505" s="204">
        <v>8</v>
      </c>
      <c r="N3505" s="204">
        <v>1</v>
      </c>
      <c r="O3505" s="204">
        <v>10</v>
      </c>
      <c r="P3505" s="204">
        <v>2</v>
      </c>
      <c r="Q3505" s="572">
        <v>12</v>
      </c>
      <c r="R3505" s="1209">
        <v>73</v>
      </c>
      <c r="S3505" s="1209">
        <v>730</v>
      </c>
      <c r="T3505" s="204" t="s">
        <v>9485</v>
      </c>
      <c r="U3505" s="1901" t="s">
        <v>301</v>
      </c>
      <c r="V3505" s="572" t="s">
        <v>352</v>
      </c>
      <c r="W3505" s="2127" t="s">
        <v>12332</v>
      </c>
      <c r="X3505" s="18"/>
      <c r="Y3505" s="4"/>
      <c r="Z3505" s="4"/>
    </row>
    <row r="3506" spans="1:26" ht="16.5" hidden="1">
      <c r="A3506" s="20">
        <f t="shared" si="195"/>
        <v>3513</v>
      </c>
      <c r="B3506" s="1063">
        <v>43283</v>
      </c>
      <c r="C3506" s="989" t="s">
        <v>329</v>
      </c>
      <c r="D3506" s="11" t="s">
        <v>6</v>
      </c>
      <c r="E3506" s="204" t="s">
        <v>7498</v>
      </c>
      <c r="F3506" s="934" t="s">
        <v>11434</v>
      </c>
      <c r="G3506" s="442" t="s">
        <v>4551</v>
      </c>
      <c r="H3506" s="442" t="s">
        <v>651</v>
      </c>
      <c r="I3506" s="753" t="s">
        <v>574</v>
      </c>
      <c r="J3506" s="754" t="s">
        <v>4552</v>
      </c>
      <c r="K3506" s="752" t="s">
        <v>4553</v>
      </c>
      <c r="L3506" s="204"/>
      <c r="M3506" s="442">
        <v>4</v>
      </c>
      <c r="N3506" s="204">
        <v>1</v>
      </c>
      <c r="O3506" s="204">
        <v>4</v>
      </c>
      <c r="P3506" s="204">
        <v>0</v>
      </c>
      <c r="Q3506" s="572">
        <v>4</v>
      </c>
      <c r="R3506" s="1209">
        <v>40</v>
      </c>
      <c r="S3506" s="1209">
        <v>160</v>
      </c>
      <c r="T3506" s="204" t="s">
        <v>9485</v>
      </c>
      <c r="U3506" s="1901" t="s">
        <v>3282</v>
      </c>
      <c r="V3506" s="572" t="s">
        <v>352</v>
      </c>
      <c r="W3506" s="2129" t="s">
        <v>4555</v>
      </c>
      <c r="X3506" s="18"/>
      <c r="Y3506" s="4"/>
      <c r="Z3506" s="4"/>
    </row>
    <row r="3507" spans="1:26" ht="16.5" hidden="1">
      <c r="A3507" s="200">
        <f t="shared" si="195"/>
        <v>3514</v>
      </c>
      <c r="B3507" s="1063">
        <v>43284</v>
      </c>
      <c r="C3507" s="990" t="s">
        <v>329</v>
      </c>
      <c r="D3507" s="374"/>
      <c r="E3507" s="717"/>
      <c r="F3507" s="970" t="s">
        <v>11434</v>
      </c>
      <c r="G3507" s="445" t="s">
        <v>12333</v>
      </c>
      <c r="H3507" s="445" t="s">
        <v>184</v>
      </c>
      <c r="I3507" s="755" t="s">
        <v>574</v>
      </c>
      <c r="J3507" s="446" t="s">
        <v>5424</v>
      </c>
      <c r="K3507" s="446" t="s">
        <v>5425</v>
      </c>
      <c r="L3507" s="717"/>
      <c r="M3507" s="445">
        <v>12</v>
      </c>
      <c r="N3507" s="717">
        <v>1</v>
      </c>
      <c r="O3507" s="717">
        <v>12</v>
      </c>
      <c r="P3507" s="717">
        <v>0</v>
      </c>
      <c r="Q3507" s="718">
        <v>12</v>
      </c>
      <c r="R3507" s="1234">
        <v>157.666</v>
      </c>
      <c r="S3507" s="1234">
        <v>1892</v>
      </c>
      <c r="T3507" s="717" t="s">
        <v>9485</v>
      </c>
      <c r="U3507" s="1927" t="s">
        <v>3282</v>
      </c>
      <c r="V3507" s="718" t="s">
        <v>352</v>
      </c>
      <c r="W3507" s="2131" t="s">
        <v>5426</v>
      </c>
      <c r="X3507" s="56"/>
      <c r="Y3507" s="57"/>
      <c r="Z3507" s="57"/>
    </row>
    <row r="3508" spans="1:26" ht="16.5" hidden="1">
      <c r="A3508" s="20">
        <f t="shared" si="195"/>
        <v>3515</v>
      </c>
      <c r="B3508" s="1063">
        <v>43285</v>
      </c>
      <c r="C3508" s="991" t="s">
        <v>3299</v>
      </c>
      <c r="D3508" s="11" t="s">
        <v>6</v>
      </c>
      <c r="E3508" s="204" t="s">
        <v>7498</v>
      </c>
      <c r="F3508" s="934" t="s">
        <v>11434</v>
      </c>
      <c r="G3508" s="443" t="s">
        <v>12334</v>
      </c>
      <c r="H3508" s="443" t="s">
        <v>1092</v>
      </c>
      <c r="I3508" s="753" t="s">
        <v>574</v>
      </c>
      <c r="J3508" s="444" t="s">
        <v>2452</v>
      </c>
      <c r="K3508" s="444" t="s">
        <v>3301</v>
      </c>
      <c r="L3508" s="204"/>
      <c r="M3508" s="443">
        <v>1</v>
      </c>
      <c r="N3508" s="204">
        <v>1</v>
      </c>
      <c r="O3508" s="204">
        <v>1</v>
      </c>
      <c r="P3508" s="204">
        <v>1</v>
      </c>
      <c r="Q3508" s="572">
        <v>1</v>
      </c>
      <c r="R3508" s="1209">
        <v>5029</v>
      </c>
      <c r="S3508" s="1209">
        <v>5029</v>
      </c>
      <c r="T3508" s="204" t="s">
        <v>9485</v>
      </c>
      <c r="U3508" s="1901" t="s">
        <v>3282</v>
      </c>
      <c r="V3508" s="572" t="s">
        <v>352</v>
      </c>
      <c r="W3508" s="2130" t="s">
        <v>3302</v>
      </c>
      <c r="X3508" s="18"/>
      <c r="Y3508" s="4"/>
      <c r="Z3508" s="4"/>
    </row>
    <row r="3509" spans="1:26" ht="16.5" hidden="1">
      <c r="A3509" s="20">
        <f t="shared" si="195"/>
        <v>3516</v>
      </c>
      <c r="B3509" s="1063">
        <v>43286</v>
      </c>
      <c r="C3509" s="991" t="s">
        <v>12335</v>
      </c>
      <c r="D3509" s="11" t="s">
        <v>6</v>
      </c>
      <c r="E3509" s="204" t="s">
        <v>7498</v>
      </c>
      <c r="F3509" s="934" t="s">
        <v>11434</v>
      </c>
      <c r="G3509" s="443" t="s">
        <v>12336</v>
      </c>
      <c r="H3509" s="443" t="s">
        <v>1085</v>
      </c>
      <c r="I3509" s="753" t="s">
        <v>574</v>
      </c>
      <c r="J3509" s="444" t="s">
        <v>1086</v>
      </c>
      <c r="K3509" s="444" t="s">
        <v>1087</v>
      </c>
      <c r="L3509" s="204"/>
      <c r="M3509" s="443">
        <v>4</v>
      </c>
      <c r="N3509" s="204">
        <v>1</v>
      </c>
      <c r="O3509" s="204">
        <v>4</v>
      </c>
      <c r="P3509" s="204">
        <v>0</v>
      </c>
      <c r="Q3509" s="572">
        <v>4</v>
      </c>
      <c r="R3509" s="1209">
        <v>5620</v>
      </c>
      <c r="S3509" s="1209">
        <v>5620</v>
      </c>
      <c r="T3509" s="204" t="s">
        <v>9485</v>
      </c>
      <c r="U3509" s="1901" t="s">
        <v>3282</v>
      </c>
      <c r="V3509" s="572" t="s">
        <v>352</v>
      </c>
      <c r="W3509" s="2130" t="s">
        <v>1090</v>
      </c>
      <c r="X3509" s="18"/>
      <c r="Y3509" s="4"/>
      <c r="Z3509" s="4"/>
    </row>
    <row r="3510" spans="1:26" ht="16.5" hidden="1">
      <c r="A3510" s="20">
        <f t="shared" si="195"/>
        <v>3517</v>
      </c>
      <c r="B3510" s="1063">
        <v>43287</v>
      </c>
      <c r="C3510" s="991" t="s">
        <v>188</v>
      </c>
      <c r="D3510" s="11" t="s">
        <v>6</v>
      </c>
      <c r="E3510" s="204" t="s">
        <v>7498</v>
      </c>
      <c r="F3510" s="934" t="s">
        <v>11434</v>
      </c>
      <c r="G3510" s="443" t="s">
        <v>4556</v>
      </c>
      <c r="H3510" s="443" t="s">
        <v>2285</v>
      </c>
      <c r="I3510" s="753" t="s">
        <v>574</v>
      </c>
      <c r="J3510" s="444" t="s">
        <v>4557</v>
      </c>
      <c r="K3510" s="444" t="s">
        <v>4558</v>
      </c>
      <c r="L3510" s="204"/>
      <c r="M3510" s="443">
        <v>4</v>
      </c>
      <c r="N3510" s="204">
        <v>1</v>
      </c>
      <c r="O3510" s="204">
        <v>4</v>
      </c>
      <c r="P3510" s="204">
        <v>0</v>
      </c>
      <c r="Q3510" s="572">
        <v>4</v>
      </c>
      <c r="R3510" s="1209">
        <v>62</v>
      </c>
      <c r="S3510" s="1209">
        <v>248</v>
      </c>
      <c r="T3510" s="204" t="s">
        <v>9485</v>
      </c>
      <c r="U3510" s="1901" t="s">
        <v>3282</v>
      </c>
      <c r="V3510" s="572" t="s">
        <v>352</v>
      </c>
      <c r="W3510" s="2130" t="s">
        <v>4559</v>
      </c>
      <c r="X3510" s="18"/>
      <c r="Y3510" s="4"/>
      <c r="Z3510" s="4"/>
    </row>
    <row r="3511" spans="1:26" ht="16.5" hidden="1">
      <c r="A3511" s="20">
        <f t="shared" si="195"/>
        <v>3518</v>
      </c>
      <c r="B3511" s="1063">
        <v>43288</v>
      </c>
      <c r="C3511" s="991" t="s">
        <v>188</v>
      </c>
      <c r="D3511" s="11" t="s">
        <v>6</v>
      </c>
      <c r="E3511" s="204" t="s">
        <v>7498</v>
      </c>
      <c r="F3511" s="934" t="s">
        <v>11434</v>
      </c>
      <c r="G3511" s="443" t="s">
        <v>12337</v>
      </c>
      <c r="H3511" s="443" t="s">
        <v>3243</v>
      </c>
      <c r="I3511" s="753" t="s">
        <v>574</v>
      </c>
      <c r="J3511" s="444" t="s">
        <v>12338</v>
      </c>
      <c r="K3511" s="444" t="s">
        <v>5430</v>
      </c>
      <c r="L3511" s="204"/>
      <c r="M3511" s="443">
        <v>12</v>
      </c>
      <c r="N3511" s="204">
        <v>1</v>
      </c>
      <c r="O3511" s="204">
        <v>12</v>
      </c>
      <c r="P3511" s="204">
        <v>0</v>
      </c>
      <c r="Q3511" s="572">
        <v>12</v>
      </c>
      <c r="R3511" s="1209">
        <v>12.5</v>
      </c>
      <c r="S3511" s="1209">
        <v>150</v>
      </c>
      <c r="T3511" s="204" t="s">
        <v>9485</v>
      </c>
      <c r="U3511" s="1901" t="s">
        <v>3282</v>
      </c>
      <c r="V3511" s="572" t="s">
        <v>352</v>
      </c>
      <c r="W3511" s="2130" t="s">
        <v>5431</v>
      </c>
      <c r="X3511" s="18"/>
      <c r="Y3511" s="4"/>
      <c r="Z3511" s="4"/>
    </row>
    <row r="3512" spans="1:26" ht="16.5" hidden="1">
      <c r="A3512" s="20">
        <f t="shared" si="195"/>
        <v>3519</v>
      </c>
      <c r="B3512" s="1063">
        <v>43289</v>
      </c>
      <c r="C3512" s="991" t="s">
        <v>3303</v>
      </c>
      <c r="D3512" s="11" t="s">
        <v>6</v>
      </c>
      <c r="E3512" s="204" t="s">
        <v>7498</v>
      </c>
      <c r="F3512" s="934" t="s">
        <v>11434</v>
      </c>
      <c r="G3512" s="443" t="s">
        <v>12339</v>
      </c>
      <c r="H3512" s="443" t="s">
        <v>1092</v>
      </c>
      <c r="I3512" s="753" t="s">
        <v>574</v>
      </c>
      <c r="J3512" s="444" t="s">
        <v>2470</v>
      </c>
      <c r="K3512" s="444" t="s">
        <v>3305</v>
      </c>
      <c r="L3512" s="204"/>
      <c r="M3512" s="443">
        <v>1</v>
      </c>
      <c r="N3512" s="204">
        <v>1</v>
      </c>
      <c r="O3512" s="204">
        <v>1</v>
      </c>
      <c r="P3512" s="204">
        <v>0</v>
      </c>
      <c r="Q3512" s="572">
        <v>1</v>
      </c>
      <c r="R3512" s="1209">
        <v>5029</v>
      </c>
      <c r="S3512" s="1209">
        <v>5029</v>
      </c>
      <c r="T3512" s="204" t="s">
        <v>9485</v>
      </c>
      <c r="U3512" s="1901" t="s">
        <v>3282</v>
      </c>
      <c r="V3512" s="572" t="s">
        <v>352</v>
      </c>
      <c r="W3512" s="2130" t="s">
        <v>3306</v>
      </c>
      <c r="X3512" s="18"/>
      <c r="Y3512" s="4"/>
      <c r="Z3512" s="4"/>
    </row>
    <row r="3513" spans="1:26" ht="16.5" hidden="1">
      <c r="A3513" s="20">
        <f t="shared" si="195"/>
        <v>3520</v>
      </c>
      <c r="B3513" s="1063">
        <v>43290</v>
      </c>
      <c r="C3513" s="991" t="s">
        <v>1077</v>
      </c>
      <c r="D3513" s="11" t="s">
        <v>6</v>
      </c>
      <c r="E3513" s="204" t="s">
        <v>7498</v>
      </c>
      <c r="F3513" s="934" t="s">
        <v>11434</v>
      </c>
      <c r="G3513" s="443" t="s">
        <v>3281</v>
      </c>
      <c r="H3513" s="444" t="s">
        <v>1078</v>
      </c>
      <c r="I3513" s="753" t="s">
        <v>574</v>
      </c>
      <c r="J3513" s="443" t="s">
        <v>1079</v>
      </c>
      <c r="K3513" s="447" t="s">
        <v>1080</v>
      </c>
      <c r="L3513" s="204"/>
      <c r="M3513" s="204">
        <v>4</v>
      </c>
      <c r="N3513" s="204">
        <v>1</v>
      </c>
      <c r="O3513" s="204">
        <v>5</v>
      </c>
      <c r="P3513" s="204">
        <v>0</v>
      </c>
      <c r="Q3513" s="572">
        <v>5</v>
      </c>
      <c r="R3513" s="1209">
        <v>1195</v>
      </c>
      <c r="S3513" s="1209">
        <v>5975</v>
      </c>
      <c r="T3513" s="204" t="s">
        <v>9485</v>
      </c>
      <c r="U3513" s="1901" t="s">
        <v>3282</v>
      </c>
      <c r="V3513" s="572" t="s">
        <v>352</v>
      </c>
      <c r="W3513" s="2130" t="s">
        <v>3283</v>
      </c>
      <c r="X3513" s="18"/>
      <c r="Y3513" s="4"/>
      <c r="Z3513" s="4"/>
    </row>
    <row r="3514" spans="1:26" ht="16.5" hidden="1">
      <c r="A3514" s="200">
        <f t="shared" si="195"/>
        <v>3521</v>
      </c>
      <c r="B3514" s="1063">
        <v>43291</v>
      </c>
      <c r="C3514" s="990" t="s">
        <v>152</v>
      </c>
      <c r="D3514" s="39"/>
      <c r="E3514" s="646"/>
      <c r="F3514" s="970" t="s">
        <v>11434</v>
      </c>
      <c r="G3514" s="445" t="s">
        <v>12340</v>
      </c>
      <c r="H3514" s="446" t="s">
        <v>3676</v>
      </c>
      <c r="I3514" s="755" t="s">
        <v>574</v>
      </c>
      <c r="J3514" s="446" t="s">
        <v>4061</v>
      </c>
      <c r="K3514" s="446" t="s">
        <v>4062</v>
      </c>
      <c r="L3514" s="717"/>
      <c r="M3514" s="717">
        <v>8</v>
      </c>
      <c r="N3514" s="717">
        <v>1</v>
      </c>
      <c r="O3514" s="717">
        <v>10</v>
      </c>
      <c r="P3514" s="717">
        <v>0</v>
      </c>
      <c r="Q3514" s="718">
        <v>10</v>
      </c>
      <c r="R3514" s="1234">
        <v>103</v>
      </c>
      <c r="S3514" s="1234">
        <v>1034</v>
      </c>
      <c r="T3514" s="717" t="s">
        <v>9485</v>
      </c>
      <c r="U3514" s="1927" t="s">
        <v>3282</v>
      </c>
      <c r="V3514" s="718" t="s">
        <v>352</v>
      </c>
      <c r="W3514" s="2132" t="s">
        <v>4536</v>
      </c>
      <c r="X3514" s="56"/>
      <c r="Y3514" s="57"/>
      <c r="Z3514" s="57"/>
    </row>
    <row r="3515" spans="1:26" ht="16.5" hidden="1">
      <c r="A3515" s="20">
        <f t="shared" si="195"/>
        <v>3522</v>
      </c>
      <c r="B3515" s="1063">
        <v>43292</v>
      </c>
      <c r="C3515" s="989" t="s">
        <v>12341</v>
      </c>
      <c r="D3515" s="11" t="s">
        <v>6</v>
      </c>
      <c r="E3515" s="204" t="s">
        <v>7498</v>
      </c>
      <c r="F3515" s="934" t="s">
        <v>11434</v>
      </c>
      <c r="G3515" s="448" t="s">
        <v>3285</v>
      </c>
      <c r="H3515" s="752" t="s">
        <v>1073</v>
      </c>
      <c r="I3515" s="753" t="s">
        <v>574</v>
      </c>
      <c r="J3515" s="443" t="s">
        <v>1074</v>
      </c>
      <c r="K3515" s="444" t="s">
        <v>1075</v>
      </c>
      <c r="L3515" s="204"/>
      <c r="M3515" s="204">
        <v>2</v>
      </c>
      <c r="N3515" s="204">
        <v>1</v>
      </c>
      <c r="O3515" s="204">
        <v>5</v>
      </c>
      <c r="P3515" s="204">
        <v>0</v>
      </c>
      <c r="Q3515" s="572">
        <v>5</v>
      </c>
      <c r="R3515" s="1209">
        <v>238</v>
      </c>
      <c r="S3515" s="1209">
        <v>1190</v>
      </c>
      <c r="T3515" s="204" t="s">
        <v>9485</v>
      </c>
      <c r="U3515" s="1901" t="s">
        <v>3282</v>
      </c>
      <c r="V3515" s="572" t="s">
        <v>352</v>
      </c>
      <c r="W3515" s="684" t="s">
        <v>1076</v>
      </c>
      <c r="X3515" s="18"/>
      <c r="Y3515" s="4"/>
      <c r="Z3515" s="4"/>
    </row>
    <row r="3516" spans="1:26" ht="16.5" hidden="1">
      <c r="A3516" s="20">
        <f t="shared" si="195"/>
        <v>3523</v>
      </c>
      <c r="B3516" s="1063">
        <v>43293</v>
      </c>
      <c r="C3516" s="934" t="s">
        <v>346</v>
      </c>
      <c r="D3516" s="11" t="s">
        <v>6</v>
      </c>
      <c r="E3516" s="204" t="s">
        <v>7498</v>
      </c>
      <c r="F3516" s="934" t="s">
        <v>11434</v>
      </c>
      <c r="G3516" s="442" t="s">
        <v>3286</v>
      </c>
      <c r="H3516" s="442" t="s">
        <v>348</v>
      </c>
      <c r="I3516" s="753" t="s">
        <v>574</v>
      </c>
      <c r="J3516" s="752" t="s">
        <v>2338</v>
      </c>
      <c r="K3516" s="752" t="s">
        <v>2339</v>
      </c>
      <c r="L3516" s="204"/>
      <c r="M3516" s="204">
        <v>2</v>
      </c>
      <c r="N3516" s="204">
        <v>1</v>
      </c>
      <c r="O3516" s="204">
        <v>5</v>
      </c>
      <c r="P3516" s="204">
        <v>0</v>
      </c>
      <c r="Q3516" s="572">
        <v>5</v>
      </c>
      <c r="R3516" s="1209">
        <v>332</v>
      </c>
      <c r="S3516" s="1209">
        <v>1660</v>
      </c>
      <c r="T3516" s="204" t="s">
        <v>9485</v>
      </c>
      <c r="U3516" s="1901" t="s">
        <v>3282</v>
      </c>
      <c r="V3516" s="572" t="s">
        <v>352</v>
      </c>
      <c r="W3516" s="2127" t="s">
        <v>12342</v>
      </c>
      <c r="X3516" s="18"/>
      <c r="Y3516" s="4"/>
      <c r="Z3516" s="4"/>
    </row>
    <row r="3517" spans="1:26" ht="14.1" hidden="1">
      <c r="A3517" s="20">
        <f t="shared" si="195"/>
        <v>3524</v>
      </c>
      <c r="B3517" s="1063">
        <v>43294</v>
      </c>
      <c r="C3517" s="934" t="s">
        <v>11481</v>
      </c>
      <c r="D3517" s="11" t="s">
        <v>6</v>
      </c>
      <c r="E3517" s="204" t="s">
        <v>7498</v>
      </c>
      <c r="F3517" s="26" t="s">
        <v>10005</v>
      </c>
      <c r="G3517" s="204" t="s">
        <v>12343</v>
      </c>
      <c r="H3517" s="204" t="s">
        <v>686</v>
      </c>
      <c r="I3517" s="204" t="s">
        <v>366</v>
      </c>
      <c r="J3517" s="204" t="s">
        <v>1</v>
      </c>
      <c r="K3517" s="204" t="s">
        <v>12344</v>
      </c>
      <c r="L3517" s="204" t="s">
        <v>149</v>
      </c>
      <c r="M3517" s="204">
        <v>4</v>
      </c>
      <c r="N3517" s="204" t="s">
        <v>149</v>
      </c>
      <c r="O3517" s="204">
        <v>6</v>
      </c>
      <c r="P3517" s="204">
        <v>0</v>
      </c>
      <c r="Q3517" s="572">
        <v>6</v>
      </c>
      <c r="R3517" s="1209">
        <v>408</v>
      </c>
      <c r="S3517" s="1209">
        <f>R3517*Q3517</f>
        <v>2448</v>
      </c>
      <c r="T3517" s="204" t="s">
        <v>4220</v>
      </c>
      <c r="U3517" s="1901" t="s">
        <v>4220</v>
      </c>
      <c r="V3517" s="572" t="s">
        <v>5604</v>
      </c>
      <c r="W3517" s="681" t="s">
        <v>12345</v>
      </c>
      <c r="X3517" s="18"/>
      <c r="Y3517" s="4"/>
      <c r="Z3517" s="4"/>
    </row>
    <row r="3518" spans="1:26" ht="14.1" hidden="1">
      <c r="A3518" s="20">
        <f t="shared" si="195"/>
        <v>3525</v>
      </c>
      <c r="B3518" s="1063">
        <v>43295</v>
      </c>
      <c r="C3518" s="934" t="s">
        <v>12346</v>
      </c>
      <c r="D3518" s="11" t="s">
        <v>6</v>
      </c>
      <c r="E3518" s="189" t="s">
        <v>7498</v>
      </c>
      <c r="F3518" s="934" t="s">
        <v>11323</v>
      </c>
      <c r="G3518" s="204" t="s">
        <v>12347</v>
      </c>
      <c r="H3518" s="204" t="s">
        <v>1853</v>
      </c>
      <c r="I3518" s="204" t="s">
        <v>574</v>
      </c>
      <c r="J3518" s="204" t="s">
        <v>12348</v>
      </c>
      <c r="K3518" s="204" t="s">
        <v>12346</v>
      </c>
      <c r="L3518" s="204" t="s">
        <v>12349</v>
      </c>
      <c r="M3518" s="204">
        <v>24</v>
      </c>
      <c r="N3518" s="204">
        <v>1</v>
      </c>
      <c r="O3518" s="204">
        <v>30</v>
      </c>
      <c r="P3518" s="204">
        <v>0</v>
      </c>
      <c r="Q3518" s="572">
        <v>30</v>
      </c>
      <c r="R3518" s="1209">
        <v>285</v>
      </c>
      <c r="S3518" s="1209">
        <f t="shared" ref="S3518:S3525" si="211">R3518*O3518</f>
        <v>8550</v>
      </c>
      <c r="T3518" s="204" t="s">
        <v>9485</v>
      </c>
      <c r="U3518" s="1901" t="s">
        <v>3637</v>
      </c>
      <c r="V3518" s="572" t="s">
        <v>352</v>
      </c>
      <c r="W3518" s="681" t="s">
        <v>12350</v>
      </c>
      <c r="X3518" s="18"/>
      <c r="Y3518" s="4"/>
      <c r="Z3518" s="4"/>
    </row>
    <row r="3519" spans="1:26" ht="14.1" hidden="1">
      <c r="A3519" s="20">
        <f t="shared" si="195"/>
        <v>3526</v>
      </c>
      <c r="B3519" s="1063">
        <v>43296</v>
      </c>
      <c r="C3519" s="934" t="s">
        <v>12351</v>
      </c>
      <c r="D3519" s="11" t="s">
        <v>6</v>
      </c>
      <c r="E3519" s="189" t="s">
        <v>7498</v>
      </c>
      <c r="F3519" s="934" t="s">
        <v>11323</v>
      </c>
      <c r="G3519" s="204" t="s">
        <v>12352</v>
      </c>
      <c r="H3519" s="204" t="s">
        <v>1853</v>
      </c>
      <c r="I3519" s="204" t="s">
        <v>574</v>
      </c>
      <c r="J3519" s="204" t="s">
        <v>12353</v>
      </c>
      <c r="K3519" s="204" t="s">
        <v>12354</v>
      </c>
      <c r="L3519" s="204" t="s">
        <v>12349</v>
      </c>
      <c r="M3519" s="204">
        <v>12</v>
      </c>
      <c r="N3519" s="204">
        <v>1</v>
      </c>
      <c r="O3519" s="204">
        <v>15</v>
      </c>
      <c r="P3519" s="204">
        <v>0</v>
      </c>
      <c r="Q3519" s="572">
        <v>15</v>
      </c>
      <c r="R3519" s="1209">
        <v>302</v>
      </c>
      <c r="S3519" s="1209">
        <f t="shared" si="211"/>
        <v>4530</v>
      </c>
      <c r="T3519" s="204" t="s">
        <v>9485</v>
      </c>
      <c r="U3519" s="1901" t="s">
        <v>3637</v>
      </c>
      <c r="V3519" s="572" t="s">
        <v>352</v>
      </c>
      <c r="W3519" s="804" t="s">
        <v>12355</v>
      </c>
      <c r="X3519" s="18"/>
      <c r="Y3519" s="4"/>
      <c r="Z3519" s="4"/>
    </row>
    <row r="3520" spans="1:26" ht="14.1" hidden="1">
      <c r="A3520" s="20">
        <f t="shared" si="195"/>
        <v>3527</v>
      </c>
      <c r="B3520" s="1063">
        <v>43297</v>
      </c>
      <c r="C3520" s="934" t="s">
        <v>6026</v>
      </c>
      <c r="D3520" s="11" t="s">
        <v>6</v>
      </c>
      <c r="E3520" s="189" t="s">
        <v>7498</v>
      </c>
      <c r="F3520" s="934" t="s">
        <v>11323</v>
      </c>
      <c r="G3520" s="204" t="s">
        <v>12356</v>
      </c>
      <c r="H3520" s="204" t="s">
        <v>5730</v>
      </c>
      <c r="I3520" s="204" t="s">
        <v>574</v>
      </c>
      <c r="J3520" s="204" t="s">
        <v>6025</v>
      </c>
      <c r="K3520" s="204" t="s">
        <v>6026</v>
      </c>
      <c r="L3520" s="204" t="s">
        <v>12357</v>
      </c>
      <c r="M3520" s="204">
        <v>12</v>
      </c>
      <c r="N3520" s="204">
        <v>1</v>
      </c>
      <c r="O3520" s="204">
        <v>15</v>
      </c>
      <c r="P3520" s="204">
        <v>0</v>
      </c>
      <c r="Q3520" s="572">
        <v>15</v>
      </c>
      <c r="R3520" s="1209">
        <v>8</v>
      </c>
      <c r="S3520" s="1209">
        <f t="shared" si="211"/>
        <v>120</v>
      </c>
      <c r="T3520" s="204" t="s">
        <v>9485</v>
      </c>
      <c r="U3520" s="1901" t="s">
        <v>3637</v>
      </c>
      <c r="V3520" s="572" t="s">
        <v>352</v>
      </c>
      <c r="W3520" s="681" t="s">
        <v>12358</v>
      </c>
      <c r="X3520" s="18"/>
      <c r="Y3520" s="4"/>
      <c r="Z3520" s="4"/>
    </row>
    <row r="3521" spans="1:26" ht="14.1" hidden="1">
      <c r="A3521" s="20">
        <f t="shared" si="195"/>
        <v>3528</v>
      </c>
      <c r="B3521" s="1063">
        <v>43298</v>
      </c>
      <c r="C3521" s="934" t="s">
        <v>12359</v>
      </c>
      <c r="D3521" s="11" t="s">
        <v>6</v>
      </c>
      <c r="E3521" s="189" t="s">
        <v>7498</v>
      </c>
      <c r="F3521" s="934" t="s">
        <v>11323</v>
      </c>
      <c r="G3521" s="204" t="s">
        <v>12360</v>
      </c>
      <c r="H3521" s="449" t="s">
        <v>460</v>
      </c>
      <c r="I3521" s="204" t="s">
        <v>574</v>
      </c>
      <c r="J3521" s="204" t="s">
        <v>12361</v>
      </c>
      <c r="K3521" s="204" t="s">
        <v>12359</v>
      </c>
      <c r="L3521" s="204" t="s">
        <v>12357</v>
      </c>
      <c r="M3521" s="204">
        <v>12</v>
      </c>
      <c r="N3521" s="204">
        <v>1</v>
      </c>
      <c r="O3521" s="204">
        <v>15</v>
      </c>
      <c r="P3521" s="204">
        <v>0</v>
      </c>
      <c r="Q3521" s="572">
        <v>15</v>
      </c>
      <c r="R3521" s="1209">
        <v>36</v>
      </c>
      <c r="S3521" s="1209">
        <f t="shared" si="211"/>
        <v>540</v>
      </c>
      <c r="T3521" s="204" t="s">
        <v>9485</v>
      </c>
      <c r="U3521" s="1901" t="s">
        <v>3637</v>
      </c>
      <c r="V3521" s="572" t="s">
        <v>352</v>
      </c>
      <c r="W3521" s="804" t="s">
        <v>12362</v>
      </c>
      <c r="X3521" s="18"/>
      <c r="Y3521" s="4"/>
      <c r="Z3521" s="4"/>
    </row>
    <row r="3522" spans="1:26" ht="14.1" hidden="1">
      <c r="A3522" s="20">
        <f t="shared" si="195"/>
        <v>3529</v>
      </c>
      <c r="B3522" s="1063">
        <v>43299</v>
      </c>
      <c r="C3522" s="934" t="s">
        <v>12363</v>
      </c>
      <c r="D3522" s="11" t="s">
        <v>6</v>
      </c>
      <c r="E3522" s="189" t="s">
        <v>7498</v>
      </c>
      <c r="F3522" s="934" t="s">
        <v>11323</v>
      </c>
      <c r="G3522" s="204" t="s">
        <v>12364</v>
      </c>
      <c r="H3522" s="204" t="s">
        <v>12365</v>
      </c>
      <c r="I3522" s="204" t="s">
        <v>574</v>
      </c>
      <c r="J3522" s="204" t="s">
        <v>12366</v>
      </c>
      <c r="K3522" s="204" t="s">
        <v>12367</v>
      </c>
      <c r="L3522" s="204" t="s">
        <v>12349</v>
      </c>
      <c r="M3522" s="204">
        <v>24</v>
      </c>
      <c r="N3522" s="204">
        <v>1</v>
      </c>
      <c r="O3522" s="204">
        <v>30</v>
      </c>
      <c r="P3522" s="204">
        <v>0</v>
      </c>
      <c r="Q3522" s="572">
        <v>30</v>
      </c>
      <c r="R3522" s="1209">
        <v>285</v>
      </c>
      <c r="S3522" s="1209">
        <f t="shared" si="211"/>
        <v>8550</v>
      </c>
      <c r="T3522" s="204" t="s">
        <v>9485</v>
      </c>
      <c r="U3522" s="1901" t="s">
        <v>3637</v>
      </c>
      <c r="V3522" s="572" t="s">
        <v>352</v>
      </c>
      <c r="W3522" s="804" t="s">
        <v>12368</v>
      </c>
      <c r="X3522" s="18"/>
      <c r="Y3522" s="4"/>
      <c r="Z3522" s="4"/>
    </row>
    <row r="3523" spans="1:26" ht="14.1" hidden="1">
      <c r="A3523" s="20">
        <f t="shared" si="195"/>
        <v>3530</v>
      </c>
      <c r="B3523" s="1063">
        <v>43300</v>
      </c>
      <c r="C3523" s="934" t="s">
        <v>12369</v>
      </c>
      <c r="D3523" s="11" t="s">
        <v>6</v>
      </c>
      <c r="E3523" s="189" t="s">
        <v>7498</v>
      </c>
      <c r="F3523" s="934" t="s">
        <v>11323</v>
      </c>
      <c r="G3523" s="204" t="s">
        <v>12370</v>
      </c>
      <c r="H3523" s="204" t="s">
        <v>1853</v>
      </c>
      <c r="I3523" s="204" t="s">
        <v>574</v>
      </c>
      <c r="J3523" s="204" t="s">
        <v>12371</v>
      </c>
      <c r="K3523" s="204" t="s">
        <v>12369</v>
      </c>
      <c r="L3523" s="204" t="s">
        <v>12372</v>
      </c>
      <c r="M3523" s="204">
        <v>36</v>
      </c>
      <c r="N3523" s="204">
        <v>1</v>
      </c>
      <c r="O3523" s="204">
        <v>40</v>
      </c>
      <c r="P3523" s="204">
        <v>0</v>
      </c>
      <c r="Q3523" s="572">
        <v>40</v>
      </c>
      <c r="R3523" s="1209">
        <v>31</v>
      </c>
      <c r="S3523" s="1209">
        <f t="shared" si="211"/>
        <v>1240</v>
      </c>
      <c r="T3523" s="204" t="s">
        <v>9485</v>
      </c>
      <c r="U3523" s="1901" t="s">
        <v>3637</v>
      </c>
      <c r="V3523" s="572" t="s">
        <v>352</v>
      </c>
      <c r="W3523" s="804" t="s">
        <v>12373</v>
      </c>
      <c r="X3523" s="18"/>
      <c r="Y3523" s="4"/>
      <c r="Z3523" s="4"/>
    </row>
    <row r="3524" spans="1:26" ht="15" hidden="1">
      <c r="A3524" s="20">
        <f t="shared" si="195"/>
        <v>3531</v>
      </c>
      <c r="B3524" s="1063">
        <v>43301</v>
      </c>
      <c r="C3524" s="934" t="s">
        <v>12374</v>
      </c>
      <c r="D3524" s="11" t="s">
        <v>6</v>
      </c>
      <c r="E3524" s="189" t="s">
        <v>7498</v>
      </c>
      <c r="F3524" s="934" t="s">
        <v>11323</v>
      </c>
      <c r="G3524" s="322" t="s">
        <v>12375</v>
      </c>
      <c r="H3524" s="204" t="s">
        <v>1063</v>
      </c>
      <c r="I3524" s="204" t="s">
        <v>1063</v>
      </c>
      <c r="J3524" s="204" t="s">
        <v>12376</v>
      </c>
      <c r="K3524" s="322" t="s">
        <v>12377</v>
      </c>
      <c r="L3524" s="204" t="s">
        <v>12378</v>
      </c>
      <c r="M3524" s="204">
        <v>12</v>
      </c>
      <c r="N3524" s="204">
        <v>1</v>
      </c>
      <c r="O3524" s="204">
        <v>15</v>
      </c>
      <c r="P3524" s="204">
        <v>0</v>
      </c>
      <c r="Q3524" s="572">
        <v>15</v>
      </c>
      <c r="R3524" s="1209">
        <v>100</v>
      </c>
      <c r="S3524" s="1209">
        <f t="shared" si="211"/>
        <v>1500</v>
      </c>
      <c r="T3524" s="204" t="s">
        <v>9485</v>
      </c>
      <c r="U3524" s="1901" t="s">
        <v>3637</v>
      </c>
      <c r="V3524" s="572" t="s">
        <v>352</v>
      </c>
      <c r="W3524" s="804" t="s">
        <v>12379</v>
      </c>
      <c r="X3524" s="18"/>
      <c r="Y3524" s="4"/>
      <c r="Z3524" s="4"/>
    </row>
    <row r="3525" spans="1:26" ht="14.1" hidden="1">
      <c r="A3525" s="20">
        <f t="shared" si="195"/>
        <v>3532</v>
      </c>
      <c r="B3525" s="1063">
        <v>43302</v>
      </c>
      <c r="C3525" s="934" t="s">
        <v>12380</v>
      </c>
      <c r="D3525" s="11" t="s">
        <v>6</v>
      </c>
      <c r="E3525" s="189" t="s">
        <v>7498</v>
      </c>
      <c r="F3525" s="934" t="s">
        <v>11323</v>
      </c>
      <c r="G3525" s="204" t="s">
        <v>12381</v>
      </c>
      <c r="H3525" s="204" t="s">
        <v>6553</v>
      </c>
      <c r="I3525" s="204" t="s">
        <v>574</v>
      </c>
      <c r="J3525" s="204" t="s">
        <v>2263</v>
      </c>
      <c r="K3525" s="204" t="s">
        <v>2264</v>
      </c>
      <c r="L3525" s="204" t="s">
        <v>12301</v>
      </c>
      <c r="M3525" s="204">
        <v>12</v>
      </c>
      <c r="N3525" s="204">
        <v>1</v>
      </c>
      <c r="O3525" s="204">
        <v>15</v>
      </c>
      <c r="P3525" s="204">
        <v>0</v>
      </c>
      <c r="Q3525" s="572">
        <v>15</v>
      </c>
      <c r="R3525" s="1209">
        <v>64</v>
      </c>
      <c r="S3525" s="1209">
        <f t="shared" si="211"/>
        <v>960</v>
      </c>
      <c r="T3525" s="204" t="s">
        <v>9485</v>
      </c>
      <c r="U3525" s="1901" t="s">
        <v>3637</v>
      </c>
      <c r="V3525" s="572" t="s">
        <v>352</v>
      </c>
      <c r="W3525" s="681" t="s">
        <v>12382</v>
      </c>
      <c r="X3525" s="18"/>
      <c r="Y3525" s="4"/>
      <c r="Z3525" s="4"/>
    </row>
    <row r="3526" spans="1:26" ht="14.1" hidden="1">
      <c r="A3526" s="20">
        <f t="shared" si="195"/>
        <v>3533</v>
      </c>
      <c r="B3526" s="1063">
        <v>43303</v>
      </c>
      <c r="C3526" s="934" t="s">
        <v>12383</v>
      </c>
      <c r="D3526" s="37"/>
      <c r="E3526" s="204"/>
      <c r="F3526" s="934" t="s">
        <v>11323</v>
      </c>
      <c r="G3526" s="204" t="s">
        <v>7158</v>
      </c>
      <c r="H3526" s="204" t="s">
        <v>1379</v>
      </c>
      <c r="I3526" s="204" t="s">
        <v>1379</v>
      </c>
      <c r="J3526" s="204"/>
      <c r="K3526" s="204"/>
      <c r="L3526" s="204" t="s">
        <v>285</v>
      </c>
      <c r="M3526" s="204">
        <v>12</v>
      </c>
      <c r="N3526" s="204">
        <v>1</v>
      </c>
      <c r="O3526" s="204">
        <v>12</v>
      </c>
      <c r="P3526" s="204">
        <v>0</v>
      </c>
      <c r="Q3526" s="572">
        <v>12</v>
      </c>
      <c r="R3526" s="1209" t="s">
        <v>1</v>
      </c>
      <c r="S3526" s="1209">
        <v>136920</v>
      </c>
      <c r="T3526" s="204" t="s">
        <v>9485</v>
      </c>
      <c r="U3526" s="1901" t="s">
        <v>3637</v>
      </c>
      <c r="V3526" s="572" t="s">
        <v>352</v>
      </c>
      <c r="W3526" s="681"/>
      <c r="X3526" s="18"/>
      <c r="Y3526" s="4"/>
      <c r="Z3526" s="4"/>
    </row>
    <row r="3527" spans="1:26" ht="14.1" hidden="1">
      <c r="A3527" s="20">
        <f t="shared" si="195"/>
        <v>3534</v>
      </c>
      <c r="B3527" s="1063">
        <v>43304</v>
      </c>
      <c r="C3527" s="934" t="s">
        <v>12384</v>
      </c>
      <c r="D3527" s="11"/>
      <c r="E3527" s="189" t="s">
        <v>7498</v>
      </c>
      <c r="F3527" s="26" t="s">
        <v>10005</v>
      </c>
      <c r="G3527" s="204" t="s">
        <v>12385</v>
      </c>
      <c r="H3527" s="204" t="s">
        <v>107</v>
      </c>
      <c r="I3527" s="204" t="s">
        <v>366</v>
      </c>
      <c r="J3527" s="204" t="s">
        <v>1</v>
      </c>
      <c r="K3527" s="204" t="s">
        <v>12386</v>
      </c>
      <c r="L3527" s="204" t="s">
        <v>149</v>
      </c>
      <c r="M3527" s="204">
        <v>48</v>
      </c>
      <c r="N3527" s="204" t="s">
        <v>149</v>
      </c>
      <c r="O3527" s="204">
        <v>60</v>
      </c>
      <c r="P3527" s="204">
        <v>0</v>
      </c>
      <c r="Q3527" s="572">
        <v>12</v>
      </c>
      <c r="R3527" s="1209">
        <v>28</v>
      </c>
      <c r="S3527" s="1209">
        <f t="shared" ref="S3527:S3530" si="212">R3527*O3527</f>
        <v>1680</v>
      </c>
      <c r="T3527" s="204" t="s">
        <v>4220</v>
      </c>
      <c r="U3527" s="1901" t="s">
        <v>4220</v>
      </c>
      <c r="V3527" s="572" t="s">
        <v>5604</v>
      </c>
      <c r="W3527" s="681" t="s">
        <v>12387</v>
      </c>
      <c r="X3527" s="18"/>
      <c r="Y3527" s="4"/>
      <c r="Z3527" s="4"/>
    </row>
    <row r="3528" spans="1:26" ht="14.1" hidden="1">
      <c r="A3528" s="20">
        <f t="shared" si="195"/>
        <v>3535</v>
      </c>
      <c r="B3528" s="1063">
        <v>43305</v>
      </c>
      <c r="C3528" s="934" t="s">
        <v>11481</v>
      </c>
      <c r="D3528" s="11"/>
      <c r="E3528" s="189" t="s">
        <v>7498</v>
      </c>
      <c r="F3528" s="26" t="s">
        <v>10005</v>
      </c>
      <c r="G3528" s="204" t="s">
        <v>12388</v>
      </c>
      <c r="H3528" s="204" t="s">
        <v>686</v>
      </c>
      <c r="I3528" s="204" t="s">
        <v>366</v>
      </c>
      <c r="J3528" s="204" t="s">
        <v>1</v>
      </c>
      <c r="K3528" s="204" t="s">
        <v>12389</v>
      </c>
      <c r="L3528" s="204" t="s">
        <v>149</v>
      </c>
      <c r="M3528" s="204">
        <v>4</v>
      </c>
      <c r="N3528" s="204" t="s">
        <v>149</v>
      </c>
      <c r="O3528" s="204">
        <v>10</v>
      </c>
      <c r="P3528" s="204">
        <v>0</v>
      </c>
      <c r="Q3528" s="572">
        <v>6</v>
      </c>
      <c r="R3528" s="1209">
        <v>45</v>
      </c>
      <c r="S3528" s="1209">
        <f t="shared" si="212"/>
        <v>450</v>
      </c>
      <c r="T3528" s="204" t="s">
        <v>4220</v>
      </c>
      <c r="U3528" s="1901" t="s">
        <v>4220</v>
      </c>
      <c r="V3528" s="572" t="s">
        <v>5604</v>
      </c>
      <c r="W3528" s="681" t="s">
        <v>12390</v>
      </c>
      <c r="X3528" s="18"/>
      <c r="Y3528" s="4"/>
      <c r="Z3528" s="4"/>
    </row>
    <row r="3529" spans="1:26" ht="14.1" hidden="1">
      <c r="A3529" s="20">
        <f t="shared" si="195"/>
        <v>3536</v>
      </c>
      <c r="B3529" s="1063">
        <v>43306</v>
      </c>
      <c r="C3529" s="934" t="s">
        <v>12391</v>
      </c>
      <c r="D3529" s="11"/>
      <c r="E3529" s="189" t="s">
        <v>7498</v>
      </c>
      <c r="F3529" s="26" t="s">
        <v>10005</v>
      </c>
      <c r="G3529" s="204" t="s">
        <v>12392</v>
      </c>
      <c r="H3529" s="204" t="s">
        <v>366</v>
      </c>
      <c r="I3529" s="204" t="s">
        <v>366</v>
      </c>
      <c r="J3529" s="204" t="s">
        <v>1</v>
      </c>
      <c r="K3529" s="204" t="s">
        <v>12393</v>
      </c>
      <c r="L3529" s="204" t="s">
        <v>149</v>
      </c>
      <c r="M3529" s="204">
        <v>8</v>
      </c>
      <c r="N3529" s="204" t="s">
        <v>149</v>
      </c>
      <c r="O3529" s="204">
        <v>10</v>
      </c>
      <c r="P3529" s="204">
        <v>0</v>
      </c>
      <c r="Q3529" s="572">
        <v>2</v>
      </c>
      <c r="R3529" s="1209">
        <v>550</v>
      </c>
      <c r="S3529" s="1209">
        <f t="shared" si="212"/>
        <v>5500</v>
      </c>
      <c r="T3529" s="204" t="s">
        <v>4220</v>
      </c>
      <c r="U3529" s="1901" t="s">
        <v>4220</v>
      </c>
      <c r="V3529" s="572" t="s">
        <v>5604</v>
      </c>
      <c r="W3529" s="681" t="s">
        <v>12394</v>
      </c>
      <c r="X3529" s="18"/>
      <c r="Y3529" s="4"/>
      <c r="Z3529" s="4"/>
    </row>
    <row r="3530" spans="1:26" ht="14.1" hidden="1">
      <c r="A3530" s="20">
        <f t="shared" si="195"/>
        <v>3537</v>
      </c>
      <c r="B3530" s="1063">
        <v>43307</v>
      </c>
      <c r="C3530" s="934" t="s">
        <v>12391</v>
      </c>
      <c r="D3530" s="11"/>
      <c r="E3530" s="189" t="s">
        <v>7498</v>
      </c>
      <c r="F3530" s="26" t="s">
        <v>10005</v>
      </c>
      <c r="G3530" s="204" t="s">
        <v>12395</v>
      </c>
      <c r="H3530" s="204" t="s">
        <v>366</v>
      </c>
      <c r="I3530" s="204" t="s">
        <v>366</v>
      </c>
      <c r="J3530" s="204" t="s">
        <v>1</v>
      </c>
      <c r="K3530" s="204" t="s">
        <v>12396</v>
      </c>
      <c r="L3530" s="204" t="s">
        <v>149</v>
      </c>
      <c r="M3530" s="204">
        <v>4</v>
      </c>
      <c r="N3530" s="204" t="s">
        <v>149</v>
      </c>
      <c r="O3530" s="204">
        <v>6</v>
      </c>
      <c r="P3530" s="204">
        <v>0</v>
      </c>
      <c r="Q3530" s="572">
        <v>2</v>
      </c>
      <c r="R3530" s="1209">
        <v>550</v>
      </c>
      <c r="S3530" s="1209">
        <f t="shared" si="212"/>
        <v>3300</v>
      </c>
      <c r="T3530" s="204" t="s">
        <v>4220</v>
      </c>
      <c r="U3530" s="1901" t="s">
        <v>4220</v>
      </c>
      <c r="V3530" s="572" t="s">
        <v>5604</v>
      </c>
      <c r="W3530" s="681" t="s">
        <v>12397</v>
      </c>
      <c r="X3530" s="18"/>
      <c r="Y3530" s="4"/>
      <c r="Z3530" s="4"/>
    </row>
    <row r="3531" spans="1:26" ht="14.1" hidden="1">
      <c r="A3531" s="20">
        <f t="shared" si="195"/>
        <v>3538</v>
      </c>
      <c r="B3531" s="1063">
        <v>43308</v>
      </c>
      <c r="C3531" s="970" t="s">
        <v>12398</v>
      </c>
      <c r="D3531" s="374"/>
      <c r="E3531" s="717"/>
      <c r="F3531" s="970" t="s">
        <v>11323</v>
      </c>
      <c r="G3531" s="717" t="s">
        <v>12399</v>
      </c>
      <c r="H3531" s="425" t="s">
        <v>12400</v>
      </c>
      <c r="I3531" s="717" t="s">
        <v>281</v>
      </c>
      <c r="J3531" s="717" t="s">
        <v>12401</v>
      </c>
      <c r="K3531" s="717" t="s">
        <v>12402</v>
      </c>
      <c r="L3531" s="717" t="s">
        <v>12301</v>
      </c>
      <c r="M3531" s="717">
        <v>12</v>
      </c>
      <c r="N3531" s="717">
        <v>1</v>
      </c>
      <c r="O3531" s="717">
        <v>15</v>
      </c>
      <c r="P3531" s="717">
        <v>0</v>
      </c>
      <c r="Q3531" s="718">
        <v>15</v>
      </c>
      <c r="R3531" s="1234">
        <v>21</v>
      </c>
      <c r="S3531" s="1234">
        <f t="shared" ref="S3531:S3533" si="213">O3531*R3531</f>
        <v>315</v>
      </c>
      <c r="T3531" s="717" t="s">
        <v>9485</v>
      </c>
      <c r="U3531" s="1927" t="s">
        <v>3637</v>
      </c>
      <c r="V3531" s="718" t="s">
        <v>352</v>
      </c>
      <c r="W3531" s="2133" t="s">
        <v>12403</v>
      </c>
      <c r="X3531" s="18"/>
      <c r="Y3531" s="4"/>
      <c r="Z3531" s="4"/>
    </row>
    <row r="3532" spans="1:26" ht="14.1" hidden="1">
      <c r="A3532" s="20">
        <f t="shared" si="195"/>
        <v>3539</v>
      </c>
      <c r="B3532" s="1063">
        <v>43309</v>
      </c>
      <c r="C3532" s="970" t="s">
        <v>12404</v>
      </c>
      <c r="D3532" s="374"/>
      <c r="E3532" s="717"/>
      <c r="F3532" s="970" t="s">
        <v>11323</v>
      </c>
      <c r="G3532" s="717" t="s">
        <v>12405</v>
      </c>
      <c r="H3532" s="425" t="s">
        <v>12400</v>
      </c>
      <c r="I3532" s="717" t="s">
        <v>281</v>
      </c>
      <c r="J3532" s="717" t="s">
        <v>12406</v>
      </c>
      <c r="K3532" s="717" t="s">
        <v>12407</v>
      </c>
      <c r="L3532" s="717" t="s">
        <v>12301</v>
      </c>
      <c r="M3532" s="717">
        <v>12</v>
      </c>
      <c r="N3532" s="717">
        <v>1</v>
      </c>
      <c r="O3532" s="717">
        <v>15</v>
      </c>
      <c r="P3532" s="717">
        <v>0</v>
      </c>
      <c r="Q3532" s="718">
        <v>15</v>
      </c>
      <c r="R3532" s="1234">
        <v>15</v>
      </c>
      <c r="S3532" s="1234">
        <f t="shared" si="213"/>
        <v>225</v>
      </c>
      <c r="T3532" s="717" t="s">
        <v>9485</v>
      </c>
      <c r="U3532" s="1927" t="s">
        <v>3637</v>
      </c>
      <c r="V3532" s="718" t="s">
        <v>352</v>
      </c>
      <c r="W3532" s="2133" t="s">
        <v>12408</v>
      </c>
      <c r="X3532" s="18"/>
      <c r="Y3532" s="4"/>
      <c r="Z3532" s="4"/>
    </row>
    <row r="3533" spans="1:26" ht="14.1" hidden="1">
      <c r="A3533" s="20">
        <f t="shared" si="195"/>
        <v>3540</v>
      </c>
      <c r="B3533" s="1063">
        <v>43310</v>
      </c>
      <c r="C3533" s="970" t="s">
        <v>12409</v>
      </c>
      <c r="D3533" s="374"/>
      <c r="E3533" s="717"/>
      <c r="F3533" s="970" t="s">
        <v>11323</v>
      </c>
      <c r="G3533" s="717" t="s">
        <v>12410</v>
      </c>
      <c r="H3533" s="425" t="s">
        <v>12400</v>
      </c>
      <c r="I3533" s="717" t="s">
        <v>281</v>
      </c>
      <c r="J3533" s="717" t="s">
        <v>12411</v>
      </c>
      <c r="K3533" s="717" t="s">
        <v>12412</v>
      </c>
      <c r="L3533" s="717" t="s">
        <v>12301</v>
      </c>
      <c r="M3533" s="717">
        <v>12</v>
      </c>
      <c r="N3533" s="717">
        <v>1</v>
      </c>
      <c r="O3533" s="717">
        <v>15</v>
      </c>
      <c r="P3533" s="717">
        <v>0</v>
      </c>
      <c r="Q3533" s="718">
        <v>15</v>
      </c>
      <c r="R3533" s="1234">
        <v>14</v>
      </c>
      <c r="S3533" s="1234">
        <f t="shared" si="213"/>
        <v>210</v>
      </c>
      <c r="T3533" s="717" t="s">
        <v>9485</v>
      </c>
      <c r="U3533" s="1927" t="s">
        <v>3637</v>
      </c>
      <c r="V3533" s="718" t="s">
        <v>352</v>
      </c>
      <c r="W3533" s="2106" t="s">
        <v>12413</v>
      </c>
      <c r="X3533" s="18"/>
      <c r="Y3533" s="4"/>
      <c r="Z3533" s="4"/>
    </row>
    <row r="3534" spans="1:26" ht="14.1" hidden="1">
      <c r="A3534" s="20">
        <f t="shared" si="195"/>
        <v>3541</v>
      </c>
      <c r="B3534" s="1063">
        <v>43311</v>
      </c>
      <c r="C3534" s="934" t="s">
        <v>12414</v>
      </c>
      <c r="D3534" s="11" t="s">
        <v>6</v>
      </c>
      <c r="E3534" s="204" t="s">
        <v>7498</v>
      </c>
      <c r="F3534" s="934" t="s">
        <v>784</v>
      </c>
      <c r="G3534" s="204" t="s">
        <v>12415</v>
      </c>
      <c r="H3534" s="204" t="s">
        <v>12416</v>
      </c>
      <c r="I3534" s="204" t="s">
        <v>281</v>
      </c>
      <c r="J3534" s="189" t="s">
        <v>3228</v>
      </c>
      <c r="K3534" s="204" t="s">
        <v>3228</v>
      </c>
      <c r="L3534" s="204" t="s">
        <v>149</v>
      </c>
      <c r="M3534" s="204">
        <v>1</v>
      </c>
      <c r="N3534" s="204">
        <v>1</v>
      </c>
      <c r="O3534" s="204">
        <v>1</v>
      </c>
      <c r="P3534" s="204">
        <v>0</v>
      </c>
      <c r="Q3534" s="572">
        <v>0</v>
      </c>
      <c r="R3534" s="1209">
        <v>118904</v>
      </c>
      <c r="S3534" s="1209">
        <f t="shared" ref="S3534:S3535" si="214">R3534*O3534</f>
        <v>118904</v>
      </c>
      <c r="T3534" s="204" t="s">
        <v>1395</v>
      </c>
      <c r="U3534" s="1901" t="s">
        <v>1395</v>
      </c>
      <c r="V3534" s="572" t="s">
        <v>12417</v>
      </c>
      <c r="W3534" s="681"/>
      <c r="X3534" s="18"/>
      <c r="Y3534" s="4"/>
      <c r="Z3534" s="4"/>
    </row>
    <row r="3535" spans="1:26" ht="14.1" hidden="1">
      <c r="A3535" s="20">
        <f t="shared" si="195"/>
        <v>3542</v>
      </c>
      <c r="B3535" s="1063">
        <v>43312</v>
      </c>
      <c r="C3535" s="934" t="s">
        <v>12418</v>
      </c>
      <c r="D3535" s="11"/>
      <c r="E3535" s="204" t="s">
        <v>12419</v>
      </c>
      <c r="F3535" s="934" t="s">
        <v>784</v>
      </c>
      <c r="G3535" s="204" t="s">
        <v>12420</v>
      </c>
      <c r="H3535" s="204" t="s">
        <v>287</v>
      </c>
      <c r="I3535" s="204" t="s">
        <v>287</v>
      </c>
      <c r="J3535" s="204" t="s">
        <v>12421</v>
      </c>
      <c r="K3535" s="204" t="s">
        <v>12421</v>
      </c>
      <c r="L3535" s="204" t="s">
        <v>149</v>
      </c>
      <c r="M3535" s="204">
        <v>1</v>
      </c>
      <c r="N3535" s="204">
        <v>1</v>
      </c>
      <c r="O3535" s="204">
        <v>1</v>
      </c>
      <c r="P3535" s="204">
        <v>0</v>
      </c>
      <c r="Q3535" s="572">
        <v>0</v>
      </c>
      <c r="R3535" s="1209">
        <v>172403</v>
      </c>
      <c r="S3535" s="1209">
        <f t="shared" si="214"/>
        <v>172403</v>
      </c>
      <c r="T3535" s="204" t="s">
        <v>1395</v>
      </c>
      <c r="U3535" s="1901" t="s">
        <v>1395</v>
      </c>
      <c r="V3535" s="572" t="s">
        <v>12417</v>
      </c>
      <c r="W3535" s="681"/>
      <c r="X3535" s="18"/>
      <c r="Y3535" s="4"/>
      <c r="Z3535" s="4"/>
    </row>
    <row r="3536" spans="1:26" ht="14.1" hidden="1">
      <c r="A3536" s="20">
        <f t="shared" si="195"/>
        <v>3543</v>
      </c>
      <c r="B3536" s="1063">
        <v>43313</v>
      </c>
      <c r="C3536" s="934" t="s">
        <v>12422</v>
      </c>
      <c r="D3536" s="11" t="s">
        <v>6</v>
      </c>
      <c r="E3536" s="204" t="s">
        <v>4951</v>
      </c>
      <c r="F3536" s="934" t="s">
        <v>10651</v>
      </c>
      <c r="G3536" s="204" t="s">
        <v>12423</v>
      </c>
      <c r="H3536" s="204" t="s">
        <v>429</v>
      </c>
      <c r="I3536" s="204" t="s">
        <v>429</v>
      </c>
      <c r="J3536" s="204" t="s">
        <v>1</v>
      </c>
      <c r="K3536" s="204" t="s">
        <v>12424</v>
      </c>
      <c r="L3536" s="204" t="s">
        <v>149</v>
      </c>
      <c r="M3536" s="204">
        <v>38</v>
      </c>
      <c r="N3536" s="204">
        <v>1</v>
      </c>
      <c r="O3536" s="204">
        <v>45</v>
      </c>
      <c r="P3536" s="204">
        <v>0</v>
      </c>
      <c r="Q3536" s="572">
        <v>7</v>
      </c>
      <c r="R3536" s="1209">
        <v>230</v>
      </c>
      <c r="S3536" s="1209">
        <v>1350</v>
      </c>
      <c r="T3536" s="204" t="s">
        <v>12425</v>
      </c>
      <c r="U3536" s="1901" t="s">
        <v>301</v>
      </c>
      <c r="V3536" s="572" t="s">
        <v>10656</v>
      </c>
      <c r="W3536" s="681" t="s">
        <v>12426</v>
      </c>
      <c r="X3536" s="18"/>
      <c r="Y3536" s="4"/>
      <c r="Z3536" s="4"/>
    </row>
    <row r="3537" spans="1:26" ht="14.1" hidden="1">
      <c r="A3537" s="20">
        <f t="shared" si="195"/>
        <v>3544</v>
      </c>
      <c r="B3537" s="1063">
        <v>43314</v>
      </c>
      <c r="C3537" s="934" t="s">
        <v>12427</v>
      </c>
      <c r="D3537" s="11" t="s">
        <v>6</v>
      </c>
      <c r="E3537" s="204" t="s">
        <v>4951</v>
      </c>
      <c r="F3537" s="934" t="s">
        <v>10651</v>
      </c>
      <c r="G3537" s="204" t="s">
        <v>12428</v>
      </c>
      <c r="H3537" s="204" t="s">
        <v>429</v>
      </c>
      <c r="I3537" s="204" t="s">
        <v>429</v>
      </c>
      <c r="J3537" s="204" t="s">
        <v>1</v>
      </c>
      <c r="K3537" s="204" t="s">
        <v>12429</v>
      </c>
      <c r="L3537" s="204" t="s">
        <v>149</v>
      </c>
      <c r="M3537" s="204">
        <v>1</v>
      </c>
      <c r="N3537" s="204">
        <v>1</v>
      </c>
      <c r="O3537" s="204">
        <v>5</v>
      </c>
      <c r="P3537" s="204">
        <v>0</v>
      </c>
      <c r="Q3537" s="572">
        <v>4</v>
      </c>
      <c r="R3537" s="1209">
        <v>270</v>
      </c>
      <c r="S3537" s="1209">
        <v>550</v>
      </c>
      <c r="T3537" s="204" t="s">
        <v>12425</v>
      </c>
      <c r="U3537" s="1901" t="s">
        <v>301</v>
      </c>
      <c r="V3537" s="572" t="s">
        <v>10656</v>
      </c>
      <c r="W3537" s="681" t="s">
        <v>12430</v>
      </c>
      <c r="X3537" s="18"/>
      <c r="Y3537" s="4"/>
      <c r="Z3537" s="4"/>
    </row>
    <row r="3538" spans="1:26" ht="14.1" hidden="1">
      <c r="A3538" s="20">
        <f t="shared" si="195"/>
        <v>3545</v>
      </c>
      <c r="B3538" s="1063">
        <v>43315</v>
      </c>
      <c r="C3538" s="934" t="s">
        <v>12422</v>
      </c>
      <c r="D3538" s="11" t="s">
        <v>6</v>
      </c>
      <c r="E3538" s="204" t="s">
        <v>4951</v>
      </c>
      <c r="F3538" s="934" t="s">
        <v>10651</v>
      </c>
      <c r="G3538" s="204" t="s">
        <v>12431</v>
      </c>
      <c r="H3538" s="204" t="s">
        <v>429</v>
      </c>
      <c r="I3538" s="204" t="s">
        <v>429</v>
      </c>
      <c r="J3538" s="204" t="s">
        <v>1</v>
      </c>
      <c r="K3538" s="204" t="s">
        <v>12432</v>
      </c>
      <c r="L3538" s="204" t="s">
        <v>149</v>
      </c>
      <c r="M3538" s="204">
        <v>7</v>
      </c>
      <c r="N3538" s="204">
        <v>1</v>
      </c>
      <c r="O3538" s="204">
        <v>10</v>
      </c>
      <c r="P3538" s="204">
        <v>0</v>
      </c>
      <c r="Q3538" s="572">
        <v>3</v>
      </c>
      <c r="R3538" s="1209">
        <v>270</v>
      </c>
      <c r="S3538" s="1209">
        <v>700</v>
      </c>
      <c r="T3538" s="204" t="s">
        <v>12425</v>
      </c>
      <c r="U3538" s="1901" t="s">
        <v>301</v>
      </c>
      <c r="V3538" s="572" t="s">
        <v>10656</v>
      </c>
      <c r="W3538" s="681" t="s">
        <v>12433</v>
      </c>
      <c r="X3538" s="18"/>
      <c r="Y3538" s="4"/>
      <c r="Z3538" s="4"/>
    </row>
    <row r="3539" spans="1:26" ht="14.1" hidden="1">
      <c r="A3539" s="20">
        <f t="shared" si="195"/>
        <v>3546</v>
      </c>
      <c r="B3539" s="1063">
        <v>43316</v>
      </c>
      <c r="C3539" s="934" t="s">
        <v>12422</v>
      </c>
      <c r="D3539" s="11" t="s">
        <v>6</v>
      </c>
      <c r="E3539" s="204" t="s">
        <v>4951</v>
      </c>
      <c r="F3539" s="934" t="s">
        <v>10651</v>
      </c>
      <c r="G3539" s="204" t="s">
        <v>12434</v>
      </c>
      <c r="H3539" s="204" t="s">
        <v>429</v>
      </c>
      <c r="I3539" s="204" t="s">
        <v>429</v>
      </c>
      <c r="J3539" s="204" t="s">
        <v>1</v>
      </c>
      <c r="K3539" s="204" t="s">
        <v>12435</v>
      </c>
      <c r="L3539" s="204" t="s">
        <v>149</v>
      </c>
      <c r="M3539" s="204">
        <v>32</v>
      </c>
      <c r="N3539" s="204">
        <v>1</v>
      </c>
      <c r="O3539" s="204">
        <v>40</v>
      </c>
      <c r="P3539" s="204">
        <v>0</v>
      </c>
      <c r="Q3539" s="572">
        <v>8</v>
      </c>
      <c r="R3539" s="1209">
        <v>221</v>
      </c>
      <c r="S3539" s="1209">
        <v>1040</v>
      </c>
      <c r="T3539" s="204" t="s">
        <v>12425</v>
      </c>
      <c r="U3539" s="1901" t="s">
        <v>301</v>
      </c>
      <c r="V3539" s="572" t="s">
        <v>10656</v>
      </c>
      <c r="W3539" s="681" t="s">
        <v>12436</v>
      </c>
      <c r="X3539" s="18"/>
      <c r="Y3539" s="4"/>
      <c r="Z3539" s="4"/>
    </row>
    <row r="3540" spans="1:26" ht="14.1" hidden="1">
      <c r="A3540" s="20">
        <f t="shared" si="195"/>
        <v>3547</v>
      </c>
      <c r="B3540" s="1063">
        <v>43317</v>
      </c>
      <c r="C3540" s="934" t="s">
        <v>12422</v>
      </c>
      <c r="D3540" s="11" t="s">
        <v>6</v>
      </c>
      <c r="E3540" s="204" t="s">
        <v>4951</v>
      </c>
      <c r="F3540" s="934" t="s">
        <v>10651</v>
      </c>
      <c r="G3540" s="204" t="s">
        <v>12437</v>
      </c>
      <c r="H3540" s="204" t="s">
        <v>429</v>
      </c>
      <c r="I3540" s="204" t="s">
        <v>429</v>
      </c>
      <c r="J3540" s="204" t="s">
        <v>1</v>
      </c>
      <c r="K3540" s="204" t="s">
        <v>370</v>
      </c>
      <c r="L3540" s="204" t="s">
        <v>149</v>
      </c>
      <c r="M3540" s="204">
        <v>6</v>
      </c>
      <c r="N3540" s="204">
        <v>1</v>
      </c>
      <c r="O3540" s="204">
        <v>10</v>
      </c>
      <c r="P3540" s="204">
        <v>0</v>
      </c>
      <c r="Q3540" s="572">
        <v>4</v>
      </c>
      <c r="R3540" s="1209">
        <v>260</v>
      </c>
      <c r="S3540" s="1209">
        <v>2300</v>
      </c>
      <c r="T3540" s="204" t="s">
        <v>12425</v>
      </c>
      <c r="U3540" s="1901" t="s">
        <v>301</v>
      </c>
      <c r="V3540" s="572" t="s">
        <v>10656</v>
      </c>
      <c r="W3540" s="681" t="s">
        <v>12438</v>
      </c>
      <c r="X3540" s="18"/>
      <c r="Y3540" s="4"/>
      <c r="Z3540" s="4"/>
    </row>
    <row r="3541" spans="1:26" ht="14.1" hidden="1">
      <c r="A3541" s="20">
        <f t="shared" si="195"/>
        <v>3548</v>
      </c>
      <c r="B3541" s="1063">
        <v>43318</v>
      </c>
      <c r="C3541" s="934" t="s">
        <v>12439</v>
      </c>
      <c r="D3541" s="11" t="s">
        <v>6</v>
      </c>
      <c r="E3541" s="204" t="s">
        <v>4951</v>
      </c>
      <c r="F3541" s="934" t="s">
        <v>10651</v>
      </c>
      <c r="G3541" s="204" t="s">
        <v>12440</v>
      </c>
      <c r="H3541" s="204" t="s">
        <v>429</v>
      </c>
      <c r="I3541" s="204" t="s">
        <v>429</v>
      </c>
      <c r="J3541" s="204" t="s">
        <v>1</v>
      </c>
      <c r="K3541" s="204" t="s">
        <v>12441</v>
      </c>
      <c r="L3541" s="204" t="s">
        <v>149</v>
      </c>
      <c r="M3541" s="204">
        <v>4</v>
      </c>
      <c r="N3541" s="204">
        <v>1</v>
      </c>
      <c r="O3541" s="204">
        <v>6</v>
      </c>
      <c r="P3541" s="204">
        <v>0</v>
      </c>
      <c r="Q3541" s="572">
        <v>2</v>
      </c>
      <c r="R3541" s="1209">
        <v>280</v>
      </c>
      <c r="S3541" s="1209">
        <v>1680</v>
      </c>
      <c r="T3541" s="204" t="s">
        <v>12425</v>
      </c>
      <c r="U3541" s="1901" t="s">
        <v>301</v>
      </c>
      <c r="V3541" s="572" t="s">
        <v>10656</v>
      </c>
      <c r="W3541" s="681" t="s">
        <v>12442</v>
      </c>
      <c r="X3541" s="18"/>
      <c r="Y3541" s="4"/>
      <c r="Z3541" s="4"/>
    </row>
    <row r="3542" spans="1:26" ht="14.1" hidden="1">
      <c r="A3542" s="20">
        <f t="shared" si="195"/>
        <v>3549</v>
      </c>
      <c r="B3542" s="1063">
        <v>43319</v>
      </c>
      <c r="C3542" s="934" t="s">
        <v>12439</v>
      </c>
      <c r="D3542" s="11" t="s">
        <v>6</v>
      </c>
      <c r="E3542" s="204" t="s">
        <v>4951</v>
      </c>
      <c r="F3542" s="934" t="s">
        <v>10651</v>
      </c>
      <c r="G3542" s="204" t="s">
        <v>12443</v>
      </c>
      <c r="H3542" s="204" t="s">
        <v>429</v>
      </c>
      <c r="I3542" s="204" t="s">
        <v>429</v>
      </c>
      <c r="J3542" s="204" t="s">
        <v>1</v>
      </c>
      <c r="K3542" s="204" t="s">
        <v>12444</v>
      </c>
      <c r="L3542" s="204" t="s">
        <v>149</v>
      </c>
      <c r="M3542" s="204">
        <v>2</v>
      </c>
      <c r="N3542" s="204">
        <v>1</v>
      </c>
      <c r="O3542" s="204">
        <v>6</v>
      </c>
      <c r="P3542" s="204">
        <v>0</v>
      </c>
      <c r="Q3542" s="572">
        <v>4</v>
      </c>
      <c r="R3542" s="1209">
        <v>227</v>
      </c>
      <c r="S3542" s="1209">
        <v>360</v>
      </c>
      <c r="T3542" s="204" t="s">
        <v>12425</v>
      </c>
      <c r="U3542" s="1901" t="s">
        <v>301</v>
      </c>
      <c r="V3542" s="572" t="s">
        <v>10656</v>
      </c>
      <c r="W3542" s="681" t="s">
        <v>12445</v>
      </c>
      <c r="X3542" s="18"/>
      <c r="Y3542" s="4"/>
      <c r="Z3542" s="4"/>
    </row>
    <row r="3543" spans="1:26" ht="14.1" hidden="1">
      <c r="A3543" s="20">
        <f t="shared" si="195"/>
        <v>3550</v>
      </c>
      <c r="B3543" s="1063">
        <v>43320</v>
      </c>
      <c r="C3543" s="934" t="s">
        <v>12439</v>
      </c>
      <c r="D3543" s="11" t="s">
        <v>6</v>
      </c>
      <c r="E3543" s="204" t="s">
        <v>4951</v>
      </c>
      <c r="F3543" s="934" t="s">
        <v>10651</v>
      </c>
      <c r="G3543" s="204" t="s">
        <v>12446</v>
      </c>
      <c r="H3543" s="204" t="s">
        <v>429</v>
      </c>
      <c r="I3543" s="204" t="s">
        <v>429</v>
      </c>
      <c r="J3543" s="204" t="s">
        <v>1</v>
      </c>
      <c r="K3543" s="204" t="s">
        <v>12447</v>
      </c>
      <c r="L3543" s="204" t="s">
        <v>149</v>
      </c>
      <c r="M3543" s="204">
        <v>14</v>
      </c>
      <c r="N3543" s="204">
        <v>1</v>
      </c>
      <c r="O3543" s="204">
        <v>20</v>
      </c>
      <c r="P3543" s="204">
        <v>0</v>
      </c>
      <c r="Q3543" s="572">
        <v>6</v>
      </c>
      <c r="R3543" s="1209">
        <v>227</v>
      </c>
      <c r="S3543" s="1209">
        <v>720</v>
      </c>
      <c r="T3543" s="204" t="s">
        <v>12425</v>
      </c>
      <c r="U3543" s="1901" t="s">
        <v>301</v>
      </c>
      <c r="V3543" s="572" t="s">
        <v>10656</v>
      </c>
      <c r="W3543" s="681" t="s">
        <v>12448</v>
      </c>
      <c r="X3543" s="18"/>
      <c r="Y3543" s="4"/>
      <c r="Z3543" s="4"/>
    </row>
    <row r="3544" spans="1:26" ht="14.1" hidden="1">
      <c r="A3544" s="20">
        <f t="shared" si="195"/>
        <v>3551</v>
      </c>
      <c r="B3544" s="1063">
        <v>43321</v>
      </c>
      <c r="C3544" s="934" t="s">
        <v>12439</v>
      </c>
      <c r="D3544" s="11" t="s">
        <v>6</v>
      </c>
      <c r="E3544" s="204" t="s">
        <v>4951</v>
      </c>
      <c r="F3544" s="934" t="s">
        <v>10651</v>
      </c>
      <c r="G3544" s="204" t="s">
        <v>12449</v>
      </c>
      <c r="H3544" s="204" t="s">
        <v>429</v>
      </c>
      <c r="I3544" s="204" t="s">
        <v>429</v>
      </c>
      <c r="J3544" s="204" t="s">
        <v>1</v>
      </c>
      <c r="K3544" s="204" t="s">
        <v>12450</v>
      </c>
      <c r="L3544" s="204" t="s">
        <v>149</v>
      </c>
      <c r="M3544" s="204">
        <v>2</v>
      </c>
      <c r="N3544" s="204">
        <v>1</v>
      </c>
      <c r="O3544" s="204">
        <v>5</v>
      </c>
      <c r="P3544" s="204">
        <v>0</v>
      </c>
      <c r="Q3544" s="572">
        <v>3</v>
      </c>
      <c r="R3544" s="1209">
        <v>227</v>
      </c>
      <c r="S3544" s="1209">
        <v>335</v>
      </c>
      <c r="T3544" s="204" t="s">
        <v>12425</v>
      </c>
      <c r="U3544" s="1901" t="s">
        <v>301</v>
      </c>
      <c r="V3544" s="572" t="s">
        <v>10656</v>
      </c>
      <c r="W3544" s="681" t="s">
        <v>12451</v>
      </c>
      <c r="X3544" s="18"/>
      <c r="Y3544" s="4"/>
      <c r="Z3544" s="4"/>
    </row>
    <row r="3545" spans="1:26" ht="14.1" hidden="1">
      <c r="A3545" s="20">
        <f t="shared" si="195"/>
        <v>3552</v>
      </c>
      <c r="B3545" s="1063">
        <v>43322</v>
      </c>
      <c r="C3545" s="934" t="s">
        <v>12439</v>
      </c>
      <c r="D3545" s="11" t="s">
        <v>6</v>
      </c>
      <c r="E3545" s="204" t="s">
        <v>4951</v>
      </c>
      <c r="F3545" s="934" t="s">
        <v>10651</v>
      </c>
      <c r="G3545" s="204" t="s">
        <v>12452</v>
      </c>
      <c r="H3545" s="204" t="s">
        <v>429</v>
      </c>
      <c r="I3545" s="204" t="s">
        <v>429</v>
      </c>
      <c r="J3545" s="204" t="s">
        <v>1</v>
      </c>
      <c r="K3545" s="204" t="s">
        <v>12453</v>
      </c>
      <c r="L3545" s="204" t="s">
        <v>149</v>
      </c>
      <c r="M3545" s="204">
        <v>16</v>
      </c>
      <c r="N3545" s="204">
        <v>1</v>
      </c>
      <c r="O3545" s="204">
        <v>20</v>
      </c>
      <c r="P3545" s="204">
        <v>0</v>
      </c>
      <c r="Q3545" s="572">
        <v>4</v>
      </c>
      <c r="R3545" s="1209">
        <v>420</v>
      </c>
      <c r="S3545" s="1209">
        <v>8400</v>
      </c>
      <c r="T3545" s="204" t="s">
        <v>12425</v>
      </c>
      <c r="U3545" s="1901" t="s">
        <v>301</v>
      </c>
      <c r="V3545" s="572" t="s">
        <v>10656</v>
      </c>
      <c r="W3545" s="681" t="s">
        <v>12442</v>
      </c>
      <c r="X3545" s="18"/>
      <c r="Y3545" s="4"/>
      <c r="Z3545" s="4"/>
    </row>
    <row r="3546" spans="1:26" ht="14.1" hidden="1">
      <c r="A3546" s="20">
        <f t="shared" si="195"/>
        <v>3553</v>
      </c>
      <c r="B3546" s="1063">
        <v>43323</v>
      </c>
      <c r="C3546" s="934" t="s">
        <v>12454</v>
      </c>
      <c r="D3546" s="11" t="s">
        <v>6</v>
      </c>
      <c r="E3546" s="204" t="s">
        <v>4951</v>
      </c>
      <c r="F3546" s="934" t="s">
        <v>10651</v>
      </c>
      <c r="G3546" s="204" t="s">
        <v>12455</v>
      </c>
      <c r="H3546" s="204" t="s">
        <v>429</v>
      </c>
      <c r="I3546" s="204" t="s">
        <v>429</v>
      </c>
      <c r="J3546" s="204" t="s">
        <v>1</v>
      </c>
      <c r="K3546" s="204" t="s">
        <v>12456</v>
      </c>
      <c r="L3546" s="204" t="s">
        <v>149</v>
      </c>
      <c r="M3546" s="204">
        <v>4</v>
      </c>
      <c r="N3546" s="204">
        <v>1</v>
      </c>
      <c r="O3546" s="204">
        <v>6</v>
      </c>
      <c r="P3546" s="204">
        <v>0</v>
      </c>
      <c r="Q3546" s="572">
        <v>2</v>
      </c>
      <c r="R3546" s="1209">
        <v>330</v>
      </c>
      <c r="S3546" s="1209">
        <v>1980</v>
      </c>
      <c r="T3546" s="204" t="s">
        <v>12425</v>
      </c>
      <c r="U3546" s="1901" t="s">
        <v>301</v>
      </c>
      <c r="V3546" s="572" t="s">
        <v>10656</v>
      </c>
      <c r="W3546" s="681" t="s">
        <v>12457</v>
      </c>
      <c r="X3546" s="18"/>
      <c r="Y3546" s="4"/>
      <c r="Z3546" s="4"/>
    </row>
    <row r="3547" spans="1:26" ht="14.1" hidden="1">
      <c r="A3547" s="20">
        <f t="shared" si="195"/>
        <v>3554</v>
      </c>
      <c r="B3547" s="1063">
        <v>43324</v>
      </c>
      <c r="C3547" s="934" t="s">
        <v>12458</v>
      </c>
      <c r="D3547" s="11" t="s">
        <v>6</v>
      </c>
      <c r="E3547" s="204" t="s">
        <v>7498</v>
      </c>
      <c r="F3547" s="934" t="s">
        <v>7046</v>
      </c>
      <c r="G3547" s="204" t="s">
        <v>12459</v>
      </c>
      <c r="H3547" s="204" t="s">
        <v>12460</v>
      </c>
      <c r="I3547" s="204" t="s">
        <v>1022</v>
      </c>
      <c r="J3547" s="204" t="s">
        <v>1</v>
      </c>
      <c r="K3547" s="204" t="s">
        <v>12461</v>
      </c>
      <c r="L3547" s="204" t="s">
        <v>285</v>
      </c>
      <c r="M3547" s="204">
        <v>1</v>
      </c>
      <c r="N3547" s="204">
        <v>1</v>
      </c>
      <c r="O3547" s="204">
        <v>2</v>
      </c>
      <c r="P3547" s="204">
        <v>0</v>
      </c>
      <c r="Q3547" s="572">
        <v>1</v>
      </c>
      <c r="R3547" s="1209">
        <v>4399</v>
      </c>
      <c r="S3547" s="1209">
        <f>R3547*O3547</f>
        <v>8798</v>
      </c>
      <c r="T3547" s="204" t="s">
        <v>5448</v>
      </c>
      <c r="U3547" s="1901" t="s">
        <v>1886</v>
      </c>
      <c r="V3547" s="572" t="s">
        <v>10656</v>
      </c>
      <c r="W3547" s="1184" t="s">
        <v>12462</v>
      </c>
      <c r="X3547" s="18"/>
      <c r="Y3547" s="4"/>
      <c r="Z3547" s="4"/>
    </row>
    <row r="3548" spans="1:26" ht="14.1" hidden="1">
      <c r="A3548" s="20">
        <f t="shared" si="195"/>
        <v>3555</v>
      </c>
      <c r="B3548" s="1063">
        <v>43325</v>
      </c>
      <c r="C3548" s="934" t="s">
        <v>285</v>
      </c>
      <c r="D3548" s="11"/>
      <c r="E3548" s="204" t="s">
        <v>7498</v>
      </c>
      <c r="F3548" s="985" t="s">
        <v>2006</v>
      </c>
      <c r="G3548" s="683" t="s">
        <v>12463</v>
      </c>
      <c r="H3548" s="683" t="s">
        <v>1002</v>
      </c>
      <c r="I3548" s="683" t="s">
        <v>1002</v>
      </c>
      <c r="J3548" s="683" t="s">
        <v>1</v>
      </c>
      <c r="K3548" s="683" t="s">
        <v>1</v>
      </c>
      <c r="L3548" s="683" t="s">
        <v>1</v>
      </c>
      <c r="M3548" s="683">
        <v>3</v>
      </c>
      <c r="N3548" s="683">
        <v>1</v>
      </c>
      <c r="O3548" s="683">
        <v>6</v>
      </c>
      <c r="P3548" s="683">
        <v>0</v>
      </c>
      <c r="Q3548" s="683">
        <v>3</v>
      </c>
      <c r="R3548" s="1282">
        <v>91275</v>
      </c>
      <c r="S3548" s="1282">
        <v>91275</v>
      </c>
      <c r="T3548" s="683" t="s">
        <v>12425</v>
      </c>
      <c r="U3548" s="740" t="s">
        <v>678</v>
      </c>
      <c r="V3548" s="204" t="s">
        <v>5990</v>
      </c>
      <c r="W3548" s="683"/>
      <c r="X3548" s="18"/>
      <c r="Y3548" s="4"/>
      <c r="Z3548" s="4"/>
    </row>
    <row r="3549" spans="1:26" ht="14.1" hidden="1">
      <c r="A3549" s="20">
        <f t="shared" si="195"/>
        <v>3556</v>
      </c>
      <c r="B3549" s="1063">
        <v>43326</v>
      </c>
      <c r="C3549" s="934" t="s">
        <v>12464</v>
      </c>
      <c r="D3549" s="11" t="s">
        <v>6</v>
      </c>
      <c r="E3549" s="204" t="s">
        <v>7498</v>
      </c>
      <c r="F3549" s="934" t="s">
        <v>1587</v>
      </c>
      <c r="G3549" s="204" t="s">
        <v>12465</v>
      </c>
      <c r="H3549" s="204" t="s">
        <v>12466</v>
      </c>
      <c r="I3549" s="204" t="s">
        <v>1022</v>
      </c>
      <c r="J3549" s="204"/>
      <c r="K3549" s="450" t="s">
        <v>12467</v>
      </c>
      <c r="L3549" s="204" t="s">
        <v>149</v>
      </c>
      <c r="M3549" s="204">
        <v>1</v>
      </c>
      <c r="N3549" s="204">
        <v>1</v>
      </c>
      <c r="O3549" s="204">
        <v>1</v>
      </c>
      <c r="P3549" s="204">
        <v>0</v>
      </c>
      <c r="Q3549" s="572">
        <v>0</v>
      </c>
      <c r="R3549" s="1282">
        <v>10650</v>
      </c>
      <c r="S3549" s="1282">
        <v>10650</v>
      </c>
      <c r="T3549" s="204" t="s">
        <v>311</v>
      </c>
      <c r="U3549" s="1901" t="s">
        <v>311</v>
      </c>
      <c r="V3549" s="204" t="s">
        <v>3187</v>
      </c>
      <c r="W3549" s="804" t="s">
        <v>12468</v>
      </c>
      <c r="X3549" s="18"/>
      <c r="Y3549" s="4"/>
      <c r="Z3549" s="4"/>
    </row>
    <row r="3550" spans="1:26" ht="14.1" hidden="1">
      <c r="A3550" s="20">
        <f t="shared" si="195"/>
        <v>3557</v>
      </c>
      <c r="B3550" s="1063">
        <v>43327</v>
      </c>
      <c r="C3550" s="934" t="s">
        <v>12469</v>
      </c>
      <c r="D3550" s="10"/>
      <c r="E3550" s="204" t="s">
        <v>12419</v>
      </c>
      <c r="F3550" s="934" t="s">
        <v>784</v>
      </c>
      <c r="G3550" s="204" t="s">
        <v>12470</v>
      </c>
      <c r="H3550" s="204" t="s">
        <v>12471</v>
      </c>
      <c r="I3550" s="204" t="s">
        <v>39</v>
      </c>
      <c r="J3550" s="204" t="s">
        <v>149</v>
      </c>
      <c r="K3550" s="204" t="s">
        <v>149</v>
      </c>
      <c r="L3550" s="204" t="s">
        <v>6661</v>
      </c>
      <c r="M3550" s="204">
        <v>1</v>
      </c>
      <c r="N3550" s="204">
        <v>1</v>
      </c>
      <c r="O3550" s="204">
        <v>1</v>
      </c>
      <c r="P3550" s="204">
        <v>0</v>
      </c>
      <c r="Q3550" s="572">
        <v>0</v>
      </c>
      <c r="R3550" s="1209">
        <v>9702</v>
      </c>
      <c r="S3550" s="1209">
        <f>R3550*O3550</f>
        <v>9702</v>
      </c>
      <c r="T3550" s="204" t="s">
        <v>1395</v>
      </c>
      <c r="U3550" s="1901" t="s">
        <v>1395</v>
      </c>
      <c r="V3550" s="572" t="s">
        <v>12417</v>
      </c>
      <c r="W3550" s="681"/>
      <c r="X3550" s="18"/>
      <c r="Y3550" s="4"/>
      <c r="Z3550" s="4"/>
    </row>
    <row r="3551" spans="1:26" ht="14.1" hidden="1">
      <c r="A3551" s="20">
        <f t="shared" si="195"/>
        <v>3558</v>
      </c>
      <c r="B3551" s="1063">
        <v>43328</v>
      </c>
      <c r="C3551" s="934" t="s">
        <v>12472</v>
      </c>
      <c r="D3551" s="8" t="s">
        <v>6</v>
      </c>
      <c r="E3551" s="204" t="s">
        <v>7498</v>
      </c>
      <c r="F3551" s="934" t="s">
        <v>2693</v>
      </c>
      <c r="G3551" s="204" t="s">
        <v>12473</v>
      </c>
      <c r="H3551" s="204" t="s">
        <v>12474</v>
      </c>
      <c r="I3551" s="204" t="s">
        <v>1022</v>
      </c>
      <c r="J3551" s="204" t="s">
        <v>149</v>
      </c>
      <c r="K3551" s="204" t="s">
        <v>149</v>
      </c>
      <c r="L3551" s="204" t="s">
        <v>1</v>
      </c>
      <c r="M3551" s="204">
        <v>1</v>
      </c>
      <c r="N3551" s="204">
        <v>1</v>
      </c>
      <c r="O3551" s="204">
        <v>1</v>
      </c>
      <c r="P3551" s="204">
        <v>0</v>
      </c>
      <c r="Q3551" s="572">
        <v>1</v>
      </c>
      <c r="R3551" s="1209">
        <v>2499</v>
      </c>
      <c r="S3551" s="1209">
        <v>2499</v>
      </c>
      <c r="T3551" s="204" t="s">
        <v>311</v>
      </c>
      <c r="U3551" s="1901" t="s">
        <v>311</v>
      </c>
      <c r="V3551" s="572" t="s">
        <v>104</v>
      </c>
      <c r="W3551" s="804" t="s">
        <v>12475</v>
      </c>
      <c r="X3551" s="18"/>
      <c r="Y3551" s="4"/>
      <c r="Z3551" s="4"/>
    </row>
    <row r="3552" spans="1:26" ht="14.1" hidden="1">
      <c r="A3552" s="20">
        <f t="shared" si="195"/>
        <v>3559</v>
      </c>
      <c r="B3552" s="1063">
        <v>43329</v>
      </c>
      <c r="C3552" s="934" t="s">
        <v>12476</v>
      </c>
      <c r="D3552" s="10"/>
      <c r="E3552" s="204" t="s">
        <v>7498</v>
      </c>
      <c r="F3552" s="934" t="s">
        <v>2693</v>
      </c>
      <c r="G3552" s="204" t="s">
        <v>12477</v>
      </c>
      <c r="H3552" s="204" t="s">
        <v>12478</v>
      </c>
      <c r="I3552" s="204" t="s">
        <v>84</v>
      </c>
      <c r="J3552" s="204">
        <v>20832735</v>
      </c>
      <c r="K3552" s="204" t="s">
        <v>12479</v>
      </c>
      <c r="L3552" s="204" t="s">
        <v>1</v>
      </c>
      <c r="M3552" s="204">
        <v>1</v>
      </c>
      <c r="N3552" s="204">
        <v>1</v>
      </c>
      <c r="O3552" s="204">
        <v>1</v>
      </c>
      <c r="P3552" s="204">
        <v>0</v>
      </c>
      <c r="Q3552" s="572">
        <v>1</v>
      </c>
      <c r="R3552" s="1209">
        <v>1590</v>
      </c>
      <c r="S3552" s="1209">
        <v>1590</v>
      </c>
      <c r="T3552" s="204" t="s">
        <v>311</v>
      </c>
      <c r="U3552" s="1" t="s">
        <v>311</v>
      </c>
      <c r="V3552" s="572" t="s">
        <v>104</v>
      </c>
      <c r="W3552" s="681" t="s">
        <v>12480</v>
      </c>
      <c r="X3552" s="18"/>
      <c r="Y3552" s="4"/>
      <c r="Z3552" s="4"/>
    </row>
    <row r="3553" spans="1:26" ht="15.95" hidden="1">
      <c r="A3553" s="20">
        <f t="shared" si="195"/>
        <v>3560</v>
      </c>
      <c r="B3553" s="1063">
        <v>43330</v>
      </c>
      <c r="C3553" s="934" t="s">
        <v>12481</v>
      </c>
      <c r="D3553" s="10"/>
      <c r="E3553" s="204" t="s">
        <v>7498</v>
      </c>
      <c r="F3553" s="934" t="s">
        <v>2693</v>
      </c>
      <c r="G3553" s="204" t="s">
        <v>11697</v>
      </c>
      <c r="H3553" s="204" t="s">
        <v>11698</v>
      </c>
      <c r="I3553" s="204" t="s">
        <v>84</v>
      </c>
      <c r="J3553" s="204">
        <v>50433243</v>
      </c>
      <c r="K3553" s="228" t="s">
        <v>11699</v>
      </c>
      <c r="L3553" s="204" t="s">
        <v>149</v>
      </c>
      <c r="M3553" s="204">
        <v>1</v>
      </c>
      <c r="N3553" s="204">
        <v>1</v>
      </c>
      <c r="O3553" s="204">
        <v>1</v>
      </c>
      <c r="P3553" s="204">
        <v>0</v>
      </c>
      <c r="Q3553" s="572">
        <v>0</v>
      </c>
      <c r="R3553" s="1209">
        <v>1800</v>
      </c>
      <c r="S3553" s="1209">
        <v>1800</v>
      </c>
      <c r="T3553" s="204" t="s">
        <v>311</v>
      </c>
      <c r="U3553" s="1901" t="s">
        <v>311</v>
      </c>
      <c r="V3553" s="572" t="s">
        <v>11676</v>
      </c>
      <c r="W3553" s="804" t="s">
        <v>11700</v>
      </c>
      <c r="X3553" s="18"/>
      <c r="Y3553" s="4"/>
      <c r="Z3553" s="4"/>
    </row>
    <row r="3554" spans="1:26" ht="14.1" hidden="1">
      <c r="A3554" s="20">
        <f t="shared" si="195"/>
        <v>3561</v>
      </c>
      <c r="B3554" s="1063">
        <v>43331</v>
      </c>
      <c r="C3554" s="934" t="s">
        <v>12482</v>
      </c>
      <c r="D3554" s="11"/>
      <c r="E3554" s="204" t="s">
        <v>7498</v>
      </c>
      <c r="F3554" s="26" t="s">
        <v>10005</v>
      </c>
      <c r="G3554" s="204" t="s">
        <v>12483</v>
      </c>
      <c r="H3554" s="204" t="s">
        <v>12484</v>
      </c>
      <c r="I3554" s="204" t="s">
        <v>7274</v>
      </c>
      <c r="J3554" s="204" t="s">
        <v>1</v>
      </c>
      <c r="K3554" s="204" t="s">
        <v>12485</v>
      </c>
      <c r="L3554" s="204" t="s">
        <v>149</v>
      </c>
      <c r="M3554" s="204">
        <v>3</v>
      </c>
      <c r="N3554" s="204" t="s">
        <v>149</v>
      </c>
      <c r="O3554" s="204">
        <v>6</v>
      </c>
      <c r="P3554" s="204">
        <v>0</v>
      </c>
      <c r="Q3554" s="572">
        <v>3</v>
      </c>
      <c r="R3554" s="1209">
        <v>1890</v>
      </c>
      <c r="S3554" s="1209">
        <f>R3554*O3554</f>
        <v>11340</v>
      </c>
      <c r="T3554" s="204" t="s">
        <v>4220</v>
      </c>
      <c r="U3554" s="1901" t="s">
        <v>4220</v>
      </c>
      <c r="V3554" s="572" t="s">
        <v>5604</v>
      </c>
      <c r="W3554" s="681" t="s">
        <v>12486</v>
      </c>
      <c r="X3554" s="18"/>
      <c r="Y3554" s="4"/>
      <c r="Z3554" s="4"/>
    </row>
    <row r="3555" spans="1:26" ht="14.45" hidden="1">
      <c r="A3555" s="20">
        <f>A3556+1</f>
        <v>3563</v>
      </c>
      <c r="B3555" s="1063">
        <v>43332</v>
      </c>
      <c r="C3555" s="992" t="s">
        <v>12487</v>
      </c>
      <c r="D3555" s="11"/>
      <c r="E3555" s="243" t="s">
        <v>12488</v>
      </c>
      <c r="F3555" s="998" t="s">
        <v>12489</v>
      </c>
      <c r="G3555" s="328" t="s">
        <v>12490</v>
      </c>
      <c r="H3555" s="328" t="s">
        <v>7319</v>
      </c>
      <c r="I3555" s="470" t="s">
        <v>322</v>
      </c>
      <c r="J3555" s="1087" t="s">
        <v>990</v>
      </c>
      <c r="K3555" s="452" t="s">
        <v>990</v>
      </c>
      <c r="L3555" s="243" t="s">
        <v>12491</v>
      </c>
      <c r="M3555" s="243">
        <v>13</v>
      </c>
      <c r="N3555" s="243">
        <v>50</v>
      </c>
      <c r="O3555" s="243">
        <v>50</v>
      </c>
      <c r="P3555" s="243">
        <v>7</v>
      </c>
      <c r="Q3555" s="243">
        <v>37</v>
      </c>
      <c r="R3555" s="1263">
        <v>1990</v>
      </c>
      <c r="S3555" s="1263">
        <v>1990</v>
      </c>
      <c r="T3555" s="470" t="s">
        <v>3961</v>
      </c>
      <c r="U3555" s="1931" t="s">
        <v>9101</v>
      </c>
      <c r="V3555" s="195" t="s">
        <v>9064</v>
      </c>
      <c r="W3555" s="756" t="s">
        <v>12492</v>
      </c>
      <c r="X3555" s="328"/>
      <c r="Y3555" s="325"/>
      <c r="Z3555" s="325"/>
    </row>
    <row r="3556" spans="1:26" ht="14.45" hidden="1">
      <c r="A3556" s="20">
        <f t="shared" ref="A3556:A3557" si="215">A3554+1</f>
        <v>3562</v>
      </c>
      <c r="B3556" s="1063">
        <v>43333</v>
      </c>
      <c r="C3556" s="993" t="s">
        <v>12493</v>
      </c>
      <c r="D3556" s="11"/>
      <c r="E3556" s="243" t="s">
        <v>12488</v>
      </c>
      <c r="F3556" s="993" t="s">
        <v>12489</v>
      </c>
      <c r="G3556" s="757" t="s">
        <v>12494</v>
      </c>
      <c r="H3556" s="757" t="s">
        <v>12495</v>
      </c>
      <c r="I3556" s="1076" t="s">
        <v>322</v>
      </c>
      <c r="J3556" s="1076" t="s">
        <v>12496</v>
      </c>
      <c r="K3556" s="757" t="s">
        <v>12497</v>
      </c>
      <c r="L3556" s="1076" t="s">
        <v>12498</v>
      </c>
      <c r="M3556" s="1076">
        <v>2</v>
      </c>
      <c r="N3556" s="1076">
        <v>1</v>
      </c>
      <c r="O3556" s="1076">
        <v>2</v>
      </c>
      <c r="P3556" s="1076">
        <v>0</v>
      </c>
      <c r="Q3556" s="1076">
        <v>1</v>
      </c>
      <c r="R3556" s="1317">
        <v>1690</v>
      </c>
      <c r="S3556" s="1317">
        <v>3380</v>
      </c>
      <c r="T3556" s="1076" t="s">
        <v>3961</v>
      </c>
      <c r="U3556" s="1932" t="s">
        <v>9101</v>
      </c>
      <c r="V3556" s="195" t="s">
        <v>9064</v>
      </c>
      <c r="W3556" s="727" t="s">
        <v>12499</v>
      </c>
      <c r="X3556" s="757"/>
      <c r="Y3556" s="453"/>
      <c r="Z3556" s="453"/>
    </row>
    <row r="3557" spans="1:26" ht="15.6" hidden="1">
      <c r="A3557" s="20">
        <f t="shared" si="215"/>
        <v>3564</v>
      </c>
      <c r="B3557" s="1063">
        <v>43334</v>
      </c>
      <c r="C3557" s="994" t="s">
        <v>12500</v>
      </c>
      <c r="D3557" s="11"/>
      <c r="E3557" s="243" t="s">
        <v>12488</v>
      </c>
      <c r="F3557" s="998" t="s">
        <v>12489</v>
      </c>
      <c r="G3557" s="328" t="s">
        <v>12501</v>
      </c>
      <c r="H3557" s="451" t="s">
        <v>366</v>
      </c>
      <c r="I3557" s="470" t="s">
        <v>366</v>
      </c>
      <c r="J3557" s="470" t="s">
        <v>12502</v>
      </c>
      <c r="K3557" s="454" t="s">
        <v>12502</v>
      </c>
      <c r="L3557" s="1110" t="s">
        <v>12503</v>
      </c>
      <c r="M3557" s="567">
        <v>72</v>
      </c>
      <c r="N3557" s="243">
        <v>1</v>
      </c>
      <c r="O3557" s="243">
        <v>72</v>
      </c>
      <c r="P3557" s="243">
        <v>0</v>
      </c>
      <c r="Q3557" s="243">
        <v>0</v>
      </c>
      <c r="R3557" s="1263">
        <v>130</v>
      </c>
      <c r="S3557" s="1263">
        <v>9360</v>
      </c>
      <c r="T3557" s="470" t="s">
        <v>3961</v>
      </c>
      <c r="U3557" s="1931" t="s">
        <v>9101</v>
      </c>
      <c r="V3557" s="195" t="s">
        <v>9064</v>
      </c>
      <c r="W3557" s="756" t="s">
        <v>12504</v>
      </c>
      <c r="X3557" s="328"/>
      <c r="Y3557" s="325"/>
      <c r="Z3557" s="325"/>
    </row>
    <row r="3558" spans="1:26" ht="15.6" hidden="1">
      <c r="A3558" s="20">
        <f t="shared" ref="A3558:A3812" si="216">A3557+1</f>
        <v>3565</v>
      </c>
      <c r="B3558" s="1063">
        <v>43335</v>
      </c>
      <c r="C3558" s="995" t="s">
        <v>12500</v>
      </c>
      <c r="D3558" s="11"/>
      <c r="E3558" s="243" t="s">
        <v>12488</v>
      </c>
      <c r="F3558" s="998" t="s">
        <v>12489</v>
      </c>
      <c r="G3558" s="328" t="s">
        <v>12505</v>
      </c>
      <c r="H3558" s="451" t="s">
        <v>366</v>
      </c>
      <c r="I3558" s="470" t="s">
        <v>366</v>
      </c>
      <c r="J3558" s="566" t="s">
        <v>367</v>
      </c>
      <c r="K3558" s="454" t="s">
        <v>367</v>
      </c>
      <c r="L3558" s="1110" t="s">
        <v>12503</v>
      </c>
      <c r="M3558" s="567">
        <v>24</v>
      </c>
      <c r="N3558" s="243">
        <v>1</v>
      </c>
      <c r="O3558" s="243">
        <v>50</v>
      </c>
      <c r="P3558" s="243">
        <v>8</v>
      </c>
      <c r="Q3558" s="243">
        <v>26</v>
      </c>
      <c r="R3558" s="1263">
        <v>130</v>
      </c>
      <c r="S3558" s="1263">
        <v>6500</v>
      </c>
      <c r="T3558" s="470" t="s">
        <v>3961</v>
      </c>
      <c r="U3558" s="1931" t="s">
        <v>9101</v>
      </c>
      <c r="V3558" s="195" t="s">
        <v>9064</v>
      </c>
      <c r="W3558" s="756" t="s">
        <v>12506</v>
      </c>
      <c r="X3558" s="328"/>
      <c r="Y3558" s="325"/>
      <c r="Z3558" s="325"/>
    </row>
    <row r="3559" spans="1:26" ht="15.6" hidden="1">
      <c r="A3559" s="20">
        <f t="shared" si="216"/>
        <v>3566</v>
      </c>
      <c r="B3559" s="1063">
        <v>43336</v>
      </c>
      <c r="C3559" s="995" t="s">
        <v>12500</v>
      </c>
      <c r="D3559" s="11"/>
      <c r="E3559" s="243" t="s">
        <v>12488</v>
      </c>
      <c r="F3559" s="998" t="s">
        <v>12489</v>
      </c>
      <c r="G3559" s="328" t="s">
        <v>12507</v>
      </c>
      <c r="H3559" s="451" t="s">
        <v>366</v>
      </c>
      <c r="I3559" s="470" t="s">
        <v>366</v>
      </c>
      <c r="J3559" s="566" t="s">
        <v>370</v>
      </c>
      <c r="K3559" s="454" t="s">
        <v>370</v>
      </c>
      <c r="L3559" s="1110" t="s">
        <v>12503</v>
      </c>
      <c r="M3559" s="567">
        <v>7</v>
      </c>
      <c r="N3559" s="243">
        <v>1</v>
      </c>
      <c r="O3559" s="243">
        <v>7</v>
      </c>
      <c r="P3559" s="243">
        <v>9</v>
      </c>
      <c r="Q3559" s="243">
        <v>9</v>
      </c>
      <c r="R3559" s="1263">
        <v>260</v>
      </c>
      <c r="S3559" s="1263">
        <v>1820</v>
      </c>
      <c r="T3559" s="470" t="s">
        <v>3961</v>
      </c>
      <c r="U3559" s="1931" t="s">
        <v>9101</v>
      </c>
      <c r="V3559" s="195" t="s">
        <v>9064</v>
      </c>
      <c r="W3559" s="2134" t="s">
        <v>12504</v>
      </c>
      <c r="X3559" s="455"/>
      <c r="Y3559" s="325"/>
      <c r="Z3559" s="325"/>
    </row>
    <row r="3560" spans="1:26" ht="15.6" hidden="1">
      <c r="A3560" s="20">
        <f t="shared" si="216"/>
        <v>3567</v>
      </c>
      <c r="B3560" s="1063">
        <v>43337</v>
      </c>
      <c r="C3560" s="995" t="s">
        <v>12500</v>
      </c>
      <c r="D3560" s="11"/>
      <c r="E3560" s="243" t="s">
        <v>12488</v>
      </c>
      <c r="F3560" s="998" t="s">
        <v>12489</v>
      </c>
      <c r="G3560" s="328" t="s">
        <v>12508</v>
      </c>
      <c r="H3560" s="451" t="s">
        <v>366</v>
      </c>
      <c r="I3560" s="470" t="s">
        <v>366</v>
      </c>
      <c r="J3560" s="566" t="s">
        <v>372</v>
      </c>
      <c r="K3560" s="454" t="s">
        <v>372</v>
      </c>
      <c r="L3560" s="1110" t="s">
        <v>12503</v>
      </c>
      <c r="M3560" s="567">
        <v>15</v>
      </c>
      <c r="N3560" s="243">
        <v>1</v>
      </c>
      <c r="O3560" s="243">
        <v>15</v>
      </c>
      <c r="P3560" s="243">
        <v>1</v>
      </c>
      <c r="Q3560" s="243">
        <v>0</v>
      </c>
      <c r="R3560" s="1263">
        <v>270</v>
      </c>
      <c r="S3560" s="1263">
        <v>4050</v>
      </c>
      <c r="T3560" s="470" t="s">
        <v>3961</v>
      </c>
      <c r="U3560" s="1931" t="s">
        <v>9101</v>
      </c>
      <c r="V3560" s="195" t="s">
        <v>9064</v>
      </c>
      <c r="W3560" s="727" t="s">
        <v>12509</v>
      </c>
      <c r="X3560" s="328"/>
      <c r="Y3560" s="325"/>
      <c r="Z3560" s="325"/>
    </row>
    <row r="3561" spans="1:26" ht="15.6" hidden="1">
      <c r="A3561" s="20">
        <f t="shared" si="216"/>
        <v>3568</v>
      </c>
      <c r="B3561" s="1063">
        <v>43338</v>
      </c>
      <c r="C3561" s="995" t="s">
        <v>12510</v>
      </c>
      <c r="D3561" s="11"/>
      <c r="E3561" s="243" t="s">
        <v>12488</v>
      </c>
      <c r="F3561" s="998" t="s">
        <v>12489</v>
      </c>
      <c r="G3561" s="328" t="s">
        <v>12511</v>
      </c>
      <c r="H3561" s="328" t="s">
        <v>7319</v>
      </c>
      <c r="I3561" s="470" t="s">
        <v>366</v>
      </c>
      <c r="J3561" s="566" t="s">
        <v>2622</v>
      </c>
      <c r="K3561" s="454" t="s">
        <v>2622</v>
      </c>
      <c r="L3561" s="243" t="s">
        <v>12491</v>
      </c>
      <c r="M3561" s="567">
        <v>35</v>
      </c>
      <c r="N3561" s="243">
        <v>50</v>
      </c>
      <c r="O3561" s="243">
        <v>50</v>
      </c>
      <c r="P3561" s="243">
        <v>13</v>
      </c>
      <c r="Q3561" s="243">
        <v>15</v>
      </c>
      <c r="R3561" s="1263">
        <v>557</v>
      </c>
      <c r="S3561" s="1263">
        <v>27950</v>
      </c>
      <c r="T3561" s="470" t="s">
        <v>3961</v>
      </c>
      <c r="U3561" s="1931" t="s">
        <v>9101</v>
      </c>
      <c r="V3561" s="195" t="s">
        <v>9064</v>
      </c>
      <c r="W3561" s="2134" t="s">
        <v>12512</v>
      </c>
      <c r="X3561" s="455"/>
      <c r="Y3561" s="325"/>
      <c r="Z3561" s="325"/>
    </row>
    <row r="3562" spans="1:26" ht="15.6" hidden="1">
      <c r="A3562" s="20">
        <f t="shared" si="216"/>
        <v>3569</v>
      </c>
      <c r="B3562" s="1063">
        <v>43339</v>
      </c>
      <c r="C3562" s="995" t="s">
        <v>12510</v>
      </c>
      <c r="D3562" s="11"/>
      <c r="E3562" s="243" t="s">
        <v>12488</v>
      </c>
      <c r="F3562" s="998" t="s">
        <v>12489</v>
      </c>
      <c r="G3562" s="328" t="s">
        <v>12513</v>
      </c>
      <c r="H3562" s="328" t="s">
        <v>7319</v>
      </c>
      <c r="I3562" s="470" t="s">
        <v>366</v>
      </c>
      <c r="J3562" s="566" t="s">
        <v>12514</v>
      </c>
      <c r="K3562" s="454" t="s">
        <v>12514</v>
      </c>
      <c r="L3562" s="1110" t="s">
        <v>12503</v>
      </c>
      <c r="M3562" s="567">
        <v>26</v>
      </c>
      <c r="N3562" s="243">
        <v>1</v>
      </c>
      <c r="O3562" s="243">
        <v>50</v>
      </c>
      <c r="P3562" s="243">
        <v>6</v>
      </c>
      <c r="Q3562" s="243">
        <v>24</v>
      </c>
      <c r="R3562" s="1263">
        <v>12</v>
      </c>
      <c r="S3562" s="1263">
        <v>600</v>
      </c>
      <c r="T3562" s="470" t="s">
        <v>3961</v>
      </c>
      <c r="U3562" s="1931" t="s">
        <v>9101</v>
      </c>
      <c r="V3562" s="195" t="s">
        <v>9064</v>
      </c>
      <c r="W3562" s="2134" t="s">
        <v>12512</v>
      </c>
      <c r="X3562" s="455"/>
      <c r="Y3562" s="325"/>
      <c r="Z3562" s="325"/>
    </row>
    <row r="3563" spans="1:26" ht="15.6" hidden="1">
      <c r="A3563" s="20">
        <f t="shared" si="216"/>
        <v>3570</v>
      </c>
      <c r="B3563" s="1063">
        <v>43340</v>
      </c>
      <c r="C3563" s="995" t="s">
        <v>12510</v>
      </c>
      <c r="D3563" s="11"/>
      <c r="E3563" s="243" t="s">
        <v>12488</v>
      </c>
      <c r="F3563" s="998" t="s">
        <v>12489</v>
      </c>
      <c r="G3563" s="328" t="s">
        <v>12515</v>
      </c>
      <c r="H3563" s="328" t="s">
        <v>7319</v>
      </c>
      <c r="I3563" s="470" t="s">
        <v>366</v>
      </c>
      <c r="J3563" s="566" t="s">
        <v>12516</v>
      </c>
      <c r="K3563" s="454" t="s">
        <v>12516</v>
      </c>
      <c r="L3563" s="1110" t="s">
        <v>12503</v>
      </c>
      <c r="M3563" s="567">
        <v>32</v>
      </c>
      <c r="N3563" s="243">
        <v>1</v>
      </c>
      <c r="O3563" s="243">
        <v>50</v>
      </c>
      <c r="P3563" s="243">
        <v>0</v>
      </c>
      <c r="Q3563" s="243">
        <v>18</v>
      </c>
      <c r="R3563" s="1263">
        <v>12</v>
      </c>
      <c r="S3563" s="1263">
        <v>600</v>
      </c>
      <c r="T3563" s="470" t="s">
        <v>3961</v>
      </c>
      <c r="U3563" s="1931" t="s">
        <v>9101</v>
      </c>
      <c r="V3563" s="195" t="s">
        <v>9064</v>
      </c>
      <c r="W3563" s="2134" t="s">
        <v>12512</v>
      </c>
      <c r="X3563" s="455"/>
      <c r="Y3563" s="325"/>
      <c r="Z3563" s="325"/>
    </row>
    <row r="3564" spans="1:26" ht="15.6" hidden="1">
      <c r="A3564" s="20">
        <f t="shared" si="216"/>
        <v>3571</v>
      </c>
      <c r="B3564" s="1063">
        <v>43341</v>
      </c>
      <c r="C3564" s="995" t="s">
        <v>12510</v>
      </c>
      <c r="D3564" s="11"/>
      <c r="E3564" s="243" t="s">
        <v>12488</v>
      </c>
      <c r="F3564" s="998" t="s">
        <v>12489</v>
      </c>
      <c r="G3564" s="328" t="s">
        <v>12517</v>
      </c>
      <c r="H3564" s="328" t="s">
        <v>7319</v>
      </c>
      <c r="I3564" s="470" t="s">
        <v>366</v>
      </c>
      <c r="J3564" s="566" t="s">
        <v>10172</v>
      </c>
      <c r="K3564" s="454" t="s">
        <v>10172</v>
      </c>
      <c r="L3564" s="1110" t="s">
        <v>12503</v>
      </c>
      <c r="M3564" s="567">
        <v>15</v>
      </c>
      <c r="N3564" s="243">
        <v>1</v>
      </c>
      <c r="O3564" s="243">
        <v>50</v>
      </c>
      <c r="P3564" s="243">
        <v>1</v>
      </c>
      <c r="Q3564" s="243">
        <v>35</v>
      </c>
      <c r="R3564" s="1263">
        <v>12</v>
      </c>
      <c r="S3564" s="1263">
        <v>600</v>
      </c>
      <c r="T3564" s="470" t="s">
        <v>3961</v>
      </c>
      <c r="U3564" s="1931" t="s">
        <v>9101</v>
      </c>
      <c r="V3564" s="195" t="s">
        <v>9064</v>
      </c>
      <c r="W3564" s="2134" t="s">
        <v>12512</v>
      </c>
      <c r="X3564" s="455"/>
      <c r="Y3564" s="325"/>
      <c r="Z3564" s="325"/>
    </row>
    <row r="3565" spans="1:26" ht="15.6" hidden="1">
      <c r="A3565" s="20">
        <f t="shared" si="216"/>
        <v>3572</v>
      </c>
      <c r="B3565" s="1063">
        <v>43342</v>
      </c>
      <c r="C3565" s="995" t="s">
        <v>12510</v>
      </c>
      <c r="D3565" s="11"/>
      <c r="E3565" s="243" t="s">
        <v>12488</v>
      </c>
      <c r="F3565" s="998" t="s">
        <v>12489</v>
      </c>
      <c r="G3565" s="328" t="s">
        <v>12518</v>
      </c>
      <c r="H3565" s="328" t="s">
        <v>7319</v>
      </c>
      <c r="I3565" s="470" t="s">
        <v>366</v>
      </c>
      <c r="J3565" s="566" t="s">
        <v>12519</v>
      </c>
      <c r="K3565" s="454" t="s">
        <v>12519</v>
      </c>
      <c r="L3565" s="243" t="s">
        <v>12491</v>
      </c>
      <c r="M3565" s="567">
        <v>40</v>
      </c>
      <c r="N3565" s="243">
        <v>50</v>
      </c>
      <c r="O3565" s="243">
        <v>50</v>
      </c>
      <c r="P3565" s="243">
        <v>0</v>
      </c>
      <c r="Q3565" s="243">
        <v>10</v>
      </c>
      <c r="R3565" s="1263">
        <v>13</v>
      </c>
      <c r="S3565" s="1263">
        <v>650</v>
      </c>
      <c r="T3565" s="470" t="s">
        <v>3961</v>
      </c>
      <c r="U3565" s="1931" t="s">
        <v>9101</v>
      </c>
      <c r="V3565" s="195" t="s">
        <v>9064</v>
      </c>
      <c r="W3565" s="2134" t="s">
        <v>12512</v>
      </c>
      <c r="X3565" s="455"/>
      <c r="Y3565" s="325"/>
      <c r="Z3565" s="325"/>
    </row>
    <row r="3566" spans="1:26" ht="15.6" hidden="1">
      <c r="A3566" s="20">
        <f t="shared" si="216"/>
        <v>3573</v>
      </c>
      <c r="B3566" s="1063">
        <v>43343</v>
      </c>
      <c r="C3566" s="995" t="s">
        <v>12510</v>
      </c>
      <c r="D3566" s="11"/>
      <c r="E3566" s="243" t="s">
        <v>12488</v>
      </c>
      <c r="F3566" s="998" t="s">
        <v>12489</v>
      </c>
      <c r="G3566" s="328" t="s">
        <v>12520</v>
      </c>
      <c r="H3566" s="328" t="s">
        <v>7319</v>
      </c>
      <c r="I3566" s="470" t="s">
        <v>366</v>
      </c>
      <c r="J3566" s="566" t="s">
        <v>12521</v>
      </c>
      <c r="K3566" s="454" t="s">
        <v>12521</v>
      </c>
      <c r="L3566" s="243" t="s">
        <v>12491</v>
      </c>
      <c r="M3566" s="567">
        <v>16</v>
      </c>
      <c r="N3566" s="243">
        <v>50</v>
      </c>
      <c r="O3566" s="243">
        <v>50</v>
      </c>
      <c r="P3566" s="243">
        <v>0</v>
      </c>
      <c r="Q3566" s="243">
        <v>34</v>
      </c>
      <c r="R3566" s="1263">
        <v>15</v>
      </c>
      <c r="S3566" s="1263">
        <v>750</v>
      </c>
      <c r="T3566" s="470" t="s">
        <v>3961</v>
      </c>
      <c r="U3566" s="1931" t="s">
        <v>9101</v>
      </c>
      <c r="V3566" s="195" t="s">
        <v>9064</v>
      </c>
      <c r="W3566" s="2134" t="s">
        <v>12512</v>
      </c>
      <c r="X3566" s="455"/>
      <c r="Y3566" s="325"/>
      <c r="Z3566" s="325"/>
    </row>
    <row r="3567" spans="1:26" ht="15.6" hidden="1">
      <c r="A3567" s="20">
        <f t="shared" si="216"/>
        <v>3574</v>
      </c>
      <c r="B3567" s="1063">
        <v>43344</v>
      </c>
      <c r="C3567" s="995" t="s">
        <v>12510</v>
      </c>
      <c r="D3567" s="11"/>
      <c r="E3567" s="243" t="s">
        <v>12488</v>
      </c>
      <c r="F3567" s="998" t="s">
        <v>12489</v>
      </c>
      <c r="G3567" s="328" t="s">
        <v>12522</v>
      </c>
      <c r="H3567" s="328" t="s">
        <v>7319</v>
      </c>
      <c r="I3567" s="470" t="s">
        <v>366</v>
      </c>
      <c r="J3567" s="566" t="s">
        <v>12523</v>
      </c>
      <c r="K3567" s="454" t="s">
        <v>12523</v>
      </c>
      <c r="L3567" s="243" t="s">
        <v>12491</v>
      </c>
      <c r="M3567" s="567">
        <v>14</v>
      </c>
      <c r="N3567" s="243">
        <v>50</v>
      </c>
      <c r="O3567" s="243">
        <v>50</v>
      </c>
      <c r="P3567" s="243">
        <v>2</v>
      </c>
      <c r="Q3567" s="243">
        <v>36</v>
      </c>
      <c r="R3567" s="1263">
        <v>23</v>
      </c>
      <c r="S3567" s="1263">
        <v>1150</v>
      </c>
      <c r="T3567" s="470" t="s">
        <v>3961</v>
      </c>
      <c r="U3567" s="1931" t="s">
        <v>9101</v>
      </c>
      <c r="V3567" s="195" t="s">
        <v>9064</v>
      </c>
      <c r="W3567" s="2134" t="s">
        <v>12512</v>
      </c>
      <c r="X3567" s="455"/>
      <c r="Y3567" s="325"/>
      <c r="Z3567" s="325"/>
    </row>
    <row r="3568" spans="1:26" ht="15.6" hidden="1">
      <c r="A3568" s="20">
        <f t="shared" si="216"/>
        <v>3575</v>
      </c>
      <c r="B3568" s="1063">
        <v>43345</v>
      </c>
      <c r="C3568" s="995" t="s">
        <v>12524</v>
      </c>
      <c r="D3568" s="11"/>
      <c r="E3568" s="243" t="s">
        <v>12488</v>
      </c>
      <c r="F3568" s="998" t="s">
        <v>12489</v>
      </c>
      <c r="G3568" s="328" t="s">
        <v>12525</v>
      </c>
      <c r="H3568" s="328" t="s">
        <v>7319</v>
      </c>
      <c r="I3568" s="470" t="s">
        <v>366</v>
      </c>
      <c r="J3568" s="566" t="s">
        <v>3980</v>
      </c>
      <c r="K3568" s="454" t="s">
        <v>3980</v>
      </c>
      <c r="L3568" s="1110" t="s">
        <v>12503</v>
      </c>
      <c r="M3568" s="567">
        <v>8</v>
      </c>
      <c r="N3568" s="243">
        <v>1</v>
      </c>
      <c r="O3568" s="243">
        <v>20</v>
      </c>
      <c r="P3568" s="243">
        <v>0</v>
      </c>
      <c r="Q3568" s="243">
        <v>12</v>
      </c>
      <c r="R3568" s="1263">
        <v>8</v>
      </c>
      <c r="S3568" s="1263">
        <v>160</v>
      </c>
      <c r="T3568" s="470" t="s">
        <v>3961</v>
      </c>
      <c r="U3568" s="1931" t="s">
        <v>9101</v>
      </c>
      <c r="V3568" s="195" t="s">
        <v>9064</v>
      </c>
      <c r="W3568" s="2134" t="s">
        <v>12526</v>
      </c>
      <c r="X3568" s="455"/>
      <c r="Y3568" s="325"/>
      <c r="Z3568" s="325"/>
    </row>
    <row r="3569" spans="1:26" ht="15.6" hidden="1">
      <c r="A3569" s="20">
        <f t="shared" si="216"/>
        <v>3576</v>
      </c>
      <c r="B3569" s="1063">
        <v>43346</v>
      </c>
      <c r="C3569" s="995" t="s">
        <v>12527</v>
      </c>
      <c r="D3569" s="11"/>
      <c r="E3569" s="243" t="s">
        <v>12488</v>
      </c>
      <c r="F3569" s="998" t="s">
        <v>12489</v>
      </c>
      <c r="G3569" s="328" t="s">
        <v>12528</v>
      </c>
      <c r="H3569" s="451" t="s">
        <v>366</v>
      </c>
      <c r="I3569" s="470" t="s">
        <v>366</v>
      </c>
      <c r="J3569" s="566" t="s">
        <v>5532</v>
      </c>
      <c r="K3569" s="454" t="s">
        <v>5532</v>
      </c>
      <c r="L3569" s="1110" t="s">
        <v>12503</v>
      </c>
      <c r="M3569" s="567">
        <v>16</v>
      </c>
      <c r="N3569" s="243">
        <v>1</v>
      </c>
      <c r="O3569" s="243">
        <v>16</v>
      </c>
      <c r="P3569" s="243">
        <v>0</v>
      </c>
      <c r="Q3569" s="243">
        <v>0</v>
      </c>
      <c r="R3569" s="1263">
        <v>470</v>
      </c>
      <c r="S3569" s="1263">
        <v>7520</v>
      </c>
      <c r="T3569" s="470" t="s">
        <v>3961</v>
      </c>
      <c r="U3569" s="1931" t="s">
        <v>9101</v>
      </c>
      <c r="V3569" s="195" t="s">
        <v>9064</v>
      </c>
      <c r="W3569" s="2134" t="s">
        <v>12529</v>
      </c>
      <c r="X3569" s="455"/>
      <c r="Y3569" s="325"/>
      <c r="Z3569" s="325"/>
    </row>
    <row r="3570" spans="1:26" ht="15.6" hidden="1">
      <c r="A3570" s="20">
        <f t="shared" si="216"/>
        <v>3577</v>
      </c>
      <c r="B3570" s="1063">
        <v>43347</v>
      </c>
      <c r="C3570" s="995" t="s">
        <v>12530</v>
      </c>
      <c r="D3570" s="11"/>
      <c r="E3570" s="243" t="s">
        <v>12531</v>
      </c>
      <c r="F3570" s="998" t="s">
        <v>12489</v>
      </c>
      <c r="G3570" s="328" t="s">
        <v>12532</v>
      </c>
      <c r="H3570" s="328" t="s">
        <v>12533</v>
      </c>
      <c r="I3570" s="470" t="s">
        <v>366</v>
      </c>
      <c r="J3570" s="566" t="s">
        <v>12534</v>
      </c>
      <c r="K3570" s="454" t="s">
        <v>12534</v>
      </c>
      <c r="L3570" s="1110" t="s">
        <v>12503</v>
      </c>
      <c r="M3570" s="567">
        <v>215</v>
      </c>
      <c r="N3570" s="243">
        <v>1</v>
      </c>
      <c r="O3570" s="243">
        <v>215</v>
      </c>
      <c r="P3570" s="243">
        <v>21</v>
      </c>
      <c r="Q3570" s="243">
        <v>0</v>
      </c>
      <c r="R3570" s="1263">
        <v>19</v>
      </c>
      <c r="S3570" s="1263">
        <v>4085</v>
      </c>
      <c r="T3570" s="470" t="s">
        <v>3961</v>
      </c>
      <c r="U3570" s="1931" t="s">
        <v>9101</v>
      </c>
      <c r="V3570" s="195" t="s">
        <v>9064</v>
      </c>
      <c r="W3570" s="2134" t="s">
        <v>12535</v>
      </c>
      <c r="X3570" s="455"/>
      <c r="Y3570" s="325"/>
      <c r="Z3570" s="325"/>
    </row>
    <row r="3571" spans="1:26" ht="15.6" hidden="1">
      <c r="A3571" s="20">
        <f t="shared" si="216"/>
        <v>3578</v>
      </c>
      <c r="B3571" s="1063">
        <v>43348</v>
      </c>
      <c r="C3571" s="995" t="s">
        <v>12530</v>
      </c>
      <c r="D3571" s="11"/>
      <c r="E3571" s="243" t="s">
        <v>12488</v>
      </c>
      <c r="F3571" s="998" t="s">
        <v>12489</v>
      </c>
      <c r="G3571" s="328" t="s">
        <v>12536</v>
      </c>
      <c r="H3571" s="328" t="s">
        <v>12533</v>
      </c>
      <c r="I3571" s="470" t="s">
        <v>366</v>
      </c>
      <c r="J3571" s="566" t="s">
        <v>12537</v>
      </c>
      <c r="K3571" s="454" t="s">
        <v>12537</v>
      </c>
      <c r="L3571" s="1110" t="s">
        <v>12503</v>
      </c>
      <c r="M3571" s="567">
        <v>8</v>
      </c>
      <c r="N3571" s="243">
        <v>1</v>
      </c>
      <c r="O3571" s="243">
        <v>8</v>
      </c>
      <c r="P3571" s="243">
        <v>0</v>
      </c>
      <c r="Q3571" s="243">
        <v>0</v>
      </c>
      <c r="R3571" s="1263">
        <v>32</v>
      </c>
      <c r="S3571" s="1263">
        <v>256</v>
      </c>
      <c r="T3571" s="470" t="s">
        <v>3961</v>
      </c>
      <c r="U3571" s="1931" t="s">
        <v>9101</v>
      </c>
      <c r="V3571" s="195" t="s">
        <v>9064</v>
      </c>
      <c r="W3571" s="2134" t="s">
        <v>12535</v>
      </c>
      <c r="X3571" s="455"/>
      <c r="Y3571" s="325"/>
      <c r="Z3571" s="325"/>
    </row>
    <row r="3572" spans="1:26" ht="15.6" hidden="1">
      <c r="A3572" s="20">
        <f t="shared" si="216"/>
        <v>3579</v>
      </c>
      <c r="B3572" s="1063">
        <v>43349</v>
      </c>
      <c r="C3572" s="995" t="s">
        <v>9370</v>
      </c>
      <c r="D3572" s="11"/>
      <c r="E3572" s="243" t="s">
        <v>12488</v>
      </c>
      <c r="F3572" s="998" t="s">
        <v>12489</v>
      </c>
      <c r="G3572" s="328" t="s">
        <v>1521</v>
      </c>
      <c r="H3572" s="451" t="s">
        <v>366</v>
      </c>
      <c r="I3572" s="470" t="s">
        <v>366</v>
      </c>
      <c r="J3572" s="566" t="s">
        <v>379</v>
      </c>
      <c r="K3572" s="454" t="s">
        <v>379</v>
      </c>
      <c r="L3572" s="1110" t="s">
        <v>12503</v>
      </c>
      <c r="M3572" s="567">
        <v>7</v>
      </c>
      <c r="N3572" s="243">
        <v>1</v>
      </c>
      <c r="O3572" s="243">
        <v>100</v>
      </c>
      <c r="P3572" s="243">
        <v>25</v>
      </c>
      <c r="Q3572" s="243">
        <v>93</v>
      </c>
      <c r="R3572" s="1263">
        <v>4</v>
      </c>
      <c r="S3572" s="1263">
        <v>400</v>
      </c>
      <c r="T3572" s="470" t="s">
        <v>3961</v>
      </c>
      <c r="U3572" s="1931" t="s">
        <v>9101</v>
      </c>
      <c r="V3572" s="195" t="s">
        <v>9064</v>
      </c>
      <c r="W3572" s="2134" t="s">
        <v>12538</v>
      </c>
      <c r="X3572" s="455"/>
      <c r="Y3572" s="325"/>
      <c r="Z3572" s="325"/>
    </row>
    <row r="3573" spans="1:26" ht="15.6" hidden="1">
      <c r="A3573" s="20">
        <f t="shared" si="216"/>
        <v>3580</v>
      </c>
      <c r="B3573" s="1063">
        <v>43350</v>
      </c>
      <c r="C3573" s="995" t="s">
        <v>12539</v>
      </c>
      <c r="D3573" s="11"/>
      <c r="E3573" s="243" t="s">
        <v>12488</v>
      </c>
      <c r="F3573" s="998" t="s">
        <v>12489</v>
      </c>
      <c r="G3573" s="328" t="s">
        <v>12540</v>
      </c>
      <c r="H3573" s="328" t="s">
        <v>12533</v>
      </c>
      <c r="I3573" s="470" t="s">
        <v>366</v>
      </c>
      <c r="J3573" s="566" t="s">
        <v>12541</v>
      </c>
      <c r="K3573" s="454" t="s">
        <v>12541</v>
      </c>
      <c r="L3573" s="1110" t="s">
        <v>12503</v>
      </c>
      <c r="M3573" s="567">
        <v>64</v>
      </c>
      <c r="N3573" s="243">
        <v>1</v>
      </c>
      <c r="O3573" s="243">
        <v>64</v>
      </c>
      <c r="P3573" s="243">
        <v>0</v>
      </c>
      <c r="Q3573" s="243">
        <v>0</v>
      </c>
      <c r="R3573" s="1263">
        <v>31</v>
      </c>
      <c r="S3573" s="1263">
        <v>1984</v>
      </c>
      <c r="T3573" s="470" t="s">
        <v>3961</v>
      </c>
      <c r="U3573" s="1931" t="s">
        <v>9101</v>
      </c>
      <c r="V3573" s="195" t="s">
        <v>9064</v>
      </c>
      <c r="W3573" s="2134" t="s">
        <v>12542</v>
      </c>
      <c r="X3573" s="455"/>
      <c r="Y3573" s="325"/>
      <c r="Z3573" s="325"/>
    </row>
    <row r="3574" spans="1:26" ht="15.6" hidden="1">
      <c r="A3574" s="20">
        <f t="shared" si="216"/>
        <v>3581</v>
      </c>
      <c r="B3574" s="1063">
        <v>43351</v>
      </c>
      <c r="C3574" s="995" t="s">
        <v>12543</v>
      </c>
      <c r="D3574" s="11"/>
      <c r="E3574" s="243" t="s">
        <v>12531</v>
      </c>
      <c r="F3574" s="998" t="s">
        <v>12489</v>
      </c>
      <c r="G3574" s="328" t="s">
        <v>12501</v>
      </c>
      <c r="H3574" s="328" t="s">
        <v>12533</v>
      </c>
      <c r="I3574" s="470" t="s">
        <v>366</v>
      </c>
      <c r="J3574" s="566" t="s">
        <v>12544</v>
      </c>
      <c r="K3574" s="454" t="s">
        <v>12544</v>
      </c>
      <c r="L3574" s="1110" t="s">
        <v>12503</v>
      </c>
      <c r="M3574" s="567">
        <v>16</v>
      </c>
      <c r="N3574" s="243">
        <v>1</v>
      </c>
      <c r="O3574" s="243">
        <v>16</v>
      </c>
      <c r="P3574" s="243">
        <v>0</v>
      </c>
      <c r="Q3574" s="243">
        <v>0</v>
      </c>
      <c r="R3574" s="1263">
        <v>144</v>
      </c>
      <c r="S3574" s="1263">
        <v>2304</v>
      </c>
      <c r="T3574" s="470" t="s">
        <v>3961</v>
      </c>
      <c r="U3574" s="1931" t="s">
        <v>9101</v>
      </c>
      <c r="V3574" s="195" t="s">
        <v>9064</v>
      </c>
      <c r="W3574" s="2134" t="s">
        <v>12545</v>
      </c>
      <c r="X3574" s="455"/>
      <c r="Y3574" s="325"/>
      <c r="Z3574" s="325"/>
    </row>
    <row r="3575" spans="1:26" ht="15.6" hidden="1">
      <c r="A3575" s="20">
        <f t="shared" si="216"/>
        <v>3582</v>
      </c>
      <c r="B3575" s="1063">
        <v>43352</v>
      </c>
      <c r="C3575" s="995" t="s">
        <v>12546</v>
      </c>
      <c r="D3575" s="11"/>
      <c r="E3575" s="243" t="s">
        <v>12488</v>
      </c>
      <c r="F3575" s="998" t="s">
        <v>12489</v>
      </c>
      <c r="G3575" s="328" t="s">
        <v>12547</v>
      </c>
      <c r="H3575" s="328" t="s">
        <v>12533</v>
      </c>
      <c r="I3575" s="470" t="s">
        <v>366</v>
      </c>
      <c r="J3575" s="566" t="s">
        <v>12548</v>
      </c>
      <c r="K3575" s="454" t="s">
        <v>12548</v>
      </c>
      <c r="L3575" s="1110" t="s">
        <v>12503</v>
      </c>
      <c r="M3575" s="567">
        <v>17</v>
      </c>
      <c r="N3575" s="243"/>
      <c r="O3575" s="243">
        <v>17</v>
      </c>
      <c r="P3575" s="243">
        <v>15</v>
      </c>
      <c r="Q3575" s="243">
        <v>0</v>
      </c>
      <c r="R3575" s="1263">
        <v>46</v>
      </c>
      <c r="S3575" s="1263">
        <v>782</v>
      </c>
      <c r="T3575" s="470" t="s">
        <v>3961</v>
      </c>
      <c r="U3575" s="1931" t="s">
        <v>9101</v>
      </c>
      <c r="V3575" s="195" t="s">
        <v>9064</v>
      </c>
      <c r="W3575" s="2134" t="s">
        <v>12549</v>
      </c>
      <c r="X3575" s="455"/>
      <c r="Y3575" s="325"/>
      <c r="Z3575" s="325"/>
    </row>
    <row r="3576" spans="1:26" ht="15.6" hidden="1">
      <c r="A3576" s="20">
        <f t="shared" si="216"/>
        <v>3583</v>
      </c>
      <c r="B3576" s="1063">
        <v>43353</v>
      </c>
      <c r="C3576" s="995" t="s">
        <v>12546</v>
      </c>
      <c r="D3576" s="11"/>
      <c r="E3576" s="243" t="s">
        <v>12488</v>
      </c>
      <c r="F3576" s="998" t="s">
        <v>12489</v>
      </c>
      <c r="G3576" s="328" t="s">
        <v>12550</v>
      </c>
      <c r="H3576" s="328" t="s">
        <v>12533</v>
      </c>
      <c r="I3576" s="470" t="s">
        <v>366</v>
      </c>
      <c r="J3576" s="566" t="s">
        <v>12551</v>
      </c>
      <c r="K3576" s="454" t="s">
        <v>12551</v>
      </c>
      <c r="L3576" s="1110" t="s">
        <v>12503</v>
      </c>
      <c r="M3576" s="567">
        <v>11</v>
      </c>
      <c r="N3576" s="243">
        <v>1</v>
      </c>
      <c r="O3576" s="243">
        <v>11</v>
      </c>
      <c r="P3576" s="243">
        <v>5</v>
      </c>
      <c r="Q3576" s="243">
        <v>0</v>
      </c>
      <c r="R3576" s="1263">
        <v>62</v>
      </c>
      <c r="S3576" s="1263">
        <v>682</v>
      </c>
      <c r="T3576" s="470" t="s">
        <v>3961</v>
      </c>
      <c r="U3576" s="1931" t="s">
        <v>9101</v>
      </c>
      <c r="V3576" s="195" t="s">
        <v>9064</v>
      </c>
      <c r="W3576" s="2134" t="s">
        <v>12549</v>
      </c>
      <c r="X3576" s="455"/>
      <c r="Y3576" s="325"/>
      <c r="Z3576" s="325"/>
    </row>
    <row r="3577" spans="1:26" ht="15.6" hidden="1">
      <c r="A3577" s="20">
        <f t="shared" si="216"/>
        <v>3584</v>
      </c>
      <c r="B3577" s="1063">
        <v>43354</v>
      </c>
      <c r="C3577" s="995" t="s">
        <v>12546</v>
      </c>
      <c r="D3577" s="11"/>
      <c r="E3577" s="243" t="s">
        <v>12488</v>
      </c>
      <c r="F3577" s="998" t="s">
        <v>12489</v>
      </c>
      <c r="G3577" s="328" t="s">
        <v>12552</v>
      </c>
      <c r="H3577" s="328" t="s">
        <v>12533</v>
      </c>
      <c r="I3577" s="470" t="s">
        <v>366</v>
      </c>
      <c r="J3577" s="566" t="s">
        <v>12553</v>
      </c>
      <c r="K3577" s="454" t="s">
        <v>12553</v>
      </c>
      <c r="L3577" s="1110" t="s">
        <v>12503</v>
      </c>
      <c r="M3577" s="567">
        <v>4</v>
      </c>
      <c r="N3577" s="243">
        <v>1</v>
      </c>
      <c r="O3577" s="243">
        <v>4</v>
      </c>
      <c r="P3577" s="243">
        <v>4</v>
      </c>
      <c r="Q3577" s="243">
        <v>0</v>
      </c>
      <c r="R3577" s="1263">
        <v>94</v>
      </c>
      <c r="S3577" s="1263">
        <v>376</v>
      </c>
      <c r="T3577" s="470" t="s">
        <v>3961</v>
      </c>
      <c r="U3577" s="1931" t="s">
        <v>9101</v>
      </c>
      <c r="V3577" s="195" t="s">
        <v>9064</v>
      </c>
      <c r="W3577" s="2134" t="s">
        <v>12549</v>
      </c>
      <c r="X3577" s="455"/>
      <c r="Y3577" s="325"/>
      <c r="Z3577" s="325"/>
    </row>
    <row r="3578" spans="1:26" ht="15.6" hidden="1">
      <c r="A3578" s="20">
        <f t="shared" si="216"/>
        <v>3585</v>
      </c>
      <c r="B3578" s="1063">
        <v>43355</v>
      </c>
      <c r="C3578" s="995" t="s">
        <v>12546</v>
      </c>
      <c r="D3578" s="11"/>
      <c r="E3578" s="243" t="s">
        <v>12488</v>
      </c>
      <c r="F3578" s="998" t="s">
        <v>12489</v>
      </c>
      <c r="G3578" s="328" t="s">
        <v>12505</v>
      </c>
      <c r="H3578" s="328" t="s">
        <v>12533</v>
      </c>
      <c r="I3578" s="470" t="s">
        <v>366</v>
      </c>
      <c r="J3578" s="566" t="s">
        <v>12554</v>
      </c>
      <c r="K3578" s="454" t="s">
        <v>12554</v>
      </c>
      <c r="L3578" s="1110" t="s">
        <v>12503</v>
      </c>
      <c r="M3578" s="567">
        <v>75</v>
      </c>
      <c r="N3578" s="243">
        <v>1</v>
      </c>
      <c r="O3578" s="243">
        <v>75</v>
      </c>
      <c r="P3578" s="243">
        <v>5</v>
      </c>
      <c r="Q3578" s="243">
        <v>0</v>
      </c>
      <c r="R3578" s="1263">
        <v>75</v>
      </c>
      <c r="S3578" s="1263">
        <v>2625</v>
      </c>
      <c r="T3578" s="470" t="s">
        <v>3961</v>
      </c>
      <c r="U3578" s="1931" t="s">
        <v>9101</v>
      </c>
      <c r="V3578" s="195" t="s">
        <v>9064</v>
      </c>
      <c r="W3578" s="2134" t="s">
        <v>12549</v>
      </c>
      <c r="X3578" s="455"/>
      <c r="Y3578" s="325"/>
      <c r="Z3578" s="325"/>
    </row>
    <row r="3579" spans="1:26" ht="15.6" hidden="1">
      <c r="A3579" s="20">
        <f t="shared" si="216"/>
        <v>3586</v>
      </c>
      <c r="B3579" s="1063">
        <v>43356</v>
      </c>
      <c r="C3579" s="995" t="s">
        <v>12543</v>
      </c>
      <c r="D3579" s="11"/>
      <c r="E3579" s="243" t="s">
        <v>12531</v>
      </c>
      <c r="F3579" s="998" t="s">
        <v>12489</v>
      </c>
      <c r="G3579" s="328" t="s">
        <v>12507</v>
      </c>
      <c r="H3579" s="328" t="s">
        <v>12533</v>
      </c>
      <c r="I3579" s="470" t="s">
        <v>366</v>
      </c>
      <c r="J3579" s="566" t="s">
        <v>12555</v>
      </c>
      <c r="K3579" s="454" t="s">
        <v>12555</v>
      </c>
      <c r="L3579" s="1110" t="s">
        <v>12503</v>
      </c>
      <c r="M3579" s="567">
        <v>93</v>
      </c>
      <c r="N3579" s="243">
        <v>1</v>
      </c>
      <c r="O3579" s="243">
        <v>93</v>
      </c>
      <c r="P3579" s="243">
        <v>35</v>
      </c>
      <c r="Q3579" s="243">
        <v>0</v>
      </c>
      <c r="R3579" s="1263">
        <v>144</v>
      </c>
      <c r="S3579" s="1263">
        <v>13392</v>
      </c>
      <c r="T3579" s="470" t="s">
        <v>3961</v>
      </c>
      <c r="U3579" s="1931" t="s">
        <v>9101</v>
      </c>
      <c r="V3579" s="195" t="s">
        <v>9064</v>
      </c>
      <c r="W3579" s="2134" t="s">
        <v>12545</v>
      </c>
      <c r="X3579" s="455"/>
      <c r="Y3579" s="325"/>
      <c r="Z3579" s="325"/>
    </row>
    <row r="3580" spans="1:26" ht="15.6" hidden="1">
      <c r="A3580" s="20">
        <f t="shared" si="216"/>
        <v>3587</v>
      </c>
      <c r="B3580" s="1063">
        <v>43357</v>
      </c>
      <c r="C3580" s="995" t="s">
        <v>12556</v>
      </c>
      <c r="D3580" s="456" t="s">
        <v>6</v>
      </c>
      <c r="E3580" s="243" t="s">
        <v>12488</v>
      </c>
      <c r="F3580" s="998" t="s">
        <v>12489</v>
      </c>
      <c r="G3580" s="328" t="s">
        <v>12507</v>
      </c>
      <c r="H3580" s="328" t="s">
        <v>12533</v>
      </c>
      <c r="I3580" s="470" t="s">
        <v>366</v>
      </c>
      <c r="J3580" s="566" t="s">
        <v>12557</v>
      </c>
      <c r="K3580" s="454" t="s">
        <v>12557</v>
      </c>
      <c r="L3580" s="1110" t="s">
        <v>12503</v>
      </c>
      <c r="M3580" s="567">
        <v>59</v>
      </c>
      <c r="N3580" s="243">
        <v>1</v>
      </c>
      <c r="O3580" s="243">
        <v>59</v>
      </c>
      <c r="P3580" s="243">
        <v>5</v>
      </c>
      <c r="Q3580" s="243">
        <v>0</v>
      </c>
      <c r="R3580" s="1263">
        <v>76</v>
      </c>
      <c r="S3580" s="1263">
        <v>4484</v>
      </c>
      <c r="T3580" s="470" t="s">
        <v>3961</v>
      </c>
      <c r="U3580" s="1931" t="s">
        <v>9101</v>
      </c>
      <c r="V3580" s="195" t="s">
        <v>9064</v>
      </c>
      <c r="W3580" s="2134" t="s">
        <v>12558</v>
      </c>
      <c r="X3580" s="455"/>
      <c r="Y3580" s="325"/>
      <c r="Z3580" s="325"/>
    </row>
    <row r="3581" spans="1:26" ht="15.6" hidden="1">
      <c r="A3581" s="20">
        <f t="shared" si="216"/>
        <v>3588</v>
      </c>
      <c r="B3581" s="1063">
        <v>43358</v>
      </c>
      <c r="C3581" s="995" t="s">
        <v>12556</v>
      </c>
      <c r="D3581" s="456" t="s">
        <v>6</v>
      </c>
      <c r="E3581" s="243" t="s">
        <v>12488</v>
      </c>
      <c r="F3581" s="998" t="s">
        <v>12489</v>
      </c>
      <c r="G3581" s="328" t="s">
        <v>12559</v>
      </c>
      <c r="H3581" s="328" t="s">
        <v>12533</v>
      </c>
      <c r="I3581" s="470" t="s">
        <v>366</v>
      </c>
      <c r="J3581" s="566" t="s">
        <v>12560</v>
      </c>
      <c r="K3581" s="454" t="s">
        <v>12560</v>
      </c>
      <c r="L3581" s="1110" t="s">
        <v>12503</v>
      </c>
      <c r="M3581" s="567">
        <v>107</v>
      </c>
      <c r="N3581" s="243">
        <v>1</v>
      </c>
      <c r="O3581" s="243">
        <v>107</v>
      </c>
      <c r="P3581" s="243">
        <v>1</v>
      </c>
      <c r="Q3581" s="243">
        <v>0</v>
      </c>
      <c r="R3581" s="1263">
        <v>76</v>
      </c>
      <c r="S3581" s="1263">
        <v>8132</v>
      </c>
      <c r="T3581" s="470" t="s">
        <v>3961</v>
      </c>
      <c r="U3581" s="1931" t="s">
        <v>9101</v>
      </c>
      <c r="V3581" s="195" t="s">
        <v>9064</v>
      </c>
      <c r="W3581" s="2134" t="s">
        <v>12558</v>
      </c>
      <c r="X3581" s="455"/>
      <c r="Y3581" s="325"/>
      <c r="Z3581" s="325"/>
    </row>
    <row r="3582" spans="1:26" ht="14.1" hidden="1">
      <c r="A3582" s="20">
        <f t="shared" si="216"/>
        <v>3589</v>
      </c>
      <c r="B3582" s="1063">
        <v>43359</v>
      </c>
      <c r="C3582" s="934" t="s">
        <v>12561</v>
      </c>
      <c r="D3582" s="11"/>
      <c r="E3582" s="204" t="s">
        <v>2722</v>
      </c>
      <c r="F3582" s="934" t="s">
        <v>11441</v>
      </c>
      <c r="G3582" s="204" t="s">
        <v>12562</v>
      </c>
      <c r="H3582" s="204" t="s">
        <v>2920</v>
      </c>
      <c r="I3582" s="204" t="s">
        <v>281</v>
      </c>
      <c r="J3582" s="204" t="s">
        <v>12563</v>
      </c>
      <c r="K3582" s="204">
        <v>1083</v>
      </c>
      <c r="L3582" s="204" t="s">
        <v>12118</v>
      </c>
      <c r="M3582" s="204">
        <v>2</v>
      </c>
      <c r="N3582" s="204">
        <v>1</v>
      </c>
      <c r="O3582" s="204">
        <v>2</v>
      </c>
      <c r="P3582" s="204">
        <v>0</v>
      </c>
      <c r="Q3582" s="572">
        <v>2</v>
      </c>
      <c r="R3582" s="1209">
        <v>1110</v>
      </c>
      <c r="S3582" s="1209">
        <v>2220</v>
      </c>
      <c r="T3582" s="470" t="s">
        <v>3961</v>
      </c>
      <c r="U3582" s="1901" t="s">
        <v>12564</v>
      </c>
      <c r="V3582" s="572" t="s">
        <v>352</v>
      </c>
      <c r="W3582" s="804" t="s">
        <v>12565</v>
      </c>
      <c r="X3582" s="18"/>
      <c r="Y3582" s="4"/>
      <c r="Z3582" s="4"/>
    </row>
    <row r="3583" spans="1:26" ht="14.1" hidden="1">
      <c r="A3583" s="20">
        <f t="shared" si="216"/>
        <v>3590</v>
      </c>
      <c r="B3583" s="1063">
        <v>43360</v>
      </c>
      <c r="C3583" s="934" t="s">
        <v>2005</v>
      </c>
      <c r="D3583" s="11"/>
      <c r="E3583" s="204" t="s">
        <v>2722</v>
      </c>
      <c r="F3583" s="934" t="s">
        <v>11441</v>
      </c>
      <c r="G3583" s="204" t="s">
        <v>12566</v>
      </c>
      <c r="H3583" s="204" t="s">
        <v>2008</v>
      </c>
      <c r="I3583" s="204" t="s">
        <v>281</v>
      </c>
      <c r="J3583" s="204" t="s">
        <v>12567</v>
      </c>
      <c r="K3583" s="204" t="s">
        <v>12568</v>
      </c>
      <c r="L3583" s="204" t="s">
        <v>12118</v>
      </c>
      <c r="M3583" s="204">
        <v>1</v>
      </c>
      <c r="N3583" s="204">
        <v>1</v>
      </c>
      <c r="O3583" s="204">
        <v>5</v>
      </c>
      <c r="P3583" s="204">
        <v>0</v>
      </c>
      <c r="Q3583" s="572">
        <v>5</v>
      </c>
      <c r="R3583" s="1209">
        <v>160</v>
      </c>
      <c r="S3583" s="1209">
        <v>800</v>
      </c>
      <c r="T3583" s="470" t="s">
        <v>3961</v>
      </c>
      <c r="U3583" s="1901" t="s">
        <v>12564</v>
      </c>
      <c r="V3583" s="572" t="s">
        <v>352</v>
      </c>
      <c r="W3583" s="1184" t="s">
        <v>12569</v>
      </c>
      <c r="X3583" s="18"/>
      <c r="Y3583" s="4"/>
      <c r="Z3583" s="4"/>
    </row>
    <row r="3584" spans="1:26" ht="14.1" hidden="1">
      <c r="A3584" s="20">
        <f t="shared" si="216"/>
        <v>3591</v>
      </c>
      <c r="B3584" s="1063">
        <v>43361</v>
      </c>
      <c r="C3584" s="934" t="s">
        <v>2043</v>
      </c>
      <c r="D3584" s="11"/>
      <c r="E3584" s="204" t="s">
        <v>2722</v>
      </c>
      <c r="F3584" s="934" t="s">
        <v>11441</v>
      </c>
      <c r="G3584" s="204" t="s">
        <v>12570</v>
      </c>
      <c r="H3584" s="204" t="s">
        <v>3811</v>
      </c>
      <c r="I3584" s="204" t="s">
        <v>281</v>
      </c>
      <c r="J3584" s="204" t="s">
        <v>12571</v>
      </c>
      <c r="K3584" s="204" t="s">
        <v>12572</v>
      </c>
      <c r="L3584" s="204" t="s">
        <v>12118</v>
      </c>
      <c r="M3584" s="204">
        <v>2</v>
      </c>
      <c r="N3584" s="204">
        <v>1</v>
      </c>
      <c r="O3584" s="204">
        <v>5</v>
      </c>
      <c r="P3584" s="204">
        <v>0</v>
      </c>
      <c r="Q3584" s="572">
        <v>5</v>
      </c>
      <c r="R3584" s="1209">
        <v>78</v>
      </c>
      <c r="S3584" s="1209">
        <v>390</v>
      </c>
      <c r="T3584" s="470" t="s">
        <v>3961</v>
      </c>
      <c r="U3584" s="1901" t="s">
        <v>12564</v>
      </c>
      <c r="V3584" s="572" t="s">
        <v>352</v>
      </c>
      <c r="W3584" s="1184" t="s">
        <v>12573</v>
      </c>
      <c r="X3584" s="18"/>
      <c r="Y3584" s="4"/>
      <c r="Z3584" s="4"/>
    </row>
    <row r="3585" spans="1:26" ht="14.1" hidden="1">
      <c r="A3585" s="20">
        <f t="shared" si="216"/>
        <v>3592</v>
      </c>
      <c r="B3585" s="1063">
        <v>43362</v>
      </c>
      <c r="C3585" s="934" t="s">
        <v>12574</v>
      </c>
      <c r="D3585" s="11" t="s">
        <v>6</v>
      </c>
      <c r="E3585" s="204" t="s">
        <v>62</v>
      </c>
      <c r="F3585" s="934" t="s">
        <v>2143</v>
      </c>
      <c r="G3585" s="204" t="s">
        <v>12575</v>
      </c>
      <c r="H3585" s="204"/>
      <c r="I3585" s="204" t="s">
        <v>4066</v>
      </c>
      <c r="J3585" s="204"/>
      <c r="K3585" s="204"/>
      <c r="L3585" s="204"/>
      <c r="M3585" s="204">
        <v>1</v>
      </c>
      <c r="N3585" s="204">
        <v>1</v>
      </c>
      <c r="O3585" s="204">
        <v>1</v>
      </c>
      <c r="P3585" s="204">
        <v>0</v>
      </c>
      <c r="Q3585" s="572">
        <v>0</v>
      </c>
      <c r="R3585" s="1209">
        <v>300</v>
      </c>
      <c r="S3585" s="1209">
        <v>300</v>
      </c>
      <c r="T3585" s="204" t="s">
        <v>12576</v>
      </c>
      <c r="U3585" s="1901" t="s">
        <v>118</v>
      </c>
      <c r="V3585" s="572" t="s">
        <v>12577</v>
      </c>
      <c r="W3585" s="681"/>
      <c r="X3585" s="18"/>
      <c r="Y3585" s="4"/>
      <c r="Z3585" s="4"/>
    </row>
    <row r="3586" spans="1:26" ht="14.1" hidden="1">
      <c r="A3586" s="20">
        <f t="shared" si="216"/>
        <v>3593</v>
      </c>
      <c r="B3586" s="1063">
        <v>43363</v>
      </c>
      <c r="C3586" s="934" t="s">
        <v>12578</v>
      </c>
      <c r="D3586" s="11" t="s">
        <v>6</v>
      </c>
      <c r="E3586" s="204" t="s">
        <v>7956</v>
      </c>
      <c r="F3586" s="934" t="s">
        <v>2143</v>
      </c>
      <c r="G3586" s="204" t="s">
        <v>12579</v>
      </c>
      <c r="H3586" s="204"/>
      <c r="I3586" s="204" t="s">
        <v>113</v>
      </c>
      <c r="J3586" s="204">
        <v>52898606</v>
      </c>
      <c r="K3586" s="204">
        <v>52898606</v>
      </c>
      <c r="L3586" s="204"/>
      <c r="M3586" s="204">
        <v>1</v>
      </c>
      <c r="N3586" s="204">
        <v>1</v>
      </c>
      <c r="O3586" s="204">
        <v>1</v>
      </c>
      <c r="P3586" s="204">
        <v>0</v>
      </c>
      <c r="Q3586" s="572">
        <v>0</v>
      </c>
      <c r="R3586" s="1209">
        <v>4024</v>
      </c>
      <c r="S3586" s="1209">
        <v>4024</v>
      </c>
      <c r="T3586" s="204" t="s">
        <v>422</v>
      </c>
      <c r="U3586" s="1901"/>
      <c r="V3586" s="572" t="s">
        <v>12577</v>
      </c>
      <c r="W3586" s="681" t="s">
        <v>12580</v>
      </c>
      <c r="X3586" s="18" t="s">
        <v>12581</v>
      </c>
      <c r="Y3586" s="4"/>
      <c r="Z3586" s="4"/>
    </row>
    <row r="3587" spans="1:26" ht="14.1" hidden="1">
      <c r="A3587" s="20">
        <f t="shared" si="216"/>
        <v>3594</v>
      </c>
      <c r="B3587" s="1063">
        <v>43364</v>
      </c>
      <c r="C3587" s="934" t="s">
        <v>12582</v>
      </c>
      <c r="D3587" s="11"/>
      <c r="E3587" s="204" t="s">
        <v>7956</v>
      </c>
      <c r="F3587" s="934" t="s">
        <v>404</v>
      </c>
      <c r="G3587" s="204" t="s">
        <v>12583</v>
      </c>
      <c r="H3587" s="204" t="s">
        <v>4125</v>
      </c>
      <c r="I3587" s="572" t="s">
        <v>1</v>
      </c>
      <c r="J3587" s="572" t="s">
        <v>1</v>
      </c>
      <c r="K3587" s="572" t="s">
        <v>1</v>
      </c>
      <c r="L3587" s="572" t="s">
        <v>1</v>
      </c>
      <c r="M3587" s="572" t="s">
        <v>1</v>
      </c>
      <c r="N3587" s="572" t="s">
        <v>1</v>
      </c>
      <c r="O3587" s="572" t="s">
        <v>1</v>
      </c>
      <c r="P3587" s="572" t="s">
        <v>1</v>
      </c>
      <c r="Q3587" s="572" t="s">
        <v>1</v>
      </c>
      <c r="R3587" s="1209">
        <v>2100</v>
      </c>
      <c r="S3587" s="1209">
        <v>2100</v>
      </c>
      <c r="T3587" s="204" t="s">
        <v>311</v>
      </c>
      <c r="U3587" s="1901" t="s">
        <v>1</v>
      </c>
      <c r="V3587" s="572"/>
      <c r="W3587" s="681"/>
      <c r="X3587" s="18"/>
      <c r="Y3587" s="4"/>
      <c r="Z3587" s="4"/>
    </row>
    <row r="3588" spans="1:26" ht="14.1" hidden="1">
      <c r="A3588" s="20">
        <f t="shared" si="216"/>
        <v>3595</v>
      </c>
      <c r="B3588" s="1063">
        <v>43365</v>
      </c>
      <c r="C3588" s="934" t="s">
        <v>12584</v>
      </c>
      <c r="D3588" s="11"/>
      <c r="E3588" s="204" t="s">
        <v>7956</v>
      </c>
      <c r="F3588" s="934" t="s">
        <v>404</v>
      </c>
      <c r="G3588" s="204" t="s">
        <v>12583</v>
      </c>
      <c r="H3588" s="204" t="s">
        <v>4125</v>
      </c>
      <c r="I3588" s="572" t="s">
        <v>1</v>
      </c>
      <c r="J3588" s="572" t="s">
        <v>1</v>
      </c>
      <c r="K3588" s="572" t="s">
        <v>1</v>
      </c>
      <c r="L3588" s="572" t="s">
        <v>1</v>
      </c>
      <c r="M3588" s="572" t="s">
        <v>1</v>
      </c>
      <c r="N3588" s="572" t="s">
        <v>1</v>
      </c>
      <c r="O3588" s="572" t="s">
        <v>1</v>
      </c>
      <c r="P3588" s="572" t="s">
        <v>1</v>
      </c>
      <c r="Q3588" s="572" t="s">
        <v>1</v>
      </c>
      <c r="R3588" s="1209">
        <v>2100</v>
      </c>
      <c r="S3588" s="1209">
        <v>2100</v>
      </c>
      <c r="T3588" s="204" t="s">
        <v>311</v>
      </c>
      <c r="U3588" s="1901" t="s">
        <v>1</v>
      </c>
      <c r="V3588" s="572" t="s">
        <v>1</v>
      </c>
      <c r="W3588" s="681"/>
      <c r="X3588" s="18"/>
      <c r="Y3588" s="4"/>
      <c r="Z3588" s="4"/>
    </row>
    <row r="3589" spans="1:26" ht="14.1" hidden="1">
      <c r="A3589" s="20">
        <f t="shared" si="216"/>
        <v>3596</v>
      </c>
      <c r="B3589" s="1063">
        <v>43366</v>
      </c>
      <c r="C3589" s="934" t="s">
        <v>12585</v>
      </c>
      <c r="D3589" s="11"/>
      <c r="E3589" s="204" t="s">
        <v>7956</v>
      </c>
      <c r="F3589" s="934" t="s">
        <v>404</v>
      </c>
      <c r="G3589" s="204" t="s">
        <v>12583</v>
      </c>
      <c r="H3589" s="204" t="s">
        <v>4125</v>
      </c>
      <c r="I3589" s="572" t="s">
        <v>1</v>
      </c>
      <c r="J3589" s="572" t="s">
        <v>1</v>
      </c>
      <c r="K3589" s="572" t="s">
        <v>1</v>
      </c>
      <c r="L3589" s="572" t="s">
        <v>1</v>
      </c>
      <c r="M3589" s="572" t="s">
        <v>1</v>
      </c>
      <c r="N3589" s="572" t="s">
        <v>1</v>
      </c>
      <c r="O3589" s="572" t="s">
        <v>1</v>
      </c>
      <c r="P3589" s="572" t="s">
        <v>1</v>
      </c>
      <c r="Q3589" s="572" t="s">
        <v>1</v>
      </c>
      <c r="R3589" s="1209">
        <v>2100</v>
      </c>
      <c r="S3589" s="1209">
        <v>2100</v>
      </c>
      <c r="T3589" s="204" t="s">
        <v>311</v>
      </c>
      <c r="U3589" s="1901" t="s">
        <v>1</v>
      </c>
      <c r="V3589" s="572" t="s">
        <v>1</v>
      </c>
      <c r="W3589" s="681"/>
      <c r="X3589" s="18"/>
      <c r="Y3589" s="4"/>
      <c r="Z3589" s="4"/>
    </row>
    <row r="3590" spans="1:26" ht="14.1" hidden="1">
      <c r="A3590" s="20">
        <f t="shared" si="216"/>
        <v>3597</v>
      </c>
      <c r="B3590" s="1063">
        <v>43367</v>
      </c>
      <c r="C3590" s="934" t="s">
        <v>12586</v>
      </c>
      <c r="D3590" s="11"/>
      <c r="E3590" s="204" t="s">
        <v>7956</v>
      </c>
      <c r="F3590" s="934" t="s">
        <v>404</v>
      </c>
      <c r="G3590" s="204" t="s">
        <v>12583</v>
      </c>
      <c r="H3590" s="204" t="s">
        <v>4125</v>
      </c>
      <c r="I3590" s="572" t="s">
        <v>1</v>
      </c>
      <c r="J3590" s="572" t="s">
        <v>1</v>
      </c>
      <c r="K3590" s="572" t="s">
        <v>1</v>
      </c>
      <c r="L3590" s="572" t="s">
        <v>1</v>
      </c>
      <c r="M3590" s="572" t="s">
        <v>1</v>
      </c>
      <c r="N3590" s="572" t="s">
        <v>1</v>
      </c>
      <c r="O3590" s="572" t="s">
        <v>1</v>
      </c>
      <c r="P3590" s="572" t="s">
        <v>1</v>
      </c>
      <c r="Q3590" s="572" t="s">
        <v>1</v>
      </c>
      <c r="R3590" s="1209">
        <v>2100</v>
      </c>
      <c r="S3590" s="1209">
        <v>2100</v>
      </c>
      <c r="T3590" s="204" t="s">
        <v>311</v>
      </c>
      <c r="U3590" s="1901" t="s">
        <v>1</v>
      </c>
      <c r="V3590" s="572" t="s">
        <v>1</v>
      </c>
      <c r="W3590" s="681"/>
      <c r="X3590" s="18"/>
      <c r="Y3590" s="4"/>
      <c r="Z3590" s="4"/>
    </row>
    <row r="3591" spans="1:26" ht="14.1" hidden="1">
      <c r="A3591" s="20">
        <f t="shared" si="216"/>
        <v>3598</v>
      </c>
      <c r="B3591" s="1063">
        <v>43368</v>
      </c>
      <c r="C3591" s="934" t="s">
        <v>12587</v>
      </c>
      <c r="D3591" s="11"/>
      <c r="E3591" s="204" t="s">
        <v>7956</v>
      </c>
      <c r="F3591" s="934" t="s">
        <v>404</v>
      </c>
      <c r="G3591" s="204" t="s">
        <v>12583</v>
      </c>
      <c r="H3591" s="204" t="s">
        <v>4125</v>
      </c>
      <c r="I3591" s="572" t="s">
        <v>1</v>
      </c>
      <c r="J3591" s="572" t="s">
        <v>1</v>
      </c>
      <c r="K3591" s="572" t="s">
        <v>1</v>
      </c>
      <c r="L3591" s="572" t="s">
        <v>1</v>
      </c>
      <c r="M3591" s="572" t="s">
        <v>1</v>
      </c>
      <c r="N3591" s="572" t="s">
        <v>1</v>
      </c>
      <c r="O3591" s="572" t="s">
        <v>1</v>
      </c>
      <c r="P3591" s="572" t="s">
        <v>1</v>
      </c>
      <c r="Q3591" s="572" t="s">
        <v>1</v>
      </c>
      <c r="R3591" s="1209">
        <v>2100</v>
      </c>
      <c r="S3591" s="1209">
        <v>2100</v>
      </c>
      <c r="T3591" s="204" t="s">
        <v>311</v>
      </c>
      <c r="U3591" s="1901" t="s">
        <v>1</v>
      </c>
      <c r="V3591" s="572" t="s">
        <v>1</v>
      </c>
      <c r="W3591" s="681"/>
      <c r="X3591" s="18"/>
      <c r="Y3591" s="4"/>
      <c r="Z3591" s="4"/>
    </row>
    <row r="3592" spans="1:26" ht="14.1" hidden="1">
      <c r="A3592" s="20">
        <f t="shared" si="216"/>
        <v>3599</v>
      </c>
      <c r="B3592" s="1063">
        <v>43369</v>
      </c>
      <c r="C3592" s="934" t="s">
        <v>12588</v>
      </c>
      <c r="D3592" s="11"/>
      <c r="E3592" s="204" t="s">
        <v>7956</v>
      </c>
      <c r="F3592" s="934" t="s">
        <v>404</v>
      </c>
      <c r="G3592" s="204" t="s">
        <v>12583</v>
      </c>
      <c r="H3592" s="204" t="s">
        <v>4125</v>
      </c>
      <c r="I3592" s="572" t="s">
        <v>1</v>
      </c>
      <c r="J3592" s="572" t="s">
        <v>1</v>
      </c>
      <c r="K3592" s="572" t="s">
        <v>1</v>
      </c>
      <c r="L3592" s="572" t="s">
        <v>1</v>
      </c>
      <c r="M3592" s="572" t="s">
        <v>1</v>
      </c>
      <c r="N3592" s="572" t="s">
        <v>1</v>
      </c>
      <c r="O3592" s="572" t="s">
        <v>1</v>
      </c>
      <c r="P3592" s="572" t="s">
        <v>1</v>
      </c>
      <c r="Q3592" s="572" t="s">
        <v>1</v>
      </c>
      <c r="R3592" s="1209">
        <v>2100</v>
      </c>
      <c r="S3592" s="1209">
        <v>2100</v>
      </c>
      <c r="T3592" s="204" t="s">
        <v>311</v>
      </c>
      <c r="U3592" s="1901" t="s">
        <v>1</v>
      </c>
      <c r="V3592" s="572" t="s">
        <v>1</v>
      </c>
      <c r="W3592" s="681"/>
      <c r="X3592" s="18"/>
      <c r="Y3592" s="4"/>
      <c r="Z3592" s="4"/>
    </row>
    <row r="3593" spans="1:26" ht="14.1" hidden="1">
      <c r="A3593" s="20">
        <f t="shared" si="216"/>
        <v>3600</v>
      </c>
      <c r="B3593" s="1063">
        <v>43370</v>
      </c>
      <c r="C3593" s="934" t="s">
        <v>12589</v>
      </c>
      <c r="D3593" s="11"/>
      <c r="E3593" s="204" t="s">
        <v>7956</v>
      </c>
      <c r="F3593" s="934" t="s">
        <v>404</v>
      </c>
      <c r="G3593" s="204" t="s">
        <v>12583</v>
      </c>
      <c r="H3593" s="204" t="s">
        <v>4125</v>
      </c>
      <c r="I3593" s="572" t="s">
        <v>1</v>
      </c>
      <c r="J3593" s="572" t="s">
        <v>1</v>
      </c>
      <c r="K3593" s="572" t="s">
        <v>1</v>
      </c>
      <c r="L3593" s="572" t="s">
        <v>1</v>
      </c>
      <c r="M3593" s="572" t="s">
        <v>1</v>
      </c>
      <c r="N3593" s="572" t="s">
        <v>1</v>
      </c>
      <c r="O3593" s="572" t="s">
        <v>1</v>
      </c>
      <c r="P3593" s="572" t="s">
        <v>1</v>
      </c>
      <c r="Q3593" s="572" t="s">
        <v>1</v>
      </c>
      <c r="R3593" s="1209">
        <v>4000</v>
      </c>
      <c r="S3593" s="1209">
        <v>4000</v>
      </c>
      <c r="T3593" s="204" t="s">
        <v>311</v>
      </c>
      <c r="U3593" s="1901" t="s">
        <v>1</v>
      </c>
      <c r="V3593" s="572" t="s">
        <v>1</v>
      </c>
      <c r="W3593" s="681"/>
      <c r="X3593" s="18"/>
      <c r="Y3593" s="4"/>
      <c r="Z3593" s="4"/>
    </row>
    <row r="3594" spans="1:26" ht="14.1" hidden="1">
      <c r="A3594" s="20">
        <f t="shared" si="216"/>
        <v>3601</v>
      </c>
      <c r="B3594" s="1063">
        <v>43371</v>
      </c>
      <c r="C3594" s="934" t="s">
        <v>12590</v>
      </c>
      <c r="D3594" s="11" t="s">
        <v>6</v>
      </c>
      <c r="E3594" s="204" t="s">
        <v>2722</v>
      </c>
      <c r="F3594" s="934" t="s">
        <v>784</v>
      </c>
      <c r="G3594" s="204" t="s">
        <v>12590</v>
      </c>
      <c r="H3594" s="204" t="s">
        <v>230</v>
      </c>
      <c r="I3594" s="204" t="s">
        <v>281</v>
      </c>
      <c r="J3594" s="204" t="s">
        <v>12591</v>
      </c>
      <c r="K3594" s="204" t="s">
        <v>12592</v>
      </c>
      <c r="L3594" s="204" t="s">
        <v>1</v>
      </c>
      <c r="M3594" s="204">
        <v>1</v>
      </c>
      <c r="N3594" s="204">
        <v>1</v>
      </c>
      <c r="O3594" s="204">
        <v>1</v>
      </c>
      <c r="P3594" s="204">
        <v>0</v>
      </c>
      <c r="Q3594" s="572">
        <v>0</v>
      </c>
      <c r="R3594" s="1209">
        <v>6959</v>
      </c>
      <c r="S3594" s="1209">
        <f t="shared" ref="S3594:S3650" si="217">R3594*O3594</f>
        <v>6959</v>
      </c>
      <c r="T3594" s="204" t="s">
        <v>1395</v>
      </c>
      <c r="U3594" s="1901" t="s">
        <v>1395</v>
      </c>
      <c r="V3594" s="572" t="s">
        <v>7705</v>
      </c>
      <c r="W3594" s="681" t="s">
        <v>12593</v>
      </c>
      <c r="X3594" s="18"/>
      <c r="Y3594" s="4"/>
      <c r="Z3594" s="4"/>
    </row>
    <row r="3595" spans="1:26" ht="14.1" hidden="1">
      <c r="A3595" s="20">
        <f t="shared" si="216"/>
        <v>3602</v>
      </c>
      <c r="B3595" s="1063">
        <v>43372</v>
      </c>
      <c r="C3595" s="934" t="s">
        <v>12594</v>
      </c>
      <c r="D3595" s="11" t="s">
        <v>6</v>
      </c>
      <c r="E3595" s="204" t="s">
        <v>2722</v>
      </c>
      <c r="F3595" s="934" t="s">
        <v>784</v>
      </c>
      <c r="G3595" s="204" t="s">
        <v>12595</v>
      </c>
      <c r="H3595" s="204" t="s">
        <v>1653</v>
      </c>
      <c r="I3595" s="204" t="s">
        <v>281</v>
      </c>
      <c r="J3595" s="204" t="s">
        <v>12596</v>
      </c>
      <c r="K3595" s="204" t="s">
        <v>12597</v>
      </c>
      <c r="L3595" s="204">
        <v>402</v>
      </c>
      <c r="M3595" s="204">
        <v>40</v>
      </c>
      <c r="N3595" s="204">
        <v>1</v>
      </c>
      <c r="O3595" s="204">
        <v>40</v>
      </c>
      <c r="P3595" s="204">
        <v>0</v>
      </c>
      <c r="Q3595" s="572">
        <v>0</v>
      </c>
      <c r="R3595" s="1209">
        <v>35.700000000000003</v>
      </c>
      <c r="S3595" s="1209">
        <f t="shared" si="217"/>
        <v>1428</v>
      </c>
      <c r="T3595" s="204" t="s">
        <v>1395</v>
      </c>
      <c r="U3595" s="1901" t="s">
        <v>1395</v>
      </c>
      <c r="V3595" s="572" t="s">
        <v>1</v>
      </c>
      <c r="W3595" s="681" t="s">
        <v>12598</v>
      </c>
      <c r="X3595" s="18"/>
      <c r="Y3595" s="4"/>
      <c r="Z3595" s="4"/>
    </row>
    <row r="3596" spans="1:26" ht="14.1" hidden="1">
      <c r="A3596" s="20">
        <f t="shared" si="216"/>
        <v>3603</v>
      </c>
      <c r="B3596" s="1063">
        <v>43373</v>
      </c>
      <c r="C3596" s="934" t="s">
        <v>12599</v>
      </c>
      <c r="D3596" s="11" t="s">
        <v>6</v>
      </c>
      <c r="E3596" s="204" t="s">
        <v>2722</v>
      </c>
      <c r="F3596" s="934" t="s">
        <v>2143</v>
      </c>
      <c r="G3596" s="204" t="s">
        <v>12600</v>
      </c>
      <c r="H3596" s="204" t="s">
        <v>6067</v>
      </c>
      <c r="I3596" s="204" t="s">
        <v>1022</v>
      </c>
      <c r="J3596" s="204"/>
      <c r="K3596" s="204"/>
      <c r="L3596" s="204"/>
      <c r="M3596" s="204">
        <v>2</v>
      </c>
      <c r="N3596" s="204">
        <v>1</v>
      </c>
      <c r="O3596" s="204">
        <v>3</v>
      </c>
      <c r="P3596" s="204">
        <v>0</v>
      </c>
      <c r="Q3596" s="572">
        <v>1</v>
      </c>
      <c r="R3596" s="1209">
        <v>740</v>
      </c>
      <c r="S3596" s="1209">
        <f t="shared" si="217"/>
        <v>2220</v>
      </c>
      <c r="T3596" s="204" t="s">
        <v>3961</v>
      </c>
      <c r="U3596" s="1901" t="s">
        <v>12601</v>
      </c>
      <c r="V3596" s="572" t="s">
        <v>9064</v>
      </c>
      <c r="W3596" s="681" t="s">
        <v>12602</v>
      </c>
      <c r="X3596" s="18"/>
      <c r="Y3596" s="4"/>
      <c r="Z3596" s="4"/>
    </row>
    <row r="3597" spans="1:26" ht="14.1" hidden="1">
      <c r="A3597" s="20">
        <f t="shared" si="216"/>
        <v>3604</v>
      </c>
      <c r="B3597" s="1063">
        <v>43374</v>
      </c>
      <c r="C3597" s="934" t="s">
        <v>12603</v>
      </c>
      <c r="D3597" s="11" t="s">
        <v>6</v>
      </c>
      <c r="E3597" s="204" t="s">
        <v>2722</v>
      </c>
      <c r="F3597" s="934" t="s">
        <v>2143</v>
      </c>
      <c r="G3597" s="204" t="s">
        <v>12604</v>
      </c>
      <c r="H3597" s="204" t="s">
        <v>1022</v>
      </c>
      <c r="I3597" s="204" t="s">
        <v>1022</v>
      </c>
      <c r="J3597" s="204"/>
      <c r="K3597" s="204"/>
      <c r="L3597" s="204" t="s">
        <v>12605</v>
      </c>
      <c r="M3597" s="204">
        <v>2</v>
      </c>
      <c r="N3597" s="204">
        <v>1</v>
      </c>
      <c r="O3597" s="204">
        <v>2</v>
      </c>
      <c r="P3597" s="204">
        <v>0</v>
      </c>
      <c r="Q3597" s="572">
        <v>0</v>
      </c>
      <c r="R3597" s="1209">
        <v>1426</v>
      </c>
      <c r="S3597" s="1209">
        <f t="shared" si="217"/>
        <v>2852</v>
      </c>
      <c r="T3597" s="204" t="s">
        <v>3961</v>
      </c>
      <c r="U3597" s="1901" t="s">
        <v>12601</v>
      </c>
      <c r="V3597" s="572" t="s">
        <v>9064</v>
      </c>
      <c r="W3597" s="681" t="s">
        <v>12606</v>
      </c>
      <c r="X3597" s="18"/>
      <c r="Y3597" s="4"/>
      <c r="Z3597" s="4"/>
    </row>
    <row r="3598" spans="1:26" ht="14.1" hidden="1">
      <c r="A3598" s="20">
        <f t="shared" si="216"/>
        <v>3605</v>
      </c>
      <c r="B3598" s="1063">
        <v>43375</v>
      </c>
      <c r="C3598" s="934" t="s">
        <v>12607</v>
      </c>
      <c r="D3598" s="11" t="s">
        <v>6</v>
      </c>
      <c r="E3598" s="204" t="s">
        <v>2722</v>
      </c>
      <c r="F3598" s="934" t="s">
        <v>2143</v>
      </c>
      <c r="G3598" s="204" t="s">
        <v>12608</v>
      </c>
      <c r="H3598" s="204" t="s">
        <v>12609</v>
      </c>
      <c r="I3598" s="204" t="s">
        <v>1022</v>
      </c>
      <c r="J3598" s="204"/>
      <c r="K3598" s="204"/>
      <c r="L3598" s="204" t="s">
        <v>12605</v>
      </c>
      <c r="M3598" s="204">
        <v>10</v>
      </c>
      <c r="N3598" s="204">
        <v>4</v>
      </c>
      <c r="O3598" s="204">
        <v>10</v>
      </c>
      <c r="P3598" s="204">
        <v>0</v>
      </c>
      <c r="Q3598" s="572">
        <v>0</v>
      </c>
      <c r="R3598" s="1209">
        <v>257</v>
      </c>
      <c r="S3598" s="1209">
        <f t="shared" si="217"/>
        <v>2570</v>
      </c>
      <c r="T3598" s="204" t="s">
        <v>3961</v>
      </c>
      <c r="U3598" s="1901" t="s">
        <v>12601</v>
      </c>
      <c r="V3598" s="572" t="s">
        <v>9064</v>
      </c>
      <c r="W3598" s="681" t="s">
        <v>12610</v>
      </c>
      <c r="X3598" s="18"/>
      <c r="Y3598" s="4"/>
      <c r="Z3598" s="4"/>
    </row>
    <row r="3599" spans="1:26" ht="14.1" hidden="1">
      <c r="A3599" s="20">
        <f t="shared" si="216"/>
        <v>3606</v>
      </c>
      <c r="B3599" s="1063">
        <v>43376</v>
      </c>
      <c r="C3599" s="934" t="s">
        <v>12075</v>
      </c>
      <c r="D3599" s="11" t="s">
        <v>6</v>
      </c>
      <c r="E3599" s="204" t="s">
        <v>2722</v>
      </c>
      <c r="F3599" s="934" t="s">
        <v>2143</v>
      </c>
      <c r="G3599" s="204" t="s">
        <v>12611</v>
      </c>
      <c r="H3599" s="204" t="s">
        <v>11260</v>
      </c>
      <c r="I3599" s="204" t="s">
        <v>1022</v>
      </c>
      <c r="J3599" s="204"/>
      <c r="K3599" s="204"/>
      <c r="L3599" s="204"/>
      <c r="M3599" s="204">
        <v>2</v>
      </c>
      <c r="N3599" s="204">
        <v>1</v>
      </c>
      <c r="O3599" s="204">
        <v>3</v>
      </c>
      <c r="P3599" s="204">
        <v>0</v>
      </c>
      <c r="Q3599" s="572">
        <v>1</v>
      </c>
      <c r="R3599" s="1209">
        <v>175</v>
      </c>
      <c r="S3599" s="1209">
        <f t="shared" si="217"/>
        <v>525</v>
      </c>
      <c r="T3599" s="204" t="s">
        <v>3961</v>
      </c>
      <c r="U3599" s="1901" t="s">
        <v>12601</v>
      </c>
      <c r="V3599" s="572" t="s">
        <v>9064</v>
      </c>
      <c r="W3599" s="681" t="s">
        <v>12612</v>
      </c>
      <c r="X3599" s="18"/>
      <c r="Y3599" s="4"/>
      <c r="Z3599" s="4"/>
    </row>
    <row r="3600" spans="1:26" ht="15.75" hidden="1" customHeight="1">
      <c r="A3600" s="20">
        <f t="shared" si="216"/>
        <v>3607</v>
      </c>
      <c r="B3600" s="1063">
        <v>43377</v>
      </c>
      <c r="C3600" s="934" t="s">
        <v>329</v>
      </c>
      <c r="D3600" s="11" t="s">
        <v>6</v>
      </c>
      <c r="E3600" s="204" t="s">
        <v>12613</v>
      </c>
      <c r="F3600" s="934" t="s">
        <v>7046</v>
      </c>
      <c r="G3600" s="204" t="s">
        <v>12614</v>
      </c>
      <c r="H3600" s="204" t="s">
        <v>184</v>
      </c>
      <c r="I3600" s="204" t="s">
        <v>281</v>
      </c>
      <c r="J3600" s="204" t="s">
        <v>12615</v>
      </c>
      <c r="K3600" s="204" t="s">
        <v>12615</v>
      </c>
      <c r="L3600" s="204">
        <v>1005</v>
      </c>
      <c r="M3600" s="204">
        <v>10</v>
      </c>
      <c r="N3600" s="204">
        <v>10</v>
      </c>
      <c r="O3600" s="204">
        <v>10</v>
      </c>
      <c r="P3600" s="204">
        <v>0</v>
      </c>
      <c r="Q3600" s="204">
        <v>0</v>
      </c>
      <c r="R3600" s="1209">
        <v>2.5</v>
      </c>
      <c r="S3600" s="1209">
        <f t="shared" si="217"/>
        <v>25</v>
      </c>
      <c r="T3600" s="204" t="s">
        <v>12616</v>
      </c>
      <c r="U3600" s="1901" t="s">
        <v>7850</v>
      </c>
      <c r="V3600" s="572" t="s">
        <v>12617</v>
      </c>
      <c r="W3600" s="2134" t="s">
        <v>12618</v>
      </c>
      <c r="X3600" s="18"/>
      <c r="Y3600" s="4"/>
      <c r="Z3600" s="4"/>
    </row>
    <row r="3601" spans="1:26" ht="14.45" hidden="1">
      <c r="A3601" s="20">
        <f t="shared" si="216"/>
        <v>3608</v>
      </c>
      <c r="B3601" s="1063">
        <v>43378</v>
      </c>
      <c r="C3601" s="934" t="s">
        <v>329</v>
      </c>
      <c r="D3601" s="11" t="s">
        <v>6</v>
      </c>
      <c r="E3601" s="204" t="s">
        <v>12613</v>
      </c>
      <c r="F3601" s="934" t="s">
        <v>7046</v>
      </c>
      <c r="G3601" s="204" t="s">
        <v>2903</v>
      </c>
      <c r="H3601" s="204" t="s">
        <v>184</v>
      </c>
      <c r="I3601" s="204" t="s">
        <v>281</v>
      </c>
      <c r="J3601" s="204" t="s">
        <v>12619</v>
      </c>
      <c r="K3601" s="204" t="s">
        <v>12619</v>
      </c>
      <c r="L3601" s="204">
        <v>1608</v>
      </c>
      <c r="M3601" s="204">
        <v>10</v>
      </c>
      <c r="N3601" s="204">
        <v>10</v>
      </c>
      <c r="O3601" s="204">
        <v>10</v>
      </c>
      <c r="P3601" s="204">
        <v>0</v>
      </c>
      <c r="Q3601" s="204">
        <v>0</v>
      </c>
      <c r="R3601" s="1209">
        <v>16.100000000000001</v>
      </c>
      <c r="S3601" s="1209">
        <f t="shared" si="217"/>
        <v>161</v>
      </c>
      <c r="T3601" s="204" t="s">
        <v>12616</v>
      </c>
      <c r="U3601" s="1901" t="s">
        <v>7850</v>
      </c>
      <c r="V3601" s="572" t="s">
        <v>12617</v>
      </c>
      <c r="W3601" s="2134" t="s">
        <v>12620</v>
      </c>
      <c r="X3601" s="18"/>
      <c r="Y3601" s="4"/>
      <c r="Z3601" s="4"/>
    </row>
    <row r="3602" spans="1:26" ht="14.45" hidden="1">
      <c r="A3602" s="20">
        <f t="shared" si="216"/>
        <v>3609</v>
      </c>
      <c r="B3602" s="1063">
        <v>43379</v>
      </c>
      <c r="C3602" s="934" t="s">
        <v>329</v>
      </c>
      <c r="D3602" s="11" t="s">
        <v>6</v>
      </c>
      <c r="E3602" s="204" t="s">
        <v>12613</v>
      </c>
      <c r="F3602" s="934" t="s">
        <v>7046</v>
      </c>
      <c r="G3602" s="204" t="s">
        <v>6310</v>
      </c>
      <c r="H3602" s="204" t="s">
        <v>556</v>
      </c>
      <c r="I3602" s="204" t="s">
        <v>281</v>
      </c>
      <c r="J3602" s="204" t="s">
        <v>12621</v>
      </c>
      <c r="K3602" s="204" t="s">
        <v>12621</v>
      </c>
      <c r="L3602" s="204">
        <v>1608</v>
      </c>
      <c r="M3602" s="204">
        <v>25</v>
      </c>
      <c r="N3602" s="204">
        <v>25</v>
      </c>
      <c r="O3602" s="204">
        <v>25</v>
      </c>
      <c r="P3602" s="204">
        <v>0</v>
      </c>
      <c r="Q3602" s="204">
        <v>0</v>
      </c>
      <c r="R3602" s="1209">
        <v>3.9</v>
      </c>
      <c r="S3602" s="1209">
        <f t="shared" si="217"/>
        <v>97.5</v>
      </c>
      <c r="T3602" s="204" t="s">
        <v>12616</v>
      </c>
      <c r="U3602" s="1901" t="s">
        <v>7850</v>
      </c>
      <c r="V3602" s="572" t="s">
        <v>12617</v>
      </c>
      <c r="W3602" s="2134" t="s">
        <v>12622</v>
      </c>
      <c r="X3602" s="18"/>
      <c r="Y3602" s="4"/>
      <c r="Z3602" s="4"/>
    </row>
    <row r="3603" spans="1:26" ht="14.45" hidden="1">
      <c r="A3603" s="20">
        <f t="shared" si="216"/>
        <v>3610</v>
      </c>
      <c r="B3603" s="1063">
        <v>43380</v>
      </c>
      <c r="C3603" s="934" t="s">
        <v>329</v>
      </c>
      <c r="D3603" s="11" t="s">
        <v>6</v>
      </c>
      <c r="E3603" s="204" t="s">
        <v>12613</v>
      </c>
      <c r="F3603" s="934" t="s">
        <v>7046</v>
      </c>
      <c r="G3603" s="204" t="s">
        <v>6302</v>
      </c>
      <c r="H3603" s="204" t="s">
        <v>9096</v>
      </c>
      <c r="I3603" s="204" t="s">
        <v>281</v>
      </c>
      <c r="J3603" s="204" t="s">
        <v>6304</v>
      </c>
      <c r="K3603" s="204" t="s">
        <v>6304</v>
      </c>
      <c r="L3603" s="204">
        <v>2012</v>
      </c>
      <c r="M3603" s="204">
        <v>10</v>
      </c>
      <c r="N3603" s="204">
        <v>10</v>
      </c>
      <c r="O3603" s="204">
        <v>10</v>
      </c>
      <c r="P3603" s="204">
        <v>0</v>
      </c>
      <c r="Q3603" s="204">
        <v>0</v>
      </c>
      <c r="R3603" s="1209">
        <v>35.9</v>
      </c>
      <c r="S3603" s="1209">
        <f t="shared" si="217"/>
        <v>359</v>
      </c>
      <c r="T3603" s="204" t="s">
        <v>12616</v>
      </c>
      <c r="U3603" s="1901" t="s">
        <v>7850</v>
      </c>
      <c r="V3603" s="572" t="s">
        <v>12617</v>
      </c>
      <c r="W3603" s="2134" t="s">
        <v>6305</v>
      </c>
      <c r="X3603" s="18"/>
      <c r="Y3603" s="4"/>
      <c r="Z3603" s="4"/>
    </row>
    <row r="3604" spans="1:26" ht="14.45" hidden="1">
      <c r="A3604" s="20">
        <f t="shared" si="216"/>
        <v>3611</v>
      </c>
      <c r="B3604" s="1063">
        <v>43381</v>
      </c>
      <c r="C3604" s="934" t="s">
        <v>329</v>
      </c>
      <c r="D3604" s="11" t="s">
        <v>6</v>
      </c>
      <c r="E3604" s="204" t="s">
        <v>12613</v>
      </c>
      <c r="F3604" s="934" t="s">
        <v>7046</v>
      </c>
      <c r="G3604" s="204" t="s">
        <v>2896</v>
      </c>
      <c r="H3604" s="204" t="s">
        <v>9096</v>
      </c>
      <c r="I3604" s="204" t="s">
        <v>281</v>
      </c>
      <c r="J3604" s="204" t="s">
        <v>12623</v>
      </c>
      <c r="K3604" s="204" t="s">
        <v>12623</v>
      </c>
      <c r="L3604" s="204">
        <v>2012</v>
      </c>
      <c r="M3604" s="204">
        <v>15</v>
      </c>
      <c r="N3604" s="204">
        <v>15</v>
      </c>
      <c r="O3604" s="204">
        <v>15</v>
      </c>
      <c r="P3604" s="204">
        <v>0</v>
      </c>
      <c r="Q3604" s="204">
        <v>0</v>
      </c>
      <c r="R3604" s="1209">
        <v>14.2</v>
      </c>
      <c r="S3604" s="1209">
        <f t="shared" si="217"/>
        <v>213</v>
      </c>
      <c r="T3604" s="204" t="s">
        <v>12616</v>
      </c>
      <c r="U3604" s="1901" t="s">
        <v>7850</v>
      </c>
      <c r="V3604" s="572" t="s">
        <v>12617</v>
      </c>
      <c r="W3604" s="2134" t="s">
        <v>12624</v>
      </c>
      <c r="X3604" s="18"/>
      <c r="Y3604" s="4"/>
      <c r="Z3604" s="4"/>
    </row>
    <row r="3605" spans="1:26" ht="14.45" hidden="1">
      <c r="A3605" s="20">
        <f t="shared" si="216"/>
        <v>3612</v>
      </c>
      <c r="B3605" s="1063">
        <v>43382</v>
      </c>
      <c r="C3605" s="934" t="s">
        <v>329</v>
      </c>
      <c r="D3605" s="11" t="s">
        <v>6</v>
      </c>
      <c r="E3605" s="204" t="s">
        <v>12613</v>
      </c>
      <c r="F3605" s="934" t="s">
        <v>7046</v>
      </c>
      <c r="G3605" s="204" t="s">
        <v>650</v>
      </c>
      <c r="H3605" s="204" t="s">
        <v>184</v>
      </c>
      <c r="I3605" s="204" t="s">
        <v>281</v>
      </c>
      <c r="J3605" s="204" t="s">
        <v>12625</v>
      </c>
      <c r="K3605" s="204" t="s">
        <v>12625</v>
      </c>
      <c r="L3605" s="204">
        <v>1608</v>
      </c>
      <c r="M3605" s="204">
        <v>15</v>
      </c>
      <c r="N3605" s="204">
        <v>15</v>
      </c>
      <c r="O3605" s="204">
        <v>15</v>
      </c>
      <c r="P3605" s="204">
        <v>0</v>
      </c>
      <c r="Q3605" s="204">
        <v>0</v>
      </c>
      <c r="R3605" s="1209">
        <v>10.7</v>
      </c>
      <c r="S3605" s="1209">
        <f t="shared" si="217"/>
        <v>160.5</v>
      </c>
      <c r="T3605" s="204" t="s">
        <v>12616</v>
      </c>
      <c r="U3605" s="1901" t="s">
        <v>7850</v>
      </c>
      <c r="V3605" s="572" t="s">
        <v>12617</v>
      </c>
      <c r="W3605" s="2134" t="s">
        <v>12626</v>
      </c>
      <c r="X3605" s="18"/>
      <c r="Y3605" s="4"/>
      <c r="Z3605" s="4"/>
    </row>
    <row r="3606" spans="1:26" ht="14.45" hidden="1">
      <c r="A3606" s="20">
        <f t="shared" si="216"/>
        <v>3613</v>
      </c>
      <c r="B3606" s="1063">
        <v>43383</v>
      </c>
      <c r="C3606" s="934" t="s">
        <v>329</v>
      </c>
      <c r="D3606" s="11" t="s">
        <v>6</v>
      </c>
      <c r="E3606" s="204" t="s">
        <v>12613</v>
      </c>
      <c r="F3606" s="934" t="s">
        <v>7046</v>
      </c>
      <c r="G3606" s="204" t="s">
        <v>2896</v>
      </c>
      <c r="H3606" s="204" t="s">
        <v>556</v>
      </c>
      <c r="I3606" s="204" t="s">
        <v>281</v>
      </c>
      <c r="J3606" s="204" t="s">
        <v>12627</v>
      </c>
      <c r="K3606" s="204" t="s">
        <v>12627</v>
      </c>
      <c r="L3606" s="204">
        <v>2012</v>
      </c>
      <c r="M3606" s="204">
        <v>15</v>
      </c>
      <c r="N3606" s="204">
        <v>15</v>
      </c>
      <c r="O3606" s="204">
        <v>15</v>
      </c>
      <c r="P3606" s="204">
        <v>0</v>
      </c>
      <c r="Q3606" s="204">
        <v>0</v>
      </c>
      <c r="R3606" s="1209">
        <v>22.7</v>
      </c>
      <c r="S3606" s="1209">
        <f t="shared" si="217"/>
        <v>340.5</v>
      </c>
      <c r="T3606" s="204" t="s">
        <v>12616</v>
      </c>
      <c r="U3606" s="1901" t="s">
        <v>7850</v>
      </c>
      <c r="V3606" s="572" t="s">
        <v>12617</v>
      </c>
      <c r="W3606" s="2134" t="s">
        <v>12628</v>
      </c>
      <c r="X3606" s="18"/>
      <c r="Y3606" s="4"/>
      <c r="Z3606" s="4"/>
    </row>
    <row r="3607" spans="1:26" ht="14.45" hidden="1">
      <c r="A3607" s="20">
        <f t="shared" si="216"/>
        <v>3614</v>
      </c>
      <c r="B3607" s="1063">
        <v>43384</v>
      </c>
      <c r="C3607" s="934" t="s">
        <v>3692</v>
      </c>
      <c r="D3607" s="11" t="s">
        <v>6</v>
      </c>
      <c r="E3607" s="204" t="s">
        <v>12613</v>
      </c>
      <c r="F3607" s="934" t="s">
        <v>7046</v>
      </c>
      <c r="G3607" s="204" t="s">
        <v>8391</v>
      </c>
      <c r="H3607" s="204" t="s">
        <v>12629</v>
      </c>
      <c r="I3607" s="204" t="s">
        <v>281</v>
      </c>
      <c r="J3607" s="204" t="s">
        <v>8221</v>
      </c>
      <c r="K3607" s="204" t="s">
        <v>8221</v>
      </c>
      <c r="L3607" s="204" t="s">
        <v>12630</v>
      </c>
      <c r="M3607" s="204">
        <v>10</v>
      </c>
      <c r="N3607" s="204">
        <v>10</v>
      </c>
      <c r="O3607" s="204">
        <v>10</v>
      </c>
      <c r="P3607" s="204">
        <v>0</v>
      </c>
      <c r="Q3607" s="204">
        <v>0</v>
      </c>
      <c r="R3607" s="1209">
        <v>425</v>
      </c>
      <c r="S3607" s="1209">
        <f t="shared" si="217"/>
        <v>4250</v>
      </c>
      <c r="T3607" s="204" t="s">
        <v>12616</v>
      </c>
      <c r="U3607" s="1901" t="s">
        <v>7850</v>
      </c>
      <c r="V3607" s="572" t="s">
        <v>12617</v>
      </c>
      <c r="W3607" s="2134" t="s">
        <v>12631</v>
      </c>
      <c r="X3607" s="18"/>
      <c r="Y3607" s="4"/>
      <c r="Z3607" s="4"/>
    </row>
    <row r="3608" spans="1:26" ht="14.45" hidden="1">
      <c r="A3608" s="20">
        <f t="shared" si="216"/>
        <v>3615</v>
      </c>
      <c r="B3608" s="1063">
        <v>43385</v>
      </c>
      <c r="C3608" s="934" t="s">
        <v>12632</v>
      </c>
      <c r="D3608" s="11" t="s">
        <v>6</v>
      </c>
      <c r="E3608" s="204" t="s">
        <v>12613</v>
      </c>
      <c r="F3608" s="934" t="s">
        <v>7046</v>
      </c>
      <c r="G3608" s="204" t="s">
        <v>12633</v>
      </c>
      <c r="H3608" s="204" t="s">
        <v>12014</v>
      </c>
      <c r="I3608" s="204" t="s">
        <v>281</v>
      </c>
      <c r="J3608" s="204" t="s">
        <v>12633</v>
      </c>
      <c r="K3608" s="204" t="s">
        <v>12633</v>
      </c>
      <c r="L3608" s="204" t="s">
        <v>513</v>
      </c>
      <c r="M3608" s="204">
        <v>10</v>
      </c>
      <c r="N3608" s="204">
        <v>10</v>
      </c>
      <c r="O3608" s="204">
        <v>10</v>
      </c>
      <c r="P3608" s="204">
        <v>0</v>
      </c>
      <c r="Q3608" s="204">
        <v>0</v>
      </c>
      <c r="R3608" s="1209">
        <v>44.2</v>
      </c>
      <c r="S3608" s="1209">
        <f t="shared" si="217"/>
        <v>442</v>
      </c>
      <c r="T3608" s="204" t="s">
        <v>12616</v>
      </c>
      <c r="U3608" s="1901" t="s">
        <v>7850</v>
      </c>
      <c r="V3608" s="572" t="s">
        <v>12617</v>
      </c>
      <c r="W3608" s="2134" t="s">
        <v>12634</v>
      </c>
      <c r="X3608" s="18"/>
      <c r="Y3608" s="4"/>
      <c r="Z3608" s="4"/>
    </row>
    <row r="3609" spans="1:26" ht="14.45" hidden="1">
      <c r="A3609" s="20">
        <f t="shared" si="216"/>
        <v>3616</v>
      </c>
      <c r="B3609" s="1063">
        <v>43386</v>
      </c>
      <c r="C3609" s="934" t="s">
        <v>6463</v>
      </c>
      <c r="D3609" s="11" t="s">
        <v>6</v>
      </c>
      <c r="E3609" s="204" t="s">
        <v>12613</v>
      </c>
      <c r="F3609" s="934" t="s">
        <v>7046</v>
      </c>
      <c r="G3609" s="204" t="s">
        <v>515</v>
      </c>
      <c r="H3609" s="204" t="s">
        <v>12629</v>
      </c>
      <c r="I3609" s="204" t="s">
        <v>281</v>
      </c>
      <c r="J3609" s="204" t="s">
        <v>4798</v>
      </c>
      <c r="K3609" s="204" t="s">
        <v>4798</v>
      </c>
      <c r="L3609" s="204" t="s">
        <v>12635</v>
      </c>
      <c r="M3609" s="204">
        <v>10</v>
      </c>
      <c r="N3609" s="204">
        <v>10</v>
      </c>
      <c r="O3609" s="204">
        <v>10</v>
      </c>
      <c r="P3609" s="204">
        <v>0</v>
      </c>
      <c r="Q3609" s="204">
        <v>0</v>
      </c>
      <c r="R3609" s="1209">
        <v>294.60000000000002</v>
      </c>
      <c r="S3609" s="1209">
        <f t="shared" si="217"/>
        <v>2946</v>
      </c>
      <c r="T3609" s="204" t="s">
        <v>12616</v>
      </c>
      <c r="U3609" s="1901" t="s">
        <v>7850</v>
      </c>
      <c r="V3609" s="572" t="s">
        <v>12617</v>
      </c>
      <c r="W3609" s="2134" t="s">
        <v>12636</v>
      </c>
      <c r="X3609" s="18"/>
      <c r="Y3609" s="4"/>
      <c r="Z3609" s="4"/>
    </row>
    <row r="3610" spans="1:26" ht="14.45" hidden="1">
      <c r="A3610" s="20">
        <f t="shared" si="216"/>
        <v>3617</v>
      </c>
      <c r="B3610" s="1063">
        <v>43387</v>
      </c>
      <c r="C3610" s="934" t="s">
        <v>12637</v>
      </c>
      <c r="D3610" s="11" t="s">
        <v>6</v>
      </c>
      <c r="E3610" s="204" t="s">
        <v>12613</v>
      </c>
      <c r="F3610" s="934" t="s">
        <v>7046</v>
      </c>
      <c r="G3610" s="204" t="s">
        <v>12638</v>
      </c>
      <c r="H3610" s="204" t="s">
        <v>341</v>
      </c>
      <c r="I3610" s="204" t="s">
        <v>281</v>
      </c>
      <c r="J3610" s="204" t="s">
        <v>6455</v>
      </c>
      <c r="K3610" s="204" t="s">
        <v>6455</v>
      </c>
      <c r="L3610" s="204" t="s">
        <v>6456</v>
      </c>
      <c r="M3610" s="204">
        <v>10</v>
      </c>
      <c r="N3610" s="204">
        <v>10</v>
      </c>
      <c r="O3610" s="204">
        <v>10</v>
      </c>
      <c r="P3610" s="204">
        <v>0</v>
      </c>
      <c r="Q3610" s="204">
        <v>0</v>
      </c>
      <c r="R3610" s="1209">
        <v>12.5</v>
      </c>
      <c r="S3610" s="1209">
        <f t="shared" si="217"/>
        <v>125</v>
      </c>
      <c r="T3610" s="204" t="s">
        <v>12616</v>
      </c>
      <c r="U3610" s="1901" t="s">
        <v>7850</v>
      </c>
      <c r="V3610" s="572" t="s">
        <v>12617</v>
      </c>
      <c r="W3610" s="2134" t="s">
        <v>8920</v>
      </c>
      <c r="X3610" s="18"/>
      <c r="Y3610" s="4"/>
      <c r="Z3610" s="4"/>
    </row>
    <row r="3611" spans="1:26" ht="14.45" hidden="1">
      <c r="A3611" s="20">
        <f t="shared" si="216"/>
        <v>3618</v>
      </c>
      <c r="B3611" s="1063">
        <v>43388</v>
      </c>
      <c r="C3611" s="934" t="s">
        <v>152</v>
      </c>
      <c r="D3611" s="11" t="s">
        <v>6</v>
      </c>
      <c r="E3611" s="204" t="s">
        <v>12613</v>
      </c>
      <c r="F3611" s="934" t="s">
        <v>7046</v>
      </c>
      <c r="G3611" s="204" t="s">
        <v>10865</v>
      </c>
      <c r="H3611" s="204" t="s">
        <v>2786</v>
      </c>
      <c r="I3611" s="204" t="s">
        <v>281</v>
      </c>
      <c r="J3611" s="204" t="s">
        <v>8834</v>
      </c>
      <c r="K3611" s="204" t="s">
        <v>8834</v>
      </c>
      <c r="L3611" s="204">
        <v>1608</v>
      </c>
      <c r="M3611" s="204">
        <v>25</v>
      </c>
      <c r="N3611" s="204">
        <v>25</v>
      </c>
      <c r="O3611" s="204">
        <v>25</v>
      </c>
      <c r="P3611" s="204">
        <v>0</v>
      </c>
      <c r="Q3611" s="204">
        <v>0</v>
      </c>
      <c r="R3611" s="1209">
        <v>1.6</v>
      </c>
      <c r="S3611" s="1209">
        <f t="shared" si="217"/>
        <v>40</v>
      </c>
      <c r="T3611" s="204" t="s">
        <v>12616</v>
      </c>
      <c r="U3611" s="1901" t="s">
        <v>7850</v>
      </c>
      <c r="V3611" s="572" t="s">
        <v>12617</v>
      </c>
      <c r="W3611" s="2134" t="s">
        <v>12639</v>
      </c>
      <c r="X3611" s="18"/>
      <c r="Y3611" s="4"/>
      <c r="Z3611" s="4"/>
    </row>
    <row r="3612" spans="1:26" ht="14.45" hidden="1">
      <c r="A3612" s="20">
        <f t="shared" si="216"/>
        <v>3619</v>
      </c>
      <c r="B3612" s="1063">
        <v>43389</v>
      </c>
      <c r="C3612" s="934" t="s">
        <v>152</v>
      </c>
      <c r="D3612" s="11" t="s">
        <v>6</v>
      </c>
      <c r="E3612" s="204" t="s">
        <v>12613</v>
      </c>
      <c r="F3612" s="934" t="s">
        <v>7046</v>
      </c>
      <c r="G3612" s="204" t="s">
        <v>12640</v>
      </c>
      <c r="H3612" s="204" t="s">
        <v>1653</v>
      </c>
      <c r="I3612" s="204" t="s">
        <v>281</v>
      </c>
      <c r="J3612" s="204" t="s">
        <v>12641</v>
      </c>
      <c r="K3612" s="204" t="s">
        <v>12641</v>
      </c>
      <c r="L3612" s="204">
        <v>1608</v>
      </c>
      <c r="M3612" s="204">
        <v>10</v>
      </c>
      <c r="N3612" s="204">
        <v>10</v>
      </c>
      <c r="O3612" s="204">
        <v>10</v>
      </c>
      <c r="P3612" s="204">
        <v>0</v>
      </c>
      <c r="Q3612" s="204">
        <v>0</v>
      </c>
      <c r="R3612" s="1209">
        <v>2.6</v>
      </c>
      <c r="S3612" s="1209">
        <f t="shared" si="217"/>
        <v>26</v>
      </c>
      <c r="T3612" s="204" t="s">
        <v>12616</v>
      </c>
      <c r="U3612" s="1901" t="s">
        <v>7850</v>
      </c>
      <c r="V3612" s="572" t="s">
        <v>12617</v>
      </c>
      <c r="W3612" s="2134" t="s">
        <v>12642</v>
      </c>
      <c r="X3612" s="18"/>
      <c r="Y3612" s="4"/>
      <c r="Z3612" s="4"/>
    </row>
    <row r="3613" spans="1:26" ht="14.45" hidden="1">
      <c r="A3613" s="20">
        <f t="shared" si="216"/>
        <v>3620</v>
      </c>
      <c r="B3613" s="1063">
        <v>43390</v>
      </c>
      <c r="C3613" s="934" t="s">
        <v>152</v>
      </c>
      <c r="D3613" s="11" t="s">
        <v>6</v>
      </c>
      <c r="E3613" s="204" t="s">
        <v>12613</v>
      </c>
      <c r="F3613" s="934" t="s">
        <v>7046</v>
      </c>
      <c r="G3613" s="204" t="s">
        <v>12643</v>
      </c>
      <c r="H3613" s="204" t="s">
        <v>1653</v>
      </c>
      <c r="I3613" s="204" t="s">
        <v>281</v>
      </c>
      <c r="J3613" s="204" t="s">
        <v>12644</v>
      </c>
      <c r="K3613" s="204" t="s">
        <v>12644</v>
      </c>
      <c r="L3613" s="204">
        <v>1608</v>
      </c>
      <c r="M3613" s="204">
        <v>10</v>
      </c>
      <c r="N3613" s="204">
        <v>10</v>
      </c>
      <c r="O3613" s="204">
        <v>10</v>
      </c>
      <c r="P3613" s="204">
        <v>0</v>
      </c>
      <c r="Q3613" s="204">
        <v>0</v>
      </c>
      <c r="R3613" s="1209">
        <v>2.6</v>
      </c>
      <c r="S3613" s="1209">
        <f t="shared" si="217"/>
        <v>26</v>
      </c>
      <c r="T3613" s="204" t="s">
        <v>12616</v>
      </c>
      <c r="U3613" s="1901" t="s">
        <v>7850</v>
      </c>
      <c r="V3613" s="572" t="s">
        <v>12617</v>
      </c>
      <c r="W3613" s="2134" t="s">
        <v>12645</v>
      </c>
      <c r="X3613" s="18"/>
      <c r="Y3613" s="4"/>
      <c r="Z3613" s="4"/>
    </row>
    <row r="3614" spans="1:26" ht="14.45" hidden="1">
      <c r="A3614" s="20">
        <f t="shared" si="216"/>
        <v>3621</v>
      </c>
      <c r="B3614" s="1063">
        <v>43391</v>
      </c>
      <c r="C3614" s="934" t="s">
        <v>152</v>
      </c>
      <c r="D3614" s="11" t="s">
        <v>6</v>
      </c>
      <c r="E3614" s="204" t="s">
        <v>12613</v>
      </c>
      <c r="F3614" s="934" t="s">
        <v>7046</v>
      </c>
      <c r="G3614" s="204" t="s">
        <v>10863</v>
      </c>
      <c r="H3614" s="204" t="s">
        <v>2786</v>
      </c>
      <c r="I3614" s="204" t="s">
        <v>281</v>
      </c>
      <c r="J3614" s="204" t="s">
        <v>8829</v>
      </c>
      <c r="K3614" s="204" t="s">
        <v>8829</v>
      </c>
      <c r="L3614" s="204">
        <v>1608</v>
      </c>
      <c r="M3614" s="204">
        <v>10</v>
      </c>
      <c r="N3614" s="204">
        <v>10</v>
      </c>
      <c r="O3614" s="204">
        <v>10</v>
      </c>
      <c r="P3614" s="204">
        <v>0</v>
      </c>
      <c r="Q3614" s="204">
        <v>0</v>
      </c>
      <c r="R3614" s="1209">
        <v>1.6</v>
      </c>
      <c r="S3614" s="1209">
        <f t="shared" si="217"/>
        <v>16</v>
      </c>
      <c r="T3614" s="204" t="s">
        <v>12616</v>
      </c>
      <c r="U3614" s="1901" t="s">
        <v>7850</v>
      </c>
      <c r="V3614" s="572" t="s">
        <v>12617</v>
      </c>
      <c r="W3614" s="2134" t="s">
        <v>12646</v>
      </c>
      <c r="X3614" s="18"/>
      <c r="Y3614" s="4"/>
      <c r="Z3614" s="4"/>
    </row>
    <row r="3615" spans="1:26" ht="14.45" hidden="1">
      <c r="A3615" s="20">
        <f t="shared" si="216"/>
        <v>3622</v>
      </c>
      <c r="B3615" s="1063">
        <v>43392</v>
      </c>
      <c r="C3615" s="934" t="s">
        <v>152</v>
      </c>
      <c r="D3615" s="11" t="s">
        <v>6</v>
      </c>
      <c r="E3615" s="204" t="s">
        <v>12613</v>
      </c>
      <c r="F3615" s="934" t="s">
        <v>7046</v>
      </c>
      <c r="G3615" s="204" t="s">
        <v>12647</v>
      </c>
      <c r="H3615" s="204" t="s">
        <v>166</v>
      </c>
      <c r="I3615" s="204" t="s">
        <v>281</v>
      </c>
      <c r="J3615" s="204" t="s">
        <v>12648</v>
      </c>
      <c r="K3615" s="204" t="s">
        <v>12648</v>
      </c>
      <c r="L3615" s="204">
        <v>1608</v>
      </c>
      <c r="M3615" s="204">
        <v>10</v>
      </c>
      <c r="N3615" s="204">
        <v>10</v>
      </c>
      <c r="O3615" s="204">
        <v>10</v>
      </c>
      <c r="P3615" s="204">
        <v>0</v>
      </c>
      <c r="Q3615" s="204">
        <v>0</v>
      </c>
      <c r="R3615" s="1209">
        <v>25.3</v>
      </c>
      <c r="S3615" s="1209">
        <f t="shared" si="217"/>
        <v>253</v>
      </c>
      <c r="T3615" s="204" t="s">
        <v>12616</v>
      </c>
      <c r="U3615" s="1901" t="s">
        <v>7850</v>
      </c>
      <c r="V3615" s="572" t="s">
        <v>12617</v>
      </c>
      <c r="W3615" s="2134" t="s">
        <v>12649</v>
      </c>
      <c r="X3615" s="18"/>
      <c r="Y3615" s="4"/>
      <c r="Z3615" s="4"/>
    </row>
    <row r="3616" spans="1:26" ht="14.45" hidden="1">
      <c r="A3616" s="20">
        <f t="shared" si="216"/>
        <v>3623</v>
      </c>
      <c r="B3616" s="1063">
        <v>43393</v>
      </c>
      <c r="C3616" s="934" t="s">
        <v>152</v>
      </c>
      <c r="D3616" s="11" t="s">
        <v>6</v>
      </c>
      <c r="E3616" s="204" t="s">
        <v>12613</v>
      </c>
      <c r="F3616" s="934" t="s">
        <v>7046</v>
      </c>
      <c r="G3616" s="204" t="s">
        <v>12650</v>
      </c>
      <c r="H3616" s="204" t="s">
        <v>598</v>
      </c>
      <c r="I3616" s="204" t="s">
        <v>281</v>
      </c>
      <c r="J3616" s="204" t="s">
        <v>12651</v>
      </c>
      <c r="K3616" s="204" t="s">
        <v>12651</v>
      </c>
      <c r="L3616" s="204">
        <v>1608</v>
      </c>
      <c r="M3616" s="204">
        <v>10</v>
      </c>
      <c r="N3616" s="204">
        <v>10</v>
      </c>
      <c r="O3616" s="204">
        <v>10</v>
      </c>
      <c r="P3616" s="204">
        <v>0</v>
      </c>
      <c r="Q3616" s="204">
        <v>0</v>
      </c>
      <c r="R3616" s="1209">
        <v>59.2</v>
      </c>
      <c r="S3616" s="1209">
        <f t="shared" si="217"/>
        <v>592</v>
      </c>
      <c r="T3616" s="204" t="s">
        <v>12616</v>
      </c>
      <c r="U3616" s="1901" t="s">
        <v>7850</v>
      </c>
      <c r="V3616" s="572" t="s">
        <v>12617</v>
      </c>
      <c r="W3616" s="2134" t="s">
        <v>12652</v>
      </c>
      <c r="X3616" s="18"/>
      <c r="Y3616" s="4"/>
      <c r="Z3616" s="4"/>
    </row>
    <row r="3617" spans="1:26" ht="14.45" hidden="1">
      <c r="A3617" s="200">
        <f t="shared" si="216"/>
        <v>3624</v>
      </c>
      <c r="B3617" s="1063">
        <v>43394</v>
      </c>
      <c r="C3617" s="970" t="s">
        <v>152</v>
      </c>
      <c r="D3617" s="374" t="s">
        <v>6</v>
      </c>
      <c r="E3617" s="717" t="s">
        <v>12613</v>
      </c>
      <c r="F3617" s="970" t="s">
        <v>7046</v>
      </c>
      <c r="G3617" s="717" t="s">
        <v>12653</v>
      </c>
      <c r="H3617" s="717" t="s">
        <v>166</v>
      </c>
      <c r="I3617" s="717" t="s">
        <v>281</v>
      </c>
      <c r="J3617" s="717" t="s">
        <v>12654</v>
      </c>
      <c r="K3617" s="717" t="s">
        <v>12654</v>
      </c>
      <c r="L3617" s="717">
        <v>2012</v>
      </c>
      <c r="M3617" s="717">
        <v>10</v>
      </c>
      <c r="N3617" s="717">
        <v>10</v>
      </c>
      <c r="O3617" s="717">
        <v>10</v>
      </c>
      <c r="P3617" s="717">
        <v>0</v>
      </c>
      <c r="Q3617" s="717">
        <v>0</v>
      </c>
      <c r="R3617" s="1234">
        <v>52.2</v>
      </c>
      <c r="S3617" s="1234">
        <f t="shared" si="217"/>
        <v>522</v>
      </c>
      <c r="T3617" s="717" t="s">
        <v>12616</v>
      </c>
      <c r="U3617" s="1927" t="s">
        <v>7850</v>
      </c>
      <c r="V3617" s="718" t="s">
        <v>12617</v>
      </c>
      <c r="W3617" s="2135" t="s">
        <v>12655</v>
      </c>
      <c r="X3617" s="56" t="s">
        <v>12656</v>
      </c>
      <c r="Y3617" s="57"/>
      <c r="Z3617" s="57"/>
    </row>
    <row r="3618" spans="1:26" ht="14.45" hidden="1">
      <c r="A3618" s="20">
        <f t="shared" si="216"/>
        <v>3625</v>
      </c>
      <c r="B3618" s="1063">
        <v>43395</v>
      </c>
      <c r="C3618" s="934" t="s">
        <v>152</v>
      </c>
      <c r="D3618" s="11" t="s">
        <v>6</v>
      </c>
      <c r="E3618" s="204" t="s">
        <v>12613</v>
      </c>
      <c r="F3618" s="934" t="s">
        <v>7046</v>
      </c>
      <c r="G3618" s="204" t="s">
        <v>12657</v>
      </c>
      <c r="H3618" s="204" t="s">
        <v>598</v>
      </c>
      <c r="I3618" s="204" t="s">
        <v>281</v>
      </c>
      <c r="J3618" s="204" t="s">
        <v>12658</v>
      </c>
      <c r="K3618" s="204" t="s">
        <v>12658</v>
      </c>
      <c r="L3618" s="204">
        <v>1608</v>
      </c>
      <c r="M3618" s="204">
        <v>10</v>
      </c>
      <c r="N3618" s="204">
        <v>10</v>
      </c>
      <c r="O3618" s="204">
        <v>10</v>
      </c>
      <c r="P3618" s="204">
        <v>0</v>
      </c>
      <c r="Q3618" s="204">
        <v>0</v>
      </c>
      <c r="R3618" s="1209">
        <v>59.2</v>
      </c>
      <c r="S3618" s="1209">
        <f t="shared" si="217"/>
        <v>592</v>
      </c>
      <c r="T3618" s="204" t="s">
        <v>12616</v>
      </c>
      <c r="U3618" s="1901" t="s">
        <v>7850</v>
      </c>
      <c r="V3618" s="572" t="s">
        <v>12617</v>
      </c>
      <c r="W3618" s="2134" t="s">
        <v>12659</v>
      </c>
      <c r="X3618" s="18"/>
      <c r="Y3618" s="4"/>
      <c r="Z3618" s="4"/>
    </row>
    <row r="3619" spans="1:26" ht="14.45" hidden="1">
      <c r="A3619" s="20">
        <f t="shared" si="216"/>
        <v>3626</v>
      </c>
      <c r="B3619" s="1063">
        <v>43396</v>
      </c>
      <c r="C3619" s="934" t="s">
        <v>152</v>
      </c>
      <c r="D3619" s="11" t="s">
        <v>6</v>
      </c>
      <c r="E3619" s="204" t="s">
        <v>12613</v>
      </c>
      <c r="F3619" s="934" t="s">
        <v>7046</v>
      </c>
      <c r="G3619" s="204" t="s">
        <v>12660</v>
      </c>
      <c r="H3619" s="204" t="s">
        <v>1653</v>
      </c>
      <c r="I3619" s="204" t="s">
        <v>281</v>
      </c>
      <c r="J3619" s="204" t="s">
        <v>12661</v>
      </c>
      <c r="K3619" s="204" t="s">
        <v>12661</v>
      </c>
      <c r="L3619" s="204">
        <v>1608</v>
      </c>
      <c r="M3619" s="204">
        <v>10</v>
      </c>
      <c r="N3619" s="204">
        <v>10</v>
      </c>
      <c r="O3619" s="204">
        <v>10</v>
      </c>
      <c r="P3619" s="204">
        <v>0</v>
      </c>
      <c r="Q3619" s="204">
        <v>0</v>
      </c>
      <c r="R3619" s="1209">
        <v>2.6</v>
      </c>
      <c r="S3619" s="1209">
        <f t="shared" si="217"/>
        <v>26</v>
      </c>
      <c r="T3619" s="204" t="s">
        <v>12616</v>
      </c>
      <c r="U3619" s="1901" t="s">
        <v>7850</v>
      </c>
      <c r="V3619" s="572" t="s">
        <v>12617</v>
      </c>
      <c r="W3619" s="2134" t="s">
        <v>12662</v>
      </c>
      <c r="X3619" s="18"/>
      <c r="Y3619" s="4"/>
      <c r="Z3619" s="4"/>
    </row>
    <row r="3620" spans="1:26" ht="14.45" hidden="1">
      <c r="A3620" s="20">
        <f t="shared" si="216"/>
        <v>3627</v>
      </c>
      <c r="B3620" s="1063">
        <v>43397</v>
      </c>
      <c r="C3620" s="934" t="s">
        <v>152</v>
      </c>
      <c r="D3620" s="11" t="s">
        <v>6</v>
      </c>
      <c r="E3620" s="204" t="s">
        <v>12613</v>
      </c>
      <c r="F3620" s="934" t="s">
        <v>7046</v>
      </c>
      <c r="G3620" s="204" t="s">
        <v>12663</v>
      </c>
      <c r="H3620" s="204" t="s">
        <v>598</v>
      </c>
      <c r="I3620" s="204" t="s">
        <v>281</v>
      </c>
      <c r="J3620" s="204" t="s">
        <v>12664</v>
      </c>
      <c r="K3620" s="204" t="s">
        <v>12664</v>
      </c>
      <c r="L3620" s="204">
        <v>1608</v>
      </c>
      <c r="M3620" s="204">
        <v>10</v>
      </c>
      <c r="N3620" s="204">
        <v>10</v>
      </c>
      <c r="O3620" s="204">
        <v>10</v>
      </c>
      <c r="P3620" s="204">
        <v>0</v>
      </c>
      <c r="Q3620" s="204">
        <v>0</v>
      </c>
      <c r="R3620" s="1209">
        <v>12.7</v>
      </c>
      <c r="S3620" s="1209">
        <f t="shared" si="217"/>
        <v>127</v>
      </c>
      <c r="T3620" s="204" t="s">
        <v>12616</v>
      </c>
      <c r="U3620" s="1901" t="s">
        <v>7850</v>
      </c>
      <c r="V3620" s="572" t="s">
        <v>12617</v>
      </c>
      <c r="W3620" s="2134" t="s">
        <v>12665</v>
      </c>
      <c r="X3620" s="18"/>
      <c r="Y3620" s="4"/>
      <c r="Z3620" s="4"/>
    </row>
    <row r="3621" spans="1:26" ht="14.45" hidden="1">
      <c r="A3621" s="20">
        <f t="shared" si="216"/>
        <v>3628</v>
      </c>
      <c r="B3621" s="1063">
        <v>43398</v>
      </c>
      <c r="C3621" s="934" t="s">
        <v>152</v>
      </c>
      <c r="D3621" s="11" t="s">
        <v>6</v>
      </c>
      <c r="E3621" s="204" t="s">
        <v>12613</v>
      </c>
      <c r="F3621" s="934" t="s">
        <v>7046</v>
      </c>
      <c r="G3621" s="204" t="s">
        <v>12666</v>
      </c>
      <c r="H3621" s="204" t="s">
        <v>2786</v>
      </c>
      <c r="I3621" s="204" t="s">
        <v>281</v>
      </c>
      <c r="J3621" s="204" t="s">
        <v>8323</v>
      </c>
      <c r="K3621" s="204" t="s">
        <v>8323</v>
      </c>
      <c r="L3621" s="204">
        <v>1608</v>
      </c>
      <c r="M3621" s="204">
        <v>25</v>
      </c>
      <c r="N3621" s="204">
        <v>25</v>
      </c>
      <c r="O3621" s="204">
        <v>25</v>
      </c>
      <c r="P3621" s="204">
        <v>0</v>
      </c>
      <c r="Q3621" s="204">
        <v>0</v>
      </c>
      <c r="R3621" s="1209">
        <v>2.5</v>
      </c>
      <c r="S3621" s="1209">
        <f t="shared" si="217"/>
        <v>62.5</v>
      </c>
      <c r="T3621" s="204" t="s">
        <v>12616</v>
      </c>
      <c r="U3621" s="1901" t="s">
        <v>7850</v>
      </c>
      <c r="V3621" s="572" t="s">
        <v>12617</v>
      </c>
      <c r="W3621" s="2134" t="s">
        <v>12667</v>
      </c>
      <c r="X3621" s="18"/>
      <c r="Y3621" s="4"/>
      <c r="Z3621" s="4"/>
    </row>
    <row r="3622" spans="1:26" ht="14.45" hidden="1">
      <c r="A3622" s="20">
        <f t="shared" si="216"/>
        <v>3629</v>
      </c>
      <c r="B3622" s="1063">
        <v>43399</v>
      </c>
      <c r="C3622" s="934" t="s">
        <v>152</v>
      </c>
      <c r="D3622" s="11" t="s">
        <v>6</v>
      </c>
      <c r="E3622" s="204" t="s">
        <v>12613</v>
      </c>
      <c r="F3622" s="934" t="s">
        <v>7046</v>
      </c>
      <c r="G3622" s="204" t="s">
        <v>12668</v>
      </c>
      <c r="H3622" s="204" t="s">
        <v>2786</v>
      </c>
      <c r="I3622" s="204" t="s">
        <v>281</v>
      </c>
      <c r="J3622" s="204" t="s">
        <v>12669</v>
      </c>
      <c r="K3622" s="204" t="s">
        <v>12669</v>
      </c>
      <c r="L3622" s="204">
        <v>1608</v>
      </c>
      <c r="M3622" s="204">
        <v>10</v>
      </c>
      <c r="N3622" s="204">
        <v>10</v>
      </c>
      <c r="O3622" s="204">
        <v>10</v>
      </c>
      <c r="P3622" s="204">
        <v>0</v>
      </c>
      <c r="Q3622" s="204">
        <v>0</v>
      </c>
      <c r="R3622" s="1209">
        <v>17.5</v>
      </c>
      <c r="S3622" s="1209">
        <f t="shared" si="217"/>
        <v>175</v>
      </c>
      <c r="T3622" s="204" t="s">
        <v>12616</v>
      </c>
      <c r="U3622" s="1901" t="s">
        <v>7850</v>
      </c>
      <c r="V3622" s="572" t="s">
        <v>12617</v>
      </c>
      <c r="W3622" s="2134" t="s">
        <v>12670</v>
      </c>
      <c r="X3622" s="18"/>
      <c r="Y3622" s="4"/>
      <c r="Z3622" s="4"/>
    </row>
    <row r="3623" spans="1:26" ht="14.45" hidden="1">
      <c r="A3623" s="20">
        <f t="shared" si="216"/>
        <v>3630</v>
      </c>
      <c r="B3623" s="1063">
        <v>43400</v>
      </c>
      <c r="C3623" s="934" t="s">
        <v>152</v>
      </c>
      <c r="D3623" s="11"/>
      <c r="E3623" s="204" t="s">
        <v>12613</v>
      </c>
      <c r="F3623" s="934" t="s">
        <v>7046</v>
      </c>
      <c r="G3623" s="204" t="s">
        <v>12671</v>
      </c>
      <c r="H3623" s="204" t="s">
        <v>166</v>
      </c>
      <c r="I3623" s="204" t="s">
        <v>281</v>
      </c>
      <c r="J3623" s="204" t="s">
        <v>12672</v>
      </c>
      <c r="K3623" s="204" t="s">
        <v>12672</v>
      </c>
      <c r="L3623" s="204">
        <v>1608</v>
      </c>
      <c r="M3623" s="204">
        <v>10</v>
      </c>
      <c r="N3623" s="204">
        <v>10</v>
      </c>
      <c r="O3623" s="204">
        <v>10</v>
      </c>
      <c r="P3623" s="204">
        <v>0</v>
      </c>
      <c r="Q3623" s="204">
        <v>0</v>
      </c>
      <c r="R3623" s="1209">
        <v>29</v>
      </c>
      <c r="S3623" s="1209">
        <f t="shared" si="217"/>
        <v>290</v>
      </c>
      <c r="T3623" s="204" t="s">
        <v>12616</v>
      </c>
      <c r="U3623" s="1901" t="s">
        <v>7850</v>
      </c>
      <c r="V3623" s="572" t="s">
        <v>12617</v>
      </c>
      <c r="W3623" s="2134" t="s">
        <v>12673</v>
      </c>
      <c r="X3623" s="18"/>
      <c r="Y3623" s="4"/>
      <c r="Z3623" s="4"/>
    </row>
    <row r="3624" spans="1:26" ht="14.45" hidden="1">
      <c r="A3624" s="20">
        <f t="shared" si="216"/>
        <v>3631</v>
      </c>
      <c r="B3624" s="1063">
        <v>43401</v>
      </c>
      <c r="C3624" s="934" t="s">
        <v>152</v>
      </c>
      <c r="D3624" s="11"/>
      <c r="E3624" s="204" t="s">
        <v>12613</v>
      </c>
      <c r="F3624" s="934" t="s">
        <v>7046</v>
      </c>
      <c r="G3624" s="204" t="s">
        <v>12674</v>
      </c>
      <c r="H3624" s="204" t="s">
        <v>1653</v>
      </c>
      <c r="I3624" s="204" t="s">
        <v>281</v>
      </c>
      <c r="J3624" s="204" t="s">
        <v>12675</v>
      </c>
      <c r="K3624" s="204" t="s">
        <v>12675</v>
      </c>
      <c r="L3624" s="204">
        <v>1608</v>
      </c>
      <c r="M3624" s="204">
        <v>10</v>
      </c>
      <c r="N3624" s="204">
        <v>10</v>
      </c>
      <c r="O3624" s="204">
        <v>10</v>
      </c>
      <c r="P3624" s="204">
        <v>0</v>
      </c>
      <c r="Q3624" s="204">
        <v>0</v>
      </c>
      <c r="R3624" s="1209">
        <v>2.6</v>
      </c>
      <c r="S3624" s="1209">
        <f t="shared" si="217"/>
        <v>26</v>
      </c>
      <c r="T3624" s="204" t="s">
        <v>12616</v>
      </c>
      <c r="U3624" s="1901" t="s">
        <v>7850</v>
      </c>
      <c r="V3624" s="572" t="s">
        <v>12617</v>
      </c>
      <c r="W3624" s="2136" t="s">
        <v>12676</v>
      </c>
      <c r="X3624" s="18"/>
      <c r="Y3624" s="4"/>
      <c r="Z3624" s="4"/>
    </row>
    <row r="3625" spans="1:26" ht="14.45" hidden="1">
      <c r="A3625" s="20">
        <f t="shared" si="216"/>
        <v>3632</v>
      </c>
      <c r="B3625" s="1063">
        <v>43402</v>
      </c>
      <c r="C3625" s="934" t="s">
        <v>589</v>
      </c>
      <c r="D3625" s="11"/>
      <c r="E3625" s="204" t="s">
        <v>12613</v>
      </c>
      <c r="F3625" s="934" t="s">
        <v>7046</v>
      </c>
      <c r="G3625" s="204" t="s">
        <v>12677</v>
      </c>
      <c r="H3625" s="204" t="s">
        <v>12678</v>
      </c>
      <c r="I3625" s="204" t="s">
        <v>281</v>
      </c>
      <c r="J3625" s="204" t="s">
        <v>12679</v>
      </c>
      <c r="K3625" s="204" t="s">
        <v>12679</v>
      </c>
      <c r="L3625" s="204">
        <v>2012</v>
      </c>
      <c r="M3625" s="204">
        <v>10</v>
      </c>
      <c r="N3625" s="204">
        <v>10</v>
      </c>
      <c r="O3625" s="204">
        <v>10</v>
      </c>
      <c r="P3625" s="204">
        <v>0</v>
      </c>
      <c r="Q3625" s="204">
        <v>0</v>
      </c>
      <c r="R3625" s="1209">
        <v>32.5</v>
      </c>
      <c r="S3625" s="1209">
        <f t="shared" si="217"/>
        <v>325</v>
      </c>
      <c r="T3625" s="204" t="s">
        <v>12616</v>
      </c>
      <c r="U3625" s="1901" t="s">
        <v>7850</v>
      </c>
      <c r="V3625" s="572" t="s">
        <v>12617</v>
      </c>
      <c r="W3625" s="2136" t="s">
        <v>12680</v>
      </c>
      <c r="X3625" s="18"/>
      <c r="Y3625" s="4"/>
      <c r="Z3625" s="4"/>
    </row>
    <row r="3626" spans="1:26" ht="14.45" hidden="1">
      <c r="A3626" s="20">
        <f t="shared" si="216"/>
        <v>3633</v>
      </c>
      <c r="B3626" s="1063">
        <v>43403</v>
      </c>
      <c r="C3626" s="934" t="s">
        <v>589</v>
      </c>
      <c r="D3626" s="11"/>
      <c r="E3626" s="204" t="s">
        <v>12613</v>
      </c>
      <c r="F3626" s="934" t="s">
        <v>7046</v>
      </c>
      <c r="G3626" s="204" t="s">
        <v>12681</v>
      </c>
      <c r="H3626" s="204" t="s">
        <v>12678</v>
      </c>
      <c r="I3626" s="204" t="s">
        <v>281</v>
      </c>
      <c r="J3626" s="204" t="s">
        <v>12682</v>
      </c>
      <c r="K3626" s="204" t="s">
        <v>12682</v>
      </c>
      <c r="L3626" s="204">
        <v>2012</v>
      </c>
      <c r="M3626" s="204">
        <v>10</v>
      </c>
      <c r="N3626" s="204">
        <v>10</v>
      </c>
      <c r="O3626" s="204">
        <v>10</v>
      </c>
      <c r="P3626" s="204">
        <v>0</v>
      </c>
      <c r="Q3626" s="204">
        <v>0</v>
      </c>
      <c r="R3626" s="1209">
        <v>41.3</v>
      </c>
      <c r="S3626" s="1209">
        <f t="shared" si="217"/>
        <v>413</v>
      </c>
      <c r="T3626" s="204" t="s">
        <v>12616</v>
      </c>
      <c r="U3626" s="1901" t="s">
        <v>7850</v>
      </c>
      <c r="V3626" s="572" t="s">
        <v>12617</v>
      </c>
      <c r="W3626" s="2134" t="s">
        <v>12683</v>
      </c>
      <c r="X3626" s="18"/>
      <c r="Y3626" s="4"/>
      <c r="Z3626" s="4"/>
    </row>
    <row r="3627" spans="1:26" ht="14.45" hidden="1">
      <c r="A3627" s="20">
        <f t="shared" si="216"/>
        <v>3634</v>
      </c>
      <c r="B3627" s="1063">
        <v>43404</v>
      </c>
      <c r="C3627" s="934" t="s">
        <v>589</v>
      </c>
      <c r="D3627" s="11" t="s">
        <v>6</v>
      </c>
      <c r="E3627" s="204" t="s">
        <v>12613</v>
      </c>
      <c r="F3627" s="934" t="s">
        <v>7046</v>
      </c>
      <c r="G3627" s="204" t="s">
        <v>12684</v>
      </c>
      <c r="H3627" s="204" t="s">
        <v>12678</v>
      </c>
      <c r="I3627" s="204" t="s">
        <v>281</v>
      </c>
      <c r="J3627" s="204" t="s">
        <v>12685</v>
      </c>
      <c r="K3627" s="204" t="s">
        <v>12685</v>
      </c>
      <c r="L3627" s="204">
        <v>2012</v>
      </c>
      <c r="M3627" s="204">
        <v>10</v>
      </c>
      <c r="N3627" s="204">
        <v>10</v>
      </c>
      <c r="O3627" s="204">
        <v>10</v>
      </c>
      <c r="P3627" s="204">
        <v>0</v>
      </c>
      <c r="Q3627" s="204">
        <v>0</v>
      </c>
      <c r="R3627" s="1209">
        <v>41.3</v>
      </c>
      <c r="S3627" s="1209">
        <f t="shared" si="217"/>
        <v>413</v>
      </c>
      <c r="T3627" s="204" t="s">
        <v>12616</v>
      </c>
      <c r="U3627" s="1901" t="s">
        <v>7850</v>
      </c>
      <c r="V3627" s="572" t="s">
        <v>12617</v>
      </c>
      <c r="W3627" s="2134" t="s">
        <v>12683</v>
      </c>
      <c r="X3627" s="18"/>
      <c r="Y3627" s="4"/>
      <c r="Z3627" s="4"/>
    </row>
    <row r="3628" spans="1:26" ht="14.45" hidden="1">
      <c r="A3628" s="20">
        <f t="shared" si="216"/>
        <v>3635</v>
      </c>
      <c r="B3628" s="1063">
        <v>43405</v>
      </c>
      <c r="C3628" s="934" t="s">
        <v>12686</v>
      </c>
      <c r="D3628" s="11"/>
      <c r="E3628" s="204" t="s">
        <v>12613</v>
      </c>
      <c r="F3628" s="934" t="s">
        <v>7046</v>
      </c>
      <c r="G3628" s="204" t="s">
        <v>12687</v>
      </c>
      <c r="H3628" s="204" t="s">
        <v>341</v>
      </c>
      <c r="I3628" s="204" t="s">
        <v>281</v>
      </c>
      <c r="J3628" s="204" t="s">
        <v>12687</v>
      </c>
      <c r="K3628" s="204" t="s">
        <v>12687</v>
      </c>
      <c r="L3628" s="204" t="s">
        <v>12688</v>
      </c>
      <c r="M3628" s="204">
        <v>4</v>
      </c>
      <c r="N3628" s="204">
        <v>4</v>
      </c>
      <c r="O3628" s="204">
        <v>4</v>
      </c>
      <c r="P3628" s="204">
        <v>0</v>
      </c>
      <c r="Q3628" s="204">
        <v>0</v>
      </c>
      <c r="R3628" s="1209">
        <v>164</v>
      </c>
      <c r="S3628" s="1209">
        <f t="shared" si="217"/>
        <v>656</v>
      </c>
      <c r="T3628" s="204" t="s">
        <v>12616</v>
      </c>
      <c r="U3628" s="1901" t="s">
        <v>7850</v>
      </c>
      <c r="V3628" s="572" t="s">
        <v>12617</v>
      </c>
      <c r="W3628" s="2134" t="s">
        <v>12689</v>
      </c>
      <c r="X3628" s="18"/>
      <c r="Y3628" s="4"/>
      <c r="Z3628" s="4"/>
    </row>
    <row r="3629" spans="1:26" ht="14.45" hidden="1">
      <c r="A3629" s="20">
        <f t="shared" si="216"/>
        <v>3636</v>
      </c>
      <c r="B3629" s="1063">
        <v>43406</v>
      </c>
      <c r="C3629" s="934" t="s">
        <v>12690</v>
      </c>
      <c r="D3629" s="11"/>
      <c r="E3629" s="204" t="s">
        <v>12613</v>
      </c>
      <c r="F3629" s="934" t="s">
        <v>7046</v>
      </c>
      <c r="G3629" s="204" t="s">
        <v>12691</v>
      </c>
      <c r="H3629" s="204" t="s">
        <v>3612</v>
      </c>
      <c r="I3629" s="204" t="s">
        <v>281</v>
      </c>
      <c r="J3629" s="204" t="s">
        <v>12692</v>
      </c>
      <c r="K3629" s="204" t="s">
        <v>12692</v>
      </c>
      <c r="L3629" s="204" t="s">
        <v>6668</v>
      </c>
      <c r="M3629" s="204">
        <v>10</v>
      </c>
      <c r="N3629" s="204">
        <v>10</v>
      </c>
      <c r="O3629" s="204">
        <v>10</v>
      </c>
      <c r="P3629" s="204">
        <v>0</v>
      </c>
      <c r="Q3629" s="204">
        <v>0</v>
      </c>
      <c r="R3629" s="1209">
        <v>96.5</v>
      </c>
      <c r="S3629" s="1209">
        <f t="shared" si="217"/>
        <v>965</v>
      </c>
      <c r="T3629" s="204" t="s">
        <v>12616</v>
      </c>
      <c r="U3629" s="1901" t="s">
        <v>7850</v>
      </c>
      <c r="V3629" s="572" t="s">
        <v>12617</v>
      </c>
      <c r="W3629" s="2134" t="s">
        <v>12693</v>
      </c>
      <c r="X3629" s="18"/>
      <c r="Y3629" s="4"/>
      <c r="Z3629" s="4"/>
    </row>
    <row r="3630" spans="1:26" ht="14.45" hidden="1">
      <c r="A3630" s="200">
        <f t="shared" si="216"/>
        <v>3637</v>
      </c>
      <c r="B3630" s="1063">
        <v>43407</v>
      </c>
      <c r="C3630" s="970" t="s">
        <v>603</v>
      </c>
      <c r="D3630" s="374" t="s">
        <v>6</v>
      </c>
      <c r="E3630" s="717" t="s">
        <v>12613</v>
      </c>
      <c r="F3630" s="970" t="s">
        <v>7046</v>
      </c>
      <c r="G3630" s="717" t="s">
        <v>2034</v>
      </c>
      <c r="H3630" s="717" t="s">
        <v>752</v>
      </c>
      <c r="I3630" s="717" t="s">
        <v>281</v>
      </c>
      <c r="J3630" s="717" t="s">
        <v>2034</v>
      </c>
      <c r="K3630" s="717" t="s">
        <v>2034</v>
      </c>
      <c r="L3630" s="717" t="s">
        <v>10489</v>
      </c>
      <c r="M3630" s="717">
        <v>4</v>
      </c>
      <c r="N3630" s="717">
        <v>4</v>
      </c>
      <c r="O3630" s="717">
        <v>4</v>
      </c>
      <c r="P3630" s="717">
        <v>0</v>
      </c>
      <c r="Q3630" s="717">
        <v>0</v>
      </c>
      <c r="R3630" s="1234">
        <v>1053</v>
      </c>
      <c r="S3630" s="1234">
        <f t="shared" si="217"/>
        <v>4212</v>
      </c>
      <c r="T3630" s="717" t="s">
        <v>12616</v>
      </c>
      <c r="U3630" s="1927" t="s">
        <v>7850</v>
      </c>
      <c r="V3630" s="718" t="s">
        <v>12617</v>
      </c>
      <c r="W3630" s="2135" t="s">
        <v>12694</v>
      </c>
      <c r="X3630" s="56" t="s">
        <v>12656</v>
      </c>
      <c r="Y3630" s="57"/>
      <c r="Z3630" s="57"/>
    </row>
    <row r="3631" spans="1:26" ht="14.45" hidden="1">
      <c r="A3631" s="20">
        <f t="shared" si="216"/>
        <v>3638</v>
      </c>
      <c r="B3631" s="1063">
        <v>43408</v>
      </c>
      <c r="C3631" s="934" t="s">
        <v>12690</v>
      </c>
      <c r="D3631" s="11"/>
      <c r="E3631" s="204" t="s">
        <v>12613</v>
      </c>
      <c r="F3631" s="934" t="s">
        <v>7046</v>
      </c>
      <c r="G3631" s="204" t="s">
        <v>12695</v>
      </c>
      <c r="H3631" s="204" t="s">
        <v>1143</v>
      </c>
      <c r="I3631" s="204" t="s">
        <v>281</v>
      </c>
      <c r="J3631" s="204">
        <v>530480310</v>
      </c>
      <c r="K3631" s="204">
        <v>530480310</v>
      </c>
      <c r="L3631" s="204" t="s">
        <v>6668</v>
      </c>
      <c r="M3631" s="204">
        <v>15</v>
      </c>
      <c r="N3631" s="204">
        <v>15</v>
      </c>
      <c r="O3631" s="204">
        <v>15</v>
      </c>
      <c r="P3631" s="204">
        <v>0</v>
      </c>
      <c r="Q3631" s="204">
        <v>0</v>
      </c>
      <c r="R3631" s="1209">
        <v>31.6</v>
      </c>
      <c r="S3631" s="1209">
        <f t="shared" si="217"/>
        <v>474</v>
      </c>
      <c r="T3631" s="204" t="s">
        <v>12616</v>
      </c>
      <c r="U3631" s="1901" t="s">
        <v>7850</v>
      </c>
      <c r="V3631" s="572" t="s">
        <v>12617</v>
      </c>
      <c r="W3631" s="2134" t="s">
        <v>12696</v>
      </c>
      <c r="X3631" s="18"/>
      <c r="Y3631" s="4"/>
      <c r="Z3631" s="4"/>
    </row>
    <row r="3632" spans="1:26" ht="14.45" hidden="1">
      <c r="A3632" s="20">
        <f t="shared" si="216"/>
        <v>3639</v>
      </c>
      <c r="B3632" s="1063">
        <v>43409</v>
      </c>
      <c r="C3632" s="934" t="s">
        <v>12690</v>
      </c>
      <c r="D3632" s="11"/>
      <c r="E3632" s="204" t="s">
        <v>12613</v>
      </c>
      <c r="F3632" s="934" t="s">
        <v>7046</v>
      </c>
      <c r="G3632" s="204" t="s">
        <v>12697</v>
      </c>
      <c r="H3632" s="204" t="s">
        <v>1143</v>
      </c>
      <c r="I3632" s="204" t="s">
        <v>281</v>
      </c>
      <c r="J3632" s="204">
        <v>530480210</v>
      </c>
      <c r="K3632" s="204">
        <v>530480210</v>
      </c>
      <c r="L3632" s="204" t="s">
        <v>6668</v>
      </c>
      <c r="M3632" s="204">
        <v>20</v>
      </c>
      <c r="N3632" s="204">
        <v>20</v>
      </c>
      <c r="O3632" s="204">
        <v>20</v>
      </c>
      <c r="P3632" s="204">
        <v>0</v>
      </c>
      <c r="Q3632" s="204">
        <v>0</v>
      </c>
      <c r="R3632" s="1209">
        <v>26.8</v>
      </c>
      <c r="S3632" s="1209">
        <f t="shared" si="217"/>
        <v>536</v>
      </c>
      <c r="T3632" s="204" t="s">
        <v>12616</v>
      </c>
      <c r="U3632" s="1901" t="s">
        <v>7850</v>
      </c>
      <c r="V3632" s="572" t="s">
        <v>12617</v>
      </c>
      <c r="W3632" s="2134" t="s">
        <v>12698</v>
      </c>
      <c r="X3632" s="18"/>
      <c r="Y3632" s="4"/>
      <c r="Z3632" s="4"/>
    </row>
    <row r="3633" spans="1:26" ht="14.45" hidden="1">
      <c r="A3633" s="20">
        <f t="shared" si="216"/>
        <v>3640</v>
      </c>
      <c r="B3633" s="1063">
        <v>43410</v>
      </c>
      <c r="C3633" s="934" t="s">
        <v>12690</v>
      </c>
      <c r="D3633" s="11"/>
      <c r="E3633" s="204" t="s">
        <v>12613</v>
      </c>
      <c r="F3633" s="934" t="s">
        <v>7046</v>
      </c>
      <c r="G3633" s="204" t="s">
        <v>12699</v>
      </c>
      <c r="H3633" s="204" t="s">
        <v>1143</v>
      </c>
      <c r="I3633" s="204" t="s">
        <v>281</v>
      </c>
      <c r="J3633" s="204">
        <v>530480410</v>
      </c>
      <c r="K3633" s="204">
        <v>530480410</v>
      </c>
      <c r="L3633" s="204" t="s">
        <v>6668</v>
      </c>
      <c r="M3633" s="204">
        <v>10</v>
      </c>
      <c r="N3633" s="204">
        <v>10</v>
      </c>
      <c r="O3633" s="204">
        <v>10</v>
      </c>
      <c r="P3633" s="204">
        <v>0</v>
      </c>
      <c r="Q3633" s="204">
        <v>0</v>
      </c>
      <c r="R3633" s="1209">
        <v>35.1</v>
      </c>
      <c r="S3633" s="1209">
        <f t="shared" si="217"/>
        <v>351</v>
      </c>
      <c r="T3633" s="204" t="s">
        <v>12616</v>
      </c>
      <c r="U3633" s="1901" t="s">
        <v>7850</v>
      </c>
      <c r="V3633" s="572" t="s">
        <v>12617</v>
      </c>
      <c r="W3633" s="2134" t="s">
        <v>12700</v>
      </c>
      <c r="X3633" s="18"/>
      <c r="Y3633" s="4"/>
      <c r="Z3633" s="4"/>
    </row>
    <row r="3634" spans="1:26" ht="14.45" hidden="1">
      <c r="A3634" s="20">
        <f t="shared" si="216"/>
        <v>3641</v>
      </c>
      <c r="B3634" s="1063">
        <v>43411</v>
      </c>
      <c r="C3634" s="934" t="s">
        <v>12690</v>
      </c>
      <c r="D3634" s="11"/>
      <c r="E3634" s="204" t="s">
        <v>12613</v>
      </c>
      <c r="F3634" s="934" t="s">
        <v>7046</v>
      </c>
      <c r="G3634" s="204" t="s">
        <v>12701</v>
      </c>
      <c r="H3634" s="204" t="s">
        <v>1143</v>
      </c>
      <c r="I3634" s="204" t="s">
        <v>281</v>
      </c>
      <c r="J3634" s="204">
        <v>530480510</v>
      </c>
      <c r="K3634" s="204">
        <v>530480510</v>
      </c>
      <c r="L3634" s="204" t="s">
        <v>6668</v>
      </c>
      <c r="M3634" s="204">
        <v>10</v>
      </c>
      <c r="N3634" s="204">
        <v>10</v>
      </c>
      <c r="O3634" s="204">
        <v>10</v>
      </c>
      <c r="P3634" s="204">
        <v>0</v>
      </c>
      <c r="Q3634" s="204">
        <v>0</v>
      </c>
      <c r="R3634" s="1209">
        <v>39.4</v>
      </c>
      <c r="S3634" s="1209">
        <f t="shared" si="217"/>
        <v>394</v>
      </c>
      <c r="T3634" s="204" t="s">
        <v>12616</v>
      </c>
      <c r="U3634" s="1901" t="s">
        <v>7850</v>
      </c>
      <c r="V3634" s="572" t="s">
        <v>12617</v>
      </c>
      <c r="W3634" s="2134" t="s">
        <v>12702</v>
      </c>
      <c r="X3634" s="18"/>
      <c r="Y3634" s="4"/>
      <c r="Z3634" s="4"/>
    </row>
    <row r="3635" spans="1:26" ht="14.45" hidden="1">
      <c r="A3635" s="20">
        <f t="shared" si="216"/>
        <v>3642</v>
      </c>
      <c r="B3635" s="1063">
        <v>43412</v>
      </c>
      <c r="C3635" s="934" t="s">
        <v>12703</v>
      </c>
      <c r="D3635" s="11"/>
      <c r="E3635" s="204" t="s">
        <v>12613</v>
      </c>
      <c r="F3635" s="934" t="s">
        <v>7046</v>
      </c>
      <c r="G3635" s="204" t="s">
        <v>12704</v>
      </c>
      <c r="H3635" s="204" t="s">
        <v>460</v>
      </c>
      <c r="I3635" s="204" t="s">
        <v>281</v>
      </c>
      <c r="J3635" s="204" t="s">
        <v>12704</v>
      </c>
      <c r="K3635" s="204" t="s">
        <v>12704</v>
      </c>
      <c r="L3635" s="204" t="s">
        <v>12705</v>
      </c>
      <c r="M3635" s="204">
        <v>10</v>
      </c>
      <c r="N3635" s="204">
        <v>10</v>
      </c>
      <c r="O3635" s="204">
        <v>10</v>
      </c>
      <c r="P3635" s="204">
        <v>0</v>
      </c>
      <c r="Q3635" s="204">
        <v>0</v>
      </c>
      <c r="R3635" s="1209">
        <v>453.9</v>
      </c>
      <c r="S3635" s="1209">
        <f t="shared" si="217"/>
        <v>4539</v>
      </c>
      <c r="T3635" s="204" t="s">
        <v>12616</v>
      </c>
      <c r="U3635" s="1901" t="s">
        <v>7850</v>
      </c>
      <c r="V3635" s="572" t="s">
        <v>12617</v>
      </c>
      <c r="W3635" s="2134" t="s">
        <v>12706</v>
      </c>
      <c r="X3635" s="18"/>
      <c r="Y3635" s="4"/>
      <c r="Z3635" s="4"/>
    </row>
    <row r="3636" spans="1:26" ht="14.45" hidden="1">
      <c r="A3636" s="20">
        <f t="shared" si="216"/>
        <v>3643</v>
      </c>
      <c r="B3636" s="1063">
        <v>43413</v>
      </c>
      <c r="C3636" s="934" t="s">
        <v>12707</v>
      </c>
      <c r="D3636" s="11"/>
      <c r="E3636" s="204" t="s">
        <v>12613</v>
      </c>
      <c r="F3636" s="934" t="s">
        <v>7046</v>
      </c>
      <c r="G3636" s="204" t="s">
        <v>12708</v>
      </c>
      <c r="H3636" s="204" t="s">
        <v>12709</v>
      </c>
      <c r="I3636" s="204" t="s">
        <v>281</v>
      </c>
      <c r="J3636" s="204" t="s">
        <v>12710</v>
      </c>
      <c r="K3636" s="204" t="s">
        <v>12710</v>
      </c>
      <c r="L3636" s="204" t="s">
        <v>1276</v>
      </c>
      <c r="M3636" s="204">
        <v>4</v>
      </c>
      <c r="N3636" s="204">
        <v>4</v>
      </c>
      <c r="O3636" s="204">
        <v>4</v>
      </c>
      <c r="P3636" s="204">
        <v>0</v>
      </c>
      <c r="Q3636" s="204">
        <v>0</v>
      </c>
      <c r="R3636" s="1209">
        <v>179</v>
      </c>
      <c r="S3636" s="1209">
        <f t="shared" si="217"/>
        <v>716</v>
      </c>
      <c r="T3636" s="204" t="s">
        <v>12616</v>
      </c>
      <c r="U3636" s="1901" t="s">
        <v>7850</v>
      </c>
      <c r="V3636" s="572" t="s">
        <v>12617</v>
      </c>
      <c r="W3636" s="2134" t="s">
        <v>12711</v>
      </c>
      <c r="X3636" s="18"/>
      <c r="Y3636" s="4"/>
      <c r="Z3636" s="4"/>
    </row>
    <row r="3637" spans="1:26" ht="14.45" hidden="1">
      <c r="A3637" s="20">
        <f t="shared" si="216"/>
        <v>3644</v>
      </c>
      <c r="B3637" s="1063">
        <v>43414</v>
      </c>
      <c r="C3637" s="934" t="s">
        <v>12712</v>
      </c>
      <c r="D3637" s="11"/>
      <c r="E3637" s="204" t="s">
        <v>12613</v>
      </c>
      <c r="F3637" s="934" t="s">
        <v>7046</v>
      </c>
      <c r="G3637" s="204" t="s">
        <v>12713</v>
      </c>
      <c r="H3637" s="204" t="s">
        <v>12714</v>
      </c>
      <c r="I3637" s="204" t="s">
        <v>281</v>
      </c>
      <c r="J3637" s="204" t="s">
        <v>12715</v>
      </c>
      <c r="K3637" s="204" t="s">
        <v>12715</v>
      </c>
      <c r="L3637" s="204" t="s">
        <v>6668</v>
      </c>
      <c r="M3637" s="204">
        <v>3</v>
      </c>
      <c r="N3637" s="204">
        <v>3</v>
      </c>
      <c r="O3637" s="204">
        <v>3</v>
      </c>
      <c r="P3637" s="204">
        <v>0</v>
      </c>
      <c r="Q3637" s="204">
        <v>0</v>
      </c>
      <c r="R3637" s="1209">
        <v>298</v>
      </c>
      <c r="S3637" s="1209">
        <f t="shared" si="217"/>
        <v>894</v>
      </c>
      <c r="T3637" s="204" t="s">
        <v>12616</v>
      </c>
      <c r="U3637" s="1901" t="s">
        <v>7850</v>
      </c>
      <c r="V3637" s="572" t="s">
        <v>12617</v>
      </c>
      <c r="W3637" s="2134" t="s">
        <v>12716</v>
      </c>
      <c r="X3637" s="18"/>
      <c r="Y3637" s="4"/>
      <c r="Z3637" s="4"/>
    </row>
    <row r="3638" spans="1:26" ht="14.45" hidden="1">
      <c r="A3638" s="20">
        <f t="shared" si="216"/>
        <v>3645</v>
      </c>
      <c r="B3638" s="1063">
        <v>43415</v>
      </c>
      <c r="C3638" s="934" t="s">
        <v>12717</v>
      </c>
      <c r="D3638" s="11"/>
      <c r="E3638" s="204" t="s">
        <v>12613</v>
      </c>
      <c r="F3638" s="934" t="s">
        <v>7046</v>
      </c>
      <c r="G3638" s="204" t="s">
        <v>12718</v>
      </c>
      <c r="H3638" s="204" t="s">
        <v>1143</v>
      </c>
      <c r="I3638" s="204" t="s">
        <v>281</v>
      </c>
      <c r="J3638" s="204">
        <v>510210300</v>
      </c>
      <c r="K3638" s="204">
        <v>510210300</v>
      </c>
      <c r="L3638" s="204"/>
      <c r="M3638" s="204">
        <v>15</v>
      </c>
      <c r="N3638" s="204">
        <v>15</v>
      </c>
      <c r="O3638" s="204">
        <v>15</v>
      </c>
      <c r="P3638" s="204">
        <v>0</v>
      </c>
      <c r="Q3638" s="204">
        <v>0</v>
      </c>
      <c r="R3638" s="1209">
        <v>20</v>
      </c>
      <c r="S3638" s="1209">
        <f t="shared" si="217"/>
        <v>300</v>
      </c>
      <c r="T3638" s="204" t="s">
        <v>12616</v>
      </c>
      <c r="U3638" s="1901" t="s">
        <v>7850</v>
      </c>
      <c r="V3638" s="572" t="s">
        <v>12617</v>
      </c>
      <c r="W3638" s="2136" t="s">
        <v>12719</v>
      </c>
      <c r="X3638" s="18"/>
      <c r="Y3638" s="4"/>
      <c r="Z3638" s="4"/>
    </row>
    <row r="3639" spans="1:26" ht="14.45" hidden="1">
      <c r="A3639" s="20">
        <f t="shared" si="216"/>
        <v>3646</v>
      </c>
      <c r="B3639" s="1063">
        <v>43416</v>
      </c>
      <c r="C3639" s="934" t="s">
        <v>12717</v>
      </c>
      <c r="D3639" s="11"/>
      <c r="E3639" s="204" t="s">
        <v>12613</v>
      </c>
      <c r="F3639" s="934" t="s">
        <v>7046</v>
      </c>
      <c r="G3639" s="204" t="s">
        <v>12720</v>
      </c>
      <c r="H3639" s="204" t="s">
        <v>1143</v>
      </c>
      <c r="I3639" s="204" t="s">
        <v>281</v>
      </c>
      <c r="J3639" s="204">
        <v>510210200</v>
      </c>
      <c r="K3639" s="204">
        <v>510210200</v>
      </c>
      <c r="L3639" s="204"/>
      <c r="M3639" s="204">
        <v>20</v>
      </c>
      <c r="N3639" s="204">
        <v>20</v>
      </c>
      <c r="O3639" s="204">
        <v>20</v>
      </c>
      <c r="P3639" s="204">
        <v>0</v>
      </c>
      <c r="Q3639" s="204">
        <v>0</v>
      </c>
      <c r="R3639" s="1209">
        <v>17</v>
      </c>
      <c r="S3639" s="1209">
        <f t="shared" si="217"/>
        <v>340</v>
      </c>
      <c r="T3639" s="204" t="s">
        <v>12616</v>
      </c>
      <c r="U3639" s="1901" t="s">
        <v>7850</v>
      </c>
      <c r="V3639" s="572" t="s">
        <v>12617</v>
      </c>
      <c r="W3639" s="2134" t="s">
        <v>8970</v>
      </c>
      <c r="X3639" s="18"/>
      <c r="Y3639" s="4"/>
      <c r="Z3639" s="4"/>
    </row>
    <row r="3640" spans="1:26" ht="14.45" hidden="1">
      <c r="A3640" s="20">
        <f t="shared" si="216"/>
        <v>3647</v>
      </c>
      <c r="B3640" s="1063">
        <v>43417</v>
      </c>
      <c r="C3640" s="934" t="s">
        <v>12717</v>
      </c>
      <c r="D3640" s="11"/>
      <c r="E3640" s="204" t="s">
        <v>12613</v>
      </c>
      <c r="F3640" s="934" t="s">
        <v>7046</v>
      </c>
      <c r="G3640" s="204" t="s">
        <v>12721</v>
      </c>
      <c r="H3640" s="204" t="s">
        <v>1143</v>
      </c>
      <c r="I3640" s="204" t="s">
        <v>281</v>
      </c>
      <c r="J3640" s="204">
        <v>510210400</v>
      </c>
      <c r="K3640" s="204">
        <v>510210400</v>
      </c>
      <c r="L3640" s="204"/>
      <c r="M3640" s="204">
        <v>10</v>
      </c>
      <c r="N3640" s="204">
        <v>10</v>
      </c>
      <c r="O3640" s="204">
        <v>10</v>
      </c>
      <c r="P3640" s="204">
        <v>0</v>
      </c>
      <c r="Q3640" s="204">
        <v>0</v>
      </c>
      <c r="R3640" s="1209">
        <v>17.600000000000001</v>
      </c>
      <c r="S3640" s="1209">
        <f t="shared" si="217"/>
        <v>176</v>
      </c>
      <c r="T3640" s="204" t="s">
        <v>12616</v>
      </c>
      <c r="U3640" s="1901" t="s">
        <v>7850</v>
      </c>
      <c r="V3640" s="572" t="s">
        <v>12617</v>
      </c>
      <c r="W3640" s="2134" t="s">
        <v>12722</v>
      </c>
      <c r="X3640" s="18"/>
      <c r="Y3640" s="4"/>
      <c r="Z3640" s="4"/>
    </row>
    <row r="3641" spans="1:26" ht="14.45" hidden="1">
      <c r="A3641" s="20">
        <f t="shared" si="216"/>
        <v>3648</v>
      </c>
      <c r="B3641" s="1063">
        <v>43418</v>
      </c>
      <c r="C3641" s="934" t="s">
        <v>12717</v>
      </c>
      <c r="D3641" s="11"/>
      <c r="E3641" s="204" t="s">
        <v>12613</v>
      </c>
      <c r="F3641" s="934" t="s">
        <v>7046</v>
      </c>
      <c r="G3641" s="204" t="s">
        <v>12723</v>
      </c>
      <c r="H3641" s="204" t="s">
        <v>1143</v>
      </c>
      <c r="I3641" s="204" t="s">
        <v>281</v>
      </c>
      <c r="J3641" s="204">
        <v>510210500</v>
      </c>
      <c r="K3641" s="204">
        <v>510210500</v>
      </c>
      <c r="L3641" s="204"/>
      <c r="M3641" s="204">
        <v>10</v>
      </c>
      <c r="N3641" s="204">
        <v>10</v>
      </c>
      <c r="O3641" s="204">
        <v>10</v>
      </c>
      <c r="P3641" s="204">
        <v>0</v>
      </c>
      <c r="Q3641" s="204">
        <v>0</v>
      </c>
      <c r="R3641" s="1209">
        <v>21</v>
      </c>
      <c r="S3641" s="1209">
        <f t="shared" si="217"/>
        <v>210</v>
      </c>
      <c r="T3641" s="204" t="s">
        <v>12616</v>
      </c>
      <c r="U3641" s="1901" t="s">
        <v>7850</v>
      </c>
      <c r="V3641" s="572" t="s">
        <v>12617</v>
      </c>
      <c r="W3641" s="2134" t="s">
        <v>12724</v>
      </c>
      <c r="X3641" s="18"/>
      <c r="Y3641" s="4"/>
      <c r="Z3641" s="4"/>
    </row>
    <row r="3642" spans="1:26" ht="14.45" hidden="1">
      <c r="A3642" s="20">
        <f t="shared" si="216"/>
        <v>3649</v>
      </c>
      <c r="B3642" s="1063">
        <v>43419</v>
      </c>
      <c r="C3642" s="934" t="s">
        <v>12725</v>
      </c>
      <c r="D3642" s="11"/>
      <c r="E3642" s="204" t="s">
        <v>12613</v>
      </c>
      <c r="F3642" s="934" t="s">
        <v>7046</v>
      </c>
      <c r="G3642" s="204" t="s">
        <v>9244</v>
      </c>
      <c r="H3642" s="204" t="s">
        <v>1143</v>
      </c>
      <c r="I3642" s="204" t="s">
        <v>281</v>
      </c>
      <c r="J3642" s="204">
        <v>500798000</v>
      </c>
      <c r="K3642" s="204">
        <v>500798000</v>
      </c>
      <c r="L3642" s="204"/>
      <c r="M3642" s="204">
        <v>30</v>
      </c>
      <c r="N3642" s="204">
        <v>30</v>
      </c>
      <c r="O3642" s="204">
        <v>30</v>
      </c>
      <c r="P3642" s="204">
        <v>0</v>
      </c>
      <c r="Q3642" s="204">
        <v>0</v>
      </c>
      <c r="R3642" s="1209">
        <v>4.9000000000000004</v>
      </c>
      <c r="S3642" s="1209">
        <f t="shared" si="217"/>
        <v>147</v>
      </c>
      <c r="T3642" s="204" t="s">
        <v>12616</v>
      </c>
      <c r="U3642" s="1901" t="s">
        <v>7850</v>
      </c>
      <c r="V3642" s="572" t="s">
        <v>12617</v>
      </c>
      <c r="W3642" s="2134" t="s">
        <v>12726</v>
      </c>
      <c r="X3642" s="18"/>
      <c r="Y3642" s="4"/>
      <c r="Z3642" s="4"/>
    </row>
    <row r="3643" spans="1:26" ht="14.45" hidden="1">
      <c r="A3643" s="20">
        <f t="shared" si="216"/>
        <v>3650</v>
      </c>
      <c r="B3643" s="1063">
        <v>43420</v>
      </c>
      <c r="C3643" s="934" t="s">
        <v>12727</v>
      </c>
      <c r="D3643" s="11" t="s">
        <v>6</v>
      </c>
      <c r="E3643" s="204" t="s">
        <v>12613</v>
      </c>
      <c r="F3643" s="934" t="s">
        <v>7046</v>
      </c>
      <c r="G3643" s="204" t="s">
        <v>12728</v>
      </c>
      <c r="H3643" s="204" t="s">
        <v>12729</v>
      </c>
      <c r="I3643" s="204" t="s">
        <v>6680</v>
      </c>
      <c r="J3643" s="204" t="s">
        <v>12730</v>
      </c>
      <c r="K3643" s="204" t="s">
        <v>12730</v>
      </c>
      <c r="L3643" s="204"/>
      <c r="M3643" s="204">
        <v>3</v>
      </c>
      <c r="N3643" s="204">
        <v>3</v>
      </c>
      <c r="O3643" s="204">
        <v>3</v>
      </c>
      <c r="P3643" s="204">
        <v>0</v>
      </c>
      <c r="Q3643" s="204">
        <v>0</v>
      </c>
      <c r="R3643" s="1209">
        <v>1280</v>
      </c>
      <c r="S3643" s="1209">
        <f t="shared" si="217"/>
        <v>3840</v>
      </c>
      <c r="T3643" s="204" t="s">
        <v>12616</v>
      </c>
      <c r="U3643" s="1901" t="s">
        <v>7850</v>
      </c>
      <c r="V3643" s="572" t="s">
        <v>12617</v>
      </c>
      <c r="W3643" s="2134" t="s">
        <v>12731</v>
      </c>
      <c r="X3643" s="18"/>
      <c r="Y3643" s="4"/>
      <c r="Z3643" s="4"/>
    </row>
    <row r="3644" spans="1:26" ht="14.45" hidden="1">
      <c r="A3644" s="20">
        <f t="shared" si="216"/>
        <v>3651</v>
      </c>
      <c r="B3644" s="1063">
        <v>43421</v>
      </c>
      <c r="C3644" s="934" t="s">
        <v>12732</v>
      </c>
      <c r="D3644" s="11"/>
      <c r="E3644" s="204" t="s">
        <v>12613</v>
      </c>
      <c r="F3644" s="934" t="s">
        <v>7046</v>
      </c>
      <c r="G3644" s="204" t="s">
        <v>12733</v>
      </c>
      <c r="H3644" s="204" t="s">
        <v>10146</v>
      </c>
      <c r="I3644" s="204" t="s">
        <v>281</v>
      </c>
      <c r="J3644" s="204" t="s">
        <v>12734</v>
      </c>
      <c r="K3644" s="204" t="s">
        <v>12734</v>
      </c>
      <c r="L3644" s="204"/>
      <c r="M3644" s="204">
        <v>10</v>
      </c>
      <c r="N3644" s="204">
        <v>10</v>
      </c>
      <c r="O3644" s="204">
        <v>10</v>
      </c>
      <c r="P3644" s="204">
        <v>0</v>
      </c>
      <c r="Q3644" s="204">
        <v>0</v>
      </c>
      <c r="R3644" s="1209">
        <v>28</v>
      </c>
      <c r="S3644" s="1209">
        <f t="shared" si="217"/>
        <v>280</v>
      </c>
      <c r="T3644" s="204" t="s">
        <v>12616</v>
      </c>
      <c r="U3644" s="1901" t="s">
        <v>7850</v>
      </c>
      <c r="V3644" s="572" t="s">
        <v>12617</v>
      </c>
      <c r="W3644" s="2134" t="s">
        <v>12735</v>
      </c>
      <c r="X3644" s="18"/>
      <c r="Y3644" s="4"/>
      <c r="Z3644" s="4"/>
    </row>
    <row r="3645" spans="1:26" ht="14.45" hidden="1">
      <c r="A3645" s="20">
        <f t="shared" si="216"/>
        <v>3652</v>
      </c>
      <c r="B3645" s="1063">
        <v>43422</v>
      </c>
      <c r="C3645" s="934" t="s">
        <v>12736</v>
      </c>
      <c r="D3645" s="11"/>
      <c r="E3645" s="204" t="s">
        <v>12613</v>
      </c>
      <c r="F3645" s="934" t="s">
        <v>7046</v>
      </c>
      <c r="G3645" s="204" t="s">
        <v>12737</v>
      </c>
      <c r="H3645" s="204" t="s">
        <v>10146</v>
      </c>
      <c r="I3645" s="204" t="s">
        <v>281</v>
      </c>
      <c r="J3645" s="204" t="s">
        <v>12738</v>
      </c>
      <c r="K3645" s="204" t="s">
        <v>12738</v>
      </c>
      <c r="L3645" s="204"/>
      <c r="M3645" s="204">
        <v>10</v>
      </c>
      <c r="N3645" s="204">
        <v>10</v>
      </c>
      <c r="O3645" s="204">
        <v>10</v>
      </c>
      <c r="P3645" s="204">
        <v>0</v>
      </c>
      <c r="Q3645" s="204">
        <v>0</v>
      </c>
      <c r="R3645" s="1209">
        <v>38</v>
      </c>
      <c r="S3645" s="1209">
        <f t="shared" si="217"/>
        <v>380</v>
      </c>
      <c r="T3645" s="204" t="s">
        <v>12616</v>
      </c>
      <c r="U3645" s="1901" t="s">
        <v>7850</v>
      </c>
      <c r="V3645" s="572" t="s">
        <v>12617</v>
      </c>
      <c r="W3645" s="2134" t="s">
        <v>12739</v>
      </c>
      <c r="X3645" s="18"/>
      <c r="Y3645" s="4"/>
      <c r="Z3645" s="4"/>
    </row>
    <row r="3646" spans="1:26" ht="14.45" hidden="1">
      <c r="A3646" s="20">
        <f t="shared" si="216"/>
        <v>3653</v>
      </c>
      <c r="B3646" s="1063">
        <v>43423</v>
      </c>
      <c r="C3646" s="934" t="s">
        <v>12740</v>
      </c>
      <c r="D3646" s="11"/>
      <c r="E3646" s="204" t="s">
        <v>12613</v>
      </c>
      <c r="F3646" s="934" t="s">
        <v>7046</v>
      </c>
      <c r="G3646" s="204" t="s">
        <v>12741</v>
      </c>
      <c r="H3646" s="204" t="s">
        <v>12742</v>
      </c>
      <c r="I3646" s="204" t="s">
        <v>281</v>
      </c>
      <c r="J3646" s="204" t="s">
        <v>12743</v>
      </c>
      <c r="K3646" s="204" t="s">
        <v>12743</v>
      </c>
      <c r="L3646" s="204" t="s">
        <v>5267</v>
      </c>
      <c r="M3646" s="204">
        <v>2</v>
      </c>
      <c r="N3646" s="204">
        <v>2</v>
      </c>
      <c r="O3646" s="204">
        <v>2</v>
      </c>
      <c r="P3646" s="204">
        <v>0</v>
      </c>
      <c r="Q3646" s="204">
        <v>0</v>
      </c>
      <c r="R3646" s="1209">
        <v>34478</v>
      </c>
      <c r="S3646" s="1209">
        <f t="shared" si="217"/>
        <v>68956</v>
      </c>
      <c r="T3646" s="204" t="s">
        <v>12616</v>
      </c>
      <c r="U3646" s="1901" t="s">
        <v>12744</v>
      </c>
      <c r="V3646" s="572" t="s">
        <v>12745</v>
      </c>
      <c r="W3646" s="2134" t="s">
        <v>12746</v>
      </c>
      <c r="X3646" s="18"/>
      <c r="Y3646" s="4"/>
      <c r="Z3646" s="4"/>
    </row>
    <row r="3647" spans="1:26" ht="14.45" hidden="1">
      <c r="A3647" s="20">
        <f t="shared" si="216"/>
        <v>3654</v>
      </c>
      <c r="B3647" s="1063">
        <v>43424</v>
      </c>
      <c r="C3647" s="934" t="s">
        <v>12747</v>
      </c>
      <c r="D3647" s="11"/>
      <c r="E3647" s="204" t="s">
        <v>12613</v>
      </c>
      <c r="F3647" s="934" t="s">
        <v>7046</v>
      </c>
      <c r="G3647" s="204" t="s">
        <v>12748</v>
      </c>
      <c r="H3647" s="204" t="s">
        <v>4110</v>
      </c>
      <c r="I3647" s="204" t="s">
        <v>281</v>
      </c>
      <c r="J3647" s="204" t="s">
        <v>12749</v>
      </c>
      <c r="K3647" s="204" t="s">
        <v>12749</v>
      </c>
      <c r="L3647" s="204" t="s">
        <v>5267</v>
      </c>
      <c r="M3647" s="204">
        <v>5</v>
      </c>
      <c r="N3647" s="204">
        <v>5</v>
      </c>
      <c r="O3647" s="204">
        <v>5</v>
      </c>
      <c r="P3647" s="204">
        <v>0</v>
      </c>
      <c r="Q3647" s="204">
        <v>0</v>
      </c>
      <c r="R3647" s="1209">
        <v>158</v>
      </c>
      <c r="S3647" s="1209">
        <f t="shared" si="217"/>
        <v>790</v>
      </c>
      <c r="T3647" s="204" t="s">
        <v>12616</v>
      </c>
      <c r="U3647" s="1901" t="s">
        <v>12744</v>
      </c>
      <c r="V3647" s="572" t="s">
        <v>12745</v>
      </c>
      <c r="W3647" s="2134" t="s">
        <v>12750</v>
      </c>
      <c r="X3647" s="18"/>
      <c r="Y3647" s="4"/>
      <c r="Z3647" s="4"/>
    </row>
    <row r="3648" spans="1:26" ht="14.45" hidden="1">
      <c r="A3648" s="20">
        <f t="shared" si="216"/>
        <v>3655</v>
      </c>
      <c r="B3648" s="1063">
        <v>43425</v>
      </c>
      <c r="C3648" s="934" t="s">
        <v>12751</v>
      </c>
      <c r="D3648" s="11"/>
      <c r="E3648" s="204" t="s">
        <v>12613</v>
      </c>
      <c r="F3648" s="934" t="s">
        <v>7046</v>
      </c>
      <c r="G3648" s="204" t="s">
        <v>12752</v>
      </c>
      <c r="H3648" s="204" t="s">
        <v>12753</v>
      </c>
      <c r="I3648" s="204" t="s">
        <v>84</v>
      </c>
      <c r="J3648" s="204">
        <v>200189</v>
      </c>
      <c r="K3648" s="204">
        <v>200189</v>
      </c>
      <c r="L3648" s="204"/>
      <c r="M3648" s="204">
        <v>1</v>
      </c>
      <c r="N3648" s="204">
        <v>1</v>
      </c>
      <c r="O3648" s="204">
        <v>1</v>
      </c>
      <c r="P3648" s="204">
        <v>0</v>
      </c>
      <c r="Q3648" s="204">
        <v>0</v>
      </c>
      <c r="R3648" s="1209">
        <v>16391</v>
      </c>
      <c r="S3648" s="1209">
        <f t="shared" si="217"/>
        <v>16391</v>
      </c>
      <c r="T3648" s="204" t="s">
        <v>12616</v>
      </c>
      <c r="U3648" s="1901" t="s">
        <v>12754</v>
      </c>
      <c r="V3648" s="572" t="s">
        <v>12745</v>
      </c>
      <c r="W3648" s="2134" t="s">
        <v>12755</v>
      </c>
      <c r="X3648" s="18"/>
      <c r="Y3648" s="4"/>
      <c r="Z3648" s="4"/>
    </row>
    <row r="3649" spans="1:26" ht="14.45" hidden="1">
      <c r="A3649" s="20">
        <f t="shared" si="216"/>
        <v>3656</v>
      </c>
      <c r="B3649" s="1063">
        <v>43426</v>
      </c>
      <c r="C3649" s="934" t="s">
        <v>12756</v>
      </c>
      <c r="D3649" s="11"/>
      <c r="E3649" s="204" t="s">
        <v>12613</v>
      </c>
      <c r="F3649" s="934" t="s">
        <v>7046</v>
      </c>
      <c r="G3649" s="204" t="s">
        <v>12757</v>
      </c>
      <c r="H3649" s="204" t="s">
        <v>12758</v>
      </c>
      <c r="I3649" s="204" t="s">
        <v>4634</v>
      </c>
      <c r="J3649" s="204" t="s">
        <v>12759</v>
      </c>
      <c r="K3649" s="204" t="s">
        <v>12759</v>
      </c>
      <c r="L3649" s="204"/>
      <c r="M3649" s="204">
        <v>1</v>
      </c>
      <c r="N3649" s="204">
        <v>1</v>
      </c>
      <c r="O3649" s="204">
        <v>1</v>
      </c>
      <c r="P3649" s="204">
        <v>0</v>
      </c>
      <c r="Q3649" s="204">
        <v>0</v>
      </c>
      <c r="R3649" s="1209">
        <v>7872</v>
      </c>
      <c r="S3649" s="1209">
        <f t="shared" si="217"/>
        <v>7872</v>
      </c>
      <c r="T3649" s="204" t="s">
        <v>12616</v>
      </c>
      <c r="U3649" s="1901" t="s">
        <v>12754</v>
      </c>
      <c r="V3649" s="572" t="s">
        <v>12745</v>
      </c>
      <c r="W3649" s="2134" t="s">
        <v>12760</v>
      </c>
      <c r="X3649" s="18"/>
      <c r="Y3649" s="4"/>
      <c r="Z3649" s="4"/>
    </row>
    <row r="3650" spans="1:26" ht="14.45" hidden="1">
      <c r="A3650" s="20">
        <f t="shared" si="216"/>
        <v>3657</v>
      </c>
      <c r="B3650" s="1063">
        <v>43427</v>
      </c>
      <c r="C3650" s="934" t="s">
        <v>12761</v>
      </c>
      <c r="D3650" s="11" t="s">
        <v>6</v>
      </c>
      <c r="E3650" s="204" t="s">
        <v>12613</v>
      </c>
      <c r="F3650" s="934" t="s">
        <v>7046</v>
      </c>
      <c r="G3650" s="204" t="s">
        <v>12762</v>
      </c>
      <c r="H3650" s="204" t="s">
        <v>1928</v>
      </c>
      <c r="I3650" s="204" t="s">
        <v>39</v>
      </c>
      <c r="J3650" s="204" t="s">
        <v>12763</v>
      </c>
      <c r="K3650" s="204" t="s">
        <v>12763</v>
      </c>
      <c r="L3650" s="204"/>
      <c r="M3650" s="204">
        <v>1</v>
      </c>
      <c r="N3650" s="204">
        <v>1</v>
      </c>
      <c r="O3650" s="204">
        <v>1</v>
      </c>
      <c r="P3650" s="204">
        <v>0</v>
      </c>
      <c r="Q3650" s="204">
        <v>0</v>
      </c>
      <c r="R3650" s="1209">
        <v>34200</v>
      </c>
      <c r="S3650" s="1209">
        <f t="shared" si="217"/>
        <v>34200</v>
      </c>
      <c r="T3650" s="204" t="s">
        <v>12616</v>
      </c>
      <c r="U3650" s="1901" t="s">
        <v>12754</v>
      </c>
      <c r="V3650" s="572" t="s">
        <v>12745</v>
      </c>
      <c r="W3650" s="2134" t="s">
        <v>12764</v>
      </c>
      <c r="X3650" s="18"/>
      <c r="Y3650" s="4"/>
      <c r="Z3650" s="4"/>
    </row>
    <row r="3651" spans="1:26" ht="14.1" hidden="1">
      <c r="A3651" s="20">
        <f t="shared" si="216"/>
        <v>3658</v>
      </c>
      <c r="B3651" s="1063">
        <v>43428</v>
      </c>
      <c r="C3651" s="934" t="s">
        <v>12765</v>
      </c>
      <c r="D3651" s="11" t="s">
        <v>6</v>
      </c>
      <c r="E3651" s="204" t="s">
        <v>683</v>
      </c>
      <c r="F3651" s="934" t="s">
        <v>73</v>
      </c>
      <c r="G3651" s="204" t="s">
        <v>12766</v>
      </c>
      <c r="H3651" s="204" t="s">
        <v>9498</v>
      </c>
      <c r="I3651" s="204" t="s">
        <v>366</v>
      </c>
      <c r="J3651" s="20" t="s">
        <v>12767</v>
      </c>
      <c r="K3651" s="368" t="s">
        <v>12767</v>
      </c>
      <c r="L3651" s="204"/>
      <c r="M3651" s="204">
        <v>1</v>
      </c>
      <c r="N3651" s="204">
        <v>1</v>
      </c>
      <c r="O3651" s="204">
        <v>1</v>
      </c>
      <c r="P3651" s="204">
        <v>1</v>
      </c>
      <c r="Q3651" s="572">
        <v>2</v>
      </c>
      <c r="R3651" s="1209">
        <v>20510</v>
      </c>
      <c r="S3651" s="1209">
        <v>20510</v>
      </c>
      <c r="T3651" s="204" t="s">
        <v>4220</v>
      </c>
      <c r="U3651" s="1901"/>
      <c r="V3651" s="572" t="s">
        <v>12768</v>
      </c>
      <c r="W3651" s="681" t="s">
        <v>12769</v>
      </c>
      <c r="X3651" s="18"/>
      <c r="Y3651" s="4"/>
      <c r="Z3651" s="4"/>
    </row>
    <row r="3652" spans="1:26" ht="14.1" hidden="1">
      <c r="A3652" s="20">
        <f t="shared" si="216"/>
        <v>3659</v>
      </c>
      <c r="B3652" s="1063">
        <v>43429</v>
      </c>
      <c r="C3652" s="934" t="s">
        <v>12765</v>
      </c>
      <c r="D3652" s="11" t="s">
        <v>6</v>
      </c>
      <c r="E3652" s="204" t="s">
        <v>683</v>
      </c>
      <c r="F3652" s="934" t="s">
        <v>73</v>
      </c>
      <c r="G3652" s="204" t="s">
        <v>12770</v>
      </c>
      <c r="H3652" s="204" t="s">
        <v>9498</v>
      </c>
      <c r="I3652" s="204" t="s">
        <v>366</v>
      </c>
      <c r="J3652" s="20" t="s">
        <v>12771</v>
      </c>
      <c r="K3652" s="368" t="s">
        <v>12771</v>
      </c>
      <c r="L3652" s="204"/>
      <c r="M3652" s="204">
        <v>1</v>
      </c>
      <c r="N3652" s="204">
        <v>1</v>
      </c>
      <c r="O3652" s="204">
        <v>1</v>
      </c>
      <c r="P3652" s="204">
        <v>1</v>
      </c>
      <c r="Q3652" s="572">
        <v>2</v>
      </c>
      <c r="R3652" s="1209">
        <v>19314</v>
      </c>
      <c r="S3652" s="1209">
        <v>19314</v>
      </c>
      <c r="T3652" s="204" t="s">
        <v>4220</v>
      </c>
      <c r="U3652" s="1901"/>
      <c r="V3652" s="572" t="s">
        <v>12768</v>
      </c>
      <c r="W3652" s="681" t="s">
        <v>12772</v>
      </c>
      <c r="X3652" s="18"/>
      <c r="Y3652" s="4"/>
      <c r="Z3652" s="4"/>
    </row>
    <row r="3653" spans="1:26" ht="14.1" hidden="1">
      <c r="A3653" s="20">
        <f t="shared" si="216"/>
        <v>3660</v>
      </c>
      <c r="B3653" s="1063">
        <v>43430</v>
      </c>
      <c r="C3653" s="934" t="s">
        <v>12765</v>
      </c>
      <c r="D3653" s="11" t="s">
        <v>6</v>
      </c>
      <c r="E3653" s="204" t="s">
        <v>683</v>
      </c>
      <c r="F3653" s="934" t="s">
        <v>73</v>
      </c>
      <c r="G3653" s="204" t="s">
        <v>12773</v>
      </c>
      <c r="H3653" s="204" t="s">
        <v>9498</v>
      </c>
      <c r="I3653" s="204" t="s">
        <v>366</v>
      </c>
      <c r="J3653" s="20" t="s">
        <v>12774</v>
      </c>
      <c r="K3653" s="368" t="s">
        <v>12774</v>
      </c>
      <c r="L3653" s="204"/>
      <c r="M3653" s="204">
        <v>1</v>
      </c>
      <c r="N3653" s="204">
        <v>1</v>
      </c>
      <c r="O3653" s="204">
        <v>1</v>
      </c>
      <c r="P3653" s="204">
        <v>1</v>
      </c>
      <c r="Q3653" s="572">
        <v>2</v>
      </c>
      <c r="R3653" s="1209">
        <v>16695</v>
      </c>
      <c r="S3653" s="1209">
        <v>16695</v>
      </c>
      <c r="T3653" s="204" t="s">
        <v>4220</v>
      </c>
      <c r="U3653" s="1901"/>
      <c r="V3653" s="572" t="s">
        <v>12768</v>
      </c>
      <c r="W3653" s="681" t="s">
        <v>12775</v>
      </c>
      <c r="X3653" s="18"/>
      <c r="Y3653" s="4"/>
      <c r="Z3653" s="4"/>
    </row>
    <row r="3654" spans="1:26" ht="14.1" hidden="1">
      <c r="A3654" s="20">
        <f t="shared" si="216"/>
        <v>3661</v>
      </c>
      <c r="B3654" s="1063">
        <v>43431</v>
      </c>
      <c r="C3654" s="934" t="s">
        <v>12776</v>
      </c>
      <c r="D3654" s="11"/>
      <c r="E3654" s="204" t="s">
        <v>12777</v>
      </c>
      <c r="F3654" s="934" t="s">
        <v>784</v>
      </c>
      <c r="G3654" s="204" t="s">
        <v>12776</v>
      </c>
      <c r="H3654" s="204" t="s">
        <v>7066</v>
      </c>
      <c r="I3654" s="204" t="s">
        <v>281</v>
      </c>
      <c r="J3654" s="204" t="s">
        <v>12778</v>
      </c>
      <c r="K3654" s="204" t="s">
        <v>12779</v>
      </c>
      <c r="L3654" s="204" t="s">
        <v>1</v>
      </c>
      <c r="M3654" s="204">
        <v>4</v>
      </c>
      <c r="N3654" s="204">
        <v>1</v>
      </c>
      <c r="O3654" s="204">
        <v>4</v>
      </c>
      <c r="P3654" s="204">
        <v>0</v>
      </c>
      <c r="Q3654" s="572">
        <v>0</v>
      </c>
      <c r="R3654" s="1209">
        <v>1684</v>
      </c>
      <c r="S3654" s="1209">
        <f t="shared" ref="S3654:S3677" si="218">R3654*O3654</f>
        <v>6736</v>
      </c>
      <c r="T3654" s="204" t="s">
        <v>10016</v>
      </c>
      <c r="U3654" s="1901" t="s">
        <v>10016</v>
      </c>
      <c r="V3654" s="572" t="s">
        <v>7705</v>
      </c>
      <c r="W3654" s="681" t="s">
        <v>12780</v>
      </c>
      <c r="X3654" s="18"/>
      <c r="Y3654" s="4"/>
      <c r="Z3654" s="4"/>
    </row>
    <row r="3655" spans="1:26" ht="14.1" hidden="1">
      <c r="A3655" s="20">
        <f t="shared" si="216"/>
        <v>3662</v>
      </c>
      <c r="B3655" s="1063">
        <v>43432</v>
      </c>
      <c r="C3655" s="934" t="s">
        <v>12781</v>
      </c>
      <c r="D3655" s="11"/>
      <c r="E3655" s="204" t="s">
        <v>12777</v>
      </c>
      <c r="F3655" s="934" t="s">
        <v>784</v>
      </c>
      <c r="G3655" s="204" t="s">
        <v>12781</v>
      </c>
      <c r="H3655" s="204" t="s">
        <v>12782</v>
      </c>
      <c r="I3655" s="204" t="s">
        <v>281</v>
      </c>
      <c r="J3655" s="204" t="s">
        <v>12783</v>
      </c>
      <c r="K3655" s="204" t="s">
        <v>12784</v>
      </c>
      <c r="L3655" s="204" t="s">
        <v>1</v>
      </c>
      <c r="M3655" s="204">
        <v>4</v>
      </c>
      <c r="N3655" s="204">
        <v>1</v>
      </c>
      <c r="O3655" s="204">
        <v>4</v>
      </c>
      <c r="P3655" s="204">
        <v>0</v>
      </c>
      <c r="Q3655" s="572">
        <v>0</v>
      </c>
      <c r="R3655" s="1209">
        <v>2470</v>
      </c>
      <c r="S3655" s="1209">
        <f t="shared" si="218"/>
        <v>9880</v>
      </c>
      <c r="T3655" s="204" t="s">
        <v>10016</v>
      </c>
      <c r="U3655" s="1901" t="s">
        <v>10016</v>
      </c>
      <c r="V3655" s="572" t="s">
        <v>7705</v>
      </c>
      <c r="W3655" s="681" t="s">
        <v>12785</v>
      </c>
      <c r="X3655" s="18"/>
      <c r="Y3655" s="4"/>
      <c r="Z3655" s="4"/>
    </row>
    <row r="3656" spans="1:26" ht="14.1" hidden="1">
      <c r="A3656" s="20">
        <f t="shared" si="216"/>
        <v>3663</v>
      </c>
      <c r="B3656" s="1063">
        <v>43433</v>
      </c>
      <c r="C3656" s="934" t="s">
        <v>12786</v>
      </c>
      <c r="D3656" s="11"/>
      <c r="E3656" s="204" t="s">
        <v>12777</v>
      </c>
      <c r="F3656" s="934" t="s">
        <v>784</v>
      </c>
      <c r="G3656" s="204" t="s">
        <v>12786</v>
      </c>
      <c r="H3656" s="204" t="s">
        <v>5878</v>
      </c>
      <c r="I3656" s="204" t="s">
        <v>281</v>
      </c>
      <c r="J3656" s="204" t="s">
        <v>12787</v>
      </c>
      <c r="K3656" s="204" t="s">
        <v>12788</v>
      </c>
      <c r="L3656" s="204" t="s">
        <v>1</v>
      </c>
      <c r="M3656" s="204">
        <v>4</v>
      </c>
      <c r="N3656" s="204">
        <v>1</v>
      </c>
      <c r="O3656" s="204">
        <v>4</v>
      </c>
      <c r="P3656" s="204">
        <v>0</v>
      </c>
      <c r="Q3656" s="572">
        <v>0</v>
      </c>
      <c r="R3656" s="1209">
        <v>15232</v>
      </c>
      <c r="S3656" s="1209">
        <f t="shared" si="218"/>
        <v>60928</v>
      </c>
      <c r="T3656" s="204" t="s">
        <v>10016</v>
      </c>
      <c r="U3656" s="1901" t="s">
        <v>10016</v>
      </c>
      <c r="V3656" s="572" t="s">
        <v>7705</v>
      </c>
      <c r="W3656" s="681" t="s">
        <v>12789</v>
      </c>
      <c r="X3656" s="18"/>
      <c r="Y3656" s="4"/>
      <c r="Z3656" s="4"/>
    </row>
    <row r="3657" spans="1:26" ht="14.1" hidden="1">
      <c r="A3657" s="20">
        <f t="shared" si="216"/>
        <v>3664</v>
      </c>
      <c r="B3657" s="1063">
        <v>43434</v>
      </c>
      <c r="C3657" s="934" t="s">
        <v>12790</v>
      </c>
      <c r="D3657" s="11"/>
      <c r="E3657" s="204" t="s">
        <v>12777</v>
      </c>
      <c r="F3657" s="934" t="s">
        <v>784</v>
      </c>
      <c r="G3657" s="204" t="s">
        <v>12790</v>
      </c>
      <c r="H3657" s="204" t="s">
        <v>5878</v>
      </c>
      <c r="I3657" s="204" t="s">
        <v>281</v>
      </c>
      <c r="J3657" s="204" t="s">
        <v>12791</v>
      </c>
      <c r="K3657" s="204" t="s">
        <v>12792</v>
      </c>
      <c r="L3657" s="204" t="s">
        <v>1</v>
      </c>
      <c r="M3657" s="204">
        <v>4</v>
      </c>
      <c r="N3657" s="204">
        <v>1</v>
      </c>
      <c r="O3657" s="204">
        <v>4</v>
      </c>
      <c r="P3657" s="204">
        <v>0</v>
      </c>
      <c r="Q3657" s="572">
        <v>0</v>
      </c>
      <c r="R3657" s="1209">
        <v>15232</v>
      </c>
      <c r="S3657" s="1209">
        <f t="shared" si="218"/>
        <v>60928</v>
      </c>
      <c r="T3657" s="204" t="s">
        <v>10016</v>
      </c>
      <c r="U3657" s="1901" t="s">
        <v>10016</v>
      </c>
      <c r="V3657" s="572" t="s">
        <v>7705</v>
      </c>
      <c r="W3657" s="681" t="s">
        <v>12793</v>
      </c>
      <c r="X3657" s="18"/>
      <c r="Y3657" s="4"/>
      <c r="Z3657" s="4"/>
    </row>
    <row r="3658" spans="1:26" ht="14.1" hidden="1">
      <c r="A3658" s="20">
        <f t="shared" si="216"/>
        <v>3665</v>
      </c>
      <c r="B3658" s="1063">
        <v>43435</v>
      </c>
      <c r="C3658" s="934" t="s">
        <v>12794</v>
      </c>
      <c r="D3658" s="11"/>
      <c r="E3658" s="204" t="s">
        <v>12777</v>
      </c>
      <c r="F3658" s="934" t="s">
        <v>784</v>
      </c>
      <c r="G3658" s="204" t="s">
        <v>12794</v>
      </c>
      <c r="H3658" s="204" t="s">
        <v>12795</v>
      </c>
      <c r="I3658" s="204" t="s">
        <v>281</v>
      </c>
      <c r="J3658" s="204" t="s">
        <v>12796</v>
      </c>
      <c r="K3658" s="204" t="s">
        <v>12797</v>
      </c>
      <c r="L3658" s="204" t="s">
        <v>1</v>
      </c>
      <c r="M3658" s="204">
        <v>1</v>
      </c>
      <c r="N3658" s="204">
        <v>1</v>
      </c>
      <c r="O3658" s="204">
        <v>1</v>
      </c>
      <c r="P3658" s="204">
        <v>0</v>
      </c>
      <c r="Q3658" s="572">
        <v>0</v>
      </c>
      <c r="R3658" s="1209">
        <v>102090</v>
      </c>
      <c r="S3658" s="1209">
        <f t="shared" si="218"/>
        <v>102090</v>
      </c>
      <c r="T3658" s="204" t="s">
        <v>10016</v>
      </c>
      <c r="U3658" s="1901" t="s">
        <v>10016</v>
      </c>
      <c r="V3658" s="572" t="s">
        <v>7705</v>
      </c>
      <c r="W3658" s="681" t="s">
        <v>12798</v>
      </c>
      <c r="X3658" s="18"/>
      <c r="Y3658" s="4"/>
      <c r="Z3658" s="4"/>
    </row>
    <row r="3659" spans="1:26" ht="14.1" hidden="1">
      <c r="A3659" s="20">
        <f t="shared" si="216"/>
        <v>3666</v>
      </c>
      <c r="B3659" s="1063">
        <v>43436</v>
      </c>
      <c r="C3659" s="934" t="s">
        <v>12799</v>
      </c>
      <c r="D3659" s="11"/>
      <c r="E3659" s="204" t="s">
        <v>12777</v>
      </c>
      <c r="F3659" s="934" t="s">
        <v>784</v>
      </c>
      <c r="G3659" s="204" t="s">
        <v>12799</v>
      </c>
      <c r="H3659" s="204" t="s">
        <v>6337</v>
      </c>
      <c r="I3659" s="204" t="s">
        <v>281</v>
      </c>
      <c r="J3659" s="204" t="s">
        <v>12800</v>
      </c>
      <c r="K3659" s="204" t="s">
        <v>12801</v>
      </c>
      <c r="L3659" s="204" t="s">
        <v>1</v>
      </c>
      <c r="M3659" s="204">
        <v>2</v>
      </c>
      <c r="N3659" s="204">
        <v>1</v>
      </c>
      <c r="O3659" s="204">
        <v>2</v>
      </c>
      <c r="P3659" s="204">
        <v>0</v>
      </c>
      <c r="Q3659" s="572">
        <v>0</v>
      </c>
      <c r="R3659" s="1209">
        <v>3726</v>
      </c>
      <c r="S3659" s="1209">
        <f t="shared" si="218"/>
        <v>7452</v>
      </c>
      <c r="T3659" s="204" t="s">
        <v>10016</v>
      </c>
      <c r="U3659" s="1901" t="s">
        <v>10016</v>
      </c>
      <c r="V3659" s="572" t="s">
        <v>7705</v>
      </c>
      <c r="W3659" s="681" t="s">
        <v>12802</v>
      </c>
      <c r="X3659" s="18"/>
      <c r="Y3659" s="4"/>
      <c r="Z3659" s="4"/>
    </row>
    <row r="3660" spans="1:26" ht="14.1" hidden="1">
      <c r="A3660" s="20">
        <f t="shared" si="216"/>
        <v>3667</v>
      </c>
      <c r="B3660" s="1063">
        <v>43437</v>
      </c>
      <c r="C3660" s="934" t="s">
        <v>12803</v>
      </c>
      <c r="D3660" s="11"/>
      <c r="E3660" s="204" t="s">
        <v>12777</v>
      </c>
      <c r="F3660" s="934" t="s">
        <v>784</v>
      </c>
      <c r="G3660" s="204" t="s">
        <v>12803</v>
      </c>
      <c r="H3660" s="204" t="s">
        <v>12804</v>
      </c>
      <c r="I3660" s="204" t="s">
        <v>281</v>
      </c>
      <c r="J3660" s="204" t="s">
        <v>11001</v>
      </c>
      <c r="K3660" s="204" t="s">
        <v>11002</v>
      </c>
      <c r="L3660" s="204" t="s">
        <v>1</v>
      </c>
      <c r="M3660" s="204">
        <v>2</v>
      </c>
      <c r="N3660" s="204">
        <v>1</v>
      </c>
      <c r="O3660" s="204">
        <v>2</v>
      </c>
      <c r="P3660" s="204">
        <v>0</v>
      </c>
      <c r="Q3660" s="572">
        <v>0</v>
      </c>
      <c r="R3660" s="1209">
        <v>9931</v>
      </c>
      <c r="S3660" s="1209">
        <f t="shared" si="218"/>
        <v>19862</v>
      </c>
      <c r="T3660" s="204" t="s">
        <v>10016</v>
      </c>
      <c r="U3660" s="1901" t="s">
        <v>10016</v>
      </c>
      <c r="V3660" s="572" t="s">
        <v>7705</v>
      </c>
      <c r="W3660" s="681" t="s">
        <v>12805</v>
      </c>
      <c r="X3660" s="18"/>
      <c r="Y3660" s="4"/>
      <c r="Z3660" s="4"/>
    </row>
    <row r="3661" spans="1:26" ht="14.1" hidden="1">
      <c r="A3661" s="20">
        <f t="shared" si="216"/>
        <v>3668</v>
      </c>
      <c r="B3661" s="1063">
        <v>43438</v>
      </c>
      <c r="C3661" s="934" t="s">
        <v>12806</v>
      </c>
      <c r="D3661" s="11"/>
      <c r="E3661" s="204" t="s">
        <v>12777</v>
      </c>
      <c r="F3661" s="934" t="s">
        <v>784</v>
      </c>
      <c r="G3661" s="204" t="s">
        <v>12806</v>
      </c>
      <c r="H3661" s="204" t="s">
        <v>12807</v>
      </c>
      <c r="I3661" s="204" t="s">
        <v>281</v>
      </c>
      <c r="J3661" s="204" t="s">
        <v>12808</v>
      </c>
      <c r="K3661" s="204" t="s">
        <v>12809</v>
      </c>
      <c r="L3661" s="204" t="s">
        <v>1</v>
      </c>
      <c r="M3661" s="204">
        <v>2</v>
      </c>
      <c r="N3661" s="204">
        <v>1</v>
      </c>
      <c r="O3661" s="204">
        <v>2</v>
      </c>
      <c r="P3661" s="204">
        <v>0</v>
      </c>
      <c r="Q3661" s="572">
        <v>0</v>
      </c>
      <c r="R3661" s="1209">
        <v>2570</v>
      </c>
      <c r="S3661" s="1209">
        <f t="shared" si="218"/>
        <v>5140</v>
      </c>
      <c r="T3661" s="204" t="s">
        <v>10016</v>
      </c>
      <c r="U3661" s="1901" t="s">
        <v>10016</v>
      </c>
      <c r="V3661" s="572" t="s">
        <v>7705</v>
      </c>
      <c r="W3661" s="681" t="s">
        <v>12810</v>
      </c>
      <c r="X3661" s="18"/>
      <c r="Y3661" s="4"/>
      <c r="Z3661" s="4"/>
    </row>
    <row r="3662" spans="1:26" ht="14.1" hidden="1">
      <c r="A3662" s="20">
        <f t="shared" si="216"/>
        <v>3669</v>
      </c>
      <c r="B3662" s="1063">
        <v>43439</v>
      </c>
      <c r="C3662" s="934" t="s">
        <v>12811</v>
      </c>
      <c r="D3662" s="11"/>
      <c r="E3662" s="204" t="s">
        <v>12777</v>
      </c>
      <c r="F3662" s="934" t="s">
        <v>784</v>
      </c>
      <c r="G3662" s="204" t="s">
        <v>12811</v>
      </c>
      <c r="H3662" s="204" t="s">
        <v>12812</v>
      </c>
      <c r="I3662" s="204" t="s">
        <v>39</v>
      </c>
      <c r="J3662" s="204" t="s">
        <v>12813</v>
      </c>
      <c r="K3662" s="204" t="s">
        <v>12814</v>
      </c>
      <c r="L3662" s="204" t="s">
        <v>1</v>
      </c>
      <c r="M3662" s="204">
        <v>1</v>
      </c>
      <c r="N3662" s="204">
        <v>1</v>
      </c>
      <c r="O3662" s="204">
        <v>1</v>
      </c>
      <c r="P3662" s="204">
        <v>0</v>
      </c>
      <c r="Q3662" s="572">
        <v>0</v>
      </c>
      <c r="R3662" s="1209">
        <v>52200</v>
      </c>
      <c r="S3662" s="1209">
        <f t="shared" si="218"/>
        <v>52200</v>
      </c>
      <c r="T3662" s="204" t="s">
        <v>10016</v>
      </c>
      <c r="U3662" s="1901" t="s">
        <v>10016</v>
      </c>
      <c r="V3662" s="572" t="s">
        <v>7705</v>
      </c>
      <c r="W3662" s="681" t="s">
        <v>12815</v>
      </c>
      <c r="X3662" s="18"/>
      <c r="Y3662" s="4"/>
      <c r="Z3662" s="4"/>
    </row>
    <row r="3663" spans="1:26" ht="14.1" hidden="1">
      <c r="A3663" s="20">
        <f t="shared" si="216"/>
        <v>3670</v>
      </c>
      <c r="B3663" s="1063">
        <v>43440</v>
      </c>
      <c r="C3663" s="934" t="s">
        <v>12590</v>
      </c>
      <c r="D3663" s="11"/>
      <c r="E3663" s="204" t="s">
        <v>12777</v>
      </c>
      <c r="F3663" s="934" t="s">
        <v>784</v>
      </c>
      <c r="G3663" s="204" t="s">
        <v>12590</v>
      </c>
      <c r="H3663" s="204" t="s">
        <v>230</v>
      </c>
      <c r="I3663" s="204" t="s">
        <v>39</v>
      </c>
      <c r="J3663" s="204" t="s">
        <v>12816</v>
      </c>
      <c r="K3663" s="204" t="s">
        <v>4896</v>
      </c>
      <c r="L3663" s="204" t="s">
        <v>1</v>
      </c>
      <c r="M3663" s="204">
        <v>4</v>
      </c>
      <c r="N3663" s="204">
        <v>1</v>
      </c>
      <c r="O3663" s="204">
        <v>4</v>
      </c>
      <c r="P3663" s="204">
        <v>0</v>
      </c>
      <c r="Q3663" s="572">
        <v>0</v>
      </c>
      <c r="R3663" s="1209">
        <v>6785</v>
      </c>
      <c r="S3663" s="1209">
        <f t="shared" si="218"/>
        <v>27140</v>
      </c>
      <c r="T3663" s="204" t="s">
        <v>10016</v>
      </c>
      <c r="U3663" s="1901" t="s">
        <v>10016</v>
      </c>
      <c r="V3663" s="572" t="s">
        <v>7705</v>
      </c>
      <c r="W3663" s="681" t="s">
        <v>12817</v>
      </c>
      <c r="X3663" s="18"/>
      <c r="Y3663" s="4"/>
      <c r="Z3663" s="4"/>
    </row>
    <row r="3664" spans="1:26" ht="14.1" hidden="1">
      <c r="A3664" s="20">
        <f t="shared" si="216"/>
        <v>3671</v>
      </c>
      <c r="B3664" s="1063">
        <v>43441</v>
      </c>
      <c r="C3664" s="934" t="s">
        <v>12818</v>
      </c>
      <c r="D3664" s="11"/>
      <c r="E3664" s="204" t="s">
        <v>12777</v>
      </c>
      <c r="F3664" s="934" t="s">
        <v>784</v>
      </c>
      <c r="G3664" s="204" t="s">
        <v>12818</v>
      </c>
      <c r="H3664" s="204" t="s">
        <v>11346</v>
      </c>
      <c r="I3664" s="204" t="s">
        <v>39</v>
      </c>
      <c r="J3664" s="204" t="s">
        <v>11347</v>
      </c>
      <c r="K3664" s="204" t="s">
        <v>12819</v>
      </c>
      <c r="L3664" s="204" t="s">
        <v>1</v>
      </c>
      <c r="M3664" s="204">
        <v>1</v>
      </c>
      <c r="N3664" s="204">
        <v>1</v>
      </c>
      <c r="O3664" s="204">
        <v>1</v>
      </c>
      <c r="P3664" s="204">
        <v>0</v>
      </c>
      <c r="Q3664" s="572">
        <v>0</v>
      </c>
      <c r="R3664" s="1209">
        <v>9980</v>
      </c>
      <c r="S3664" s="1209">
        <f t="shared" si="218"/>
        <v>9980</v>
      </c>
      <c r="T3664" s="204" t="s">
        <v>10016</v>
      </c>
      <c r="U3664" s="1901" t="s">
        <v>10016</v>
      </c>
      <c r="V3664" s="572" t="s">
        <v>7705</v>
      </c>
      <c r="W3664" s="681" t="s">
        <v>11352</v>
      </c>
      <c r="X3664" s="18"/>
      <c r="Y3664" s="4"/>
      <c r="Z3664" s="4"/>
    </row>
    <row r="3665" spans="1:26" ht="14.1" hidden="1">
      <c r="A3665" s="20">
        <f t="shared" si="216"/>
        <v>3672</v>
      </c>
      <c r="B3665" s="1063">
        <v>43442</v>
      </c>
      <c r="C3665" s="934" t="s">
        <v>12820</v>
      </c>
      <c r="D3665" s="11"/>
      <c r="E3665" s="204" t="s">
        <v>12777</v>
      </c>
      <c r="F3665" s="934" t="s">
        <v>784</v>
      </c>
      <c r="G3665" s="204" t="s">
        <v>12820</v>
      </c>
      <c r="H3665" s="204" t="s">
        <v>12821</v>
      </c>
      <c r="I3665" s="204" t="s">
        <v>39</v>
      </c>
      <c r="J3665" s="204" t="s">
        <v>12822</v>
      </c>
      <c r="K3665" s="204" t="s">
        <v>12823</v>
      </c>
      <c r="L3665" s="204" t="s">
        <v>1</v>
      </c>
      <c r="M3665" s="204">
        <v>1</v>
      </c>
      <c r="N3665" s="204">
        <v>1</v>
      </c>
      <c r="O3665" s="204">
        <v>1</v>
      </c>
      <c r="P3665" s="204">
        <v>0</v>
      </c>
      <c r="Q3665" s="572">
        <v>0</v>
      </c>
      <c r="R3665" s="1209">
        <v>67260</v>
      </c>
      <c r="S3665" s="1209">
        <f t="shared" si="218"/>
        <v>67260</v>
      </c>
      <c r="T3665" s="204" t="s">
        <v>10016</v>
      </c>
      <c r="U3665" s="1901" t="s">
        <v>10016</v>
      </c>
      <c r="V3665" s="572" t="s">
        <v>7705</v>
      </c>
      <c r="W3665" s="681" t="s">
        <v>12824</v>
      </c>
      <c r="X3665" s="18"/>
      <c r="Y3665" s="4"/>
      <c r="Z3665" s="4"/>
    </row>
    <row r="3666" spans="1:26" ht="14.1" hidden="1">
      <c r="A3666" s="20">
        <f t="shared" si="216"/>
        <v>3673</v>
      </c>
      <c r="B3666" s="1063">
        <v>43443</v>
      </c>
      <c r="C3666" s="934" t="s">
        <v>12825</v>
      </c>
      <c r="D3666" s="11"/>
      <c r="E3666" s="204" t="s">
        <v>12777</v>
      </c>
      <c r="F3666" s="934" t="s">
        <v>784</v>
      </c>
      <c r="G3666" s="204" t="s">
        <v>12825</v>
      </c>
      <c r="H3666" s="204" t="s">
        <v>12821</v>
      </c>
      <c r="I3666" s="204" t="s">
        <v>39</v>
      </c>
      <c r="J3666" s="204" t="s">
        <v>12826</v>
      </c>
      <c r="K3666" s="204" t="s">
        <v>12827</v>
      </c>
      <c r="L3666" s="204" t="s">
        <v>1</v>
      </c>
      <c r="M3666" s="204">
        <v>1</v>
      </c>
      <c r="N3666" s="204">
        <v>1</v>
      </c>
      <c r="O3666" s="204">
        <v>1</v>
      </c>
      <c r="P3666" s="204">
        <v>0</v>
      </c>
      <c r="Q3666" s="572">
        <v>0</v>
      </c>
      <c r="R3666" s="1209">
        <v>50000</v>
      </c>
      <c r="S3666" s="1209">
        <f t="shared" si="218"/>
        <v>50000</v>
      </c>
      <c r="T3666" s="204" t="s">
        <v>10016</v>
      </c>
      <c r="U3666" s="1901" t="s">
        <v>10016</v>
      </c>
      <c r="V3666" s="572" t="s">
        <v>7705</v>
      </c>
      <c r="W3666" s="681" t="s">
        <v>12828</v>
      </c>
      <c r="X3666" s="18"/>
      <c r="Y3666" s="4"/>
      <c r="Z3666" s="4"/>
    </row>
    <row r="3667" spans="1:26" ht="14.1" hidden="1">
      <c r="A3667" s="20">
        <f t="shared" si="216"/>
        <v>3674</v>
      </c>
      <c r="B3667" s="1063">
        <v>43444</v>
      </c>
      <c r="C3667" s="934" t="s">
        <v>12829</v>
      </c>
      <c r="D3667" s="11"/>
      <c r="E3667" s="204" t="s">
        <v>12777</v>
      </c>
      <c r="F3667" s="934" t="s">
        <v>784</v>
      </c>
      <c r="G3667" s="204" t="s">
        <v>12829</v>
      </c>
      <c r="H3667" s="204" t="s">
        <v>12830</v>
      </c>
      <c r="I3667" s="204" t="s">
        <v>39</v>
      </c>
      <c r="J3667" s="204" t="s">
        <v>12831</v>
      </c>
      <c r="K3667" s="204" t="s">
        <v>12832</v>
      </c>
      <c r="L3667" s="204" t="s">
        <v>1</v>
      </c>
      <c r="M3667" s="204">
        <v>10</v>
      </c>
      <c r="N3667" s="204">
        <v>1</v>
      </c>
      <c r="O3667" s="204">
        <v>10</v>
      </c>
      <c r="P3667" s="204">
        <v>0</v>
      </c>
      <c r="Q3667" s="572">
        <v>0</v>
      </c>
      <c r="R3667" s="1209">
        <v>7065</v>
      </c>
      <c r="S3667" s="1209">
        <f t="shared" si="218"/>
        <v>70650</v>
      </c>
      <c r="T3667" s="204" t="s">
        <v>10016</v>
      </c>
      <c r="U3667" s="1901" t="s">
        <v>10016</v>
      </c>
      <c r="V3667" s="572" t="s">
        <v>7705</v>
      </c>
      <c r="W3667" s="681" t="s">
        <v>12833</v>
      </c>
      <c r="X3667" s="18"/>
      <c r="Y3667" s="4"/>
      <c r="Z3667" s="4"/>
    </row>
    <row r="3668" spans="1:26" ht="14.1" hidden="1">
      <c r="A3668" s="20">
        <f t="shared" si="216"/>
        <v>3675</v>
      </c>
      <c r="B3668" s="1063">
        <v>43445</v>
      </c>
      <c r="C3668" s="934" t="s">
        <v>12834</v>
      </c>
      <c r="D3668" s="11"/>
      <c r="E3668" s="204" t="s">
        <v>12777</v>
      </c>
      <c r="F3668" s="934" t="s">
        <v>784</v>
      </c>
      <c r="G3668" s="204" t="s">
        <v>12834</v>
      </c>
      <c r="H3668" s="204" t="s">
        <v>1928</v>
      </c>
      <c r="I3668" s="204" t="s">
        <v>39</v>
      </c>
      <c r="J3668" s="204" t="s">
        <v>12835</v>
      </c>
      <c r="K3668" s="204" t="s">
        <v>12835</v>
      </c>
      <c r="L3668" s="204" t="s">
        <v>1</v>
      </c>
      <c r="M3668" s="204">
        <v>1</v>
      </c>
      <c r="N3668" s="204">
        <v>1</v>
      </c>
      <c r="O3668" s="204">
        <v>1</v>
      </c>
      <c r="P3668" s="204">
        <v>0</v>
      </c>
      <c r="Q3668" s="572">
        <v>0</v>
      </c>
      <c r="R3668" s="1209">
        <v>1659</v>
      </c>
      <c r="S3668" s="1209">
        <f t="shared" si="218"/>
        <v>1659</v>
      </c>
      <c r="T3668" s="204" t="s">
        <v>10016</v>
      </c>
      <c r="U3668" s="1901" t="s">
        <v>10016</v>
      </c>
      <c r="V3668" s="572" t="s">
        <v>7705</v>
      </c>
      <c r="W3668" s="681" t="s">
        <v>12836</v>
      </c>
      <c r="X3668" s="18"/>
      <c r="Y3668" s="4"/>
      <c r="Z3668" s="4"/>
    </row>
    <row r="3669" spans="1:26" ht="15.95" hidden="1">
      <c r="A3669" s="20">
        <f t="shared" si="216"/>
        <v>3676</v>
      </c>
      <c r="B3669" s="1063">
        <v>43446</v>
      </c>
      <c r="C3669" s="934" t="s">
        <v>12837</v>
      </c>
      <c r="D3669" s="11"/>
      <c r="E3669" s="204" t="s">
        <v>12777</v>
      </c>
      <c r="F3669" s="934" t="s">
        <v>784</v>
      </c>
      <c r="G3669" s="204" t="s">
        <v>12837</v>
      </c>
      <c r="H3669" s="204" t="s">
        <v>12838</v>
      </c>
      <c r="I3669" s="204" t="s">
        <v>84</v>
      </c>
      <c r="J3669" s="645">
        <v>60808274</v>
      </c>
      <c r="K3669" s="204" t="s">
        <v>12839</v>
      </c>
      <c r="L3669" s="204" t="s">
        <v>1</v>
      </c>
      <c r="M3669" s="204">
        <v>1</v>
      </c>
      <c r="N3669" s="204">
        <v>1</v>
      </c>
      <c r="O3669" s="204">
        <v>1</v>
      </c>
      <c r="P3669" s="204">
        <v>0</v>
      </c>
      <c r="Q3669" s="572">
        <v>0</v>
      </c>
      <c r="R3669" s="1209">
        <v>8990</v>
      </c>
      <c r="S3669" s="1209">
        <f t="shared" si="218"/>
        <v>8990</v>
      </c>
      <c r="T3669" s="204" t="s">
        <v>10016</v>
      </c>
      <c r="U3669" s="1901" t="s">
        <v>10016</v>
      </c>
      <c r="V3669" s="572" t="s">
        <v>7705</v>
      </c>
      <c r="W3669" s="681" t="s">
        <v>12840</v>
      </c>
      <c r="X3669" s="18"/>
      <c r="Y3669" s="4"/>
      <c r="Z3669" s="4"/>
    </row>
    <row r="3670" spans="1:26" ht="14.1" hidden="1">
      <c r="A3670" s="20">
        <f t="shared" si="216"/>
        <v>3677</v>
      </c>
      <c r="B3670" s="1063">
        <v>43447</v>
      </c>
      <c r="C3670" s="934" t="s">
        <v>12841</v>
      </c>
      <c r="D3670" s="11"/>
      <c r="E3670" s="204" t="s">
        <v>12777</v>
      </c>
      <c r="F3670" s="934" t="s">
        <v>784</v>
      </c>
      <c r="G3670" s="204" t="s">
        <v>12841</v>
      </c>
      <c r="H3670" s="204" t="s">
        <v>12842</v>
      </c>
      <c r="I3670" s="204" t="s">
        <v>84</v>
      </c>
      <c r="J3670" s="204">
        <v>6393606</v>
      </c>
      <c r="K3670" s="204" t="s">
        <v>12843</v>
      </c>
      <c r="L3670" s="204" t="s">
        <v>1</v>
      </c>
      <c r="M3670" s="204">
        <v>10</v>
      </c>
      <c r="N3670" s="204">
        <v>1</v>
      </c>
      <c r="O3670" s="204">
        <v>10</v>
      </c>
      <c r="P3670" s="204">
        <v>0</v>
      </c>
      <c r="Q3670" s="572">
        <v>0</v>
      </c>
      <c r="R3670" s="1209">
        <v>1590</v>
      </c>
      <c r="S3670" s="1209">
        <f t="shared" si="218"/>
        <v>15900</v>
      </c>
      <c r="T3670" s="204" t="s">
        <v>10016</v>
      </c>
      <c r="U3670" s="1901" t="s">
        <v>10016</v>
      </c>
      <c r="V3670" s="572" t="s">
        <v>7705</v>
      </c>
      <c r="W3670" s="681" t="s">
        <v>12844</v>
      </c>
      <c r="X3670" s="18"/>
      <c r="Y3670" s="4"/>
      <c r="Z3670" s="4"/>
    </row>
    <row r="3671" spans="1:26" ht="14.1" hidden="1">
      <c r="A3671" s="20">
        <f t="shared" si="216"/>
        <v>3678</v>
      </c>
      <c r="B3671" s="1063">
        <v>43448</v>
      </c>
      <c r="C3671" s="934" t="s">
        <v>12845</v>
      </c>
      <c r="D3671" s="11"/>
      <c r="E3671" s="204" t="s">
        <v>12777</v>
      </c>
      <c r="F3671" s="934" t="s">
        <v>784</v>
      </c>
      <c r="G3671" s="204" t="s">
        <v>12845</v>
      </c>
      <c r="H3671" s="204" t="s">
        <v>7518</v>
      </c>
      <c r="I3671" s="204" t="s">
        <v>84</v>
      </c>
      <c r="J3671" s="204">
        <v>34693714</v>
      </c>
      <c r="K3671" s="204" t="s">
        <v>11017</v>
      </c>
      <c r="L3671" s="204" t="s">
        <v>1</v>
      </c>
      <c r="M3671" s="204">
        <v>2</v>
      </c>
      <c r="N3671" s="204">
        <v>1</v>
      </c>
      <c r="O3671" s="204">
        <v>2</v>
      </c>
      <c r="P3671" s="204">
        <v>0</v>
      </c>
      <c r="Q3671" s="572">
        <v>0</v>
      </c>
      <c r="R3671" s="1209">
        <v>2790</v>
      </c>
      <c r="S3671" s="1209">
        <f t="shared" si="218"/>
        <v>5580</v>
      </c>
      <c r="T3671" s="204" t="s">
        <v>10016</v>
      </c>
      <c r="U3671" s="1901" t="s">
        <v>10016</v>
      </c>
      <c r="V3671" s="572" t="s">
        <v>7705</v>
      </c>
      <c r="W3671" s="681" t="s">
        <v>12846</v>
      </c>
      <c r="X3671" s="18"/>
      <c r="Y3671" s="4"/>
      <c r="Z3671" s="4"/>
    </row>
    <row r="3672" spans="1:26" ht="14.1" hidden="1">
      <c r="A3672" s="20">
        <f t="shared" si="216"/>
        <v>3679</v>
      </c>
      <c r="B3672" s="1063">
        <v>43449</v>
      </c>
      <c r="C3672" s="934" t="s">
        <v>12847</v>
      </c>
      <c r="D3672" s="11"/>
      <c r="E3672" s="204" t="s">
        <v>12777</v>
      </c>
      <c r="F3672" s="934" t="s">
        <v>784</v>
      </c>
      <c r="G3672" s="204" t="s">
        <v>12847</v>
      </c>
      <c r="H3672" s="204" t="s">
        <v>7518</v>
      </c>
      <c r="I3672" s="204" t="s">
        <v>84</v>
      </c>
      <c r="J3672" s="204">
        <v>31338965</v>
      </c>
      <c r="K3672" s="204" t="s">
        <v>12848</v>
      </c>
      <c r="L3672" s="204" t="s">
        <v>1</v>
      </c>
      <c r="M3672" s="204">
        <v>1</v>
      </c>
      <c r="N3672" s="204">
        <v>1</v>
      </c>
      <c r="O3672" s="204">
        <v>1</v>
      </c>
      <c r="P3672" s="204">
        <v>0</v>
      </c>
      <c r="Q3672" s="572">
        <v>0</v>
      </c>
      <c r="R3672" s="1209">
        <v>1990</v>
      </c>
      <c r="S3672" s="1209">
        <f t="shared" si="218"/>
        <v>1990</v>
      </c>
      <c r="T3672" s="204" t="s">
        <v>10016</v>
      </c>
      <c r="U3672" s="1901" t="s">
        <v>10016</v>
      </c>
      <c r="V3672" s="572" t="s">
        <v>7705</v>
      </c>
      <c r="W3672" s="681" t="s">
        <v>12849</v>
      </c>
      <c r="X3672" s="18"/>
      <c r="Y3672" s="4"/>
      <c r="Z3672" s="4"/>
    </row>
    <row r="3673" spans="1:26" ht="14.1" hidden="1">
      <c r="A3673" s="20">
        <f t="shared" si="216"/>
        <v>3680</v>
      </c>
      <c r="B3673" s="1063">
        <v>43450</v>
      </c>
      <c r="C3673" s="934" t="s">
        <v>12850</v>
      </c>
      <c r="D3673" s="11"/>
      <c r="E3673" s="204" t="s">
        <v>12777</v>
      </c>
      <c r="F3673" s="934" t="s">
        <v>784</v>
      </c>
      <c r="G3673" s="204" t="s">
        <v>12850</v>
      </c>
      <c r="H3673" s="204" t="s">
        <v>12851</v>
      </c>
      <c r="I3673" s="204" t="s">
        <v>84</v>
      </c>
      <c r="J3673" s="204">
        <v>20345465</v>
      </c>
      <c r="K3673" s="204" t="s">
        <v>12852</v>
      </c>
      <c r="L3673" s="204" t="s">
        <v>1</v>
      </c>
      <c r="M3673" s="204">
        <v>1</v>
      </c>
      <c r="N3673" s="204">
        <v>1</v>
      </c>
      <c r="O3673" s="204">
        <v>1</v>
      </c>
      <c r="P3673" s="204">
        <v>0</v>
      </c>
      <c r="Q3673" s="572">
        <v>0</v>
      </c>
      <c r="R3673" s="1209">
        <v>97900</v>
      </c>
      <c r="S3673" s="1209">
        <f t="shared" si="218"/>
        <v>97900</v>
      </c>
      <c r="T3673" s="204" t="s">
        <v>10016</v>
      </c>
      <c r="U3673" s="1901" t="s">
        <v>10016</v>
      </c>
      <c r="V3673" s="572" t="s">
        <v>7705</v>
      </c>
      <c r="W3673" s="681" t="s">
        <v>12853</v>
      </c>
      <c r="X3673" s="18"/>
      <c r="Y3673" s="4"/>
      <c r="Z3673" s="4"/>
    </row>
    <row r="3674" spans="1:26" ht="14.1" hidden="1">
      <c r="A3674" s="20">
        <f t="shared" si="216"/>
        <v>3681</v>
      </c>
      <c r="B3674" s="1063">
        <v>43451</v>
      </c>
      <c r="C3674" s="934" t="s">
        <v>12854</v>
      </c>
      <c r="D3674" s="11"/>
      <c r="E3674" s="204" t="s">
        <v>12777</v>
      </c>
      <c r="F3674" s="934" t="s">
        <v>784</v>
      </c>
      <c r="G3674" s="204" t="s">
        <v>12854</v>
      </c>
      <c r="H3674" s="204" t="s">
        <v>1150</v>
      </c>
      <c r="I3674" s="204" t="s">
        <v>84</v>
      </c>
      <c r="J3674" s="204">
        <v>39895109</v>
      </c>
      <c r="K3674" s="204" t="s">
        <v>12855</v>
      </c>
      <c r="L3674" s="204" t="s">
        <v>1</v>
      </c>
      <c r="M3674" s="204">
        <v>4</v>
      </c>
      <c r="N3674" s="204">
        <v>1</v>
      </c>
      <c r="O3674" s="204">
        <v>4</v>
      </c>
      <c r="P3674" s="204">
        <v>0</v>
      </c>
      <c r="Q3674" s="572">
        <v>0</v>
      </c>
      <c r="R3674" s="1209">
        <v>229</v>
      </c>
      <c r="S3674" s="1209">
        <f t="shared" si="218"/>
        <v>916</v>
      </c>
      <c r="T3674" s="204" t="s">
        <v>10016</v>
      </c>
      <c r="U3674" s="1901" t="s">
        <v>10016</v>
      </c>
      <c r="V3674" s="572" t="s">
        <v>7705</v>
      </c>
      <c r="W3674" s="681" t="s">
        <v>12856</v>
      </c>
      <c r="X3674" s="18"/>
      <c r="Y3674" s="4"/>
      <c r="Z3674" s="4"/>
    </row>
    <row r="3675" spans="1:26" ht="14.1" hidden="1">
      <c r="A3675" s="20">
        <f t="shared" si="216"/>
        <v>3682</v>
      </c>
      <c r="B3675" s="1063">
        <v>43452</v>
      </c>
      <c r="C3675" s="934" t="s">
        <v>12857</v>
      </c>
      <c r="D3675" s="11"/>
      <c r="E3675" s="204" t="s">
        <v>12777</v>
      </c>
      <c r="F3675" s="934" t="s">
        <v>784</v>
      </c>
      <c r="G3675" s="204" t="s">
        <v>12857</v>
      </c>
      <c r="H3675" s="204" t="s">
        <v>1150</v>
      </c>
      <c r="I3675" s="204" t="s">
        <v>84</v>
      </c>
      <c r="J3675" s="204">
        <v>39895118</v>
      </c>
      <c r="K3675" s="204" t="s">
        <v>12858</v>
      </c>
      <c r="L3675" s="204" t="s">
        <v>1</v>
      </c>
      <c r="M3675" s="204">
        <v>10</v>
      </c>
      <c r="N3675" s="204">
        <v>1</v>
      </c>
      <c r="O3675" s="204">
        <v>10</v>
      </c>
      <c r="P3675" s="204">
        <v>0</v>
      </c>
      <c r="Q3675" s="572">
        <v>0</v>
      </c>
      <c r="R3675" s="1209">
        <v>99</v>
      </c>
      <c r="S3675" s="1209">
        <f t="shared" si="218"/>
        <v>990</v>
      </c>
      <c r="T3675" s="204" t="s">
        <v>10016</v>
      </c>
      <c r="U3675" s="1901" t="s">
        <v>10016</v>
      </c>
      <c r="V3675" s="572" t="s">
        <v>7705</v>
      </c>
      <c r="W3675" s="681" t="s">
        <v>12859</v>
      </c>
      <c r="X3675" s="18"/>
      <c r="Y3675" s="4"/>
      <c r="Z3675" s="4"/>
    </row>
    <row r="3676" spans="1:26" ht="14.1" hidden="1">
      <c r="A3676" s="20">
        <f t="shared" si="216"/>
        <v>3683</v>
      </c>
      <c r="B3676" s="1063">
        <v>43453</v>
      </c>
      <c r="C3676" s="934" t="s">
        <v>12860</v>
      </c>
      <c r="D3676" s="11"/>
      <c r="E3676" s="204" t="s">
        <v>12777</v>
      </c>
      <c r="F3676" s="934" t="s">
        <v>784</v>
      </c>
      <c r="G3676" s="204" t="s">
        <v>12860</v>
      </c>
      <c r="H3676" s="204" t="s">
        <v>1150</v>
      </c>
      <c r="I3676" s="204" t="s">
        <v>84</v>
      </c>
      <c r="J3676" s="204">
        <v>39895127</v>
      </c>
      <c r="K3676" s="204" t="s">
        <v>12861</v>
      </c>
      <c r="L3676" s="204" t="s">
        <v>1</v>
      </c>
      <c r="M3676" s="204">
        <v>4</v>
      </c>
      <c r="N3676" s="204">
        <v>1</v>
      </c>
      <c r="O3676" s="204">
        <v>4</v>
      </c>
      <c r="P3676" s="204">
        <v>0</v>
      </c>
      <c r="Q3676" s="572">
        <v>0</v>
      </c>
      <c r="R3676" s="1209">
        <v>99</v>
      </c>
      <c r="S3676" s="1209">
        <f t="shared" si="218"/>
        <v>396</v>
      </c>
      <c r="T3676" s="204" t="s">
        <v>10016</v>
      </c>
      <c r="U3676" s="1901" t="s">
        <v>10016</v>
      </c>
      <c r="V3676" s="572" t="s">
        <v>7705</v>
      </c>
      <c r="W3676" s="681" t="s">
        <v>12862</v>
      </c>
      <c r="X3676" s="18"/>
      <c r="Y3676" s="4"/>
      <c r="Z3676" s="4"/>
    </row>
    <row r="3677" spans="1:26" ht="14.1" hidden="1">
      <c r="A3677" s="20">
        <f t="shared" si="216"/>
        <v>3684</v>
      </c>
      <c r="B3677" s="1063">
        <v>43454</v>
      </c>
      <c r="C3677" s="934" t="s">
        <v>12863</v>
      </c>
      <c r="D3677" s="11"/>
      <c r="E3677" s="204" t="s">
        <v>12777</v>
      </c>
      <c r="F3677" s="934" t="s">
        <v>784</v>
      </c>
      <c r="G3677" s="204" t="s">
        <v>12863</v>
      </c>
      <c r="H3677" s="204" t="s">
        <v>1150</v>
      </c>
      <c r="I3677" s="204" t="s">
        <v>84</v>
      </c>
      <c r="J3677" s="204">
        <v>39895136</v>
      </c>
      <c r="K3677" s="204" t="s">
        <v>12864</v>
      </c>
      <c r="L3677" s="204" t="s">
        <v>1</v>
      </c>
      <c r="M3677" s="204">
        <v>10</v>
      </c>
      <c r="N3677" s="204">
        <v>1</v>
      </c>
      <c r="O3677" s="204">
        <v>10</v>
      </c>
      <c r="P3677" s="204">
        <v>0</v>
      </c>
      <c r="Q3677" s="572">
        <v>0</v>
      </c>
      <c r="R3677" s="1209">
        <v>99</v>
      </c>
      <c r="S3677" s="1209">
        <f t="shared" si="218"/>
        <v>990</v>
      </c>
      <c r="T3677" s="204" t="s">
        <v>10016</v>
      </c>
      <c r="U3677" s="1901" t="s">
        <v>10016</v>
      </c>
      <c r="V3677" s="572" t="s">
        <v>7705</v>
      </c>
      <c r="W3677" s="681" t="s">
        <v>12865</v>
      </c>
      <c r="X3677" s="18"/>
      <c r="Y3677" s="4"/>
      <c r="Z3677" s="4"/>
    </row>
    <row r="3678" spans="1:26" ht="14.1" hidden="1">
      <c r="A3678" s="20">
        <f t="shared" si="216"/>
        <v>3685</v>
      </c>
      <c r="B3678" s="1063">
        <v>43455</v>
      </c>
      <c r="C3678" s="934" t="s">
        <v>12866</v>
      </c>
      <c r="D3678" s="10"/>
      <c r="E3678" s="204" t="s">
        <v>683</v>
      </c>
      <c r="F3678" s="934" t="s">
        <v>73</v>
      </c>
      <c r="G3678" s="204" t="s">
        <v>12867</v>
      </c>
      <c r="H3678" s="204" t="s">
        <v>12868</v>
      </c>
      <c r="I3678" s="204" t="s">
        <v>366</v>
      </c>
      <c r="J3678" s="189" t="s">
        <v>12869</v>
      </c>
      <c r="K3678" s="365" t="s">
        <v>12869</v>
      </c>
      <c r="L3678" s="204" t="s">
        <v>1</v>
      </c>
      <c r="M3678" s="204">
        <v>1</v>
      </c>
      <c r="N3678" s="204">
        <v>1</v>
      </c>
      <c r="O3678" s="204">
        <v>3</v>
      </c>
      <c r="P3678" s="204">
        <v>0</v>
      </c>
      <c r="Q3678" s="572">
        <v>2</v>
      </c>
      <c r="R3678" s="1209">
        <v>540</v>
      </c>
      <c r="S3678" s="1209">
        <v>540</v>
      </c>
      <c r="T3678" s="204" t="s">
        <v>4220</v>
      </c>
      <c r="U3678" s="1901" t="s">
        <v>12870</v>
      </c>
      <c r="V3678" s="572" t="s">
        <v>12768</v>
      </c>
      <c r="W3678" s="681" t="s">
        <v>12871</v>
      </c>
      <c r="X3678" s="18"/>
      <c r="Y3678" s="4"/>
      <c r="Z3678" s="4"/>
    </row>
    <row r="3679" spans="1:26" ht="14.1" hidden="1">
      <c r="A3679" s="20">
        <f t="shared" si="216"/>
        <v>3686</v>
      </c>
      <c r="B3679" s="1063">
        <v>43456</v>
      </c>
      <c r="C3679" s="934" t="s">
        <v>12872</v>
      </c>
      <c r="D3679" s="11" t="s">
        <v>6</v>
      </c>
      <c r="E3679" s="204" t="s">
        <v>2722</v>
      </c>
      <c r="F3679" s="934" t="s">
        <v>2143</v>
      </c>
      <c r="G3679" s="204" t="s">
        <v>12873</v>
      </c>
      <c r="H3679" s="204" t="s">
        <v>12609</v>
      </c>
      <c r="I3679" s="204" t="s">
        <v>84</v>
      </c>
      <c r="J3679" s="204">
        <v>87196794</v>
      </c>
      <c r="K3679" s="204" t="s">
        <v>12874</v>
      </c>
      <c r="L3679" s="204"/>
      <c r="M3679" s="204">
        <v>3</v>
      </c>
      <c r="N3679" s="204">
        <v>1</v>
      </c>
      <c r="O3679" s="204">
        <v>5</v>
      </c>
      <c r="P3679" s="204">
        <v>0</v>
      </c>
      <c r="Q3679" s="572">
        <v>0</v>
      </c>
      <c r="R3679" s="1209">
        <v>289</v>
      </c>
      <c r="S3679" s="1209">
        <f>R3679*O3679</f>
        <v>1445</v>
      </c>
      <c r="T3679" s="204" t="s">
        <v>3961</v>
      </c>
      <c r="U3679" s="1901" t="s">
        <v>12875</v>
      </c>
      <c r="V3679" s="572" t="s">
        <v>7645</v>
      </c>
      <c r="W3679" s="681" t="s">
        <v>12876</v>
      </c>
      <c r="X3679" s="18"/>
      <c r="Y3679" s="4"/>
      <c r="Z3679" s="4"/>
    </row>
    <row r="3680" spans="1:26" ht="14.1" hidden="1">
      <c r="A3680" s="20">
        <f t="shared" si="216"/>
        <v>3687</v>
      </c>
      <c r="B3680" s="1063">
        <v>43457</v>
      </c>
      <c r="C3680" s="934" t="s">
        <v>12877</v>
      </c>
      <c r="D3680" s="11" t="s">
        <v>6</v>
      </c>
      <c r="E3680" s="204" t="s">
        <v>2722</v>
      </c>
      <c r="F3680" s="934" t="s">
        <v>11544</v>
      </c>
      <c r="G3680" s="204" t="s">
        <v>12878</v>
      </c>
      <c r="H3680" s="204" t="s">
        <v>460</v>
      </c>
      <c r="I3680" s="204" t="s">
        <v>281</v>
      </c>
      <c r="J3680" s="204" t="s">
        <v>12879</v>
      </c>
      <c r="K3680" s="204" t="s">
        <v>12880</v>
      </c>
      <c r="L3680" s="204" t="s">
        <v>12881</v>
      </c>
      <c r="M3680" s="204">
        <v>1</v>
      </c>
      <c r="N3680" s="204">
        <v>1</v>
      </c>
      <c r="O3680" s="204">
        <v>5</v>
      </c>
      <c r="P3680" s="204">
        <v>0</v>
      </c>
      <c r="Q3680" s="572">
        <v>4</v>
      </c>
      <c r="R3680" s="1209">
        <v>157</v>
      </c>
      <c r="S3680" s="1209">
        <v>785</v>
      </c>
      <c r="T3680" s="204" t="s">
        <v>3961</v>
      </c>
      <c r="U3680" s="1901" t="s">
        <v>9486</v>
      </c>
      <c r="V3680" s="572" t="s">
        <v>7645</v>
      </c>
      <c r="W3680" s="2127" t="s">
        <v>12882</v>
      </c>
      <c r="X3680" s="18"/>
      <c r="Y3680" s="4"/>
      <c r="Z3680" s="4"/>
    </row>
    <row r="3681" spans="1:26" ht="14.1" hidden="1">
      <c r="A3681" s="20">
        <f t="shared" si="216"/>
        <v>3688</v>
      </c>
      <c r="B3681" s="1063">
        <v>43458</v>
      </c>
      <c r="C3681" s="934" t="s">
        <v>12883</v>
      </c>
      <c r="D3681" s="11" t="s">
        <v>6</v>
      </c>
      <c r="E3681" s="204" t="s">
        <v>2722</v>
      </c>
      <c r="F3681" s="934" t="s">
        <v>11544</v>
      </c>
      <c r="G3681" s="204" t="s">
        <v>12884</v>
      </c>
      <c r="H3681" s="204" t="s">
        <v>3612</v>
      </c>
      <c r="I3681" s="204" t="s">
        <v>574</v>
      </c>
      <c r="J3681" s="204" t="s">
        <v>3033</v>
      </c>
      <c r="K3681" s="204" t="s">
        <v>3034</v>
      </c>
      <c r="L3681" s="204" t="s">
        <v>1</v>
      </c>
      <c r="M3681" s="204">
        <v>10</v>
      </c>
      <c r="N3681" s="204">
        <v>25</v>
      </c>
      <c r="O3681" s="204">
        <v>25</v>
      </c>
      <c r="P3681" s="204">
        <v>3</v>
      </c>
      <c r="Q3681" s="572">
        <v>18</v>
      </c>
      <c r="R3681" s="1209">
        <v>4.92</v>
      </c>
      <c r="S3681" s="1209">
        <v>123</v>
      </c>
      <c r="T3681" s="204" t="s">
        <v>3961</v>
      </c>
      <c r="U3681" s="1901" t="s">
        <v>9486</v>
      </c>
      <c r="V3681" s="572" t="s">
        <v>7645</v>
      </c>
      <c r="W3681" s="681" t="s">
        <v>12885</v>
      </c>
      <c r="X3681" s="18"/>
      <c r="Y3681" s="4"/>
      <c r="Z3681" s="4"/>
    </row>
    <row r="3682" spans="1:26" ht="14.1" hidden="1">
      <c r="A3682" s="20">
        <f t="shared" si="216"/>
        <v>3689</v>
      </c>
      <c r="B3682" s="1063">
        <v>43459</v>
      </c>
      <c r="C3682" s="934" t="s">
        <v>12886</v>
      </c>
      <c r="D3682" s="11" t="s">
        <v>6</v>
      </c>
      <c r="E3682" s="204" t="s">
        <v>2722</v>
      </c>
      <c r="F3682" s="934" t="s">
        <v>11544</v>
      </c>
      <c r="G3682" s="204" t="s">
        <v>12886</v>
      </c>
      <c r="H3682" s="457" t="s">
        <v>12887</v>
      </c>
      <c r="I3682" s="204" t="s">
        <v>84</v>
      </c>
      <c r="J3682" s="204">
        <v>7181781</v>
      </c>
      <c r="K3682" s="204" t="s">
        <v>12888</v>
      </c>
      <c r="L3682" s="204" t="s">
        <v>1</v>
      </c>
      <c r="M3682" s="204">
        <v>4</v>
      </c>
      <c r="N3682" s="204">
        <v>1</v>
      </c>
      <c r="O3682" s="204">
        <v>5</v>
      </c>
      <c r="P3682" s="204">
        <v>1</v>
      </c>
      <c r="Q3682" s="572">
        <v>2</v>
      </c>
      <c r="R3682" s="1209">
        <v>119</v>
      </c>
      <c r="S3682" s="1209">
        <v>595</v>
      </c>
      <c r="T3682" s="204" t="s">
        <v>3961</v>
      </c>
      <c r="U3682" s="1901" t="s">
        <v>9486</v>
      </c>
      <c r="V3682" s="572" t="s">
        <v>7645</v>
      </c>
      <c r="W3682" s="2127" t="s">
        <v>12889</v>
      </c>
      <c r="X3682" s="18"/>
      <c r="Y3682" s="4"/>
      <c r="Z3682" s="4"/>
    </row>
    <row r="3683" spans="1:26" ht="18" hidden="1">
      <c r="A3683" s="20">
        <f t="shared" si="216"/>
        <v>3690</v>
      </c>
      <c r="B3683" s="1063">
        <v>43460</v>
      </c>
      <c r="C3683" s="934" t="s">
        <v>12890</v>
      </c>
      <c r="D3683" s="11" t="s">
        <v>6</v>
      </c>
      <c r="E3683" s="204" t="s">
        <v>2722</v>
      </c>
      <c r="F3683" s="934" t="s">
        <v>11544</v>
      </c>
      <c r="G3683" s="1" t="s">
        <v>12891</v>
      </c>
      <c r="H3683" s="758" t="s">
        <v>12892</v>
      </c>
      <c r="I3683" s="683" t="s">
        <v>84</v>
      </c>
      <c r="J3683" s="458">
        <v>35633841</v>
      </c>
      <c r="K3683" s="204" t="s">
        <v>12893</v>
      </c>
      <c r="L3683" s="204" t="s">
        <v>1</v>
      </c>
      <c r="M3683" s="204">
        <v>2</v>
      </c>
      <c r="N3683" s="204">
        <v>1</v>
      </c>
      <c r="O3683" s="204">
        <v>1</v>
      </c>
      <c r="P3683" s="204">
        <v>1</v>
      </c>
      <c r="Q3683" s="572">
        <v>0</v>
      </c>
      <c r="R3683" s="1209">
        <v>569</v>
      </c>
      <c r="S3683" s="1209">
        <v>569</v>
      </c>
      <c r="T3683" s="204" t="s">
        <v>3961</v>
      </c>
      <c r="U3683" s="1901" t="s">
        <v>9486</v>
      </c>
      <c r="V3683" s="572" t="s">
        <v>7645</v>
      </c>
      <c r="W3683" s="681" t="s">
        <v>12894</v>
      </c>
      <c r="X3683" s="18"/>
      <c r="Y3683" s="4"/>
      <c r="Z3683" s="4"/>
    </row>
    <row r="3684" spans="1:26" ht="14.1" hidden="1">
      <c r="A3684" s="20">
        <f t="shared" si="216"/>
        <v>3691</v>
      </c>
      <c r="B3684" s="1063">
        <v>43461</v>
      </c>
      <c r="C3684" s="934" t="s">
        <v>12895</v>
      </c>
      <c r="D3684" s="11"/>
      <c r="E3684" s="204" t="s">
        <v>572</v>
      </c>
      <c r="F3684" s="934" t="s">
        <v>11323</v>
      </c>
      <c r="G3684" s="204" t="s">
        <v>12896</v>
      </c>
      <c r="H3684" s="297" t="s">
        <v>857</v>
      </c>
      <c r="I3684" s="204" t="s">
        <v>574</v>
      </c>
      <c r="J3684" s="204" t="s">
        <v>12897</v>
      </c>
      <c r="K3684" s="204" t="s">
        <v>12898</v>
      </c>
      <c r="L3684" s="204" t="s">
        <v>12899</v>
      </c>
      <c r="M3684" s="204">
        <v>1</v>
      </c>
      <c r="N3684" s="204">
        <v>1</v>
      </c>
      <c r="O3684" s="204">
        <v>2</v>
      </c>
      <c r="P3684" s="204">
        <v>0</v>
      </c>
      <c r="Q3684" s="572">
        <v>2</v>
      </c>
      <c r="R3684" s="1209">
        <v>2514</v>
      </c>
      <c r="S3684" s="1209">
        <f>O3684*R3684</f>
        <v>5028</v>
      </c>
      <c r="T3684" s="204" t="s">
        <v>12900</v>
      </c>
      <c r="U3684" s="1901" t="s">
        <v>4615</v>
      </c>
      <c r="V3684" s="572" t="s">
        <v>7645</v>
      </c>
      <c r="W3684" s="804" t="s">
        <v>12901</v>
      </c>
      <c r="X3684" s="18"/>
      <c r="Y3684" s="4"/>
      <c r="Z3684" s="4"/>
    </row>
    <row r="3685" spans="1:26" ht="14.1" hidden="1">
      <c r="A3685" s="20">
        <f t="shared" si="216"/>
        <v>3692</v>
      </c>
      <c r="B3685" s="1063">
        <v>43462</v>
      </c>
      <c r="C3685" s="934" t="s">
        <v>12902</v>
      </c>
      <c r="D3685" s="11" t="s">
        <v>6</v>
      </c>
      <c r="E3685" s="204" t="s">
        <v>2722</v>
      </c>
      <c r="F3685" s="934" t="s">
        <v>1398</v>
      </c>
      <c r="G3685" s="204" t="s">
        <v>12903</v>
      </c>
      <c r="H3685" s="204" t="s">
        <v>2668</v>
      </c>
      <c r="I3685" s="204" t="s">
        <v>281</v>
      </c>
      <c r="J3685" s="204" t="s">
        <v>12311</v>
      </c>
      <c r="K3685" s="204" t="s">
        <v>12312</v>
      </c>
      <c r="L3685" s="204"/>
      <c r="M3685" s="204">
        <v>3</v>
      </c>
      <c r="N3685" s="204">
        <v>1</v>
      </c>
      <c r="O3685" s="204">
        <v>3</v>
      </c>
      <c r="P3685" s="204">
        <v>0</v>
      </c>
      <c r="Q3685" s="572">
        <v>3</v>
      </c>
      <c r="R3685" s="1209">
        <v>2795</v>
      </c>
      <c r="S3685" s="1209">
        <v>8385</v>
      </c>
      <c r="T3685" s="204" t="s">
        <v>4669</v>
      </c>
      <c r="U3685" s="1901"/>
      <c r="V3685" s="572" t="s">
        <v>352</v>
      </c>
      <c r="W3685" s="681" t="s">
        <v>12313</v>
      </c>
      <c r="X3685" s="18"/>
      <c r="Y3685" s="4"/>
      <c r="Z3685" s="4"/>
    </row>
    <row r="3686" spans="1:26" ht="14.1" hidden="1">
      <c r="A3686" s="20">
        <f t="shared" si="216"/>
        <v>3693</v>
      </c>
      <c r="B3686" s="1063">
        <v>43463</v>
      </c>
      <c r="C3686" s="970" t="s">
        <v>12904</v>
      </c>
      <c r="D3686" s="374" t="s">
        <v>6</v>
      </c>
      <c r="E3686" s="717" t="s">
        <v>2722</v>
      </c>
      <c r="F3686" s="970" t="s">
        <v>1398</v>
      </c>
      <c r="G3686" s="717" t="s">
        <v>12905</v>
      </c>
      <c r="H3686" s="717" t="s">
        <v>2668</v>
      </c>
      <c r="I3686" s="717" t="s">
        <v>281</v>
      </c>
      <c r="J3686" s="717" t="s">
        <v>12906</v>
      </c>
      <c r="K3686" s="717" t="s">
        <v>12907</v>
      </c>
      <c r="L3686" s="717" t="s">
        <v>12905</v>
      </c>
      <c r="M3686" s="717">
        <v>3</v>
      </c>
      <c r="N3686" s="717">
        <v>1</v>
      </c>
      <c r="O3686" s="717">
        <v>3</v>
      </c>
      <c r="P3686" s="717">
        <v>0</v>
      </c>
      <c r="Q3686" s="718">
        <v>3</v>
      </c>
      <c r="R3686" s="1234">
        <v>908</v>
      </c>
      <c r="S3686" s="1234">
        <v>2724</v>
      </c>
      <c r="T3686" s="717" t="s">
        <v>4669</v>
      </c>
      <c r="U3686" s="1927"/>
      <c r="V3686" s="718" t="s">
        <v>352</v>
      </c>
      <c r="W3686" s="2106" t="s">
        <v>12908</v>
      </c>
      <c r="X3686" s="56"/>
      <c r="Y3686" s="4"/>
      <c r="Z3686" s="4"/>
    </row>
    <row r="3687" spans="1:26" ht="14.1" hidden="1">
      <c r="A3687" s="20">
        <f t="shared" si="216"/>
        <v>3694</v>
      </c>
      <c r="B3687" s="1063">
        <v>43464</v>
      </c>
      <c r="C3687" s="934" t="s">
        <v>11360</v>
      </c>
      <c r="D3687" s="11" t="s">
        <v>6</v>
      </c>
      <c r="E3687" s="204" t="s">
        <v>2722</v>
      </c>
      <c r="F3687" s="934" t="s">
        <v>1398</v>
      </c>
      <c r="G3687" s="204" t="s">
        <v>11354</v>
      </c>
      <c r="H3687" s="204" t="s">
        <v>220</v>
      </c>
      <c r="I3687" s="204" t="s">
        <v>281</v>
      </c>
      <c r="J3687" s="204" t="s">
        <v>11355</v>
      </c>
      <c r="K3687" s="204" t="s">
        <v>1812</v>
      </c>
      <c r="L3687" s="204"/>
      <c r="M3687" s="204">
        <v>30</v>
      </c>
      <c r="N3687" s="204">
        <v>10</v>
      </c>
      <c r="O3687" s="204">
        <v>30</v>
      </c>
      <c r="P3687" s="204">
        <v>0</v>
      </c>
      <c r="Q3687" s="572">
        <v>30</v>
      </c>
      <c r="R3687" s="1209">
        <v>6.8</v>
      </c>
      <c r="S3687" s="1209">
        <v>204</v>
      </c>
      <c r="T3687" s="204" t="s">
        <v>4669</v>
      </c>
      <c r="U3687" s="1901"/>
      <c r="V3687" s="572" t="s">
        <v>352</v>
      </c>
      <c r="W3687" s="804" t="s">
        <v>11356</v>
      </c>
      <c r="X3687" s="18"/>
      <c r="Y3687" s="4"/>
      <c r="Z3687" s="4"/>
    </row>
    <row r="3688" spans="1:26" ht="14.1" hidden="1">
      <c r="A3688" s="20">
        <f t="shared" si="216"/>
        <v>3695</v>
      </c>
      <c r="B3688" s="1063">
        <v>43465</v>
      </c>
      <c r="C3688" s="934" t="s">
        <v>12909</v>
      </c>
      <c r="D3688" s="11" t="s">
        <v>6</v>
      </c>
      <c r="E3688" s="204" t="s">
        <v>2722</v>
      </c>
      <c r="F3688" s="934" t="s">
        <v>1398</v>
      </c>
      <c r="G3688" s="204" t="s">
        <v>11369</v>
      </c>
      <c r="H3688" s="204" t="s">
        <v>220</v>
      </c>
      <c r="I3688" s="204" t="s">
        <v>281</v>
      </c>
      <c r="J3688" s="204" t="s">
        <v>11370</v>
      </c>
      <c r="K3688" s="204" t="s">
        <v>11371</v>
      </c>
      <c r="L3688" s="204"/>
      <c r="M3688" s="204">
        <v>50</v>
      </c>
      <c r="N3688" s="204">
        <v>1</v>
      </c>
      <c r="O3688" s="204">
        <v>50</v>
      </c>
      <c r="P3688" s="204">
        <v>0</v>
      </c>
      <c r="Q3688" s="572">
        <v>50</v>
      </c>
      <c r="R3688" s="1209">
        <v>3.56</v>
      </c>
      <c r="S3688" s="1209">
        <v>178</v>
      </c>
      <c r="T3688" s="204" t="s">
        <v>4669</v>
      </c>
      <c r="U3688" s="1901"/>
      <c r="V3688" s="572" t="s">
        <v>352</v>
      </c>
      <c r="W3688" s="804" t="s">
        <v>11372</v>
      </c>
      <c r="X3688" s="18"/>
      <c r="Y3688" s="4"/>
      <c r="Z3688" s="4"/>
    </row>
    <row r="3689" spans="1:26" ht="14.1" hidden="1">
      <c r="A3689" s="20">
        <f t="shared" si="216"/>
        <v>3696</v>
      </c>
      <c r="B3689" s="1063">
        <v>43466</v>
      </c>
      <c r="C3689" s="934" t="s">
        <v>12910</v>
      </c>
      <c r="D3689" s="11" t="s">
        <v>6</v>
      </c>
      <c r="E3689" s="204" t="s">
        <v>2722</v>
      </c>
      <c r="F3689" s="934" t="s">
        <v>1398</v>
      </c>
      <c r="G3689" s="204" t="s">
        <v>12911</v>
      </c>
      <c r="H3689" s="204" t="s">
        <v>12912</v>
      </c>
      <c r="I3689" s="204" t="s">
        <v>4804</v>
      </c>
      <c r="J3689" s="204" t="s">
        <v>12913</v>
      </c>
      <c r="K3689" s="204" t="s">
        <v>12914</v>
      </c>
      <c r="L3689" s="204"/>
      <c r="M3689" s="204">
        <v>1</v>
      </c>
      <c r="N3689" s="204">
        <v>1</v>
      </c>
      <c r="O3689" s="204">
        <v>1</v>
      </c>
      <c r="P3689" s="204">
        <v>0</v>
      </c>
      <c r="Q3689" s="572">
        <v>1</v>
      </c>
      <c r="R3689" s="1209">
        <v>620</v>
      </c>
      <c r="S3689" s="1209">
        <v>620</v>
      </c>
      <c r="T3689" s="204" t="s">
        <v>4669</v>
      </c>
      <c r="U3689" s="1901"/>
      <c r="V3689" s="572" t="s">
        <v>352</v>
      </c>
      <c r="W3689" s="681" t="s">
        <v>12915</v>
      </c>
      <c r="X3689" s="18"/>
      <c r="Y3689" s="4"/>
      <c r="Z3689" s="4"/>
    </row>
    <row r="3690" spans="1:26" ht="14.1" hidden="1">
      <c r="A3690" s="20">
        <f t="shared" si="216"/>
        <v>3697</v>
      </c>
      <c r="B3690" s="1063">
        <v>43467</v>
      </c>
      <c r="C3690" s="934" t="s">
        <v>4821</v>
      </c>
      <c r="D3690" s="11" t="s">
        <v>6</v>
      </c>
      <c r="E3690" s="204" t="s">
        <v>2722</v>
      </c>
      <c r="F3690" s="934" t="s">
        <v>1398</v>
      </c>
      <c r="G3690" s="204" t="s">
        <v>12916</v>
      </c>
      <c r="H3690" s="204" t="s">
        <v>4823</v>
      </c>
      <c r="I3690" s="204" t="s">
        <v>4804</v>
      </c>
      <c r="J3690" s="204" t="s">
        <v>4824</v>
      </c>
      <c r="K3690" s="204"/>
      <c r="L3690" s="204"/>
      <c r="M3690" s="204">
        <v>4</v>
      </c>
      <c r="N3690" s="204">
        <v>1</v>
      </c>
      <c r="O3690" s="204">
        <v>4</v>
      </c>
      <c r="P3690" s="204">
        <v>0</v>
      </c>
      <c r="Q3690" s="572">
        <v>4</v>
      </c>
      <c r="R3690" s="1209">
        <v>100</v>
      </c>
      <c r="S3690" s="1209">
        <v>400</v>
      </c>
      <c r="T3690" s="204" t="s">
        <v>4669</v>
      </c>
      <c r="U3690" s="1901"/>
      <c r="V3690" s="572" t="s">
        <v>352</v>
      </c>
      <c r="W3690" s="681" t="s">
        <v>11849</v>
      </c>
      <c r="X3690" s="18"/>
      <c r="Y3690" s="4"/>
      <c r="Z3690" s="4"/>
    </row>
    <row r="3691" spans="1:26" ht="14.1" hidden="1">
      <c r="A3691" s="20">
        <f t="shared" si="216"/>
        <v>3698</v>
      </c>
      <c r="B3691" s="1063">
        <v>43468</v>
      </c>
      <c r="C3691" s="934" t="s">
        <v>9976</v>
      </c>
      <c r="D3691" s="11" t="s">
        <v>6</v>
      </c>
      <c r="E3691" s="204" t="s">
        <v>2722</v>
      </c>
      <c r="F3691" s="934" t="s">
        <v>1398</v>
      </c>
      <c r="G3691" s="204" t="s">
        <v>12917</v>
      </c>
      <c r="H3691" s="204" t="s">
        <v>4834</v>
      </c>
      <c r="I3691" s="204" t="s">
        <v>4804</v>
      </c>
      <c r="J3691" s="204" t="s">
        <v>9978</v>
      </c>
      <c r="K3691" s="204" t="s">
        <v>9979</v>
      </c>
      <c r="L3691" s="204" t="s">
        <v>12918</v>
      </c>
      <c r="M3691" s="204">
        <v>3</v>
      </c>
      <c r="N3691" s="204">
        <v>1</v>
      </c>
      <c r="O3691" s="204">
        <v>3</v>
      </c>
      <c r="P3691" s="204">
        <v>0</v>
      </c>
      <c r="Q3691" s="572">
        <v>3</v>
      </c>
      <c r="R3691" s="1209">
        <v>200</v>
      </c>
      <c r="S3691" s="1209">
        <v>600</v>
      </c>
      <c r="T3691" s="204" t="s">
        <v>4669</v>
      </c>
      <c r="U3691" s="1901"/>
      <c r="V3691" s="572" t="s">
        <v>352</v>
      </c>
      <c r="W3691" s="681" t="s">
        <v>9981</v>
      </c>
      <c r="X3691" s="18"/>
      <c r="Y3691" s="4"/>
      <c r="Z3691" s="4"/>
    </row>
    <row r="3692" spans="1:26" ht="14.1" hidden="1">
      <c r="A3692" s="20">
        <f t="shared" si="216"/>
        <v>3699</v>
      </c>
      <c r="B3692" s="1063">
        <v>43469</v>
      </c>
      <c r="C3692" s="934" t="s">
        <v>1819</v>
      </c>
      <c r="D3692" s="11" t="s">
        <v>6</v>
      </c>
      <c r="E3692" s="204" t="s">
        <v>2722</v>
      </c>
      <c r="F3692" s="934" t="s">
        <v>1398</v>
      </c>
      <c r="G3692" s="204" t="s">
        <v>12919</v>
      </c>
      <c r="H3692" s="204" t="s">
        <v>1478</v>
      </c>
      <c r="I3692" s="204" t="s">
        <v>4804</v>
      </c>
      <c r="J3692" s="204" t="s">
        <v>11425</v>
      </c>
      <c r="K3692" s="204" t="s">
        <v>11426</v>
      </c>
      <c r="L3692" s="204"/>
      <c r="M3692" s="204">
        <v>3</v>
      </c>
      <c r="N3692" s="204">
        <v>1</v>
      </c>
      <c r="O3692" s="204">
        <v>3</v>
      </c>
      <c r="P3692" s="204">
        <v>0</v>
      </c>
      <c r="Q3692" s="572">
        <v>3</v>
      </c>
      <c r="R3692" s="1209">
        <v>80</v>
      </c>
      <c r="S3692" s="1209">
        <v>240</v>
      </c>
      <c r="T3692" s="204" t="s">
        <v>4669</v>
      </c>
      <c r="U3692" s="1901"/>
      <c r="V3692" s="572" t="s">
        <v>352</v>
      </c>
      <c r="W3692" s="681" t="s">
        <v>11427</v>
      </c>
      <c r="X3692" s="18"/>
      <c r="Y3692" s="4"/>
      <c r="Z3692" s="4"/>
    </row>
    <row r="3693" spans="1:26" ht="14.1" hidden="1">
      <c r="A3693" s="20">
        <f t="shared" si="216"/>
        <v>3700</v>
      </c>
      <c r="B3693" s="1063">
        <v>43470</v>
      </c>
      <c r="C3693" s="934" t="s">
        <v>12920</v>
      </c>
      <c r="D3693" s="11" t="s">
        <v>6</v>
      </c>
      <c r="E3693" s="204" t="s">
        <v>2722</v>
      </c>
      <c r="F3693" s="934" t="s">
        <v>1398</v>
      </c>
      <c r="G3693" s="204" t="s">
        <v>12921</v>
      </c>
      <c r="H3693" s="204" t="s">
        <v>12922</v>
      </c>
      <c r="I3693" s="204" t="s">
        <v>4804</v>
      </c>
      <c r="J3693" s="204" t="s">
        <v>12923</v>
      </c>
      <c r="K3693" s="204" t="s">
        <v>12924</v>
      </c>
      <c r="L3693" s="204"/>
      <c r="M3693" s="204">
        <v>1</v>
      </c>
      <c r="N3693" s="204">
        <v>1</v>
      </c>
      <c r="O3693" s="204">
        <v>1</v>
      </c>
      <c r="P3693" s="204">
        <v>0</v>
      </c>
      <c r="Q3693" s="572">
        <v>1</v>
      </c>
      <c r="R3693" s="1209">
        <v>400</v>
      </c>
      <c r="S3693" s="1209">
        <v>400</v>
      </c>
      <c r="T3693" s="204" t="s">
        <v>4669</v>
      </c>
      <c r="U3693" s="1901"/>
      <c r="V3693" s="572" t="s">
        <v>352</v>
      </c>
      <c r="W3693" s="1184" t="s">
        <v>12925</v>
      </c>
      <c r="X3693" s="18"/>
      <c r="Y3693" s="4"/>
      <c r="Z3693" s="4"/>
    </row>
    <row r="3694" spans="1:26" ht="14.1" hidden="1">
      <c r="A3694" s="20">
        <f t="shared" si="216"/>
        <v>3701</v>
      </c>
      <c r="B3694" s="1063">
        <v>43471</v>
      </c>
      <c r="C3694" s="934" t="s">
        <v>12926</v>
      </c>
      <c r="D3694" s="11" t="s">
        <v>6</v>
      </c>
      <c r="E3694" s="204" t="s">
        <v>2722</v>
      </c>
      <c r="F3694" s="934" t="s">
        <v>1398</v>
      </c>
      <c r="G3694" s="204" t="s">
        <v>12927</v>
      </c>
      <c r="H3694" s="204" t="s">
        <v>12928</v>
      </c>
      <c r="I3694" s="204" t="s">
        <v>4804</v>
      </c>
      <c r="J3694" s="204" t="s">
        <v>12929</v>
      </c>
      <c r="K3694" s="204" t="s">
        <v>12930</v>
      </c>
      <c r="L3694" s="204"/>
      <c r="M3694" s="204">
        <v>3</v>
      </c>
      <c r="N3694" s="204">
        <v>1</v>
      </c>
      <c r="O3694" s="204">
        <v>3</v>
      </c>
      <c r="P3694" s="204">
        <v>0</v>
      </c>
      <c r="Q3694" s="572">
        <v>3</v>
      </c>
      <c r="R3694" s="1209">
        <v>600</v>
      </c>
      <c r="S3694" s="1209">
        <v>1800</v>
      </c>
      <c r="T3694" s="204" t="s">
        <v>4669</v>
      </c>
      <c r="U3694" s="1901"/>
      <c r="V3694" s="572" t="s">
        <v>352</v>
      </c>
      <c r="W3694" s="1184" t="s">
        <v>12931</v>
      </c>
      <c r="X3694" s="18"/>
      <c r="Y3694" s="4"/>
      <c r="Z3694" s="4"/>
    </row>
    <row r="3695" spans="1:26" ht="14.1" hidden="1">
      <c r="A3695" s="20">
        <f t="shared" si="216"/>
        <v>3702</v>
      </c>
      <c r="B3695" s="1063">
        <v>43472</v>
      </c>
      <c r="C3695" s="934" t="s">
        <v>12932</v>
      </c>
      <c r="D3695" s="11" t="s">
        <v>6</v>
      </c>
      <c r="E3695" s="204" t="s">
        <v>2722</v>
      </c>
      <c r="F3695" s="934" t="s">
        <v>1398</v>
      </c>
      <c r="G3695" s="204" t="s">
        <v>12933</v>
      </c>
      <c r="H3695" s="204" t="s">
        <v>12928</v>
      </c>
      <c r="I3695" s="204" t="s">
        <v>4804</v>
      </c>
      <c r="J3695" s="204" t="s">
        <v>12934</v>
      </c>
      <c r="K3695" s="204" t="s">
        <v>12935</v>
      </c>
      <c r="L3695" s="204"/>
      <c r="M3695" s="204">
        <v>1</v>
      </c>
      <c r="N3695" s="204">
        <v>1</v>
      </c>
      <c r="O3695" s="204">
        <v>1</v>
      </c>
      <c r="P3695" s="204">
        <v>0</v>
      </c>
      <c r="Q3695" s="572">
        <v>1</v>
      </c>
      <c r="R3695" s="1209">
        <v>600</v>
      </c>
      <c r="S3695" s="1209">
        <v>600</v>
      </c>
      <c r="T3695" s="204" t="s">
        <v>4669</v>
      </c>
      <c r="U3695" s="1901"/>
      <c r="V3695" s="572" t="s">
        <v>352</v>
      </c>
      <c r="W3695" s="681" t="s">
        <v>12936</v>
      </c>
      <c r="X3695" s="18"/>
      <c r="Y3695" s="4"/>
      <c r="Z3695" s="4"/>
    </row>
    <row r="3696" spans="1:26" ht="14.1" hidden="1">
      <c r="A3696" s="200">
        <f t="shared" si="216"/>
        <v>3703</v>
      </c>
      <c r="B3696" s="1063">
        <v>43473</v>
      </c>
      <c r="C3696" s="970" t="s">
        <v>12937</v>
      </c>
      <c r="D3696" s="374"/>
      <c r="E3696" s="717"/>
      <c r="F3696" s="970" t="s">
        <v>11441</v>
      </c>
      <c r="G3696" s="638" t="s">
        <v>12938</v>
      </c>
      <c r="H3696" s="717" t="s">
        <v>12939</v>
      </c>
      <c r="I3696" s="717" t="s">
        <v>7274</v>
      </c>
      <c r="J3696" s="717" t="s">
        <v>12940</v>
      </c>
      <c r="K3696" s="459" t="s">
        <v>12941</v>
      </c>
      <c r="L3696" s="717"/>
      <c r="M3696" s="717">
        <v>1</v>
      </c>
      <c r="N3696" s="717">
        <v>1</v>
      </c>
      <c r="O3696" s="717">
        <v>1</v>
      </c>
      <c r="P3696" s="717">
        <v>0</v>
      </c>
      <c r="Q3696" s="718">
        <v>0</v>
      </c>
      <c r="R3696" s="1234">
        <v>262000</v>
      </c>
      <c r="S3696" s="1234">
        <v>262000</v>
      </c>
      <c r="T3696" s="717" t="s">
        <v>12942</v>
      </c>
      <c r="U3696" s="1927" t="s">
        <v>1</v>
      </c>
      <c r="V3696" s="718" t="s">
        <v>1</v>
      </c>
      <c r="W3696" s="2133" t="s">
        <v>12943</v>
      </c>
      <c r="X3696" s="56"/>
      <c r="Y3696" s="57"/>
      <c r="Z3696" s="57"/>
    </row>
    <row r="3697" spans="1:26" ht="14.1" hidden="1">
      <c r="A3697" s="20">
        <f t="shared" si="216"/>
        <v>3704</v>
      </c>
      <c r="B3697" s="1063">
        <v>43474</v>
      </c>
      <c r="C3697" s="934" t="s">
        <v>12944</v>
      </c>
      <c r="D3697" s="11" t="s">
        <v>6</v>
      </c>
      <c r="E3697" s="204" t="s">
        <v>2722</v>
      </c>
      <c r="F3697" s="934" t="s">
        <v>2143</v>
      </c>
      <c r="G3697" s="204" t="s">
        <v>12945</v>
      </c>
      <c r="H3697" s="204" t="s">
        <v>12946</v>
      </c>
      <c r="I3697" s="204" t="s">
        <v>39</v>
      </c>
      <c r="J3697" s="204" t="s">
        <v>12947</v>
      </c>
      <c r="K3697" s="204" t="s">
        <v>12948</v>
      </c>
      <c r="L3697" s="204"/>
      <c r="M3697" s="204">
        <v>2</v>
      </c>
      <c r="N3697" s="204">
        <v>1</v>
      </c>
      <c r="O3697" s="204">
        <v>10</v>
      </c>
      <c r="P3697" s="204">
        <v>0</v>
      </c>
      <c r="Q3697" s="572">
        <v>0</v>
      </c>
      <c r="R3697" s="1209">
        <v>79.599999999999994</v>
      </c>
      <c r="S3697" s="1209">
        <f t="shared" ref="S3697:S3699" si="219">R3697*O3697</f>
        <v>796</v>
      </c>
      <c r="T3697" s="204" t="s">
        <v>12949</v>
      </c>
      <c r="U3697" s="1901" t="s">
        <v>118</v>
      </c>
      <c r="V3697" s="572" t="s">
        <v>6170</v>
      </c>
      <c r="W3697" s="681"/>
      <c r="X3697" s="18"/>
      <c r="Y3697" s="4"/>
      <c r="Z3697" s="4"/>
    </row>
    <row r="3698" spans="1:26" ht="14.1" hidden="1">
      <c r="A3698" s="20">
        <f t="shared" si="216"/>
        <v>3705</v>
      </c>
      <c r="B3698" s="1063">
        <v>43475</v>
      </c>
      <c r="C3698" s="934" t="s">
        <v>12950</v>
      </c>
      <c r="D3698" s="11" t="s">
        <v>6</v>
      </c>
      <c r="E3698" s="204" t="s">
        <v>2722</v>
      </c>
      <c r="F3698" s="934" t="s">
        <v>2143</v>
      </c>
      <c r="G3698" s="204" t="s">
        <v>12951</v>
      </c>
      <c r="H3698" s="204" t="s">
        <v>817</v>
      </c>
      <c r="I3698" s="204" t="s">
        <v>39</v>
      </c>
      <c r="J3698" s="204" t="s">
        <v>12952</v>
      </c>
      <c r="K3698" s="204" t="s">
        <v>3898</v>
      </c>
      <c r="L3698" s="204"/>
      <c r="M3698" s="204">
        <v>1</v>
      </c>
      <c r="N3698" s="204">
        <v>1</v>
      </c>
      <c r="O3698" s="204">
        <v>5</v>
      </c>
      <c r="P3698" s="204">
        <v>0</v>
      </c>
      <c r="Q3698" s="572">
        <v>0</v>
      </c>
      <c r="R3698" s="1209">
        <v>59.4</v>
      </c>
      <c r="S3698" s="1209">
        <f t="shared" si="219"/>
        <v>297</v>
      </c>
      <c r="T3698" s="204" t="s">
        <v>12953</v>
      </c>
      <c r="U3698" s="1901" t="s">
        <v>118</v>
      </c>
      <c r="V3698" s="572" t="s">
        <v>6170</v>
      </c>
      <c r="W3698" s="681"/>
      <c r="X3698" s="18"/>
      <c r="Y3698" s="4"/>
      <c r="Z3698" s="4"/>
    </row>
    <row r="3699" spans="1:26" ht="14.1" hidden="1">
      <c r="A3699" s="20">
        <f t="shared" si="216"/>
        <v>3706</v>
      </c>
      <c r="B3699" s="1063">
        <v>43476</v>
      </c>
      <c r="C3699" s="934" t="s">
        <v>12954</v>
      </c>
      <c r="D3699" s="11" t="s">
        <v>6</v>
      </c>
      <c r="E3699" s="204" t="s">
        <v>2722</v>
      </c>
      <c r="F3699" s="934" t="s">
        <v>2143</v>
      </c>
      <c r="G3699" s="204" t="s">
        <v>12955</v>
      </c>
      <c r="H3699" s="204" t="s">
        <v>817</v>
      </c>
      <c r="I3699" s="204" t="s">
        <v>39</v>
      </c>
      <c r="J3699" s="204" t="s">
        <v>12956</v>
      </c>
      <c r="K3699" s="204" t="s">
        <v>12957</v>
      </c>
      <c r="L3699" s="204"/>
      <c r="M3699" s="204">
        <v>1</v>
      </c>
      <c r="N3699" s="204">
        <v>1</v>
      </c>
      <c r="O3699" s="204">
        <v>10</v>
      </c>
      <c r="P3699" s="204">
        <v>0</v>
      </c>
      <c r="Q3699" s="572">
        <v>0</v>
      </c>
      <c r="R3699" s="1209">
        <v>8.1999999999999993</v>
      </c>
      <c r="S3699" s="1209">
        <f t="shared" si="219"/>
        <v>82</v>
      </c>
      <c r="T3699" s="204" t="s">
        <v>12958</v>
      </c>
      <c r="U3699" s="1901" t="s">
        <v>118</v>
      </c>
      <c r="V3699" s="572" t="s">
        <v>6170</v>
      </c>
      <c r="W3699" s="681"/>
      <c r="X3699" s="18"/>
      <c r="Y3699" s="4"/>
      <c r="Z3699" s="4"/>
    </row>
    <row r="3700" spans="1:26" ht="18" hidden="1">
      <c r="A3700" s="20">
        <f t="shared" si="216"/>
        <v>3707</v>
      </c>
      <c r="B3700" s="1063">
        <v>43477</v>
      </c>
      <c r="C3700" s="934" t="s">
        <v>12959</v>
      </c>
      <c r="D3700" s="11" t="s">
        <v>6</v>
      </c>
      <c r="E3700" s="204" t="s">
        <v>2722</v>
      </c>
      <c r="F3700" s="934" t="s">
        <v>11544</v>
      </c>
      <c r="G3700" s="204" t="s">
        <v>12960</v>
      </c>
      <c r="H3700" s="460" t="s">
        <v>12961</v>
      </c>
      <c r="I3700" s="557" t="s">
        <v>12961</v>
      </c>
      <c r="J3700" s="204"/>
      <c r="K3700" s="204"/>
      <c r="L3700" s="204"/>
      <c r="M3700" s="204">
        <v>10</v>
      </c>
      <c r="N3700" s="204">
        <v>1</v>
      </c>
      <c r="O3700" s="204">
        <v>10</v>
      </c>
      <c r="P3700" s="204">
        <v>0</v>
      </c>
      <c r="Q3700" s="572">
        <v>0</v>
      </c>
      <c r="R3700" s="1209">
        <v>172500</v>
      </c>
      <c r="S3700" s="1209">
        <v>172500</v>
      </c>
      <c r="T3700" s="204" t="s">
        <v>3961</v>
      </c>
      <c r="U3700" s="1901" t="s">
        <v>448</v>
      </c>
      <c r="V3700" s="572" t="s">
        <v>6170</v>
      </c>
      <c r="W3700" s="681"/>
      <c r="X3700" s="18"/>
      <c r="Y3700" s="4"/>
      <c r="Z3700" s="4"/>
    </row>
    <row r="3701" spans="1:26" ht="14.1" hidden="1">
      <c r="A3701" s="20">
        <f t="shared" si="216"/>
        <v>3708</v>
      </c>
      <c r="B3701" s="1063">
        <v>43478</v>
      </c>
      <c r="C3701" s="934" t="s">
        <v>12962</v>
      </c>
      <c r="D3701" s="11" t="s">
        <v>6</v>
      </c>
      <c r="E3701" s="204" t="s">
        <v>2722</v>
      </c>
      <c r="F3701" s="934" t="s">
        <v>1398</v>
      </c>
      <c r="G3701" s="204" t="s">
        <v>12963</v>
      </c>
      <c r="H3701" s="204" t="s">
        <v>6194</v>
      </c>
      <c r="I3701" s="204" t="s">
        <v>4804</v>
      </c>
      <c r="J3701" s="204" t="s">
        <v>10437</v>
      </c>
      <c r="K3701" s="204" t="s">
        <v>12964</v>
      </c>
      <c r="L3701" s="204"/>
      <c r="M3701" s="204">
        <v>3</v>
      </c>
      <c r="N3701" s="204">
        <v>1</v>
      </c>
      <c r="O3701" s="204">
        <v>3</v>
      </c>
      <c r="P3701" s="204">
        <v>0</v>
      </c>
      <c r="Q3701" s="572">
        <v>3</v>
      </c>
      <c r="R3701" s="1209">
        <v>700</v>
      </c>
      <c r="S3701" s="1209">
        <v>2100</v>
      </c>
      <c r="T3701" s="204" t="s">
        <v>4669</v>
      </c>
      <c r="U3701" s="1901"/>
      <c r="V3701" s="572" t="s">
        <v>352</v>
      </c>
      <c r="W3701" s="681" t="s">
        <v>10438</v>
      </c>
      <c r="X3701" s="18"/>
      <c r="Y3701" s="4"/>
      <c r="Z3701" s="4"/>
    </row>
    <row r="3702" spans="1:26" ht="14.1" hidden="1">
      <c r="A3702" s="20">
        <f t="shared" si="216"/>
        <v>3709</v>
      </c>
      <c r="B3702" s="1063">
        <v>43479</v>
      </c>
      <c r="C3702" s="934" t="s">
        <v>12965</v>
      </c>
      <c r="D3702" s="11" t="s">
        <v>6</v>
      </c>
      <c r="E3702" s="204" t="s">
        <v>2722</v>
      </c>
      <c r="F3702" s="934" t="s">
        <v>1398</v>
      </c>
      <c r="G3702" s="204" t="s">
        <v>12966</v>
      </c>
      <c r="H3702" s="204" t="s">
        <v>6194</v>
      </c>
      <c r="I3702" s="204" t="s">
        <v>4804</v>
      </c>
      <c r="J3702" s="204" t="s">
        <v>12967</v>
      </c>
      <c r="K3702" s="204"/>
      <c r="L3702" s="204"/>
      <c r="M3702" s="204">
        <v>1</v>
      </c>
      <c r="N3702" s="204">
        <v>1</v>
      </c>
      <c r="O3702" s="204">
        <v>1</v>
      </c>
      <c r="P3702" s="204">
        <v>0</v>
      </c>
      <c r="Q3702" s="572">
        <v>1</v>
      </c>
      <c r="R3702" s="1209">
        <v>210</v>
      </c>
      <c r="S3702" s="1209">
        <v>210</v>
      </c>
      <c r="T3702" s="204" t="s">
        <v>4669</v>
      </c>
      <c r="U3702" s="1901"/>
      <c r="V3702" s="572" t="s">
        <v>352</v>
      </c>
      <c r="W3702" s="681" t="s">
        <v>12968</v>
      </c>
      <c r="X3702" s="18"/>
      <c r="Y3702" s="4"/>
      <c r="Z3702" s="4"/>
    </row>
    <row r="3703" spans="1:26" ht="14.1" hidden="1">
      <c r="A3703" s="20">
        <f t="shared" si="216"/>
        <v>3710</v>
      </c>
      <c r="B3703" s="1063">
        <v>43480</v>
      </c>
      <c r="C3703" s="934" t="s">
        <v>12818</v>
      </c>
      <c r="D3703" s="11" t="s">
        <v>6</v>
      </c>
      <c r="E3703" s="204" t="s">
        <v>2722</v>
      </c>
      <c r="F3703" s="934" t="s">
        <v>11441</v>
      </c>
      <c r="G3703" s="204" t="s">
        <v>12969</v>
      </c>
      <c r="H3703" s="204" t="s">
        <v>11346</v>
      </c>
      <c r="I3703" s="204" t="s">
        <v>39</v>
      </c>
      <c r="J3703" s="204" t="s">
        <v>11347</v>
      </c>
      <c r="K3703" s="204" t="s">
        <v>12970</v>
      </c>
      <c r="L3703" s="204"/>
      <c r="M3703" s="204">
        <v>1</v>
      </c>
      <c r="N3703" s="204">
        <v>1</v>
      </c>
      <c r="O3703" s="204">
        <v>1</v>
      </c>
      <c r="P3703" s="204">
        <v>0</v>
      </c>
      <c r="Q3703" s="572">
        <v>1</v>
      </c>
      <c r="R3703" s="1209">
        <v>9980</v>
      </c>
      <c r="S3703" s="1209">
        <v>9980</v>
      </c>
      <c r="T3703" s="204" t="s">
        <v>9485</v>
      </c>
      <c r="U3703" s="1901" t="s">
        <v>12265</v>
      </c>
      <c r="V3703" s="572" t="s">
        <v>352</v>
      </c>
      <c r="W3703" s="1184" t="s">
        <v>11352</v>
      </c>
      <c r="X3703" s="18"/>
      <c r="Y3703" s="4"/>
      <c r="Z3703" s="4"/>
    </row>
    <row r="3704" spans="1:26" ht="14.1" hidden="1">
      <c r="A3704" s="20">
        <f t="shared" si="216"/>
        <v>3711</v>
      </c>
      <c r="B3704" s="1063">
        <v>43481</v>
      </c>
      <c r="C3704" s="934" t="s">
        <v>12971</v>
      </c>
      <c r="D3704" s="11" t="s">
        <v>6</v>
      </c>
      <c r="E3704" s="204" t="s">
        <v>2722</v>
      </c>
      <c r="F3704" s="934" t="s">
        <v>11441</v>
      </c>
      <c r="G3704" s="204" t="s">
        <v>12972</v>
      </c>
      <c r="H3704" s="204" t="s">
        <v>12973</v>
      </c>
      <c r="I3704" s="204" t="s">
        <v>1022</v>
      </c>
      <c r="J3704" s="204" t="s">
        <v>12974</v>
      </c>
      <c r="K3704" s="204" t="s">
        <v>12975</v>
      </c>
      <c r="L3704" s="204"/>
      <c r="M3704" s="204">
        <v>1</v>
      </c>
      <c r="N3704" s="204">
        <v>1</v>
      </c>
      <c r="O3704" s="204">
        <v>1</v>
      </c>
      <c r="P3704" s="204">
        <v>0</v>
      </c>
      <c r="Q3704" s="572">
        <v>1</v>
      </c>
      <c r="R3704" s="1209">
        <v>14000</v>
      </c>
      <c r="S3704" s="1209">
        <v>14000</v>
      </c>
      <c r="T3704" s="204" t="s">
        <v>9485</v>
      </c>
      <c r="U3704" s="1901" t="s">
        <v>12265</v>
      </c>
      <c r="V3704" s="572" t="s">
        <v>352</v>
      </c>
      <c r="W3704" s="681" t="s">
        <v>12976</v>
      </c>
      <c r="X3704" s="18"/>
      <c r="Y3704" s="4"/>
      <c r="Z3704" s="4"/>
    </row>
    <row r="3705" spans="1:26" ht="14.1" hidden="1">
      <c r="A3705" s="20">
        <f t="shared" si="216"/>
        <v>3712</v>
      </c>
      <c r="B3705" s="1063">
        <v>43482</v>
      </c>
      <c r="C3705" s="934" t="s">
        <v>12977</v>
      </c>
      <c r="D3705" s="11" t="s">
        <v>6</v>
      </c>
      <c r="E3705" s="204" t="s">
        <v>2722</v>
      </c>
      <c r="F3705" s="934" t="s">
        <v>2143</v>
      </c>
      <c r="G3705" s="204" t="s">
        <v>12978</v>
      </c>
      <c r="H3705" s="204" t="s">
        <v>12979</v>
      </c>
      <c r="I3705" s="204" t="s">
        <v>12979</v>
      </c>
      <c r="J3705" s="204" t="s">
        <v>12980</v>
      </c>
      <c r="K3705" s="204" t="s">
        <v>12980</v>
      </c>
      <c r="L3705" s="204"/>
      <c r="M3705" s="204">
        <v>1</v>
      </c>
      <c r="N3705" s="204">
        <v>1</v>
      </c>
      <c r="O3705" s="204">
        <v>1</v>
      </c>
      <c r="P3705" s="204">
        <v>0</v>
      </c>
      <c r="Q3705" s="572">
        <v>0</v>
      </c>
      <c r="R3705" s="1209">
        <v>110</v>
      </c>
      <c r="S3705" s="1209">
        <v>110</v>
      </c>
      <c r="T3705" s="204" t="s">
        <v>929</v>
      </c>
      <c r="U3705" s="1901" t="s">
        <v>118</v>
      </c>
      <c r="V3705" s="572" t="s">
        <v>12981</v>
      </c>
      <c r="W3705" s="681"/>
      <c r="X3705" s="18"/>
      <c r="Y3705" s="4"/>
      <c r="Z3705" s="4"/>
    </row>
    <row r="3706" spans="1:26" ht="62.45" hidden="1">
      <c r="A3706" s="20">
        <f t="shared" si="216"/>
        <v>3713</v>
      </c>
      <c r="B3706" s="1063">
        <v>43483</v>
      </c>
      <c r="C3706" s="934" t="s">
        <v>12982</v>
      </c>
      <c r="D3706" s="11" t="s">
        <v>6</v>
      </c>
      <c r="E3706" s="204" t="s">
        <v>2722</v>
      </c>
      <c r="F3706" s="934" t="s">
        <v>12983</v>
      </c>
      <c r="G3706" s="160" t="s">
        <v>12984</v>
      </c>
      <c r="H3706" s="204" t="s">
        <v>429</v>
      </c>
      <c r="I3706" s="204" t="s">
        <v>429</v>
      </c>
      <c r="J3706" s="204" t="s">
        <v>12985</v>
      </c>
      <c r="K3706" s="204"/>
      <c r="L3706" s="204"/>
      <c r="M3706" s="204">
        <v>4</v>
      </c>
      <c r="N3706" s="204">
        <v>4</v>
      </c>
      <c r="O3706" s="204">
        <v>4</v>
      </c>
      <c r="P3706" s="204">
        <v>0</v>
      </c>
      <c r="Q3706" s="572">
        <v>0</v>
      </c>
      <c r="R3706" s="1209">
        <v>500</v>
      </c>
      <c r="S3706" s="1209">
        <v>2000</v>
      </c>
      <c r="T3706" s="204" t="s">
        <v>5448</v>
      </c>
      <c r="U3706" s="1901" t="s">
        <v>9101</v>
      </c>
      <c r="V3706" s="572" t="s">
        <v>302</v>
      </c>
      <c r="W3706" s="2041" t="s">
        <v>12986</v>
      </c>
      <c r="X3706" s="18"/>
      <c r="Y3706" s="4"/>
      <c r="Z3706" s="4"/>
    </row>
    <row r="3707" spans="1:26" ht="14.1" hidden="1">
      <c r="A3707" s="20">
        <f t="shared" si="216"/>
        <v>3714</v>
      </c>
      <c r="B3707" s="1063">
        <v>43484</v>
      </c>
      <c r="C3707" s="934" t="s">
        <v>12987</v>
      </c>
      <c r="D3707" s="11" t="s">
        <v>6</v>
      </c>
      <c r="E3707" s="204" t="s">
        <v>2722</v>
      </c>
      <c r="F3707" s="934" t="s">
        <v>12983</v>
      </c>
      <c r="G3707" s="204" t="s">
        <v>12988</v>
      </c>
      <c r="H3707" s="204" t="s">
        <v>84</v>
      </c>
      <c r="I3707" s="204" t="s">
        <v>84</v>
      </c>
      <c r="J3707" s="204">
        <v>29017723</v>
      </c>
      <c r="K3707" s="204"/>
      <c r="L3707" s="204"/>
      <c r="M3707" s="204">
        <v>10</v>
      </c>
      <c r="N3707" s="204">
        <v>10</v>
      </c>
      <c r="O3707" s="204">
        <v>10</v>
      </c>
      <c r="P3707" s="204">
        <v>0</v>
      </c>
      <c r="Q3707" s="572">
        <v>0</v>
      </c>
      <c r="R3707" s="1209">
        <v>539</v>
      </c>
      <c r="S3707" s="1209">
        <v>5390</v>
      </c>
      <c r="T3707" s="204" t="s">
        <v>5448</v>
      </c>
      <c r="U3707" s="1901" t="s">
        <v>9101</v>
      </c>
      <c r="V3707" s="572" t="s">
        <v>302</v>
      </c>
      <c r="W3707" s="681" t="s">
        <v>12989</v>
      </c>
      <c r="X3707" s="18"/>
      <c r="Y3707" s="4"/>
      <c r="Z3707" s="4"/>
    </row>
    <row r="3708" spans="1:26" ht="14.1" hidden="1">
      <c r="A3708" s="20">
        <f t="shared" si="216"/>
        <v>3715</v>
      </c>
      <c r="B3708" s="1063">
        <v>43485</v>
      </c>
      <c r="C3708" s="970" t="s">
        <v>12990</v>
      </c>
      <c r="D3708" s="288" t="s">
        <v>6</v>
      </c>
      <c r="E3708" s="717" t="s">
        <v>2722</v>
      </c>
      <c r="F3708" s="970" t="s">
        <v>11323</v>
      </c>
      <c r="G3708" s="717" t="s">
        <v>12990</v>
      </c>
      <c r="H3708" s="717" t="s">
        <v>1379</v>
      </c>
      <c r="I3708" s="717" t="s">
        <v>1379</v>
      </c>
      <c r="J3708" s="717" t="s">
        <v>1</v>
      </c>
      <c r="K3708" s="717" t="s">
        <v>1</v>
      </c>
      <c r="L3708" s="717" t="s">
        <v>1</v>
      </c>
      <c r="M3708" s="717">
        <v>1</v>
      </c>
      <c r="N3708" s="717">
        <v>1</v>
      </c>
      <c r="O3708" s="717">
        <v>1</v>
      </c>
      <c r="P3708" s="717">
        <v>0</v>
      </c>
      <c r="Q3708" s="718">
        <v>1</v>
      </c>
      <c r="R3708" s="1234">
        <v>148492</v>
      </c>
      <c r="S3708" s="1234">
        <f t="shared" ref="S3708:S3709" si="220">O3708*R3708</f>
        <v>148492</v>
      </c>
      <c r="T3708" s="717" t="s">
        <v>9485</v>
      </c>
      <c r="U3708" s="1927" t="s">
        <v>3637</v>
      </c>
      <c r="V3708" s="718" t="s">
        <v>302</v>
      </c>
      <c r="W3708" s="2106"/>
      <c r="X3708" s="18"/>
      <c r="Y3708" s="4"/>
      <c r="Z3708" s="4"/>
    </row>
    <row r="3709" spans="1:26" ht="14.1" hidden="1">
      <c r="A3709" s="20">
        <f t="shared" si="216"/>
        <v>3716</v>
      </c>
      <c r="B3709" s="1063">
        <v>43486</v>
      </c>
      <c r="C3709" s="934" t="s">
        <v>11846</v>
      </c>
      <c r="D3709" s="11" t="s">
        <v>6</v>
      </c>
      <c r="E3709" s="204" t="s">
        <v>2722</v>
      </c>
      <c r="F3709" s="934" t="s">
        <v>11323</v>
      </c>
      <c r="G3709" s="204" t="s">
        <v>11847</v>
      </c>
      <c r="H3709" s="204" t="s">
        <v>4823</v>
      </c>
      <c r="I3709" s="204" t="s">
        <v>1063</v>
      </c>
      <c r="J3709" s="204" t="s">
        <v>11848</v>
      </c>
      <c r="K3709" s="204"/>
      <c r="L3709" s="204"/>
      <c r="M3709" s="204">
        <v>2</v>
      </c>
      <c r="N3709" s="204">
        <v>1</v>
      </c>
      <c r="O3709" s="204">
        <v>5</v>
      </c>
      <c r="P3709" s="204">
        <v>0</v>
      </c>
      <c r="Q3709" s="572">
        <v>5</v>
      </c>
      <c r="R3709" s="1209">
        <v>100</v>
      </c>
      <c r="S3709" s="1209">
        <f t="shared" si="220"/>
        <v>500</v>
      </c>
      <c r="T3709" s="204" t="s">
        <v>9485</v>
      </c>
      <c r="U3709" s="1901" t="s">
        <v>3637</v>
      </c>
      <c r="V3709" s="572" t="s">
        <v>302</v>
      </c>
      <c r="W3709" s="681" t="s">
        <v>11849</v>
      </c>
      <c r="X3709" s="18"/>
      <c r="Y3709" s="4"/>
      <c r="Z3709" s="4"/>
    </row>
    <row r="3710" spans="1:26" ht="15" hidden="1">
      <c r="A3710" s="20">
        <f t="shared" si="216"/>
        <v>3717</v>
      </c>
      <c r="B3710" s="1063">
        <v>43487</v>
      </c>
      <c r="C3710" s="934" t="s">
        <v>12991</v>
      </c>
      <c r="D3710" s="11" t="s">
        <v>6</v>
      </c>
      <c r="E3710" s="204" t="s">
        <v>2722</v>
      </c>
      <c r="F3710" s="934" t="s">
        <v>11323</v>
      </c>
      <c r="G3710" s="322" t="s">
        <v>12375</v>
      </c>
      <c r="H3710" s="204" t="s">
        <v>1063</v>
      </c>
      <c r="I3710" s="204" t="s">
        <v>1063</v>
      </c>
      <c r="J3710" s="204" t="s">
        <v>12376</v>
      </c>
      <c r="K3710" s="322" t="s">
        <v>12377</v>
      </c>
      <c r="L3710" s="204"/>
      <c r="M3710" s="204">
        <v>0</v>
      </c>
      <c r="N3710" s="204">
        <v>1</v>
      </c>
      <c r="O3710" s="204">
        <v>2</v>
      </c>
      <c r="P3710" s="204">
        <v>0</v>
      </c>
      <c r="Q3710" s="572">
        <v>2</v>
      </c>
      <c r="R3710" s="1209">
        <v>100</v>
      </c>
      <c r="S3710" s="1209">
        <f>R3710*O3710</f>
        <v>200</v>
      </c>
      <c r="T3710" s="204" t="s">
        <v>9485</v>
      </c>
      <c r="U3710" s="1901" t="s">
        <v>3637</v>
      </c>
      <c r="V3710" s="572" t="s">
        <v>352</v>
      </c>
      <c r="W3710" s="804" t="s">
        <v>12379</v>
      </c>
      <c r="X3710" s="18"/>
      <c r="Y3710" s="4"/>
      <c r="Z3710" s="4"/>
    </row>
    <row r="3711" spans="1:26" ht="14.1" hidden="1">
      <c r="A3711" s="20">
        <f t="shared" si="216"/>
        <v>3718</v>
      </c>
      <c r="B3711" s="1063">
        <v>43488</v>
      </c>
      <c r="C3711" s="934" t="s">
        <v>12992</v>
      </c>
      <c r="D3711" s="11" t="s">
        <v>6</v>
      </c>
      <c r="E3711" s="204" t="s">
        <v>2722</v>
      </c>
      <c r="F3711" s="934" t="s">
        <v>2143</v>
      </c>
      <c r="G3711" s="204" t="s">
        <v>12993</v>
      </c>
      <c r="H3711" s="204" t="s">
        <v>6970</v>
      </c>
      <c r="I3711" s="204" t="s">
        <v>117</v>
      </c>
      <c r="J3711" s="204"/>
      <c r="K3711" s="204"/>
      <c r="L3711" s="204"/>
      <c r="M3711" s="204">
        <v>1</v>
      </c>
      <c r="N3711" s="204">
        <v>1</v>
      </c>
      <c r="O3711" s="204">
        <v>1</v>
      </c>
      <c r="P3711" s="204">
        <v>0</v>
      </c>
      <c r="Q3711" s="572">
        <v>1</v>
      </c>
      <c r="R3711" s="1209">
        <v>200</v>
      </c>
      <c r="S3711" s="1209">
        <v>200</v>
      </c>
      <c r="T3711" s="204" t="s">
        <v>3064</v>
      </c>
      <c r="U3711" s="1901" t="s">
        <v>118</v>
      </c>
      <c r="V3711" s="572" t="s">
        <v>12994</v>
      </c>
      <c r="W3711" s="681" t="s">
        <v>12995</v>
      </c>
      <c r="X3711" s="18" t="s">
        <v>12996</v>
      </c>
      <c r="Y3711" s="4"/>
      <c r="Z3711" s="4"/>
    </row>
    <row r="3712" spans="1:26" ht="14.1" hidden="1">
      <c r="A3712" s="20">
        <f t="shared" si="216"/>
        <v>3719</v>
      </c>
      <c r="B3712" s="1063">
        <v>43489</v>
      </c>
      <c r="C3712" s="934" t="s">
        <v>12997</v>
      </c>
      <c r="D3712" s="11" t="s">
        <v>6</v>
      </c>
      <c r="E3712" s="204" t="s">
        <v>683</v>
      </c>
      <c r="F3712" s="26" t="s">
        <v>10005</v>
      </c>
      <c r="G3712" s="204" t="s">
        <v>12998</v>
      </c>
      <c r="H3712" s="204" t="s">
        <v>1172</v>
      </c>
      <c r="I3712" s="204" t="s">
        <v>84</v>
      </c>
      <c r="J3712" s="204">
        <v>9206154</v>
      </c>
      <c r="K3712" s="204" t="s">
        <v>12999</v>
      </c>
      <c r="L3712" s="204" t="s">
        <v>149</v>
      </c>
      <c r="M3712" s="204">
        <v>3</v>
      </c>
      <c r="N3712" s="204" t="s">
        <v>149</v>
      </c>
      <c r="O3712" s="204">
        <v>3</v>
      </c>
      <c r="P3712" s="204">
        <v>1</v>
      </c>
      <c r="Q3712" s="204">
        <v>1</v>
      </c>
      <c r="R3712" s="1209">
        <v>799</v>
      </c>
      <c r="S3712" s="1209">
        <f>R3712*O3712</f>
        <v>2397</v>
      </c>
      <c r="T3712" s="204" t="s">
        <v>4220</v>
      </c>
      <c r="U3712" s="1901" t="s">
        <v>4220</v>
      </c>
      <c r="V3712" s="572" t="s">
        <v>5604</v>
      </c>
      <c r="W3712" s="681" t="s">
        <v>13000</v>
      </c>
      <c r="X3712" s="18"/>
      <c r="Y3712" s="4"/>
      <c r="Z3712" s="4"/>
    </row>
    <row r="3713" spans="1:26" ht="14.1" hidden="1">
      <c r="A3713" s="20">
        <f t="shared" si="216"/>
        <v>3720</v>
      </c>
      <c r="B3713" s="1063">
        <v>43490</v>
      </c>
      <c r="C3713" s="934" t="s">
        <v>13001</v>
      </c>
      <c r="D3713" s="11" t="s">
        <v>6</v>
      </c>
      <c r="E3713" s="204" t="s">
        <v>683</v>
      </c>
      <c r="F3713" s="26" t="s">
        <v>10005</v>
      </c>
      <c r="G3713" s="204" t="s">
        <v>13002</v>
      </c>
      <c r="H3713" s="204" t="s">
        <v>13003</v>
      </c>
      <c r="I3713" s="204" t="s">
        <v>84</v>
      </c>
      <c r="J3713" s="204">
        <v>60789426</v>
      </c>
      <c r="K3713" s="204" t="s">
        <v>13004</v>
      </c>
      <c r="L3713" s="204" t="s">
        <v>149</v>
      </c>
      <c r="M3713" s="204">
        <v>3</v>
      </c>
      <c r="N3713" s="204" t="s">
        <v>149</v>
      </c>
      <c r="O3713" s="204">
        <v>3</v>
      </c>
      <c r="P3713" s="204">
        <v>1</v>
      </c>
      <c r="Q3713" s="204">
        <v>1</v>
      </c>
      <c r="R3713" s="1209">
        <v>2290</v>
      </c>
      <c r="S3713" s="1209">
        <f>R3713*M3713</f>
        <v>6870</v>
      </c>
      <c r="T3713" s="204" t="s">
        <v>4220</v>
      </c>
      <c r="U3713" s="1901" t="s">
        <v>4220</v>
      </c>
      <c r="V3713" s="572" t="s">
        <v>5604</v>
      </c>
      <c r="W3713" s="681" t="s">
        <v>13005</v>
      </c>
      <c r="X3713" s="18"/>
      <c r="Y3713" s="4"/>
      <c r="Z3713" s="4"/>
    </row>
    <row r="3714" spans="1:26" ht="14.1" hidden="1">
      <c r="A3714" s="20">
        <f t="shared" si="216"/>
        <v>3721</v>
      </c>
      <c r="B3714" s="1063">
        <v>43491</v>
      </c>
      <c r="C3714" s="934" t="s">
        <v>13006</v>
      </c>
      <c r="D3714" s="11" t="s">
        <v>6</v>
      </c>
      <c r="E3714" s="204" t="s">
        <v>683</v>
      </c>
      <c r="F3714" s="26" t="s">
        <v>10005</v>
      </c>
      <c r="G3714" s="204" t="s">
        <v>13007</v>
      </c>
      <c r="H3714" s="204" t="s">
        <v>13003</v>
      </c>
      <c r="I3714" s="204" t="s">
        <v>84</v>
      </c>
      <c r="J3714" s="204">
        <v>60789444</v>
      </c>
      <c r="K3714" s="204" t="s">
        <v>13008</v>
      </c>
      <c r="L3714" s="204" t="s">
        <v>149</v>
      </c>
      <c r="M3714" s="204">
        <v>1</v>
      </c>
      <c r="N3714" s="204" t="s">
        <v>149</v>
      </c>
      <c r="O3714" s="204">
        <v>1</v>
      </c>
      <c r="P3714" s="204">
        <v>0</v>
      </c>
      <c r="Q3714" s="204">
        <v>0</v>
      </c>
      <c r="R3714" s="1209">
        <v>3990</v>
      </c>
      <c r="S3714" s="1209">
        <v>3990</v>
      </c>
      <c r="T3714" s="204" t="s">
        <v>4220</v>
      </c>
      <c r="U3714" s="1901" t="s">
        <v>4220</v>
      </c>
      <c r="V3714" s="572" t="s">
        <v>5604</v>
      </c>
      <c r="W3714" s="681" t="s">
        <v>13009</v>
      </c>
      <c r="X3714" s="18"/>
      <c r="Y3714" s="4"/>
      <c r="Z3714" s="4"/>
    </row>
    <row r="3715" spans="1:26" ht="14.1" hidden="1">
      <c r="A3715" s="20">
        <f t="shared" si="216"/>
        <v>3722</v>
      </c>
      <c r="B3715" s="1063">
        <v>43492</v>
      </c>
      <c r="C3715" s="934" t="s">
        <v>13010</v>
      </c>
      <c r="D3715" s="11" t="s">
        <v>6</v>
      </c>
      <c r="E3715" s="204" t="s">
        <v>683</v>
      </c>
      <c r="F3715" s="26" t="s">
        <v>10005</v>
      </c>
      <c r="G3715" s="204" t="s">
        <v>13011</v>
      </c>
      <c r="H3715" s="204" t="s">
        <v>84</v>
      </c>
      <c r="I3715" s="204" t="s">
        <v>84</v>
      </c>
      <c r="J3715" s="204">
        <v>18370485</v>
      </c>
      <c r="K3715" s="204" t="s">
        <v>1</v>
      </c>
      <c r="L3715" s="204" t="s">
        <v>149</v>
      </c>
      <c r="M3715" s="204">
        <v>1</v>
      </c>
      <c r="N3715" s="204" t="s">
        <v>149</v>
      </c>
      <c r="O3715" s="204">
        <v>1</v>
      </c>
      <c r="P3715" s="204">
        <v>1</v>
      </c>
      <c r="Q3715" s="204">
        <v>1</v>
      </c>
      <c r="R3715" s="1209">
        <v>229</v>
      </c>
      <c r="S3715" s="1209">
        <v>229</v>
      </c>
      <c r="T3715" s="204" t="s">
        <v>4220</v>
      </c>
      <c r="U3715" s="1901" t="s">
        <v>4220</v>
      </c>
      <c r="V3715" s="572" t="s">
        <v>5604</v>
      </c>
      <c r="W3715" s="681" t="s">
        <v>13012</v>
      </c>
      <c r="X3715" s="18"/>
      <c r="Y3715" s="4"/>
      <c r="Z3715" s="4"/>
    </row>
    <row r="3716" spans="1:26" ht="14.1" hidden="1">
      <c r="A3716" s="20">
        <f t="shared" si="216"/>
        <v>3723</v>
      </c>
      <c r="B3716" s="1063">
        <v>43493</v>
      </c>
      <c r="C3716" s="934" t="s">
        <v>13013</v>
      </c>
      <c r="D3716" s="11" t="s">
        <v>6</v>
      </c>
      <c r="E3716" s="204" t="s">
        <v>683</v>
      </c>
      <c r="F3716" s="26" t="s">
        <v>10005</v>
      </c>
      <c r="G3716" s="204" t="s">
        <v>13014</v>
      </c>
      <c r="H3716" s="204" t="s">
        <v>13015</v>
      </c>
      <c r="I3716" s="204" t="s">
        <v>84</v>
      </c>
      <c r="J3716" s="204">
        <v>31513073</v>
      </c>
      <c r="K3716" s="204" t="s">
        <v>13016</v>
      </c>
      <c r="L3716" s="204" t="s">
        <v>149</v>
      </c>
      <c r="M3716" s="204">
        <v>2</v>
      </c>
      <c r="N3716" s="204" t="s">
        <v>149</v>
      </c>
      <c r="O3716" s="204">
        <v>2</v>
      </c>
      <c r="P3716" s="204">
        <v>0</v>
      </c>
      <c r="Q3716" s="204">
        <v>0</v>
      </c>
      <c r="R3716" s="1209">
        <v>399</v>
      </c>
      <c r="S3716" s="1209">
        <f>R3716*O3716</f>
        <v>798</v>
      </c>
      <c r="T3716" s="204" t="s">
        <v>4220</v>
      </c>
      <c r="U3716" s="1901" t="s">
        <v>4220</v>
      </c>
      <c r="V3716" s="572" t="s">
        <v>5604</v>
      </c>
      <c r="W3716" s="681" t="s">
        <v>13017</v>
      </c>
      <c r="X3716" s="18"/>
      <c r="Y3716" s="4"/>
      <c r="Z3716" s="4"/>
    </row>
    <row r="3717" spans="1:26" ht="14.1" hidden="1">
      <c r="A3717" s="20">
        <f t="shared" si="216"/>
        <v>3724</v>
      </c>
      <c r="B3717" s="1063">
        <v>43494</v>
      </c>
      <c r="C3717" s="934" t="s">
        <v>13018</v>
      </c>
      <c r="D3717" s="11" t="s">
        <v>6</v>
      </c>
      <c r="E3717" s="204" t="s">
        <v>683</v>
      </c>
      <c r="F3717" s="26" t="s">
        <v>10005</v>
      </c>
      <c r="G3717" s="204" t="s">
        <v>13019</v>
      </c>
      <c r="H3717" s="204" t="s">
        <v>84</v>
      </c>
      <c r="I3717" s="204" t="s">
        <v>84</v>
      </c>
      <c r="J3717" s="204">
        <v>6846061</v>
      </c>
      <c r="K3717" s="204" t="s">
        <v>1</v>
      </c>
      <c r="L3717" s="204" t="s">
        <v>149</v>
      </c>
      <c r="M3717" s="204">
        <v>1</v>
      </c>
      <c r="N3717" s="204" t="s">
        <v>149</v>
      </c>
      <c r="O3717" s="204">
        <v>1</v>
      </c>
      <c r="P3717" s="204">
        <v>1</v>
      </c>
      <c r="Q3717" s="204">
        <v>1</v>
      </c>
      <c r="R3717" s="1209">
        <v>799</v>
      </c>
      <c r="S3717" s="1209">
        <v>799</v>
      </c>
      <c r="T3717" s="204" t="s">
        <v>4220</v>
      </c>
      <c r="U3717" s="1901" t="s">
        <v>4220</v>
      </c>
      <c r="V3717" s="572" t="s">
        <v>5604</v>
      </c>
      <c r="W3717" s="681" t="s">
        <v>13020</v>
      </c>
      <c r="X3717" s="18"/>
      <c r="Y3717" s="4"/>
      <c r="Z3717" s="4"/>
    </row>
    <row r="3718" spans="1:26" ht="14.1" hidden="1">
      <c r="A3718" s="20">
        <f t="shared" si="216"/>
        <v>3725</v>
      </c>
      <c r="B3718" s="1063">
        <v>43495</v>
      </c>
      <c r="C3718" s="934" t="s">
        <v>13021</v>
      </c>
      <c r="D3718" s="11" t="s">
        <v>6</v>
      </c>
      <c r="E3718" s="204" t="s">
        <v>7956</v>
      </c>
      <c r="F3718" s="934" t="s">
        <v>404</v>
      </c>
      <c r="G3718" s="204" t="s">
        <v>13022</v>
      </c>
      <c r="H3718" s="204" t="s">
        <v>13023</v>
      </c>
      <c r="I3718" s="204" t="s">
        <v>1022</v>
      </c>
      <c r="J3718" s="204" t="s">
        <v>13024</v>
      </c>
      <c r="K3718" s="204" t="s">
        <v>13024</v>
      </c>
      <c r="L3718" s="204" t="s">
        <v>149</v>
      </c>
      <c r="M3718" s="204">
        <v>1</v>
      </c>
      <c r="N3718" s="204">
        <v>1</v>
      </c>
      <c r="O3718" s="204">
        <v>1</v>
      </c>
      <c r="P3718" s="204">
        <v>0</v>
      </c>
      <c r="Q3718" s="572">
        <v>0</v>
      </c>
      <c r="R3718" s="1209">
        <v>3465</v>
      </c>
      <c r="S3718" s="1209">
        <v>3565</v>
      </c>
      <c r="T3718" s="204" t="s">
        <v>5448</v>
      </c>
      <c r="U3718" s="1901" t="s">
        <v>12265</v>
      </c>
      <c r="V3718" s="572" t="s">
        <v>3187</v>
      </c>
      <c r="W3718" s="804" t="s">
        <v>13025</v>
      </c>
      <c r="X3718" s="18"/>
      <c r="Y3718" s="4"/>
      <c r="Z3718" s="4"/>
    </row>
    <row r="3719" spans="1:26" ht="14.1" hidden="1">
      <c r="A3719" s="20">
        <f t="shared" si="216"/>
        <v>3726</v>
      </c>
      <c r="B3719" s="1063">
        <v>43496</v>
      </c>
      <c r="C3719" s="934" t="s">
        <v>13026</v>
      </c>
      <c r="D3719" s="11" t="s">
        <v>6</v>
      </c>
      <c r="E3719" s="204" t="s">
        <v>2722</v>
      </c>
      <c r="F3719" s="934" t="s">
        <v>10696</v>
      </c>
      <c r="G3719" s="461" t="s">
        <v>13027</v>
      </c>
      <c r="H3719" s="462" t="s">
        <v>2513</v>
      </c>
      <c r="I3719" s="235" t="s">
        <v>2513</v>
      </c>
      <c r="J3719" s="235" t="s">
        <v>13028</v>
      </c>
      <c r="K3719" s="463" t="s">
        <v>13029</v>
      </c>
      <c r="L3719" s="204" t="s">
        <v>149</v>
      </c>
      <c r="M3719" s="204">
        <v>2</v>
      </c>
      <c r="N3719" s="204">
        <v>1</v>
      </c>
      <c r="O3719" s="204">
        <v>2</v>
      </c>
      <c r="P3719" s="204">
        <v>0</v>
      </c>
      <c r="Q3719" s="572">
        <v>0</v>
      </c>
      <c r="R3719" s="1209">
        <v>8139</v>
      </c>
      <c r="S3719" s="1209">
        <v>16278.2</v>
      </c>
      <c r="T3719" s="204" t="s">
        <v>3961</v>
      </c>
      <c r="U3719" s="1901" t="s">
        <v>3646</v>
      </c>
      <c r="V3719" s="572" t="s">
        <v>352</v>
      </c>
      <c r="W3719" s="1184" t="s">
        <v>13030</v>
      </c>
      <c r="X3719" s="18"/>
      <c r="Y3719" s="4"/>
      <c r="Z3719" s="4"/>
    </row>
    <row r="3720" spans="1:26" ht="14.1" hidden="1">
      <c r="A3720" s="20">
        <f t="shared" si="216"/>
        <v>3727</v>
      </c>
      <c r="B3720" s="1063">
        <v>43497</v>
      </c>
      <c r="C3720" s="934" t="s">
        <v>13031</v>
      </c>
      <c r="D3720" s="11"/>
      <c r="E3720" s="204" t="s">
        <v>683</v>
      </c>
      <c r="F3720" s="26" t="s">
        <v>10005</v>
      </c>
      <c r="G3720" s="204" t="s">
        <v>13032</v>
      </c>
      <c r="H3720" s="204" t="s">
        <v>13033</v>
      </c>
      <c r="I3720" s="204" t="s">
        <v>13034</v>
      </c>
      <c r="J3720" s="204" t="s">
        <v>1</v>
      </c>
      <c r="K3720" s="204" t="s">
        <v>13035</v>
      </c>
      <c r="L3720" s="204" t="s">
        <v>149</v>
      </c>
      <c r="M3720" s="204">
        <v>1</v>
      </c>
      <c r="N3720" s="204">
        <v>1</v>
      </c>
      <c r="O3720" s="204">
        <v>1</v>
      </c>
      <c r="P3720" s="204">
        <v>0</v>
      </c>
      <c r="Q3720" s="572">
        <v>0</v>
      </c>
      <c r="R3720" s="1209">
        <v>35000</v>
      </c>
      <c r="S3720" s="1209">
        <f>R3720*O3720</f>
        <v>35000</v>
      </c>
      <c r="T3720" s="204" t="s">
        <v>4220</v>
      </c>
      <c r="U3720" s="1901" t="s">
        <v>4220</v>
      </c>
      <c r="V3720" s="572" t="s">
        <v>5604</v>
      </c>
      <c r="W3720" s="681" t="s">
        <v>13036</v>
      </c>
      <c r="X3720" s="18"/>
      <c r="Y3720" s="4"/>
      <c r="Z3720" s="4"/>
    </row>
    <row r="3721" spans="1:26" ht="14.1" hidden="1">
      <c r="A3721" s="20">
        <f t="shared" si="216"/>
        <v>3728</v>
      </c>
      <c r="B3721" s="1063">
        <v>43498</v>
      </c>
      <c r="C3721" s="934" t="s">
        <v>13037</v>
      </c>
      <c r="D3721" s="11"/>
      <c r="E3721" s="204" t="s">
        <v>683</v>
      </c>
      <c r="F3721" s="26" t="s">
        <v>10005</v>
      </c>
      <c r="G3721" s="204" t="s">
        <v>13038</v>
      </c>
      <c r="H3721" s="204" t="s">
        <v>13039</v>
      </c>
      <c r="I3721" s="204" t="s">
        <v>84</v>
      </c>
      <c r="J3721" s="204">
        <v>86989865</v>
      </c>
      <c r="K3721" s="204" t="s">
        <v>13040</v>
      </c>
      <c r="L3721" s="204" t="s">
        <v>149</v>
      </c>
      <c r="M3721" s="204">
        <v>1</v>
      </c>
      <c r="N3721" s="204">
        <v>1</v>
      </c>
      <c r="O3721" s="204">
        <v>1</v>
      </c>
      <c r="P3721" s="204">
        <v>0</v>
      </c>
      <c r="Q3721" s="572">
        <v>0</v>
      </c>
      <c r="R3721" s="1209">
        <v>379</v>
      </c>
      <c r="S3721" s="1209">
        <v>379</v>
      </c>
      <c r="T3721" s="204" t="s">
        <v>4220</v>
      </c>
      <c r="U3721" s="1901" t="s">
        <v>4220</v>
      </c>
      <c r="V3721" s="572" t="s">
        <v>5604</v>
      </c>
      <c r="W3721" s="681" t="s">
        <v>13041</v>
      </c>
      <c r="X3721" s="18"/>
      <c r="Y3721" s="4"/>
      <c r="Z3721" s="4"/>
    </row>
    <row r="3722" spans="1:26" ht="14.1" hidden="1">
      <c r="A3722" s="20">
        <f t="shared" si="216"/>
        <v>3729</v>
      </c>
      <c r="B3722" s="1063">
        <v>43499</v>
      </c>
      <c r="C3722" s="934" t="s">
        <v>13037</v>
      </c>
      <c r="D3722" s="11"/>
      <c r="E3722" s="204" t="s">
        <v>683</v>
      </c>
      <c r="F3722" s="26" t="s">
        <v>10005</v>
      </c>
      <c r="G3722" s="204" t="s">
        <v>13042</v>
      </c>
      <c r="H3722" s="204" t="s">
        <v>13039</v>
      </c>
      <c r="I3722" s="204" t="s">
        <v>84</v>
      </c>
      <c r="J3722" s="204">
        <v>86989874</v>
      </c>
      <c r="K3722" s="204" t="s">
        <v>13043</v>
      </c>
      <c r="L3722" s="204" t="s">
        <v>149</v>
      </c>
      <c r="M3722" s="204">
        <v>1</v>
      </c>
      <c r="N3722" s="204">
        <v>1</v>
      </c>
      <c r="O3722" s="204">
        <v>1</v>
      </c>
      <c r="P3722" s="204">
        <v>0</v>
      </c>
      <c r="Q3722" s="572">
        <v>0</v>
      </c>
      <c r="R3722" s="1209">
        <v>399</v>
      </c>
      <c r="S3722" s="1209">
        <v>399</v>
      </c>
      <c r="T3722" s="204" t="s">
        <v>4220</v>
      </c>
      <c r="U3722" s="1901" t="s">
        <v>4220</v>
      </c>
      <c r="V3722" s="572" t="s">
        <v>5604</v>
      </c>
      <c r="W3722" s="681" t="s">
        <v>13044</v>
      </c>
      <c r="X3722" s="18"/>
      <c r="Y3722" s="4"/>
      <c r="Z3722" s="4"/>
    </row>
    <row r="3723" spans="1:26" ht="14.1" hidden="1">
      <c r="A3723" s="20">
        <f t="shared" si="216"/>
        <v>3730</v>
      </c>
      <c r="B3723" s="1063">
        <v>43500</v>
      </c>
      <c r="C3723" s="934" t="s">
        <v>13045</v>
      </c>
      <c r="D3723" s="11"/>
      <c r="E3723" s="204" t="s">
        <v>2722</v>
      </c>
      <c r="F3723" s="934" t="s">
        <v>7046</v>
      </c>
      <c r="G3723" s="204" t="s">
        <v>13046</v>
      </c>
      <c r="H3723" s="204" t="s">
        <v>287</v>
      </c>
      <c r="I3723" s="204" t="s">
        <v>287</v>
      </c>
      <c r="J3723" s="204">
        <v>21031600060</v>
      </c>
      <c r="K3723" s="204">
        <v>21031600060</v>
      </c>
      <c r="L3723" s="204" t="s">
        <v>149</v>
      </c>
      <c r="M3723" s="204">
        <v>1</v>
      </c>
      <c r="N3723" s="204">
        <v>1</v>
      </c>
      <c r="O3723" s="204" t="s">
        <v>10990</v>
      </c>
      <c r="P3723" s="204">
        <v>0</v>
      </c>
      <c r="Q3723" s="572" t="s">
        <v>10991</v>
      </c>
      <c r="R3723" s="1209">
        <v>47441</v>
      </c>
      <c r="S3723" s="1209">
        <f>R3723</f>
        <v>47441</v>
      </c>
      <c r="T3723" s="204" t="s">
        <v>12616</v>
      </c>
      <c r="U3723" s="1901" t="s">
        <v>12744</v>
      </c>
      <c r="V3723" s="572" t="s">
        <v>12617</v>
      </c>
      <c r="W3723" s="681"/>
      <c r="X3723" s="18"/>
      <c r="Y3723" s="4"/>
      <c r="Z3723" s="4"/>
    </row>
    <row r="3724" spans="1:26" ht="14.1" hidden="1">
      <c r="A3724" s="20">
        <f t="shared" si="216"/>
        <v>3731</v>
      </c>
      <c r="B3724" s="1063">
        <v>43501</v>
      </c>
      <c r="C3724" s="934" t="s">
        <v>7745</v>
      </c>
      <c r="D3724" s="11"/>
      <c r="E3724" s="204" t="s">
        <v>2722</v>
      </c>
      <c r="F3724" s="934" t="s">
        <v>7046</v>
      </c>
      <c r="G3724" s="204" t="s">
        <v>13047</v>
      </c>
      <c r="H3724" s="204" t="s">
        <v>13048</v>
      </c>
      <c r="I3724" s="204" t="s">
        <v>4634</v>
      </c>
      <c r="J3724" s="204" t="s">
        <v>13049</v>
      </c>
      <c r="K3724" s="204" t="s">
        <v>13050</v>
      </c>
      <c r="L3724" s="204" t="s">
        <v>149</v>
      </c>
      <c r="M3724" s="204">
        <v>1</v>
      </c>
      <c r="N3724" s="204">
        <v>1</v>
      </c>
      <c r="O3724" s="204">
        <v>1</v>
      </c>
      <c r="P3724" s="204">
        <v>0</v>
      </c>
      <c r="Q3724" s="572">
        <v>0</v>
      </c>
      <c r="R3724" s="1209">
        <v>1653</v>
      </c>
      <c r="S3724" s="1209">
        <f t="shared" ref="S3724:S3734" si="221">R3724*O3724</f>
        <v>1653</v>
      </c>
      <c r="T3724" s="204" t="s">
        <v>12616</v>
      </c>
      <c r="U3724" s="1901" t="s">
        <v>12744</v>
      </c>
      <c r="V3724" s="572" t="s">
        <v>12617</v>
      </c>
      <c r="W3724" s="681" t="s">
        <v>13051</v>
      </c>
      <c r="X3724" s="18"/>
      <c r="Y3724" s="4"/>
      <c r="Z3724" s="4"/>
    </row>
    <row r="3725" spans="1:26" ht="14.1" hidden="1">
      <c r="A3725" s="20">
        <f t="shared" si="216"/>
        <v>3732</v>
      </c>
      <c r="B3725" s="1063">
        <v>43502</v>
      </c>
      <c r="C3725" s="934" t="s">
        <v>13052</v>
      </c>
      <c r="D3725" s="11"/>
      <c r="E3725" s="204" t="s">
        <v>2722</v>
      </c>
      <c r="F3725" s="934" t="s">
        <v>7046</v>
      </c>
      <c r="G3725" s="204" t="s">
        <v>13053</v>
      </c>
      <c r="H3725" s="204" t="s">
        <v>752</v>
      </c>
      <c r="I3725" s="204" t="s">
        <v>4634</v>
      </c>
      <c r="J3725" s="204" t="s">
        <v>13054</v>
      </c>
      <c r="K3725" s="461" t="s">
        <v>13055</v>
      </c>
      <c r="L3725" s="204" t="s">
        <v>13056</v>
      </c>
      <c r="M3725" s="204">
        <v>3</v>
      </c>
      <c r="N3725" s="204">
        <v>3</v>
      </c>
      <c r="O3725" s="204">
        <v>3</v>
      </c>
      <c r="P3725" s="204">
        <v>1</v>
      </c>
      <c r="Q3725" s="572">
        <v>1</v>
      </c>
      <c r="R3725" s="1209">
        <v>1015.4</v>
      </c>
      <c r="S3725" s="1209">
        <f t="shared" si="221"/>
        <v>3046.2</v>
      </c>
      <c r="T3725" s="204" t="s">
        <v>12616</v>
      </c>
      <c r="U3725" s="1901" t="s">
        <v>12744</v>
      </c>
      <c r="V3725" s="572" t="s">
        <v>12617</v>
      </c>
      <c r="W3725" s="681" t="s">
        <v>13057</v>
      </c>
      <c r="X3725" s="18"/>
      <c r="Y3725" s="4"/>
      <c r="Z3725" s="4"/>
    </row>
    <row r="3726" spans="1:26" ht="14.1" hidden="1">
      <c r="A3726" s="20">
        <f t="shared" si="216"/>
        <v>3733</v>
      </c>
      <c r="B3726" s="1063">
        <v>43503</v>
      </c>
      <c r="C3726" s="934" t="s">
        <v>152</v>
      </c>
      <c r="D3726" s="11"/>
      <c r="E3726" s="204" t="s">
        <v>2722</v>
      </c>
      <c r="F3726" s="934" t="s">
        <v>7046</v>
      </c>
      <c r="G3726" s="204" t="s">
        <v>13058</v>
      </c>
      <c r="H3726" s="204" t="s">
        <v>2786</v>
      </c>
      <c r="I3726" s="204" t="s">
        <v>4634</v>
      </c>
      <c r="J3726" s="204" t="s">
        <v>11080</v>
      </c>
      <c r="K3726" s="204" t="s">
        <v>6354</v>
      </c>
      <c r="L3726" s="204">
        <v>2012</v>
      </c>
      <c r="M3726" s="204">
        <v>10</v>
      </c>
      <c r="N3726" s="204">
        <v>10</v>
      </c>
      <c r="O3726" s="204">
        <v>10</v>
      </c>
      <c r="P3726" s="204">
        <v>0</v>
      </c>
      <c r="Q3726" s="572">
        <v>2</v>
      </c>
      <c r="R3726" s="1209">
        <v>81</v>
      </c>
      <c r="S3726" s="1209">
        <f t="shared" si="221"/>
        <v>810</v>
      </c>
      <c r="T3726" s="204" t="s">
        <v>12616</v>
      </c>
      <c r="U3726" s="1901" t="s">
        <v>12744</v>
      </c>
      <c r="V3726" s="572" t="s">
        <v>12617</v>
      </c>
      <c r="W3726" s="681" t="s">
        <v>13059</v>
      </c>
      <c r="X3726" s="18"/>
      <c r="Y3726" s="4"/>
      <c r="Z3726" s="4"/>
    </row>
    <row r="3727" spans="1:26" ht="14.1" hidden="1">
      <c r="A3727" s="20">
        <f t="shared" si="216"/>
        <v>3734</v>
      </c>
      <c r="B3727" s="1063">
        <v>43504</v>
      </c>
      <c r="C3727" s="934" t="s">
        <v>152</v>
      </c>
      <c r="D3727" s="11"/>
      <c r="E3727" s="204" t="s">
        <v>2722</v>
      </c>
      <c r="F3727" s="934" t="s">
        <v>7046</v>
      </c>
      <c r="G3727" s="204" t="s">
        <v>13060</v>
      </c>
      <c r="H3727" s="204" t="s">
        <v>2786</v>
      </c>
      <c r="I3727" s="204" t="s">
        <v>4634</v>
      </c>
      <c r="J3727" s="204" t="s">
        <v>13061</v>
      </c>
      <c r="K3727" s="204" t="s">
        <v>13062</v>
      </c>
      <c r="L3727" s="204">
        <v>1608</v>
      </c>
      <c r="M3727" s="204">
        <v>10</v>
      </c>
      <c r="N3727" s="204">
        <v>10</v>
      </c>
      <c r="O3727" s="204">
        <v>10</v>
      </c>
      <c r="P3727" s="204">
        <v>0</v>
      </c>
      <c r="Q3727" s="572">
        <v>2</v>
      </c>
      <c r="R3727" s="1209">
        <v>47.2</v>
      </c>
      <c r="S3727" s="1209">
        <f t="shared" si="221"/>
        <v>472</v>
      </c>
      <c r="T3727" s="204" t="s">
        <v>12616</v>
      </c>
      <c r="U3727" s="1901" t="s">
        <v>12744</v>
      </c>
      <c r="V3727" s="572" t="s">
        <v>12617</v>
      </c>
      <c r="W3727" s="681" t="s">
        <v>13063</v>
      </c>
      <c r="X3727" s="18"/>
      <c r="Y3727" s="4"/>
      <c r="Z3727" s="4"/>
    </row>
    <row r="3728" spans="1:26" ht="14.1" hidden="1">
      <c r="A3728" s="20">
        <f t="shared" si="216"/>
        <v>3735</v>
      </c>
      <c r="B3728" s="1063">
        <v>43505</v>
      </c>
      <c r="C3728" s="934" t="s">
        <v>13064</v>
      </c>
      <c r="D3728" s="11"/>
      <c r="E3728" s="204" t="s">
        <v>2722</v>
      </c>
      <c r="F3728" s="934" t="s">
        <v>7046</v>
      </c>
      <c r="G3728" s="204" t="s">
        <v>13065</v>
      </c>
      <c r="H3728" s="204" t="s">
        <v>13066</v>
      </c>
      <c r="I3728" s="204" t="s">
        <v>4634</v>
      </c>
      <c r="J3728" s="204" t="s">
        <v>13067</v>
      </c>
      <c r="K3728" s="204" t="s">
        <v>13068</v>
      </c>
      <c r="L3728" s="204" t="s">
        <v>149</v>
      </c>
      <c r="M3728" s="204">
        <v>5</v>
      </c>
      <c r="N3728" s="204">
        <v>5</v>
      </c>
      <c r="O3728" s="204">
        <v>5</v>
      </c>
      <c r="P3728" s="204">
        <v>0</v>
      </c>
      <c r="Q3728" s="572">
        <v>0</v>
      </c>
      <c r="R3728" s="1209">
        <v>776</v>
      </c>
      <c r="S3728" s="1209">
        <f t="shared" si="221"/>
        <v>3880</v>
      </c>
      <c r="T3728" s="204" t="s">
        <v>12616</v>
      </c>
      <c r="U3728" s="1901" t="s">
        <v>12744</v>
      </c>
      <c r="V3728" s="572" t="s">
        <v>12617</v>
      </c>
      <c r="W3728" s="681" t="s">
        <v>13069</v>
      </c>
      <c r="X3728" s="18"/>
      <c r="Y3728" s="4"/>
      <c r="Z3728" s="4"/>
    </row>
    <row r="3729" spans="1:26" ht="14.1" hidden="1">
      <c r="A3729" s="20">
        <f t="shared" si="216"/>
        <v>3736</v>
      </c>
      <c r="B3729" s="1063">
        <v>43506</v>
      </c>
      <c r="C3729" s="934" t="s">
        <v>13070</v>
      </c>
      <c r="D3729" s="11"/>
      <c r="E3729" s="204" t="s">
        <v>2722</v>
      </c>
      <c r="F3729" s="934" t="s">
        <v>7046</v>
      </c>
      <c r="G3729" s="204" t="s">
        <v>13071</v>
      </c>
      <c r="H3729" s="204" t="s">
        <v>10932</v>
      </c>
      <c r="I3729" s="204" t="s">
        <v>39</v>
      </c>
      <c r="J3729" s="204" t="s">
        <v>13072</v>
      </c>
      <c r="K3729" s="204">
        <v>687610200002</v>
      </c>
      <c r="L3729" s="204" t="s">
        <v>149</v>
      </c>
      <c r="M3729" s="204">
        <v>8</v>
      </c>
      <c r="N3729" s="204">
        <v>8</v>
      </c>
      <c r="O3729" s="204">
        <v>8</v>
      </c>
      <c r="P3729" s="204">
        <v>0</v>
      </c>
      <c r="Q3729" s="572">
        <v>2</v>
      </c>
      <c r="R3729" s="1209">
        <v>327.27999999999997</v>
      </c>
      <c r="S3729" s="1209">
        <f t="shared" si="221"/>
        <v>2618.2399999999998</v>
      </c>
      <c r="T3729" s="204" t="s">
        <v>12616</v>
      </c>
      <c r="U3729" s="1901" t="s">
        <v>12744</v>
      </c>
      <c r="V3729" s="572" t="s">
        <v>12617</v>
      </c>
      <c r="W3729" s="804" t="s">
        <v>13073</v>
      </c>
      <c r="X3729" s="18"/>
      <c r="Y3729" s="4"/>
      <c r="Z3729" s="4"/>
    </row>
    <row r="3730" spans="1:26" ht="14.1" hidden="1">
      <c r="A3730" s="20">
        <f t="shared" si="216"/>
        <v>3737</v>
      </c>
      <c r="B3730" s="1063">
        <v>43507</v>
      </c>
      <c r="C3730" s="934" t="s">
        <v>13074</v>
      </c>
      <c r="D3730" s="11"/>
      <c r="E3730" s="204" t="s">
        <v>2722</v>
      </c>
      <c r="F3730" s="934" t="s">
        <v>7046</v>
      </c>
      <c r="G3730" s="204" t="s">
        <v>13075</v>
      </c>
      <c r="H3730" s="204" t="s">
        <v>13076</v>
      </c>
      <c r="I3730" s="204" t="s">
        <v>1022</v>
      </c>
      <c r="J3730" s="204" t="s">
        <v>13077</v>
      </c>
      <c r="K3730" s="204" t="s">
        <v>13077</v>
      </c>
      <c r="L3730" s="204" t="s">
        <v>149</v>
      </c>
      <c r="M3730" s="204">
        <v>10</v>
      </c>
      <c r="N3730" s="204">
        <v>10</v>
      </c>
      <c r="O3730" s="204">
        <v>10</v>
      </c>
      <c r="P3730" s="204">
        <v>0</v>
      </c>
      <c r="Q3730" s="572">
        <v>2</v>
      </c>
      <c r="R3730" s="1209">
        <v>550</v>
      </c>
      <c r="S3730" s="1209">
        <f t="shared" si="221"/>
        <v>5500</v>
      </c>
      <c r="T3730" s="204" t="s">
        <v>12616</v>
      </c>
      <c r="U3730" s="1901" t="s">
        <v>12744</v>
      </c>
      <c r="V3730" s="572" t="s">
        <v>12617</v>
      </c>
      <c r="W3730" s="681" t="s">
        <v>13078</v>
      </c>
      <c r="X3730" s="18"/>
      <c r="Y3730" s="4"/>
      <c r="Z3730" s="4"/>
    </row>
    <row r="3731" spans="1:26" ht="14.1" hidden="1">
      <c r="A3731" s="20">
        <f t="shared" si="216"/>
        <v>3738</v>
      </c>
      <c r="B3731" s="1063">
        <v>43508</v>
      </c>
      <c r="C3731" s="934" t="s">
        <v>13079</v>
      </c>
      <c r="D3731" s="11"/>
      <c r="E3731" s="204" t="s">
        <v>2722</v>
      </c>
      <c r="F3731" s="934" t="s">
        <v>2143</v>
      </c>
      <c r="G3731" s="204" t="s">
        <v>13080</v>
      </c>
      <c r="H3731" s="204" t="s">
        <v>13081</v>
      </c>
      <c r="I3731" s="204" t="s">
        <v>1022</v>
      </c>
      <c r="J3731" s="204"/>
      <c r="K3731" s="204"/>
      <c r="L3731" s="204"/>
      <c r="M3731" s="204">
        <v>2</v>
      </c>
      <c r="N3731" s="204">
        <v>1</v>
      </c>
      <c r="O3731" s="204">
        <v>2</v>
      </c>
      <c r="P3731" s="204">
        <v>0</v>
      </c>
      <c r="Q3731" s="572">
        <v>0</v>
      </c>
      <c r="R3731" s="1209">
        <v>998</v>
      </c>
      <c r="S3731" s="1209">
        <f t="shared" si="221"/>
        <v>1996</v>
      </c>
      <c r="T3731" s="204" t="s">
        <v>929</v>
      </c>
      <c r="U3731" s="1901" t="s">
        <v>118</v>
      </c>
      <c r="V3731" s="572" t="s">
        <v>13082</v>
      </c>
      <c r="W3731" s="681" t="s">
        <v>13083</v>
      </c>
      <c r="X3731" s="18"/>
      <c r="Y3731" s="4"/>
      <c r="Z3731" s="4"/>
    </row>
    <row r="3732" spans="1:26" ht="14.1" hidden="1">
      <c r="A3732" s="20">
        <f t="shared" si="216"/>
        <v>3739</v>
      </c>
      <c r="B3732" s="1063">
        <v>43509</v>
      </c>
      <c r="C3732" s="934" t="s">
        <v>12384</v>
      </c>
      <c r="D3732" s="11"/>
      <c r="E3732" s="204" t="s">
        <v>683</v>
      </c>
      <c r="F3732" s="26" t="s">
        <v>10005</v>
      </c>
      <c r="G3732" s="204" t="s">
        <v>12385</v>
      </c>
      <c r="H3732" s="204" t="s">
        <v>107</v>
      </c>
      <c r="I3732" s="204" t="s">
        <v>366</v>
      </c>
      <c r="J3732" s="204" t="s">
        <v>1</v>
      </c>
      <c r="K3732" s="204" t="s">
        <v>12386</v>
      </c>
      <c r="L3732" s="204" t="s">
        <v>149</v>
      </c>
      <c r="M3732" s="204">
        <v>96</v>
      </c>
      <c r="N3732" s="204" t="s">
        <v>149</v>
      </c>
      <c r="O3732" s="204">
        <v>100</v>
      </c>
      <c r="P3732" s="204">
        <v>10</v>
      </c>
      <c r="Q3732" s="572">
        <v>14</v>
      </c>
      <c r="R3732" s="1209">
        <v>28</v>
      </c>
      <c r="S3732" s="1209">
        <f t="shared" si="221"/>
        <v>2800</v>
      </c>
      <c r="T3732" s="204" t="s">
        <v>4220</v>
      </c>
      <c r="U3732" s="1901" t="s">
        <v>4220</v>
      </c>
      <c r="V3732" s="572" t="s">
        <v>5604</v>
      </c>
      <c r="W3732" s="681" t="s">
        <v>12387</v>
      </c>
      <c r="X3732" s="18"/>
      <c r="Y3732" s="4"/>
      <c r="Z3732" s="4"/>
    </row>
    <row r="3733" spans="1:26" ht="14.1" hidden="1">
      <c r="A3733" s="20">
        <f t="shared" si="216"/>
        <v>3740</v>
      </c>
      <c r="B3733" s="1063">
        <v>43510</v>
      </c>
      <c r="C3733" s="934" t="s">
        <v>12391</v>
      </c>
      <c r="D3733" s="11"/>
      <c r="E3733" s="204" t="s">
        <v>683</v>
      </c>
      <c r="F3733" s="26" t="s">
        <v>10005</v>
      </c>
      <c r="G3733" s="204" t="s">
        <v>12392</v>
      </c>
      <c r="H3733" s="204" t="s">
        <v>366</v>
      </c>
      <c r="I3733" s="204" t="s">
        <v>366</v>
      </c>
      <c r="J3733" s="204" t="s">
        <v>1</v>
      </c>
      <c r="K3733" s="204" t="s">
        <v>12393</v>
      </c>
      <c r="L3733" s="204" t="s">
        <v>149</v>
      </c>
      <c r="M3733" s="204">
        <v>16</v>
      </c>
      <c r="N3733" s="204" t="s">
        <v>149</v>
      </c>
      <c r="O3733" s="204">
        <v>18</v>
      </c>
      <c r="P3733" s="204">
        <v>2</v>
      </c>
      <c r="Q3733" s="572">
        <v>4</v>
      </c>
      <c r="R3733" s="1209">
        <v>550</v>
      </c>
      <c r="S3733" s="1209">
        <f t="shared" si="221"/>
        <v>9900</v>
      </c>
      <c r="T3733" s="204" t="s">
        <v>4220</v>
      </c>
      <c r="U3733" s="1901" t="s">
        <v>4220</v>
      </c>
      <c r="V3733" s="572" t="s">
        <v>5604</v>
      </c>
      <c r="W3733" s="681" t="s">
        <v>12394</v>
      </c>
      <c r="X3733" s="18"/>
      <c r="Y3733" s="4"/>
      <c r="Z3733" s="4"/>
    </row>
    <row r="3734" spans="1:26" ht="14.1" hidden="1">
      <c r="A3734" s="20">
        <f t="shared" si="216"/>
        <v>3741</v>
      </c>
      <c r="B3734" s="1063">
        <v>43511</v>
      </c>
      <c r="C3734" s="934" t="s">
        <v>12391</v>
      </c>
      <c r="D3734" s="11"/>
      <c r="E3734" s="204" t="s">
        <v>683</v>
      </c>
      <c r="F3734" s="26" t="s">
        <v>10005</v>
      </c>
      <c r="G3734" s="204" t="s">
        <v>12395</v>
      </c>
      <c r="H3734" s="204" t="s">
        <v>366</v>
      </c>
      <c r="I3734" s="204" t="s">
        <v>366</v>
      </c>
      <c r="J3734" s="204" t="s">
        <v>1</v>
      </c>
      <c r="K3734" s="204" t="s">
        <v>12396</v>
      </c>
      <c r="L3734" s="204" t="s">
        <v>149</v>
      </c>
      <c r="M3734" s="204">
        <v>8</v>
      </c>
      <c r="N3734" s="204" t="s">
        <v>149</v>
      </c>
      <c r="O3734" s="204">
        <v>8</v>
      </c>
      <c r="P3734" s="204">
        <v>2</v>
      </c>
      <c r="Q3734" s="572">
        <v>2</v>
      </c>
      <c r="R3734" s="1209">
        <v>550</v>
      </c>
      <c r="S3734" s="1209">
        <f t="shared" si="221"/>
        <v>4400</v>
      </c>
      <c r="T3734" s="204" t="s">
        <v>4220</v>
      </c>
      <c r="U3734" s="1901" t="s">
        <v>4220</v>
      </c>
      <c r="V3734" s="572" t="s">
        <v>5604</v>
      </c>
      <c r="W3734" s="681" t="s">
        <v>12397</v>
      </c>
      <c r="X3734" s="18"/>
      <c r="Y3734" s="4"/>
      <c r="Z3734" s="4"/>
    </row>
    <row r="3735" spans="1:26" ht="14.1" hidden="1">
      <c r="A3735" s="20">
        <f t="shared" si="216"/>
        <v>3742</v>
      </c>
      <c r="B3735" s="1063">
        <v>43512</v>
      </c>
      <c r="C3735" s="934" t="s">
        <v>13084</v>
      </c>
      <c r="D3735" s="11"/>
      <c r="E3735" s="204" t="s">
        <v>2722</v>
      </c>
      <c r="F3735" s="934" t="s">
        <v>11434</v>
      </c>
      <c r="G3735" s="204" t="s">
        <v>285</v>
      </c>
      <c r="H3735" s="204" t="s">
        <v>1002</v>
      </c>
      <c r="I3735" s="204" t="s">
        <v>1002</v>
      </c>
      <c r="J3735" s="189">
        <v>21031900021</v>
      </c>
      <c r="K3735" s="204"/>
      <c r="L3735" s="204"/>
      <c r="M3735" s="204">
        <v>1</v>
      </c>
      <c r="N3735" s="204">
        <v>1</v>
      </c>
      <c r="O3735" s="204">
        <v>3</v>
      </c>
      <c r="P3735" s="204">
        <v>0</v>
      </c>
      <c r="Q3735" s="572">
        <v>3</v>
      </c>
      <c r="R3735" s="1209">
        <v>52189</v>
      </c>
      <c r="S3735" s="1209">
        <v>52189</v>
      </c>
      <c r="T3735" s="204" t="s">
        <v>3961</v>
      </c>
      <c r="U3735" s="1901" t="s">
        <v>138</v>
      </c>
      <c r="V3735" s="572" t="s">
        <v>931</v>
      </c>
      <c r="W3735" s="681"/>
      <c r="X3735" s="18"/>
      <c r="Y3735" s="4"/>
      <c r="Z3735" s="4"/>
    </row>
    <row r="3736" spans="1:26" ht="14.1" hidden="1">
      <c r="A3736" s="20">
        <f t="shared" si="216"/>
        <v>3743</v>
      </c>
      <c r="B3736" s="1063">
        <v>43513</v>
      </c>
      <c r="C3736" s="934" t="s">
        <v>13085</v>
      </c>
      <c r="D3736" s="11"/>
      <c r="E3736" s="204" t="s">
        <v>2722</v>
      </c>
      <c r="F3736" s="934" t="s">
        <v>2143</v>
      </c>
      <c r="G3736" s="204" t="s">
        <v>13086</v>
      </c>
      <c r="H3736" s="204" t="s">
        <v>13087</v>
      </c>
      <c r="I3736" s="204" t="s">
        <v>1022</v>
      </c>
      <c r="J3736" s="204"/>
      <c r="K3736" s="204"/>
      <c r="L3736" s="204"/>
      <c r="M3736" s="204">
        <v>1</v>
      </c>
      <c r="N3736" s="204">
        <v>1</v>
      </c>
      <c r="O3736" s="204">
        <v>1</v>
      </c>
      <c r="P3736" s="204">
        <v>0</v>
      </c>
      <c r="Q3736" s="572">
        <v>0</v>
      </c>
      <c r="R3736" s="1209">
        <v>6499</v>
      </c>
      <c r="S3736" s="1209">
        <v>6399</v>
      </c>
      <c r="T3736" s="204" t="s">
        <v>929</v>
      </c>
      <c r="U3736" s="1901" t="s">
        <v>118</v>
      </c>
      <c r="V3736" s="572" t="s">
        <v>118</v>
      </c>
      <c r="W3736" s="681" t="s">
        <v>13088</v>
      </c>
      <c r="X3736" s="18"/>
      <c r="Y3736" s="4"/>
      <c r="Z3736" s="4"/>
    </row>
    <row r="3737" spans="1:26" ht="15.95" hidden="1">
      <c r="A3737" s="20">
        <f t="shared" si="216"/>
        <v>3744</v>
      </c>
      <c r="B3737" s="1063">
        <v>43514</v>
      </c>
      <c r="C3737" s="934" t="s">
        <v>13089</v>
      </c>
      <c r="D3737" s="11"/>
      <c r="E3737" s="204" t="s">
        <v>2722</v>
      </c>
      <c r="F3737" s="934" t="s">
        <v>2143</v>
      </c>
      <c r="G3737" s="204"/>
      <c r="H3737" s="204" t="s">
        <v>7518</v>
      </c>
      <c r="I3737" s="204" t="s">
        <v>13090</v>
      </c>
      <c r="J3737" s="204" t="s">
        <v>13091</v>
      </c>
      <c r="K3737" s="464">
        <v>75909206</v>
      </c>
      <c r="L3737" s="204"/>
      <c r="M3737" s="204">
        <v>1</v>
      </c>
      <c r="N3737" s="204">
        <v>1</v>
      </c>
      <c r="O3737" s="204">
        <v>1</v>
      </c>
      <c r="P3737" s="204">
        <v>0</v>
      </c>
      <c r="Q3737" s="572">
        <v>0</v>
      </c>
      <c r="R3737" s="1209">
        <v>599</v>
      </c>
      <c r="S3737" s="1209">
        <v>599</v>
      </c>
      <c r="T3737" s="204" t="s">
        <v>929</v>
      </c>
      <c r="U3737" s="1901" t="s">
        <v>118</v>
      </c>
      <c r="V3737" s="572" t="s">
        <v>118</v>
      </c>
      <c r="W3737" s="681" t="s">
        <v>13092</v>
      </c>
      <c r="X3737" s="18"/>
      <c r="Y3737" s="4"/>
      <c r="Z3737" s="4"/>
    </row>
    <row r="3738" spans="1:26" ht="14.1" hidden="1">
      <c r="A3738" s="20">
        <f t="shared" si="216"/>
        <v>3745</v>
      </c>
      <c r="B3738" s="1063">
        <v>43515</v>
      </c>
      <c r="C3738" s="934" t="s">
        <v>13093</v>
      </c>
      <c r="D3738" s="11" t="s">
        <v>6</v>
      </c>
      <c r="E3738" s="204" t="s">
        <v>2722</v>
      </c>
      <c r="F3738" s="934" t="s">
        <v>404</v>
      </c>
      <c r="G3738" s="204" t="s">
        <v>13094</v>
      </c>
      <c r="H3738" s="204" t="s">
        <v>4948</v>
      </c>
      <c r="I3738" s="204" t="s">
        <v>4948</v>
      </c>
      <c r="J3738" s="204" t="s">
        <v>1</v>
      </c>
      <c r="K3738" s="204" t="s">
        <v>1</v>
      </c>
      <c r="L3738" s="204" t="s">
        <v>1</v>
      </c>
      <c r="M3738" s="204">
        <v>15</v>
      </c>
      <c r="N3738" s="204">
        <v>1</v>
      </c>
      <c r="O3738" s="204">
        <v>20</v>
      </c>
      <c r="P3738" s="204">
        <v>0</v>
      </c>
      <c r="Q3738" s="572">
        <v>5</v>
      </c>
      <c r="R3738" s="1209">
        <v>70</v>
      </c>
      <c r="S3738" s="1209">
        <v>1400</v>
      </c>
      <c r="T3738" s="204" t="s">
        <v>87</v>
      </c>
      <c r="U3738" s="1901" t="s">
        <v>118</v>
      </c>
      <c r="V3738" s="572" t="s">
        <v>3187</v>
      </c>
      <c r="W3738" s="681" t="s">
        <v>1</v>
      </c>
      <c r="X3738" s="18"/>
      <c r="Y3738" s="4"/>
      <c r="Z3738" s="4"/>
    </row>
    <row r="3739" spans="1:26" ht="14.1" hidden="1">
      <c r="A3739" s="200">
        <f t="shared" si="216"/>
        <v>3746</v>
      </c>
      <c r="B3739" s="1063">
        <v>43516</v>
      </c>
      <c r="C3739" s="970" t="s">
        <v>13095</v>
      </c>
      <c r="D3739" s="11" t="s">
        <v>6</v>
      </c>
      <c r="E3739" s="204" t="s">
        <v>62</v>
      </c>
      <c r="F3739" s="970" t="s">
        <v>10651</v>
      </c>
      <c r="G3739" s="717" t="s">
        <v>13096</v>
      </c>
      <c r="H3739" s="717" t="s">
        <v>13097</v>
      </c>
      <c r="I3739" s="717" t="s">
        <v>1022</v>
      </c>
      <c r="J3739" s="717"/>
      <c r="K3739" s="717" t="s">
        <v>13098</v>
      </c>
      <c r="L3739" s="717"/>
      <c r="M3739" s="717">
        <v>1</v>
      </c>
      <c r="N3739" s="717">
        <v>1</v>
      </c>
      <c r="O3739" s="717">
        <v>1</v>
      </c>
      <c r="P3739" s="717">
        <v>0</v>
      </c>
      <c r="Q3739" s="718">
        <v>0</v>
      </c>
      <c r="R3739" s="1234">
        <v>3099</v>
      </c>
      <c r="S3739" s="1234">
        <v>3099</v>
      </c>
      <c r="T3739" s="717" t="s">
        <v>6634</v>
      </c>
      <c r="U3739" s="1927" t="s">
        <v>10655</v>
      </c>
      <c r="V3739" s="718" t="s">
        <v>11629</v>
      </c>
      <c r="W3739" s="2106" t="s">
        <v>13099</v>
      </c>
      <c r="X3739" s="56"/>
      <c r="Y3739" s="57"/>
      <c r="Z3739" s="57"/>
    </row>
    <row r="3740" spans="1:26" ht="14.1" hidden="1">
      <c r="A3740" s="20">
        <f t="shared" si="216"/>
        <v>3747</v>
      </c>
      <c r="B3740" s="1063">
        <v>43517</v>
      </c>
      <c r="C3740" s="934" t="s">
        <v>13100</v>
      </c>
      <c r="D3740" s="11" t="s">
        <v>6</v>
      </c>
      <c r="E3740" s="204" t="s">
        <v>62</v>
      </c>
      <c r="F3740" s="934" t="s">
        <v>10651</v>
      </c>
      <c r="G3740" s="204" t="s">
        <v>13101</v>
      </c>
      <c r="H3740" s="204" t="s">
        <v>13102</v>
      </c>
      <c r="I3740" s="204" t="s">
        <v>84</v>
      </c>
      <c r="J3740" s="204"/>
      <c r="K3740" s="204" t="s">
        <v>13103</v>
      </c>
      <c r="L3740" s="204"/>
      <c r="M3740" s="204">
        <v>2</v>
      </c>
      <c r="N3740" s="204">
        <v>1</v>
      </c>
      <c r="O3740" s="204">
        <v>2</v>
      </c>
      <c r="P3740" s="204">
        <v>0</v>
      </c>
      <c r="Q3740" s="572">
        <v>0</v>
      </c>
      <c r="R3740" s="1209">
        <v>1011</v>
      </c>
      <c r="S3740" s="1209">
        <v>2022</v>
      </c>
      <c r="T3740" s="204" t="s">
        <v>6634</v>
      </c>
      <c r="U3740" s="1901" t="s">
        <v>10655</v>
      </c>
      <c r="V3740" s="572" t="s">
        <v>11629</v>
      </c>
      <c r="W3740" s="681" t="s">
        <v>84</v>
      </c>
      <c r="X3740" s="18"/>
      <c r="Y3740" s="4"/>
      <c r="Z3740" s="4"/>
    </row>
    <row r="3741" spans="1:26" ht="14.1" hidden="1">
      <c r="A3741" s="20">
        <f t="shared" si="216"/>
        <v>3748</v>
      </c>
      <c r="B3741" s="1063">
        <v>43518</v>
      </c>
      <c r="C3741" s="934" t="s">
        <v>13104</v>
      </c>
      <c r="D3741" s="11" t="s">
        <v>6</v>
      </c>
      <c r="E3741" s="204" t="s">
        <v>62</v>
      </c>
      <c r="F3741" s="934" t="s">
        <v>10651</v>
      </c>
      <c r="G3741" s="204" t="s">
        <v>13105</v>
      </c>
      <c r="H3741" s="204" t="s">
        <v>13102</v>
      </c>
      <c r="I3741" s="204" t="s">
        <v>84</v>
      </c>
      <c r="J3741" s="204"/>
      <c r="K3741" s="204" t="s">
        <v>13106</v>
      </c>
      <c r="L3741" s="204"/>
      <c r="M3741" s="204">
        <v>2</v>
      </c>
      <c r="N3741" s="204">
        <v>1</v>
      </c>
      <c r="O3741" s="204">
        <v>2</v>
      </c>
      <c r="P3741" s="204">
        <v>0</v>
      </c>
      <c r="Q3741" s="572">
        <v>0</v>
      </c>
      <c r="R3741" s="1209">
        <v>846</v>
      </c>
      <c r="S3741" s="1209">
        <v>1692</v>
      </c>
      <c r="T3741" s="204" t="s">
        <v>6634</v>
      </c>
      <c r="U3741" s="1901" t="s">
        <v>10655</v>
      </c>
      <c r="V3741" s="572" t="s">
        <v>11629</v>
      </c>
      <c r="W3741" s="681" t="s">
        <v>84</v>
      </c>
      <c r="X3741" s="18"/>
      <c r="Y3741" s="4"/>
      <c r="Z3741" s="4"/>
    </row>
    <row r="3742" spans="1:26" ht="14.1" hidden="1">
      <c r="A3742" s="20">
        <f t="shared" si="216"/>
        <v>3749</v>
      </c>
      <c r="B3742" s="1063">
        <v>43519</v>
      </c>
      <c r="C3742" s="934" t="s">
        <v>13107</v>
      </c>
      <c r="D3742" s="11" t="s">
        <v>6</v>
      </c>
      <c r="E3742" s="204" t="s">
        <v>62</v>
      </c>
      <c r="F3742" s="934" t="s">
        <v>10651</v>
      </c>
      <c r="G3742" s="204" t="s">
        <v>13108</v>
      </c>
      <c r="H3742" s="204" t="s">
        <v>13109</v>
      </c>
      <c r="I3742" s="204" t="s">
        <v>84</v>
      </c>
      <c r="J3742" s="204"/>
      <c r="K3742" s="204">
        <v>51102</v>
      </c>
      <c r="L3742" s="204"/>
      <c r="M3742" s="204">
        <v>2</v>
      </c>
      <c r="N3742" s="204">
        <v>1</v>
      </c>
      <c r="O3742" s="204">
        <v>2</v>
      </c>
      <c r="P3742" s="204">
        <v>0</v>
      </c>
      <c r="Q3742" s="572">
        <v>0</v>
      </c>
      <c r="R3742" s="1209">
        <v>659</v>
      </c>
      <c r="S3742" s="1209">
        <v>1318</v>
      </c>
      <c r="T3742" s="204" t="s">
        <v>6634</v>
      </c>
      <c r="U3742" s="1901" t="s">
        <v>10655</v>
      </c>
      <c r="V3742" s="572" t="s">
        <v>11629</v>
      </c>
      <c r="W3742" s="681" t="s">
        <v>84</v>
      </c>
      <c r="X3742" s="18"/>
      <c r="Y3742" s="4"/>
      <c r="Z3742" s="4"/>
    </row>
    <row r="3743" spans="1:26" ht="14.1" hidden="1">
      <c r="A3743" s="20">
        <f t="shared" si="216"/>
        <v>3750</v>
      </c>
      <c r="B3743" s="1063">
        <v>43520</v>
      </c>
      <c r="C3743" s="934" t="s">
        <v>13110</v>
      </c>
      <c r="D3743" s="11" t="s">
        <v>6</v>
      </c>
      <c r="E3743" s="204" t="s">
        <v>62</v>
      </c>
      <c r="F3743" s="934" t="s">
        <v>10651</v>
      </c>
      <c r="G3743" s="204" t="s">
        <v>13111</v>
      </c>
      <c r="H3743" s="204" t="s">
        <v>13109</v>
      </c>
      <c r="I3743" s="204" t="s">
        <v>84</v>
      </c>
      <c r="J3743" s="204"/>
      <c r="K3743" s="204">
        <v>51106</v>
      </c>
      <c r="L3743" s="204"/>
      <c r="M3743" s="204">
        <v>2</v>
      </c>
      <c r="N3743" s="204">
        <v>1</v>
      </c>
      <c r="O3743" s="204">
        <v>2</v>
      </c>
      <c r="P3743" s="204">
        <v>0</v>
      </c>
      <c r="Q3743" s="572">
        <v>0</v>
      </c>
      <c r="R3743" s="1209">
        <v>791</v>
      </c>
      <c r="S3743" s="1209">
        <v>1582</v>
      </c>
      <c r="T3743" s="204" t="s">
        <v>6634</v>
      </c>
      <c r="U3743" s="1901" t="s">
        <v>10655</v>
      </c>
      <c r="V3743" s="572" t="s">
        <v>11629</v>
      </c>
      <c r="W3743" s="681" t="s">
        <v>84</v>
      </c>
      <c r="X3743" s="18"/>
      <c r="Y3743" s="4"/>
      <c r="Z3743" s="4"/>
    </row>
    <row r="3744" spans="1:26" ht="14.1" hidden="1">
      <c r="A3744" s="20">
        <f t="shared" si="216"/>
        <v>3751</v>
      </c>
      <c r="B3744" s="1063">
        <v>43521</v>
      </c>
      <c r="C3744" s="934" t="s">
        <v>13112</v>
      </c>
      <c r="D3744" s="11" t="s">
        <v>6</v>
      </c>
      <c r="E3744" s="204" t="s">
        <v>62</v>
      </c>
      <c r="F3744" s="934" t="s">
        <v>10651</v>
      </c>
      <c r="G3744" s="204" t="s">
        <v>13113</v>
      </c>
      <c r="H3744" s="204" t="s">
        <v>13114</v>
      </c>
      <c r="I3744" s="204" t="s">
        <v>84</v>
      </c>
      <c r="J3744" s="204"/>
      <c r="K3744" s="204" t="s">
        <v>13115</v>
      </c>
      <c r="L3744" s="204"/>
      <c r="M3744" s="204">
        <v>1</v>
      </c>
      <c r="N3744" s="204">
        <v>1</v>
      </c>
      <c r="O3744" s="204">
        <v>2</v>
      </c>
      <c r="P3744" s="204">
        <v>0</v>
      </c>
      <c r="Q3744" s="572">
        <v>0</v>
      </c>
      <c r="R3744" s="1209">
        <v>1045</v>
      </c>
      <c r="S3744" s="1209">
        <v>2090</v>
      </c>
      <c r="T3744" s="204" t="s">
        <v>6634</v>
      </c>
      <c r="U3744" s="1901" t="s">
        <v>10655</v>
      </c>
      <c r="V3744" s="572" t="s">
        <v>11629</v>
      </c>
      <c r="W3744" s="681" t="s">
        <v>84</v>
      </c>
      <c r="X3744" s="18"/>
      <c r="Y3744" s="4"/>
      <c r="Z3744" s="4"/>
    </row>
    <row r="3745" spans="1:26" ht="14.1" hidden="1">
      <c r="A3745" s="20">
        <f t="shared" si="216"/>
        <v>3752</v>
      </c>
      <c r="B3745" s="1063">
        <v>43522</v>
      </c>
      <c r="C3745" s="934" t="s">
        <v>13116</v>
      </c>
      <c r="D3745" s="11" t="s">
        <v>6</v>
      </c>
      <c r="E3745" s="204" t="s">
        <v>62</v>
      </c>
      <c r="F3745" s="934" t="s">
        <v>10651</v>
      </c>
      <c r="G3745" s="204" t="s">
        <v>13117</v>
      </c>
      <c r="H3745" s="204" t="s">
        <v>13118</v>
      </c>
      <c r="I3745" s="204" t="s">
        <v>13119</v>
      </c>
      <c r="J3745" s="204"/>
      <c r="K3745" s="204" t="s">
        <v>13120</v>
      </c>
      <c r="L3745" s="204"/>
      <c r="M3745" s="204">
        <v>2</v>
      </c>
      <c r="N3745" s="204">
        <v>1</v>
      </c>
      <c r="O3745" s="204">
        <v>2</v>
      </c>
      <c r="P3745" s="204">
        <v>0</v>
      </c>
      <c r="Q3745" s="572">
        <v>0</v>
      </c>
      <c r="R3745" s="1209">
        <v>4410</v>
      </c>
      <c r="S3745" s="1209">
        <v>8821</v>
      </c>
      <c r="T3745" s="204" t="s">
        <v>6634</v>
      </c>
      <c r="U3745" s="1901" t="s">
        <v>10655</v>
      </c>
      <c r="V3745" s="572" t="s">
        <v>11629</v>
      </c>
      <c r="W3745" s="681" t="s">
        <v>429</v>
      </c>
      <c r="X3745" s="18"/>
      <c r="Y3745" s="4"/>
      <c r="Z3745" s="4"/>
    </row>
    <row r="3746" spans="1:26" ht="14.1" hidden="1">
      <c r="A3746" s="20">
        <f t="shared" si="216"/>
        <v>3753</v>
      </c>
      <c r="B3746" s="1063">
        <v>43523</v>
      </c>
      <c r="C3746" s="934" t="s">
        <v>13121</v>
      </c>
      <c r="D3746" s="11" t="s">
        <v>6</v>
      </c>
      <c r="E3746" s="204" t="s">
        <v>62</v>
      </c>
      <c r="F3746" s="934" t="s">
        <v>10651</v>
      </c>
      <c r="G3746" s="204" t="s">
        <v>13122</v>
      </c>
      <c r="H3746" s="204" t="s">
        <v>13119</v>
      </c>
      <c r="I3746" s="204" t="s">
        <v>13119</v>
      </c>
      <c r="J3746" s="204"/>
      <c r="K3746" s="204" t="s">
        <v>13123</v>
      </c>
      <c r="L3746" s="204"/>
      <c r="M3746" s="204">
        <v>1</v>
      </c>
      <c r="N3746" s="204">
        <v>1</v>
      </c>
      <c r="O3746" s="204">
        <v>1</v>
      </c>
      <c r="P3746" s="204">
        <v>0</v>
      </c>
      <c r="Q3746" s="572">
        <v>0</v>
      </c>
      <c r="R3746" s="1209">
        <v>6348</v>
      </c>
      <c r="S3746" s="1209">
        <v>6348</v>
      </c>
      <c r="T3746" s="204" t="s">
        <v>6634</v>
      </c>
      <c r="U3746" s="1901" t="s">
        <v>10655</v>
      </c>
      <c r="V3746" s="572" t="s">
        <v>11629</v>
      </c>
      <c r="W3746" s="681" t="s">
        <v>429</v>
      </c>
      <c r="X3746" s="18"/>
      <c r="Y3746" s="4"/>
      <c r="Z3746" s="4"/>
    </row>
    <row r="3747" spans="1:26" ht="14.1" hidden="1">
      <c r="A3747" s="20">
        <f t="shared" si="216"/>
        <v>3754</v>
      </c>
      <c r="B3747" s="1063">
        <v>43524</v>
      </c>
      <c r="C3747" s="934" t="s">
        <v>13124</v>
      </c>
      <c r="D3747" s="11" t="s">
        <v>6</v>
      </c>
      <c r="E3747" s="204" t="s">
        <v>62</v>
      </c>
      <c r="F3747" s="934" t="s">
        <v>10651</v>
      </c>
      <c r="G3747" s="204" t="s">
        <v>13125</v>
      </c>
      <c r="H3747" s="204" t="s">
        <v>13119</v>
      </c>
      <c r="I3747" s="204" t="s">
        <v>13119</v>
      </c>
      <c r="J3747" s="204"/>
      <c r="K3747" s="204" t="s">
        <v>13126</v>
      </c>
      <c r="L3747" s="204"/>
      <c r="M3747" s="204">
        <v>2</v>
      </c>
      <c r="N3747" s="204">
        <v>1</v>
      </c>
      <c r="O3747" s="204">
        <v>1</v>
      </c>
      <c r="P3747" s="204">
        <v>0</v>
      </c>
      <c r="Q3747" s="572">
        <v>0</v>
      </c>
      <c r="R3747" s="1209">
        <v>437</v>
      </c>
      <c r="S3747" s="1209">
        <v>437</v>
      </c>
      <c r="T3747" s="204" t="s">
        <v>6634</v>
      </c>
      <c r="U3747" s="1901" t="s">
        <v>10655</v>
      </c>
      <c r="V3747" s="572" t="s">
        <v>11629</v>
      </c>
      <c r="W3747" s="681" t="s">
        <v>429</v>
      </c>
      <c r="X3747" s="18"/>
      <c r="Y3747" s="4"/>
      <c r="Z3747" s="4"/>
    </row>
    <row r="3748" spans="1:26" ht="21" hidden="1" customHeight="1">
      <c r="A3748" s="20">
        <f t="shared" si="216"/>
        <v>3755</v>
      </c>
      <c r="B3748" s="1063">
        <v>43525</v>
      </c>
      <c r="C3748" s="934" t="s">
        <v>13127</v>
      </c>
      <c r="D3748" s="11" t="s">
        <v>6</v>
      </c>
      <c r="E3748" s="204" t="s">
        <v>62</v>
      </c>
      <c r="F3748" s="934" t="s">
        <v>10651</v>
      </c>
      <c r="G3748" s="204" t="s">
        <v>13128</v>
      </c>
      <c r="H3748" s="204" t="s">
        <v>13129</v>
      </c>
      <c r="I3748" s="204" t="s">
        <v>1022</v>
      </c>
      <c r="J3748" s="204"/>
      <c r="K3748" s="204"/>
      <c r="L3748" s="204"/>
      <c r="M3748" s="204">
        <v>1</v>
      </c>
      <c r="N3748" s="204">
        <v>1</v>
      </c>
      <c r="O3748" s="204">
        <v>1</v>
      </c>
      <c r="P3748" s="204">
        <v>0</v>
      </c>
      <c r="Q3748" s="572">
        <v>0</v>
      </c>
      <c r="R3748" s="1209">
        <v>960</v>
      </c>
      <c r="S3748" s="1209">
        <v>960</v>
      </c>
      <c r="T3748" s="204" t="s">
        <v>6634</v>
      </c>
      <c r="U3748" s="1901" t="s">
        <v>10655</v>
      </c>
      <c r="V3748" s="572" t="s">
        <v>11629</v>
      </c>
      <c r="W3748" s="681" t="s">
        <v>13099</v>
      </c>
      <c r="X3748" s="18"/>
      <c r="Y3748" s="4"/>
      <c r="Z3748" s="4"/>
    </row>
    <row r="3749" spans="1:26" ht="14.1" hidden="1">
      <c r="A3749" s="20">
        <f t="shared" si="216"/>
        <v>3756</v>
      </c>
      <c r="B3749" s="1063">
        <v>43526</v>
      </c>
      <c r="C3749" s="934" t="s">
        <v>13130</v>
      </c>
      <c r="D3749" s="11" t="s">
        <v>6</v>
      </c>
      <c r="E3749" s="204" t="s">
        <v>62</v>
      </c>
      <c r="F3749" s="934" t="s">
        <v>10651</v>
      </c>
      <c r="G3749" s="204" t="s">
        <v>13131</v>
      </c>
      <c r="H3749" s="204" t="s">
        <v>13132</v>
      </c>
      <c r="I3749" s="204" t="s">
        <v>1022</v>
      </c>
      <c r="J3749" s="204"/>
      <c r="K3749" s="204" t="s">
        <v>13133</v>
      </c>
      <c r="L3749" s="204"/>
      <c r="M3749" s="204">
        <v>30</v>
      </c>
      <c r="N3749" s="204">
        <v>381</v>
      </c>
      <c r="O3749" s="204">
        <v>381</v>
      </c>
      <c r="P3749" s="204">
        <v>0</v>
      </c>
      <c r="Q3749" s="572">
        <v>220</v>
      </c>
      <c r="R3749" s="1209">
        <v>3.6720000000000002</v>
      </c>
      <c r="S3749" s="1209">
        <v>1399</v>
      </c>
      <c r="T3749" s="204" t="s">
        <v>6634</v>
      </c>
      <c r="U3749" s="1901" t="s">
        <v>10655</v>
      </c>
      <c r="V3749" s="572" t="s">
        <v>11629</v>
      </c>
      <c r="W3749" s="681" t="s">
        <v>13099</v>
      </c>
      <c r="X3749" s="18"/>
      <c r="Y3749" s="4"/>
      <c r="Z3749" s="4"/>
    </row>
    <row r="3750" spans="1:26" ht="14.1" hidden="1">
      <c r="A3750" s="20">
        <f t="shared" si="216"/>
        <v>3757</v>
      </c>
      <c r="B3750" s="1063">
        <v>43527</v>
      </c>
      <c r="C3750" s="934" t="s">
        <v>2661</v>
      </c>
      <c r="D3750" s="11" t="s">
        <v>6</v>
      </c>
      <c r="E3750" s="204" t="s">
        <v>2722</v>
      </c>
      <c r="F3750" s="934" t="s">
        <v>2143</v>
      </c>
      <c r="G3750" s="204" t="s">
        <v>13134</v>
      </c>
      <c r="H3750" s="204" t="s">
        <v>10743</v>
      </c>
      <c r="I3750" s="204" t="s">
        <v>11707</v>
      </c>
      <c r="J3750" s="204"/>
      <c r="K3750" s="204" t="s">
        <v>13135</v>
      </c>
      <c r="L3750" s="204"/>
      <c r="M3750" s="204">
        <v>1</v>
      </c>
      <c r="N3750" s="204">
        <v>1</v>
      </c>
      <c r="O3750" s="204">
        <v>1</v>
      </c>
      <c r="P3750" s="204">
        <v>0</v>
      </c>
      <c r="Q3750" s="572">
        <v>0</v>
      </c>
      <c r="R3750" s="1209">
        <v>765</v>
      </c>
      <c r="S3750" s="1209">
        <v>765</v>
      </c>
      <c r="T3750" s="204" t="s">
        <v>929</v>
      </c>
      <c r="U3750" s="1901" t="s">
        <v>118</v>
      </c>
      <c r="V3750" s="572" t="s">
        <v>118</v>
      </c>
      <c r="W3750" s="681"/>
      <c r="X3750" s="18"/>
      <c r="Y3750" s="4"/>
      <c r="Z3750" s="4"/>
    </row>
    <row r="3751" spans="1:26" ht="14.1" hidden="1">
      <c r="A3751" s="20">
        <f t="shared" si="216"/>
        <v>3758</v>
      </c>
      <c r="B3751" s="1063">
        <v>43528</v>
      </c>
      <c r="C3751" s="960" t="s">
        <v>3803</v>
      </c>
      <c r="D3751" s="11" t="s">
        <v>6</v>
      </c>
      <c r="E3751" s="678" t="s">
        <v>13136</v>
      </c>
      <c r="F3751" s="960" t="s">
        <v>11441</v>
      </c>
      <c r="G3751" s="759" t="s">
        <v>12249</v>
      </c>
      <c r="H3751" s="760" t="s">
        <v>1715</v>
      </c>
      <c r="I3751" s="678" t="s">
        <v>1144</v>
      </c>
      <c r="J3751" s="678" t="s">
        <v>4714</v>
      </c>
      <c r="K3751" s="678" t="s">
        <v>4715</v>
      </c>
      <c r="L3751" s="678" t="s">
        <v>12250</v>
      </c>
      <c r="M3751" s="678">
        <v>3</v>
      </c>
      <c r="N3751" s="678">
        <v>1</v>
      </c>
      <c r="O3751" s="678">
        <v>10</v>
      </c>
      <c r="P3751" s="678">
        <v>2</v>
      </c>
      <c r="Q3751" s="761">
        <v>12</v>
      </c>
      <c r="R3751" s="1318">
        <v>528</v>
      </c>
      <c r="S3751" s="1318">
        <v>5280</v>
      </c>
      <c r="T3751" s="678" t="s">
        <v>3961</v>
      </c>
      <c r="U3751" s="1933" t="s">
        <v>13137</v>
      </c>
      <c r="V3751" s="183" t="s">
        <v>12095</v>
      </c>
      <c r="W3751" s="762" t="s">
        <v>4716</v>
      </c>
      <c r="X3751" s="18"/>
      <c r="Y3751" s="4"/>
      <c r="Z3751" s="4"/>
    </row>
    <row r="3752" spans="1:26" ht="14.1" hidden="1">
      <c r="A3752" s="20">
        <f t="shared" si="216"/>
        <v>3759</v>
      </c>
      <c r="B3752" s="1063">
        <v>43529</v>
      </c>
      <c r="C3752" s="961" t="s">
        <v>188</v>
      </c>
      <c r="D3752" s="11" t="s">
        <v>6</v>
      </c>
      <c r="E3752" s="678" t="s">
        <v>13136</v>
      </c>
      <c r="F3752" s="961" t="s">
        <v>11441</v>
      </c>
      <c r="G3752" s="282" t="s">
        <v>13138</v>
      </c>
      <c r="H3752" s="282" t="s">
        <v>332</v>
      </c>
      <c r="I3752" s="282" t="s">
        <v>574</v>
      </c>
      <c r="J3752" s="282" t="s">
        <v>13139</v>
      </c>
      <c r="K3752" s="282" t="s">
        <v>13140</v>
      </c>
      <c r="L3752" s="282" t="s">
        <v>12118</v>
      </c>
      <c r="M3752" s="282">
        <v>6</v>
      </c>
      <c r="N3752" s="282">
        <v>1</v>
      </c>
      <c r="O3752" s="282">
        <v>10</v>
      </c>
      <c r="P3752" s="282">
        <v>2</v>
      </c>
      <c r="Q3752" s="763">
        <v>12</v>
      </c>
      <c r="R3752" s="1319">
        <v>24</v>
      </c>
      <c r="S3752" s="1319">
        <v>240</v>
      </c>
      <c r="T3752" s="282" t="s">
        <v>3961</v>
      </c>
      <c r="U3752" s="765" t="s">
        <v>13137</v>
      </c>
      <c r="V3752" s="20" t="s">
        <v>12095</v>
      </c>
      <c r="W3752" s="684" t="s">
        <v>13141</v>
      </c>
      <c r="X3752" s="18"/>
      <c r="Y3752" s="4"/>
      <c r="Z3752" s="4"/>
    </row>
    <row r="3753" spans="1:26" ht="14.1" hidden="1">
      <c r="A3753" s="20">
        <f t="shared" si="216"/>
        <v>3760</v>
      </c>
      <c r="B3753" s="1063">
        <v>43530</v>
      </c>
      <c r="C3753" s="961" t="s">
        <v>12126</v>
      </c>
      <c r="D3753" s="11" t="s">
        <v>6</v>
      </c>
      <c r="E3753" s="678" t="s">
        <v>13136</v>
      </c>
      <c r="F3753" s="961" t="s">
        <v>11441</v>
      </c>
      <c r="G3753" s="282" t="s">
        <v>12127</v>
      </c>
      <c r="H3753" s="282" t="s">
        <v>1073</v>
      </c>
      <c r="I3753" s="282" t="s">
        <v>574</v>
      </c>
      <c r="J3753" s="282" t="s">
        <v>12128</v>
      </c>
      <c r="K3753" s="282" t="s">
        <v>12129</v>
      </c>
      <c r="L3753" s="282" t="s">
        <v>12118</v>
      </c>
      <c r="M3753" s="282">
        <v>12</v>
      </c>
      <c r="N3753" s="282">
        <v>1</v>
      </c>
      <c r="O3753" s="282">
        <v>20</v>
      </c>
      <c r="P3753" s="282">
        <v>3</v>
      </c>
      <c r="Q3753" s="217">
        <v>23</v>
      </c>
      <c r="R3753" s="1319">
        <v>495</v>
      </c>
      <c r="S3753" s="1319">
        <v>9900</v>
      </c>
      <c r="T3753" s="282" t="s">
        <v>3961</v>
      </c>
      <c r="U3753" s="765" t="s">
        <v>13137</v>
      </c>
      <c r="V3753" s="20" t="s">
        <v>12095</v>
      </c>
      <c r="W3753" s="684" t="s">
        <v>12130</v>
      </c>
      <c r="X3753" s="18"/>
      <c r="Y3753" s="4"/>
      <c r="Z3753" s="4"/>
    </row>
    <row r="3754" spans="1:26" ht="14.1" hidden="1">
      <c r="A3754" s="20">
        <f t="shared" si="216"/>
        <v>3761</v>
      </c>
      <c r="B3754" s="1063">
        <v>43531</v>
      </c>
      <c r="C3754" s="961" t="s">
        <v>11468</v>
      </c>
      <c r="D3754" s="11" t="s">
        <v>6</v>
      </c>
      <c r="E3754" s="678" t="s">
        <v>13136</v>
      </c>
      <c r="F3754" s="961" t="s">
        <v>11441</v>
      </c>
      <c r="G3754" s="282" t="s">
        <v>13142</v>
      </c>
      <c r="H3754" s="282" t="s">
        <v>13143</v>
      </c>
      <c r="I3754" s="282" t="s">
        <v>4634</v>
      </c>
      <c r="J3754" s="282" t="s">
        <v>13144</v>
      </c>
      <c r="K3754" s="282" t="s">
        <v>2136</v>
      </c>
      <c r="L3754" s="282" t="s">
        <v>12118</v>
      </c>
      <c r="M3754" s="282">
        <v>6</v>
      </c>
      <c r="N3754" s="282">
        <v>1</v>
      </c>
      <c r="O3754" s="282">
        <v>10</v>
      </c>
      <c r="P3754" s="282">
        <v>0</v>
      </c>
      <c r="Q3754" s="217">
        <v>10</v>
      </c>
      <c r="R3754" s="1319">
        <v>68</v>
      </c>
      <c r="S3754" s="1319">
        <v>680</v>
      </c>
      <c r="T3754" s="282" t="s">
        <v>3961</v>
      </c>
      <c r="U3754" s="765" t="s">
        <v>13137</v>
      </c>
      <c r="V3754" s="20" t="s">
        <v>12095</v>
      </c>
      <c r="W3754" s="684" t="s">
        <v>13145</v>
      </c>
      <c r="X3754" s="18"/>
      <c r="Y3754" s="4"/>
      <c r="Z3754" s="4"/>
    </row>
    <row r="3755" spans="1:26" ht="14.1" hidden="1">
      <c r="A3755" s="20">
        <f t="shared" si="216"/>
        <v>3762</v>
      </c>
      <c r="B3755" s="1063">
        <v>43532</v>
      </c>
      <c r="C3755" s="961" t="s">
        <v>339</v>
      </c>
      <c r="D3755" s="11" t="s">
        <v>6</v>
      </c>
      <c r="E3755" s="678" t="s">
        <v>13136</v>
      </c>
      <c r="F3755" s="961" t="s">
        <v>11441</v>
      </c>
      <c r="G3755" s="282" t="s">
        <v>12125</v>
      </c>
      <c r="H3755" s="282" t="s">
        <v>1865</v>
      </c>
      <c r="I3755" s="282" t="s">
        <v>574</v>
      </c>
      <c r="J3755" s="282" t="s">
        <v>585</v>
      </c>
      <c r="K3755" s="282" t="s">
        <v>586</v>
      </c>
      <c r="L3755" s="282" t="s">
        <v>12099</v>
      </c>
      <c r="M3755" s="282">
        <v>12</v>
      </c>
      <c r="N3755" s="282">
        <v>10</v>
      </c>
      <c r="O3755" s="282">
        <v>20</v>
      </c>
      <c r="P3755" s="282">
        <v>3</v>
      </c>
      <c r="Q3755" s="217">
        <v>23</v>
      </c>
      <c r="R3755" s="1319">
        <v>45</v>
      </c>
      <c r="S3755" s="1319">
        <v>898</v>
      </c>
      <c r="T3755" s="282" t="s">
        <v>3961</v>
      </c>
      <c r="U3755" s="765" t="s">
        <v>13137</v>
      </c>
      <c r="V3755" s="20" t="s">
        <v>12095</v>
      </c>
      <c r="W3755" s="684" t="s">
        <v>5321</v>
      </c>
      <c r="X3755" s="18"/>
      <c r="Y3755" s="4"/>
      <c r="Z3755" s="4"/>
    </row>
    <row r="3756" spans="1:26" ht="14.1" hidden="1">
      <c r="A3756" s="20">
        <f t="shared" si="216"/>
        <v>3763</v>
      </c>
      <c r="B3756" s="1063">
        <v>43533</v>
      </c>
      <c r="C3756" s="961" t="s">
        <v>3265</v>
      </c>
      <c r="D3756" s="11" t="s">
        <v>6</v>
      </c>
      <c r="E3756" s="678" t="s">
        <v>13136</v>
      </c>
      <c r="F3756" s="987" t="s">
        <v>11441</v>
      </c>
      <c r="G3756" s="282" t="s">
        <v>13146</v>
      </c>
      <c r="H3756" s="282" t="s">
        <v>13147</v>
      </c>
      <c r="I3756" s="282" t="s">
        <v>574</v>
      </c>
      <c r="J3756" s="282" t="s">
        <v>13148</v>
      </c>
      <c r="K3756" s="282" t="s">
        <v>13149</v>
      </c>
      <c r="L3756" s="282" t="s">
        <v>12118</v>
      </c>
      <c r="M3756" s="282">
        <v>3</v>
      </c>
      <c r="N3756" s="282">
        <v>1</v>
      </c>
      <c r="O3756" s="282">
        <v>10</v>
      </c>
      <c r="P3756" s="282">
        <v>0</v>
      </c>
      <c r="Q3756" s="217">
        <v>10</v>
      </c>
      <c r="R3756" s="1319">
        <v>175</v>
      </c>
      <c r="S3756" s="1319">
        <v>1750</v>
      </c>
      <c r="T3756" s="282" t="s">
        <v>3961</v>
      </c>
      <c r="U3756" s="765" t="s">
        <v>13137</v>
      </c>
      <c r="V3756" s="20" t="s">
        <v>12095</v>
      </c>
      <c r="W3756" s="684" t="s">
        <v>13150</v>
      </c>
      <c r="X3756" s="18"/>
      <c r="Y3756" s="4"/>
      <c r="Z3756" s="4"/>
    </row>
    <row r="3757" spans="1:26" ht="14.1" hidden="1">
      <c r="A3757" s="20">
        <f t="shared" si="216"/>
        <v>3764</v>
      </c>
      <c r="B3757" s="1063">
        <v>43534</v>
      </c>
      <c r="C3757" s="996" t="s">
        <v>3602</v>
      </c>
      <c r="D3757" s="11" t="s">
        <v>6</v>
      </c>
      <c r="E3757" s="678" t="s">
        <v>13136</v>
      </c>
      <c r="F3757" s="987" t="s">
        <v>11441</v>
      </c>
      <c r="G3757" s="302" t="s">
        <v>3603</v>
      </c>
      <c r="H3757" s="302" t="s">
        <v>1853</v>
      </c>
      <c r="I3757" s="302" t="s">
        <v>574</v>
      </c>
      <c r="J3757" s="302" t="s">
        <v>599</v>
      </c>
      <c r="K3757" s="302" t="s">
        <v>1991</v>
      </c>
      <c r="L3757" s="302" t="s">
        <v>13151</v>
      </c>
      <c r="M3757" s="302">
        <v>12</v>
      </c>
      <c r="N3757" s="302">
        <v>1</v>
      </c>
      <c r="O3757" s="302">
        <v>20</v>
      </c>
      <c r="P3757" s="302">
        <v>4</v>
      </c>
      <c r="Q3757" s="333">
        <v>24</v>
      </c>
      <c r="R3757" s="1320">
        <v>20.5</v>
      </c>
      <c r="S3757" s="1319">
        <v>410</v>
      </c>
      <c r="T3757" s="333" t="s">
        <v>3961</v>
      </c>
      <c r="U3757" s="765" t="s">
        <v>13137</v>
      </c>
      <c r="V3757" s="20" t="s">
        <v>12095</v>
      </c>
      <c r="W3757" s="764" t="s">
        <v>3605</v>
      </c>
      <c r="X3757" s="18"/>
      <c r="Y3757" s="4"/>
      <c r="Z3757" s="4"/>
    </row>
    <row r="3758" spans="1:26" ht="14.1" hidden="1">
      <c r="A3758" s="20">
        <f t="shared" si="216"/>
        <v>3765</v>
      </c>
      <c r="B3758" s="1063">
        <v>43535</v>
      </c>
      <c r="C3758" s="961" t="s">
        <v>6498</v>
      </c>
      <c r="D3758" s="11" t="s">
        <v>6</v>
      </c>
      <c r="E3758" s="678" t="s">
        <v>13136</v>
      </c>
      <c r="F3758" s="987" t="s">
        <v>11441</v>
      </c>
      <c r="G3758" s="282" t="s">
        <v>13152</v>
      </c>
      <c r="H3758" s="282" t="s">
        <v>12115</v>
      </c>
      <c r="I3758" s="282" t="s">
        <v>13153</v>
      </c>
      <c r="J3758" s="765" t="s">
        <v>13154</v>
      </c>
      <c r="K3758" s="465" t="s">
        <v>13155</v>
      </c>
      <c r="L3758" s="302" t="s">
        <v>13156</v>
      </c>
      <c r="M3758" s="282">
        <v>6</v>
      </c>
      <c r="N3758" s="282">
        <v>1</v>
      </c>
      <c r="O3758" s="282">
        <v>10</v>
      </c>
      <c r="P3758" s="282">
        <v>3</v>
      </c>
      <c r="Q3758" s="217">
        <v>13</v>
      </c>
      <c r="R3758" s="1319">
        <v>11</v>
      </c>
      <c r="S3758" s="1319">
        <v>105</v>
      </c>
      <c r="T3758" s="333" t="s">
        <v>3961</v>
      </c>
      <c r="U3758" s="765" t="s">
        <v>13137</v>
      </c>
      <c r="V3758" s="20" t="s">
        <v>12095</v>
      </c>
      <c r="W3758" s="684" t="s">
        <v>13157</v>
      </c>
      <c r="X3758" s="18"/>
      <c r="Y3758" s="4"/>
      <c r="Z3758" s="4"/>
    </row>
    <row r="3759" spans="1:26" ht="14.1" hidden="1">
      <c r="A3759" s="20">
        <f t="shared" si="216"/>
        <v>3766</v>
      </c>
      <c r="B3759" s="1063">
        <v>43536</v>
      </c>
      <c r="C3759" s="961" t="s">
        <v>2043</v>
      </c>
      <c r="D3759" s="11" t="s">
        <v>6</v>
      </c>
      <c r="E3759" s="678" t="s">
        <v>13136</v>
      </c>
      <c r="F3759" s="987" t="s">
        <v>11441</v>
      </c>
      <c r="G3759" s="282" t="s">
        <v>13158</v>
      </c>
      <c r="H3759" s="282" t="s">
        <v>2506</v>
      </c>
      <c r="I3759" s="282" t="s">
        <v>13153</v>
      </c>
      <c r="J3759" s="466" t="s">
        <v>13159</v>
      </c>
      <c r="K3759" s="467" t="s">
        <v>13160</v>
      </c>
      <c r="L3759" s="302" t="s">
        <v>13161</v>
      </c>
      <c r="M3759" s="282">
        <v>3</v>
      </c>
      <c r="N3759" s="282">
        <v>1</v>
      </c>
      <c r="O3759" s="282">
        <v>5</v>
      </c>
      <c r="P3759" s="282">
        <v>0</v>
      </c>
      <c r="Q3759" s="217">
        <v>5</v>
      </c>
      <c r="R3759" s="1319">
        <v>42</v>
      </c>
      <c r="S3759" s="1319">
        <v>210</v>
      </c>
      <c r="T3759" s="282" t="s">
        <v>3961</v>
      </c>
      <c r="U3759" s="765" t="s">
        <v>13137</v>
      </c>
      <c r="V3759" s="20" t="s">
        <v>12095</v>
      </c>
      <c r="W3759" s="684" t="s">
        <v>13162</v>
      </c>
      <c r="X3759" s="18"/>
      <c r="Y3759" s="4"/>
      <c r="Z3759" s="4"/>
    </row>
    <row r="3760" spans="1:26" ht="14.1" hidden="1">
      <c r="A3760" s="20">
        <f t="shared" si="216"/>
        <v>3767</v>
      </c>
      <c r="B3760" s="1063">
        <v>43537</v>
      </c>
      <c r="C3760" s="997" t="s">
        <v>2043</v>
      </c>
      <c r="D3760" s="11" t="s">
        <v>6</v>
      </c>
      <c r="E3760" s="678" t="s">
        <v>13136</v>
      </c>
      <c r="F3760" s="987" t="s">
        <v>11441</v>
      </c>
      <c r="G3760" s="466" t="s">
        <v>13163</v>
      </c>
      <c r="H3760" s="466" t="s">
        <v>2701</v>
      </c>
      <c r="I3760" s="272" t="s">
        <v>13153</v>
      </c>
      <c r="J3760" s="1088" t="s">
        <v>621</v>
      </c>
      <c r="K3760" s="468" t="s">
        <v>622</v>
      </c>
      <c r="L3760" s="469" t="s">
        <v>13164</v>
      </c>
      <c r="M3760" s="466">
        <v>3</v>
      </c>
      <c r="N3760" s="466">
        <v>1</v>
      </c>
      <c r="O3760" s="466">
        <v>5</v>
      </c>
      <c r="P3760" s="466">
        <v>2</v>
      </c>
      <c r="Q3760" s="223">
        <v>8</v>
      </c>
      <c r="R3760" s="1321">
        <v>32</v>
      </c>
      <c r="S3760" s="1319">
        <v>160</v>
      </c>
      <c r="T3760" s="466" t="s">
        <v>3961</v>
      </c>
      <c r="U3760" s="765" t="s">
        <v>13137</v>
      </c>
      <c r="V3760" s="20" t="s">
        <v>12095</v>
      </c>
      <c r="W3760" s="698" t="s">
        <v>624</v>
      </c>
      <c r="X3760" s="18"/>
      <c r="Y3760" s="4"/>
      <c r="Z3760" s="4"/>
    </row>
    <row r="3761" spans="1:26" ht="14.1" hidden="1">
      <c r="A3761" s="20">
        <f t="shared" si="216"/>
        <v>3768</v>
      </c>
      <c r="B3761" s="1063">
        <v>43538</v>
      </c>
      <c r="C3761" s="960" t="s">
        <v>2005</v>
      </c>
      <c r="D3761" s="11" t="s">
        <v>6</v>
      </c>
      <c r="E3761" s="678" t="s">
        <v>13136</v>
      </c>
      <c r="F3761" s="987" t="s">
        <v>11441</v>
      </c>
      <c r="G3761" s="678" t="s">
        <v>13165</v>
      </c>
      <c r="H3761" s="678" t="s">
        <v>2008</v>
      </c>
      <c r="I3761" s="678" t="s">
        <v>281</v>
      </c>
      <c r="J3761" s="678" t="s">
        <v>13166</v>
      </c>
      <c r="K3761" s="678" t="s">
        <v>13167</v>
      </c>
      <c r="L3761" s="678" t="s">
        <v>12118</v>
      </c>
      <c r="M3761" s="678">
        <v>3</v>
      </c>
      <c r="N3761" s="678">
        <v>1</v>
      </c>
      <c r="O3761" s="678">
        <v>5</v>
      </c>
      <c r="P3761" s="678">
        <v>0</v>
      </c>
      <c r="Q3761" s="678">
        <v>5</v>
      </c>
      <c r="R3761" s="1322">
        <v>162</v>
      </c>
      <c r="S3761" s="1319">
        <v>810</v>
      </c>
      <c r="T3761" s="687" t="s">
        <v>3961</v>
      </c>
      <c r="U3761" s="765" t="s">
        <v>13137</v>
      </c>
      <c r="V3761" s="183" t="s">
        <v>352</v>
      </c>
      <c r="W3761" s="762" t="s">
        <v>13168</v>
      </c>
      <c r="X3761" s="18"/>
      <c r="Y3761" s="4"/>
      <c r="Z3761" s="4"/>
    </row>
    <row r="3762" spans="1:26" ht="14.1" hidden="1">
      <c r="A3762" s="20">
        <f t="shared" si="216"/>
        <v>3769</v>
      </c>
      <c r="B3762" s="1063">
        <v>43539</v>
      </c>
      <c r="C3762" s="998" t="s">
        <v>492</v>
      </c>
      <c r="D3762" s="11" t="s">
        <v>6</v>
      </c>
      <c r="E3762" s="678" t="s">
        <v>13136</v>
      </c>
      <c r="F3762" s="987" t="s">
        <v>11441</v>
      </c>
      <c r="G3762" s="471" t="s">
        <v>493</v>
      </c>
      <c r="H3762" s="471" t="s">
        <v>154</v>
      </c>
      <c r="I3762" s="471" t="s">
        <v>281</v>
      </c>
      <c r="J3762" s="470" t="s">
        <v>494</v>
      </c>
      <c r="K3762" s="470" t="s">
        <v>495</v>
      </c>
      <c r="L3762" s="471" t="s">
        <v>496</v>
      </c>
      <c r="M3762" s="471">
        <v>10</v>
      </c>
      <c r="N3762" s="471">
        <v>1</v>
      </c>
      <c r="O3762" s="471">
        <v>20</v>
      </c>
      <c r="P3762" s="471">
        <v>0</v>
      </c>
      <c r="Q3762" s="471">
        <v>20</v>
      </c>
      <c r="R3762" s="1322">
        <v>103</v>
      </c>
      <c r="S3762" s="1319">
        <v>2060</v>
      </c>
      <c r="T3762" s="466" t="s">
        <v>3961</v>
      </c>
      <c r="U3762" s="765" t="s">
        <v>13137</v>
      </c>
      <c r="V3762" s="526" t="s">
        <v>12095</v>
      </c>
      <c r="W3762" s="766" t="s">
        <v>497</v>
      </c>
      <c r="X3762" s="18"/>
      <c r="Y3762" s="4"/>
      <c r="Z3762" s="4"/>
    </row>
    <row r="3763" spans="1:26" ht="14.1" hidden="1">
      <c r="A3763" s="20">
        <f t="shared" si="216"/>
        <v>3770</v>
      </c>
      <c r="B3763" s="1063">
        <v>43540</v>
      </c>
      <c r="C3763" s="961" t="s">
        <v>13169</v>
      </c>
      <c r="D3763" s="11" t="s">
        <v>6</v>
      </c>
      <c r="E3763" s="678" t="s">
        <v>13136</v>
      </c>
      <c r="F3763" s="987" t="s">
        <v>11441</v>
      </c>
      <c r="G3763" s="282" t="s">
        <v>13170</v>
      </c>
      <c r="H3763" s="282" t="s">
        <v>13171</v>
      </c>
      <c r="I3763" s="282" t="s">
        <v>574</v>
      </c>
      <c r="J3763" s="282" t="s">
        <v>3661</v>
      </c>
      <c r="K3763" s="282" t="s">
        <v>3662</v>
      </c>
      <c r="L3763" s="282" t="s">
        <v>12118</v>
      </c>
      <c r="M3763" s="282">
        <v>8</v>
      </c>
      <c r="N3763" s="282">
        <v>10</v>
      </c>
      <c r="O3763" s="282">
        <v>10</v>
      </c>
      <c r="P3763" s="282">
        <v>7</v>
      </c>
      <c r="Q3763" s="217">
        <v>27</v>
      </c>
      <c r="R3763" s="1322">
        <v>170</v>
      </c>
      <c r="S3763" s="1319">
        <v>1700</v>
      </c>
      <c r="T3763" s="687" t="s">
        <v>3961</v>
      </c>
      <c r="U3763" s="765" t="s">
        <v>13137</v>
      </c>
      <c r="V3763" s="20" t="s">
        <v>12095</v>
      </c>
      <c r="W3763" s="684" t="s">
        <v>13172</v>
      </c>
      <c r="X3763" s="18"/>
      <c r="Y3763" s="4"/>
      <c r="Z3763" s="4"/>
    </row>
    <row r="3764" spans="1:26" ht="16.5" hidden="1" customHeight="1">
      <c r="A3764" s="20">
        <f t="shared" si="216"/>
        <v>3771</v>
      </c>
      <c r="B3764" s="1063">
        <v>43541</v>
      </c>
      <c r="C3764" s="961" t="s">
        <v>13173</v>
      </c>
      <c r="D3764" s="11" t="s">
        <v>6</v>
      </c>
      <c r="E3764" s="678" t="s">
        <v>13136</v>
      </c>
      <c r="F3764" s="987" t="s">
        <v>11441</v>
      </c>
      <c r="G3764" s="472" t="s">
        <v>13174</v>
      </c>
      <c r="H3764" s="225" t="s">
        <v>3243</v>
      </c>
      <c r="I3764" s="282" t="s">
        <v>574</v>
      </c>
      <c r="J3764" s="282" t="s">
        <v>5138</v>
      </c>
      <c r="K3764" s="282" t="s">
        <v>5139</v>
      </c>
      <c r="L3764" s="282" t="s">
        <v>12099</v>
      </c>
      <c r="M3764" s="282">
        <v>12</v>
      </c>
      <c r="N3764" s="282">
        <v>10</v>
      </c>
      <c r="O3764" s="282">
        <v>20</v>
      </c>
      <c r="P3764" s="282">
        <v>4</v>
      </c>
      <c r="Q3764" s="217">
        <v>24</v>
      </c>
      <c r="R3764" s="1318">
        <v>14</v>
      </c>
      <c r="S3764" s="1319">
        <v>280</v>
      </c>
      <c r="T3764" s="466" t="s">
        <v>3961</v>
      </c>
      <c r="U3764" s="765" t="s">
        <v>13137</v>
      </c>
      <c r="V3764" s="20" t="s">
        <v>12095</v>
      </c>
      <c r="W3764" s="684" t="s">
        <v>12113</v>
      </c>
      <c r="X3764" s="18"/>
      <c r="Y3764" s="4"/>
      <c r="Z3764" s="4"/>
    </row>
    <row r="3765" spans="1:26" ht="14.1" hidden="1">
      <c r="A3765" s="20">
        <f t="shared" si="216"/>
        <v>3772</v>
      </c>
      <c r="B3765" s="1063">
        <v>43542</v>
      </c>
      <c r="C3765" s="961" t="s">
        <v>555</v>
      </c>
      <c r="D3765" s="11" t="s">
        <v>6</v>
      </c>
      <c r="E3765" s="678" t="s">
        <v>13136</v>
      </c>
      <c r="F3765" s="987" t="s">
        <v>11441</v>
      </c>
      <c r="G3765" s="678" t="s">
        <v>13175</v>
      </c>
      <c r="H3765" s="282" t="s">
        <v>3243</v>
      </c>
      <c r="I3765" s="282" t="s">
        <v>574</v>
      </c>
      <c r="J3765" s="282" t="s">
        <v>3582</v>
      </c>
      <c r="K3765" s="282" t="s">
        <v>3583</v>
      </c>
      <c r="L3765" s="282" t="s">
        <v>12118</v>
      </c>
      <c r="M3765" s="282">
        <v>6</v>
      </c>
      <c r="N3765" s="282">
        <v>1</v>
      </c>
      <c r="O3765" s="282">
        <v>10</v>
      </c>
      <c r="P3765" s="282">
        <v>0</v>
      </c>
      <c r="Q3765" s="217">
        <v>10</v>
      </c>
      <c r="R3765" s="1319">
        <v>57</v>
      </c>
      <c r="S3765" s="1319">
        <v>570</v>
      </c>
      <c r="T3765" s="687" t="s">
        <v>3961</v>
      </c>
      <c r="U3765" s="765" t="s">
        <v>13137</v>
      </c>
      <c r="V3765" s="20" t="s">
        <v>12095</v>
      </c>
      <c r="W3765" s="684" t="s">
        <v>13176</v>
      </c>
      <c r="X3765" s="18"/>
      <c r="Y3765" s="4"/>
      <c r="Z3765" s="4"/>
    </row>
    <row r="3766" spans="1:26" ht="14.1" hidden="1">
      <c r="A3766" s="20">
        <f t="shared" si="216"/>
        <v>3773</v>
      </c>
      <c r="B3766" s="1063">
        <v>43543</v>
      </c>
      <c r="C3766" s="999" t="s">
        <v>13177</v>
      </c>
      <c r="D3766" s="11" t="s">
        <v>6</v>
      </c>
      <c r="E3766" s="678" t="s">
        <v>13136</v>
      </c>
      <c r="F3766" s="987" t="s">
        <v>11441</v>
      </c>
      <c r="G3766" s="333" t="s">
        <v>3585</v>
      </c>
      <c r="H3766" s="333" t="s">
        <v>1853</v>
      </c>
      <c r="I3766" s="333" t="s">
        <v>574</v>
      </c>
      <c r="J3766" s="333" t="s">
        <v>3586</v>
      </c>
      <c r="K3766" s="333" t="s">
        <v>3587</v>
      </c>
      <c r="L3766" s="333" t="s">
        <v>13178</v>
      </c>
      <c r="M3766" s="333">
        <v>6</v>
      </c>
      <c r="N3766" s="333">
        <v>1</v>
      </c>
      <c r="O3766" s="333">
        <v>10</v>
      </c>
      <c r="P3766" s="333">
        <v>0</v>
      </c>
      <c r="Q3766" s="333">
        <v>10</v>
      </c>
      <c r="R3766" s="1320">
        <v>35</v>
      </c>
      <c r="S3766" s="1319">
        <v>350</v>
      </c>
      <c r="T3766" s="282" t="s">
        <v>3961</v>
      </c>
      <c r="U3766" s="765" t="s">
        <v>13137</v>
      </c>
      <c r="V3766" s="20" t="s">
        <v>12095</v>
      </c>
      <c r="W3766" s="764" t="s">
        <v>3589</v>
      </c>
      <c r="X3766" s="18"/>
      <c r="Y3766" s="4"/>
      <c r="Z3766" s="4"/>
    </row>
    <row r="3767" spans="1:26" ht="14.1" hidden="1">
      <c r="A3767" s="20">
        <f t="shared" si="216"/>
        <v>3774</v>
      </c>
      <c r="B3767" s="1063">
        <v>43544</v>
      </c>
      <c r="C3767" s="999" t="s">
        <v>13177</v>
      </c>
      <c r="D3767" s="11" t="s">
        <v>6</v>
      </c>
      <c r="E3767" s="678" t="s">
        <v>13136</v>
      </c>
      <c r="F3767" s="987" t="s">
        <v>11441</v>
      </c>
      <c r="G3767" s="333" t="s">
        <v>3590</v>
      </c>
      <c r="H3767" s="333" t="s">
        <v>1853</v>
      </c>
      <c r="I3767" s="333" t="s">
        <v>574</v>
      </c>
      <c r="J3767" s="333" t="s">
        <v>3591</v>
      </c>
      <c r="K3767" s="333" t="s">
        <v>3592</v>
      </c>
      <c r="L3767" s="333" t="s">
        <v>13178</v>
      </c>
      <c r="M3767" s="333">
        <v>3</v>
      </c>
      <c r="N3767" s="333">
        <v>1</v>
      </c>
      <c r="O3767" s="333">
        <v>10</v>
      </c>
      <c r="P3767" s="333">
        <v>0</v>
      </c>
      <c r="Q3767" s="333">
        <v>10</v>
      </c>
      <c r="R3767" s="1320">
        <v>35</v>
      </c>
      <c r="S3767" s="1319">
        <v>350</v>
      </c>
      <c r="T3767" s="282" t="s">
        <v>3961</v>
      </c>
      <c r="U3767" s="765" t="s">
        <v>13137</v>
      </c>
      <c r="V3767" s="20" t="s">
        <v>12095</v>
      </c>
      <c r="W3767" s="764" t="s">
        <v>3593</v>
      </c>
      <c r="X3767" s="18"/>
      <c r="Y3767" s="4"/>
      <c r="Z3767" s="4"/>
    </row>
    <row r="3768" spans="1:26" ht="14.1" hidden="1">
      <c r="A3768" s="20">
        <f t="shared" si="216"/>
        <v>3775</v>
      </c>
      <c r="B3768" s="1063">
        <v>43545</v>
      </c>
      <c r="C3768" s="999" t="s">
        <v>13177</v>
      </c>
      <c r="D3768" s="11" t="s">
        <v>6</v>
      </c>
      <c r="E3768" s="678" t="s">
        <v>13136</v>
      </c>
      <c r="F3768" s="987" t="s">
        <v>11441</v>
      </c>
      <c r="G3768" s="333" t="s">
        <v>3594</v>
      </c>
      <c r="H3768" s="333" t="s">
        <v>1853</v>
      </c>
      <c r="I3768" s="333" t="s">
        <v>574</v>
      </c>
      <c r="J3768" s="333" t="s">
        <v>3595</v>
      </c>
      <c r="K3768" s="333" t="s">
        <v>3596</v>
      </c>
      <c r="L3768" s="333" t="s">
        <v>13178</v>
      </c>
      <c r="M3768" s="333">
        <v>3</v>
      </c>
      <c r="N3768" s="333">
        <v>1</v>
      </c>
      <c r="O3768" s="333">
        <v>10</v>
      </c>
      <c r="P3768" s="333">
        <v>0</v>
      </c>
      <c r="Q3768" s="333">
        <v>10</v>
      </c>
      <c r="R3768" s="1320">
        <v>35</v>
      </c>
      <c r="S3768" s="1319">
        <v>350</v>
      </c>
      <c r="T3768" s="282" t="s">
        <v>3961</v>
      </c>
      <c r="U3768" s="765" t="s">
        <v>13137</v>
      </c>
      <c r="V3768" s="20" t="s">
        <v>12095</v>
      </c>
      <c r="W3768" s="764" t="s">
        <v>3597</v>
      </c>
      <c r="X3768" s="18"/>
      <c r="Y3768" s="4"/>
      <c r="Z3768" s="4"/>
    </row>
    <row r="3769" spans="1:26" ht="14.1" hidden="1">
      <c r="A3769" s="20">
        <f t="shared" si="216"/>
        <v>3776</v>
      </c>
      <c r="B3769" s="1063">
        <v>43546</v>
      </c>
      <c r="C3769" s="999" t="s">
        <v>13177</v>
      </c>
      <c r="D3769" s="11" t="s">
        <v>6</v>
      </c>
      <c r="E3769" s="678" t="s">
        <v>13136</v>
      </c>
      <c r="F3769" s="987" t="s">
        <v>11441</v>
      </c>
      <c r="G3769" s="333" t="s">
        <v>3598</v>
      </c>
      <c r="H3769" s="333" t="s">
        <v>1853</v>
      </c>
      <c r="I3769" s="333" t="s">
        <v>574</v>
      </c>
      <c r="J3769" s="333" t="s">
        <v>3599</v>
      </c>
      <c r="K3769" s="333" t="s">
        <v>3600</v>
      </c>
      <c r="L3769" s="333" t="s">
        <v>13178</v>
      </c>
      <c r="M3769" s="333">
        <v>3</v>
      </c>
      <c r="N3769" s="333">
        <v>1</v>
      </c>
      <c r="O3769" s="333">
        <v>10</v>
      </c>
      <c r="P3769" s="333">
        <v>0</v>
      </c>
      <c r="Q3769" s="333">
        <v>10</v>
      </c>
      <c r="R3769" s="1320">
        <v>35</v>
      </c>
      <c r="S3769" s="1319">
        <v>350</v>
      </c>
      <c r="T3769" s="282" t="s">
        <v>3961</v>
      </c>
      <c r="U3769" s="765" t="s">
        <v>13137</v>
      </c>
      <c r="V3769" s="20" t="s">
        <v>12095</v>
      </c>
      <c r="W3769" s="764" t="s">
        <v>3601</v>
      </c>
      <c r="X3769" s="18"/>
      <c r="Y3769" s="4"/>
      <c r="Z3769" s="4"/>
    </row>
    <row r="3770" spans="1:26" ht="14.1" hidden="1">
      <c r="A3770" s="20">
        <f t="shared" si="216"/>
        <v>3777</v>
      </c>
      <c r="B3770" s="1063">
        <v>43547</v>
      </c>
      <c r="C3770" s="934" t="s">
        <v>13179</v>
      </c>
      <c r="D3770" s="11"/>
      <c r="E3770" s="204" t="s">
        <v>2722</v>
      </c>
      <c r="F3770" s="934" t="s">
        <v>13180</v>
      </c>
      <c r="G3770" s="461" t="s">
        <v>13181</v>
      </c>
      <c r="H3770" s="204" t="s">
        <v>13182</v>
      </c>
      <c r="I3770" s="204" t="s">
        <v>4634</v>
      </c>
      <c r="J3770" s="204" t="s">
        <v>13183</v>
      </c>
      <c r="K3770" s="204" t="s">
        <v>3977</v>
      </c>
      <c r="L3770" s="204" t="s">
        <v>13184</v>
      </c>
      <c r="M3770" s="204">
        <v>5</v>
      </c>
      <c r="N3770" s="204">
        <v>1</v>
      </c>
      <c r="O3770" s="204">
        <v>20</v>
      </c>
      <c r="P3770" s="204">
        <v>3</v>
      </c>
      <c r="Q3770" s="572">
        <v>23</v>
      </c>
      <c r="R3770" s="1273">
        <v>489.2</v>
      </c>
      <c r="S3770" s="1209">
        <v>9784</v>
      </c>
      <c r="T3770" s="204" t="s">
        <v>3961</v>
      </c>
      <c r="U3770" s="1901" t="s">
        <v>13185</v>
      </c>
      <c r="V3770" s="572" t="s">
        <v>12095</v>
      </c>
      <c r="W3770" s="804" t="s">
        <v>13186</v>
      </c>
      <c r="X3770" s="18"/>
      <c r="Y3770" s="4"/>
      <c r="Z3770" s="4"/>
    </row>
    <row r="3771" spans="1:26" ht="14.1" hidden="1">
      <c r="A3771" s="20">
        <f t="shared" si="216"/>
        <v>3778</v>
      </c>
      <c r="B3771" s="1063">
        <v>43548</v>
      </c>
      <c r="C3771" s="934" t="s">
        <v>13187</v>
      </c>
      <c r="D3771" s="11"/>
      <c r="E3771" s="204" t="s">
        <v>2722</v>
      </c>
      <c r="F3771" s="934" t="s">
        <v>1378</v>
      </c>
      <c r="G3771" s="235" t="s">
        <v>13188</v>
      </c>
      <c r="H3771" s="204" t="s">
        <v>4077</v>
      </c>
      <c r="I3771" s="204" t="s">
        <v>4077</v>
      </c>
      <c r="J3771" s="204">
        <v>210406618347</v>
      </c>
      <c r="K3771" s="204"/>
      <c r="L3771" s="204"/>
      <c r="M3771" s="204">
        <v>300</v>
      </c>
      <c r="N3771" s="204">
        <v>10</v>
      </c>
      <c r="O3771" s="204">
        <v>300</v>
      </c>
      <c r="P3771" s="204">
        <v>0</v>
      </c>
      <c r="Q3771" s="572">
        <v>300</v>
      </c>
      <c r="R3771" s="1209">
        <v>7663</v>
      </c>
      <c r="S3771" s="1209">
        <v>7663</v>
      </c>
      <c r="T3771" s="204" t="s">
        <v>3064</v>
      </c>
      <c r="U3771" s="1901"/>
      <c r="V3771" s="572"/>
      <c r="W3771" s="681" t="s">
        <v>13189</v>
      </c>
      <c r="X3771" s="18"/>
      <c r="Y3771" s="4"/>
      <c r="Z3771" s="4"/>
    </row>
    <row r="3772" spans="1:26" ht="72.599999999999994" hidden="1">
      <c r="A3772" s="200">
        <f t="shared" si="216"/>
        <v>3779</v>
      </c>
      <c r="B3772" s="1063">
        <v>43549</v>
      </c>
      <c r="C3772" s="970" t="s">
        <v>10700</v>
      </c>
      <c r="D3772" s="717"/>
      <c r="E3772" s="717"/>
      <c r="F3772" s="1052" t="s">
        <v>10696</v>
      </c>
      <c r="G3772" s="473" t="s">
        <v>10701</v>
      </c>
      <c r="H3772" s="738" t="s">
        <v>713</v>
      </c>
      <c r="I3772" s="738" t="s">
        <v>10702</v>
      </c>
      <c r="J3772" s="738" t="s">
        <v>13190</v>
      </c>
      <c r="K3772" s="738"/>
      <c r="L3772" s="738"/>
      <c r="M3772" s="738">
        <v>4</v>
      </c>
      <c r="N3772" s="738">
        <v>1</v>
      </c>
      <c r="O3772" s="738">
        <v>8</v>
      </c>
      <c r="P3772" s="738">
        <v>2</v>
      </c>
      <c r="Q3772" s="691">
        <v>10</v>
      </c>
      <c r="R3772" s="1234">
        <v>10500</v>
      </c>
      <c r="S3772" s="1234">
        <f>R3772*O3772</f>
        <v>84000</v>
      </c>
      <c r="T3772" s="723" t="s">
        <v>9485</v>
      </c>
      <c r="U3772" s="1934" t="s">
        <v>3646</v>
      </c>
      <c r="V3772" s="718" t="s">
        <v>352</v>
      </c>
      <c r="W3772" s="2137" t="s">
        <v>10703</v>
      </c>
      <c r="X3772" s="56"/>
      <c r="Y3772" s="57"/>
      <c r="Z3772" s="57"/>
    </row>
    <row r="3773" spans="1:26" ht="18" hidden="1">
      <c r="A3773" s="20">
        <f t="shared" si="216"/>
        <v>3780</v>
      </c>
      <c r="B3773" s="1063">
        <v>43550</v>
      </c>
      <c r="C3773" s="985" t="s">
        <v>12179</v>
      </c>
      <c r="D3773" s="11"/>
      <c r="E3773" s="204" t="s">
        <v>13191</v>
      </c>
      <c r="F3773" s="985" t="s">
        <v>11544</v>
      </c>
      <c r="G3773" s="683" t="s">
        <v>12180</v>
      </c>
      <c r="H3773" s="683" t="s">
        <v>651</v>
      </c>
      <c r="I3773" s="683" t="s">
        <v>11870</v>
      </c>
      <c r="J3773" s="683" t="s">
        <v>12091</v>
      </c>
      <c r="K3773" s="678" t="s">
        <v>12092</v>
      </c>
      <c r="L3773" s="298"/>
      <c r="M3773" s="298">
        <v>12</v>
      </c>
      <c r="N3773" s="298">
        <v>10</v>
      </c>
      <c r="O3773" s="298">
        <v>2</v>
      </c>
      <c r="P3773" s="298">
        <v>0</v>
      </c>
      <c r="Q3773" s="669">
        <v>8</v>
      </c>
      <c r="R3773" s="1209">
        <v>6.7</v>
      </c>
      <c r="S3773" s="1209">
        <f>6.7*20</f>
        <v>134</v>
      </c>
      <c r="T3773" s="683" t="s">
        <v>3961</v>
      </c>
      <c r="U3773" s="740" t="s">
        <v>9486</v>
      </c>
      <c r="V3773" s="204" t="s">
        <v>12095</v>
      </c>
      <c r="W3773" s="767" t="s">
        <v>12181</v>
      </c>
      <c r="X3773" s="18"/>
      <c r="Y3773" s="4"/>
      <c r="Z3773" s="4"/>
    </row>
    <row r="3774" spans="1:26" ht="18" hidden="1">
      <c r="A3774" s="20">
        <f t="shared" si="216"/>
        <v>3781</v>
      </c>
      <c r="B3774" s="1063">
        <v>43551</v>
      </c>
      <c r="C3774" s="986" t="s">
        <v>12182</v>
      </c>
      <c r="D3774" s="11"/>
      <c r="E3774" s="204" t="s">
        <v>13191</v>
      </c>
      <c r="F3774" s="934" t="s">
        <v>11544</v>
      </c>
      <c r="G3774" s="298" t="s">
        <v>12183</v>
      </c>
      <c r="H3774" s="298" t="s">
        <v>184</v>
      </c>
      <c r="I3774" s="298" t="s">
        <v>11870</v>
      </c>
      <c r="J3774" s="298" t="s">
        <v>12164</v>
      </c>
      <c r="K3774" s="298" t="s">
        <v>12184</v>
      </c>
      <c r="L3774" s="298"/>
      <c r="M3774" s="298">
        <v>2</v>
      </c>
      <c r="N3774" s="298">
        <v>1</v>
      </c>
      <c r="O3774" s="298">
        <v>4</v>
      </c>
      <c r="P3774" s="298">
        <v>0</v>
      </c>
      <c r="Q3774" s="669">
        <v>2</v>
      </c>
      <c r="R3774" s="1209">
        <v>20</v>
      </c>
      <c r="S3774" s="1209">
        <v>80</v>
      </c>
      <c r="T3774" s="298" t="s">
        <v>3961</v>
      </c>
      <c r="U3774" s="1537" t="s">
        <v>9486</v>
      </c>
      <c r="V3774" s="204" t="s">
        <v>12095</v>
      </c>
      <c r="W3774" s="768" t="s">
        <v>12185</v>
      </c>
      <c r="X3774" s="18"/>
      <c r="Y3774" s="4"/>
      <c r="Z3774" s="4"/>
    </row>
    <row r="3775" spans="1:26" ht="18" hidden="1">
      <c r="A3775" s="20">
        <f t="shared" si="216"/>
        <v>3782</v>
      </c>
      <c r="B3775" s="1063">
        <v>43552</v>
      </c>
      <c r="C3775" s="986" t="s">
        <v>12258</v>
      </c>
      <c r="D3775" s="11"/>
      <c r="E3775" s="204" t="s">
        <v>13191</v>
      </c>
      <c r="F3775" s="934" t="s">
        <v>11544</v>
      </c>
      <c r="G3775" s="474" t="s">
        <v>13192</v>
      </c>
      <c r="H3775" s="475" t="s">
        <v>651</v>
      </c>
      <c r="I3775" s="298" t="s">
        <v>574</v>
      </c>
      <c r="J3775" s="298" t="s">
        <v>12260</v>
      </c>
      <c r="K3775" s="298" t="s">
        <v>12261</v>
      </c>
      <c r="L3775" s="298"/>
      <c r="M3775" s="298">
        <v>4</v>
      </c>
      <c r="N3775" s="298">
        <v>1</v>
      </c>
      <c r="O3775" s="298">
        <v>6</v>
      </c>
      <c r="P3775" s="298">
        <v>0</v>
      </c>
      <c r="Q3775" s="669">
        <v>2</v>
      </c>
      <c r="R3775" s="1209">
        <v>89</v>
      </c>
      <c r="S3775" s="1209">
        <f>89*6</f>
        <v>534</v>
      </c>
      <c r="T3775" s="298" t="s">
        <v>3961</v>
      </c>
      <c r="U3775" s="1537" t="s">
        <v>9486</v>
      </c>
      <c r="V3775" s="204" t="s">
        <v>12095</v>
      </c>
      <c r="W3775" s="768" t="s">
        <v>12262</v>
      </c>
      <c r="X3775" s="18"/>
      <c r="Y3775" s="4"/>
      <c r="Z3775" s="4"/>
    </row>
    <row r="3776" spans="1:26" ht="18" hidden="1">
      <c r="A3776" s="20">
        <f t="shared" si="216"/>
        <v>3783</v>
      </c>
      <c r="B3776" s="1063">
        <v>43553</v>
      </c>
      <c r="C3776" s="986" t="s">
        <v>12205</v>
      </c>
      <c r="D3776" s="11"/>
      <c r="E3776" s="204" t="s">
        <v>13191</v>
      </c>
      <c r="F3776" s="934" t="s">
        <v>11544</v>
      </c>
      <c r="G3776" s="298" t="s">
        <v>13193</v>
      </c>
      <c r="H3776" s="298" t="s">
        <v>3243</v>
      </c>
      <c r="I3776" s="298" t="s">
        <v>11870</v>
      </c>
      <c r="J3776" s="298" t="s">
        <v>3582</v>
      </c>
      <c r="K3776" s="298" t="s">
        <v>3583</v>
      </c>
      <c r="L3776" s="298"/>
      <c r="M3776" s="298">
        <v>12</v>
      </c>
      <c r="N3776" s="298">
        <v>10</v>
      </c>
      <c r="O3776" s="298">
        <v>2</v>
      </c>
      <c r="P3776" s="298">
        <v>2</v>
      </c>
      <c r="Q3776" s="669">
        <v>10</v>
      </c>
      <c r="R3776" s="1209">
        <v>40.200000000000003</v>
      </c>
      <c r="S3776" s="1209">
        <v>804</v>
      </c>
      <c r="T3776" s="298" t="s">
        <v>3961</v>
      </c>
      <c r="U3776" s="1537" t="s">
        <v>9486</v>
      </c>
      <c r="V3776" s="204" t="s">
        <v>12095</v>
      </c>
      <c r="W3776" s="768" t="s">
        <v>12207</v>
      </c>
      <c r="X3776" s="18"/>
      <c r="Y3776" s="4"/>
      <c r="Z3776" s="4"/>
    </row>
    <row r="3777" spans="1:26" ht="18" hidden="1">
      <c r="A3777" s="20">
        <f t="shared" si="216"/>
        <v>3784</v>
      </c>
      <c r="B3777" s="1063">
        <v>43554</v>
      </c>
      <c r="C3777" s="986" t="s">
        <v>12186</v>
      </c>
      <c r="D3777" s="11"/>
      <c r="E3777" s="204" t="s">
        <v>13191</v>
      </c>
      <c r="F3777" s="934" t="s">
        <v>11544</v>
      </c>
      <c r="G3777" s="298" t="s">
        <v>12187</v>
      </c>
      <c r="H3777" s="298" t="s">
        <v>641</v>
      </c>
      <c r="I3777" s="298" t="s">
        <v>11870</v>
      </c>
      <c r="J3777" s="298" t="s">
        <v>12188</v>
      </c>
      <c r="K3777" s="298" t="s">
        <v>8300</v>
      </c>
      <c r="L3777" s="204"/>
      <c r="M3777" s="204">
        <v>22</v>
      </c>
      <c r="N3777" s="204">
        <v>10</v>
      </c>
      <c r="O3777" s="204">
        <v>3</v>
      </c>
      <c r="P3777" s="204">
        <v>0</v>
      </c>
      <c r="Q3777" s="572">
        <v>8</v>
      </c>
      <c r="R3777" s="1209">
        <v>15</v>
      </c>
      <c r="S3777" s="1209">
        <f>R3777*O3777</f>
        <v>45</v>
      </c>
      <c r="T3777" s="298" t="s">
        <v>3961</v>
      </c>
      <c r="U3777" s="1537" t="s">
        <v>9486</v>
      </c>
      <c r="V3777" s="204" t="s">
        <v>12095</v>
      </c>
      <c r="W3777" s="768" t="s">
        <v>12189</v>
      </c>
      <c r="X3777" s="18"/>
      <c r="Y3777" s="4"/>
      <c r="Z3777" s="4"/>
    </row>
    <row r="3778" spans="1:26" ht="18" hidden="1">
      <c r="A3778" s="20">
        <f t="shared" si="216"/>
        <v>3785</v>
      </c>
      <c r="B3778" s="1063">
        <v>43555</v>
      </c>
      <c r="C3778" s="986" t="s">
        <v>12190</v>
      </c>
      <c r="D3778" s="11"/>
      <c r="E3778" s="204" t="s">
        <v>13191</v>
      </c>
      <c r="F3778" s="934" t="s">
        <v>11544</v>
      </c>
      <c r="G3778" s="298" t="s">
        <v>12191</v>
      </c>
      <c r="H3778" s="298" t="s">
        <v>651</v>
      </c>
      <c r="I3778" s="298" t="s">
        <v>11870</v>
      </c>
      <c r="J3778" s="298" t="s">
        <v>12192</v>
      </c>
      <c r="K3778" s="298" t="s">
        <v>12193</v>
      </c>
      <c r="L3778" s="204"/>
      <c r="M3778" s="204">
        <v>2</v>
      </c>
      <c r="N3778" s="204">
        <v>1</v>
      </c>
      <c r="O3778" s="204">
        <v>4</v>
      </c>
      <c r="P3778" s="204">
        <v>0</v>
      </c>
      <c r="Q3778" s="572">
        <v>2</v>
      </c>
      <c r="R3778" s="1209">
        <v>25</v>
      </c>
      <c r="S3778" s="1209">
        <v>100</v>
      </c>
      <c r="T3778" s="298" t="s">
        <v>3961</v>
      </c>
      <c r="U3778" s="1537" t="s">
        <v>9486</v>
      </c>
      <c r="V3778" s="204" t="s">
        <v>12095</v>
      </c>
      <c r="W3778" s="768" t="s">
        <v>12194</v>
      </c>
      <c r="X3778" s="18"/>
      <c r="Y3778" s="4"/>
      <c r="Z3778" s="4"/>
    </row>
    <row r="3779" spans="1:26" ht="18" hidden="1">
      <c r="A3779" s="20">
        <f t="shared" si="216"/>
        <v>3786</v>
      </c>
      <c r="B3779" s="1063">
        <v>43556</v>
      </c>
      <c r="C3779" s="986" t="s">
        <v>12208</v>
      </c>
      <c r="D3779" s="11"/>
      <c r="E3779" s="204" t="s">
        <v>13191</v>
      </c>
      <c r="F3779" s="934" t="s">
        <v>11544</v>
      </c>
      <c r="G3779" s="298" t="s">
        <v>12209</v>
      </c>
      <c r="H3779" s="298" t="s">
        <v>184</v>
      </c>
      <c r="I3779" s="298" t="s">
        <v>11870</v>
      </c>
      <c r="J3779" s="298" t="s">
        <v>13194</v>
      </c>
      <c r="K3779" s="298" t="s">
        <v>12211</v>
      </c>
      <c r="L3779" s="204"/>
      <c r="M3779" s="204">
        <v>4</v>
      </c>
      <c r="N3779" s="204">
        <v>1</v>
      </c>
      <c r="O3779" s="204">
        <v>4</v>
      </c>
      <c r="P3779" s="204">
        <v>2</v>
      </c>
      <c r="Q3779" s="572">
        <v>2</v>
      </c>
      <c r="R3779" s="1209">
        <v>24</v>
      </c>
      <c r="S3779" s="1209">
        <v>96</v>
      </c>
      <c r="T3779" s="298" t="s">
        <v>3961</v>
      </c>
      <c r="U3779" s="1537" t="s">
        <v>9486</v>
      </c>
      <c r="V3779" s="204" t="s">
        <v>12095</v>
      </c>
      <c r="W3779" s="768" t="s">
        <v>12212</v>
      </c>
      <c r="X3779" s="18"/>
      <c r="Y3779" s="4"/>
      <c r="Z3779" s="4"/>
    </row>
    <row r="3780" spans="1:26" ht="18" hidden="1">
      <c r="A3780" s="20">
        <f t="shared" si="216"/>
        <v>3787</v>
      </c>
      <c r="B3780" s="1063">
        <v>43557</v>
      </c>
      <c r="C3780" s="986" t="s">
        <v>12200</v>
      </c>
      <c r="D3780" s="11"/>
      <c r="E3780" s="204" t="s">
        <v>13191</v>
      </c>
      <c r="F3780" s="934" t="s">
        <v>11544</v>
      </c>
      <c r="G3780" s="298" t="s">
        <v>12201</v>
      </c>
      <c r="H3780" s="298" t="s">
        <v>184</v>
      </c>
      <c r="I3780" s="298" t="s">
        <v>11870</v>
      </c>
      <c r="J3780" s="282" t="s">
        <v>12202</v>
      </c>
      <c r="K3780" s="298" t="s">
        <v>12203</v>
      </c>
      <c r="L3780" s="204"/>
      <c r="M3780" s="204">
        <v>6</v>
      </c>
      <c r="N3780" s="204">
        <v>1</v>
      </c>
      <c r="O3780" s="204">
        <v>6</v>
      </c>
      <c r="P3780" s="204">
        <v>3</v>
      </c>
      <c r="Q3780" s="572">
        <v>3</v>
      </c>
      <c r="R3780" s="1209">
        <v>11</v>
      </c>
      <c r="S3780" s="1209">
        <v>66</v>
      </c>
      <c r="T3780" s="298" t="s">
        <v>3961</v>
      </c>
      <c r="U3780" s="1537" t="s">
        <v>9486</v>
      </c>
      <c r="V3780" s="204" t="s">
        <v>12095</v>
      </c>
      <c r="W3780" s="768" t="s">
        <v>12204</v>
      </c>
      <c r="X3780" s="18"/>
      <c r="Y3780" s="4"/>
      <c r="Z3780" s="4"/>
    </row>
    <row r="3781" spans="1:26" ht="14.1" hidden="1">
      <c r="A3781" s="20">
        <f t="shared" si="216"/>
        <v>3788</v>
      </c>
      <c r="B3781" s="1063">
        <v>43558</v>
      </c>
      <c r="C3781" s="986" t="s">
        <v>5792</v>
      </c>
      <c r="D3781" s="11"/>
      <c r="E3781" s="204" t="s">
        <v>13191</v>
      </c>
      <c r="F3781" s="934" t="s">
        <v>11544</v>
      </c>
      <c r="G3781" s="298" t="s">
        <v>492</v>
      </c>
      <c r="H3781" s="298" t="s">
        <v>3676</v>
      </c>
      <c r="I3781" s="298" t="s">
        <v>11870</v>
      </c>
      <c r="J3781" s="298" t="s">
        <v>494</v>
      </c>
      <c r="K3781" s="298" t="s">
        <v>495</v>
      </c>
      <c r="L3781" s="204"/>
      <c r="M3781" s="204">
        <v>4</v>
      </c>
      <c r="N3781" s="204">
        <v>1</v>
      </c>
      <c r="O3781" s="204">
        <v>6</v>
      </c>
      <c r="P3781" s="204">
        <v>0</v>
      </c>
      <c r="Q3781" s="572">
        <v>2</v>
      </c>
      <c r="R3781" s="1209">
        <v>103</v>
      </c>
      <c r="S3781" s="1209">
        <v>618</v>
      </c>
      <c r="T3781" s="298" t="s">
        <v>3961</v>
      </c>
      <c r="U3781" s="1537" t="s">
        <v>9486</v>
      </c>
      <c r="V3781" s="204" t="s">
        <v>12095</v>
      </c>
      <c r="W3781" s="769" t="s">
        <v>13195</v>
      </c>
      <c r="X3781" s="18"/>
      <c r="Y3781" s="4"/>
      <c r="Z3781" s="4"/>
    </row>
    <row r="3782" spans="1:26" ht="18" hidden="1">
      <c r="A3782" s="20">
        <f t="shared" si="216"/>
        <v>3789</v>
      </c>
      <c r="B3782" s="1063">
        <v>43559</v>
      </c>
      <c r="C3782" s="986" t="s">
        <v>12222</v>
      </c>
      <c r="D3782" s="11"/>
      <c r="E3782" s="204" t="s">
        <v>13191</v>
      </c>
      <c r="F3782" s="934" t="s">
        <v>11544</v>
      </c>
      <c r="G3782" s="298" t="s">
        <v>12223</v>
      </c>
      <c r="H3782" s="476" t="s">
        <v>1216</v>
      </c>
      <c r="I3782" s="298" t="s">
        <v>11870</v>
      </c>
      <c r="J3782" s="298" t="s">
        <v>12224</v>
      </c>
      <c r="K3782" s="282" t="s">
        <v>12225</v>
      </c>
      <c r="L3782" s="204"/>
      <c r="M3782" s="204">
        <v>2</v>
      </c>
      <c r="N3782" s="204">
        <v>1</v>
      </c>
      <c r="O3782" s="204">
        <v>2</v>
      </c>
      <c r="P3782" s="204">
        <v>1</v>
      </c>
      <c r="Q3782" s="572">
        <v>1</v>
      </c>
      <c r="R3782" s="1209">
        <v>222</v>
      </c>
      <c r="S3782" s="1209">
        <v>444</v>
      </c>
      <c r="T3782" s="298" t="s">
        <v>3961</v>
      </c>
      <c r="U3782" s="1537" t="s">
        <v>9486</v>
      </c>
      <c r="V3782" s="204" t="s">
        <v>12095</v>
      </c>
      <c r="W3782" s="768" t="s">
        <v>12226</v>
      </c>
      <c r="X3782" s="18"/>
      <c r="Y3782" s="4"/>
      <c r="Z3782" s="4"/>
    </row>
    <row r="3783" spans="1:26" ht="18" hidden="1">
      <c r="A3783" s="20">
        <f t="shared" si="216"/>
        <v>3790</v>
      </c>
      <c r="B3783" s="1063">
        <v>43560</v>
      </c>
      <c r="C3783" s="986" t="s">
        <v>10787</v>
      </c>
      <c r="D3783" s="11"/>
      <c r="E3783" s="204" t="s">
        <v>13191</v>
      </c>
      <c r="F3783" s="934" t="s">
        <v>11544</v>
      </c>
      <c r="G3783" s="298" t="s">
        <v>3004</v>
      </c>
      <c r="H3783" s="477" t="s">
        <v>1260</v>
      </c>
      <c r="I3783" s="298" t="s">
        <v>11870</v>
      </c>
      <c r="J3783" s="282" t="s">
        <v>3006</v>
      </c>
      <c r="K3783" s="299" t="s">
        <v>3007</v>
      </c>
      <c r="L3783" s="204"/>
      <c r="M3783" s="204">
        <v>2</v>
      </c>
      <c r="N3783" s="204">
        <v>1</v>
      </c>
      <c r="O3783" s="204">
        <v>3</v>
      </c>
      <c r="P3783" s="204">
        <v>0</v>
      </c>
      <c r="Q3783" s="572">
        <v>1</v>
      </c>
      <c r="R3783" s="1209">
        <v>1395</v>
      </c>
      <c r="S3783" s="1209">
        <f>1395*3</f>
        <v>4185</v>
      </c>
      <c r="T3783" s="298" t="s">
        <v>3961</v>
      </c>
      <c r="U3783" s="1537" t="s">
        <v>9486</v>
      </c>
      <c r="V3783" s="204" t="s">
        <v>12095</v>
      </c>
      <c r="W3783" s="768" t="s">
        <v>12176</v>
      </c>
      <c r="X3783" s="18"/>
      <c r="Y3783" s="4"/>
      <c r="Z3783" s="4"/>
    </row>
    <row r="3784" spans="1:26" ht="18" hidden="1">
      <c r="A3784" s="20">
        <f t="shared" si="216"/>
        <v>3791</v>
      </c>
      <c r="B3784" s="1063">
        <v>43561</v>
      </c>
      <c r="C3784" s="986" t="s">
        <v>10787</v>
      </c>
      <c r="D3784" s="11"/>
      <c r="E3784" s="204" t="s">
        <v>13191</v>
      </c>
      <c r="F3784" s="934" t="s">
        <v>11544</v>
      </c>
      <c r="G3784" s="298" t="s">
        <v>12177</v>
      </c>
      <c r="H3784" s="298" t="s">
        <v>1073</v>
      </c>
      <c r="I3784" s="298" t="s">
        <v>11870</v>
      </c>
      <c r="J3784" s="282" t="s">
        <v>2970</v>
      </c>
      <c r="K3784" s="282" t="s">
        <v>2971</v>
      </c>
      <c r="L3784" s="204"/>
      <c r="M3784" s="204">
        <v>2</v>
      </c>
      <c r="N3784" s="204">
        <v>1</v>
      </c>
      <c r="O3784" s="204">
        <v>3</v>
      </c>
      <c r="P3784" s="204">
        <v>0</v>
      </c>
      <c r="Q3784" s="572">
        <v>1</v>
      </c>
      <c r="R3784" s="1209">
        <v>351</v>
      </c>
      <c r="S3784" s="1209">
        <v>1053</v>
      </c>
      <c r="T3784" s="298" t="s">
        <v>3961</v>
      </c>
      <c r="U3784" s="1537" t="s">
        <v>9486</v>
      </c>
      <c r="V3784" s="204" t="s">
        <v>12095</v>
      </c>
      <c r="W3784" s="768" t="s">
        <v>12178</v>
      </c>
      <c r="X3784" s="18"/>
      <c r="Y3784" s="4"/>
      <c r="Z3784" s="4"/>
    </row>
    <row r="3785" spans="1:26" ht="18" hidden="1">
      <c r="A3785" s="20">
        <f t="shared" si="216"/>
        <v>3792</v>
      </c>
      <c r="B3785" s="1063">
        <v>43562</v>
      </c>
      <c r="C3785" s="934" t="s">
        <v>13196</v>
      </c>
      <c r="D3785" s="11"/>
      <c r="E3785" s="204" t="s">
        <v>13191</v>
      </c>
      <c r="F3785" s="934" t="s">
        <v>11544</v>
      </c>
      <c r="G3785" s="204" t="s">
        <v>10783</v>
      </c>
      <c r="H3785" s="478" t="s">
        <v>10785</v>
      </c>
      <c r="I3785" s="204" t="s">
        <v>11870</v>
      </c>
      <c r="J3785" s="479" t="s">
        <v>13197</v>
      </c>
      <c r="K3785" s="479" t="s">
        <v>10785</v>
      </c>
      <c r="L3785" s="204"/>
      <c r="M3785" s="204">
        <v>2</v>
      </c>
      <c r="N3785" s="204">
        <v>1</v>
      </c>
      <c r="O3785" s="204">
        <v>3</v>
      </c>
      <c r="P3785" s="204">
        <v>0</v>
      </c>
      <c r="Q3785" s="572">
        <v>1</v>
      </c>
      <c r="R3785" s="1209">
        <v>2022</v>
      </c>
      <c r="S3785" s="1209">
        <v>6066</v>
      </c>
      <c r="T3785" s="683" t="s">
        <v>3961</v>
      </c>
      <c r="U3785" s="740" t="s">
        <v>9486</v>
      </c>
      <c r="V3785" s="204" t="s">
        <v>12095</v>
      </c>
      <c r="W3785" s="2138" t="s">
        <v>13198</v>
      </c>
      <c r="X3785" s="18"/>
      <c r="Y3785" s="4"/>
      <c r="Z3785" s="4"/>
    </row>
    <row r="3786" spans="1:26" ht="18" hidden="1">
      <c r="A3786" s="20">
        <f t="shared" si="216"/>
        <v>3793</v>
      </c>
      <c r="B3786" s="1063">
        <v>43563</v>
      </c>
      <c r="C3786" s="934" t="s">
        <v>12171</v>
      </c>
      <c r="D3786" s="11"/>
      <c r="E3786" s="204" t="s">
        <v>13191</v>
      </c>
      <c r="F3786" s="934" t="s">
        <v>11544</v>
      </c>
      <c r="G3786" s="463" t="s">
        <v>13199</v>
      </c>
      <c r="H3786" s="204" t="s">
        <v>243</v>
      </c>
      <c r="I3786" s="204" t="s">
        <v>4634</v>
      </c>
      <c r="J3786" s="235" t="s">
        <v>13200</v>
      </c>
      <c r="K3786" s="235" t="s">
        <v>13201</v>
      </c>
      <c r="L3786" s="204"/>
      <c r="M3786" s="204">
        <v>2</v>
      </c>
      <c r="N3786" s="204">
        <v>1</v>
      </c>
      <c r="O3786" s="204">
        <v>3</v>
      </c>
      <c r="P3786" s="204">
        <v>0</v>
      </c>
      <c r="Q3786" s="572">
        <v>1</v>
      </c>
      <c r="R3786" s="1209">
        <v>643.20000000000005</v>
      </c>
      <c r="S3786" s="1209">
        <v>1929.6</v>
      </c>
      <c r="T3786" s="298" t="s">
        <v>3961</v>
      </c>
      <c r="U3786" s="1537" t="s">
        <v>9486</v>
      </c>
      <c r="V3786" s="204" t="s">
        <v>12095</v>
      </c>
      <c r="W3786" s="2139" t="s">
        <v>13202</v>
      </c>
      <c r="X3786" s="18"/>
      <c r="Y3786" s="4"/>
      <c r="Z3786" s="4"/>
    </row>
    <row r="3787" spans="1:26" ht="18" hidden="1">
      <c r="A3787" s="20">
        <f t="shared" si="216"/>
        <v>3794</v>
      </c>
      <c r="B3787" s="1063">
        <v>43564</v>
      </c>
      <c r="C3787" s="934" t="s">
        <v>12171</v>
      </c>
      <c r="D3787" s="11"/>
      <c r="E3787" s="204" t="s">
        <v>13191</v>
      </c>
      <c r="F3787" s="934" t="s">
        <v>11544</v>
      </c>
      <c r="G3787" s="480" t="s">
        <v>13203</v>
      </c>
      <c r="H3787" s="478" t="s">
        <v>7921</v>
      </c>
      <c r="I3787" s="204" t="s">
        <v>11870</v>
      </c>
      <c r="J3787" s="479" t="s">
        <v>12173</v>
      </c>
      <c r="K3787" s="479" t="s">
        <v>12174</v>
      </c>
      <c r="L3787" s="204"/>
      <c r="M3787" s="204">
        <v>4</v>
      </c>
      <c r="N3787" s="204">
        <v>1</v>
      </c>
      <c r="O3787" s="204">
        <v>5</v>
      </c>
      <c r="P3787" s="204">
        <v>0</v>
      </c>
      <c r="Q3787" s="572">
        <v>1</v>
      </c>
      <c r="R3787" s="1209">
        <v>383</v>
      </c>
      <c r="S3787" s="1209">
        <v>1915</v>
      </c>
      <c r="T3787" s="298" t="s">
        <v>3961</v>
      </c>
      <c r="U3787" s="1537" t="s">
        <v>9486</v>
      </c>
      <c r="V3787" s="204" t="s">
        <v>12095</v>
      </c>
      <c r="W3787" s="2139" t="s">
        <v>13204</v>
      </c>
      <c r="X3787" s="18"/>
      <c r="Y3787" s="4"/>
      <c r="Z3787" s="4"/>
    </row>
    <row r="3788" spans="1:26" ht="18" hidden="1">
      <c r="A3788" s="20">
        <f t="shared" si="216"/>
        <v>3795</v>
      </c>
      <c r="B3788" s="1063">
        <v>43565</v>
      </c>
      <c r="C3788" s="934" t="s">
        <v>13205</v>
      </c>
      <c r="D3788" s="11"/>
      <c r="E3788" s="204" t="s">
        <v>13191</v>
      </c>
      <c r="F3788" s="934" t="s">
        <v>11544</v>
      </c>
      <c r="G3788" s="480" t="s">
        <v>13206</v>
      </c>
      <c r="H3788" s="478" t="s">
        <v>1078</v>
      </c>
      <c r="I3788" s="204" t="s">
        <v>11870</v>
      </c>
      <c r="J3788" s="479" t="s">
        <v>1267</v>
      </c>
      <c r="K3788" s="479" t="s">
        <v>1268</v>
      </c>
      <c r="L3788" s="204"/>
      <c r="M3788" s="204">
        <v>10</v>
      </c>
      <c r="N3788" s="204">
        <v>10</v>
      </c>
      <c r="O3788" s="204">
        <v>1</v>
      </c>
      <c r="P3788" s="204">
        <v>4</v>
      </c>
      <c r="Q3788" s="572">
        <v>4</v>
      </c>
      <c r="R3788" s="1209">
        <v>11466</v>
      </c>
      <c r="S3788" s="1209">
        <v>11466</v>
      </c>
      <c r="T3788" s="298" t="s">
        <v>3961</v>
      </c>
      <c r="U3788" s="1537" t="s">
        <v>9486</v>
      </c>
      <c r="V3788" s="204" t="s">
        <v>12095</v>
      </c>
      <c r="W3788" s="2139" t="s">
        <v>13207</v>
      </c>
      <c r="X3788" s="18"/>
      <c r="Y3788" s="4"/>
      <c r="Z3788" s="4"/>
    </row>
    <row r="3789" spans="1:26" ht="18" hidden="1">
      <c r="A3789" s="20">
        <f t="shared" si="216"/>
        <v>3796</v>
      </c>
      <c r="B3789" s="1063">
        <v>43566</v>
      </c>
      <c r="C3789" s="934" t="s">
        <v>13208</v>
      </c>
      <c r="D3789" s="11"/>
      <c r="E3789" s="204" t="s">
        <v>13191</v>
      </c>
      <c r="F3789" s="934" t="s">
        <v>11544</v>
      </c>
      <c r="G3789" s="480" t="s">
        <v>10769</v>
      </c>
      <c r="H3789" s="478" t="s">
        <v>460</v>
      </c>
      <c r="I3789" s="204" t="s">
        <v>11870</v>
      </c>
      <c r="J3789" s="479" t="s">
        <v>13209</v>
      </c>
      <c r="K3789" s="479" t="s">
        <v>13210</v>
      </c>
      <c r="L3789" s="204"/>
      <c r="M3789" s="204">
        <v>2</v>
      </c>
      <c r="N3789" s="204">
        <v>1</v>
      </c>
      <c r="O3789" s="204">
        <v>3</v>
      </c>
      <c r="P3789" s="204">
        <v>0</v>
      </c>
      <c r="Q3789" s="572">
        <v>1</v>
      </c>
      <c r="R3789" s="1209">
        <v>1217</v>
      </c>
      <c r="S3789" s="1209">
        <v>3651</v>
      </c>
      <c r="T3789" s="298" t="s">
        <v>3961</v>
      </c>
      <c r="U3789" s="1537" t="s">
        <v>9486</v>
      </c>
      <c r="V3789" s="204" t="s">
        <v>12095</v>
      </c>
      <c r="W3789" s="2139" t="s">
        <v>13211</v>
      </c>
      <c r="X3789" s="18"/>
      <c r="Y3789" s="4"/>
      <c r="Z3789" s="4"/>
    </row>
    <row r="3790" spans="1:26" ht="18" hidden="1">
      <c r="A3790" s="20">
        <f t="shared" si="216"/>
        <v>3797</v>
      </c>
      <c r="B3790" s="1063">
        <v>43567</v>
      </c>
      <c r="C3790" s="934" t="s">
        <v>12877</v>
      </c>
      <c r="D3790" s="11"/>
      <c r="E3790" s="204" t="s">
        <v>13191</v>
      </c>
      <c r="F3790" s="934" t="s">
        <v>11544</v>
      </c>
      <c r="G3790" s="463" t="s">
        <v>13212</v>
      </c>
      <c r="H3790" s="183" t="s">
        <v>460</v>
      </c>
      <c r="I3790" s="204" t="s">
        <v>4634</v>
      </c>
      <c r="J3790" s="235" t="s">
        <v>13213</v>
      </c>
      <c r="K3790" s="235" t="s">
        <v>13214</v>
      </c>
      <c r="L3790" s="204"/>
      <c r="M3790" s="204">
        <v>2</v>
      </c>
      <c r="N3790" s="204">
        <v>1</v>
      </c>
      <c r="O3790" s="204">
        <v>3</v>
      </c>
      <c r="P3790" s="204">
        <v>0</v>
      </c>
      <c r="Q3790" s="572">
        <v>1</v>
      </c>
      <c r="R3790" s="1209">
        <v>56.2</v>
      </c>
      <c r="S3790" s="1209">
        <f>56.2*3</f>
        <v>168.60000000000002</v>
      </c>
      <c r="T3790" s="298" t="s">
        <v>3961</v>
      </c>
      <c r="U3790" s="1537" t="s">
        <v>9486</v>
      </c>
      <c r="V3790" s="204" t="s">
        <v>12095</v>
      </c>
      <c r="W3790" s="2139" t="s">
        <v>13215</v>
      </c>
      <c r="X3790" s="18"/>
      <c r="Y3790" s="4"/>
      <c r="Z3790" s="4"/>
    </row>
    <row r="3791" spans="1:26" ht="18" hidden="1">
      <c r="A3791" s="20">
        <f t="shared" si="216"/>
        <v>3798</v>
      </c>
      <c r="B3791" s="1063">
        <v>43568</v>
      </c>
      <c r="C3791" s="934" t="s">
        <v>12877</v>
      </c>
      <c r="D3791" s="11"/>
      <c r="E3791" s="204" t="s">
        <v>13191</v>
      </c>
      <c r="F3791" s="934" t="s">
        <v>11544</v>
      </c>
      <c r="G3791" s="480" t="s">
        <v>13216</v>
      </c>
      <c r="H3791" s="478" t="s">
        <v>460</v>
      </c>
      <c r="I3791" s="204" t="s">
        <v>11870</v>
      </c>
      <c r="J3791" s="479" t="s">
        <v>13217</v>
      </c>
      <c r="K3791" s="479" t="s">
        <v>13218</v>
      </c>
      <c r="L3791" s="204"/>
      <c r="M3791" s="204">
        <v>2</v>
      </c>
      <c r="N3791" s="204">
        <v>1</v>
      </c>
      <c r="O3791" s="204">
        <v>3</v>
      </c>
      <c r="P3791" s="204">
        <v>0</v>
      </c>
      <c r="Q3791" s="572">
        <v>1</v>
      </c>
      <c r="R3791" s="1209">
        <v>178</v>
      </c>
      <c r="S3791" s="1209">
        <f>178*3</f>
        <v>534</v>
      </c>
      <c r="T3791" s="298" t="s">
        <v>3961</v>
      </c>
      <c r="U3791" s="1537" t="s">
        <v>9486</v>
      </c>
      <c r="V3791" s="204" t="s">
        <v>12095</v>
      </c>
      <c r="W3791" s="768" t="s">
        <v>13219</v>
      </c>
      <c r="X3791" s="18"/>
      <c r="Y3791" s="4"/>
      <c r="Z3791" s="4"/>
    </row>
    <row r="3792" spans="1:26" ht="18" hidden="1">
      <c r="A3792" s="20">
        <f t="shared" si="216"/>
        <v>3799</v>
      </c>
      <c r="B3792" s="1063">
        <v>43569</v>
      </c>
      <c r="C3792" s="934" t="s">
        <v>12877</v>
      </c>
      <c r="D3792" s="11"/>
      <c r="E3792" s="204" t="s">
        <v>13191</v>
      </c>
      <c r="F3792" s="934" t="s">
        <v>11544</v>
      </c>
      <c r="G3792" s="480" t="s">
        <v>13220</v>
      </c>
      <c r="H3792" s="481" t="s">
        <v>460</v>
      </c>
      <c r="I3792" s="204" t="s">
        <v>11870</v>
      </c>
      <c r="J3792" s="479" t="s">
        <v>2985</v>
      </c>
      <c r="K3792" s="479" t="s">
        <v>2986</v>
      </c>
      <c r="L3792" s="204"/>
      <c r="M3792" s="204">
        <v>2</v>
      </c>
      <c r="N3792" s="204">
        <v>1</v>
      </c>
      <c r="O3792" s="204">
        <v>2</v>
      </c>
      <c r="P3792" s="204">
        <v>1</v>
      </c>
      <c r="Q3792" s="572">
        <v>1</v>
      </c>
      <c r="R3792" s="1209">
        <v>225</v>
      </c>
      <c r="S3792" s="1209">
        <f>225*2</f>
        <v>450</v>
      </c>
      <c r="T3792" s="298" t="s">
        <v>3961</v>
      </c>
      <c r="U3792" s="1537" t="s">
        <v>9486</v>
      </c>
      <c r="V3792" s="204" t="s">
        <v>12095</v>
      </c>
      <c r="W3792" s="2139" t="s">
        <v>13221</v>
      </c>
      <c r="X3792" s="18"/>
      <c r="Y3792" s="4"/>
      <c r="Z3792" s="4"/>
    </row>
    <row r="3793" spans="1:26" ht="18" hidden="1">
      <c r="A3793" s="20">
        <f t="shared" si="216"/>
        <v>3800</v>
      </c>
      <c r="B3793" s="1063">
        <v>43570</v>
      </c>
      <c r="C3793" s="934" t="s">
        <v>339</v>
      </c>
      <c r="D3793" s="11"/>
      <c r="E3793" s="204" t="s">
        <v>13191</v>
      </c>
      <c r="F3793" s="934" t="s">
        <v>11544</v>
      </c>
      <c r="G3793" s="480" t="s">
        <v>13222</v>
      </c>
      <c r="H3793" s="204" t="s">
        <v>1865</v>
      </c>
      <c r="I3793" s="204" t="s">
        <v>11870</v>
      </c>
      <c r="J3793" s="479" t="s">
        <v>585</v>
      </c>
      <c r="K3793" s="479" t="s">
        <v>586</v>
      </c>
      <c r="L3793" s="204"/>
      <c r="M3793" s="204">
        <v>4</v>
      </c>
      <c r="N3793" s="204">
        <v>1</v>
      </c>
      <c r="O3793" s="204">
        <v>6</v>
      </c>
      <c r="P3793" s="204">
        <v>0</v>
      </c>
      <c r="Q3793" s="572">
        <v>2</v>
      </c>
      <c r="R3793" s="1209">
        <v>52</v>
      </c>
      <c r="S3793" s="1209">
        <v>312</v>
      </c>
      <c r="T3793" s="298" t="s">
        <v>3961</v>
      </c>
      <c r="U3793" s="1537" t="s">
        <v>9486</v>
      </c>
      <c r="V3793" s="204" t="s">
        <v>12095</v>
      </c>
      <c r="W3793" s="2139" t="s">
        <v>5321</v>
      </c>
      <c r="X3793" s="18"/>
      <c r="Y3793" s="4"/>
      <c r="Z3793" s="4"/>
    </row>
    <row r="3794" spans="1:26" ht="18" hidden="1">
      <c r="A3794" s="20">
        <f t="shared" si="216"/>
        <v>3801</v>
      </c>
      <c r="B3794" s="1063">
        <v>43571</v>
      </c>
      <c r="C3794" s="932" t="s">
        <v>1828</v>
      </c>
      <c r="D3794" s="11"/>
      <c r="E3794" s="204" t="s">
        <v>13191</v>
      </c>
      <c r="F3794" s="934" t="s">
        <v>11544</v>
      </c>
      <c r="G3794" s="480" t="s">
        <v>13223</v>
      </c>
      <c r="H3794" s="204" t="s">
        <v>1073</v>
      </c>
      <c r="I3794" s="204" t="s">
        <v>11870</v>
      </c>
      <c r="J3794" s="479" t="s">
        <v>13224</v>
      </c>
      <c r="K3794" s="479" t="s">
        <v>13225</v>
      </c>
      <c r="L3794" s="204"/>
      <c r="M3794" s="204">
        <v>4</v>
      </c>
      <c r="N3794" s="204">
        <v>1</v>
      </c>
      <c r="O3794" s="204">
        <v>6</v>
      </c>
      <c r="P3794" s="204">
        <v>0</v>
      </c>
      <c r="Q3794" s="572">
        <v>2</v>
      </c>
      <c r="R3794" s="1209">
        <v>552</v>
      </c>
      <c r="S3794" s="1209">
        <f>552*6</f>
        <v>3312</v>
      </c>
      <c r="T3794" s="298" t="s">
        <v>3961</v>
      </c>
      <c r="U3794" s="1537" t="s">
        <v>9486</v>
      </c>
      <c r="V3794" s="204" t="s">
        <v>12095</v>
      </c>
      <c r="W3794" s="2139" t="s">
        <v>12130</v>
      </c>
      <c r="X3794" s="18"/>
      <c r="Y3794" s="4"/>
      <c r="Z3794" s="4"/>
    </row>
    <row r="3795" spans="1:26" ht="18" hidden="1">
      <c r="A3795" s="20">
        <f t="shared" si="216"/>
        <v>3802</v>
      </c>
      <c r="B3795" s="1063">
        <v>43572</v>
      </c>
      <c r="C3795" s="934" t="s">
        <v>5288</v>
      </c>
      <c r="D3795" s="11"/>
      <c r="E3795" s="204" t="s">
        <v>13191</v>
      </c>
      <c r="F3795" s="934" t="s">
        <v>11544</v>
      </c>
      <c r="G3795" s="480" t="s">
        <v>9723</v>
      </c>
      <c r="H3795" s="204" t="s">
        <v>1853</v>
      </c>
      <c r="I3795" s="204" t="s">
        <v>11870</v>
      </c>
      <c r="J3795" s="479" t="s">
        <v>599</v>
      </c>
      <c r="K3795" s="479" t="s">
        <v>1991</v>
      </c>
      <c r="L3795" s="204"/>
      <c r="M3795" s="204">
        <v>6</v>
      </c>
      <c r="N3795" s="204">
        <v>0</v>
      </c>
      <c r="O3795" s="204">
        <v>10</v>
      </c>
      <c r="P3795" s="204">
        <v>0</v>
      </c>
      <c r="Q3795" s="572">
        <v>4</v>
      </c>
      <c r="R3795" s="1209">
        <v>20.5</v>
      </c>
      <c r="S3795" s="1209">
        <v>205</v>
      </c>
      <c r="T3795" s="298" t="s">
        <v>3961</v>
      </c>
      <c r="U3795" s="1537" t="s">
        <v>9486</v>
      </c>
      <c r="V3795" s="204" t="s">
        <v>12095</v>
      </c>
      <c r="W3795" s="2139" t="s">
        <v>602</v>
      </c>
      <c r="X3795" s="18"/>
      <c r="Y3795" s="4"/>
      <c r="Z3795" s="4"/>
    </row>
    <row r="3796" spans="1:26" ht="69.95" hidden="1">
      <c r="A3796" s="20">
        <f t="shared" si="216"/>
        <v>3803</v>
      </c>
      <c r="B3796" s="1063">
        <v>43573</v>
      </c>
      <c r="C3796" s="1000" t="s">
        <v>13226</v>
      </c>
      <c r="D3796" s="11" t="s">
        <v>6</v>
      </c>
      <c r="E3796" s="204" t="s">
        <v>13191</v>
      </c>
      <c r="F3796" s="1053" t="s">
        <v>10696</v>
      </c>
      <c r="G3796" s="483" t="s">
        <v>10701</v>
      </c>
      <c r="H3796" s="484" t="s">
        <v>713</v>
      </c>
      <c r="I3796" s="484" t="s">
        <v>10702</v>
      </c>
      <c r="J3796" s="485" t="s">
        <v>13190</v>
      </c>
      <c r="K3796" s="484" t="s">
        <v>1</v>
      </c>
      <c r="L3796" s="484" t="s">
        <v>13227</v>
      </c>
      <c r="M3796" s="484">
        <v>6</v>
      </c>
      <c r="N3796" s="484">
        <v>1</v>
      </c>
      <c r="O3796" s="484">
        <v>10</v>
      </c>
      <c r="P3796" s="484">
        <v>0</v>
      </c>
      <c r="Q3796" s="771">
        <v>10</v>
      </c>
      <c r="R3796" s="1323">
        <v>10500</v>
      </c>
      <c r="S3796" s="1323">
        <f t="shared" ref="S3796:S3804" si="222">R3796*O3796</f>
        <v>105000</v>
      </c>
      <c r="T3796" s="770" t="s">
        <v>9485</v>
      </c>
      <c r="U3796" s="1935" t="s">
        <v>3646</v>
      </c>
      <c r="V3796" s="488" t="s">
        <v>352</v>
      </c>
      <c r="W3796" s="2140" t="s">
        <v>10703</v>
      </c>
      <c r="X3796" s="18"/>
      <c r="Y3796" s="4"/>
      <c r="Z3796" s="4"/>
    </row>
    <row r="3797" spans="1:26" ht="14.1" hidden="1">
      <c r="A3797" s="20">
        <f t="shared" si="216"/>
        <v>3804</v>
      </c>
      <c r="B3797" s="1063">
        <v>43574</v>
      </c>
      <c r="C3797" s="1000" t="s">
        <v>12142</v>
      </c>
      <c r="D3797" s="11" t="s">
        <v>6</v>
      </c>
      <c r="E3797" s="204" t="s">
        <v>2645</v>
      </c>
      <c r="F3797" s="1001" t="s">
        <v>10696</v>
      </c>
      <c r="G3797" s="486" t="s">
        <v>12143</v>
      </c>
      <c r="H3797" s="485" t="s">
        <v>10706</v>
      </c>
      <c r="I3797" s="485" t="s">
        <v>10706</v>
      </c>
      <c r="J3797" s="487" t="s">
        <v>12144</v>
      </c>
      <c r="K3797" s="485" t="s">
        <v>1</v>
      </c>
      <c r="L3797" s="485" t="s">
        <v>13227</v>
      </c>
      <c r="M3797" s="485">
        <v>1</v>
      </c>
      <c r="N3797" s="485">
        <v>1</v>
      </c>
      <c r="O3797" s="485">
        <v>2</v>
      </c>
      <c r="P3797" s="485">
        <v>0</v>
      </c>
      <c r="Q3797" s="488">
        <v>2</v>
      </c>
      <c r="R3797" s="1323">
        <v>17100</v>
      </c>
      <c r="S3797" s="1323">
        <f t="shared" si="222"/>
        <v>34200</v>
      </c>
      <c r="T3797" s="485" t="s">
        <v>3961</v>
      </c>
      <c r="U3797" s="1936" t="s">
        <v>3646</v>
      </c>
      <c r="V3797" s="488" t="s">
        <v>12095</v>
      </c>
      <c r="W3797" s="2073" t="s">
        <v>12145</v>
      </c>
      <c r="X3797" s="18"/>
      <c r="Y3797" s="4"/>
      <c r="Z3797" s="4"/>
    </row>
    <row r="3798" spans="1:26" ht="14.1" hidden="1">
      <c r="A3798" s="20">
        <f t="shared" si="216"/>
        <v>3805</v>
      </c>
      <c r="B3798" s="1063">
        <v>43575</v>
      </c>
      <c r="C3798" s="1001" t="s">
        <v>12142</v>
      </c>
      <c r="D3798" s="11" t="s">
        <v>6</v>
      </c>
      <c r="E3798" s="204" t="s">
        <v>13191</v>
      </c>
      <c r="F3798" s="1053" t="s">
        <v>10696</v>
      </c>
      <c r="G3798" s="343" t="s">
        <v>10709</v>
      </c>
      <c r="H3798" s="484" t="s">
        <v>10706</v>
      </c>
      <c r="I3798" s="484" t="s">
        <v>10706</v>
      </c>
      <c r="J3798" s="485" t="s">
        <v>13228</v>
      </c>
      <c r="K3798" s="482" t="s">
        <v>1</v>
      </c>
      <c r="L3798" s="484" t="s">
        <v>13227</v>
      </c>
      <c r="M3798" s="484">
        <v>1</v>
      </c>
      <c r="N3798" s="484">
        <v>1</v>
      </c>
      <c r="O3798" s="484">
        <v>2</v>
      </c>
      <c r="P3798" s="484">
        <v>0</v>
      </c>
      <c r="Q3798" s="771">
        <v>2</v>
      </c>
      <c r="R3798" s="1323">
        <v>11600</v>
      </c>
      <c r="S3798" s="1323">
        <f t="shared" si="222"/>
        <v>23200</v>
      </c>
      <c r="T3798" s="770" t="s">
        <v>9485</v>
      </c>
      <c r="U3798" s="1935" t="s">
        <v>3646</v>
      </c>
      <c r="V3798" s="488" t="s">
        <v>352</v>
      </c>
      <c r="W3798" s="772" t="s">
        <v>10711</v>
      </c>
      <c r="X3798" s="18"/>
      <c r="Y3798" s="4"/>
      <c r="Z3798" s="4"/>
    </row>
    <row r="3799" spans="1:26" ht="14.1" hidden="1">
      <c r="A3799" s="20">
        <f t="shared" si="216"/>
        <v>3806</v>
      </c>
      <c r="B3799" s="1063">
        <v>43576</v>
      </c>
      <c r="C3799" s="1001" t="s">
        <v>12142</v>
      </c>
      <c r="D3799" s="11" t="s">
        <v>6</v>
      </c>
      <c r="E3799" s="204" t="s">
        <v>13191</v>
      </c>
      <c r="F3799" s="1053" t="s">
        <v>10696</v>
      </c>
      <c r="G3799" s="343" t="s">
        <v>10712</v>
      </c>
      <c r="H3799" s="484" t="s">
        <v>10706</v>
      </c>
      <c r="I3799" s="484" t="s">
        <v>10706</v>
      </c>
      <c r="J3799" s="485" t="s">
        <v>13229</v>
      </c>
      <c r="K3799" s="482" t="s">
        <v>1</v>
      </c>
      <c r="L3799" s="484" t="s">
        <v>13227</v>
      </c>
      <c r="M3799" s="484">
        <v>1</v>
      </c>
      <c r="N3799" s="484">
        <v>1</v>
      </c>
      <c r="O3799" s="484">
        <v>2</v>
      </c>
      <c r="P3799" s="484">
        <v>0</v>
      </c>
      <c r="Q3799" s="771">
        <v>2</v>
      </c>
      <c r="R3799" s="1323">
        <v>11600</v>
      </c>
      <c r="S3799" s="1323">
        <f t="shared" si="222"/>
        <v>23200</v>
      </c>
      <c r="T3799" s="770" t="s">
        <v>9485</v>
      </c>
      <c r="U3799" s="1935" t="s">
        <v>3646</v>
      </c>
      <c r="V3799" s="488" t="s">
        <v>352</v>
      </c>
      <c r="W3799" s="772" t="s">
        <v>10714</v>
      </c>
      <c r="X3799" s="18"/>
      <c r="Y3799" s="4"/>
      <c r="Z3799" s="4"/>
    </row>
    <row r="3800" spans="1:26" ht="14.1" hidden="1">
      <c r="A3800" s="20">
        <f t="shared" si="216"/>
        <v>3807</v>
      </c>
      <c r="B3800" s="1063">
        <v>43577</v>
      </c>
      <c r="C3800" s="1001" t="s">
        <v>12142</v>
      </c>
      <c r="D3800" s="11" t="s">
        <v>6</v>
      </c>
      <c r="E3800" s="204" t="s">
        <v>13191</v>
      </c>
      <c r="F3800" s="1001" t="s">
        <v>10696</v>
      </c>
      <c r="G3800" s="486" t="s">
        <v>12146</v>
      </c>
      <c r="H3800" s="485" t="s">
        <v>10706</v>
      </c>
      <c r="I3800" s="485" t="s">
        <v>10706</v>
      </c>
      <c r="J3800" s="487" t="s">
        <v>12147</v>
      </c>
      <c r="K3800" s="485" t="s">
        <v>1</v>
      </c>
      <c r="L3800" s="485" t="s">
        <v>13227</v>
      </c>
      <c r="M3800" s="485">
        <v>1</v>
      </c>
      <c r="N3800" s="485">
        <v>1</v>
      </c>
      <c r="O3800" s="485">
        <v>2</v>
      </c>
      <c r="P3800" s="485">
        <v>0</v>
      </c>
      <c r="Q3800" s="488">
        <v>2</v>
      </c>
      <c r="R3800" s="1323">
        <v>17100</v>
      </c>
      <c r="S3800" s="1323">
        <f t="shared" si="222"/>
        <v>34200</v>
      </c>
      <c r="T3800" s="485" t="s">
        <v>3961</v>
      </c>
      <c r="U3800" s="1936" t="s">
        <v>3646</v>
      </c>
      <c r="V3800" s="488" t="s">
        <v>12095</v>
      </c>
      <c r="W3800" s="2073" t="s">
        <v>12148</v>
      </c>
      <c r="X3800" s="18"/>
      <c r="Y3800" s="4"/>
      <c r="Z3800" s="4"/>
    </row>
    <row r="3801" spans="1:26" ht="42" hidden="1">
      <c r="A3801" s="20">
        <f t="shared" si="216"/>
        <v>3808</v>
      </c>
      <c r="B3801" s="1063">
        <v>43578</v>
      </c>
      <c r="C3801" s="1001" t="s">
        <v>13230</v>
      </c>
      <c r="D3801" s="11" t="s">
        <v>6</v>
      </c>
      <c r="E3801" s="204" t="s">
        <v>13191</v>
      </c>
      <c r="F3801" s="1001" t="s">
        <v>10696</v>
      </c>
      <c r="G3801" s="489" t="s">
        <v>13231</v>
      </c>
      <c r="H3801" s="485" t="s">
        <v>2668</v>
      </c>
      <c r="I3801" s="485" t="s">
        <v>11803</v>
      </c>
      <c r="J3801" s="487" t="s">
        <v>13232</v>
      </c>
      <c r="K3801" s="485"/>
      <c r="L3801" s="485" t="s">
        <v>13227</v>
      </c>
      <c r="M3801" s="485">
        <v>6</v>
      </c>
      <c r="N3801" s="485">
        <v>1</v>
      </c>
      <c r="O3801" s="485">
        <v>14</v>
      </c>
      <c r="P3801" s="485">
        <v>0</v>
      </c>
      <c r="Q3801" s="488">
        <v>14</v>
      </c>
      <c r="R3801" s="1323">
        <v>2860</v>
      </c>
      <c r="S3801" s="1323">
        <f t="shared" si="222"/>
        <v>40040</v>
      </c>
      <c r="T3801" s="485" t="s">
        <v>11805</v>
      </c>
      <c r="U3801" s="1936" t="s">
        <v>3646</v>
      </c>
      <c r="V3801" s="488" t="s">
        <v>11783</v>
      </c>
      <c r="W3801" s="2073" t="s">
        <v>13233</v>
      </c>
      <c r="X3801" s="18"/>
      <c r="Y3801" s="4"/>
      <c r="Z3801" s="4"/>
    </row>
    <row r="3802" spans="1:26" ht="42" hidden="1">
      <c r="A3802" s="20">
        <f t="shared" si="216"/>
        <v>3809</v>
      </c>
      <c r="B3802" s="1063">
        <v>43579</v>
      </c>
      <c r="C3802" s="1001" t="s">
        <v>13234</v>
      </c>
      <c r="D3802" s="11" t="s">
        <v>6</v>
      </c>
      <c r="E3802" s="204" t="s">
        <v>13191</v>
      </c>
      <c r="F3802" s="1001" t="s">
        <v>10696</v>
      </c>
      <c r="G3802" s="489" t="s">
        <v>13231</v>
      </c>
      <c r="H3802" s="485" t="s">
        <v>2668</v>
      </c>
      <c r="I3802" s="485" t="s">
        <v>11803</v>
      </c>
      <c r="J3802" s="487" t="s">
        <v>13235</v>
      </c>
      <c r="K3802" s="485"/>
      <c r="L3802" s="485" t="s">
        <v>13227</v>
      </c>
      <c r="M3802" s="485">
        <v>6</v>
      </c>
      <c r="N3802" s="485">
        <v>1</v>
      </c>
      <c r="O3802" s="485">
        <v>6</v>
      </c>
      <c r="P3802" s="485">
        <v>0</v>
      </c>
      <c r="Q3802" s="488">
        <v>6</v>
      </c>
      <c r="R3802" s="1323">
        <v>4400</v>
      </c>
      <c r="S3802" s="1323">
        <f t="shared" si="222"/>
        <v>26400</v>
      </c>
      <c r="T3802" s="485" t="s">
        <v>11805</v>
      </c>
      <c r="U3802" s="1936" t="s">
        <v>3646</v>
      </c>
      <c r="V3802" s="488" t="s">
        <v>11783</v>
      </c>
      <c r="W3802" s="2073" t="s">
        <v>13236</v>
      </c>
      <c r="X3802" s="18"/>
      <c r="Y3802" s="4"/>
      <c r="Z3802" s="4"/>
    </row>
    <row r="3803" spans="1:26" ht="14.1" hidden="1">
      <c r="A3803" s="20">
        <f t="shared" si="216"/>
        <v>3810</v>
      </c>
      <c r="B3803" s="1063">
        <v>43580</v>
      </c>
      <c r="C3803" s="1001" t="s">
        <v>13237</v>
      </c>
      <c r="D3803" s="11" t="s">
        <v>6</v>
      </c>
      <c r="E3803" s="204" t="s">
        <v>13191</v>
      </c>
      <c r="F3803" s="1001" t="s">
        <v>10696</v>
      </c>
      <c r="G3803" s="486" t="s">
        <v>13027</v>
      </c>
      <c r="H3803" s="487" t="s">
        <v>2513</v>
      </c>
      <c r="I3803" s="487" t="s">
        <v>2513</v>
      </c>
      <c r="J3803" s="487" t="s">
        <v>13028</v>
      </c>
      <c r="K3803" s="487" t="s">
        <v>13029</v>
      </c>
      <c r="L3803" s="485" t="s">
        <v>13227</v>
      </c>
      <c r="M3803" s="485">
        <v>8</v>
      </c>
      <c r="N3803" s="485">
        <v>1</v>
      </c>
      <c r="O3803" s="485">
        <v>8</v>
      </c>
      <c r="P3803" s="485">
        <v>2</v>
      </c>
      <c r="Q3803" s="488">
        <v>10</v>
      </c>
      <c r="R3803" s="1323">
        <v>8139</v>
      </c>
      <c r="S3803" s="1323">
        <f t="shared" si="222"/>
        <v>65112</v>
      </c>
      <c r="T3803" s="485" t="s">
        <v>3961</v>
      </c>
      <c r="U3803" s="1936" t="s">
        <v>3646</v>
      </c>
      <c r="V3803" s="488" t="s">
        <v>352</v>
      </c>
      <c r="W3803" s="1184" t="s">
        <v>13030</v>
      </c>
      <c r="X3803" s="18"/>
      <c r="Y3803" s="4"/>
      <c r="Z3803" s="4"/>
    </row>
    <row r="3804" spans="1:26" ht="14.1" hidden="1">
      <c r="A3804" s="20">
        <f t="shared" si="216"/>
        <v>3811</v>
      </c>
      <c r="B3804" s="1063">
        <v>43581</v>
      </c>
      <c r="C3804" s="1001" t="s">
        <v>10972</v>
      </c>
      <c r="D3804" s="11" t="s">
        <v>6</v>
      </c>
      <c r="E3804" s="204" t="s">
        <v>13191</v>
      </c>
      <c r="F3804" s="1001" t="s">
        <v>10696</v>
      </c>
      <c r="G3804" s="489" t="s">
        <v>10973</v>
      </c>
      <c r="H3804" s="485" t="s">
        <v>10968</v>
      </c>
      <c r="I3804" s="485" t="s">
        <v>7274</v>
      </c>
      <c r="J3804" s="485" t="s">
        <v>10974</v>
      </c>
      <c r="K3804" s="485" t="s">
        <v>10975</v>
      </c>
      <c r="L3804" s="485"/>
      <c r="M3804" s="485">
        <v>2</v>
      </c>
      <c r="N3804" s="485">
        <v>1</v>
      </c>
      <c r="O3804" s="485">
        <v>4</v>
      </c>
      <c r="P3804" s="485">
        <v>0</v>
      </c>
      <c r="Q3804" s="488">
        <v>4</v>
      </c>
      <c r="R3804" s="1323">
        <v>2660</v>
      </c>
      <c r="S3804" s="1323">
        <f t="shared" si="222"/>
        <v>10640</v>
      </c>
      <c r="T3804" s="485" t="s">
        <v>9485</v>
      </c>
      <c r="U3804" s="1936" t="s">
        <v>10970</v>
      </c>
      <c r="V3804" s="488" t="s">
        <v>931</v>
      </c>
      <c r="W3804" s="2073" t="s">
        <v>10976</v>
      </c>
      <c r="X3804" s="18"/>
      <c r="Y3804" s="4"/>
      <c r="Z3804" s="4"/>
    </row>
    <row r="3805" spans="1:26" ht="14.1" hidden="1">
      <c r="A3805" s="20">
        <f t="shared" si="216"/>
        <v>3812</v>
      </c>
      <c r="B3805" s="1063">
        <v>43582</v>
      </c>
      <c r="C3805" s="970" t="s">
        <v>5256</v>
      </c>
      <c r="D3805" s="22"/>
      <c r="E3805" s="183"/>
      <c r="F3805" s="970" t="s">
        <v>11434</v>
      </c>
      <c r="G3805" s="717" t="s">
        <v>3286</v>
      </c>
      <c r="H3805" s="717" t="s">
        <v>348</v>
      </c>
      <c r="I3805" s="717" t="s">
        <v>574</v>
      </c>
      <c r="J3805" s="717" t="s">
        <v>2338</v>
      </c>
      <c r="K3805" s="717" t="s">
        <v>2339</v>
      </c>
      <c r="L3805" s="717"/>
      <c r="M3805" s="717">
        <v>5</v>
      </c>
      <c r="N3805" s="717">
        <v>1</v>
      </c>
      <c r="O3805" s="717">
        <v>6</v>
      </c>
      <c r="P3805" s="717">
        <v>4</v>
      </c>
      <c r="Q3805" s="718">
        <v>10</v>
      </c>
      <c r="R3805" s="1234">
        <v>332</v>
      </c>
      <c r="S3805" s="1234">
        <v>1992</v>
      </c>
      <c r="T3805" s="490" t="s">
        <v>3961</v>
      </c>
      <c r="U3805" s="1927" t="s">
        <v>3282</v>
      </c>
      <c r="V3805" s="491" t="s">
        <v>931</v>
      </c>
      <c r="W3805" s="2141" t="s">
        <v>2341</v>
      </c>
      <c r="X3805" s="18"/>
      <c r="Y3805" s="4"/>
      <c r="Z3805" s="4"/>
    </row>
    <row r="3806" spans="1:26" ht="14.1" hidden="1">
      <c r="A3806" s="20">
        <f t="shared" si="216"/>
        <v>3813</v>
      </c>
      <c r="B3806" s="1063">
        <v>43583</v>
      </c>
      <c r="C3806" s="970" t="s">
        <v>13238</v>
      </c>
      <c r="D3806" s="22"/>
      <c r="E3806" s="183"/>
      <c r="F3806" s="970" t="s">
        <v>11434</v>
      </c>
      <c r="G3806" s="717" t="s">
        <v>12336</v>
      </c>
      <c r="H3806" s="717" t="s">
        <v>1085</v>
      </c>
      <c r="I3806" s="717" t="s">
        <v>574</v>
      </c>
      <c r="J3806" s="717" t="s">
        <v>1086</v>
      </c>
      <c r="K3806" s="717" t="s">
        <v>1087</v>
      </c>
      <c r="L3806" s="717"/>
      <c r="M3806" s="717">
        <v>10</v>
      </c>
      <c r="N3806" s="717">
        <v>1</v>
      </c>
      <c r="O3806" s="717">
        <v>12</v>
      </c>
      <c r="P3806" s="717">
        <v>2</v>
      </c>
      <c r="Q3806" s="718">
        <v>14</v>
      </c>
      <c r="R3806" s="1234">
        <v>1439</v>
      </c>
      <c r="S3806" s="1234">
        <v>17268</v>
      </c>
      <c r="T3806" s="490" t="s">
        <v>3961</v>
      </c>
      <c r="U3806" s="1927" t="s">
        <v>3282</v>
      </c>
      <c r="V3806" s="491" t="s">
        <v>931</v>
      </c>
      <c r="W3806" s="2141" t="s">
        <v>1090</v>
      </c>
      <c r="X3806" s="18"/>
      <c r="Y3806" s="4"/>
      <c r="Z3806" s="4"/>
    </row>
    <row r="3807" spans="1:26" ht="14.1" hidden="1">
      <c r="A3807" s="20">
        <f t="shared" si="216"/>
        <v>3814</v>
      </c>
      <c r="B3807" s="1063">
        <v>43584</v>
      </c>
      <c r="C3807" s="970" t="s">
        <v>1077</v>
      </c>
      <c r="D3807" s="22"/>
      <c r="E3807" s="183"/>
      <c r="F3807" s="970" t="s">
        <v>11434</v>
      </c>
      <c r="G3807" s="717" t="s">
        <v>3281</v>
      </c>
      <c r="H3807" s="717" t="s">
        <v>1078</v>
      </c>
      <c r="I3807" s="717" t="s">
        <v>574</v>
      </c>
      <c r="J3807" s="717" t="s">
        <v>1079</v>
      </c>
      <c r="K3807" s="717" t="s">
        <v>1080</v>
      </c>
      <c r="L3807" s="717"/>
      <c r="M3807" s="717">
        <v>10</v>
      </c>
      <c r="N3807" s="717">
        <v>1</v>
      </c>
      <c r="O3807" s="717">
        <v>12</v>
      </c>
      <c r="P3807" s="717">
        <v>3</v>
      </c>
      <c r="Q3807" s="718">
        <v>15</v>
      </c>
      <c r="R3807" s="1234">
        <v>1195</v>
      </c>
      <c r="S3807" s="1234">
        <v>14340</v>
      </c>
      <c r="T3807" s="490" t="s">
        <v>3961</v>
      </c>
      <c r="U3807" s="1927" t="s">
        <v>3282</v>
      </c>
      <c r="V3807" s="491" t="s">
        <v>931</v>
      </c>
      <c r="W3807" s="2141" t="s">
        <v>3283</v>
      </c>
      <c r="X3807" s="18"/>
      <c r="Y3807" s="4"/>
      <c r="Z3807" s="4"/>
    </row>
    <row r="3808" spans="1:26" ht="14.1" hidden="1">
      <c r="A3808" s="20">
        <f t="shared" si="216"/>
        <v>3815</v>
      </c>
      <c r="B3808" s="1063">
        <v>43585</v>
      </c>
      <c r="C3808" s="970" t="s">
        <v>13239</v>
      </c>
      <c r="D3808" s="22"/>
      <c r="E3808" s="183"/>
      <c r="F3808" s="970" t="s">
        <v>11434</v>
      </c>
      <c r="G3808" s="717" t="s">
        <v>3285</v>
      </c>
      <c r="H3808" s="717" t="s">
        <v>1073</v>
      </c>
      <c r="I3808" s="717" t="s">
        <v>574</v>
      </c>
      <c r="J3808" s="717" t="s">
        <v>1074</v>
      </c>
      <c r="K3808" s="717" t="s">
        <v>1075</v>
      </c>
      <c r="L3808" s="717"/>
      <c r="M3808" s="717">
        <v>5</v>
      </c>
      <c r="N3808" s="717">
        <v>1</v>
      </c>
      <c r="O3808" s="717">
        <v>6</v>
      </c>
      <c r="P3808" s="717">
        <v>4</v>
      </c>
      <c r="Q3808" s="718">
        <v>10</v>
      </c>
      <c r="R3808" s="1234">
        <v>238</v>
      </c>
      <c r="S3808" s="1234">
        <v>1428</v>
      </c>
      <c r="T3808" s="490" t="s">
        <v>3961</v>
      </c>
      <c r="U3808" s="1927" t="s">
        <v>3282</v>
      </c>
      <c r="V3808" s="491" t="s">
        <v>931</v>
      </c>
      <c r="W3808" s="2141" t="s">
        <v>1076</v>
      </c>
      <c r="X3808" s="18"/>
      <c r="Y3808" s="4"/>
      <c r="Z3808" s="4"/>
    </row>
    <row r="3809" spans="1:26" ht="14.1" hidden="1">
      <c r="A3809" s="200">
        <f>A3808+1</f>
        <v>3816</v>
      </c>
      <c r="B3809" s="1063">
        <v>43586</v>
      </c>
      <c r="C3809" s="970" t="s">
        <v>5567</v>
      </c>
      <c r="D3809" s="22"/>
      <c r="E3809" s="183"/>
      <c r="F3809" s="970" t="s">
        <v>11438</v>
      </c>
      <c r="G3809" s="717" t="s">
        <v>5568</v>
      </c>
      <c r="H3809" s="200" t="s">
        <v>5569</v>
      </c>
      <c r="I3809" s="717" t="s">
        <v>5569</v>
      </c>
      <c r="J3809" s="717"/>
      <c r="K3809" s="717"/>
      <c r="L3809" s="717"/>
      <c r="M3809" s="717">
        <v>15</v>
      </c>
      <c r="N3809" s="717">
        <v>50</v>
      </c>
      <c r="O3809" s="717">
        <v>50</v>
      </c>
      <c r="P3809" s="717">
        <v>0</v>
      </c>
      <c r="Q3809" s="718">
        <v>50</v>
      </c>
      <c r="R3809" s="1324">
        <v>170</v>
      </c>
      <c r="S3809" s="1324">
        <v>8500</v>
      </c>
      <c r="T3809" s="490" t="s">
        <v>9485</v>
      </c>
      <c r="U3809" s="1927" t="s">
        <v>448</v>
      </c>
      <c r="V3809" s="718" t="s">
        <v>801</v>
      </c>
      <c r="W3809" s="2106"/>
      <c r="X3809" s="56"/>
      <c r="Y3809" s="57"/>
      <c r="Z3809" s="57"/>
    </row>
    <row r="3810" spans="1:26" ht="14.1" hidden="1">
      <c r="A3810" s="20">
        <f t="shared" si="216"/>
        <v>3817</v>
      </c>
      <c r="B3810" s="1063">
        <v>43587</v>
      </c>
      <c r="C3810" s="934" t="s">
        <v>13240</v>
      </c>
      <c r="D3810" s="11" t="s">
        <v>6</v>
      </c>
      <c r="E3810" s="204" t="s">
        <v>62</v>
      </c>
      <c r="F3810" s="934" t="s">
        <v>7782</v>
      </c>
      <c r="G3810" s="204" t="s">
        <v>13241</v>
      </c>
      <c r="H3810" s="204" t="s">
        <v>13242</v>
      </c>
      <c r="I3810" s="204"/>
      <c r="J3810" s="204"/>
      <c r="K3810" s="204"/>
      <c r="L3810" s="204"/>
      <c r="M3810" s="204">
        <v>1</v>
      </c>
      <c r="N3810" s="204">
        <v>1</v>
      </c>
      <c r="O3810" s="204">
        <v>1</v>
      </c>
      <c r="P3810" s="204">
        <v>0</v>
      </c>
      <c r="Q3810" s="572">
        <v>0</v>
      </c>
      <c r="R3810" s="1209">
        <v>1072</v>
      </c>
      <c r="S3810" s="1209">
        <v>1072</v>
      </c>
      <c r="T3810" s="204" t="s">
        <v>422</v>
      </c>
      <c r="U3810" s="1901" t="s">
        <v>422</v>
      </c>
      <c r="V3810" s="572" t="s">
        <v>12577</v>
      </c>
      <c r="W3810" s="804" t="s">
        <v>13243</v>
      </c>
      <c r="X3810" s="18" t="s">
        <v>13244</v>
      </c>
      <c r="Y3810" s="4"/>
      <c r="Z3810" s="4"/>
    </row>
    <row r="3811" spans="1:26" ht="14.1" hidden="1">
      <c r="A3811" s="20">
        <f t="shared" si="216"/>
        <v>3818</v>
      </c>
      <c r="B3811" s="1063">
        <v>43588</v>
      </c>
      <c r="C3811" s="934" t="s">
        <v>3806</v>
      </c>
      <c r="D3811" s="11" t="s">
        <v>6</v>
      </c>
      <c r="E3811" s="204" t="s">
        <v>13136</v>
      </c>
      <c r="F3811" s="934" t="s">
        <v>11323</v>
      </c>
      <c r="G3811" s="204" t="s">
        <v>13245</v>
      </c>
      <c r="H3811" s="204" t="s">
        <v>1715</v>
      </c>
      <c r="I3811" s="204" t="s">
        <v>281</v>
      </c>
      <c r="J3811" s="204" t="s">
        <v>3805</v>
      </c>
      <c r="K3811" s="204" t="s">
        <v>3806</v>
      </c>
      <c r="L3811" s="204"/>
      <c r="M3811" s="204">
        <v>5</v>
      </c>
      <c r="N3811" s="204">
        <v>1</v>
      </c>
      <c r="O3811" s="204">
        <v>8</v>
      </c>
      <c r="P3811" s="204">
        <v>2</v>
      </c>
      <c r="Q3811" s="572">
        <v>10</v>
      </c>
      <c r="R3811" s="1209">
        <v>566</v>
      </c>
      <c r="S3811" s="1209">
        <f>O3811*R3811</f>
        <v>4528</v>
      </c>
      <c r="T3811" s="204" t="s">
        <v>3961</v>
      </c>
      <c r="U3811" s="1901" t="s">
        <v>3637</v>
      </c>
      <c r="V3811" s="488" t="s">
        <v>931</v>
      </c>
      <c r="W3811" s="804" t="s">
        <v>3808</v>
      </c>
      <c r="X3811" s="18"/>
      <c r="Y3811" s="4"/>
      <c r="Z3811" s="4"/>
    </row>
    <row r="3812" spans="1:26" ht="14.1" hidden="1">
      <c r="A3812" s="20">
        <f t="shared" si="216"/>
        <v>3819</v>
      </c>
      <c r="B3812" s="1063">
        <v>43589</v>
      </c>
      <c r="C3812" s="934" t="s">
        <v>13246</v>
      </c>
      <c r="D3812" s="11"/>
      <c r="E3812" s="204" t="s">
        <v>13247</v>
      </c>
      <c r="F3812" s="934" t="s">
        <v>784</v>
      </c>
      <c r="G3812" s="204" t="s">
        <v>13248</v>
      </c>
      <c r="H3812" s="204" t="s">
        <v>13249</v>
      </c>
      <c r="I3812" s="204" t="s">
        <v>4634</v>
      </c>
      <c r="J3812" s="204" t="s">
        <v>13250</v>
      </c>
      <c r="K3812" s="204" t="s">
        <v>13246</v>
      </c>
      <c r="L3812" s="204" t="s">
        <v>149</v>
      </c>
      <c r="M3812" s="204">
        <v>1</v>
      </c>
      <c r="N3812" s="204">
        <v>1</v>
      </c>
      <c r="O3812" s="204">
        <v>1</v>
      </c>
      <c r="P3812" s="204">
        <v>0</v>
      </c>
      <c r="Q3812" s="572">
        <v>0</v>
      </c>
      <c r="R3812" s="1209">
        <v>18976</v>
      </c>
      <c r="S3812" s="1209">
        <f t="shared" ref="S3812:S3813" si="223">R3812*O3812</f>
        <v>18976</v>
      </c>
      <c r="T3812" s="204" t="s">
        <v>10016</v>
      </c>
      <c r="U3812" s="1901" t="s">
        <v>10016</v>
      </c>
      <c r="V3812" s="572" t="s">
        <v>13251</v>
      </c>
      <c r="W3812" s="681" t="s">
        <v>13252</v>
      </c>
      <c r="X3812" s="18"/>
      <c r="Y3812" s="4"/>
      <c r="Z3812" s="4"/>
    </row>
    <row r="3813" spans="1:26" ht="14.1" hidden="1">
      <c r="A3813" s="20">
        <f t="shared" ref="A3813:A4068" si="224">A3812+1</f>
        <v>3820</v>
      </c>
      <c r="B3813" s="1063">
        <v>43590</v>
      </c>
      <c r="C3813" s="934" t="s">
        <v>8112</v>
      </c>
      <c r="D3813" s="11" t="s">
        <v>6</v>
      </c>
      <c r="E3813" s="204" t="s">
        <v>13136</v>
      </c>
      <c r="F3813" s="934" t="s">
        <v>11323</v>
      </c>
      <c r="G3813" s="204" t="s">
        <v>13253</v>
      </c>
      <c r="H3813" s="204" t="s">
        <v>3898</v>
      </c>
      <c r="I3813" s="204" t="s">
        <v>574</v>
      </c>
      <c r="J3813" s="204" t="s">
        <v>933</v>
      </c>
      <c r="K3813" s="204" t="s">
        <v>8112</v>
      </c>
      <c r="L3813" s="204"/>
      <c r="M3813" s="204">
        <v>20</v>
      </c>
      <c r="N3813" s="204">
        <v>1</v>
      </c>
      <c r="O3813" s="204">
        <v>15</v>
      </c>
      <c r="P3813" s="204">
        <v>8</v>
      </c>
      <c r="Q3813" s="572">
        <v>23</v>
      </c>
      <c r="R3813" s="1209">
        <v>534</v>
      </c>
      <c r="S3813" s="1209">
        <f t="shared" si="223"/>
        <v>8010</v>
      </c>
      <c r="T3813" s="204" t="s">
        <v>3961</v>
      </c>
      <c r="U3813" s="1901" t="s">
        <v>3637</v>
      </c>
      <c r="V3813" s="488" t="s">
        <v>931</v>
      </c>
      <c r="W3813" s="804" t="s">
        <v>12297</v>
      </c>
      <c r="X3813" s="18"/>
      <c r="Y3813" s="4"/>
      <c r="Z3813" s="4"/>
    </row>
    <row r="3814" spans="1:26" ht="14.1" hidden="1">
      <c r="A3814" s="20">
        <f t="shared" si="224"/>
        <v>3821</v>
      </c>
      <c r="B3814" s="1063">
        <v>43591</v>
      </c>
      <c r="C3814" s="934" t="s">
        <v>13254</v>
      </c>
      <c r="D3814" s="11" t="s">
        <v>6</v>
      </c>
      <c r="E3814" s="204" t="s">
        <v>13136</v>
      </c>
      <c r="F3814" s="934" t="s">
        <v>11323</v>
      </c>
      <c r="G3814" s="204" t="s">
        <v>12399</v>
      </c>
      <c r="H3814" s="204" t="s">
        <v>641</v>
      </c>
      <c r="I3814" s="204" t="s">
        <v>574</v>
      </c>
      <c r="J3814" s="204" t="s">
        <v>12401</v>
      </c>
      <c r="K3814" s="204" t="s">
        <v>12402</v>
      </c>
      <c r="L3814" s="204"/>
      <c r="M3814" s="204">
        <v>5</v>
      </c>
      <c r="N3814" s="204">
        <v>1</v>
      </c>
      <c r="O3814" s="204">
        <v>10</v>
      </c>
      <c r="P3814" s="204">
        <v>3</v>
      </c>
      <c r="Q3814" s="572">
        <f>O3814+P3814</f>
        <v>13</v>
      </c>
      <c r="R3814" s="1209">
        <v>232</v>
      </c>
      <c r="S3814" s="1325">
        <v>232</v>
      </c>
      <c r="T3814" s="204" t="s">
        <v>3961</v>
      </c>
      <c r="U3814" s="1901" t="s">
        <v>3637</v>
      </c>
      <c r="V3814" s="488" t="s">
        <v>931</v>
      </c>
      <c r="W3814" s="804" t="s">
        <v>12403</v>
      </c>
      <c r="X3814" s="18"/>
      <c r="Y3814" s="4"/>
      <c r="Z3814" s="4"/>
    </row>
    <row r="3815" spans="1:26" ht="14.1" hidden="1">
      <c r="A3815" s="20">
        <f t="shared" si="224"/>
        <v>3822</v>
      </c>
      <c r="B3815" s="1063">
        <v>43592</v>
      </c>
      <c r="C3815" s="934" t="s">
        <v>13255</v>
      </c>
      <c r="D3815" s="11" t="s">
        <v>6</v>
      </c>
      <c r="E3815" s="204" t="s">
        <v>13136</v>
      </c>
      <c r="F3815" s="934" t="s">
        <v>11323</v>
      </c>
      <c r="G3815" s="204" t="s">
        <v>12405</v>
      </c>
      <c r="H3815" s="204" t="s">
        <v>641</v>
      </c>
      <c r="I3815" s="204" t="s">
        <v>574</v>
      </c>
      <c r="J3815" s="204" t="s">
        <v>12406</v>
      </c>
      <c r="K3815" s="204" t="s">
        <v>12407</v>
      </c>
      <c r="L3815" s="204"/>
      <c r="M3815" s="204">
        <v>5</v>
      </c>
      <c r="N3815" s="204">
        <v>1</v>
      </c>
      <c r="O3815" s="204">
        <v>10</v>
      </c>
      <c r="P3815" s="204">
        <v>3</v>
      </c>
      <c r="Q3815" s="572">
        <v>13</v>
      </c>
      <c r="R3815" s="1209">
        <v>183</v>
      </c>
      <c r="S3815" s="1325">
        <v>183</v>
      </c>
      <c r="T3815" s="204" t="s">
        <v>3961</v>
      </c>
      <c r="U3815" s="1901" t="s">
        <v>3637</v>
      </c>
      <c r="V3815" s="488" t="s">
        <v>931</v>
      </c>
      <c r="W3815" s="681" t="s">
        <v>12408</v>
      </c>
      <c r="X3815" s="18"/>
      <c r="Y3815" s="4"/>
      <c r="Z3815" s="4"/>
    </row>
    <row r="3816" spans="1:26" ht="14.1" hidden="1">
      <c r="A3816" s="20">
        <f t="shared" si="224"/>
        <v>3823</v>
      </c>
      <c r="B3816" s="1063">
        <v>43593</v>
      </c>
      <c r="C3816" s="934" t="s">
        <v>12359</v>
      </c>
      <c r="D3816" s="11" t="s">
        <v>6</v>
      </c>
      <c r="E3816" s="204" t="s">
        <v>13136</v>
      </c>
      <c r="F3816" s="934" t="s">
        <v>11323</v>
      </c>
      <c r="G3816" s="204" t="s">
        <v>13256</v>
      </c>
      <c r="H3816" s="204" t="s">
        <v>460</v>
      </c>
      <c r="I3816" s="204" t="s">
        <v>574</v>
      </c>
      <c r="J3816" s="204" t="s">
        <v>12361</v>
      </c>
      <c r="K3816" s="204" t="s">
        <v>12359</v>
      </c>
      <c r="L3816" s="204"/>
      <c r="M3816" s="204">
        <v>5</v>
      </c>
      <c r="N3816" s="204">
        <v>1</v>
      </c>
      <c r="O3816" s="204">
        <v>10</v>
      </c>
      <c r="P3816" s="204">
        <v>3</v>
      </c>
      <c r="Q3816" s="572">
        <v>13</v>
      </c>
      <c r="R3816" s="1209">
        <v>377</v>
      </c>
      <c r="S3816" s="1209">
        <v>377</v>
      </c>
      <c r="T3816" s="204" t="s">
        <v>3961</v>
      </c>
      <c r="U3816" s="1901" t="s">
        <v>3637</v>
      </c>
      <c r="V3816" s="488" t="s">
        <v>931</v>
      </c>
      <c r="W3816" s="804" t="s">
        <v>12362</v>
      </c>
      <c r="X3816" s="18"/>
      <c r="Y3816" s="4"/>
      <c r="Z3816" s="4"/>
    </row>
    <row r="3817" spans="1:26" ht="14.1" hidden="1">
      <c r="A3817" s="20">
        <f t="shared" si="224"/>
        <v>3824</v>
      </c>
      <c r="B3817" s="1063">
        <v>43594</v>
      </c>
      <c r="C3817" s="934" t="s">
        <v>6007</v>
      </c>
      <c r="D3817" s="11" t="s">
        <v>6</v>
      </c>
      <c r="E3817" s="204" t="s">
        <v>13136</v>
      </c>
      <c r="F3817" s="934" t="s">
        <v>11323</v>
      </c>
      <c r="G3817" s="204" t="s">
        <v>6004</v>
      </c>
      <c r="H3817" s="204" t="s">
        <v>6005</v>
      </c>
      <c r="I3817" s="204" t="s">
        <v>574</v>
      </c>
      <c r="J3817" s="204" t="s">
        <v>6006</v>
      </c>
      <c r="K3817" s="204" t="s">
        <v>6007</v>
      </c>
      <c r="L3817" s="204"/>
      <c r="M3817" s="204">
        <v>5</v>
      </c>
      <c r="N3817" s="204">
        <v>1</v>
      </c>
      <c r="O3817" s="204">
        <v>5</v>
      </c>
      <c r="P3817" s="204">
        <v>3</v>
      </c>
      <c r="Q3817" s="572">
        <v>8</v>
      </c>
      <c r="R3817" s="1209">
        <v>2040</v>
      </c>
      <c r="S3817" s="1209">
        <f>R3817*O3817</f>
        <v>10200</v>
      </c>
      <c r="T3817" s="204" t="s">
        <v>3961</v>
      </c>
      <c r="U3817" s="1901" t="s">
        <v>3637</v>
      </c>
      <c r="V3817" s="488" t="s">
        <v>931</v>
      </c>
      <c r="W3817" s="804" t="s">
        <v>12298</v>
      </c>
      <c r="X3817" s="18"/>
      <c r="Y3817" s="4"/>
      <c r="Z3817" s="4"/>
    </row>
    <row r="3818" spans="1:26" ht="14.1" hidden="1">
      <c r="A3818" s="20">
        <f t="shared" si="224"/>
        <v>3825</v>
      </c>
      <c r="B3818" s="1063">
        <v>43595</v>
      </c>
      <c r="C3818" s="934" t="s">
        <v>6013</v>
      </c>
      <c r="D3818" s="11" t="s">
        <v>6</v>
      </c>
      <c r="E3818" s="204" t="s">
        <v>13136</v>
      </c>
      <c r="F3818" s="934" t="s">
        <v>11323</v>
      </c>
      <c r="G3818" s="204" t="s">
        <v>13257</v>
      </c>
      <c r="H3818" s="204" t="s">
        <v>452</v>
      </c>
      <c r="I3818" s="204" t="s">
        <v>574</v>
      </c>
      <c r="J3818" s="204" t="s">
        <v>6012</v>
      </c>
      <c r="K3818" s="204" t="s">
        <v>6013</v>
      </c>
      <c r="L3818" s="204"/>
      <c r="M3818" s="204">
        <v>5</v>
      </c>
      <c r="N3818" s="204">
        <v>1</v>
      </c>
      <c r="O3818" s="204">
        <v>10</v>
      </c>
      <c r="P3818" s="204">
        <v>3</v>
      </c>
      <c r="Q3818" s="572">
        <v>13</v>
      </c>
      <c r="R3818" s="1209">
        <v>752</v>
      </c>
      <c r="S3818" s="1209">
        <v>752</v>
      </c>
      <c r="T3818" s="204" t="s">
        <v>3961</v>
      </c>
      <c r="U3818" s="1901" t="s">
        <v>3637</v>
      </c>
      <c r="V3818" s="488" t="s">
        <v>931</v>
      </c>
      <c r="W3818" s="804" t="s">
        <v>12302</v>
      </c>
      <c r="X3818" s="18"/>
      <c r="Y3818" s="4"/>
      <c r="Z3818" s="4"/>
    </row>
    <row r="3819" spans="1:26" ht="14.1" hidden="1">
      <c r="A3819" s="20">
        <f t="shared" si="224"/>
        <v>3826</v>
      </c>
      <c r="B3819" s="1063">
        <v>43596</v>
      </c>
      <c r="C3819" s="934" t="s">
        <v>6026</v>
      </c>
      <c r="D3819" s="11" t="s">
        <v>6</v>
      </c>
      <c r="E3819" s="204" t="s">
        <v>13136</v>
      </c>
      <c r="F3819" s="934" t="s">
        <v>11323</v>
      </c>
      <c r="G3819" s="204" t="s">
        <v>13258</v>
      </c>
      <c r="H3819" s="204" t="s">
        <v>5730</v>
      </c>
      <c r="I3819" s="204" t="s">
        <v>574</v>
      </c>
      <c r="J3819" s="204" t="s">
        <v>6025</v>
      </c>
      <c r="K3819" s="204" t="s">
        <v>6026</v>
      </c>
      <c r="L3819" s="204"/>
      <c r="M3819" s="204">
        <v>5</v>
      </c>
      <c r="N3819" s="204">
        <v>1</v>
      </c>
      <c r="O3819" s="204">
        <v>10</v>
      </c>
      <c r="P3819" s="204">
        <v>3</v>
      </c>
      <c r="Q3819" s="572">
        <v>13</v>
      </c>
      <c r="R3819" s="1209">
        <v>85</v>
      </c>
      <c r="S3819" s="1209">
        <v>85</v>
      </c>
      <c r="T3819" s="204" t="s">
        <v>3961</v>
      </c>
      <c r="U3819" s="1901" t="s">
        <v>3637</v>
      </c>
      <c r="V3819" s="488" t="s">
        <v>931</v>
      </c>
      <c r="W3819" s="804" t="s">
        <v>12358</v>
      </c>
      <c r="X3819" s="18"/>
      <c r="Y3819" s="4"/>
      <c r="Z3819" s="4"/>
    </row>
    <row r="3820" spans="1:26" ht="14.1" hidden="1">
      <c r="A3820" s="20">
        <f t="shared" si="224"/>
        <v>3827</v>
      </c>
      <c r="B3820" s="1063">
        <v>43597</v>
      </c>
      <c r="C3820" s="934" t="s">
        <v>13259</v>
      </c>
      <c r="D3820" s="11" t="s">
        <v>6</v>
      </c>
      <c r="E3820" s="204" t="s">
        <v>13136</v>
      </c>
      <c r="F3820" s="934" t="s">
        <v>11323</v>
      </c>
      <c r="G3820" s="204" t="s">
        <v>13260</v>
      </c>
      <c r="H3820" s="204" t="s">
        <v>5730</v>
      </c>
      <c r="I3820" s="204" t="s">
        <v>574</v>
      </c>
      <c r="J3820" s="204" t="s">
        <v>13261</v>
      </c>
      <c r="K3820" s="204" t="s">
        <v>13259</v>
      </c>
      <c r="L3820" s="204"/>
      <c r="M3820" s="204">
        <v>5</v>
      </c>
      <c r="N3820" s="204">
        <v>1</v>
      </c>
      <c r="O3820" s="204">
        <v>10</v>
      </c>
      <c r="P3820" s="204">
        <v>0</v>
      </c>
      <c r="Q3820" s="572">
        <v>10</v>
      </c>
      <c r="R3820" s="1209">
        <v>338</v>
      </c>
      <c r="S3820" s="1209">
        <v>338</v>
      </c>
      <c r="T3820" s="204" t="s">
        <v>3961</v>
      </c>
      <c r="U3820" s="1901" t="s">
        <v>3637</v>
      </c>
      <c r="V3820" s="488" t="s">
        <v>931</v>
      </c>
      <c r="W3820" s="804" t="s">
        <v>13262</v>
      </c>
      <c r="X3820" s="18"/>
      <c r="Y3820" s="4"/>
      <c r="Z3820" s="4"/>
    </row>
    <row r="3821" spans="1:26" ht="14.1" hidden="1">
      <c r="A3821" s="20">
        <f t="shared" si="224"/>
        <v>3828</v>
      </c>
      <c r="B3821" s="1063">
        <v>43598</v>
      </c>
      <c r="C3821" s="934" t="s">
        <v>2698</v>
      </c>
      <c r="D3821" s="11" t="s">
        <v>6</v>
      </c>
      <c r="E3821" s="204" t="s">
        <v>13136</v>
      </c>
      <c r="F3821" s="934" t="s">
        <v>11323</v>
      </c>
      <c r="G3821" s="204" t="s">
        <v>13263</v>
      </c>
      <c r="H3821" s="204" t="s">
        <v>2262</v>
      </c>
      <c r="I3821" s="204" t="s">
        <v>39</v>
      </c>
      <c r="J3821" s="204" t="s">
        <v>13264</v>
      </c>
      <c r="K3821" s="204" t="s">
        <v>13265</v>
      </c>
      <c r="L3821" s="204"/>
      <c r="M3821" s="204">
        <v>5</v>
      </c>
      <c r="N3821" s="204">
        <v>1</v>
      </c>
      <c r="O3821" s="204">
        <v>10</v>
      </c>
      <c r="P3821" s="204">
        <v>3</v>
      </c>
      <c r="Q3821" s="572">
        <v>13</v>
      </c>
      <c r="R3821" s="1209">
        <v>88.5</v>
      </c>
      <c r="S3821" s="1209">
        <v>178</v>
      </c>
      <c r="T3821" s="204" t="s">
        <v>3961</v>
      </c>
      <c r="U3821" s="1901" t="s">
        <v>3637</v>
      </c>
      <c r="V3821" s="488" t="s">
        <v>931</v>
      </c>
      <c r="W3821" s="804" t="s">
        <v>13266</v>
      </c>
      <c r="X3821" s="18"/>
      <c r="Y3821" s="4"/>
      <c r="Z3821" s="4"/>
    </row>
    <row r="3822" spans="1:26" ht="14.1" hidden="1">
      <c r="A3822" s="20">
        <f t="shared" si="224"/>
        <v>3829</v>
      </c>
      <c r="B3822" s="1063">
        <v>43599</v>
      </c>
      <c r="C3822" s="934" t="s">
        <v>13267</v>
      </c>
      <c r="D3822" s="11"/>
      <c r="E3822" s="204" t="s">
        <v>683</v>
      </c>
      <c r="F3822" s="26" t="s">
        <v>10005</v>
      </c>
      <c r="G3822" s="204" t="s">
        <v>13268</v>
      </c>
      <c r="H3822" s="204" t="s">
        <v>10759</v>
      </c>
      <c r="I3822" s="204" t="s">
        <v>1022</v>
      </c>
      <c r="J3822" s="204" t="s">
        <v>1</v>
      </c>
      <c r="K3822" s="204" t="s">
        <v>13269</v>
      </c>
      <c r="L3822" s="204" t="s">
        <v>149</v>
      </c>
      <c r="M3822" s="204">
        <v>3</v>
      </c>
      <c r="N3822" s="204" t="s">
        <v>149</v>
      </c>
      <c r="O3822" s="204">
        <v>3</v>
      </c>
      <c r="P3822" s="204">
        <v>1</v>
      </c>
      <c r="Q3822" s="572">
        <v>1</v>
      </c>
      <c r="R3822" s="1209">
        <v>2169</v>
      </c>
      <c r="S3822" s="1209">
        <f t="shared" ref="S3822:S3824" si="225">R3822*O3822</f>
        <v>6507</v>
      </c>
      <c r="T3822" s="204" t="s">
        <v>4220</v>
      </c>
      <c r="U3822" s="1901" t="s">
        <v>13270</v>
      </c>
      <c r="V3822" s="572" t="s">
        <v>5604</v>
      </c>
      <c r="W3822" s="681" t="s">
        <v>13271</v>
      </c>
      <c r="X3822" s="18"/>
      <c r="Y3822" s="4"/>
      <c r="Z3822" s="4"/>
    </row>
    <row r="3823" spans="1:26" ht="14.1" hidden="1">
      <c r="A3823" s="20">
        <f t="shared" si="224"/>
        <v>3830</v>
      </c>
      <c r="B3823" s="1063">
        <v>43600</v>
      </c>
      <c r="C3823" s="934" t="s">
        <v>13272</v>
      </c>
      <c r="D3823" s="11"/>
      <c r="E3823" s="204" t="s">
        <v>683</v>
      </c>
      <c r="F3823" s="26" t="s">
        <v>10005</v>
      </c>
      <c r="G3823" s="204" t="s">
        <v>13273</v>
      </c>
      <c r="H3823" s="204" t="s">
        <v>10759</v>
      </c>
      <c r="I3823" s="204" t="s">
        <v>1022</v>
      </c>
      <c r="J3823" s="204" t="s">
        <v>1</v>
      </c>
      <c r="K3823" s="204" t="s">
        <v>13274</v>
      </c>
      <c r="L3823" s="204" t="s">
        <v>149</v>
      </c>
      <c r="M3823" s="204">
        <v>4</v>
      </c>
      <c r="N3823" s="204" t="s">
        <v>149</v>
      </c>
      <c r="O3823" s="204">
        <v>4</v>
      </c>
      <c r="P3823" s="204">
        <v>0</v>
      </c>
      <c r="Q3823" s="572">
        <v>1</v>
      </c>
      <c r="R3823" s="1209">
        <v>1191.5999999999999</v>
      </c>
      <c r="S3823" s="1209">
        <f t="shared" si="225"/>
        <v>4766.3999999999996</v>
      </c>
      <c r="T3823" s="204" t="s">
        <v>4220</v>
      </c>
      <c r="U3823" s="1901" t="s">
        <v>4220</v>
      </c>
      <c r="V3823" s="572" t="s">
        <v>5604</v>
      </c>
      <c r="W3823" s="681" t="s">
        <v>13275</v>
      </c>
      <c r="X3823" s="18"/>
      <c r="Y3823" s="4"/>
      <c r="Z3823" s="4"/>
    </row>
    <row r="3824" spans="1:26" ht="14.1" hidden="1">
      <c r="A3824" s="20">
        <f t="shared" si="224"/>
        <v>3831</v>
      </c>
      <c r="B3824" s="1063">
        <v>43601</v>
      </c>
      <c r="C3824" s="934" t="s">
        <v>13276</v>
      </c>
      <c r="D3824" s="11"/>
      <c r="E3824" s="204" t="s">
        <v>62</v>
      </c>
      <c r="F3824" s="934" t="s">
        <v>13277</v>
      </c>
      <c r="G3824" s="492" t="s">
        <v>13278</v>
      </c>
      <c r="H3824" s="658" t="s">
        <v>5249</v>
      </c>
      <c r="I3824" s="204" t="s">
        <v>574</v>
      </c>
      <c r="J3824" s="204" t="s">
        <v>13279</v>
      </c>
      <c r="K3824" s="204" t="s">
        <v>13280</v>
      </c>
      <c r="L3824" s="204" t="s">
        <v>13281</v>
      </c>
      <c r="M3824" s="204">
        <v>2</v>
      </c>
      <c r="N3824" s="204">
        <v>2</v>
      </c>
      <c r="O3824" s="204">
        <v>2</v>
      </c>
      <c r="P3824" s="204">
        <v>0</v>
      </c>
      <c r="Q3824" s="572">
        <v>0</v>
      </c>
      <c r="R3824" s="1209">
        <v>5222</v>
      </c>
      <c r="S3824" s="1209">
        <f t="shared" si="225"/>
        <v>10444</v>
      </c>
      <c r="T3824" s="204" t="s">
        <v>12425</v>
      </c>
      <c r="U3824" s="1901" t="s">
        <v>13282</v>
      </c>
      <c r="V3824" s="572" t="s">
        <v>13283</v>
      </c>
      <c r="W3824" s="681" t="s">
        <v>13284</v>
      </c>
      <c r="X3824" s="18"/>
      <c r="Y3824" s="4"/>
      <c r="Z3824" s="4"/>
    </row>
    <row r="3825" spans="1:26" ht="14.1" hidden="1">
      <c r="A3825" s="20">
        <f t="shared" si="224"/>
        <v>3832</v>
      </c>
      <c r="B3825" s="1063">
        <v>43602</v>
      </c>
      <c r="C3825" s="37" t="s">
        <v>13285</v>
      </c>
      <c r="D3825" s="11" t="s">
        <v>6</v>
      </c>
      <c r="E3825" s="204" t="s">
        <v>62</v>
      </c>
      <c r="F3825" s="934" t="s">
        <v>10651</v>
      </c>
      <c r="G3825" s="204" t="s">
        <v>13286</v>
      </c>
      <c r="H3825" s="204" t="s">
        <v>429</v>
      </c>
      <c r="I3825" s="204" t="s">
        <v>429</v>
      </c>
      <c r="J3825" s="204" t="s">
        <v>1</v>
      </c>
      <c r="K3825" s="204" t="s">
        <v>13287</v>
      </c>
      <c r="L3825" s="204" t="s">
        <v>1</v>
      </c>
      <c r="M3825" s="204">
        <v>1</v>
      </c>
      <c r="N3825" s="204">
        <v>1</v>
      </c>
      <c r="O3825" s="204">
        <v>1</v>
      </c>
      <c r="P3825" s="204">
        <v>0</v>
      </c>
      <c r="Q3825" s="572">
        <v>0</v>
      </c>
      <c r="R3825" s="1209">
        <v>3170</v>
      </c>
      <c r="S3825" s="1209">
        <v>3170</v>
      </c>
      <c r="T3825" s="204" t="s">
        <v>12425</v>
      </c>
      <c r="U3825" s="1901" t="s">
        <v>301</v>
      </c>
      <c r="V3825" s="572" t="s">
        <v>10656</v>
      </c>
      <c r="W3825" s="681" t="s">
        <v>13288</v>
      </c>
      <c r="X3825" s="18"/>
      <c r="Y3825" s="4"/>
      <c r="Z3825" s="4"/>
    </row>
    <row r="3826" spans="1:26" ht="14.1" hidden="1">
      <c r="A3826" s="20">
        <f t="shared" si="224"/>
        <v>3833</v>
      </c>
      <c r="B3826" s="1063">
        <v>43603</v>
      </c>
      <c r="C3826" s="934" t="s">
        <v>13289</v>
      </c>
      <c r="D3826" s="11" t="s">
        <v>6</v>
      </c>
      <c r="E3826" s="204" t="s">
        <v>62</v>
      </c>
      <c r="F3826" s="934" t="s">
        <v>10651</v>
      </c>
      <c r="G3826" s="204" t="s">
        <v>13290</v>
      </c>
      <c r="H3826" s="204" t="s">
        <v>429</v>
      </c>
      <c r="I3826" s="204" t="s">
        <v>429</v>
      </c>
      <c r="J3826" s="204" t="s">
        <v>1</v>
      </c>
      <c r="K3826" s="204" t="s">
        <v>13291</v>
      </c>
      <c r="L3826" s="204" t="s">
        <v>1</v>
      </c>
      <c r="M3826" s="204">
        <v>2</v>
      </c>
      <c r="N3826" s="204">
        <v>2</v>
      </c>
      <c r="O3826" s="204">
        <v>2</v>
      </c>
      <c r="P3826" s="204">
        <v>0</v>
      </c>
      <c r="Q3826" s="572">
        <v>0</v>
      </c>
      <c r="R3826" s="1209">
        <v>1950</v>
      </c>
      <c r="S3826" s="1209">
        <v>3900</v>
      </c>
      <c r="T3826" s="204" t="s">
        <v>12425</v>
      </c>
      <c r="U3826" s="1901" t="s">
        <v>301</v>
      </c>
      <c r="V3826" s="572" t="s">
        <v>10656</v>
      </c>
      <c r="W3826" s="681" t="s">
        <v>13288</v>
      </c>
      <c r="X3826" s="18"/>
      <c r="Y3826" s="4"/>
      <c r="Z3826" s="4"/>
    </row>
    <row r="3827" spans="1:26" ht="14.1" hidden="1">
      <c r="A3827" s="20">
        <f t="shared" si="224"/>
        <v>3834</v>
      </c>
      <c r="B3827" s="1063">
        <v>43604</v>
      </c>
      <c r="C3827" s="934" t="s">
        <v>13292</v>
      </c>
      <c r="D3827" s="11" t="s">
        <v>6</v>
      </c>
      <c r="E3827" s="204" t="s">
        <v>62</v>
      </c>
      <c r="F3827" s="934" t="s">
        <v>10651</v>
      </c>
      <c r="G3827" s="204" t="s">
        <v>13293</v>
      </c>
      <c r="H3827" s="204" t="s">
        <v>429</v>
      </c>
      <c r="I3827" s="204" t="s">
        <v>429</v>
      </c>
      <c r="J3827" s="204" t="s">
        <v>1</v>
      </c>
      <c r="K3827" s="204" t="s">
        <v>13294</v>
      </c>
      <c r="L3827" s="204" t="s">
        <v>1</v>
      </c>
      <c r="M3827" s="204">
        <v>1</v>
      </c>
      <c r="N3827" s="204">
        <v>1</v>
      </c>
      <c r="O3827" s="204">
        <v>1</v>
      </c>
      <c r="P3827" s="204">
        <v>0</v>
      </c>
      <c r="Q3827" s="572">
        <v>0</v>
      </c>
      <c r="R3827" s="1209">
        <v>3170</v>
      </c>
      <c r="S3827" s="1209">
        <v>3170</v>
      </c>
      <c r="T3827" s="204" t="s">
        <v>12425</v>
      </c>
      <c r="U3827" s="1901" t="s">
        <v>301</v>
      </c>
      <c r="V3827" s="572" t="s">
        <v>10656</v>
      </c>
      <c r="W3827" s="681" t="s">
        <v>13288</v>
      </c>
      <c r="X3827" s="18"/>
      <c r="Y3827" s="4"/>
      <c r="Z3827" s="4"/>
    </row>
    <row r="3828" spans="1:26" ht="14.1" hidden="1">
      <c r="A3828" s="20">
        <f t="shared" si="224"/>
        <v>3835</v>
      </c>
      <c r="B3828" s="1063">
        <v>43605</v>
      </c>
      <c r="C3828" s="934" t="s">
        <v>13295</v>
      </c>
      <c r="D3828" s="11" t="s">
        <v>6</v>
      </c>
      <c r="E3828" s="204" t="s">
        <v>62</v>
      </c>
      <c r="F3828" s="934" t="s">
        <v>10651</v>
      </c>
      <c r="G3828" s="204" t="s">
        <v>13296</v>
      </c>
      <c r="H3828" s="204" t="s">
        <v>429</v>
      </c>
      <c r="I3828" s="204" t="s">
        <v>429</v>
      </c>
      <c r="J3828" s="204" t="s">
        <v>1</v>
      </c>
      <c r="K3828" s="204" t="s">
        <v>13297</v>
      </c>
      <c r="L3828" s="204" t="s">
        <v>1</v>
      </c>
      <c r="M3828" s="204">
        <v>2</v>
      </c>
      <c r="N3828" s="204">
        <v>2</v>
      </c>
      <c r="O3828" s="204">
        <v>2</v>
      </c>
      <c r="P3828" s="204">
        <v>0</v>
      </c>
      <c r="Q3828" s="572">
        <v>0</v>
      </c>
      <c r="R3828" s="1209">
        <v>2150</v>
      </c>
      <c r="S3828" s="1209">
        <v>4300</v>
      </c>
      <c r="T3828" s="204" t="s">
        <v>12425</v>
      </c>
      <c r="U3828" s="1901" t="s">
        <v>301</v>
      </c>
      <c r="V3828" s="572" t="s">
        <v>10656</v>
      </c>
      <c r="W3828" s="681" t="s">
        <v>13288</v>
      </c>
      <c r="X3828" s="18"/>
      <c r="Y3828" s="4"/>
      <c r="Z3828" s="4"/>
    </row>
    <row r="3829" spans="1:26" ht="14.1" hidden="1">
      <c r="A3829" s="20">
        <f t="shared" si="224"/>
        <v>3836</v>
      </c>
      <c r="B3829" s="1063">
        <v>43606</v>
      </c>
      <c r="C3829" s="934" t="s">
        <v>13298</v>
      </c>
      <c r="D3829" s="11" t="s">
        <v>6</v>
      </c>
      <c r="E3829" s="204" t="s">
        <v>62</v>
      </c>
      <c r="F3829" s="934" t="s">
        <v>10651</v>
      </c>
      <c r="G3829" s="204" t="s">
        <v>13299</v>
      </c>
      <c r="H3829" s="204" t="s">
        <v>429</v>
      </c>
      <c r="I3829" s="204" t="s">
        <v>429</v>
      </c>
      <c r="J3829" s="204" t="s">
        <v>1</v>
      </c>
      <c r="K3829" s="204" t="s">
        <v>13300</v>
      </c>
      <c r="L3829" s="204" t="s">
        <v>1</v>
      </c>
      <c r="M3829" s="204">
        <v>2</v>
      </c>
      <c r="N3829" s="204">
        <v>2</v>
      </c>
      <c r="O3829" s="204">
        <v>2</v>
      </c>
      <c r="P3829" s="204">
        <v>0</v>
      </c>
      <c r="Q3829" s="572">
        <v>0</v>
      </c>
      <c r="R3829" s="1209">
        <v>1620</v>
      </c>
      <c r="S3829" s="1209">
        <v>3240</v>
      </c>
      <c r="T3829" s="204" t="s">
        <v>12425</v>
      </c>
      <c r="U3829" s="1901" t="s">
        <v>301</v>
      </c>
      <c r="V3829" s="572" t="s">
        <v>10656</v>
      </c>
      <c r="W3829" s="681" t="s">
        <v>13288</v>
      </c>
      <c r="X3829" s="18"/>
      <c r="Y3829" s="4"/>
      <c r="Z3829" s="4"/>
    </row>
    <row r="3830" spans="1:26" ht="14.1" hidden="1">
      <c r="A3830" s="20">
        <f t="shared" si="224"/>
        <v>3837</v>
      </c>
      <c r="B3830" s="1063">
        <v>43607</v>
      </c>
      <c r="C3830" s="934" t="s">
        <v>13301</v>
      </c>
      <c r="D3830" s="11" t="s">
        <v>6</v>
      </c>
      <c r="E3830" s="204" t="s">
        <v>62</v>
      </c>
      <c r="F3830" s="934" t="s">
        <v>10651</v>
      </c>
      <c r="G3830" s="204" t="s">
        <v>13302</v>
      </c>
      <c r="H3830" s="204" t="s">
        <v>429</v>
      </c>
      <c r="I3830" s="204" t="s">
        <v>429</v>
      </c>
      <c r="J3830" s="204" t="s">
        <v>1</v>
      </c>
      <c r="K3830" s="204" t="s">
        <v>13303</v>
      </c>
      <c r="L3830" s="204" t="s">
        <v>1</v>
      </c>
      <c r="M3830" s="204">
        <v>2</v>
      </c>
      <c r="N3830" s="204">
        <v>2</v>
      </c>
      <c r="O3830" s="204">
        <v>2</v>
      </c>
      <c r="P3830" s="204">
        <v>0</v>
      </c>
      <c r="Q3830" s="572">
        <v>0</v>
      </c>
      <c r="R3830" s="1209">
        <v>1560</v>
      </c>
      <c r="S3830" s="1209">
        <v>3120</v>
      </c>
      <c r="T3830" s="204" t="s">
        <v>12425</v>
      </c>
      <c r="U3830" s="1901" t="s">
        <v>301</v>
      </c>
      <c r="V3830" s="572" t="s">
        <v>10656</v>
      </c>
      <c r="W3830" s="681" t="s">
        <v>13288</v>
      </c>
      <c r="X3830" s="18"/>
      <c r="Y3830" s="4"/>
      <c r="Z3830" s="4"/>
    </row>
    <row r="3831" spans="1:26" ht="14.1" hidden="1">
      <c r="A3831" s="20">
        <f t="shared" si="224"/>
        <v>3838</v>
      </c>
      <c r="B3831" s="1063">
        <v>43608</v>
      </c>
      <c r="C3831" s="934" t="s">
        <v>13304</v>
      </c>
      <c r="D3831" s="11" t="s">
        <v>6</v>
      </c>
      <c r="E3831" s="204" t="s">
        <v>62</v>
      </c>
      <c r="F3831" s="934" t="s">
        <v>10651</v>
      </c>
      <c r="G3831" s="204" t="s">
        <v>13305</v>
      </c>
      <c r="H3831" s="204" t="s">
        <v>429</v>
      </c>
      <c r="I3831" s="204" t="s">
        <v>429</v>
      </c>
      <c r="J3831" s="204" t="s">
        <v>1</v>
      </c>
      <c r="K3831" s="204" t="s">
        <v>13306</v>
      </c>
      <c r="L3831" s="204" t="s">
        <v>1</v>
      </c>
      <c r="M3831" s="204">
        <v>2</v>
      </c>
      <c r="N3831" s="204">
        <v>2</v>
      </c>
      <c r="O3831" s="204">
        <v>2</v>
      </c>
      <c r="P3831" s="204">
        <v>0</v>
      </c>
      <c r="Q3831" s="572">
        <v>0</v>
      </c>
      <c r="R3831" s="1209">
        <v>1640</v>
      </c>
      <c r="S3831" s="1209">
        <v>3280</v>
      </c>
      <c r="T3831" s="204" t="s">
        <v>12425</v>
      </c>
      <c r="U3831" s="1901" t="s">
        <v>301</v>
      </c>
      <c r="V3831" s="572" t="s">
        <v>10656</v>
      </c>
      <c r="W3831" s="681" t="s">
        <v>13288</v>
      </c>
      <c r="X3831" s="18"/>
      <c r="Y3831" s="4"/>
      <c r="Z3831" s="4"/>
    </row>
    <row r="3832" spans="1:26" ht="14.1" hidden="1">
      <c r="A3832" s="20">
        <f t="shared" si="224"/>
        <v>3839</v>
      </c>
      <c r="B3832" s="1063">
        <v>43609</v>
      </c>
      <c r="C3832" s="934" t="s">
        <v>13307</v>
      </c>
      <c r="D3832" s="11" t="s">
        <v>6</v>
      </c>
      <c r="E3832" s="204" t="s">
        <v>62</v>
      </c>
      <c r="F3832" s="934" t="s">
        <v>10651</v>
      </c>
      <c r="G3832" s="204" t="s">
        <v>13308</v>
      </c>
      <c r="H3832" s="204" t="s">
        <v>429</v>
      </c>
      <c r="I3832" s="204" t="s">
        <v>429</v>
      </c>
      <c r="J3832" s="204" t="s">
        <v>1</v>
      </c>
      <c r="K3832" s="204" t="s">
        <v>13309</v>
      </c>
      <c r="L3832" s="204" t="s">
        <v>1</v>
      </c>
      <c r="M3832" s="204">
        <v>3</v>
      </c>
      <c r="N3832" s="204">
        <v>3</v>
      </c>
      <c r="O3832" s="204">
        <v>3</v>
      </c>
      <c r="P3832" s="204">
        <v>0</v>
      </c>
      <c r="Q3832" s="572">
        <v>0</v>
      </c>
      <c r="R3832" s="1209">
        <v>1600</v>
      </c>
      <c r="S3832" s="1209">
        <v>4800</v>
      </c>
      <c r="T3832" s="204" t="s">
        <v>12425</v>
      </c>
      <c r="U3832" s="1901" t="s">
        <v>301</v>
      </c>
      <c r="V3832" s="572" t="s">
        <v>10656</v>
      </c>
      <c r="W3832" s="681" t="s">
        <v>13288</v>
      </c>
      <c r="X3832" s="18"/>
      <c r="Y3832" s="4"/>
      <c r="Z3832" s="4"/>
    </row>
    <row r="3833" spans="1:26" ht="14.1" hidden="1">
      <c r="A3833" s="20">
        <f t="shared" si="224"/>
        <v>3840</v>
      </c>
      <c r="B3833" s="1063">
        <v>43610</v>
      </c>
      <c r="C3833" s="934" t="s">
        <v>13310</v>
      </c>
      <c r="D3833" s="11" t="s">
        <v>6</v>
      </c>
      <c r="E3833" s="204" t="s">
        <v>62</v>
      </c>
      <c r="F3833" s="934" t="s">
        <v>10651</v>
      </c>
      <c r="G3833" s="204" t="s">
        <v>13311</v>
      </c>
      <c r="H3833" s="204" t="s">
        <v>429</v>
      </c>
      <c r="I3833" s="204" t="s">
        <v>429</v>
      </c>
      <c r="J3833" s="204" t="s">
        <v>1</v>
      </c>
      <c r="K3833" s="204" t="s">
        <v>13312</v>
      </c>
      <c r="L3833" s="204" t="s">
        <v>1</v>
      </c>
      <c r="M3833" s="204">
        <v>2</v>
      </c>
      <c r="N3833" s="204">
        <v>2</v>
      </c>
      <c r="O3833" s="204">
        <v>2</v>
      </c>
      <c r="P3833" s="204">
        <v>0</v>
      </c>
      <c r="Q3833" s="572">
        <v>0</v>
      </c>
      <c r="R3833" s="1209">
        <v>640</v>
      </c>
      <c r="S3833" s="1209">
        <v>1280</v>
      </c>
      <c r="T3833" s="204" t="s">
        <v>12425</v>
      </c>
      <c r="U3833" s="1901" t="s">
        <v>301</v>
      </c>
      <c r="V3833" s="572" t="s">
        <v>10656</v>
      </c>
      <c r="W3833" s="681" t="s">
        <v>13288</v>
      </c>
      <c r="X3833" s="18"/>
      <c r="Y3833" s="4"/>
      <c r="Z3833" s="4"/>
    </row>
    <row r="3834" spans="1:26" ht="14.1" hidden="1">
      <c r="A3834" s="20">
        <f t="shared" si="224"/>
        <v>3841</v>
      </c>
      <c r="B3834" s="1063">
        <v>43611</v>
      </c>
      <c r="C3834" s="934" t="s">
        <v>13313</v>
      </c>
      <c r="D3834" s="11" t="s">
        <v>6</v>
      </c>
      <c r="E3834" s="204" t="s">
        <v>62</v>
      </c>
      <c r="F3834" s="934" t="s">
        <v>7046</v>
      </c>
      <c r="G3834" s="204" t="s">
        <v>13314</v>
      </c>
      <c r="H3834" s="204" t="s">
        <v>13315</v>
      </c>
      <c r="I3834" s="204" t="s">
        <v>1022</v>
      </c>
      <c r="J3834" s="204" t="s">
        <v>13316</v>
      </c>
      <c r="K3834" s="204" t="s">
        <v>13317</v>
      </c>
      <c r="L3834" s="204" t="s">
        <v>1</v>
      </c>
      <c r="M3834" s="204">
        <v>1</v>
      </c>
      <c r="N3834" s="204">
        <v>1</v>
      </c>
      <c r="O3834" s="204">
        <v>1</v>
      </c>
      <c r="P3834" s="204">
        <v>0</v>
      </c>
      <c r="Q3834" s="572">
        <v>0</v>
      </c>
      <c r="R3834" s="1209">
        <v>5699</v>
      </c>
      <c r="S3834" s="1209">
        <v>5699</v>
      </c>
      <c r="T3834" s="204" t="s">
        <v>12616</v>
      </c>
      <c r="U3834" s="1901" t="s">
        <v>12744</v>
      </c>
      <c r="V3834" s="572" t="s">
        <v>10656</v>
      </c>
      <c r="W3834" s="804" t="s">
        <v>13318</v>
      </c>
      <c r="X3834" s="18"/>
      <c r="Y3834" s="4"/>
      <c r="Z3834" s="4"/>
    </row>
    <row r="3835" spans="1:26" ht="14.1" hidden="1">
      <c r="A3835" s="20">
        <f t="shared" si="224"/>
        <v>3842</v>
      </c>
      <c r="B3835" s="1063">
        <v>43612</v>
      </c>
      <c r="C3835" s="934" t="s">
        <v>13319</v>
      </c>
      <c r="D3835" s="11" t="s">
        <v>6</v>
      </c>
      <c r="E3835" s="204" t="s">
        <v>62</v>
      </c>
      <c r="F3835" s="934" t="s">
        <v>7046</v>
      </c>
      <c r="G3835" s="204" t="s">
        <v>13320</v>
      </c>
      <c r="H3835" s="204" t="s">
        <v>8535</v>
      </c>
      <c r="I3835" s="204" t="s">
        <v>1022</v>
      </c>
      <c r="J3835" s="204" t="s">
        <v>13321</v>
      </c>
      <c r="K3835" s="204" t="s">
        <v>13322</v>
      </c>
      <c r="L3835" s="204" t="s">
        <v>1</v>
      </c>
      <c r="M3835" s="204">
        <v>1</v>
      </c>
      <c r="N3835" s="204">
        <v>1</v>
      </c>
      <c r="O3835" s="204">
        <v>1</v>
      </c>
      <c r="P3835" s="204">
        <v>0</v>
      </c>
      <c r="Q3835" s="572">
        <v>0</v>
      </c>
      <c r="R3835" s="1209">
        <v>1644</v>
      </c>
      <c r="S3835" s="1209">
        <v>1644</v>
      </c>
      <c r="T3835" s="204" t="s">
        <v>12616</v>
      </c>
      <c r="U3835" s="1901" t="s">
        <v>12744</v>
      </c>
      <c r="V3835" s="572" t="s">
        <v>10656</v>
      </c>
      <c r="W3835" s="804" t="s">
        <v>13323</v>
      </c>
      <c r="X3835" s="18"/>
      <c r="Y3835" s="4"/>
      <c r="Z3835" s="4"/>
    </row>
    <row r="3836" spans="1:26" ht="14.1" hidden="1">
      <c r="A3836" s="20">
        <f t="shared" si="224"/>
        <v>3843</v>
      </c>
      <c r="B3836" s="1063">
        <v>43613</v>
      </c>
      <c r="C3836" s="934" t="s">
        <v>13324</v>
      </c>
      <c r="D3836" s="11" t="s">
        <v>6</v>
      </c>
      <c r="E3836" s="204" t="s">
        <v>62</v>
      </c>
      <c r="F3836" s="934" t="s">
        <v>7046</v>
      </c>
      <c r="G3836" s="204" t="s">
        <v>13325</v>
      </c>
      <c r="H3836" s="204" t="s">
        <v>8535</v>
      </c>
      <c r="I3836" s="204" t="s">
        <v>1022</v>
      </c>
      <c r="J3836" s="204" t="s">
        <v>13326</v>
      </c>
      <c r="K3836" s="204" t="s">
        <v>13327</v>
      </c>
      <c r="L3836" s="204" t="s">
        <v>1</v>
      </c>
      <c r="M3836" s="204">
        <v>1</v>
      </c>
      <c r="N3836" s="204">
        <v>1</v>
      </c>
      <c r="O3836" s="204">
        <v>1</v>
      </c>
      <c r="P3836" s="204">
        <v>0</v>
      </c>
      <c r="Q3836" s="572">
        <v>0</v>
      </c>
      <c r="R3836" s="1209">
        <v>400</v>
      </c>
      <c r="S3836" s="1209">
        <v>400</v>
      </c>
      <c r="T3836" s="204" t="s">
        <v>12616</v>
      </c>
      <c r="U3836" s="1901" t="s">
        <v>12744</v>
      </c>
      <c r="V3836" s="572" t="s">
        <v>10656</v>
      </c>
      <c r="W3836" s="681" t="s">
        <v>13328</v>
      </c>
      <c r="X3836" s="18"/>
      <c r="Y3836" s="4"/>
      <c r="Z3836" s="4"/>
    </row>
    <row r="3837" spans="1:26" ht="14.1" hidden="1">
      <c r="A3837" s="20">
        <f t="shared" si="224"/>
        <v>3844</v>
      </c>
      <c r="B3837" s="1063">
        <v>43614</v>
      </c>
      <c r="C3837" s="934" t="s">
        <v>13329</v>
      </c>
      <c r="D3837" s="11" t="s">
        <v>6</v>
      </c>
      <c r="E3837" s="204" t="s">
        <v>2722</v>
      </c>
      <c r="F3837" s="934" t="s">
        <v>404</v>
      </c>
      <c r="G3837" s="235" t="s">
        <v>13330</v>
      </c>
      <c r="H3837" s="204" t="s">
        <v>4077</v>
      </c>
      <c r="I3837" s="204" t="s">
        <v>4077</v>
      </c>
      <c r="J3837" s="204">
        <v>210406618347</v>
      </c>
      <c r="K3837" s="204"/>
      <c r="L3837" s="204"/>
      <c r="M3837" s="204">
        <v>100</v>
      </c>
      <c r="N3837" s="204">
        <v>10</v>
      </c>
      <c r="O3837" s="204">
        <v>100</v>
      </c>
      <c r="P3837" s="204">
        <v>0</v>
      </c>
      <c r="Q3837" s="572">
        <v>100</v>
      </c>
      <c r="R3837" s="1209">
        <v>1627</v>
      </c>
      <c r="S3837" s="1209">
        <v>1627</v>
      </c>
      <c r="T3837" s="204" t="s">
        <v>300</v>
      </c>
      <c r="U3837" s="1901" t="s">
        <v>13331</v>
      </c>
      <c r="V3837" s="572"/>
      <c r="W3837" s="681" t="s">
        <v>13189</v>
      </c>
      <c r="X3837" s="18"/>
      <c r="Y3837" s="4"/>
      <c r="Z3837" s="4"/>
    </row>
    <row r="3838" spans="1:26" ht="14.1" hidden="1">
      <c r="A3838" s="20">
        <f t="shared" si="224"/>
        <v>3845</v>
      </c>
      <c r="B3838" s="1063">
        <v>43615</v>
      </c>
      <c r="C3838" s="934" t="s">
        <v>13332</v>
      </c>
      <c r="D3838" s="11"/>
      <c r="E3838" s="204" t="s">
        <v>572</v>
      </c>
      <c r="F3838" s="934" t="s">
        <v>784</v>
      </c>
      <c r="G3838" s="204" t="s">
        <v>13333</v>
      </c>
      <c r="H3838" s="204" t="s">
        <v>13249</v>
      </c>
      <c r="I3838" s="204" t="s">
        <v>574</v>
      </c>
      <c r="J3838" s="204" t="s">
        <v>13334</v>
      </c>
      <c r="K3838" s="204" t="s">
        <v>13335</v>
      </c>
      <c r="L3838" s="204" t="s">
        <v>149</v>
      </c>
      <c r="M3838" s="204">
        <v>1</v>
      </c>
      <c r="N3838" s="204">
        <v>1</v>
      </c>
      <c r="O3838" s="204">
        <v>1</v>
      </c>
      <c r="P3838" s="204">
        <v>0</v>
      </c>
      <c r="Q3838" s="572">
        <v>0</v>
      </c>
      <c r="R3838" s="1209">
        <v>6294</v>
      </c>
      <c r="S3838" s="1209">
        <f>R3838*O3838</f>
        <v>6294</v>
      </c>
      <c r="T3838" s="204" t="s">
        <v>10016</v>
      </c>
      <c r="U3838" s="1901" t="s">
        <v>10016</v>
      </c>
      <c r="V3838" s="572" t="s">
        <v>7705</v>
      </c>
      <c r="W3838" s="681" t="s">
        <v>13336</v>
      </c>
      <c r="X3838" s="18"/>
      <c r="Y3838" s="4"/>
      <c r="Z3838" s="4"/>
    </row>
    <row r="3839" spans="1:26" ht="14.1" hidden="1">
      <c r="A3839" s="20">
        <f t="shared" si="224"/>
        <v>3846</v>
      </c>
      <c r="B3839" s="1063">
        <v>43616</v>
      </c>
      <c r="C3839" s="934" t="s">
        <v>13337</v>
      </c>
      <c r="D3839" s="11" t="s">
        <v>6</v>
      </c>
      <c r="E3839" s="204" t="s">
        <v>13338</v>
      </c>
      <c r="F3839" s="934" t="s">
        <v>11441</v>
      </c>
      <c r="G3839" s="204" t="s">
        <v>13339</v>
      </c>
      <c r="H3839" s="204" t="s">
        <v>13340</v>
      </c>
      <c r="I3839" s="204" t="s">
        <v>13341</v>
      </c>
      <c r="J3839" s="204" t="s">
        <v>13342</v>
      </c>
      <c r="K3839" s="204" t="s">
        <v>13342</v>
      </c>
      <c r="L3839" s="204"/>
      <c r="M3839" s="204">
        <v>1</v>
      </c>
      <c r="N3839" s="204">
        <v>1</v>
      </c>
      <c r="O3839" s="204">
        <v>1</v>
      </c>
      <c r="P3839" s="204">
        <v>0</v>
      </c>
      <c r="Q3839" s="572">
        <v>1</v>
      </c>
      <c r="R3839" s="1209">
        <v>9975</v>
      </c>
      <c r="S3839" s="1209">
        <v>9975</v>
      </c>
      <c r="T3839" s="204" t="s">
        <v>9485</v>
      </c>
      <c r="U3839" s="1901" t="s">
        <v>13343</v>
      </c>
      <c r="V3839" s="572" t="s">
        <v>10339</v>
      </c>
      <c r="W3839" s="804" t="s">
        <v>13344</v>
      </c>
      <c r="X3839" s="18"/>
      <c r="Y3839" s="4"/>
      <c r="Z3839" s="4"/>
    </row>
    <row r="3840" spans="1:26" ht="14.1" hidden="1">
      <c r="A3840" s="20">
        <f t="shared" si="224"/>
        <v>3847</v>
      </c>
      <c r="B3840" s="1063">
        <v>43617</v>
      </c>
      <c r="C3840" s="191" t="s">
        <v>13345</v>
      </c>
      <c r="D3840" s="11"/>
      <c r="E3840" s="204" t="s">
        <v>62</v>
      </c>
      <c r="F3840" s="934" t="s">
        <v>6097</v>
      </c>
      <c r="G3840" s="204" t="s">
        <v>13346</v>
      </c>
      <c r="H3840" s="204" t="s">
        <v>13347</v>
      </c>
      <c r="I3840" s="204" t="s">
        <v>76</v>
      </c>
      <c r="J3840" s="204">
        <v>15068</v>
      </c>
      <c r="K3840" s="204">
        <v>4902011731163</v>
      </c>
      <c r="L3840" s="204"/>
      <c r="M3840" s="204">
        <v>1</v>
      </c>
      <c r="N3840" s="204">
        <v>1</v>
      </c>
      <c r="O3840" s="204">
        <v>1</v>
      </c>
      <c r="P3840" s="204">
        <v>0</v>
      </c>
      <c r="Q3840" s="572">
        <v>0</v>
      </c>
      <c r="R3840" s="1209">
        <v>1817</v>
      </c>
      <c r="S3840" s="1209">
        <v>1817</v>
      </c>
      <c r="T3840" s="204" t="s">
        <v>13348</v>
      </c>
      <c r="U3840" s="1901" t="s">
        <v>11183</v>
      </c>
      <c r="V3840" s="572" t="s">
        <v>118</v>
      </c>
      <c r="W3840" s="804" t="s">
        <v>13349</v>
      </c>
      <c r="X3840" s="18"/>
      <c r="Y3840" s="4"/>
      <c r="Z3840" s="4"/>
    </row>
    <row r="3841" spans="1:26" ht="14.1" hidden="1">
      <c r="A3841" s="20">
        <f t="shared" si="224"/>
        <v>3848</v>
      </c>
      <c r="B3841" s="1063">
        <v>43618</v>
      </c>
      <c r="C3841" s="190" t="s">
        <v>1915</v>
      </c>
      <c r="D3841" s="11" t="s">
        <v>6</v>
      </c>
      <c r="E3841" s="204" t="s">
        <v>13136</v>
      </c>
      <c r="F3841" s="934" t="s">
        <v>11438</v>
      </c>
      <c r="G3841" s="20" t="s">
        <v>4539</v>
      </c>
      <c r="H3841" s="237" t="s">
        <v>4540</v>
      </c>
      <c r="I3841" s="20" t="s">
        <v>281</v>
      </c>
      <c r="J3841" s="20" t="s">
        <v>10204</v>
      </c>
      <c r="K3841" s="20" t="s">
        <v>4542</v>
      </c>
      <c r="L3841" s="20"/>
      <c r="M3841" s="20">
        <v>5</v>
      </c>
      <c r="N3841" s="20">
        <v>1</v>
      </c>
      <c r="O3841" s="20">
        <v>5</v>
      </c>
      <c r="P3841" s="20">
        <v>0</v>
      </c>
      <c r="Q3841" s="669">
        <v>0</v>
      </c>
      <c r="R3841" s="1252">
        <v>800</v>
      </c>
      <c r="S3841" s="1282">
        <v>4000</v>
      </c>
      <c r="T3841" s="20" t="s">
        <v>3961</v>
      </c>
      <c r="U3841" s="1937" t="s">
        <v>13350</v>
      </c>
      <c r="V3841" s="20" t="s">
        <v>352</v>
      </c>
      <c r="W3841" s="2074" t="s">
        <v>4543</v>
      </c>
      <c r="X3841" s="18"/>
      <c r="Y3841" s="4"/>
      <c r="Z3841" s="4"/>
    </row>
    <row r="3842" spans="1:26" ht="14.1" hidden="1">
      <c r="A3842" s="20">
        <f t="shared" si="224"/>
        <v>3849</v>
      </c>
      <c r="B3842" s="1063">
        <v>43619</v>
      </c>
      <c r="C3842" s="190" t="s">
        <v>8483</v>
      </c>
      <c r="D3842" s="11" t="s">
        <v>6</v>
      </c>
      <c r="E3842" s="204" t="s">
        <v>13136</v>
      </c>
      <c r="F3842" s="934" t="s">
        <v>11438</v>
      </c>
      <c r="G3842" s="204" t="s">
        <v>13351</v>
      </c>
      <c r="H3842" s="237" t="s">
        <v>468</v>
      </c>
      <c r="I3842" s="20" t="s">
        <v>5690</v>
      </c>
      <c r="J3842" s="1734">
        <v>11317172</v>
      </c>
      <c r="K3842" s="1734" t="s">
        <v>469</v>
      </c>
      <c r="L3842" s="1734"/>
      <c r="M3842" s="1734">
        <v>9</v>
      </c>
      <c r="N3842" s="1734">
        <v>10</v>
      </c>
      <c r="O3842" s="1734">
        <v>10</v>
      </c>
      <c r="P3842" s="1734">
        <v>0</v>
      </c>
      <c r="Q3842" s="1734">
        <v>1</v>
      </c>
      <c r="R3842" s="1256">
        <v>739</v>
      </c>
      <c r="S3842" s="1256">
        <v>7390</v>
      </c>
      <c r="T3842" s="1734" t="s">
        <v>3961</v>
      </c>
      <c r="U3842" s="1938" t="s">
        <v>8730</v>
      </c>
      <c r="V3842" s="20" t="s">
        <v>352</v>
      </c>
      <c r="W3842" s="766" t="s">
        <v>8486</v>
      </c>
      <c r="X3842" s="18"/>
      <c r="Y3842" s="4"/>
      <c r="Z3842" s="4"/>
    </row>
    <row r="3843" spans="1:26" ht="15.6" hidden="1">
      <c r="A3843" s="20">
        <f t="shared" si="224"/>
        <v>3850</v>
      </c>
      <c r="B3843" s="1063">
        <v>43620</v>
      </c>
      <c r="C3843" s="190" t="s">
        <v>329</v>
      </c>
      <c r="D3843" s="11" t="s">
        <v>6</v>
      </c>
      <c r="E3843" s="204" t="s">
        <v>13136</v>
      </c>
      <c r="F3843" s="934" t="s">
        <v>11438</v>
      </c>
      <c r="G3843" s="493" t="s">
        <v>650</v>
      </c>
      <c r="H3843" s="204" t="s">
        <v>184</v>
      </c>
      <c r="I3843" s="664" t="s">
        <v>574</v>
      </c>
      <c r="J3843" s="256" t="s">
        <v>6277</v>
      </c>
      <c r="K3843" s="256" t="s">
        <v>6278</v>
      </c>
      <c r="L3843" s="256">
        <v>805</v>
      </c>
      <c r="M3843" s="189">
        <v>9</v>
      </c>
      <c r="N3843" s="1734">
        <v>1</v>
      </c>
      <c r="O3843" s="1734">
        <v>10</v>
      </c>
      <c r="P3843" s="1734">
        <v>0</v>
      </c>
      <c r="Q3843" s="1734">
        <v>1</v>
      </c>
      <c r="R3843" s="1256">
        <v>71</v>
      </c>
      <c r="S3843" s="1256">
        <v>501</v>
      </c>
      <c r="T3843" s="1734" t="s">
        <v>3961</v>
      </c>
      <c r="U3843" s="1938" t="s">
        <v>8730</v>
      </c>
      <c r="V3843" s="20" t="s">
        <v>352</v>
      </c>
      <c r="W3843" s="2101" t="s">
        <v>6281</v>
      </c>
      <c r="X3843" s="18"/>
      <c r="Y3843" s="4"/>
      <c r="Z3843" s="4"/>
    </row>
    <row r="3844" spans="1:26" ht="15.6" hidden="1">
      <c r="A3844" s="20">
        <f t="shared" si="224"/>
        <v>3851</v>
      </c>
      <c r="B3844" s="1063">
        <v>43621</v>
      </c>
      <c r="C3844" s="190" t="s">
        <v>329</v>
      </c>
      <c r="D3844" s="11" t="s">
        <v>6</v>
      </c>
      <c r="E3844" s="204" t="s">
        <v>13136</v>
      </c>
      <c r="F3844" s="934" t="s">
        <v>11438</v>
      </c>
      <c r="G3844" s="493" t="s">
        <v>640</v>
      </c>
      <c r="H3844" s="204" t="s">
        <v>184</v>
      </c>
      <c r="I3844" s="664" t="s">
        <v>574</v>
      </c>
      <c r="J3844" s="494" t="s">
        <v>6299</v>
      </c>
      <c r="K3844" s="494" t="s">
        <v>6300</v>
      </c>
      <c r="L3844" s="494">
        <v>805</v>
      </c>
      <c r="M3844" s="493">
        <v>9</v>
      </c>
      <c r="N3844" s="494">
        <v>1</v>
      </c>
      <c r="O3844" s="494">
        <v>10</v>
      </c>
      <c r="P3844" s="494">
        <v>0</v>
      </c>
      <c r="Q3844" s="494">
        <v>1</v>
      </c>
      <c r="R3844" s="1326">
        <v>28</v>
      </c>
      <c r="S3844" s="1326">
        <v>191</v>
      </c>
      <c r="T3844" s="1734" t="s">
        <v>3961</v>
      </c>
      <c r="U3844" s="1938" t="s">
        <v>8730</v>
      </c>
      <c r="V3844" s="20" t="s">
        <v>352</v>
      </c>
      <c r="W3844" s="2142" t="s">
        <v>6301</v>
      </c>
      <c r="X3844" s="18"/>
      <c r="Y3844" s="4"/>
      <c r="Z3844" s="4"/>
    </row>
    <row r="3845" spans="1:26" ht="15.6" hidden="1">
      <c r="A3845" s="20">
        <f t="shared" si="224"/>
        <v>3852</v>
      </c>
      <c r="B3845" s="1063">
        <v>43622</v>
      </c>
      <c r="C3845" s="934" t="s">
        <v>1072</v>
      </c>
      <c r="D3845" s="11" t="s">
        <v>6</v>
      </c>
      <c r="E3845" s="204" t="s">
        <v>13136</v>
      </c>
      <c r="F3845" s="934" t="s">
        <v>11438</v>
      </c>
      <c r="G3845" s="204" t="s">
        <v>5188</v>
      </c>
      <c r="H3845" s="204" t="s">
        <v>13352</v>
      </c>
      <c r="I3845" s="664" t="s">
        <v>574</v>
      </c>
      <c r="J3845" s="297" t="s">
        <v>461</v>
      </c>
      <c r="K3845" s="297" t="s">
        <v>462</v>
      </c>
      <c r="L3845" s="297" t="s">
        <v>587</v>
      </c>
      <c r="M3845" s="297">
        <v>9</v>
      </c>
      <c r="N3845" s="297">
        <v>1</v>
      </c>
      <c r="O3845" s="297">
        <v>10</v>
      </c>
      <c r="P3845" s="297">
        <v>0</v>
      </c>
      <c r="Q3845" s="694">
        <v>1</v>
      </c>
      <c r="R3845" s="1327">
        <v>91</v>
      </c>
      <c r="S3845" s="1316">
        <v>748</v>
      </c>
      <c r="T3845" s="297" t="s">
        <v>3961</v>
      </c>
      <c r="U3845" s="1938" t="s">
        <v>8730</v>
      </c>
      <c r="V3845" s="20" t="s">
        <v>352</v>
      </c>
      <c r="W3845" s="696" t="s">
        <v>465</v>
      </c>
      <c r="X3845" s="18"/>
      <c r="Y3845" s="4"/>
      <c r="Z3845" s="4"/>
    </row>
    <row r="3846" spans="1:26" ht="15.6" hidden="1">
      <c r="A3846" s="20">
        <f t="shared" si="224"/>
        <v>3853</v>
      </c>
      <c r="B3846" s="1063">
        <v>43623</v>
      </c>
      <c r="C3846" s="190" t="s">
        <v>8733</v>
      </c>
      <c r="D3846" s="11" t="s">
        <v>6</v>
      </c>
      <c r="E3846" s="204" t="s">
        <v>13136</v>
      </c>
      <c r="F3846" s="934" t="s">
        <v>11438</v>
      </c>
      <c r="G3846" s="493" t="s">
        <v>6387</v>
      </c>
      <c r="H3846" s="204" t="s">
        <v>1653</v>
      </c>
      <c r="I3846" s="664" t="s">
        <v>574</v>
      </c>
      <c r="J3846" s="494" t="s">
        <v>8734</v>
      </c>
      <c r="K3846" s="494" t="s">
        <v>6389</v>
      </c>
      <c r="L3846" s="494">
        <v>805</v>
      </c>
      <c r="M3846" s="494">
        <v>12</v>
      </c>
      <c r="N3846" s="494">
        <v>1</v>
      </c>
      <c r="O3846" s="494">
        <v>12</v>
      </c>
      <c r="P3846" s="494">
        <v>0</v>
      </c>
      <c r="Q3846" s="494">
        <v>0</v>
      </c>
      <c r="R3846" s="1326">
        <v>12</v>
      </c>
      <c r="S3846" s="1326">
        <v>84</v>
      </c>
      <c r="T3846" s="297" t="s">
        <v>3961</v>
      </c>
      <c r="U3846" s="1938" t="s">
        <v>8730</v>
      </c>
      <c r="V3846" s="20" t="s">
        <v>352</v>
      </c>
      <c r="W3846" s="2065" t="s">
        <v>8735</v>
      </c>
      <c r="X3846" s="18"/>
      <c r="Y3846" s="4"/>
      <c r="Z3846" s="4"/>
    </row>
    <row r="3847" spans="1:26" ht="15.6" hidden="1">
      <c r="A3847" s="20">
        <f t="shared" si="224"/>
        <v>3854</v>
      </c>
      <c r="B3847" s="1063">
        <v>43624</v>
      </c>
      <c r="C3847" s="934" t="s">
        <v>5189</v>
      </c>
      <c r="D3847" s="11" t="s">
        <v>6</v>
      </c>
      <c r="E3847" s="204" t="s">
        <v>13136</v>
      </c>
      <c r="F3847" s="934" t="s">
        <v>11438</v>
      </c>
      <c r="G3847" s="204" t="s">
        <v>5190</v>
      </c>
      <c r="H3847" s="204" t="s">
        <v>452</v>
      </c>
      <c r="I3847" s="664" t="s">
        <v>13353</v>
      </c>
      <c r="J3847" s="297" t="s">
        <v>13354</v>
      </c>
      <c r="K3847" s="694" t="s">
        <v>454</v>
      </c>
      <c r="L3847" s="297" t="s">
        <v>13355</v>
      </c>
      <c r="M3847" s="297">
        <v>25</v>
      </c>
      <c r="N3847" s="297">
        <v>1</v>
      </c>
      <c r="O3847" s="297">
        <v>25</v>
      </c>
      <c r="P3847" s="297">
        <v>0</v>
      </c>
      <c r="Q3847" s="694">
        <v>0</v>
      </c>
      <c r="R3847" s="1327">
        <v>59</v>
      </c>
      <c r="S3847" s="1316">
        <v>1475</v>
      </c>
      <c r="T3847" s="297" t="s">
        <v>3961</v>
      </c>
      <c r="U3847" s="1938" t="s">
        <v>8730</v>
      </c>
      <c r="V3847" s="20" t="s">
        <v>352</v>
      </c>
      <c r="W3847" s="804" t="s">
        <v>13356</v>
      </c>
      <c r="X3847" s="18"/>
      <c r="Y3847" s="4"/>
      <c r="Z3847" s="4"/>
    </row>
    <row r="3848" spans="1:26" ht="14.1" hidden="1">
      <c r="A3848" s="20">
        <f t="shared" si="224"/>
        <v>3855</v>
      </c>
      <c r="B3848" s="1063">
        <v>43625</v>
      </c>
      <c r="C3848" s="934" t="s">
        <v>13357</v>
      </c>
      <c r="D3848" s="11" t="s">
        <v>6</v>
      </c>
      <c r="E3848" s="204" t="s">
        <v>13136</v>
      </c>
      <c r="F3848" s="934" t="s">
        <v>10696</v>
      </c>
      <c r="G3848" s="495" t="s">
        <v>13358</v>
      </c>
      <c r="H3848" s="204" t="s">
        <v>84</v>
      </c>
      <c r="I3848" s="204" t="s">
        <v>429</v>
      </c>
      <c r="J3848" s="1089">
        <v>17191938</v>
      </c>
      <c r="K3848" s="204"/>
      <c r="L3848" s="204"/>
      <c r="M3848" s="204">
        <v>1</v>
      </c>
      <c r="N3848" s="204">
        <v>1</v>
      </c>
      <c r="O3848" s="204">
        <v>1</v>
      </c>
      <c r="P3848" s="204">
        <v>0</v>
      </c>
      <c r="Q3848" s="572">
        <v>1</v>
      </c>
      <c r="R3848" s="1209">
        <v>21900</v>
      </c>
      <c r="S3848" s="1209">
        <v>21900</v>
      </c>
      <c r="T3848" s="204" t="s">
        <v>3961</v>
      </c>
      <c r="U3848" s="1901" t="s">
        <v>3646</v>
      </c>
      <c r="V3848" s="572" t="s">
        <v>352</v>
      </c>
      <c r="W3848" s="681" t="s">
        <v>13359</v>
      </c>
      <c r="X3848" s="18"/>
      <c r="Y3848" s="4"/>
      <c r="Z3848" s="4"/>
    </row>
    <row r="3849" spans="1:26" ht="14.1" hidden="1">
      <c r="A3849" s="20">
        <f t="shared" si="224"/>
        <v>3856</v>
      </c>
      <c r="B3849" s="1063">
        <v>43626</v>
      </c>
      <c r="C3849" s="934" t="s">
        <v>5567</v>
      </c>
      <c r="D3849" s="11" t="s">
        <v>6</v>
      </c>
      <c r="E3849" s="204" t="s">
        <v>13136</v>
      </c>
      <c r="F3849" s="934" t="s">
        <v>11544</v>
      </c>
      <c r="G3849" s="204" t="s">
        <v>13360</v>
      </c>
      <c r="H3849" s="204" t="s">
        <v>5569</v>
      </c>
      <c r="I3849" s="204" t="s">
        <v>5569</v>
      </c>
      <c r="J3849" s="204"/>
      <c r="K3849" s="204"/>
      <c r="L3849" s="204"/>
      <c r="M3849" s="204">
        <v>15</v>
      </c>
      <c r="N3849" s="204">
        <v>50</v>
      </c>
      <c r="O3849" s="204">
        <v>50</v>
      </c>
      <c r="P3849" s="204">
        <v>0</v>
      </c>
      <c r="Q3849" s="572">
        <v>50</v>
      </c>
      <c r="R3849" s="1209">
        <v>200</v>
      </c>
      <c r="S3849" s="1209">
        <v>10000</v>
      </c>
      <c r="T3849" s="204" t="s">
        <v>3961</v>
      </c>
      <c r="U3849" s="1901" t="s">
        <v>448</v>
      </c>
      <c r="V3849" s="572" t="s">
        <v>352</v>
      </c>
      <c r="W3849" s="681"/>
      <c r="X3849" s="18"/>
      <c r="Y3849" s="4"/>
      <c r="Z3849" s="4"/>
    </row>
    <row r="3850" spans="1:26" ht="14.1" hidden="1">
      <c r="A3850" s="20">
        <f t="shared" si="224"/>
        <v>3857</v>
      </c>
      <c r="B3850" s="1063">
        <v>43627</v>
      </c>
      <c r="C3850" s="934" t="s">
        <v>13361</v>
      </c>
      <c r="D3850" s="11" t="s">
        <v>6</v>
      </c>
      <c r="E3850" s="204" t="s">
        <v>13136</v>
      </c>
      <c r="F3850" s="934" t="s">
        <v>2693</v>
      </c>
      <c r="G3850" s="204" t="s">
        <v>13362</v>
      </c>
      <c r="H3850" s="204" t="s">
        <v>1</v>
      </c>
      <c r="I3850" s="204" t="s">
        <v>4646</v>
      </c>
      <c r="J3850" s="204" t="s">
        <v>1</v>
      </c>
      <c r="K3850" s="204" t="s">
        <v>1</v>
      </c>
      <c r="L3850" s="204" t="s">
        <v>1</v>
      </c>
      <c r="M3850" s="204">
        <v>150</v>
      </c>
      <c r="N3850" s="204">
        <v>1</v>
      </c>
      <c r="O3850" s="204">
        <v>150</v>
      </c>
      <c r="P3850" s="204">
        <v>0</v>
      </c>
      <c r="Q3850" s="572">
        <v>150</v>
      </c>
      <c r="R3850" s="1209">
        <v>70</v>
      </c>
      <c r="S3850" s="1209">
        <v>10500</v>
      </c>
      <c r="T3850" s="204" t="s">
        <v>929</v>
      </c>
      <c r="U3850" s="1901" t="s">
        <v>3282</v>
      </c>
      <c r="V3850" s="572" t="s">
        <v>118</v>
      </c>
      <c r="W3850" s="804" t="s">
        <v>13363</v>
      </c>
      <c r="X3850" s="18"/>
      <c r="Y3850" s="4"/>
      <c r="Z3850" s="4"/>
    </row>
    <row r="3851" spans="1:26" ht="14.1" hidden="1">
      <c r="A3851" s="20">
        <f t="shared" si="224"/>
        <v>3858</v>
      </c>
      <c r="B3851" s="1063">
        <v>43628</v>
      </c>
      <c r="C3851" s="934" t="s">
        <v>6657</v>
      </c>
      <c r="D3851" s="11"/>
      <c r="E3851" s="204" t="s">
        <v>13338</v>
      </c>
      <c r="F3851" s="934" t="s">
        <v>13364</v>
      </c>
      <c r="G3851" s="204" t="s">
        <v>10995</v>
      </c>
      <c r="H3851" s="204" t="s">
        <v>6659</v>
      </c>
      <c r="I3851" s="204" t="s">
        <v>5723</v>
      </c>
      <c r="J3851" s="204" t="s">
        <v>6660</v>
      </c>
      <c r="K3851" s="204"/>
      <c r="L3851" s="204" t="s">
        <v>6661</v>
      </c>
      <c r="M3851" s="204">
        <v>15</v>
      </c>
      <c r="N3851" s="204">
        <v>20</v>
      </c>
      <c r="O3851" s="204">
        <v>20</v>
      </c>
      <c r="P3851" s="204">
        <v>0</v>
      </c>
      <c r="Q3851" s="572">
        <v>5</v>
      </c>
      <c r="R3851" s="1209">
        <v>484</v>
      </c>
      <c r="S3851" s="1209">
        <v>9680</v>
      </c>
      <c r="T3851" s="204" t="s">
        <v>5448</v>
      </c>
      <c r="U3851" s="1901" t="s">
        <v>13365</v>
      </c>
      <c r="V3851" s="572" t="s">
        <v>3187</v>
      </c>
      <c r="W3851" s="681" t="s">
        <v>3270</v>
      </c>
      <c r="X3851" s="18"/>
      <c r="Y3851" s="4"/>
      <c r="Z3851" s="4"/>
    </row>
    <row r="3852" spans="1:26" ht="14.1" hidden="1">
      <c r="A3852" s="20">
        <f t="shared" si="224"/>
        <v>3859</v>
      </c>
      <c r="B3852" s="1063">
        <v>43629</v>
      </c>
      <c r="C3852" s="934" t="s">
        <v>428</v>
      </c>
      <c r="D3852" s="11"/>
      <c r="E3852" s="204" t="s">
        <v>13338</v>
      </c>
      <c r="F3852" s="934" t="s">
        <v>13364</v>
      </c>
      <c r="G3852" s="204" t="s">
        <v>6611</v>
      </c>
      <c r="H3852" s="204" t="s">
        <v>7613</v>
      </c>
      <c r="I3852" s="204"/>
      <c r="J3852" s="204"/>
      <c r="K3852" s="204" t="s">
        <v>6613</v>
      </c>
      <c r="L3852" s="204"/>
      <c r="M3852" s="204">
        <v>15</v>
      </c>
      <c r="N3852" s="204">
        <v>1</v>
      </c>
      <c r="O3852" s="204">
        <v>20</v>
      </c>
      <c r="P3852" s="204">
        <v>0</v>
      </c>
      <c r="Q3852" s="572">
        <v>5</v>
      </c>
      <c r="R3852" s="1209">
        <v>1150</v>
      </c>
      <c r="S3852" s="1209">
        <v>23000</v>
      </c>
      <c r="T3852" s="204" t="s">
        <v>5448</v>
      </c>
      <c r="U3852" s="1901" t="s">
        <v>13365</v>
      </c>
      <c r="V3852" s="572" t="s">
        <v>3187</v>
      </c>
      <c r="W3852" s="681" t="s">
        <v>7619</v>
      </c>
      <c r="X3852" s="18"/>
      <c r="Y3852" s="4"/>
      <c r="Z3852" s="4"/>
    </row>
    <row r="3853" spans="1:26" ht="14.1" hidden="1">
      <c r="A3853" s="20">
        <f t="shared" si="224"/>
        <v>3860</v>
      </c>
      <c r="B3853" s="1063">
        <v>43630</v>
      </c>
      <c r="C3853" s="934" t="s">
        <v>13366</v>
      </c>
      <c r="D3853" s="11"/>
      <c r="E3853" s="204" t="s">
        <v>13338</v>
      </c>
      <c r="F3853" s="934" t="s">
        <v>13364</v>
      </c>
      <c r="G3853" s="204" t="s">
        <v>4041</v>
      </c>
      <c r="H3853" s="204" t="s">
        <v>2060</v>
      </c>
      <c r="I3853" s="204" t="s">
        <v>574</v>
      </c>
      <c r="J3853" s="204" t="s">
        <v>13367</v>
      </c>
      <c r="K3853" s="204" t="s">
        <v>13368</v>
      </c>
      <c r="L3853" s="204" t="s">
        <v>6661</v>
      </c>
      <c r="M3853" s="204">
        <v>30</v>
      </c>
      <c r="N3853" s="204">
        <v>1</v>
      </c>
      <c r="O3853" s="204">
        <v>35</v>
      </c>
      <c r="P3853" s="204">
        <v>0</v>
      </c>
      <c r="Q3853" s="572">
        <v>5</v>
      </c>
      <c r="R3853" s="1209">
        <v>39.6</v>
      </c>
      <c r="S3853" s="1209">
        <v>1386</v>
      </c>
      <c r="T3853" s="204" t="s">
        <v>5448</v>
      </c>
      <c r="U3853" s="1901" t="s">
        <v>13365</v>
      </c>
      <c r="V3853" s="572" t="s">
        <v>3187</v>
      </c>
      <c r="W3853" s="681" t="s">
        <v>13369</v>
      </c>
      <c r="X3853" s="18"/>
      <c r="Y3853" s="4"/>
      <c r="Z3853" s="4"/>
    </row>
    <row r="3854" spans="1:26" ht="14.1" hidden="1">
      <c r="A3854" s="20">
        <f t="shared" si="224"/>
        <v>3861</v>
      </c>
      <c r="B3854" s="1063">
        <v>43631</v>
      </c>
      <c r="C3854" s="934" t="s">
        <v>13370</v>
      </c>
      <c r="D3854" s="11"/>
      <c r="E3854" s="204" t="s">
        <v>13338</v>
      </c>
      <c r="F3854" s="934" t="s">
        <v>13364</v>
      </c>
      <c r="G3854" s="204" t="s">
        <v>12274</v>
      </c>
      <c r="H3854" s="204" t="s">
        <v>1715</v>
      </c>
      <c r="I3854" s="204" t="s">
        <v>574</v>
      </c>
      <c r="J3854" s="204" t="s">
        <v>2145</v>
      </c>
      <c r="K3854" s="204" t="s">
        <v>2146</v>
      </c>
      <c r="L3854" s="204" t="s">
        <v>10941</v>
      </c>
      <c r="M3854" s="204">
        <v>30</v>
      </c>
      <c r="N3854" s="204">
        <v>1</v>
      </c>
      <c r="O3854" s="204">
        <v>35</v>
      </c>
      <c r="P3854" s="204">
        <v>0</v>
      </c>
      <c r="Q3854" s="572">
        <v>5</v>
      </c>
      <c r="R3854" s="1209">
        <v>543</v>
      </c>
      <c r="S3854" s="1209">
        <v>19005</v>
      </c>
      <c r="T3854" s="204" t="s">
        <v>5448</v>
      </c>
      <c r="U3854" s="1901" t="s">
        <v>13365</v>
      </c>
      <c r="V3854" s="572" t="s">
        <v>3187</v>
      </c>
      <c r="W3854" s="681" t="s">
        <v>13371</v>
      </c>
      <c r="X3854" s="18"/>
      <c r="Y3854" s="4"/>
      <c r="Z3854" s="4"/>
    </row>
    <row r="3855" spans="1:26" ht="14.1" hidden="1">
      <c r="A3855" s="20">
        <f t="shared" si="224"/>
        <v>3862</v>
      </c>
      <c r="B3855" s="1063">
        <v>43632</v>
      </c>
      <c r="C3855" s="934" t="s">
        <v>3692</v>
      </c>
      <c r="D3855" s="11"/>
      <c r="E3855" s="204" t="s">
        <v>13338</v>
      </c>
      <c r="F3855" s="934" t="s">
        <v>13364</v>
      </c>
      <c r="G3855" s="204" t="s">
        <v>7143</v>
      </c>
      <c r="H3855" s="204" t="s">
        <v>12629</v>
      </c>
      <c r="I3855" s="204" t="s">
        <v>281</v>
      </c>
      <c r="J3855" s="204" t="s">
        <v>8221</v>
      </c>
      <c r="K3855" s="204" t="s">
        <v>8221</v>
      </c>
      <c r="L3855" s="204" t="s">
        <v>532</v>
      </c>
      <c r="M3855" s="204">
        <v>15</v>
      </c>
      <c r="N3855" s="204">
        <v>1</v>
      </c>
      <c r="O3855" s="204">
        <v>20</v>
      </c>
      <c r="P3855" s="204">
        <v>0</v>
      </c>
      <c r="Q3855" s="572">
        <v>5</v>
      </c>
      <c r="R3855" s="1209">
        <v>411</v>
      </c>
      <c r="S3855" s="1209">
        <v>8220</v>
      </c>
      <c r="T3855" s="204" t="s">
        <v>5448</v>
      </c>
      <c r="U3855" s="1901" t="s">
        <v>13365</v>
      </c>
      <c r="V3855" s="572" t="s">
        <v>3187</v>
      </c>
      <c r="W3855" s="681" t="s">
        <v>13372</v>
      </c>
      <c r="X3855" s="18"/>
      <c r="Y3855" s="4"/>
      <c r="Z3855" s="4"/>
    </row>
    <row r="3856" spans="1:26" ht="14.1" hidden="1">
      <c r="A3856" s="20">
        <f t="shared" si="224"/>
        <v>3863</v>
      </c>
      <c r="B3856" s="1063">
        <v>43633</v>
      </c>
      <c r="C3856" s="934" t="s">
        <v>618</v>
      </c>
      <c r="D3856" s="11"/>
      <c r="E3856" s="204" t="s">
        <v>13338</v>
      </c>
      <c r="F3856" s="934" t="s">
        <v>13364</v>
      </c>
      <c r="G3856" s="204" t="s">
        <v>12380</v>
      </c>
      <c r="H3856" s="204" t="s">
        <v>2128</v>
      </c>
      <c r="I3856" s="204" t="s">
        <v>281</v>
      </c>
      <c r="J3856" s="204" t="s">
        <v>13373</v>
      </c>
      <c r="K3856" s="204" t="s">
        <v>13374</v>
      </c>
      <c r="L3856" s="204" t="s">
        <v>526</v>
      </c>
      <c r="M3856" s="204">
        <v>30</v>
      </c>
      <c r="N3856" s="204">
        <v>1</v>
      </c>
      <c r="O3856" s="204">
        <v>35</v>
      </c>
      <c r="P3856" s="204">
        <v>0</v>
      </c>
      <c r="Q3856" s="572">
        <v>5</v>
      </c>
      <c r="R3856" s="1209">
        <v>69</v>
      </c>
      <c r="S3856" s="1209">
        <v>2415</v>
      </c>
      <c r="T3856" s="204" t="s">
        <v>5448</v>
      </c>
      <c r="U3856" s="1901" t="s">
        <v>13365</v>
      </c>
      <c r="V3856" s="572" t="s">
        <v>3187</v>
      </c>
      <c r="W3856" s="681" t="s">
        <v>13375</v>
      </c>
      <c r="X3856" s="18"/>
      <c r="Y3856" s="4"/>
      <c r="Z3856" s="4"/>
    </row>
    <row r="3857" spans="1:26" ht="14.1" hidden="1">
      <c r="A3857" s="20">
        <f t="shared" si="224"/>
        <v>3864</v>
      </c>
      <c r="B3857" s="1063">
        <v>43634</v>
      </c>
      <c r="C3857" s="934" t="s">
        <v>13376</v>
      </c>
      <c r="D3857" s="11"/>
      <c r="E3857" s="204" t="s">
        <v>13338</v>
      </c>
      <c r="F3857" s="934" t="s">
        <v>13364</v>
      </c>
      <c r="G3857" s="204" t="s">
        <v>13377</v>
      </c>
      <c r="H3857" s="204" t="s">
        <v>13378</v>
      </c>
      <c r="I3857" s="204" t="s">
        <v>281</v>
      </c>
      <c r="J3857" s="204" t="s">
        <v>13379</v>
      </c>
      <c r="K3857" s="204" t="s">
        <v>13380</v>
      </c>
      <c r="L3857" s="204" t="s">
        <v>1088</v>
      </c>
      <c r="M3857" s="204">
        <v>30</v>
      </c>
      <c r="N3857" s="204">
        <v>1</v>
      </c>
      <c r="O3857" s="204">
        <v>35</v>
      </c>
      <c r="P3857" s="204">
        <v>0</v>
      </c>
      <c r="Q3857" s="572">
        <v>5</v>
      </c>
      <c r="R3857" s="1209">
        <v>54.24</v>
      </c>
      <c r="S3857" s="1209">
        <v>1898.4</v>
      </c>
      <c r="T3857" s="204" t="s">
        <v>5448</v>
      </c>
      <c r="U3857" s="1901" t="s">
        <v>13365</v>
      </c>
      <c r="V3857" s="572" t="s">
        <v>3187</v>
      </c>
      <c r="W3857" s="681" t="s">
        <v>13381</v>
      </c>
      <c r="X3857" s="18"/>
      <c r="Y3857" s="4"/>
      <c r="Z3857" s="4"/>
    </row>
    <row r="3858" spans="1:26" ht="14.1" hidden="1">
      <c r="A3858" s="20">
        <f t="shared" si="224"/>
        <v>3865</v>
      </c>
      <c r="B3858" s="1063">
        <v>43635</v>
      </c>
      <c r="C3858" s="934" t="s">
        <v>8891</v>
      </c>
      <c r="D3858" s="11"/>
      <c r="E3858" s="204" t="s">
        <v>13338</v>
      </c>
      <c r="F3858" s="934" t="s">
        <v>13364</v>
      </c>
      <c r="G3858" s="204" t="s">
        <v>8892</v>
      </c>
      <c r="H3858" s="204" t="s">
        <v>2280</v>
      </c>
      <c r="I3858" s="204" t="s">
        <v>574</v>
      </c>
      <c r="J3858" s="204" t="s">
        <v>512</v>
      </c>
      <c r="K3858" s="204" t="s">
        <v>2281</v>
      </c>
      <c r="L3858" s="204" t="s">
        <v>8893</v>
      </c>
      <c r="M3858" s="204">
        <v>15</v>
      </c>
      <c r="N3858" s="204">
        <v>1</v>
      </c>
      <c r="O3858" s="204">
        <v>20</v>
      </c>
      <c r="P3858" s="204">
        <v>0</v>
      </c>
      <c r="Q3858" s="572">
        <v>5</v>
      </c>
      <c r="R3858" s="1209">
        <v>53.2</v>
      </c>
      <c r="S3858" s="1209">
        <v>1064</v>
      </c>
      <c r="T3858" s="204" t="s">
        <v>5448</v>
      </c>
      <c r="U3858" s="1901" t="s">
        <v>13365</v>
      </c>
      <c r="V3858" s="572" t="s">
        <v>3187</v>
      </c>
      <c r="W3858" s="681" t="s">
        <v>8894</v>
      </c>
      <c r="X3858" s="18"/>
      <c r="Y3858" s="4"/>
      <c r="Z3858" s="4"/>
    </row>
    <row r="3859" spans="1:26" ht="14.1" hidden="1">
      <c r="A3859" s="20">
        <f t="shared" si="224"/>
        <v>3866</v>
      </c>
      <c r="B3859" s="1063">
        <v>43636</v>
      </c>
      <c r="C3859" s="934" t="s">
        <v>1988</v>
      </c>
      <c r="D3859" s="11"/>
      <c r="E3859" s="204" t="s">
        <v>13338</v>
      </c>
      <c r="F3859" s="934" t="s">
        <v>13364</v>
      </c>
      <c r="G3859" s="204" t="s">
        <v>7127</v>
      </c>
      <c r="H3859" s="204" t="s">
        <v>1853</v>
      </c>
      <c r="I3859" s="204" t="s">
        <v>574</v>
      </c>
      <c r="J3859" s="204" t="s">
        <v>599</v>
      </c>
      <c r="K3859" s="204" t="s">
        <v>1991</v>
      </c>
      <c r="L3859" s="204" t="s">
        <v>4121</v>
      </c>
      <c r="M3859" s="204">
        <v>15</v>
      </c>
      <c r="N3859" s="204">
        <v>1</v>
      </c>
      <c r="O3859" s="204">
        <v>20</v>
      </c>
      <c r="P3859" s="204">
        <v>0</v>
      </c>
      <c r="Q3859" s="572">
        <v>5</v>
      </c>
      <c r="R3859" s="1209">
        <v>21.4</v>
      </c>
      <c r="S3859" s="1209">
        <v>428</v>
      </c>
      <c r="T3859" s="204" t="s">
        <v>5448</v>
      </c>
      <c r="U3859" s="1901" t="s">
        <v>13365</v>
      </c>
      <c r="V3859" s="572" t="s">
        <v>3187</v>
      </c>
      <c r="W3859" s="681" t="s">
        <v>602</v>
      </c>
      <c r="X3859" s="18"/>
      <c r="Y3859" s="4"/>
      <c r="Z3859" s="4"/>
    </row>
    <row r="3860" spans="1:26" ht="14.1" hidden="1">
      <c r="A3860" s="20">
        <f t="shared" si="224"/>
        <v>3867</v>
      </c>
      <c r="B3860" s="1063">
        <v>43637</v>
      </c>
      <c r="C3860" s="934" t="s">
        <v>13382</v>
      </c>
      <c r="D3860" s="11"/>
      <c r="E3860" s="204" t="s">
        <v>13338</v>
      </c>
      <c r="F3860" s="934" t="s">
        <v>13364</v>
      </c>
      <c r="G3860" s="204" t="s">
        <v>542</v>
      </c>
      <c r="H3860" s="204" t="s">
        <v>543</v>
      </c>
      <c r="I3860" s="204" t="s">
        <v>281</v>
      </c>
      <c r="J3860" s="204" t="s">
        <v>544</v>
      </c>
      <c r="K3860" s="204" t="s">
        <v>545</v>
      </c>
      <c r="L3860" s="204"/>
      <c r="M3860" s="204">
        <v>30</v>
      </c>
      <c r="N3860" s="204">
        <v>1</v>
      </c>
      <c r="O3860" s="204">
        <v>35</v>
      </c>
      <c r="P3860" s="204">
        <v>0</v>
      </c>
      <c r="Q3860" s="572">
        <v>5</v>
      </c>
      <c r="R3860" s="1209">
        <v>1667</v>
      </c>
      <c r="S3860" s="1209">
        <v>58345</v>
      </c>
      <c r="T3860" s="204" t="s">
        <v>5448</v>
      </c>
      <c r="U3860" s="1901" t="s">
        <v>13365</v>
      </c>
      <c r="V3860" s="572" t="s">
        <v>3187</v>
      </c>
      <c r="W3860" s="681" t="s">
        <v>547</v>
      </c>
      <c r="X3860" s="18"/>
      <c r="Y3860" s="4"/>
      <c r="Z3860" s="4"/>
    </row>
    <row r="3861" spans="1:26" ht="14.1" hidden="1">
      <c r="A3861" s="20">
        <f t="shared" si="224"/>
        <v>3868</v>
      </c>
      <c r="B3861" s="1063">
        <v>43638</v>
      </c>
      <c r="C3861" s="934" t="s">
        <v>13383</v>
      </c>
      <c r="D3861" s="11"/>
      <c r="E3861" s="204" t="s">
        <v>13338</v>
      </c>
      <c r="F3861" s="934" t="s">
        <v>13364</v>
      </c>
      <c r="G3861" s="204" t="s">
        <v>13384</v>
      </c>
      <c r="H3861" s="204" t="s">
        <v>1853</v>
      </c>
      <c r="I3861" s="204" t="s">
        <v>281</v>
      </c>
      <c r="J3861" s="204" t="s">
        <v>13385</v>
      </c>
      <c r="K3861" s="204" t="s">
        <v>13386</v>
      </c>
      <c r="L3861" s="204" t="s">
        <v>12881</v>
      </c>
      <c r="M3861" s="204">
        <v>15</v>
      </c>
      <c r="N3861" s="204">
        <v>1</v>
      </c>
      <c r="O3861" s="204">
        <v>20</v>
      </c>
      <c r="P3861" s="204">
        <v>0</v>
      </c>
      <c r="Q3861" s="572">
        <v>5</v>
      </c>
      <c r="R3861" s="1209">
        <v>50.7</v>
      </c>
      <c r="S3861" s="1209">
        <v>1014</v>
      </c>
      <c r="T3861" s="204" t="s">
        <v>5448</v>
      </c>
      <c r="U3861" s="1901" t="s">
        <v>13365</v>
      </c>
      <c r="V3861" s="572" t="s">
        <v>3187</v>
      </c>
      <c r="W3861" s="681" t="s">
        <v>13387</v>
      </c>
      <c r="X3861" s="18"/>
      <c r="Y3861" s="4"/>
      <c r="Z3861" s="4"/>
    </row>
    <row r="3862" spans="1:26" ht="14.1" hidden="1">
      <c r="A3862" s="20">
        <f t="shared" si="224"/>
        <v>3869</v>
      </c>
      <c r="B3862" s="1063">
        <v>43639</v>
      </c>
      <c r="C3862" s="934" t="s">
        <v>13388</v>
      </c>
      <c r="D3862" s="11"/>
      <c r="E3862" s="204" t="s">
        <v>13338</v>
      </c>
      <c r="F3862" s="934" t="s">
        <v>13364</v>
      </c>
      <c r="G3862" s="204" t="s">
        <v>1088</v>
      </c>
      <c r="H3862" s="204" t="s">
        <v>10591</v>
      </c>
      <c r="I3862" s="204" t="s">
        <v>574</v>
      </c>
      <c r="J3862" s="204" t="s">
        <v>10593</v>
      </c>
      <c r="K3862" s="204" t="s">
        <v>10594</v>
      </c>
      <c r="L3862" s="204" t="s">
        <v>1088</v>
      </c>
      <c r="M3862" s="204">
        <v>15</v>
      </c>
      <c r="N3862" s="204">
        <v>1</v>
      </c>
      <c r="O3862" s="204">
        <v>20</v>
      </c>
      <c r="P3862" s="204">
        <v>0</v>
      </c>
      <c r="Q3862" s="572">
        <v>5</v>
      </c>
      <c r="R3862" s="1209">
        <v>504</v>
      </c>
      <c r="S3862" s="1209">
        <v>10080</v>
      </c>
      <c r="T3862" s="204" t="s">
        <v>5448</v>
      </c>
      <c r="U3862" s="1901" t="s">
        <v>13365</v>
      </c>
      <c r="V3862" s="572" t="s">
        <v>3187</v>
      </c>
      <c r="W3862" s="681" t="s">
        <v>10595</v>
      </c>
      <c r="X3862" s="18"/>
      <c r="Y3862" s="4"/>
      <c r="Z3862" s="4"/>
    </row>
    <row r="3863" spans="1:26" ht="14.1" hidden="1">
      <c r="A3863" s="20">
        <f t="shared" si="224"/>
        <v>3870</v>
      </c>
      <c r="B3863" s="1063">
        <v>43640</v>
      </c>
      <c r="C3863" s="934" t="s">
        <v>13389</v>
      </c>
      <c r="D3863" s="11"/>
      <c r="E3863" s="204" t="s">
        <v>13338</v>
      </c>
      <c r="F3863" s="934" t="s">
        <v>13364</v>
      </c>
      <c r="G3863" s="204" t="s">
        <v>13390</v>
      </c>
      <c r="H3863" s="204" t="s">
        <v>6567</v>
      </c>
      <c r="I3863" s="204" t="s">
        <v>574</v>
      </c>
      <c r="J3863" s="204" t="s">
        <v>13391</v>
      </c>
      <c r="K3863" s="204" t="s">
        <v>13392</v>
      </c>
      <c r="L3863" s="204" t="s">
        <v>6661</v>
      </c>
      <c r="M3863" s="204">
        <v>3</v>
      </c>
      <c r="N3863" s="204">
        <v>1</v>
      </c>
      <c r="O3863" s="204">
        <v>3</v>
      </c>
      <c r="P3863" s="204">
        <v>0</v>
      </c>
      <c r="Q3863" s="572">
        <v>0</v>
      </c>
      <c r="R3863" s="1209">
        <v>384</v>
      </c>
      <c r="S3863" s="1209">
        <v>1152</v>
      </c>
      <c r="T3863" s="204" t="s">
        <v>5448</v>
      </c>
      <c r="U3863" s="1901" t="s">
        <v>13365</v>
      </c>
      <c r="V3863" s="572" t="s">
        <v>3187</v>
      </c>
      <c r="W3863" s="681" t="s">
        <v>13393</v>
      </c>
      <c r="X3863" s="18"/>
      <c r="Y3863" s="4"/>
      <c r="Z3863" s="4"/>
    </row>
    <row r="3864" spans="1:26" ht="14.1" hidden="1">
      <c r="A3864" s="20">
        <f t="shared" si="224"/>
        <v>3871</v>
      </c>
      <c r="B3864" s="1063">
        <v>43641</v>
      </c>
      <c r="C3864" s="934" t="s">
        <v>1846</v>
      </c>
      <c r="D3864" s="11"/>
      <c r="E3864" s="204" t="s">
        <v>13338</v>
      </c>
      <c r="F3864" s="934" t="s">
        <v>13364</v>
      </c>
      <c r="G3864" s="204" t="s">
        <v>6463</v>
      </c>
      <c r="H3864" s="204" t="s">
        <v>1073</v>
      </c>
      <c r="I3864" s="204" t="s">
        <v>574</v>
      </c>
      <c r="J3864" s="204" t="s">
        <v>518</v>
      </c>
      <c r="K3864" s="204" t="s">
        <v>519</v>
      </c>
      <c r="L3864" s="204" t="s">
        <v>4799</v>
      </c>
      <c r="M3864" s="204">
        <v>6</v>
      </c>
      <c r="N3864" s="204">
        <v>1</v>
      </c>
      <c r="O3864" s="204">
        <v>8</v>
      </c>
      <c r="P3864" s="204">
        <v>0</v>
      </c>
      <c r="Q3864" s="572">
        <v>2</v>
      </c>
      <c r="R3864" s="1209">
        <v>230</v>
      </c>
      <c r="S3864" s="1209">
        <v>1840</v>
      </c>
      <c r="T3864" s="204" t="s">
        <v>5448</v>
      </c>
      <c r="U3864" s="1901" t="s">
        <v>13365</v>
      </c>
      <c r="V3864" s="572" t="s">
        <v>3187</v>
      </c>
      <c r="W3864" s="681" t="s">
        <v>10892</v>
      </c>
      <c r="X3864" s="18"/>
      <c r="Y3864" s="4"/>
      <c r="Z3864" s="4"/>
    </row>
    <row r="3865" spans="1:26" ht="14.1" hidden="1">
      <c r="A3865" s="20">
        <f t="shared" si="224"/>
        <v>3872</v>
      </c>
      <c r="B3865" s="1063">
        <v>43642</v>
      </c>
      <c r="C3865" s="934" t="s">
        <v>1083</v>
      </c>
      <c r="D3865" s="11"/>
      <c r="E3865" s="204" t="s">
        <v>13338</v>
      </c>
      <c r="F3865" s="934" t="s">
        <v>13364</v>
      </c>
      <c r="G3865" s="204" t="s">
        <v>2943</v>
      </c>
      <c r="H3865" s="204" t="s">
        <v>2944</v>
      </c>
      <c r="I3865" s="204" t="s">
        <v>281</v>
      </c>
      <c r="J3865" s="204" t="s">
        <v>2945</v>
      </c>
      <c r="K3865" s="204" t="s">
        <v>2946</v>
      </c>
      <c r="L3865" s="204"/>
      <c r="M3865" s="204">
        <v>3</v>
      </c>
      <c r="N3865" s="204">
        <v>1</v>
      </c>
      <c r="O3865" s="204">
        <v>4</v>
      </c>
      <c r="P3865" s="204">
        <v>0</v>
      </c>
      <c r="Q3865" s="572">
        <v>1</v>
      </c>
      <c r="R3865" s="1209">
        <v>358</v>
      </c>
      <c r="S3865" s="1209">
        <v>1432</v>
      </c>
      <c r="T3865" s="204" t="s">
        <v>5448</v>
      </c>
      <c r="U3865" s="1901" t="s">
        <v>13365</v>
      </c>
      <c r="V3865" s="572" t="s">
        <v>3187</v>
      </c>
      <c r="W3865" s="681" t="s">
        <v>2947</v>
      </c>
      <c r="X3865" s="18"/>
      <c r="Y3865" s="4"/>
      <c r="Z3865" s="4"/>
    </row>
    <row r="3866" spans="1:26" ht="14.1" hidden="1">
      <c r="A3866" s="20">
        <f t="shared" si="224"/>
        <v>3873</v>
      </c>
      <c r="B3866" s="1063">
        <v>43643</v>
      </c>
      <c r="C3866" s="934" t="s">
        <v>2912</v>
      </c>
      <c r="D3866" s="11"/>
      <c r="E3866" s="204" t="s">
        <v>13338</v>
      </c>
      <c r="F3866" s="934" t="s">
        <v>13364</v>
      </c>
      <c r="G3866" s="204" t="s">
        <v>10893</v>
      </c>
      <c r="H3866" s="204" t="s">
        <v>3293</v>
      </c>
      <c r="I3866" s="204" t="s">
        <v>574</v>
      </c>
      <c r="J3866" s="204" t="s">
        <v>10894</v>
      </c>
      <c r="K3866" s="204">
        <v>1043</v>
      </c>
      <c r="L3866" s="204" t="s">
        <v>1</v>
      </c>
      <c r="M3866" s="204">
        <v>3</v>
      </c>
      <c r="N3866" s="204">
        <v>1</v>
      </c>
      <c r="O3866" s="204">
        <v>4</v>
      </c>
      <c r="P3866" s="204">
        <v>0</v>
      </c>
      <c r="Q3866" s="572">
        <v>1</v>
      </c>
      <c r="R3866" s="1209">
        <v>329</v>
      </c>
      <c r="S3866" s="1209">
        <v>1316</v>
      </c>
      <c r="T3866" s="204" t="s">
        <v>5448</v>
      </c>
      <c r="U3866" s="1901" t="s">
        <v>13365</v>
      </c>
      <c r="V3866" s="572" t="s">
        <v>3187</v>
      </c>
      <c r="W3866" s="681" t="s">
        <v>10895</v>
      </c>
      <c r="X3866" s="18"/>
      <c r="Y3866" s="4"/>
      <c r="Z3866" s="4"/>
    </row>
    <row r="3867" spans="1:26" ht="14.1" hidden="1">
      <c r="A3867" s="20">
        <f t="shared" si="224"/>
        <v>3874</v>
      </c>
      <c r="B3867" s="1063">
        <v>43644</v>
      </c>
      <c r="C3867" s="934" t="s">
        <v>10886</v>
      </c>
      <c r="D3867" s="11"/>
      <c r="E3867" s="204" t="s">
        <v>13338</v>
      </c>
      <c r="F3867" s="934" t="s">
        <v>13364</v>
      </c>
      <c r="G3867" s="204" t="s">
        <v>12268</v>
      </c>
      <c r="H3867" s="204" t="s">
        <v>1073</v>
      </c>
      <c r="I3867" s="204" t="s">
        <v>574</v>
      </c>
      <c r="J3867" s="204" t="s">
        <v>12269</v>
      </c>
      <c r="K3867" s="204" t="s">
        <v>12270</v>
      </c>
      <c r="L3867" s="204" t="s">
        <v>12271</v>
      </c>
      <c r="M3867" s="204">
        <v>3</v>
      </c>
      <c r="N3867" s="204">
        <v>1</v>
      </c>
      <c r="O3867" s="204">
        <v>4</v>
      </c>
      <c r="P3867" s="204">
        <v>0</v>
      </c>
      <c r="Q3867" s="572">
        <v>1</v>
      </c>
      <c r="R3867" s="1209">
        <v>1625</v>
      </c>
      <c r="S3867" s="1209">
        <v>6500</v>
      </c>
      <c r="T3867" s="204" t="s">
        <v>5448</v>
      </c>
      <c r="U3867" s="1901" t="s">
        <v>13365</v>
      </c>
      <c r="V3867" s="572" t="s">
        <v>3187</v>
      </c>
      <c r="W3867" s="681" t="s">
        <v>12272</v>
      </c>
      <c r="X3867" s="18"/>
      <c r="Y3867" s="4"/>
      <c r="Z3867" s="4"/>
    </row>
    <row r="3868" spans="1:26" ht="14.1" hidden="1">
      <c r="A3868" s="20">
        <f t="shared" si="224"/>
        <v>3875</v>
      </c>
      <c r="B3868" s="1063">
        <v>43645</v>
      </c>
      <c r="C3868" s="934" t="s">
        <v>6465</v>
      </c>
      <c r="D3868" s="11"/>
      <c r="E3868" s="204" t="s">
        <v>13338</v>
      </c>
      <c r="F3868" s="934" t="s">
        <v>13364</v>
      </c>
      <c r="G3868" s="204" t="s">
        <v>10921</v>
      </c>
      <c r="H3868" s="204" t="s">
        <v>460</v>
      </c>
      <c r="I3868" s="204" t="s">
        <v>574</v>
      </c>
      <c r="J3868" s="204" t="s">
        <v>10922</v>
      </c>
      <c r="K3868" s="204" t="s">
        <v>10923</v>
      </c>
      <c r="L3868" s="204"/>
      <c r="M3868" s="204">
        <v>3</v>
      </c>
      <c r="N3868" s="204">
        <v>1</v>
      </c>
      <c r="O3868" s="204">
        <v>4</v>
      </c>
      <c r="P3868" s="204">
        <v>0</v>
      </c>
      <c r="Q3868" s="572">
        <v>1</v>
      </c>
      <c r="R3868" s="1209">
        <v>178</v>
      </c>
      <c r="S3868" s="1209">
        <v>712</v>
      </c>
      <c r="T3868" s="204" t="s">
        <v>5448</v>
      </c>
      <c r="U3868" s="1901" t="s">
        <v>13365</v>
      </c>
      <c r="V3868" s="572" t="s">
        <v>3187</v>
      </c>
      <c r="W3868" s="681" t="s">
        <v>10924</v>
      </c>
      <c r="X3868" s="18"/>
      <c r="Y3868" s="4"/>
      <c r="Z3868" s="4"/>
    </row>
    <row r="3869" spans="1:26" ht="14.1" hidden="1">
      <c r="A3869" s="20">
        <f t="shared" si="224"/>
        <v>3876</v>
      </c>
      <c r="B3869" s="1063">
        <v>43646</v>
      </c>
      <c r="C3869" s="934" t="s">
        <v>10949</v>
      </c>
      <c r="D3869" s="11"/>
      <c r="E3869" s="204" t="s">
        <v>13338</v>
      </c>
      <c r="F3869" s="934" t="s">
        <v>13364</v>
      </c>
      <c r="G3869" s="204" t="s">
        <v>10950</v>
      </c>
      <c r="H3869" s="204" t="s">
        <v>3612</v>
      </c>
      <c r="I3869" s="204" t="s">
        <v>574</v>
      </c>
      <c r="J3869" s="204" t="s">
        <v>10951</v>
      </c>
      <c r="K3869" s="204" t="s">
        <v>10952</v>
      </c>
      <c r="L3869" s="204"/>
      <c r="M3869" s="204">
        <v>30</v>
      </c>
      <c r="N3869" s="204">
        <v>1</v>
      </c>
      <c r="O3869" s="204">
        <v>30</v>
      </c>
      <c r="P3869" s="204">
        <v>0</v>
      </c>
      <c r="Q3869" s="572">
        <v>0</v>
      </c>
      <c r="R3869" s="1209">
        <v>45</v>
      </c>
      <c r="S3869" s="1209">
        <v>1350</v>
      </c>
      <c r="T3869" s="204" t="s">
        <v>5448</v>
      </c>
      <c r="U3869" s="1901" t="s">
        <v>13365</v>
      </c>
      <c r="V3869" s="572" t="s">
        <v>3187</v>
      </c>
      <c r="W3869" s="681" t="s">
        <v>10953</v>
      </c>
      <c r="X3869" s="18"/>
      <c r="Y3869" s="4"/>
      <c r="Z3869" s="4"/>
    </row>
    <row r="3870" spans="1:26" ht="14.1" hidden="1">
      <c r="A3870" s="20">
        <f t="shared" si="224"/>
        <v>3877</v>
      </c>
      <c r="B3870" s="1063">
        <v>43647</v>
      </c>
      <c r="C3870" s="934" t="s">
        <v>10954</v>
      </c>
      <c r="D3870" s="11"/>
      <c r="E3870" s="204" t="s">
        <v>13338</v>
      </c>
      <c r="F3870" s="934" t="s">
        <v>13364</v>
      </c>
      <c r="G3870" s="204" t="s">
        <v>10955</v>
      </c>
      <c r="H3870" s="204" t="s">
        <v>3612</v>
      </c>
      <c r="I3870" s="204" t="s">
        <v>574</v>
      </c>
      <c r="J3870" s="204" t="s">
        <v>10956</v>
      </c>
      <c r="K3870" s="204" t="s">
        <v>10957</v>
      </c>
      <c r="L3870" s="204"/>
      <c r="M3870" s="204">
        <v>9</v>
      </c>
      <c r="N3870" s="204">
        <v>1</v>
      </c>
      <c r="O3870" s="204">
        <v>10</v>
      </c>
      <c r="P3870" s="204">
        <v>0</v>
      </c>
      <c r="Q3870" s="572">
        <v>1</v>
      </c>
      <c r="R3870" s="1209">
        <v>63</v>
      </c>
      <c r="S3870" s="1209">
        <v>630</v>
      </c>
      <c r="T3870" s="204" t="s">
        <v>5448</v>
      </c>
      <c r="U3870" s="1901" t="s">
        <v>13365</v>
      </c>
      <c r="V3870" s="572" t="s">
        <v>3187</v>
      </c>
      <c r="W3870" s="681" t="s">
        <v>10958</v>
      </c>
      <c r="X3870" s="18"/>
      <c r="Y3870" s="4"/>
      <c r="Z3870" s="4"/>
    </row>
    <row r="3871" spans="1:26" ht="14.1" hidden="1">
      <c r="A3871" s="20">
        <f t="shared" si="224"/>
        <v>3878</v>
      </c>
      <c r="B3871" s="1063">
        <v>43648</v>
      </c>
      <c r="C3871" s="934" t="s">
        <v>329</v>
      </c>
      <c r="D3871" s="11"/>
      <c r="E3871" s="204" t="s">
        <v>13338</v>
      </c>
      <c r="F3871" s="934" t="s">
        <v>13364</v>
      </c>
      <c r="G3871" s="204" t="s">
        <v>12280</v>
      </c>
      <c r="H3871" s="204" t="s">
        <v>1653</v>
      </c>
      <c r="I3871" s="204" t="s">
        <v>574</v>
      </c>
      <c r="J3871" s="204" t="s">
        <v>12281</v>
      </c>
      <c r="K3871" s="204" t="s">
        <v>12282</v>
      </c>
      <c r="L3871" s="204">
        <v>805</v>
      </c>
      <c r="M3871" s="204">
        <v>3</v>
      </c>
      <c r="N3871" s="204">
        <v>1</v>
      </c>
      <c r="O3871" s="204">
        <v>10</v>
      </c>
      <c r="P3871" s="204">
        <v>0</v>
      </c>
      <c r="Q3871" s="572">
        <v>7</v>
      </c>
      <c r="R3871" s="1209">
        <v>15</v>
      </c>
      <c r="S3871" s="1209">
        <v>150</v>
      </c>
      <c r="T3871" s="204" t="s">
        <v>5448</v>
      </c>
      <c r="U3871" s="1901" t="s">
        <v>13365</v>
      </c>
      <c r="V3871" s="572" t="s">
        <v>3187</v>
      </c>
      <c r="W3871" s="681" t="s">
        <v>12283</v>
      </c>
      <c r="X3871" s="18"/>
      <c r="Y3871" s="4"/>
      <c r="Z3871" s="4"/>
    </row>
    <row r="3872" spans="1:26" ht="14.1" hidden="1">
      <c r="A3872" s="20">
        <f t="shared" si="224"/>
        <v>3879</v>
      </c>
      <c r="B3872" s="1063">
        <v>43649</v>
      </c>
      <c r="C3872" s="934" t="s">
        <v>2918</v>
      </c>
      <c r="D3872" s="11"/>
      <c r="E3872" s="204" t="s">
        <v>13338</v>
      </c>
      <c r="F3872" s="934" t="s">
        <v>13364</v>
      </c>
      <c r="G3872" s="204" t="s">
        <v>12284</v>
      </c>
      <c r="H3872" s="204" t="s">
        <v>2920</v>
      </c>
      <c r="I3872" s="204" t="s">
        <v>574</v>
      </c>
      <c r="J3872" s="204" t="s">
        <v>2921</v>
      </c>
      <c r="K3872" s="204">
        <v>3295</v>
      </c>
      <c r="L3872" s="204"/>
      <c r="M3872" s="204">
        <v>3</v>
      </c>
      <c r="N3872" s="204">
        <v>1</v>
      </c>
      <c r="O3872" s="204">
        <v>4</v>
      </c>
      <c r="P3872" s="204">
        <v>0</v>
      </c>
      <c r="Q3872" s="572">
        <v>1</v>
      </c>
      <c r="R3872" s="1209">
        <v>549</v>
      </c>
      <c r="S3872" s="1209">
        <v>2196</v>
      </c>
      <c r="T3872" s="204" t="s">
        <v>5448</v>
      </c>
      <c r="U3872" s="1901" t="s">
        <v>13365</v>
      </c>
      <c r="V3872" s="572" t="s">
        <v>3187</v>
      </c>
      <c r="W3872" s="681" t="s">
        <v>12285</v>
      </c>
      <c r="X3872" s="18"/>
      <c r="Y3872" s="4"/>
      <c r="Z3872" s="4"/>
    </row>
    <row r="3873" spans="1:26" ht="14.1" hidden="1">
      <c r="A3873" s="20">
        <f t="shared" si="224"/>
        <v>3880</v>
      </c>
      <c r="B3873" s="1063">
        <v>43650</v>
      </c>
      <c r="C3873" s="934" t="s">
        <v>13394</v>
      </c>
      <c r="D3873" s="11"/>
      <c r="E3873" s="204" t="s">
        <v>13338</v>
      </c>
      <c r="F3873" s="934" t="s">
        <v>13364</v>
      </c>
      <c r="G3873" s="204" t="s">
        <v>13395</v>
      </c>
      <c r="H3873" s="204" t="s">
        <v>1002</v>
      </c>
      <c r="I3873" s="204" t="s">
        <v>1002</v>
      </c>
      <c r="J3873" s="204">
        <v>21042000174</v>
      </c>
      <c r="K3873" s="204" t="s">
        <v>1</v>
      </c>
      <c r="L3873" s="204" t="s">
        <v>1</v>
      </c>
      <c r="M3873" s="204">
        <v>12</v>
      </c>
      <c r="N3873" s="204">
        <v>1</v>
      </c>
      <c r="O3873" s="204">
        <v>15</v>
      </c>
      <c r="P3873" s="204">
        <v>0</v>
      </c>
      <c r="Q3873" s="572">
        <v>3</v>
      </c>
      <c r="R3873" s="1209">
        <v>169589</v>
      </c>
      <c r="S3873" s="1209">
        <v>169589</v>
      </c>
      <c r="T3873" s="204" t="s">
        <v>5448</v>
      </c>
      <c r="U3873" s="1901" t="s">
        <v>13365</v>
      </c>
      <c r="V3873" s="572" t="s">
        <v>3187</v>
      </c>
      <c r="W3873" s="804" t="s">
        <v>10815</v>
      </c>
      <c r="X3873" s="18"/>
      <c r="Y3873" s="4"/>
      <c r="Z3873" s="4"/>
    </row>
    <row r="3874" spans="1:26" ht="14.1" hidden="1">
      <c r="A3874" s="20">
        <f t="shared" si="224"/>
        <v>3881</v>
      </c>
      <c r="B3874" s="1063">
        <v>43651</v>
      </c>
      <c r="C3874" s="934" t="s">
        <v>13396</v>
      </c>
      <c r="D3874" s="11" t="s">
        <v>6</v>
      </c>
      <c r="E3874" s="204" t="s">
        <v>13136</v>
      </c>
      <c r="F3874" s="934" t="s">
        <v>2143</v>
      </c>
      <c r="G3874" s="204" t="s">
        <v>13397</v>
      </c>
      <c r="H3874" s="204" t="s">
        <v>13398</v>
      </c>
      <c r="I3874" s="204" t="s">
        <v>13399</v>
      </c>
      <c r="J3874" s="204"/>
      <c r="K3874" s="204" t="s">
        <v>13396</v>
      </c>
      <c r="L3874" s="204"/>
      <c r="M3874" s="204">
        <v>1</v>
      </c>
      <c r="N3874" s="204">
        <v>1</v>
      </c>
      <c r="O3874" s="204">
        <v>1</v>
      </c>
      <c r="P3874" s="204">
        <v>0</v>
      </c>
      <c r="Q3874" s="572">
        <v>0</v>
      </c>
      <c r="R3874" s="1209">
        <v>41800</v>
      </c>
      <c r="S3874" s="1209">
        <v>41800</v>
      </c>
      <c r="T3874" s="204" t="s">
        <v>13400</v>
      </c>
      <c r="U3874" s="1901" t="s">
        <v>118</v>
      </c>
      <c r="V3874" s="572" t="s">
        <v>13082</v>
      </c>
      <c r="W3874" s="681" t="s">
        <v>13401</v>
      </c>
      <c r="X3874" s="18"/>
      <c r="Y3874" s="4"/>
      <c r="Z3874" s="4"/>
    </row>
    <row r="3875" spans="1:26" ht="14.1" hidden="1">
      <c r="A3875" s="20">
        <f t="shared" si="224"/>
        <v>3882</v>
      </c>
      <c r="B3875" s="1063">
        <v>43652</v>
      </c>
      <c r="C3875" s="934" t="s">
        <v>13402</v>
      </c>
      <c r="D3875" s="11" t="s">
        <v>6</v>
      </c>
      <c r="E3875" s="204" t="s">
        <v>13136</v>
      </c>
      <c r="F3875" s="934" t="s">
        <v>2143</v>
      </c>
      <c r="G3875" s="204" t="s">
        <v>13403</v>
      </c>
      <c r="H3875" s="204" t="s">
        <v>13398</v>
      </c>
      <c r="I3875" s="204" t="s">
        <v>13399</v>
      </c>
      <c r="J3875" s="204"/>
      <c r="K3875" s="204" t="s">
        <v>13404</v>
      </c>
      <c r="L3875" s="204"/>
      <c r="M3875" s="204">
        <v>1</v>
      </c>
      <c r="N3875" s="204">
        <v>1</v>
      </c>
      <c r="O3875" s="204">
        <v>1</v>
      </c>
      <c r="P3875" s="204">
        <v>0</v>
      </c>
      <c r="Q3875" s="572">
        <v>0</v>
      </c>
      <c r="R3875" s="1209">
        <v>4675</v>
      </c>
      <c r="S3875" s="1209">
        <v>4675</v>
      </c>
      <c r="T3875" s="204" t="s">
        <v>13400</v>
      </c>
      <c r="U3875" s="1901" t="s">
        <v>118</v>
      </c>
      <c r="V3875" s="572" t="s">
        <v>13082</v>
      </c>
      <c r="W3875" s="681" t="s">
        <v>13405</v>
      </c>
      <c r="X3875" s="18"/>
      <c r="Y3875" s="4"/>
      <c r="Z3875" s="4"/>
    </row>
    <row r="3876" spans="1:26" ht="14.1" hidden="1">
      <c r="A3876" s="20">
        <f t="shared" si="224"/>
        <v>3883</v>
      </c>
      <c r="B3876" s="1063">
        <v>43653</v>
      </c>
      <c r="C3876" s="934" t="s">
        <v>13406</v>
      </c>
      <c r="D3876" s="11"/>
      <c r="E3876" s="204" t="s">
        <v>13136</v>
      </c>
      <c r="F3876" s="934" t="s">
        <v>13364</v>
      </c>
      <c r="G3876" s="204" t="s">
        <v>13407</v>
      </c>
      <c r="H3876" s="204" t="s">
        <v>556</v>
      </c>
      <c r="I3876" s="204" t="s">
        <v>13408</v>
      </c>
      <c r="J3876" s="204" t="s">
        <v>13409</v>
      </c>
      <c r="K3876" s="204" t="s">
        <v>13410</v>
      </c>
      <c r="L3876" s="204">
        <v>1210</v>
      </c>
      <c r="M3876" s="204">
        <v>15</v>
      </c>
      <c r="N3876" s="204">
        <v>10</v>
      </c>
      <c r="O3876" s="204">
        <v>20</v>
      </c>
      <c r="P3876" s="204">
        <v>0</v>
      </c>
      <c r="Q3876" s="572">
        <v>11</v>
      </c>
      <c r="R3876" s="1209">
        <v>634</v>
      </c>
      <c r="S3876" s="1209">
        <f>634*2</f>
        <v>1268</v>
      </c>
      <c r="T3876" s="204" t="s">
        <v>5448</v>
      </c>
      <c r="U3876" s="1901" t="s">
        <v>13365</v>
      </c>
      <c r="V3876" s="572" t="s">
        <v>3187</v>
      </c>
      <c r="W3876" s="804" t="s">
        <v>13411</v>
      </c>
      <c r="X3876" s="18"/>
      <c r="Y3876" s="4"/>
      <c r="Z3876" s="4"/>
    </row>
    <row r="3877" spans="1:26" ht="14.1" hidden="1">
      <c r="A3877" s="20">
        <f t="shared" si="224"/>
        <v>3884</v>
      </c>
      <c r="B3877" s="1063">
        <v>43654</v>
      </c>
      <c r="C3877" s="934" t="s">
        <v>13412</v>
      </c>
      <c r="D3877" s="11" t="s">
        <v>6</v>
      </c>
      <c r="E3877" s="204" t="s">
        <v>13136</v>
      </c>
      <c r="F3877" s="934" t="s">
        <v>11323</v>
      </c>
      <c r="G3877" s="204" t="s">
        <v>13412</v>
      </c>
      <c r="H3877" s="204" t="s">
        <v>1</v>
      </c>
      <c r="I3877" s="204" t="s">
        <v>5764</v>
      </c>
      <c r="J3877" s="204"/>
      <c r="K3877" s="204" t="s">
        <v>13413</v>
      </c>
      <c r="L3877" s="204"/>
      <c r="M3877" s="204">
        <v>2</v>
      </c>
      <c r="N3877" s="204">
        <v>1</v>
      </c>
      <c r="O3877" s="204">
        <v>5</v>
      </c>
      <c r="P3877" s="204">
        <v>0</v>
      </c>
      <c r="Q3877" s="572">
        <v>5</v>
      </c>
      <c r="R3877" s="1209">
        <v>130</v>
      </c>
      <c r="S3877" s="1209">
        <f t="shared" ref="S3877:S3881" si="226">R3877*Q3877</f>
        <v>650</v>
      </c>
      <c r="T3877" s="204" t="s">
        <v>9485</v>
      </c>
      <c r="U3877" s="1901" t="s">
        <v>3637</v>
      </c>
      <c r="V3877" s="572" t="s">
        <v>931</v>
      </c>
      <c r="W3877" s="804" t="s">
        <v>13414</v>
      </c>
      <c r="X3877" s="18"/>
      <c r="Y3877" s="4"/>
      <c r="Z3877" s="4"/>
    </row>
    <row r="3878" spans="1:26" ht="14.1" hidden="1">
      <c r="A3878" s="20">
        <f t="shared" si="224"/>
        <v>3885</v>
      </c>
      <c r="B3878" s="1063">
        <v>43655</v>
      </c>
      <c r="C3878" s="934" t="s">
        <v>13415</v>
      </c>
      <c r="D3878" s="11" t="s">
        <v>6</v>
      </c>
      <c r="E3878" s="204" t="s">
        <v>13136</v>
      </c>
      <c r="F3878" s="934" t="s">
        <v>11323</v>
      </c>
      <c r="G3878" s="204" t="s">
        <v>13416</v>
      </c>
      <c r="H3878" s="204" t="s">
        <v>13417</v>
      </c>
      <c r="I3878" s="204" t="s">
        <v>574</v>
      </c>
      <c r="J3878" s="204" t="s">
        <v>13418</v>
      </c>
      <c r="K3878" s="204" t="s">
        <v>13415</v>
      </c>
      <c r="L3878" s="204"/>
      <c r="M3878" s="204">
        <v>5</v>
      </c>
      <c r="N3878" s="204">
        <v>1</v>
      </c>
      <c r="O3878" s="204">
        <v>10</v>
      </c>
      <c r="P3878" s="204">
        <v>0</v>
      </c>
      <c r="Q3878" s="572">
        <v>10</v>
      </c>
      <c r="R3878" s="1209">
        <v>278</v>
      </c>
      <c r="S3878" s="1209">
        <f t="shared" si="226"/>
        <v>2780</v>
      </c>
      <c r="T3878" s="204" t="s">
        <v>9485</v>
      </c>
      <c r="U3878" s="1901" t="s">
        <v>4615</v>
      </c>
      <c r="V3878" s="572" t="s">
        <v>931</v>
      </c>
      <c r="W3878" s="804" t="s">
        <v>13419</v>
      </c>
      <c r="X3878" s="18"/>
      <c r="Y3878" s="4"/>
      <c r="Z3878" s="4"/>
    </row>
    <row r="3879" spans="1:26" ht="14.1" hidden="1">
      <c r="A3879" s="20">
        <f t="shared" si="224"/>
        <v>3886</v>
      </c>
      <c r="B3879" s="1063">
        <v>43656</v>
      </c>
      <c r="C3879" s="934" t="s">
        <v>13420</v>
      </c>
      <c r="D3879" s="11" t="s">
        <v>6</v>
      </c>
      <c r="E3879" s="204" t="s">
        <v>13136</v>
      </c>
      <c r="F3879" s="934" t="s">
        <v>11323</v>
      </c>
      <c r="G3879" s="204" t="s">
        <v>13421</v>
      </c>
      <c r="H3879" s="204" t="s">
        <v>13417</v>
      </c>
      <c r="I3879" s="204" t="s">
        <v>574</v>
      </c>
      <c r="J3879" s="204" t="s">
        <v>13422</v>
      </c>
      <c r="K3879" s="204" t="s">
        <v>13423</v>
      </c>
      <c r="L3879" s="204"/>
      <c r="M3879" s="204">
        <v>5</v>
      </c>
      <c r="N3879" s="204">
        <v>1</v>
      </c>
      <c r="O3879" s="204">
        <v>10</v>
      </c>
      <c r="P3879" s="204">
        <v>0</v>
      </c>
      <c r="Q3879" s="572">
        <v>10</v>
      </c>
      <c r="R3879" s="1209">
        <v>164</v>
      </c>
      <c r="S3879" s="1209">
        <f t="shared" si="226"/>
        <v>1640</v>
      </c>
      <c r="T3879" s="204" t="s">
        <v>9485</v>
      </c>
      <c r="U3879" s="1901" t="s">
        <v>4615</v>
      </c>
      <c r="V3879" s="572" t="s">
        <v>931</v>
      </c>
      <c r="W3879" s="804" t="s">
        <v>13424</v>
      </c>
      <c r="X3879" s="18"/>
      <c r="Y3879" s="4"/>
      <c r="Z3879" s="4"/>
    </row>
    <row r="3880" spans="1:26" ht="14.1" hidden="1">
      <c r="A3880" s="20">
        <f t="shared" si="224"/>
        <v>3887</v>
      </c>
      <c r="B3880" s="1063">
        <v>43657</v>
      </c>
      <c r="C3880" s="934" t="s">
        <v>5662</v>
      </c>
      <c r="D3880" s="11" t="s">
        <v>6</v>
      </c>
      <c r="E3880" s="204" t="s">
        <v>13136</v>
      </c>
      <c r="F3880" s="934" t="s">
        <v>11323</v>
      </c>
      <c r="G3880" s="204" t="s">
        <v>13425</v>
      </c>
      <c r="H3880" s="204" t="s">
        <v>13417</v>
      </c>
      <c r="I3880" s="204" t="s">
        <v>574</v>
      </c>
      <c r="J3880" s="204" t="s">
        <v>5661</v>
      </c>
      <c r="K3880" s="204" t="s">
        <v>5662</v>
      </c>
      <c r="L3880" s="204"/>
      <c r="M3880" s="204">
        <v>5</v>
      </c>
      <c r="N3880" s="204">
        <v>1</v>
      </c>
      <c r="O3880" s="204">
        <v>10</v>
      </c>
      <c r="P3880" s="204">
        <v>0</v>
      </c>
      <c r="Q3880" s="572">
        <v>10</v>
      </c>
      <c r="R3880" s="1209">
        <v>190</v>
      </c>
      <c r="S3880" s="1209">
        <f t="shared" si="226"/>
        <v>1900</v>
      </c>
      <c r="T3880" s="204" t="s">
        <v>9485</v>
      </c>
      <c r="U3880" s="1901" t="s">
        <v>4615</v>
      </c>
      <c r="V3880" s="572" t="s">
        <v>931</v>
      </c>
      <c r="W3880" s="804" t="s">
        <v>13426</v>
      </c>
      <c r="X3880" s="18"/>
      <c r="Y3880" s="4"/>
      <c r="Z3880" s="4"/>
    </row>
    <row r="3881" spans="1:26" ht="14.1" hidden="1">
      <c r="A3881" s="20">
        <f t="shared" si="224"/>
        <v>3888</v>
      </c>
      <c r="B3881" s="1063">
        <v>43658</v>
      </c>
      <c r="C3881" s="934" t="s">
        <v>13427</v>
      </c>
      <c r="D3881" s="11"/>
      <c r="E3881" s="204" t="s">
        <v>13136</v>
      </c>
      <c r="F3881" s="934" t="s">
        <v>11323</v>
      </c>
      <c r="G3881" s="204" t="s">
        <v>13428</v>
      </c>
      <c r="H3881" s="204" t="s">
        <v>13417</v>
      </c>
      <c r="I3881" s="204" t="s">
        <v>574</v>
      </c>
      <c r="J3881" s="204" t="s">
        <v>13429</v>
      </c>
      <c r="K3881" s="204" t="s">
        <v>13430</v>
      </c>
      <c r="L3881" s="204"/>
      <c r="M3881" s="204">
        <v>5</v>
      </c>
      <c r="N3881" s="204">
        <v>1</v>
      </c>
      <c r="O3881" s="204">
        <v>10</v>
      </c>
      <c r="P3881" s="204">
        <v>0</v>
      </c>
      <c r="Q3881" s="572">
        <v>10</v>
      </c>
      <c r="R3881" s="1209">
        <v>229</v>
      </c>
      <c r="S3881" s="1209">
        <f t="shared" si="226"/>
        <v>2290</v>
      </c>
      <c r="T3881" s="204" t="s">
        <v>9485</v>
      </c>
      <c r="U3881" s="1901" t="s">
        <v>4615</v>
      </c>
      <c r="V3881" s="572" t="s">
        <v>931</v>
      </c>
      <c r="W3881" s="804" t="s">
        <v>13431</v>
      </c>
      <c r="X3881" s="18"/>
      <c r="Y3881" s="4"/>
      <c r="Z3881" s="4"/>
    </row>
    <row r="3882" spans="1:26" ht="14.1" hidden="1">
      <c r="A3882" s="20">
        <f t="shared" si="224"/>
        <v>3889</v>
      </c>
      <c r="B3882" s="1063">
        <v>43659</v>
      </c>
      <c r="C3882" s="934" t="s">
        <v>13432</v>
      </c>
      <c r="D3882" s="11" t="s">
        <v>6</v>
      </c>
      <c r="E3882" s="204" t="s">
        <v>13136</v>
      </c>
      <c r="F3882" s="934" t="s">
        <v>11323</v>
      </c>
      <c r="G3882" s="204" t="s">
        <v>13433</v>
      </c>
      <c r="H3882" s="204" t="s">
        <v>1063</v>
      </c>
      <c r="I3882" s="204" t="s">
        <v>1063</v>
      </c>
      <c r="J3882" s="204" t="s">
        <v>13434</v>
      </c>
      <c r="K3882" s="204"/>
      <c r="L3882" s="204"/>
      <c r="M3882" s="204">
        <v>5</v>
      </c>
      <c r="N3882" s="204">
        <v>10</v>
      </c>
      <c r="O3882" s="204">
        <v>10</v>
      </c>
      <c r="P3882" s="204">
        <v>0</v>
      </c>
      <c r="Q3882" s="572">
        <v>10</v>
      </c>
      <c r="R3882" s="1209">
        <v>150</v>
      </c>
      <c r="S3882" s="1209">
        <v>150</v>
      </c>
      <c r="T3882" s="204" t="s">
        <v>9485</v>
      </c>
      <c r="U3882" s="1901" t="s">
        <v>4615</v>
      </c>
      <c r="V3882" s="572" t="s">
        <v>931</v>
      </c>
      <c r="W3882" s="804" t="s">
        <v>13435</v>
      </c>
      <c r="X3882" s="18"/>
      <c r="Y3882" s="4"/>
      <c r="Z3882" s="4"/>
    </row>
    <row r="3883" spans="1:26" ht="14.1" hidden="1">
      <c r="A3883" s="20">
        <f t="shared" si="224"/>
        <v>3890</v>
      </c>
      <c r="B3883" s="1063">
        <v>43660</v>
      </c>
      <c r="C3883" s="934" t="s">
        <v>13436</v>
      </c>
      <c r="D3883" s="11" t="s">
        <v>6</v>
      </c>
      <c r="E3883" s="204" t="s">
        <v>13136</v>
      </c>
      <c r="F3883" s="934" t="s">
        <v>11323</v>
      </c>
      <c r="G3883" s="204" t="s">
        <v>13437</v>
      </c>
      <c r="H3883" s="204" t="s">
        <v>1063</v>
      </c>
      <c r="I3883" s="204" t="s">
        <v>1063</v>
      </c>
      <c r="J3883" s="204" t="s">
        <v>6250</v>
      </c>
      <c r="K3883" s="204" t="s">
        <v>6251</v>
      </c>
      <c r="L3883" s="204"/>
      <c r="M3883" s="204">
        <v>5</v>
      </c>
      <c r="N3883" s="204">
        <v>5</v>
      </c>
      <c r="O3883" s="204">
        <v>10</v>
      </c>
      <c r="P3883" s="204">
        <v>0</v>
      </c>
      <c r="Q3883" s="572">
        <v>10</v>
      </c>
      <c r="R3883" s="1209">
        <v>100</v>
      </c>
      <c r="S3883" s="1209">
        <v>200</v>
      </c>
      <c r="T3883" s="204" t="s">
        <v>9485</v>
      </c>
      <c r="U3883" s="1901" t="s">
        <v>4615</v>
      </c>
      <c r="V3883" s="572" t="s">
        <v>931</v>
      </c>
      <c r="W3883" s="804" t="s">
        <v>13438</v>
      </c>
      <c r="X3883" s="18"/>
      <c r="Y3883" s="4"/>
      <c r="Z3883" s="4"/>
    </row>
    <row r="3884" spans="1:26" ht="14.1" hidden="1">
      <c r="A3884" s="20">
        <f t="shared" si="224"/>
        <v>3891</v>
      </c>
      <c r="B3884" s="1063">
        <v>43661</v>
      </c>
      <c r="C3884" s="934" t="s">
        <v>13439</v>
      </c>
      <c r="D3884" s="11" t="s">
        <v>6</v>
      </c>
      <c r="E3884" s="204" t="s">
        <v>13136</v>
      </c>
      <c r="F3884" s="934" t="s">
        <v>11323</v>
      </c>
      <c r="G3884" s="204" t="s">
        <v>13440</v>
      </c>
      <c r="H3884" s="204" t="s">
        <v>1063</v>
      </c>
      <c r="I3884" s="204" t="s">
        <v>1063</v>
      </c>
      <c r="J3884" s="204" t="s">
        <v>13441</v>
      </c>
      <c r="K3884" s="204" t="s">
        <v>13442</v>
      </c>
      <c r="L3884" s="204"/>
      <c r="M3884" s="204">
        <v>5</v>
      </c>
      <c r="N3884" s="204">
        <v>1</v>
      </c>
      <c r="O3884" s="204">
        <v>10</v>
      </c>
      <c r="P3884" s="204">
        <v>0</v>
      </c>
      <c r="Q3884" s="572">
        <v>10</v>
      </c>
      <c r="R3884" s="1209">
        <v>30</v>
      </c>
      <c r="S3884" s="1209">
        <v>300</v>
      </c>
      <c r="T3884" s="204" t="s">
        <v>9485</v>
      </c>
      <c r="U3884" s="1901" t="s">
        <v>4615</v>
      </c>
      <c r="V3884" s="572" t="s">
        <v>931</v>
      </c>
      <c r="W3884" s="804" t="s">
        <v>13443</v>
      </c>
      <c r="X3884" s="18"/>
      <c r="Y3884" s="4"/>
      <c r="Z3884" s="4"/>
    </row>
    <row r="3885" spans="1:26" ht="14.1" hidden="1">
      <c r="A3885" s="20">
        <f t="shared" si="224"/>
        <v>3892</v>
      </c>
      <c r="B3885" s="1063">
        <v>43662</v>
      </c>
      <c r="C3885" s="934" t="s">
        <v>6178</v>
      </c>
      <c r="D3885" s="11" t="s">
        <v>6</v>
      </c>
      <c r="E3885" s="204" t="s">
        <v>13136</v>
      </c>
      <c r="F3885" s="934" t="s">
        <v>11323</v>
      </c>
      <c r="G3885" s="204" t="s">
        <v>13444</v>
      </c>
      <c r="H3885" s="204" t="s">
        <v>1063</v>
      </c>
      <c r="I3885" s="204" t="s">
        <v>1063</v>
      </c>
      <c r="J3885" s="204" t="s">
        <v>6182</v>
      </c>
      <c r="K3885" s="204"/>
      <c r="L3885" s="204"/>
      <c r="M3885" s="204">
        <v>1</v>
      </c>
      <c r="N3885" s="204">
        <v>1</v>
      </c>
      <c r="O3885" s="204">
        <v>1</v>
      </c>
      <c r="P3885" s="204" t="s">
        <v>1</v>
      </c>
      <c r="Q3885" s="572" t="s">
        <v>1</v>
      </c>
      <c r="R3885" s="1209">
        <v>220</v>
      </c>
      <c r="S3885" s="1209">
        <v>220</v>
      </c>
      <c r="T3885" s="204" t="s">
        <v>9485</v>
      </c>
      <c r="U3885" s="1901" t="s">
        <v>4615</v>
      </c>
      <c r="V3885" s="572" t="s">
        <v>931</v>
      </c>
      <c r="W3885" s="804" t="s">
        <v>13445</v>
      </c>
      <c r="X3885" s="18"/>
      <c r="Y3885" s="4"/>
      <c r="Z3885" s="4"/>
    </row>
    <row r="3886" spans="1:26" ht="14.1" hidden="1">
      <c r="A3886" s="20">
        <f t="shared" si="224"/>
        <v>3893</v>
      </c>
      <c r="B3886" s="1063">
        <v>43663</v>
      </c>
      <c r="C3886" s="934" t="s">
        <v>13446</v>
      </c>
      <c r="D3886" s="11"/>
      <c r="E3886" s="204" t="s">
        <v>13136</v>
      </c>
      <c r="F3886" s="934" t="s">
        <v>13447</v>
      </c>
      <c r="G3886" s="496" t="s">
        <v>13448</v>
      </c>
      <c r="H3886" s="204" t="s">
        <v>752</v>
      </c>
      <c r="I3886" s="204" t="s">
        <v>13449</v>
      </c>
      <c r="J3886" s="204" t="s">
        <v>13450</v>
      </c>
      <c r="K3886" s="204" t="s">
        <v>3828</v>
      </c>
      <c r="L3886" s="204" t="s">
        <v>10493</v>
      </c>
      <c r="M3886" s="204">
        <v>7</v>
      </c>
      <c r="N3886" s="204">
        <v>1</v>
      </c>
      <c r="O3886" s="204">
        <v>7</v>
      </c>
      <c r="P3886" s="204">
        <v>3</v>
      </c>
      <c r="Q3886" s="572">
        <v>10</v>
      </c>
      <c r="R3886" s="1209" t="s">
        <v>13451</v>
      </c>
      <c r="S3886" s="1209" t="s">
        <v>13452</v>
      </c>
      <c r="T3886" s="204" t="s">
        <v>9485</v>
      </c>
      <c r="U3886" s="1901" t="s">
        <v>1886</v>
      </c>
      <c r="V3886" s="572" t="s">
        <v>931</v>
      </c>
      <c r="W3886" s="804" t="s">
        <v>13453</v>
      </c>
      <c r="X3886" s="18"/>
      <c r="Y3886" s="4"/>
      <c r="Z3886" s="4"/>
    </row>
    <row r="3887" spans="1:26" ht="14.1" hidden="1">
      <c r="A3887" s="20">
        <f t="shared" si="224"/>
        <v>3894</v>
      </c>
      <c r="B3887" s="1063">
        <v>43664</v>
      </c>
      <c r="C3887" s="934" t="s">
        <v>10151</v>
      </c>
      <c r="D3887" s="11"/>
      <c r="E3887" s="204" t="s">
        <v>13136</v>
      </c>
      <c r="F3887" s="934" t="s">
        <v>11344</v>
      </c>
      <c r="G3887" s="204" t="s">
        <v>10151</v>
      </c>
      <c r="H3887" s="683" t="s">
        <v>3612</v>
      </c>
      <c r="I3887" s="683" t="s">
        <v>1144</v>
      </c>
      <c r="J3887" s="683" t="s">
        <v>3613</v>
      </c>
      <c r="K3887" s="683" t="s">
        <v>3614</v>
      </c>
      <c r="L3887" s="683">
        <v>1</v>
      </c>
      <c r="M3887" s="683">
        <v>3</v>
      </c>
      <c r="N3887" s="683">
        <v>1</v>
      </c>
      <c r="O3887" s="683">
        <v>10</v>
      </c>
      <c r="P3887" s="683">
        <v>0</v>
      </c>
      <c r="Q3887" s="669">
        <v>7</v>
      </c>
      <c r="R3887" s="1314">
        <v>251</v>
      </c>
      <c r="S3887" s="1314">
        <v>2510</v>
      </c>
      <c r="T3887" s="683" t="s">
        <v>9485</v>
      </c>
      <c r="U3887" s="1909" t="s">
        <v>13282</v>
      </c>
      <c r="V3887" s="572" t="s">
        <v>931</v>
      </c>
      <c r="W3887" s="1184" t="s">
        <v>3615</v>
      </c>
      <c r="X3887" s="18"/>
      <c r="Y3887" s="4"/>
      <c r="Z3887" s="4"/>
    </row>
    <row r="3888" spans="1:26" ht="18" hidden="1">
      <c r="A3888" s="20">
        <f t="shared" si="224"/>
        <v>3895</v>
      </c>
      <c r="B3888" s="1063">
        <v>43665</v>
      </c>
      <c r="C3888" s="985" t="s">
        <v>12179</v>
      </c>
      <c r="D3888" s="11"/>
      <c r="E3888" s="204" t="s">
        <v>13136</v>
      </c>
      <c r="F3888" s="934" t="s">
        <v>13454</v>
      </c>
      <c r="G3888" s="683" t="s">
        <v>12180</v>
      </c>
      <c r="H3888" s="683" t="s">
        <v>651</v>
      </c>
      <c r="I3888" s="20" t="s">
        <v>1144</v>
      </c>
      <c r="J3888" s="683" t="s">
        <v>12091</v>
      </c>
      <c r="K3888" s="678" t="s">
        <v>12092</v>
      </c>
      <c r="L3888" s="497" t="s">
        <v>147</v>
      </c>
      <c r="M3888" s="683">
        <v>12</v>
      </c>
      <c r="N3888" s="298">
        <v>50</v>
      </c>
      <c r="O3888" s="298">
        <v>50</v>
      </c>
      <c r="P3888" s="683">
        <v>8</v>
      </c>
      <c r="Q3888" s="670">
        <v>46</v>
      </c>
      <c r="R3888" s="1315">
        <v>3.68</v>
      </c>
      <c r="S3888" s="1315">
        <v>184</v>
      </c>
      <c r="T3888" s="204" t="s">
        <v>9485</v>
      </c>
      <c r="U3888" s="1542" t="s">
        <v>9486</v>
      </c>
      <c r="V3888" s="572" t="s">
        <v>931</v>
      </c>
      <c r="W3888" s="767" t="s">
        <v>12181</v>
      </c>
      <c r="X3888" s="18"/>
      <c r="Y3888" s="4"/>
      <c r="Z3888" s="4"/>
    </row>
    <row r="3889" spans="1:26" ht="18" hidden="1">
      <c r="A3889" s="20">
        <f t="shared" si="224"/>
        <v>3896</v>
      </c>
      <c r="B3889" s="1063">
        <v>43666</v>
      </c>
      <c r="C3889" s="986" t="s">
        <v>12182</v>
      </c>
      <c r="D3889" s="11"/>
      <c r="E3889" s="204" t="s">
        <v>13136</v>
      </c>
      <c r="F3889" s="934" t="s">
        <v>13454</v>
      </c>
      <c r="G3889" s="298" t="s">
        <v>12183</v>
      </c>
      <c r="H3889" s="298" t="s">
        <v>184</v>
      </c>
      <c r="I3889" s="20" t="s">
        <v>1144</v>
      </c>
      <c r="J3889" s="298" t="s">
        <v>12164</v>
      </c>
      <c r="K3889" s="298" t="s">
        <v>12184</v>
      </c>
      <c r="L3889" s="497" t="s">
        <v>147</v>
      </c>
      <c r="M3889" s="298">
        <v>2</v>
      </c>
      <c r="N3889" s="204">
        <v>10</v>
      </c>
      <c r="O3889" s="204">
        <v>10</v>
      </c>
      <c r="P3889" s="298">
        <v>2</v>
      </c>
      <c r="Q3889" s="572">
        <v>10</v>
      </c>
      <c r="R3889" s="1209">
        <v>15</v>
      </c>
      <c r="S3889" s="1209">
        <v>150</v>
      </c>
      <c r="T3889" s="683" t="s">
        <v>9485</v>
      </c>
      <c r="U3889" s="1542" t="s">
        <v>9486</v>
      </c>
      <c r="V3889" s="572" t="s">
        <v>931</v>
      </c>
      <c r="W3889" s="768" t="s">
        <v>12185</v>
      </c>
      <c r="X3889" s="18"/>
      <c r="Y3889" s="4"/>
      <c r="Z3889" s="4"/>
    </row>
    <row r="3890" spans="1:26" ht="18" hidden="1">
      <c r="A3890" s="20">
        <f t="shared" si="224"/>
        <v>3897</v>
      </c>
      <c r="B3890" s="1063">
        <v>43667</v>
      </c>
      <c r="C3890" s="986" t="s">
        <v>12258</v>
      </c>
      <c r="D3890" s="11"/>
      <c r="E3890" s="204" t="s">
        <v>13136</v>
      </c>
      <c r="F3890" s="934" t="s">
        <v>13454</v>
      </c>
      <c r="G3890" s="474" t="s">
        <v>13192</v>
      </c>
      <c r="H3890" s="498" t="s">
        <v>651</v>
      </c>
      <c r="I3890" s="20" t="s">
        <v>1144</v>
      </c>
      <c r="J3890" s="298" t="s">
        <v>12260</v>
      </c>
      <c r="K3890" s="298" t="s">
        <v>12261</v>
      </c>
      <c r="L3890" s="298" t="s">
        <v>147</v>
      </c>
      <c r="M3890" s="298">
        <v>4</v>
      </c>
      <c r="N3890" s="204">
        <v>10</v>
      </c>
      <c r="O3890" s="204">
        <v>10</v>
      </c>
      <c r="P3890" s="298">
        <v>2</v>
      </c>
      <c r="Q3890" s="572">
        <v>8</v>
      </c>
      <c r="R3890" s="1209">
        <v>65</v>
      </c>
      <c r="S3890" s="1209">
        <v>650</v>
      </c>
      <c r="T3890" s="204" t="s">
        <v>9485</v>
      </c>
      <c r="U3890" s="1542" t="s">
        <v>9486</v>
      </c>
      <c r="V3890" s="572" t="s">
        <v>931</v>
      </c>
      <c r="W3890" s="768" t="s">
        <v>12262</v>
      </c>
      <c r="X3890" s="18"/>
      <c r="Y3890" s="4"/>
      <c r="Z3890" s="4"/>
    </row>
    <row r="3891" spans="1:26" ht="18" hidden="1">
      <c r="A3891" s="20">
        <f t="shared" si="224"/>
        <v>3898</v>
      </c>
      <c r="B3891" s="1063">
        <v>43668</v>
      </c>
      <c r="C3891" s="986" t="s">
        <v>12205</v>
      </c>
      <c r="D3891" s="11"/>
      <c r="E3891" s="204" t="s">
        <v>13136</v>
      </c>
      <c r="F3891" s="934" t="s">
        <v>13454</v>
      </c>
      <c r="G3891" s="298" t="s">
        <v>13193</v>
      </c>
      <c r="H3891" s="298" t="s">
        <v>3243</v>
      </c>
      <c r="I3891" s="20" t="s">
        <v>1144</v>
      </c>
      <c r="J3891" s="298" t="s">
        <v>3582</v>
      </c>
      <c r="K3891" s="298" t="s">
        <v>3583</v>
      </c>
      <c r="L3891" s="298" t="s">
        <v>147</v>
      </c>
      <c r="M3891" s="298">
        <v>12</v>
      </c>
      <c r="N3891" s="204">
        <v>10</v>
      </c>
      <c r="O3891" s="204">
        <v>20</v>
      </c>
      <c r="P3891" s="298">
        <v>10</v>
      </c>
      <c r="Q3891" s="572">
        <v>18</v>
      </c>
      <c r="R3891" s="1209">
        <v>41.8</v>
      </c>
      <c r="S3891" s="1209">
        <f>41.8*O3891</f>
        <v>836</v>
      </c>
      <c r="T3891" s="683" t="s">
        <v>9485</v>
      </c>
      <c r="U3891" s="1542" t="s">
        <v>9486</v>
      </c>
      <c r="V3891" s="572" t="s">
        <v>931</v>
      </c>
      <c r="W3891" s="768" t="s">
        <v>12207</v>
      </c>
      <c r="X3891" s="18"/>
      <c r="Y3891" s="4"/>
      <c r="Z3891" s="4"/>
    </row>
    <row r="3892" spans="1:26" ht="18" hidden="1">
      <c r="A3892" s="20">
        <f t="shared" si="224"/>
        <v>3899</v>
      </c>
      <c r="B3892" s="1063">
        <v>43669</v>
      </c>
      <c r="C3892" s="986" t="s">
        <v>12186</v>
      </c>
      <c r="D3892" s="11"/>
      <c r="E3892" s="204" t="s">
        <v>13136</v>
      </c>
      <c r="F3892" s="934" t="s">
        <v>13454</v>
      </c>
      <c r="G3892" s="298" t="s">
        <v>12187</v>
      </c>
      <c r="H3892" s="298" t="s">
        <v>641</v>
      </c>
      <c r="I3892" s="20" t="s">
        <v>1144</v>
      </c>
      <c r="J3892" s="298" t="s">
        <v>12188</v>
      </c>
      <c r="K3892" s="298" t="s">
        <v>8300</v>
      </c>
      <c r="L3892" s="298" t="s">
        <v>147</v>
      </c>
      <c r="M3892" s="298">
        <v>23</v>
      </c>
      <c r="N3892" s="204">
        <v>50</v>
      </c>
      <c r="O3892" s="204">
        <v>50</v>
      </c>
      <c r="P3892" s="298">
        <v>8</v>
      </c>
      <c r="Q3892" s="572">
        <v>35</v>
      </c>
      <c r="R3892" s="1209">
        <v>9.36</v>
      </c>
      <c r="S3892" s="1209">
        <v>468</v>
      </c>
      <c r="T3892" s="204" t="s">
        <v>9485</v>
      </c>
      <c r="U3892" s="1542" t="s">
        <v>9486</v>
      </c>
      <c r="V3892" s="572" t="s">
        <v>931</v>
      </c>
      <c r="W3892" s="768" t="s">
        <v>12189</v>
      </c>
      <c r="X3892" s="18"/>
      <c r="Y3892" s="4"/>
      <c r="Z3892" s="4"/>
    </row>
    <row r="3893" spans="1:26" ht="18" hidden="1">
      <c r="A3893" s="20">
        <f t="shared" si="224"/>
        <v>3900</v>
      </c>
      <c r="B3893" s="1063">
        <v>43670</v>
      </c>
      <c r="C3893" s="986" t="s">
        <v>12190</v>
      </c>
      <c r="D3893" s="11"/>
      <c r="E3893" s="204" t="s">
        <v>13136</v>
      </c>
      <c r="F3893" s="934" t="s">
        <v>13454</v>
      </c>
      <c r="G3893" s="298" t="s">
        <v>12191</v>
      </c>
      <c r="H3893" s="298" t="s">
        <v>651</v>
      </c>
      <c r="I3893" s="20" t="s">
        <v>1144</v>
      </c>
      <c r="J3893" s="298" t="s">
        <v>12192</v>
      </c>
      <c r="K3893" s="298" t="s">
        <v>12193</v>
      </c>
      <c r="L3893" s="298" t="s">
        <v>147</v>
      </c>
      <c r="M3893" s="298">
        <v>2</v>
      </c>
      <c r="N3893" s="204">
        <v>10</v>
      </c>
      <c r="O3893" s="204">
        <v>10</v>
      </c>
      <c r="P3893" s="298">
        <v>2</v>
      </c>
      <c r="Q3893" s="572">
        <v>8</v>
      </c>
      <c r="R3893" s="1209">
        <v>17.399999999999999</v>
      </c>
      <c r="S3893" s="1209">
        <v>174</v>
      </c>
      <c r="T3893" s="683" t="s">
        <v>9485</v>
      </c>
      <c r="U3893" s="1542" t="s">
        <v>9486</v>
      </c>
      <c r="V3893" s="572" t="s">
        <v>931</v>
      </c>
      <c r="W3893" s="768" t="s">
        <v>12194</v>
      </c>
      <c r="X3893" s="18"/>
      <c r="Y3893" s="4"/>
      <c r="Z3893" s="4"/>
    </row>
    <row r="3894" spans="1:26" ht="18" hidden="1">
      <c r="A3894" s="20">
        <f t="shared" si="224"/>
        <v>3901</v>
      </c>
      <c r="B3894" s="1063">
        <v>43671</v>
      </c>
      <c r="C3894" s="986" t="s">
        <v>12208</v>
      </c>
      <c r="D3894" s="11"/>
      <c r="E3894" s="204" t="s">
        <v>13136</v>
      </c>
      <c r="F3894" s="934" t="s">
        <v>13454</v>
      </c>
      <c r="G3894" s="298" t="s">
        <v>12209</v>
      </c>
      <c r="H3894" s="298" t="s">
        <v>184</v>
      </c>
      <c r="I3894" s="20" t="s">
        <v>1144</v>
      </c>
      <c r="J3894" s="298" t="s">
        <v>13194</v>
      </c>
      <c r="K3894" s="298" t="s">
        <v>12211</v>
      </c>
      <c r="L3894" s="298" t="s">
        <v>147</v>
      </c>
      <c r="M3894" s="298">
        <v>4</v>
      </c>
      <c r="N3894" s="204">
        <v>10</v>
      </c>
      <c r="O3894" s="204">
        <v>10</v>
      </c>
      <c r="P3894" s="298">
        <v>2</v>
      </c>
      <c r="Q3894" s="572">
        <v>8</v>
      </c>
      <c r="R3894" s="1328">
        <v>17.399999999999999</v>
      </c>
      <c r="S3894" s="1329">
        <v>174</v>
      </c>
      <c r="T3894" s="204" t="s">
        <v>9485</v>
      </c>
      <c r="U3894" s="1542" t="s">
        <v>9486</v>
      </c>
      <c r="V3894" s="572" t="s">
        <v>931</v>
      </c>
      <c r="W3894" s="768" t="s">
        <v>12212</v>
      </c>
      <c r="X3894" s="18"/>
      <c r="Y3894" s="4"/>
      <c r="Z3894" s="4"/>
    </row>
    <row r="3895" spans="1:26" ht="18" hidden="1">
      <c r="A3895" s="20">
        <f t="shared" si="224"/>
        <v>3902</v>
      </c>
      <c r="B3895" s="1063">
        <v>43672</v>
      </c>
      <c r="C3895" s="986" t="s">
        <v>12200</v>
      </c>
      <c r="D3895" s="11"/>
      <c r="E3895" s="204" t="s">
        <v>13136</v>
      </c>
      <c r="F3895" s="934" t="s">
        <v>13454</v>
      </c>
      <c r="G3895" s="298" t="s">
        <v>12201</v>
      </c>
      <c r="H3895" s="298" t="s">
        <v>184</v>
      </c>
      <c r="I3895" s="20" t="s">
        <v>1144</v>
      </c>
      <c r="J3895" s="282" t="s">
        <v>12202</v>
      </c>
      <c r="K3895" s="298" t="s">
        <v>12203</v>
      </c>
      <c r="L3895" s="298" t="s">
        <v>147</v>
      </c>
      <c r="M3895" s="298">
        <v>6</v>
      </c>
      <c r="N3895" s="204">
        <v>20</v>
      </c>
      <c r="O3895" s="204">
        <v>20</v>
      </c>
      <c r="P3895" s="298">
        <v>3</v>
      </c>
      <c r="Q3895" s="572">
        <v>17</v>
      </c>
      <c r="R3895" s="1209">
        <v>7.2</v>
      </c>
      <c r="S3895" s="1209">
        <v>72</v>
      </c>
      <c r="T3895" s="683" t="s">
        <v>9485</v>
      </c>
      <c r="U3895" s="1542" t="s">
        <v>9486</v>
      </c>
      <c r="V3895" s="572" t="s">
        <v>931</v>
      </c>
      <c r="W3895" s="768" t="s">
        <v>12204</v>
      </c>
      <c r="X3895" s="18"/>
      <c r="Y3895" s="4"/>
      <c r="Z3895" s="4"/>
    </row>
    <row r="3896" spans="1:26" ht="18" hidden="1">
      <c r="A3896" s="20">
        <f t="shared" si="224"/>
        <v>3903</v>
      </c>
      <c r="B3896" s="1063">
        <v>43673</v>
      </c>
      <c r="C3896" s="986" t="s">
        <v>5792</v>
      </c>
      <c r="D3896" s="11"/>
      <c r="E3896" s="204" t="s">
        <v>13136</v>
      </c>
      <c r="F3896" s="934" t="s">
        <v>13454</v>
      </c>
      <c r="G3896" s="298" t="s">
        <v>492</v>
      </c>
      <c r="H3896" s="298" t="s">
        <v>3676</v>
      </c>
      <c r="I3896" s="20" t="s">
        <v>1144</v>
      </c>
      <c r="J3896" s="298" t="s">
        <v>494</v>
      </c>
      <c r="K3896" s="298" t="s">
        <v>495</v>
      </c>
      <c r="L3896" s="497" t="s">
        <v>13455</v>
      </c>
      <c r="M3896" s="298">
        <v>4</v>
      </c>
      <c r="N3896" s="204">
        <v>10</v>
      </c>
      <c r="O3896" s="204">
        <v>10</v>
      </c>
      <c r="P3896" s="298">
        <v>2</v>
      </c>
      <c r="Q3896" s="572">
        <v>8</v>
      </c>
      <c r="R3896" s="1209">
        <v>99.9</v>
      </c>
      <c r="S3896" s="1209">
        <v>999</v>
      </c>
      <c r="T3896" s="204" t="s">
        <v>9485</v>
      </c>
      <c r="U3896" s="1542" t="s">
        <v>9486</v>
      </c>
      <c r="V3896" s="572" t="s">
        <v>931</v>
      </c>
      <c r="W3896" s="773" t="s">
        <v>13195</v>
      </c>
      <c r="X3896" s="18"/>
      <c r="Y3896" s="4"/>
      <c r="Z3896" s="4"/>
    </row>
    <row r="3897" spans="1:26" ht="18" hidden="1">
      <c r="A3897" s="20">
        <f t="shared" si="224"/>
        <v>3904</v>
      </c>
      <c r="B3897" s="1063">
        <v>43674</v>
      </c>
      <c r="C3897" s="986" t="s">
        <v>12222</v>
      </c>
      <c r="D3897" s="11"/>
      <c r="E3897" s="204" t="s">
        <v>13136</v>
      </c>
      <c r="F3897" s="934" t="s">
        <v>13454</v>
      </c>
      <c r="G3897" s="298" t="s">
        <v>12223</v>
      </c>
      <c r="H3897" s="476" t="s">
        <v>1216</v>
      </c>
      <c r="I3897" s="20" t="s">
        <v>1144</v>
      </c>
      <c r="J3897" s="298" t="s">
        <v>12224</v>
      </c>
      <c r="K3897" s="282" t="s">
        <v>12225</v>
      </c>
      <c r="L3897" s="497" t="s">
        <v>13455</v>
      </c>
      <c r="M3897" s="298">
        <v>2</v>
      </c>
      <c r="N3897" s="204">
        <v>1</v>
      </c>
      <c r="O3897" s="204">
        <v>5</v>
      </c>
      <c r="P3897" s="298">
        <v>1</v>
      </c>
      <c r="Q3897" s="572">
        <v>4</v>
      </c>
      <c r="R3897" s="1209">
        <v>232</v>
      </c>
      <c r="S3897" s="1209">
        <f>R3897*O3897</f>
        <v>1160</v>
      </c>
      <c r="T3897" s="683" t="s">
        <v>9485</v>
      </c>
      <c r="U3897" s="1542" t="s">
        <v>9486</v>
      </c>
      <c r="V3897" s="572" t="s">
        <v>931</v>
      </c>
      <c r="W3897" s="768" t="s">
        <v>12226</v>
      </c>
      <c r="X3897" s="18"/>
      <c r="Y3897" s="4"/>
      <c r="Z3897" s="4"/>
    </row>
    <row r="3898" spans="1:26" ht="14.1" hidden="1">
      <c r="A3898" s="20">
        <f t="shared" si="224"/>
        <v>3905</v>
      </c>
      <c r="B3898" s="1063">
        <v>43675</v>
      </c>
      <c r="C3898" s="934" t="s">
        <v>12195</v>
      </c>
      <c r="D3898" s="11"/>
      <c r="E3898" s="204" t="s">
        <v>13136</v>
      </c>
      <c r="F3898" s="934" t="s">
        <v>13454</v>
      </c>
      <c r="G3898" s="204" t="s">
        <v>13456</v>
      </c>
      <c r="H3898" s="204" t="s">
        <v>5730</v>
      </c>
      <c r="I3898" s="20" t="s">
        <v>1144</v>
      </c>
      <c r="J3898" s="204" t="s">
        <v>13457</v>
      </c>
      <c r="K3898" s="204" t="s">
        <v>13458</v>
      </c>
      <c r="L3898" s="298" t="s">
        <v>147</v>
      </c>
      <c r="M3898" s="204">
        <v>2</v>
      </c>
      <c r="N3898" s="204">
        <v>10</v>
      </c>
      <c r="O3898" s="204">
        <v>10</v>
      </c>
      <c r="P3898" s="204">
        <v>0</v>
      </c>
      <c r="Q3898" s="572">
        <v>8</v>
      </c>
      <c r="R3898" s="1209">
        <v>10.199999999999999</v>
      </c>
      <c r="S3898" s="1209">
        <v>102</v>
      </c>
      <c r="T3898" s="204" t="s">
        <v>9485</v>
      </c>
      <c r="U3898" s="1542" t="s">
        <v>9486</v>
      </c>
      <c r="V3898" s="572" t="s">
        <v>931</v>
      </c>
      <c r="W3898" s="681" t="s">
        <v>13459</v>
      </c>
      <c r="X3898" s="18"/>
      <c r="Y3898" s="4"/>
      <c r="Z3898" s="4"/>
    </row>
    <row r="3899" spans="1:26" ht="14.1" hidden="1">
      <c r="A3899" s="20">
        <f t="shared" si="224"/>
        <v>3906</v>
      </c>
      <c r="B3899" s="1063">
        <v>43676</v>
      </c>
      <c r="C3899" s="986" t="s">
        <v>10787</v>
      </c>
      <c r="D3899" s="11"/>
      <c r="E3899" s="204" t="s">
        <v>13136</v>
      </c>
      <c r="F3899" s="934" t="s">
        <v>13454</v>
      </c>
      <c r="G3899" s="298" t="s">
        <v>12177</v>
      </c>
      <c r="H3899" s="204" t="s">
        <v>1073</v>
      </c>
      <c r="I3899" s="20" t="s">
        <v>1144</v>
      </c>
      <c r="J3899" s="282" t="s">
        <v>2970</v>
      </c>
      <c r="K3899" s="282" t="s">
        <v>2971</v>
      </c>
      <c r="L3899" s="204"/>
      <c r="M3899" s="298">
        <v>2</v>
      </c>
      <c r="N3899" s="204">
        <v>1</v>
      </c>
      <c r="O3899" s="204">
        <v>3</v>
      </c>
      <c r="P3899" s="298">
        <v>1</v>
      </c>
      <c r="Q3899" s="572">
        <v>3</v>
      </c>
      <c r="R3899" s="1209">
        <v>365</v>
      </c>
      <c r="S3899" s="1209">
        <f>365*3</f>
        <v>1095</v>
      </c>
      <c r="T3899" s="683" t="s">
        <v>9485</v>
      </c>
      <c r="U3899" s="1542" t="s">
        <v>9486</v>
      </c>
      <c r="V3899" s="572" t="s">
        <v>931</v>
      </c>
      <c r="W3899" s="2126" t="s">
        <v>12178</v>
      </c>
      <c r="X3899" s="18"/>
      <c r="Y3899" s="4"/>
      <c r="Z3899" s="4"/>
    </row>
    <row r="3900" spans="1:26" ht="18" hidden="1">
      <c r="A3900" s="20">
        <f t="shared" si="224"/>
        <v>3907</v>
      </c>
      <c r="B3900" s="1063">
        <v>43677</v>
      </c>
      <c r="C3900" s="986" t="s">
        <v>13196</v>
      </c>
      <c r="D3900" s="11"/>
      <c r="E3900" s="204" t="s">
        <v>13136</v>
      </c>
      <c r="F3900" s="934" t="s">
        <v>13454</v>
      </c>
      <c r="G3900" s="298" t="s">
        <v>10783</v>
      </c>
      <c r="H3900" s="204" t="s">
        <v>460</v>
      </c>
      <c r="I3900" s="20" t="s">
        <v>1144</v>
      </c>
      <c r="J3900" s="499" t="s">
        <v>13197</v>
      </c>
      <c r="K3900" s="499" t="s">
        <v>10785</v>
      </c>
      <c r="L3900" s="204"/>
      <c r="M3900" s="298">
        <v>2</v>
      </c>
      <c r="N3900" s="204">
        <v>1</v>
      </c>
      <c r="O3900" s="204">
        <v>3</v>
      </c>
      <c r="P3900" s="298">
        <v>1</v>
      </c>
      <c r="Q3900" s="572">
        <v>2</v>
      </c>
      <c r="R3900" s="1209">
        <v>2104</v>
      </c>
      <c r="S3900" s="1209">
        <f>R3900*3</f>
        <v>6312</v>
      </c>
      <c r="T3900" s="204" t="s">
        <v>9485</v>
      </c>
      <c r="U3900" s="1542" t="s">
        <v>9486</v>
      </c>
      <c r="V3900" s="572" t="s">
        <v>931</v>
      </c>
      <c r="W3900" s="768" t="s">
        <v>13198</v>
      </c>
      <c r="X3900" s="18"/>
      <c r="Y3900" s="4"/>
      <c r="Z3900" s="4"/>
    </row>
    <row r="3901" spans="1:26" ht="14.1" hidden="1">
      <c r="A3901" s="20">
        <f t="shared" si="224"/>
        <v>3908</v>
      </c>
      <c r="B3901" s="1063">
        <v>43678</v>
      </c>
      <c r="C3901" s="986" t="s">
        <v>12171</v>
      </c>
      <c r="D3901" s="11"/>
      <c r="E3901" s="204" t="s">
        <v>13136</v>
      </c>
      <c r="F3901" s="934" t="s">
        <v>13454</v>
      </c>
      <c r="G3901" s="500" t="s">
        <v>13203</v>
      </c>
      <c r="H3901" s="501" t="s">
        <v>7921</v>
      </c>
      <c r="I3901" s="204" t="s">
        <v>39</v>
      </c>
      <c r="J3901" s="499" t="s">
        <v>13460</v>
      </c>
      <c r="K3901" s="499" t="s">
        <v>12174</v>
      </c>
      <c r="L3901" s="204"/>
      <c r="M3901" s="298">
        <v>4</v>
      </c>
      <c r="N3901" s="204">
        <v>2</v>
      </c>
      <c r="O3901" s="204">
        <v>5</v>
      </c>
      <c r="P3901" s="298">
        <v>1</v>
      </c>
      <c r="Q3901" s="572">
        <v>2</v>
      </c>
      <c r="R3901" s="1209">
        <v>393.5</v>
      </c>
      <c r="S3901" s="1209">
        <f>393.5*5</f>
        <v>1967.5</v>
      </c>
      <c r="T3901" s="683" t="s">
        <v>9485</v>
      </c>
      <c r="U3901" s="1542" t="s">
        <v>9486</v>
      </c>
      <c r="V3901" s="572" t="s">
        <v>931</v>
      </c>
      <c r="W3901" s="681" t="s">
        <v>13461</v>
      </c>
      <c r="X3901" s="18"/>
      <c r="Y3901" s="4"/>
      <c r="Z3901" s="4"/>
    </row>
    <row r="3902" spans="1:26" ht="18" hidden="1">
      <c r="A3902" s="20">
        <f t="shared" si="224"/>
        <v>3909</v>
      </c>
      <c r="B3902" s="1063">
        <v>43679</v>
      </c>
      <c r="C3902" s="986" t="s">
        <v>13205</v>
      </c>
      <c r="D3902" s="11"/>
      <c r="E3902" s="204" t="s">
        <v>13136</v>
      </c>
      <c r="F3902" s="934" t="s">
        <v>13454</v>
      </c>
      <c r="G3902" s="500" t="s">
        <v>13206</v>
      </c>
      <c r="H3902" s="501" t="s">
        <v>1078</v>
      </c>
      <c r="I3902" s="20" t="s">
        <v>1144</v>
      </c>
      <c r="J3902" s="499" t="s">
        <v>1267</v>
      </c>
      <c r="K3902" s="499" t="s">
        <v>1268</v>
      </c>
      <c r="L3902" s="204"/>
      <c r="M3902" s="298">
        <v>8</v>
      </c>
      <c r="N3902" s="204">
        <v>1</v>
      </c>
      <c r="O3902" s="204">
        <v>4</v>
      </c>
      <c r="P3902" s="298">
        <v>6</v>
      </c>
      <c r="Q3902" s="572">
        <v>2</v>
      </c>
      <c r="R3902" s="1209">
        <v>1273</v>
      </c>
      <c r="S3902" s="1209">
        <f>R3902*4</f>
        <v>5092</v>
      </c>
      <c r="T3902" s="204" t="s">
        <v>9485</v>
      </c>
      <c r="U3902" s="1542" t="s">
        <v>9486</v>
      </c>
      <c r="V3902" s="572" t="s">
        <v>931</v>
      </c>
      <c r="W3902" s="768" t="s">
        <v>13207</v>
      </c>
      <c r="X3902" s="18"/>
      <c r="Y3902" s="4"/>
      <c r="Z3902" s="4"/>
    </row>
    <row r="3903" spans="1:26" ht="18" hidden="1">
      <c r="A3903" s="20">
        <f t="shared" si="224"/>
        <v>3910</v>
      </c>
      <c r="B3903" s="1063">
        <v>43680</v>
      </c>
      <c r="C3903" s="986" t="s">
        <v>13208</v>
      </c>
      <c r="D3903" s="11"/>
      <c r="E3903" s="204" t="s">
        <v>13136</v>
      </c>
      <c r="F3903" s="934" t="s">
        <v>13454</v>
      </c>
      <c r="G3903" s="500" t="s">
        <v>10769</v>
      </c>
      <c r="H3903" s="501" t="s">
        <v>460</v>
      </c>
      <c r="I3903" s="20" t="s">
        <v>1144</v>
      </c>
      <c r="J3903" s="499" t="s">
        <v>13209</v>
      </c>
      <c r="K3903" s="499" t="s">
        <v>13210</v>
      </c>
      <c r="L3903" s="204"/>
      <c r="M3903" s="298">
        <v>2</v>
      </c>
      <c r="N3903" s="204">
        <v>1</v>
      </c>
      <c r="O3903" s="204">
        <v>3</v>
      </c>
      <c r="P3903" s="298">
        <v>1</v>
      </c>
      <c r="Q3903" s="572">
        <v>2</v>
      </c>
      <c r="R3903" s="1209">
        <v>1266</v>
      </c>
      <c r="S3903" s="1209">
        <f>R3903*O3903</f>
        <v>3798</v>
      </c>
      <c r="T3903" s="683" t="s">
        <v>9485</v>
      </c>
      <c r="U3903" s="1542" t="s">
        <v>9486</v>
      </c>
      <c r="V3903" s="572" t="s">
        <v>931</v>
      </c>
      <c r="W3903" s="768" t="s">
        <v>13211</v>
      </c>
      <c r="X3903" s="18"/>
      <c r="Y3903" s="4"/>
      <c r="Z3903" s="4"/>
    </row>
    <row r="3904" spans="1:26" ht="18" hidden="1">
      <c r="A3904" s="20">
        <f t="shared" si="224"/>
        <v>3911</v>
      </c>
      <c r="B3904" s="1063">
        <v>43681</v>
      </c>
      <c r="C3904" s="986" t="s">
        <v>12877</v>
      </c>
      <c r="D3904" s="11"/>
      <c r="E3904" s="204" t="s">
        <v>13136</v>
      </c>
      <c r="F3904" s="934" t="s">
        <v>13454</v>
      </c>
      <c r="G3904" s="502" t="s">
        <v>13212</v>
      </c>
      <c r="H3904" s="282" t="s">
        <v>460</v>
      </c>
      <c r="I3904" s="20" t="s">
        <v>1144</v>
      </c>
      <c r="J3904" s="502" t="s">
        <v>13462</v>
      </c>
      <c r="K3904" s="502" t="s">
        <v>13463</v>
      </c>
      <c r="L3904" s="204"/>
      <c r="M3904" s="298">
        <v>2</v>
      </c>
      <c r="N3904" s="204">
        <v>1</v>
      </c>
      <c r="O3904" s="204">
        <v>3</v>
      </c>
      <c r="P3904" s="298">
        <v>1</v>
      </c>
      <c r="Q3904" s="572">
        <v>2</v>
      </c>
      <c r="R3904" s="1209">
        <v>60</v>
      </c>
      <c r="S3904" s="1209">
        <f>60*3</f>
        <v>180</v>
      </c>
      <c r="T3904" s="204" t="s">
        <v>9485</v>
      </c>
      <c r="U3904" s="1542" t="s">
        <v>9486</v>
      </c>
      <c r="V3904" s="572" t="s">
        <v>931</v>
      </c>
      <c r="W3904" s="774" t="s">
        <v>13464</v>
      </c>
      <c r="X3904" s="18"/>
      <c r="Y3904" s="4"/>
      <c r="Z3904" s="4"/>
    </row>
    <row r="3905" spans="1:26" ht="18" hidden="1">
      <c r="A3905" s="20">
        <f t="shared" si="224"/>
        <v>3912</v>
      </c>
      <c r="B3905" s="1063">
        <v>43682</v>
      </c>
      <c r="C3905" s="986" t="s">
        <v>12877</v>
      </c>
      <c r="D3905" s="11"/>
      <c r="E3905" s="204" t="s">
        <v>13136</v>
      </c>
      <c r="F3905" s="934" t="s">
        <v>13454</v>
      </c>
      <c r="G3905" s="500" t="s">
        <v>13216</v>
      </c>
      <c r="H3905" s="501" t="s">
        <v>460</v>
      </c>
      <c r="I3905" s="20" t="s">
        <v>1144</v>
      </c>
      <c r="J3905" s="499" t="s">
        <v>13217</v>
      </c>
      <c r="K3905" s="499" t="s">
        <v>13218</v>
      </c>
      <c r="L3905" s="204"/>
      <c r="M3905" s="298">
        <v>2</v>
      </c>
      <c r="N3905" s="204">
        <v>1</v>
      </c>
      <c r="O3905" s="204">
        <v>3</v>
      </c>
      <c r="P3905" s="298">
        <v>1</v>
      </c>
      <c r="Q3905" s="572">
        <v>2</v>
      </c>
      <c r="R3905" s="1209">
        <v>185</v>
      </c>
      <c r="S3905" s="1209">
        <f>185*3</f>
        <v>555</v>
      </c>
      <c r="T3905" s="683" t="s">
        <v>9485</v>
      </c>
      <c r="U3905" s="1542" t="s">
        <v>9486</v>
      </c>
      <c r="V3905" s="572" t="s">
        <v>931</v>
      </c>
      <c r="W3905" s="768" t="s">
        <v>13219</v>
      </c>
      <c r="X3905" s="18"/>
      <c r="Y3905" s="4"/>
      <c r="Z3905" s="4"/>
    </row>
    <row r="3906" spans="1:26" ht="18" hidden="1">
      <c r="A3906" s="20">
        <f t="shared" si="224"/>
        <v>3913</v>
      </c>
      <c r="B3906" s="1063">
        <v>43683</v>
      </c>
      <c r="C3906" s="986" t="s">
        <v>12877</v>
      </c>
      <c r="D3906" s="11"/>
      <c r="E3906" s="204" t="s">
        <v>13136</v>
      </c>
      <c r="F3906" s="934" t="s">
        <v>13454</v>
      </c>
      <c r="G3906" s="500" t="s">
        <v>13220</v>
      </c>
      <c r="H3906" s="477" t="s">
        <v>460</v>
      </c>
      <c r="I3906" s="20" t="s">
        <v>1144</v>
      </c>
      <c r="J3906" s="499" t="s">
        <v>2985</v>
      </c>
      <c r="K3906" s="499" t="s">
        <v>2986</v>
      </c>
      <c r="L3906" s="204"/>
      <c r="M3906" s="298">
        <v>2</v>
      </c>
      <c r="N3906" s="204">
        <v>1</v>
      </c>
      <c r="O3906" s="204">
        <v>3</v>
      </c>
      <c r="P3906" s="298">
        <v>1</v>
      </c>
      <c r="Q3906" s="572">
        <v>2</v>
      </c>
      <c r="R3906" s="1209">
        <v>234</v>
      </c>
      <c r="S3906" s="1209">
        <f>234*3</f>
        <v>702</v>
      </c>
      <c r="T3906" s="204" t="s">
        <v>9485</v>
      </c>
      <c r="U3906" s="1542" t="s">
        <v>9486</v>
      </c>
      <c r="V3906" s="572" t="s">
        <v>931</v>
      </c>
      <c r="W3906" s="768" t="s">
        <v>13221</v>
      </c>
      <c r="X3906" s="18"/>
      <c r="Y3906" s="4"/>
      <c r="Z3906" s="4"/>
    </row>
    <row r="3907" spans="1:26" ht="18" hidden="1">
      <c r="A3907" s="20">
        <f t="shared" si="224"/>
        <v>3914</v>
      </c>
      <c r="B3907" s="1063">
        <v>43684</v>
      </c>
      <c r="C3907" s="986" t="s">
        <v>339</v>
      </c>
      <c r="D3907" s="11"/>
      <c r="E3907" s="204" t="s">
        <v>13136</v>
      </c>
      <c r="F3907" s="934" t="s">
        <v>13454</v>
      </c>
      <c r="G3907" s="500" t="s">
        <v>13222</v>
      </c>
      <c r="H3907" s="298" t="s">
        <v>1865</v>
      </c>
      <c r="I3907" s="20" t="s">
        <v>1144</v>
      </c>
      <c r="J3907" s="499" t="s">
        <v>585</v>
      </c>
      <c r="K3907" s="499" t="s">
        <v>586</v>
      </c>
      <c r="L3907" s="204"/>
      <c r="M3907" s="298">
        <v>9</v>
      </c>
      <c r="N3907" s="204">
        <v>10</v>
      </c>
      <c r="O3907" s="204">
        <v>10</v>
      </c>
      <c r="P3907" s="298">
        <v>2</v>
      </c>
      <c r="Q3907" s="572">
        <v>3</v>
      </c>
      <c r="R3907" s="1209">
        <v>46.8</v>
      </c>
      <c r="S3907" s="1209">
        <f>R3907*10</f>
        <v>468</v>
      </c>
      <c r="T3907" s="683" t="s">
        <v>9485</v>
      </c>
      <c r="U3907" s="1542" t="s">
        <v>9486</v>
      </c>
      <c r="V3907" s="572" t="s">
        <v>931</v>
      </c>
      <c r="W3907" s="774" t="s">
        <v>5321</v>
      </c>
      <c r="X3907" s="18"/>
      <c r="Y3907" s="4"/>
      <c r="Z3907" s="4"/>
    </row>
    <row r="3908" spans="1:26" ht="18" hidden="1">
      <c r="A3908" s="20">
        <f t="shared" si="224"/>
        <v>3915</v>
      </c>
      <c r="B3908" s="1063">
        <v>43685</v>
      </c>
      <c r="C3908" s="986" t="s">
        <v>1828</v>
      </c>
      <c r="D3908" s="11"/>
      <c r="E3908" s="204" t="s">
        <v>13136</v>
      </c>
      <c r="F3908" s="934" t="s">
        <v>13454</v>
      </c>
      <c r="G3908" s="500" t="s">
        <v>13223</v>
      </c>
      <c r="H3908" s="298" t="s">
        <v>1073</v>
      </c>
      <c r="I3908" s="20" t="s">
        <v>1144</v>
      </c>
      <c r="J3908" s="499" t="s">
        <v>13224</v>
      </c>
      <c r="K3908" s="499" t="s">
        <v>13225</v>
      </c>
      <c r="L3908" s="204"/>
      <c r="M3908" s="298">
        <v>4</v>
      </c>
      <c r="N3908" s="204">
        <v>1</v>
      </c>
      <c r="O3908" s="204">
        <v>4</v>
      </c>
      <c r="P3908" s="298">
        <v>2</v>
      </c>
      <c r="Q3908" s="572">
        <v>2</v>
      </c>
      <c r="R3908" s="1330">
        <v>574</v>
      </c>
      <c r="S3908" s="1209">
        <f t="shared" ref="S3908:S3910" si="227">R3908*O3908</f>
        <v>2296</v>
      </c>
      <c r="T3908" s="204" t="s">
        <v>9485</v>
      </c>
      <c r="U3908" s="1542" t="s">
        <v>9486</v>
      </c>
      <c r="V3908" s="572" t="s">
        <v>931</v>
      </c>
      <c r="W3908" s="774" t="s">
        <v>12130</v>
      </c>
      <c r="X3908" s="18"/>
      <c r="Y3908" s="4"/>
      <c r="Z3908" s="4"/>
    </row>
    <row r="3909" spans="1:26" ht="18" hidden="1">
      <c r="A3909" s="20">
        <f t="shared" si="224"/>
        <v>3916</v>
      </c>
      <c r="B3909" s="1063">
        <v>43686</v>
      </c>
      <c r="C3909" s="986" t="s">
        <v>5288</v>
      </c>
      <c r="D3909" s="11"/>
      <c r="E3909" s="204" t="s">
        <v>13136</v>
      </c>
      <c r="F3909" s="934" t="s">
        <v>13454</v>
      </c>
      <c r="G3909" s="500" t="s">
        <v>9723</v>
      </c>
      <c r="H3909" s="298" t="s">
        <v>1853</v>
      </c>
      <c r="I3909" s="20" t="s">
        <v>1144</v>
      </c>
      <c r="J3909" s="499" t="s">
        <v>599</v>
      </c>
      <c r="K3909" s="499" t="s">
        <v>1991</v>
      </c>
      <c r="L3909" s="204"/>
      <c r="M3909" s="298">
        <v>6</v>
      </c>
      <c r="N3909" s="204">
        <v>1</v>
      </c>
      <c r="O3909" s="204">
        <v>4</v>
      </c>
      <c r="P3909" s="298">
        <v>4</v>
      </c>
      <c r="Q3909" s="572">
        <v>2</v>
      </c>
      <c r="R3909" s="1209">
        <v>24</v>
      </c>
      <c r="S3909" s="1209">
        <f t="shared" si="227"/>
        <v>96</v>
      </c>
      <c r="T3909" s="683" t="s">
        <v>9485</v>
      </c>
      <c r="U3909" s="1542" t="s">
        <v>9486</v>
      </c>
      <c r="V3909" s="572" t="s">
        <v>931</v>
      </c>
      <c r="W3909" s="774" t="s">
        <v>602</v>
      </c>
      <c r="X3909" s="18"/>
      <c r="Y3909" s="4"/>
      <c r="Z3909" s="4"/>
    </row>
    <row r="3910" spans="1:26" ht="15.6" hidden="1">
      <c r="A3910" s="20">
        <f t="shared" si="224"/>
        <v>3917</v>
      </c>
      <c r="B3910" s="1063">
        <v>43687</v>
      </c>
      <c r="C3910" s="934" t="s">
        <v>339</v>
      </c>
      <c r="D3910" s="11"/>
      <c r="E3910" s="204" t="s">
        <v>13136</v>
      </c>
      <c r="F3910" s="934" t="s">
        <v>13454</v>
      </c>
      <c r="G3910" s="204" t="s">
        <v>13465</v>
      </c>
      <c r="H3910" s="503" t="s">
        <v>154</v>
      </c>
      <c r="I3910" s="20" t="s">
        <v>39</v>
      </c>
      <c r="J3910" s="588" t="s">
        <v>13466</v>
      </c>
      <c r="K3910" s="588" t="s">
        <v>13467</v>
      </c>
      <c r="L3910" s="204"/>
      <c r="M3910" s="204">
        <v>2</v>
      </c>
      <c r="N3910" s="204">
        <v>20</v>
      </c>
      <c r="O3910" s="204">
        <v>20</v>
      </c>
      <c r="P3910" s="204">
        <v>0</v>
      </c>
      <c r="Q3910" s="572">
        <v>18</v>
      </c>
      <c r="R3910" s="1209">
        <v>58.5</v>
      </c>
      <c r="S3910" s="1209">
        <f t="shared" si="227"/>
        <v>1170</v>
      </c>
      <c r="T3910" s="204" t="s">
        <v>9485</v>
      </c>
      <c r="U3910" s="1542" t="s">
        <v>9486</v>
      </c>
      <c r="V3910" s="572" t="s">
        <v>931</v>
      </c>
      <c r="W3910" s="681" t="s">
        <v>13468</v>
      </c>
      <c r="X3910" s="18"/>
      <c r="Y3910" s="4"/>
      <c r="Z3910" s="4"/>
    </row>
    <row r="3911" spans="1:26" ht="16.5" hidden="1">
      <c r="A3911" s="20">
        <f t="shared" si="224"/>
        <v>3918</v>
      </c>
      <c r="B3911" s="1063">
        <v>43688</v>
      </c>
      <c r="C3911" s="1002" t="s">
        <v>1525</v>
      </c>
      <c r="D3911" s="11"/>
      <c r="E3911" s="204" t="s">
        <v>13136</v>
      </c>
      <c r="F3911" s="934" t="s">
        <v>13454</v>
      </c>
      <c r="G3911" s="204" t="s">
        <v>13469</v>
      </c>
      <c r="H3911" s="504" t="s">
        <v>1111</v>
      </c>
      <c r="I3911" s="20" t="s">
        <v>1144</v>
      </c>
      <c r="J3911" s="204" t="s">
        <v>13470</v>
      </c>
      <c r="K3911" s="204" t="s">
        <v>13471</v>
      </c>
      <c r="L3911" s="204"/>
      <c r="M3911" s="204">
        <v>4</v>
      </c>
      <c r="N3911" s="204">
        <v>1</v>
      </c>
      <c r="O3911" s="204">
        <v>6</v>
      </c>
      <c r="P3911" s="204">
        <v>0</v>
      </c>
      <c r="Q3911" s="572">
        <v>2</v>
      </c>
      <c r="R3911" s="1209">
        <v>315</v>
      </c>
      <c r="S3911" s="1209">
        <f>R3911*6</f>
        <v>1890</v>
      </c>
      <c r="T3911" s="683" t="s">
        <v>9485</v>
      </c>
      <c r="U3911" s="1542" t="s">
        <v>9486</v>
      </c>
      <c r="V3911" s="572" t="s">
        <v>931</v>
      </c>
      <c r="W3911" s="681" t="s">
        <v>13472</v>
      </c>
      <c r="X3911" s="18"/>
      <c r="Y3911" s="4"/>
      <c r="Z3911" s="4"/>
    </row>
    <row r="3912" spans="1:26" ht="16.5" hidden="1">
      <c r="A3912" s="20">
        <f t="shared" si="224"/>
        <v>3919</v>
      </c>
      <c r="B3912" s="1063">
        <v>43689</v>
      </c>
      <c r="C3912" s="1002" t="s">
        <v>1525</v>
      </c>
      <c r="D3912" s="11"/>
      <c r="E3912" s="204" t="s">
        <v>13136</v>
      </c>
      <c r="F3912" s="934" t="s">
        <v>13454</v>
      </c>
      <c r="G3912" s="204" t="s">
        <v>13473</v>
      </c>
      <c r="H3912" s="204" t="s">
        <v>3898</v>
      </c>
      <c r="I3912" s="204" t="s">
        <v>1144</v>
      </c>
      <c r="J3912" s="204" t="s">
        <v>13474</v>
      </c>
      <c r="K3912" s="204" t="s">
        <v>13475</v>
      </c>
      <c r="L3912" s="204"/>
      <c r="M3912" s="204">
        <v>8</v>
      </c>
      <c r="N3912" s="204">
        <v>10</v>
      </c>
      <c r="O3912" s="204">
        <v>10</v>
      </c>
      <c r="P3912" s="204">
        <v>0</v>
      </c>
      <c r="Q3912" s="572">
        <v>2</v>
      </c>
      <c r="R3912" s="1209">
        <v>85</v>
      </c>
      <c r="S3912" s="1209">
        <v>850</v>
      </c>
      <c r="T3912" s="204" t="s">
        <v>9485</v>
      </c>
      <c r="U3912" s="1542" t="s">
        <v>9486</v>
      </c>
      <c r="V3912" s="572" t="s">
        <v>931</v>
      </c>
      <c r="W3912" s="681" t="s">
        <v>13476</v>
      </c>
      <c r="X3912" s="18"/>
      <c r="Y3912" s="4"/>
      <c r="Z3912" s="4"/>
    </row>
    <row r="3913" spans="1:26" ht="16.5" hidden="1">
      <c r="A3913" s="20">
        <f t="shared" si="224"/>
        <v>3920</v>
      </c>
      <c r="B3913" s="1063">
        <v>43690</v>
      </c>
      <c r="C3913" s="1002" t="s">
        <v>1142</v>
      </c>
      <c r="D3913" s="11"/>
      <c r="E3913" s="204" t="s">
        <v>13136</v>
      </c>
      <c r="F3913" s="934" t="s">
        <v>13454</v>
      </c>
      <c r="G3913" s="204" t="s">
        <v>13477</v>
      </c>
      <c r="H3913" s="204" t="s">
        <v>3898</v>
      </c>
      <c r="I3913" s="204" t="s">
        <v>1144</v>
      </c>
      <c r="J3913" s="204" t="s">
        <v>13478</v>
      </c>
      <c r="K3913" s="204" t="s">
        <v>13479</v>
      </c>
      <c r="L3913" s="204"/>
      <c r="M3913" s="204">
        <v>8</v>
      </c>
      <c r="N3913" s="204">
        <v>10</v>
      </c>
      <c r="O3913" s="204">
        <v>10</v>
      </c>
      <c r="P3913" s="204">
        <v>0</v>
      </c>
      <c r="Q3913" s="572">
        <v>2</v>
      </c>
      <c r="R3913" s="1209">
        <v>45.9</v>
      </c>
      <c r="S3913" s="1209">
        <v>459</v>
      </c>
      <c r="T3913" s="683" t="s">
        <v>9485</v>
      </c>
      <c r="U3913" s="1542" t="s">
        <v>9486</v>
      </c>
      <c r="V3913" s="572" t="s">
        <v>931</v>
      </c>
      <c r="W3913" s="681" t="s">
        <v>13480</v>
      </c>
      <c r="X3913" s="18"/>
      <c r="Y3913" s="4"/>
      <c r="Z3913" s="4"/>
    </row>
    <row r="3914" spans="1:26" ht="14.1" hidden="1">
      <c r="A3914" s="20">
        <f t="shared" si="224"/>
        <v>3921</v>
      </c>
      <c r="B3914" s="1063">
        <v>43691</v>
      </c>
      <c r="C3914" s="1003" t="s">
        <v>13481</v>
      </c>
      <c r="D3914" s="11"/>
      <c r="E3914" s="204" t="s">
        <v>13136</v>
      </c>
      <c r="F3914" s="934" t="s">
        <v>13454</v>
      </c>
      <c r="G3914" s="204" t="s">
        <v>9244</v>
      </c>
      <c r="H3914" s="204" t="s">
        <v>3898</v>
      </c>
      <c r="I3914" s="204" t="s">
        <v>1144</v>
      </c>
      <c r="J3914" s="204" t="s">
        <v>13482</v>
      </c>
      <c r="K3914" s="204" t="s">
        <v>13483</v>
      </c>
      <c r="L3914" s="204"/>
      <c r="M3914" s="204">
        <v>16</v>
      </c>
      <c r="N3914" s="204">
        <v>50</v>
      </c>
      <c r="O3914" s="204">
        <v>50</v>
      </c>
      <c r="P3914" s="204">
        <v>0</v>
      </c>
      <c r="Q3914" s="572">
        <v>34</v>
      </c>
      <c r="R3914" s="1209">
        <v>9.2200000000000006</v>
      </c>
      <c r="S3914" s="1209">
        <f>R3914*O3914</f>
        <v>461.00000000000006</v>
      </c>
      <c r="T3914" s="204" t="s">
        <v>9485</v>
      </c>
      <c r="U3914" s="1542" t="s">
        <v>9486</v>
      </c>
      <c r="V3914" s="572" t="s">
        <v>931</v>
      </c>
      <c r="W3914" s="681" t="s">
        <v>13484</v>
      </c>
      <c r="X3914" s="18"/>
      <c r="Y3914" s="4"/>
      <c r="Z3914" s="4"/>
    </row>
    <row r="3915" spans="1:26" ht="16.5" hidden="1">
      <c r="A3915" s="20">
        <f t="shared" si="224"/>
        <v>3922</v>
      </c>
      <c r="B3915" s="1063">
        <v>43692</v>
      </c>
      <c r="C3915" s="1002" t="s">
        <v>13485</v>
      </c>
      <c r="D3915" s="11"/>
      <c r="E3915" s="204" t="s">
        <v>13136</v>
      </c>
      <c r="F3915" s="934" t="s">
        <v>13454</v>
      </c>
      <c r="G3915" s="505" t="s">
        <v>13486</v>
      </c>
      <c r="H3915" s="505" t="s">
        <v>8535</v>
      </c>
      <c r="I3915" s="204" t="s">
        <v>13487</v>
      </c>
      <c r="J3915" s="505">
        <v>89229856</v>
      </c>
      <c r="K3915" s="506" t="s">
        <v>13488</v>
      </c>
      <c r="L3915" s="204"/>
      <c r="M3915" s="204">
        <v>1</v>
      </c>
      <c r="N3915" s="204">
        <v>1</v>
      </c>
      <c r="O3915" s="204">
        <v>1</v>
      </c>
      <c r="P3915" s="204">
        <v>0</v>
      </c>
      <c r="Q3915" s="572">
        <v>0</v>
      </c>
      <c r="R3915" s="1209">
        <v>2390</v>
      </c>
      <c r="S3915" s="1209">
        <v>2390</v>
      </c>
      <c r="T3915" s="683" t="s">
        <v>9485</v>
      </c>
      <c r="U3915" s="1542" t="s">
        <v>9486</v>
      </c>
      <c r="V3915" s="572" t="s">
        <v>931</v>
      </c>
      <c r="W3915" s="1184" t="s">
        <v>13489</v>
      </c>
      <c r="X3915" s="18"/>
      <c r="Y3915" s="4"/>
      <c r="Z3915" s="4"/>
    </row>
    <row r="3916" spans="1:26" ht="14.1" hidden="1">
      <c r="A3916" s="20">
        <f t="shared" si="224"/>
        <v>3923</v>
      </c>
      <c r="B3916" s="1063">
        <v>43693</v>
      </c>
      <c r="C3916" s="934" t="s">
        <v>13490</v>
      </c>
      <c r="D3916" s="11"/>
      <c r="E3916" s="204" t="s">
        <v>13136</v>
      </c>
      <c r="F3916" s="934" t="s">
        <v>13454</v>
      </c>
      <c r="G3916" s="204" t="s">
        <v>13491</v>
      </c>
      <c r="H3916" s="204" t="s">
        <v>1073</v>
      </c>
      <c r="I3916" s="204" t="s">
        <v>1144</v>
      </c>
      <c r="J3916" s="204" t="s">
        <v>13492</v>
      </c>
      <c r="K3916" s="204" t="s">
        <v>1914</v>
      </c>
      <c r="L3916" s="204"/>
      <c r="M3916" s="204">
        <v>2</v>
      </c>
      <c r="N3916" s="204">
        <v>1</v>
      </c>
      <c r="O3916" s="204">
        <v>4</v>
      </c>
      <c r="P3916" s="204">
        <v>0</v>
      </c>
      <c r="Q3916" s="572">
        <v>2</v>
      </c>
      <c r="R3916" s="1209">
        <v>254</v>
      </c>
      <c r="S3916" s="1209">
        <f t="shared" ref="S3916:S3920" si="228">R3916*O3916</f>
        <v>1016</v>
      </c>
      <c r="T3916" s="204" t="s">
        <v>9485</v>
      </c>
      <c r="U3916" s="1542" t="s">
        <v>9486</v>
      </c>
      <c r="V3916" s="572" t="s">
        <v>931</v>
      </c>
      <c r="W3916" s="681" t="s">
        <v>13493</v>
      </c>
      <c r="X3916" s="18"/>
      <c r="Y3916" s="4"/>
      <c r="Z3916" s="4"/>
    </row>
    <row r="3917" spans="1:26" ht="14.1" hidden="1">
      <c r="A3917" s="20">
        <f t="shared" si="224"/>
        <v>3924</v>
      </c>
      <c r="B3917" s="1063">
        <v>43694</v>
      </c>
      <c r="C3917" s="934" t="s">
        <v>13494</v>
      </c>
      <c r="D3917" s="11"/>
      <c r="E3917" s="204" t="s">
        <v>13136</v>
      </c>
      <c r="F3917" s="934" t="s">
        <v>13454</v>
      </c>
      <c r="G3917" s="204" t="s">
        <v>13495</v>
      </c>
      <c r="H3917" s="204" t="s">
        <v>1078</v>
      </c>
      <c r="I3917" s="204" t="s">
        <v>1144</v>
      </c>
      <c r="J3917" s="204" t="s">
        <v>1079</v>
      </c>
      <c r="K3917" s="204" t="s">
        <v>1080</v>
      </c>
      <c r="L3917" s="204"/>
      <c r="M3917" s="204">
        <v>4</v>
      </c>
      <c r="N3917" s="204">
        <v>1</v>
      </c>
      <c r="O3917" s="204">
        <v>3</v>
      </c>
      <c r="P3917" s="204">
        <v>1</v>
      </c>
      <c r="Q3917" s="572">
        <v>0</v>
      </c>
      <c r="R3917" s="1209">
        <v>1285</v>
      </c>
      <c r="S3917" s="1209">
        <f t="shared" si="228"/>
        <v>3855</v>
      </c>
      <c r="T3917" s="683" t="s">
        <v>9485</v>
      </c>
      <c r="U3917" s="1542" t="s">
        <v>9486</v>
      </c>
      <c r="V3917" s="572" t="s">
        <v>931</v>
      </c>
      <c r="W3917" s="681" t="s">
        <v>8707</v>
      </c>
      <c r="X3917" s="18"/>
      <c r="Y3917" s="4"/>
      <c r="Z3917" s="4"/>
    </row>
    <row r="3918" spans="1:26" ht="14.1" hidden="1">
      <c r="A3918" s="20">
        <f t="shared" si="224"/>
        <v>3925</v>
      </c>
      <c r="B3918" s="1063">
        <v>43695</v>
      </c>
      <c r="C3918" s="934" t="s">
        <v>13496</v>
      </c>
      <c r="D3918" s="11" t="s">
        <v>6</v>
      </c>
      <c r="E3918" s="204" t="s">
        <v>683</v>
      </c>
      <c r="F3918" s="26" t="s">
        <v>10005</v>
      </c>
      <c r="G3918" s="204" t="s">
        <v>13497</v>
      </c>
      <c r="H3918" s="204" t="s">
        <v>1928</v>
      </c>
      <c r="I3918" s="204" t="s">
        <v>1928</v>
      </c>
      <c r="J3918" s="204" t="s">
        <v>149</v>
      </c>
      <c r="K3918" s="204" t="s">
        <v>13498</v>
      </c>
      <c r="L3918" s="204" t="s">
        <v>13499</v>
      </c>
      <c r="M3918" s="204">
        <v>1</v>
      </c>
      <c r="N3918" s="204">
        <v>1</v>
      </c>
      <c r="O3918" s="204">
        <v>1</v>
      </c>
      <c r="P3918" s="409">
        <v>44206</v>
      </c>
      <c r="Q3918" s="731">
        <v>44199</v>
      </c>
      <c r="R3918" s="1209">
        <v>10254</v>
      </c>
      <c r="S3918" s="1209">
        <f t="shared" si="228"/>
        <v>10254</v>
      </c>
      <c r="T3918" s="204" t="s">
        <v>4220</v>
      </c>
      <c r="U3918" s="1901" t="s">
        <v>4220</v>
      </c>
      <c r="V3918" s="572" t="s">
        <v>5604</v>
      </c>
      <c r="W3918" s="681" t="s">
        <v>13500</v>
      </c>
      <c r="X3918" s="18"/>
      <c r="Y3918" s="4"/>
      <c r="Z3918" s="4"/>
    </row>
    <row r="3919" spans="1:26" ht="14.1" hidden="1">
      <c r="A3919" s="20">
        <f t="shared" si="224"/>
        <v>3926</v>
      </c>
      <c r="B3919" s="1063">
        <v>43696</v>
      </c>
      <c r="C3919" s="934" t="s">
        <v>13501</v>
      </c>
      <c r="D3919" s="11" t="s">
        <v>6</v>
      </c>
      <c r="E3919" s="204" t="s">
        <v>683</v>
      </c>
      <c r="F3919" s="26" t="s">
        <v>10005</v>
      </c>
      <c r="G3919" s="204" t="s">
        <v>13502</v>
      </c>
      <c r="H3919" s="204" t="s">
        <v>1928</v>
      </c>
      <c r="I3919" s="204" t="s">
        <v>1928</v>
      </c>
      <c r="J3919" s="204" t="s">
        <v>149</v>
      </c>
      <c r="K3919" s="204" t="s">
        <v>10826</v>
      </c>
      <c r="L3919" s="204" t="s">
        <v>149</v>
      </c>
      <c r="M3919" s="204">
        <v>16</v>
      </c>
      <c r="N3919" s="204">
        <v>1</v>
      </c>
      <c r="O3919" s="204">
        <v>20</v>
      </c>
      <c r="P3919" s="204">
        <v>0</v>
      </c>
      <c r="Q3919" s="572">
        <v>4</v>
      </c>
      <c r="R3919" s="1209">
        <v>613</v>
      </c>
      <c r="S3919" s="1209">
        <f t="shared" si="228"/>
        <v>12260</v>
      </c>
      <c r="T3919" s="204" t="s">
        <v>4220</v>
      </c>
      <c r="U3919" s="1901" t="s">
        <v>4220</v>
      </c>
      <c r="V3919" s="572" t="s">
        <v>5604</v>
      </c>
      <c r="W3919" s="681" t="s">
        <v>13503</v>
      </c>
      <c r="X3919" s="18"/>
      <c r="Y3919" s="4"/>
      <c r="Z3919" s="4"/>
    </row>
    <row r="3920" spans="1:26" ht="14.1" hidden="1">
      <c r="A3920" s="20">
        <f t="shared" si="224"/>
        <v>3927</v>
      </c>
      <c r="B3920" s="1063">
        <v>43697</v>
      </c>
      <c r="C3920" s="934" t="s">
        <v>13504</v>
      </c>
      <c r="D3920" s="11" t="s">
        <v>6</v>
      </c>
      <c r="E3920" s="204" t="s">
        <v>683</v>
      </c>
      <c r="F3920" s="26" t="s">
        <v>10005</v>
      </c>
      <c r="G3920" s="204" t="s">
        <v>13505</v>
      </c>
      <c r="H3920" s="204" t="s">
        <v>101</v>
      </c>
      <c r="I3920" s="204" t="s">
        <v>322</v>
      </c>
      <c r="J3920" s="204" t="s">
        <v>13506</v>
      </c>
      <c r="K3920" s="204" t="s">
        <v>13507</v>
      </c>
      <c r="L3920" s="204" t="s">
        <v>7915</v>
      </c>
      <c r="M3920" s="204">
        <v>3</v>
      </c>
      <c r="N3920" s="204">
        <v>1</v>
      </c>
      <c r="O3920" s="204">
        <v>4</v>
      </c>
      <c r="P3920" s="204">
        <v>0</v>
      </c>
      <c r="Q3920" s="572">
        <v>1</v>
      </c>
      <c r="R3920" s="1209">
        <v>649</v>
      </c>
      <c r="S3920" s="1209">
        <f t="shared" si="228"/>
        <v>2596</v>
      </c>
      <c r="T3920" s="204" t="s">
        <v>4220</v>
      </c>
      <c r="U3920" s="1901" t="s">
        <v>4220</v>
      </c>
      <c r="V3920" s="572" t="s">
        <v>5604</v>
      </c>
      <c r="W3920" s="681" t="s">
        <v>13508</v>
      </c>
      <c r="X3920" s="18"/>
      <c r="Y3920" s="4"/>
      <c r="Z3920" s="4"/>
    </row>
    <row r="3921" spans="1:26" ht="14.1" hidden="1">
      <c r="A3921" s="20">
        <f t="shared" si="224"/>
        <v>3928</v>
      </c>
      <c r="B3921" s="1063">
        <v>43698</v>
      </c>
      <c r="C3921" s="934" t="s">
        <v>13509</v>
      </c>
      <c r="D3921" s="11"/>
      <c r="E3921" s="204" t="s">
        <v>13136</v>
      </c>
      <c r="F3921" s="934" t="s">
        <v>11441</v>
      </c>
      <c r="G3921" s="204" t="s">
        <v>13510</v>
      </c>
      <c r="H3921" s="204" t="s">
        <v>1579</v>
      </c>
      <c r="I3921" s="204" t="s">
        <v>1579</v>
      </c>
      <c r="J3921" s="204" t="s">
        <v>1577</v>
      </c>
      <c r="K3921" s="204" t="s">
        <v>1577</v>
      </c>
      <c r="L3921" s="204" t="s">
        <v>149</v>
      </c>
      <c r="M3921" s="204">
        <v>2</v>
      </c>
      <c r="N3921" s="204">
        <v>1</v>
      </c>
      <c r="O3921" s="204">
        <v>4</v>
      </c>
      <c r="P3921" s="204">
        <v>5</v>
      </c>
      <c r="Q3921" s="572">
        <v>9</v>
      </c>
      <c r="R3921" s="1209">
        <v>11530</v>
      </c>
      <c r="S3921" s="1209">
        <v>46120</v>
      </c>
      <c r="T3921" s="204" t="s">
        <v>3961</v>
      </c>
      <c r="U3921" s="1901" t="s">
        <v>13511</v>
      </c>
      <c r="V3921" s="572" t="s">
        <v>931</v>
      </c>
      <c r="W3921" s="681"/>
      <c r="X3921" s="18"/>
      <c r="Y3921" s="4"/>
      <c r="Z3921" s="4"/>
    </row>
    <row r="3922" spans="1:26" ht="14.1" hidden="1">
      <c r="A3922" s="20">
        <f t="shared" si="224"/>
        <v>3929</v>
      </c>
      <c r="B3922" s="1063">
        <v>43699</v>
      </c>
      <c r="C3922" s="934" t="s">
        <v>13512</v>
      </c>
      <c r="D3922" s="11"/>
      <c r="E3922" s="204" t="s">
        <v>13136</v>
      </c>
      <c r="F3922" s="934" t="s">
        <v>11441</v>
      </c>
      <c r="G3922" s="204" t="s">
        <v>13513</v>
      </c>
      <c r="H3922" s="204" t="s">
        <v>1715</v>
      </c>
      <c r="I3922" s="204" t="s">
        <v>1584</v>
      </c>
      <c r="J3922" s="204" t="s">
        <v>13514</v>
      </c>
      <c r="K3922" s="204" t="s">
        <v>13514</v>
      </c>
      <c r="L3922" s="204" t="s">
        <v>149</v>
      </c>
      <c r="M3922" s="204">
        <v>2</v>
      </c>
      <c r="N3922" s="204">
        <v>1</v>
      </c>
      <c r="O3922" s="204">
        <v>4</v>
      </c>
      <c r="P3922" s="204">
        <v>5</v>
      </c>
      <c r="Q3922" s="572">
        <v>9</v>
      </c>
      <c r="R3922" s="1209">
        <v>3780</v>
      </c>
      <c r="S3922" s="1209">
        <v>15120</v>
      </c>
      <c r="T3922" s="204" t="s">
        <v>3961</v>
      </c>
      <c r="U3922" s="1901" t="s">
        <v>13511</v>
      </c>
      <c r="V3922" s="572" t="s">
        <v>931</v>
      </c>
      <c r="W3922" s="804" t="s">
        <v>13515</v>
      </c>
      <c r="X3922" s="18"/>
      <c r="Y3922" s="4"/>
      <c r="Z3922" s="4"/>
    </row>
    <row r="3923" spans="1:26" ht="14.1" hidden="1">
      <c r="A3923" s="20">
        <f t="shared" si="224"/>
        <v>3930</v>
      </c>
      <c r="B3923" s="1063">
        <v>43700</v>
      </c>
      <c r="C3923" s="934" t="s">
        <v>13516</v>
      </c>
      <c r="D3923" s="11" t="s">
        <v>6</v>
      </c>
      <c r="E3923" s="204" t="s">
        <v>13136</v>
      </c>
      <c r="F3923" s="934" t="s">
        <v>10651</v>
      </c>
      <c r="G3923" s="204" t="s">
        <v>13517</v>
      </c>
      <c r="H3923" s="204" t="s">
        <v>84</v>
      </c>
      <c r="I3923" s="204" t="s">
        <v>13518</v>
      </c>
      <c r="J3923" s="204"/>
      <c r="K3923" s="204" t="s">
        <v>13519</v>
      </c>
      <c r="L3923" s="204" t="s">
        <v>1</v>
      </c>
      <c r="M3923" s="204">
        <v>8</v>
      </c>
      <c r="N3923" s="204">
        <v>1</v>
      </c>
      <c r="O3923" s="204">
        <v>8</v>
      </c>
      <c r="P3923" s="204">
        <v>0</v>
      </c>
      <c r="Q3923" s="572">
        <v>0</v>
      </c>
      <c r="R3923" s="1209">
        <v>574</v>
      </c>
      <c r="S3923" s="1209">
        <v>4592</v>
      </c>
      <c r="T3923" s="204" t="s">
        <v>12330</v>
      </c>
      <c r="U3923" s="1901" t="s">
        <v>301</v>
      </c>
      <c r="V3923" s="572" t="s">
        <v>10656</v>
      </c>
      <c r="W3923" s="681" t="s">
        <v>13288</v>
      </c>
      <c r="X3923" s="18"/>
      <c r="Y3923" s="4"/>
      <c r="Z3923" s="4"/>
    </row>
    <row r="3924" spans="1:26" ht="14.1" hidden="1">
      <c r="A3924" s="20">
        <f t="shared" si="224"/>
        <v>3931</v>
      </c>
      <c r="B3924" s="1063">
        <v>43701</v>
      </c>
      <c r="C3924" s="934" t="s">
        <v>13520</v>
      </c>
      <c r="D3924" s="11" t="s">
        <v>6</v>
      </c>
      <c r="E3924" s="204" t="s">
        <v>13136</v>
      </c>
      <c r="F3924" s="934" t="s">
        <v>10651</v>
      </c>
      <c r="G3924" s="204" t="s">
        <v>13521</v>
      </c>
      <c r="H3924" s="204" t="s">
        <v>84</v>
      </c>
      <c r="I3924" s="204" t="s">
        <v>13518</v>
      </c>
      <c r="J3924" s="204"/>
      <c r="K3924" s="204" t="s">
        <v>13522</v>
      </c>
      <c r="L3924" s="204" t="s">
        <v>1</v>
      </c>
      <c r="M3924" s="204">
        <v>4</v>
      </c>
      <c r="N3924" s="204">
        <v>1</v>
      </c>
      <c r="O3924" s="204">
        <v>4</v>
      </c>
      <c r="P3924" s="204">
        <v>0</v>
      </c>
      <c r="Q3924" s="572">
        <v>0</v>
      </c>
      <c r="R3924" s="1209">
        <v>599</v>
      </c>
      <c r="S3924" s="1209">
        <v>2396</v>
      </c>
      <c r="T3924" s="204" t="s">
        <v>12330</v>
      </c>
      <c r="U3924" s="1901" t="s">
        <v>301</v>
      </c>
      <c r="V3924" s="572" t="s">
        <v>10656</v>
      </c>
      <c r="W3924" s="681" t="s">
        <v>13288</v>
      </c>
      <c r="X3924" s="18"/>
      <c r="Y3924" s="4"/>
      <c r="Z3924" s="4"/>
    </row>
    <row r="3925" spans="1:26" ht="14.1" hidden="1">
      <c r="A3925" s="20">
        <f t="shared" si="224"/>
        <v>3932</v>
      </c>
      <c r="B3925" s="1063">
        <v>43702</v>
      </c>
      <c r="C3925" s="934" t="s">
        <v>13523</v>
      </c>
      <c r="D3925" s="11" t="s">
        <v>6</v>
      </c>
      <c r="E3925" s="204" t="s">
        <v>13136</v>
      </c>
      <c r="F3925" s="934" t="s">
        <v>10651</v>
      </c>
      <c r="G3925" s="204" t="s">
        <v>13524</v>
      </c>
      <c r="H3925" s="204" t="s">
        <v>84</v>
      </c>
      <c r="I3925" s="204" t="s">
        <v>13518</v>
      </c>
      <c r="J3925" s="204"/>
      <c r="K3925" s="204" t="s">
        <v>1521</v>
      </c>
      <c r="L3925" s="204" t="s">
        <v>1</v>
      </c>
      <c r="M3925" s="204">
        <v>20</v>
      </c>
      <c r="N3925" s="204">
        <v>110</v>
      </c>
      <c r="O3925" s="204">
        <v>110</v>
      </c>
      <c r="P3925" s="204">
        <v>0</v>
      </c>
      <c r="Q3925" s="572">
        <v>90</v>
      </c>
      <c r="R3925" s="1209">
        <v>3.9</v>
      </c>
      <c r="S3925" s="1209">
        <v>429</v>
      </c>
      <c r="T3925" s="204" t="s">
        <v>12330</v>
      </c>
      <c r="U3925" s="1901" t="s">
        <v>301</v>
      </c>
      <c r="V3925" s="572" t="s">
        <v>10656</v>
      </c>
      <c r="W3925" s="681" t="s">
        <v>13288</v>
      </c>
      <c r="X3925" s="18"/>
      <c r="Y3925" s="4"/>
      <c r="Z3925" s="4"/>
    </row>
    <row r="3926" spans="1:26" ht="14.1" hidden="1">
      <c r="A3926" s="20">
        <f t="shared" si="224"/>
        <v>3933</v>
      </c>
      <c r="B3926" s="1063">
        <v>43703</v>
      </c>
      <c r="C3926" s="934" t="s">
        <v>13525</v>
      </c>
      <c r="D3926" s="11" t="s">
        <v>6</v>
      </c>
      <c r="E3926" s="204" t="s">
        <v>13136</v>
      </c>
      <c r="F3926" s="934" t="s">
        <v>10651</v>
      </c>
      <c r="G3926" s="204" t="s">
        <v>13526</v>
      </c>
      <c r="H3926" s="204" t="s">
        <v>429</v>
      </c>
      <c r="I3926" s="204" t="s">
        <v>429</v>
      </c>
      <c r="J3926" s="204"/>
      <c r="K3926" s="204" t="s">
        <v>13527</v>
      </c>
      <c r="L3926" s="204" t="s">
        <v>1</v>
      </c>
      <c r="M3926" s="204">
        <v>4</v>
      </c>
      <c r="N3926" s="204">
        <v>1</v>
      </c>
      <c r="O3926" s="204">
        <v>4</v>
      </c>
      <c r="P3926" s="204">
        <v>0</v>
      </c>
      <c r="Q3926" s="572">
        <v>0</v>
      </c>
      <c r="R3926" s="1209">
        <v>550</v>
      </c>
      <c r="S3926" s="1209">
        <v>2200</v>
      </c>
      <c r="T3926" s="204" t="s">
        <v>12330</v>
      </c>
      <c r="U3926" s="1901" t="s">
        <v>301</v>
      </c>
      <c r="V3926" s="572" t="s">
        <v>10656</v>
      </c>
      <c r="W3926" s="681" t="s">
        <v>13288</v>
      </c>
      <c r="X3926" s="18"/>
      <c r="Y3926" s="4"/>
      <c r="Z3926" s="4"/>
    </row>
    <row r="3927" spans="1:26" ht="14.1" hidden="1">
      <c r="A3927" s="20">
        <f t="shared" si="224"/>
        <v>3934</v>
      </c>
      <c r="B3927" s="1063">
        <v>43704</v>
      </c>
      <c r="C3927" s="934" t="s">
        <v>13285</v>
      </c>
      <c r="D3927" s="11" t="s">
        <v>6</v>
      </c>
      <c r="E3927" s="204" t="s">
        <v>13136</v>
      </c>
      <c r="F3927" s="934" t="s">
        <v>10651</v>
      </c>
      <c r="G3927" s="204" t="s">
        <v>13286</v>
      </c>
      <c r="H3927" s="204" t="s">
        <v>429</v>
      </c>
      <c r="I3927" s="204" t="s">
        <v>429</v>
      </c>
      <c r="J3927" s="204"/>
      <c r="K3927" s="204" t="s">
        <v>13287</v>
      </c>
      <c r="L3927" s="204" t="s">
        <v>1</v>
      </c>
      <c r="M3927" s="204">
        <v>1</v>
      </c>
      <c r="N3927" s="204">
        <v>1</v>
      </c>
      <c r="O3927" s="204">
        <v>1</v>
      </c>
      <c r="P3927" s="204">
        <v>0</v>
      </c>
      <c r="Q3927" s="572">
        <v>0</v>
      </c>
      <c r="R3927" s="1209">
        <v>2250</v>
      </c>
      <c r="S3927" s="1209">
        <v>2250</v>
      </c>
      <c r="T3927" s="204" t="s">
        <v>12330</v>
      </c>
      <c r="U3927" s="1901" t="s">
        <v>301</v>
      </c>
      <c r="V3927" s="572" t="s">
        <v>10656</v>
      </c>
      <c r="W3927" s="681" t="s">
        <v>13288</v>
      </c>
      <c r="X3927" s="18"/>
      <c r="Y3927" s="4"/>
      <c r="Z3927" s="4"/>
    </row>
    <row r="3928" spans="1:26" ht="14.1" hidden="1">
      <c r="A3928" s="20">
        <f t="shared" si="224"/>
        <v>3935</v>
      </c>
      <c r="B3928" s="1063">
        <v>43705</v>
      </c>
      <c r="C3928" s="934" t="s">
        <v>13528</v>
      </c>
      <c r="D3928" s="11" t="s">
        <v>6</v>
      </c>
      <c r="E3928" s="204" t="s">
        <v>13136</v>
      </c>
      <c r="F3928" s="934" t="s">
        <v>2143</v>
      </c>
      <c r="G3928" s="204" t="s">
        <v>13529</v>
      </c>
      <c r="H3928" s="204" t="s">
        <v>4115</v>
      </c>
      <c r="I3928" s="204" t="s">
        <v>4115</v>
      </c>
      <c r="J3928" s="204"/>
      <c r="K3928" s="204"/>
      <c r="L3928" s="204"/>
      <c r="M3928" s="204">
        <v>1</v>
      </c>
      <c r="N3928" s="204">
        <v>1</v>
      </c>
      <c r="O3928" s="204">
        <v>1</v>
      </c>
      <c r="P3928" s="204">
        <v>0</v>
      </c>
      <c r="Q3928" s="572">
        <v>0</v>
      </c>
      <c r="R3928" s="1209">
        <v>96800</v>
      </c>
      <c r="S3928" s="1209">
        <v>96800</v>
      </c>
      <c r="T3928" s="204" t="s">
        <v>929</v>
      </c>
      <c r="U3928" s="1901" t="s">
        <v>118</v>
      </c>
      <c r="V3928" s="572" t="s">
        <v>118</v>
      </c>
      <c r="W3928" s="681"/>
      <c r="X3928" s="18"/>
      <c r="Y3928" s="4"/>
      <c r="Z3928" s="4"/>
    </row>
    <row r="3929" spans="1:26" ht="14.1" hidden="1">
      <c r="A3929" s="20">
        <f t="shared" si="224"/>
        <v>3936</v>
      </c>
      <c r="B3929" s="1063">
        <v>43706</v>
      </c>
      <c r="C3929" s="934" t="s">
        <v>13530</v>
      </c>
      <c r="D3929" s="11" t="s">
        <v>6</v>
      </c>
      <c r="E3929" s="204" t="s">
        <v>13136</v>
      </c>
      <c r="F3929" s="934" t="s">
        <v>2143</v>
      </c>
      <c r="G3929" s="204" t="s">
        <v>13531</v>
      </c>
      <c r="H3929" s="204" t="s">
        <v>13532</v>
      </c>
      <c r="I3929" s="204" t="s">
        <v>4115</v>
      </c>
      <c r="J3929" s="204" t="s">
        <v>13533</v>
      </c>
      <c r="K3929" s="204" t="s">
        <v>13533</v>
      </c>
      <c r="L3929" s="204"/>
      <c r="M3929" s="204">
        <v>1</v>
      </c>
      <c r="N3929" s="204">
        <v>1</v>
      </c>
      <c r="O3929" s="204">
        <v>1</v>
      </c>
      <c r="P3929" s="204">
        <v>0</v>
      </c>
      <c r="Q3929" s="572">
        <v>0</v>
      </c>
      <c r="R3929" s="1209">
        <v>9790</v>
      </c>
      <c r="S3929" s="1209">
        <v>9790</v>
      </c>
      <c r="T3929" s="204" t="s">
        <v>929</v>
      </c>
      <c r="U3929" s="1901" t="s">
        <v>118</v>
      </c>
      <c r="V3929" s="572" t="s">
        <v>118</v>
      </c>
      <c r="W3929" s="681"/>
      <c r="X3929" s="18"/>
      <c r="Y3929" s="4"/>
      <c r="Z3929" s="4"/>
    </row>
    <row r="3930" spans="1:26" ht="14.1" hidden="1">
      <c r="A3930" s="20">
        <f t="shared" si="224"/>
        <v>3937</v>
      </c>
      <c r="B3930" s="1063">
        <v>43707</v>
      </c>
      <c r="C3930" s="934" t="s">
        <v>13534</v>
      </c>
      <c r="D3930" s="11" t="s">
        <v>6</v>
      </c>
      <c r="E3930" s="204" t="s">
        <v>13136</v>
      </c>
      <c r="F3930" s="934" t="s">
        <v>2143</v>
      </c>
      <c r="G3930" s="204" t="s">
        <v>13535</v>
      </c>
      <c r="H3930" s="204" t="s">
        <v>13536</v>
      </c>
      <c r="I3930" s="204" t="s">
        <v>4115</v>
      </c>
      <c r="J3930" s="204" t="s">
        <v>13537</v>
      </c>
      <c r="K3930" s="204" t="s">
        <v>13537</v>
      </c>
      <c r="L3930" s="204"/>
      <c r="M3930" s="204">
        <v>1</v>
      </c>
      <c r="N3930" s="204">
        <v>1</v>
      </c>
      <c r="O3930" s="204">
        <v>1</v>
      </c>
      <c r="P3930" s="204">
        <v>0</v>
      </c>
      <c r="Q3930" s="572">
        <v>0</v>
      </c>
      <c r="R3930" s="1209">
        <v>990</v>
      </c>
      <c r="S3930" s="1209">
        <v>990</v>
      </c>
      <c r="T3930" s="204" t="s">
        <v>929</v>
      </c>
      <c r="U3930" s="1901" t="s">
        <v>118</v>
      </c>
      <c r="V3930" s="572" t="s">
        <v>118</v>
      </c>
      <c r="W3930" s="681"/>
      <c r="X3930" s="18"/>
      <c r="Y3930" s="4"/>
      <c r="Z3930" s="4"/>
    </row>
    <row r="3931" spans="1:26" ht="14.1" hidden="1">
      <c r="A3931" s="20">
        <f t="shared" si="224"/>
        <v>3938</v>
      </c>
      <c r="B3931" s="1063">
        <v>43708</v>
      </c>
      <c r="C3931" s="934" t="s">
        <v>13538</v>
      </c>
      <c r="D3931" s="11" t="s">
        <v>6</v>
      </c>
      <c r="E3931" s="204" t="s">
        <v>13136</v>
      </c>
      <c r="F3931" s="934" t="s">
        <v>2143</v>
      </c>
      <c r="G3931" s="204" t="s">
        <v>13539</v>
      </c>
      <c r="H3931" s="204" t="s">
        <v>13540</v>
      </c>
      <c r="I3931" s="204" t="s">
        <v>13341</v>
      </c>
      <c r="J3931" s="204" t="s">
        <v>13541</v>
      </c>
      <c r="K3931" s="204" t="s">
        <v>13541</v>
      </c>
      <c r="L3931" s="204"/>
      <c r="M3931" s="204">
        <v>3</v>
      </c>
      <c r="N3931" s="204">
        <v>1</v>
      </c>
      <c r="O3931" s="204">
        <v>3</v>
      </c>
      <c r="P3931" s="204">
        <v>0</v>
      </c>
      <c r="Q3931" s="572">
        <v>0</v>
      </c>
      <c r="R3931" s="1209">
        <f>414.95*109</f>
        <v>45229.549999999996</v>
      </c>
      <c r="S3931" s="1209">
        <f t="shared" ref="S3931:S3940" si="229">R3931*O3931</f>
        <v>135688.65</v>
      </c>
      <c r="T3931" s="204" t="s">
        <v>13542</v>
      </c>
      <c r="U3931" s="1901" t="s">
        <v>118</v>
      </c>
      <c r="V3931" s="572" t="s">
        <v>118</v>
      </c>
      <c r="W3931" s="681" t="s">
        <v>13543</v>
      </c>
      <c r="X3931" s="18"/>
      <c r="Y3931" s="4"/>
      <c r="Z3931" s="4"/>
    </row>
    <row r="3932" spans="1:26" ht="14.1" hidden="1">
      <c r="A3932" s="20">
        <f t="shared" si="224"/>
        <v>3939</v>
      </c>
      <c r="B3932" s="1063">
        <v>43709</v>
      </c>
      <c r="C3932" s="934" t="s">
        <v>13544</v>
      </c>
      <c r="D3932" s="11" t="s">
        <v>6</v>
      </c>
      <c r="E3932" s="204" t="s">
        <v>13136</v>
      </c>
      <c r="F3932" s="934" t="s">
        <v>2143</v>
      </c>
      <c r="G3932" s="204" t="s">
        <v>13545</v>
      </c>
      <c r="H3932" s="204" t="s">
        <v>5480</v>
      </c>
      <c r="I3932" s="204" t="s">
        <v>574</v>
      </c>
      <c r="J3932" s="204" t="s">
        <v>13546</v>
      </c>
      <c r="K3932" s="204" t="s">
        <v>13544</v>
      </c>
      <c r="L3932" s="204"/>
      <c r="M3932" s="204">
        <v>3</v>
      </c>
      <c r="N3932" s="204">
        <v>1</v>
      </c>
      <c r="O3932" s="204">
        <v>10</v>
      </c>
      <c r="P3932" s="204">
        <v>0</v>
      </c>
      <c r="Q3932" s="572">
        <v>2</v>
      </c>
      <c r="R3932" s="1209">
        <v>219</v>
      </c>
      <c r="S3932" s="1209">
        <f t="shared" si="229"/>
        <v>2190</v>
      </c>
      <c r="T3932" s="204" t="s">
        <v>13542</v>
      </c>
      <c r="U3932" s="1901" t="s">
        <v>118</v>
      </c>
      <c r="V3932" s="572" t="s">
        <v>118</v>
      </c>
      <c r="W3932" s="681" t="s">
        <v>13547</v>
      </c>
      <c r="X3932" s="18"/>
      <c r="Y3932" s="4"/>
      <c r="Z3932" s="4"/>
    </row>
    <row r="3933" spans="1:26" ht="14.1" hidden="1">
      <c r="A3933" s="20">
        <f t="shared" si="224"/>
        <v>3940</v>
      </c>
      <c r="B3933" s="1063">
        <v>43710</v>
      </c>
      <c r="C3933" s="934" t="s">
        <v>13548</v>
      </c>
      <c r="D3933" s="11" t="s">
        <v>6</v>
      </c>
      <c r="E3933" s="204" t="s">
        <v>13136</v>
      </c>
      <c r="F3933" s="934" t="s">
        <v>2143</v>
      </c>
      <c r="G3933" s="204" t="s">
        <v>13549</v>
      </c>
      <c r="H3933" s="204" t="s">
        <v>9928</v>
      </c>
      <c r="I3933" s="204" t="s">
        <v>574</v>
      </c>
      <c r="J3933" s="204" t="s">
        <v>13550</v>
      </c>
      <c r="K3933" s="204" t="s">
        <v>13551</v>
      </c>
      <c r="L3933" s="204"/>
      <c r="M3933" s="204">
        <v>1</v>
      </c>
      <c r="N3933" s="204">
        <v>1</v>
      </c>
      <c r="O3933" s="204">
        <v>1</v>
      </c>
      <c r="P3933" s="204">
        <v>0</v>
      </c>
      <c r="Q3933" s="572">
        <v>0</v>
      </c>
      <c r="R3933" s="1209">
        <v>692</v>
      </c>
      <c r="S3933" s="1209">
        <f t="shared" si="229"/>
        <v>692</v>
      </c>
      <c r="T3933" s="204" t="s">
        <v>13542</v>
      </c>
      <c r="U3933" s="1901" t="s">
        <v>118</v>
      </c>
      <c r="V3933" s="572" t="s">
        <v>118</v>
      </c>
      <c r="W3933" s="681" t="s">
        <v>13552</v>
      </c>
      <c r="X3933" s="18"/>
      <c r="Y3933" s="4"/>
      <c r="Z3933" s="4"/>
    </row>
    <row r="3934" spans="1:26" ht="14.1" hidden="1">
      <c r="A3934" s="20">
        <f t="shared" si="224"/>
        <v>3941</v>
      </c>
      <c r="B3934" s="1063">
        <v>43711</v>
      </c>
      <c r="C3934" s="934" t="s">
        <v>13553</v>
      </c>
      <c r="D3934" s="11" t="s">
        <v>6</v>
      </c>
      <c r="E3934" s="204" t="s">
        <v>13136</v>
      </c>
      <c r="F3934" s="934" t="s">
        <v>2143</v>
      </c>
      <c r="G3934" s="204" t="s">
        <v>13554</v>
      </c>
      <c r="H3934" s="204" t="s">
        <v>13555</v>
      </c>
      <c r="I3934" s="204" t="s">
        <v>574</v>
      </c>
      <c r="J3934" s="204" t="s">
        <v>13556</v>
      </c>
      <c r="K3934" s="204" t="s">
        <v>13557</v>
      </c>
      <c r="L3934" s="204"/>
      <c r="M3934" s="204">
        <v>2</v>
      </c>
      <c r="N3934" s="204">
        <v>1</v>
      </c>
      <c r="O3934" s="204">
        <v>2</v>
      </c>
      <c r="P3934" s="204">
        <v>0</v>
      </c>
      <c r="Q3934" s="572">
        <v>0</v>
      </c>
      <c r="R3934" s="1209">
        <v>2317</v>
      </c>
      <c r="S3934" s="1209">
        <f t="shared" si="229"/>
        <v>4634</v>
      </c>
      <c r="T3934" s="204" t="s">
        <v>13542</v>
      </c>
      <c r="U3934" s="1901" t="s">
        <v>118</v>
      </c>
      <c r="V3934" s="572" t="s">
        <v>118</v>
      </c>
      <c r="W3934" s="681" t="s">
        <v>13558</v>
      </c>
      <c r="X3934" s="18"/>
      <c r="Y3934" s="4"/>
      <c r="Z3934" s="4"/>
    </row>
    <row r="3935" spans="1:26" ht="14.1" hidden="1">
      <c r="A3935" s="20">
        <f t="shared" si="224"/>
        <v>3942</v>
      </c>
      <c r="B3935" s="1063">
        <v>43712</v>
      </c>
      <c r="C3935" s="934" t="s">
        <v>13559</v>
      </c>
      <c r="D3935" s="11" t="s">
        <v>6</v>
      </c>
      <c r="E3935" s="204" t="s">
        <v>13136</v>
      </c>
      <c r="F3935" s="934" t="s">
        <v>2143</v>
      </c>
      <c r="G3935" s="204" t="s">
        <v>13560</v>
      </c>
      <c r="H3935" s="204" t="s">
        <v>13561</v>
      </c>
      <c r="I3935" s="204" t="s">
        <v>574</v>
      </c>
      <c r="J3935" s="204" t="s">
        <v>13562</v>
      </c>
      <c r="K3935" s="204" t="s">
        <v>13563</v>
      </c>
      <c r="L3935" s="204"/>
      <c r="M3935" s="204">
        <v>1</v>
      </c>
      <c r="N3935" s="204">
        <v>1</v>
      </c>
      <c r="O3935" s="204">
        <v>1</v>
      </c>
      <c r="P3935" s="204">
        <v>0</v>
      </c>
      <c r="Q3935" s="572">
        <v>0</v>
      </c>
      <c r="R3935" s="1209">
        <v>676</v>
      </c>
      <c r="S3935" s="1209">
        <f t="shared" si="229"/>
        <v>676</v>
      </c>
      <c r="T3935" s="204" t="s">
        <v>13542</v>
      </c>
      <c r="U3935" s="1901" t="s">
        <v>118</v>
      </c>
      <c r="V3935" s="572" t="s">
        <v>118</v>
      </c>
      <c r="W3935" s="681" t="s">
        <v>13564</v>
      </c>
      <c r="X3935" s="18"/>
      <c r="Y3935" s="4"/>
      <c r="Z3935" s="4"/>
    </row>
    <row r="3936" spans="1:26" ht="14.1" hidden="1">
      <c r="A3936" s="20">
        <f t="shared" si="224"/>
        <v>3943</v>
      </c>
      <c r="B3936" s="1063">
        <v>43713</v>
      </c>
      <c r="C3936" s="934" t="s">
        <v>13565</v>
      </c>
      <c r="D3936" s="11" t="s">
        <v>6</v>
      </c>
      <c r="E3936" s="204" t="s">
        <v>13136</v>
      </c>
      <c r="F3936" s="934" t="s">
        <v>2143</v>
      </c>
      <c r="G3936" s="204" t="s">
        <v>13566</v>
      </c>
      <c r="H3936" s="204" t="s">
        <v>8952</v>
      </c>
      <c r="I3936" s="204" t="s">
        <v>574</v>
      </c>
      <c r="J3936" s="204" t="s">
        <v>13567</v>
      </c>
      <c r="K3936" s="204" t="s">
        <v>13568</v>
      </c>
      <c r="L3936" s="204"/>
      <c r="M3936" s="204">
        <v>3</v>
      </c>
      <c r="N3936" s="204">
        <v>1</v>
      </c>
      <c r="O3936" s="204">
        <v>10</v>
      </c>
      <c r="P3936" s="204">
        <v>0</v>
      </c>
      <c r="Q3936" s="572">
        <v>2</v>
      </c>
      <c r="R3936" s="1209">
        <v>137</v>
      </c>
      <c r="S3936" s="1209">
        <f t="shared" si="229"/>
        <v>1370</v>
      </c>
      <c r="T3936" s="204" t="s">
        <v>13542</v>
      </c>
      <c r="U3936" s="1901" t="s">
        <v>118</v>
      </c>
      <c r="V3936" s="572" t="s">
        <v>118</v>
      </c>
      <c r="W3936" s="681" t="s">
        <v>13569</v>
      </c>
      <c r="X3936" s="18"/>
      <c r="Y3936" s="4"/>
      <c r="Z3936" s="4"/>
    </row>
    <row r="3937" spans="1:26" ht="14.1" hidden="1">
      <c r="A3937" s="20">
        <f t="shared" si="224"/>
        <v>3944</v>
      </c>
      <c r="B3937" s="1063">
        <v>43714</v>
      </c>
      <c r="C3937" s="934" t="s">
        <v>13570</v>
      </c>
      <c r="D3937" s="11" t="s">
        <v>6</v>
      </c>
      <c r="E3937" s="204" t="s">
        <v>13136</v>
      </c>
      <c r="F3937" s="934" t="s">
        <v>2143</v>
      </c>
      <c r="G3937" s="204" t="s">
        <v>13571</v>
      </c>
      <c r="H3937" s="204" t="s">
        <v>8952</v>
      </c>
      <c r="I3937" s="204" t="s">
        <v>574</v>
      </c>
      <c r="J3937" s="204" t="s">
        <v>13572</v>
      </c>
      <c r="K3937" s="204" t="s">
        <v>13573</v>
      </c>
      <c r="L3937" s="204"/>
      <c r="M3937" s="204">
        <v>3</v>
      </c>
      <c r="N3937" s="204">
        <v>1</v>
      </c>
      <c r="O3937" s="204">
        <v>10</v>
      </c>
      <c r="P3937" s="204">
        <v>0</v>
      </c>
      <c r="Q3937" s="572">
        <v>2</v>
      </c>
      <c r="R3937" s="1209">
        <v>116</v>
      </c>
      <c r="S3937" s="1209">
        <f t="shared" si="229"/>
        <v>1160</v>
      </c>
      <c r="T3937" s="204" t="s">
        <v>13542</v>
      </c>
      <c r="U3937" s="1901" t="s">
        <v>118</v>
      </c>
      <c r="V3937" s="572" t="s">
        <v>118</v>
      </c>
      <c r="W3937" s="681" t="s">
        <v>13574</v>
      </c>
      <c r="X3937" s="18"/>
      <c r="Y3937" s="4"/>
      <c r="Z3937" s="4"/>
    </row>
    <row r="3938" spans="1:26" ht="14.1" hidden="1">
      <c r="A3938" s="20">
        <f t="shared" si="224"/>
        <v>3945</v>
      </c>
      <c r="B3938" s="1063">
        <v>43715</v>
      </c>
      <c r="C3938" s="934" t="s">
        <v>13575</v>
      </c>
      <c r="D3938" s="11" t="s">
        <v>6</v>
      </c>
      <c r="E3938" s="204" t="s">
        <v>13136</v>
      </c>
      <c r="F3938" s="934" t="s">
        <v>2143</v>
      </c>
      <c r="G3938" s="204" t="s">
        <v>13576</v>
      </c>
      <c r="H3938" s="204"/>
      <c r="I3938" s="204" t="s">
        <v>574</v>
      </c>
      <c r="J3938" s="204" t="s">
        <v>13577</v>
      </c>
      <c r="K3938" s="204" t="s">
        <v>13578</v>
      </c>
      <c r="L3938" s="204"/>
      <c r="M3938" s="204">
        <v>3</v>
      </c>
      <c r="N3938" s="204">
        <v>1</v>
      </c>
      <c r="O3938" s="204">
        <v>10</v>
      </c>
      <c r="P3938" s="204">
        <v>0</v>
      </c>
      <c r="Q3938" s="572">
        <v>2</v>
      </c>
      <c r="R3938" s="1209">
        <v>56.3</v>
      </c>
      <c r="S3938" s="1209">
        <f t="shared" si="229"/>
        <v>563</v>
      </c>
      <c r="T3938" s="204" t="s">
        <v>13542</v>
      </c>
      <c r="U3938" s="1901" t="s">
        <v>118</v>
      </c>
      <c r="V3938" s="572" t="s">
        <v>118</v>
      </c>
      <c r="W3938" s="681" t="s">
        <v>13579</v>
      </c>
      <c r="X3938" s="18"/>
      <c r="Y3938" s="4"/>
      <c r="Z3938" s="4"/>
    </row>
    <row r="3939" spans="1:26" ht="14.1" hidden="1">
      <c r="A3939" s="20">
        <f t="shared" si="224"/>
        <v>3946</v>
      </c>
      <c r="B3939" s="1063">
        <v>43716</v>
      </c>
      <c r="C3939" s="934" t="s">
        <v>13580</v>
      </c>
      <c r="D3939" s="11" t="s">
        <v>6</v>
      </c>
      <c r="E3939" s="204" t="s">
        <v>13136</v>
      </c>
      <c r="F3939" s="934" t="s">
        <v>2143</v>
      </c>
      <c r="G3939" s="204" t="s">
        <v>13581</v>
      </c>
      <c r="H3939" s="204"/>
      <c r="I3939" s="204" t="s">
        <v>574</v>
      </c>
      <c r="J3939" s="204" t="s">
        <v>13582</v>
      </c>
      <c r="K3939" s="204" t="s">
        <v>13583</v>
      </c>
      <c r="L3939" s="204"/>
      <c r="M3939" s="204">
        <v>3</v>
      </c>
      <c r="N3939" s="204">
        <v>1</v>
      </c>
      <c r="O3939" s="204">
        <v>10</v>
      </c>
      <c r="P3939" s="204">
        <v>0</v>
      </c>
      <c r="Q3939" s="572">
        <v>2</v>
      </c>
      <c r="R3939" s="1209">
        <v>80.900000000000006</v>
      </c>
      <c r="S3939" s="1209">
        <f t="shared" si="229"/>
        <v>809</v>
      </c>
      <c r="T3939" s="204" t="s">
        <v>13542</v>
      </c>
      <c r="U3939" s="1901" t="s">
        <v>118</v>
      </c>
      <c r="V3939" s="572" t="s">
        <v>118</v>
      </c>
      <c r="W3939" s="681" t="s">
        <v>13584</v>
      </c>
      <c r="X3939" s="18"/>
      <c r="Y3939" s="4"/>
      <c r="Z3939" s="4"/>
    </row>
    <row r="3940" spans="1:26" ht="14.1" hidden="1">
      <c r="A3940" s="20">
        <f t="shared" si="224"/>
        <v>3947</v>
      </c>
      <c r="B3940" s="1063">
        <v>43717</v>
      </c>
      <c r="C3940" s="934" t="s">
        <v>13585</v>
      </c>
      <c r="D3940" s="11" t="s">
        <v>6</v>
      </c>
      <c r="E3940" s="204" t="s">
        <v>13136</v>
      </c>
      <c r="F3940" s="934" t="s">
        <v>2143</v>
      </c>
      <c r="G3940" s="204" t="s">
        <v>13586</v>
      </c>
      <c r="H3940" s="204" t="s">
        <v>13587</v>
      </c>
      <c r="I3940" s="204" t="s">
        <v>574</v>
      </c>
      <c r="J3940" s="204" t="s">
        <v>13588</v>
      </c>
      <c r="K3940" s="204" t="s">
        <v>13588</v>
      </c>
      <c r="L3940" s="204"/>
      <c r="M3940" s="204">
        <v>3</v>
      </c>
      <c r="N3940" s="204">
        <v>1</v>
      </c>
      <c r="O3940" s="204">
        <v>5</v>
      </c>
      <c r="P3940" s="204">
        <v>0</v>
      </c>
      <c r="Q3940" s="572">
        <v>2</v>
      </c>
      <c r="R3940" s="1209">
        <v>239</v>
      </c>
      <c r="S3940" s="1209">
        <f t="shared" si="229"/>
        <v>1195</v>
      </c>
      <c r="T3940" s="204" t="s">
        <v>13542</v>
      </c>
      <c r="U3940" s="1901" t="s">
        <v>118</v>
      </c>
      <c r="V3940" s="572" t="s">
        <v>118</v>
      </c>
      <c r="W3940" s="681" t="s">
        <v>13589</v>
      </c>
      <c r="X3940" s="18"/>
      <c r="Y3940" s="4"/>
      <c r="Z3940" s="4"/>
    </row>
    <row r="3941" spans="1:26" ht="15.6" hidden="1">
      <c r="A3941" s="20">
        <f t="shared" si="224"/>
        <v>3948</v>
      </c>
      <c r="B3941" s="1063">
        <v>43718</v>
      </c>
      <c r="C3941" s="934" t="s">
        <v>12500</v>
      </c>
      <c r="D3941" s="278" t="s">
        <v>6</v>
      </c>
      <c r="E3941" s="204" t="s">
        <v>13136</v>
      </c>
      <c r="F3941" s="934" t="s">
        <v>9454</v>
      </c>
      <c r="G3941" s="328" t="s">
        <v>12501</v>
      </c>
      <c r="H3941" s="507" t="s">
        <v>366</v>
      </c>
      <c r="I3941" s="204" t="s">
        <v>366</v>
      </c>
      <c r="J3941" s="207" t="s">
        <v>12502</v>
      </c>
      <c r="K3941" s="507" t="s">
        <v>12502</v>
      </c>
      <c r="L3941" s="204"/>
      <c r="M3941" s="508">
        <v>36</v>
      </c>
      <c r="N3941" s="204">
        <v>1</v>
      </c>
      <c r="O3941" s="204">
        <v>36</v>
      </c>
      <c r="P3941" s="204">
        <v>0</v>
      </c>
      <c r="Q3941" s="572">
        <v>0</v>
      </c>
      <c r="R3941" s="1209">
        <v>180</v>
      </c>
      <c r="S3941" s="1209">
        <v>6480</v>
      </c>
      <c r="T3941" s="204" t="s">
        <v>3961</v>
      </c>
      <c r="U3941" s="1901" t="s">
        <v>13590</v>
      </c>
      <c r="V3941" s="572" t="s">
        <v>931</v>
      </c>
      <c r="W3941" s="804" t="s">
        <v>13591</v>
      </c>
      <c r="X3941" s="18"/>
      <c r="Y3941" s="4"/>
      <c r="Z3941" s="4"/>
    </row>
    <row r="3942" spans="1:26" ht="15.6" hidden="1">
      <c r="A3942" s="20">
        <f t="shared" si="224"/>
        <v>3949</v>
      </c>
      <c r="B3942" s="1063">
        <v>43719</v>
      </c>
      <c r="C3942" s="934" t="s">
        <v>12500</v>
      </c>
      <c r="D3942" s="278" t="s">
        <v>6</v>
      </c>
      <c r="E3942" s="204" t="s">
        <v>13136</v>
      </c>
      <c r="F3942" s="934" t="s">
        <v>9454</v>
      </c>
      <c r="G3942" s="328" t="s">
        <v>12507</v>
      </c>
      <c r="H3942" s="509" t="s">
        <v>366</v>
      </c>
      <c r="I3942" s="204" t="s">
        <v>366</v>
      </c>
      <c r="J3942" s="255" t="s">
        <v>370</v>
      </c>
      <c r="K3942" s="509" t="s">
        <v>370</v>
      </c>
      <c r="L3942" s="204"/>
      <c r="M3942" s="510">
        <v>20</v>
      </c>
      <c r="N3942" s="204">
        <v>1</v>
      </c>
      <c r="O3942" s="204">
        <v>20</v>
      </c>
      <c r="P3942" s="204">
        <v>9</v>
      </c>
      <c r="Q3942" s="572">
        <v>9</v>
      </c>
      <c r="R3942" s="1209">
        <v>180</v>
      </c>
      <c r="S3942" s="1209">
        <v>3600</v>
      </c>
      <c r="T3942" s="204" t="s">
        <v>3961</v>
      </c>
      <c r="U3942" s="1901" t="s">
        <v>13590</v>
      </c>
      <c r="V3942" s="572" t="s">
        <v>931</v>
      </c>
      <c r="W3942" s="804" t="s">
        <v>13592</v>
      </c>
      <c r="X3942" s="18"/>
      <c r="Y3942" s="4"/>
      <c r="Z3942" s="4"/>
    </row>
    <row r="3943" spans="1:26" ht="15.6" hidden="1">
      <c r="A3943" s="20">
        <f t="shared" si="224"/>
        <v>3950</v>
      </c>
      <c r="B3943" s="1063">
        <v>43720</v>
      </c>
      <c r="C3943" s="934" t="s">
        <v>12500</v>
      </c>
      <c r="D3943" s="278" t="s">
        <v>6</v>
      </c>
      <c r="E3943" s="204" t="s">
        <v>13136</v>
      </c>
      <c r="F3943" s="934" t="s">
        <v>9454</v>
      </c>
      <c r="G3943" s="328" t="s">
        <v>12508</v>
      </c>
      <c r="H3943" s="509" t="s">
        <v>366</v>
      </c>
      <c r="I3943" s="204" t="s">
        <v>366</v>
      </c>
      <c r="J3943" s="255" t="s">
        <v>372</v>
      </c>
      <c r="K3943" s="509" t="s">
        <v>372</v>
      </c>
      <c r="L3943" s="204"/>
      <c r="M3943" s="510">
        <v>8</v>
      </c>
      <c r="N3943" s="204">
        <v>1</v>
      </c>
      <c r="O3943" s="204">
        <v>8</v>
      </c>
      <c r="P3943" s="204">
        <v>0</v>
      </c>
      <c r="Q3943" s="572">
        <v>0</v>
      </c>
      <c r="R3943" s="1209">
        <v>300</v>
      </c>
      <c r="S3943" s="1209">
        <v>2400</v>
      </c>
      <c r="T3943" s="204" t="s">
        <v>3961</v>
      </c>
      <c r="U3943" s="1901" t="s">
        <v>13590</v>
      </c>
      <c r="V3943" s="572" t="s">
        <v>931</v>
      </c>
      <c r="W3943" s="804" t="s">
        <v>12509</v>
      </c>
      <c r="X3943" s="18"/>
      <c r="Y3943" s="4"/>
      <c r="Z3943" s="4"/>
    </row>
    <row r="3944" spans="1:26" ht="15.6" hidden="1">
      <c r="A3944" s="20">
        <f t="shared" si="224"/>
        <v>3951</v>
      </c>
      <c r="B3944" s="1063">
        <v>43721</v>
      </c>
      <c r="C3944" s="934" t="s">
        <v>12510</v>
      </c>
      <c r="D3944" s="278" t="s">
        <v>6</v>
      </c>
      <c r="E3944" s="204" t="s">
        <v>13136</v>
      </c>
      <c r="F3944" s="934" t="s">
        <v>9454</v>
      </c>
      <c r="G3944" s="328" t="s">
        <v>12511</v>
      </c>
      <c r="H3944" s="509" t="s">
        <v>3979</v>
      </c>
      <c r="I3944" s="204" t="s">
        <v>84</v>
      </c>
      <c r="J3944" s="255" t="s">
        <v>2622</v>
      </c>
      <c r="K3944" s="509" t="s">
        <v>2622</v>
      </c>
      <c r="L3944" s="204"/>
      <c r="M3944" s="510">
        <v>24</v>
      </c>
      <c r="N3944" s="511">
        <v>50</v>
      </c>
      <c r="O3944" s="204">
        <v>50</v>
      </c>
      <c r="P3944" s="209">
        <v>15</v>
      </c>
      <c r="Q3944" s="572">
        <v>41</v>
      </c>
      <c r="R3944" s="1209">
        <v>649</v>
      </c>
      <c r="S3944" s="1209">
        <v>649</v>
      </c>
      <c r="T3944" s="204" t="s">
        <v>3961</v>
      </c>
      <c r="U3944" s="1901" t="s">
        <v>13590</v>
      </c>
      <c r="V3944" s="572" t="s">
        <v>931</v>
      </c>
      <c r="W3944" s="804" t="s">
        <v>13593</v>
      </c>
      <c r="X3944" s="18"/>
      <c r="Y3944" s="4"/>
      <c r="Z3944" s="4"/>
    </row>
    <row r="3945" spans="1:26" ht="15.6" hidden="1">
      <c r="A3945" s="20">
        <f t="shared" si="224"/>
        <v>3952</v>
      </c>
      <c r="B3945" s="1063">
        <v>43722</v>
      </c>
      <c r="C3945" s="934" t="s">
        <v>12510</v>
      </c>
      <c r="D3945" s="278" t="s">
        <v>6</v>
      </c>
      <c r="E3945" s="204" t="s">
        <v>13136</v>
      </c>
      <c r="F3945" s="934" t="s">
        <v>9454</v>
      </c>
      <c r="G3945" s="328" t="s">
        <v>13594</v>
      </c>
      <c r="H3945" s="509" t="s">
        <v>3979</v>
      </c>
      <c r="I3945" s="204" t="s">
        <v>366</v>
      </c>
      <c r="J3945" s="255" t="s">
        <v>13595</v>
      </c>
      <c r="K3945" s="509" t="s">
        <v>13595</v>
      </c>
      <c r="L3945" s="204"/>
      <c r="M3945" s="510">
        <v>8</v>
      </c>
      <c r="N3945" s="511">
        <v>50</v>
      </c>
      <c r="O3945" s="204">
        <v>50</v>
      </c>
      <c r="P3945" s="189">
        <v>2</v>
      </c>
      <c r="Q3945" s="572">
        <v>46</v>
      </c>
      <c r="R3945" s="1209">
        <v>13</v>
      </c>
      <c r="S3945" s="1209">
        <v>650</v>
      </c>
      <c r="T3945" s="204" t="s">
        <v>3961</v>
      </c>
      <c r="U3945" s="1901" t="s">
        <v>13590</v>
      </c>
      <c r="V3945" s="572" t="s">
        <v>931</v>
      </c>
      <c r="W3945" s="804" t="s">
        <v>13596</v>
      </c>
      <c r="X3945" s="18"/>
      <c r="Y3945" s="4"/>
      <c r="Z3945" s="4"/>
    </row>
    <row r="3946" spans="1:26" ht="15.6" hidden="1">
      <c r="A3946" s="20">
        <f t="shared" si="224"/>
        <v>3953</v>
      </c>
      <c r="B3946" s="1063">
        <v>43723</v>
      </c>
      <c r="C3946" s="934" t="s">
        <v>12510</v>
      </c>
      <c r="D3946" s="278" t="s">
        <v>6</v>
      </c>
      <c r="E3946" s="204" t="s">
        <v>13136</v>
      </c>
      <c r="F3946" s="934" t="s">
        <v>9454</v>
      </c>
      <c r="G3946" s="328" t="s">
        <v>12518</v>
      </c>
      <c r="H3946" s="509" t="s">
        <v>3979</v>
      </c>
      <c r="I3946" s="204" t="s">
        <v>366</v>
      </c>
      <c r="J3946" s="255" t="s">
        <v>12519</v>
      </c>
      <c r="K3946" s="509" t="s">
        <v>12519</v>
      </c>
      <c r="L3946" s="204"/>
      <c r="M3946" s="510">
        <v>20</v>
      </c>
      <c r="N3946" s="511">
        <v>50</v>
      </c>
      <c r="O3946" s="204">
        <v>50</v>
      </c>
      <c r="P3946" s="209">
        <v>10</v>
      </c>
      <c r="Q3946" s="572">
        <v>40</v>
      </c>
      <c r="R3946" s="1209">
        <v>13</v>
      </c>
      <c r="S3946" s="1209">
        <v>650</v>
      </c>
      <c r="T3946" s="204" t="s">
        <v>3961</v>
      </c>
      <c r="U3946" s="1901" t="s">
        <v>13590</v>
      </c>
      <c r="V3946" s="572" t="s">
        <v>931</v>
      </c>
      <c r="W3946" s="681" t="s">
        <v>13597</v>
      </c>
      <c r="X3946" s="18"/>
      <c r="Y3946" s="4"/>
      <c r="Z3946" s="4"/>
    </row>
    <row r="3947" spans="1:26" ht="15.6" hidden="1">
      <c r="A3947" s="20">
        <f t="shared" si="224"/>
        <v>3954</v>
      </c>
      <c r="B3947" s="1063">
        <v>43724</v>
      </c>
      <c r="C3947" s="934" t="s">
        <v>12510</v>
      </c>
      <c r="D3947" s="278" t="s">
        <v>6</v>
      </c>
      <c r="E3947" s="204" t="s">
        <v>13136</v>
      </c>
      <c r="F3947" s="934" t="s">
        <v>9454</v>
      </c>
      <c r="G3947" s="328" t="s">
        <v>13598</v>
      </c>
      <c r="H3947" s="509" t="s">
        <v>3979</v>
      </c>
      <c r="I3947" s="204" t="s">
        <v>366</v>
      </c>
      <c r="J3947" s="255" t="s">
        <v>13599</v>
      </c>
      <c r="K3947" s="509" t="s">
        <v>13599</v>
      </c>
      <c r="L3947" s="204"/>
      <c r="M3947" s="510">
        <v>8</v>
      </c>
      <c r="N3947" s="511">
        <v>50</v>
      </c>
      <c r="O3947" s="204">
        <v>50</v>
      </c>
      <c r="P3947" s="204">
        <v>7</v>
      </c>
      <c r="Q3947" s="572">
        <v>49</v>
      </c>
      <c r="R3947" s="1209">
        <v>16</v>
      </c>
      <c r="S3947" s="1209">
        <v>800</v>
      </c>
      <c r="T3947" s="204" t="s">
        <v>3961</v>
      </c>
      <c r="U3947" s="1901" t="s">
        <v>13590</v>
      </c>
      <c r="V3947" s="572" t="s">
        <v>931</v>
      </c>
      <c r="W3947" s="804" t="s">
        <v>13600</v>
      </c>
      <c r="X3947" s="18"/>
      <c r="Y3947" s="4"/>
      <c r="Z3947" s="4"/>
    </row>
    <row r="3948" spans="1:26" ht="15.6" hidden="1">
      <c r="A3948" s="20">
        <f t="shared" si="224"/>
        <v>3955</v>
      </c>
      <c r="B3948" s="1063">
        <v>43725</v>
      </c>
      <c r="C3948" s="934" t="s">
        <v>12527</v>
      </c>
      <c r="D3948" s="278" t="s">
        <v>6</v>
      </c>
      <c r="E3948" s="204" t="s">
        <v>13136</v>
      </c>
      <c r="F3948" s="934" t="s">
        <v>9454</v>
      </c>
      <c r="G3948" s="509" t="s">
        <v>13601</v>
      </c>
      <c r="H3948" s="509" t="s">
        <v>366</v>
      </c>
      <c r="I3948" s="204" t="s">
        <v>366</v>
      </c>
      <c r="J3948" s="255" t="s">
        <v>5532</v>
      </c>
      <c r="K3948" s="509" t="s">
        <v>5532</v>
      </c>
      <c r="L3948" s="204"/>
      <c r="M3948" s="510">
        <v>8</v>
      </c>
      <c r="N3948" s="204">
        <v>1</v>
      </c>
      <c r="O3948" s="204">
        <v>8</v>
      </c>
      <c r="P3948" s="204">
        <v>0</v>
      </c>
      <c r="Q3948" s="572">
        <v>0</v>
      </c>
      <c r="R3948" s="1209">
        <v>470</v>
      </c>
      <c r="S3948" s="1209">
        <v>3760</v>
      </c>
      <c r="T3948" s="204" t="s">
        <v>3961</v>
      </c>
      <c r="U3948" s="1901" t="s">
        <v>13590</v>
      </c>
      <c r="V3948" s="572" t="s">
        <v>931</v>
      </c>
      <c r="W3948" s="804" t="s">
        <v>13602</v>
      </c>
      <c r="X3948" s="18"/>
      <c r="Y3948" s="4"/>
      <c r="Z3948" s="4"/>
    </row>
    <row r="3949" spans="1:26" ht="15.6" hidden="1">
      <c r="A3949" s="20">
        <f t="shared" si="224"/>
        <v>3956</v>
      </c>
      <c r="B3949" s="1063">
        <v>43726</v>
      </c>
      <c r="C3949" s="934" t="s">
        <v>12530</v>
      </c>
      <c r="D3949" s="278" t="s">
        <v>6</v>
      </c>
      <c r="E3949" s="204" t="s">
        <v>13136</v>
      </c>
      <c r="F3949" s="934" t="s">
        <v>9454</v>
      </c>
      <c r="G3949" s="509" t="s">
        <v>13603</v>
      </c>
      <c r="H3949" s="509" t="s">
        <v>382</v>
      </c>
      <c r="I3949" s="204" t="s">
        <v>366</v>
      </c>
      <c r="J3949" s="255" t="s">
        <v>1148</v>
      </c>
      <c r="K3949" s="509" t="s">
        <v>1148</v>
      </c>
      <c r="L3949" s="204"/>
      <c r="M3949" s="510">
        <v>118</v>
      </c>
      <c r="N3949" s="204">
        <v>1</v>
      </c>
      <c r="O3949" s="204">
        <v>118</v>
      </c>
      <c r="P3949" s="204">
        <v>0</v>
      </c>
      <c r="Q3949" s="572">
        <v>0</v>
      </c>
      <c r="R3949" s="1209">
        <v>19</v>
      </c>
      <c r="S3949" s="1209">
        <v>2242</v>
      </c>
      <c r="T3949" s="204" t="s">
        <v>3961</v>
      </c>
      <c r="U3949" s="1901" t="s">
        <v>13590</v>
      </c>
      <c r="V3949" s="572" t="s">
        <v>931</v>
      </c>
      <c r="W3949" s="681" t="s">
        <v>1</v>
      </c>
      <c r="X3949" s="18"/>
      <c r="Y3949" s="4"/>
      <c r="Z3949" s="4"/>
    </row>
    <row r="3950" spans="1:26" ht="15.6" hidden="1">
      <c r="A3950" s="20">
        <f t="shared" si="224"/>
        <v>3957</v>
      </c>
      <c r="B3950" s="1063">
        <v>43727</v>
      </c>
      <c r="C3950" s="934" t="s">
        <v>12530</v>
      </c>
      <c r="D3950" s="278" t="s">
        <v>6</v>
      </c>
      <c r="E3950" s="204" t="s">
        <v>13136</v>
      </c>
      <c r="F3950" s="934" t="s">
        <v>9454</v>
      </c>
      <c r="G3950" s="509" t="s">
        <v>13604</v>
      </c>
      <c r="H3950" s="509" t="s">
        <v>382</v>
      </c>
      <c r="I3950" s="204" t="s">
        <v>366</v>
      </c>
      <c r="J3950" s="255" t="s">
        <v>9145</v>
      </c>
      <c r="K3950" s="509" t="s">
        <v>9145</v>
      </c>
      <c r="L3950" s="204"/>
      <c r="M3950" s="510">
        <v>4</v>
      </c>
      <c r="N3950" s="204">
        <v>1</v>
      </c>
      <c r="O3950" s="204">
        <v>4</v>
      </c>
      <c r="P3950" s="204">
        <v>0</v>
      </c>
      <c r="Q3950" s="572">
        <v>0</v>
      </c>
      <c r="R3950" s="1209">
        <v>32</v>
      </c>
      <c r="S3950" s="1209">
        <v>128</v>
      </c>
      <c r="T3950" s="204" t="s">
        <v>3961</v>
      </c>
      <c r="U3950" s="1901" t="s">
        <v>13590</v>
      </c>
      <c r="V3950" s="572" t="s">
        <v>931</v>
      </c>
      <c r="W3950" s="681" t="s">
        <v>1</v>
      </c>
      <c r="X3950" s="18"/>
      <c r="Y3950" s="4"/>
      <c r="Z3950" s="4"/>
    </row>
    <row r="3951" spans="1:26" ht="15.6" hidden="1">
      <c r="A3951" s="20">
        <f t="shared" si="224"/>
        <v>3958</v>
      </c>
      <c r="B3951" s="1063">
        <v>43728</v>
      </c>
      <c r="C3951" s="934" t="s">
        <v>12539</v>
      </c>
      <c r="D3951" s="278" t="s">
        <v>6</v>
      </c>
      <c r="E3951" s="204" t="s">
        <v>13136</v>
      </c>
      <c r="F3951" s="934" t="s">
        <v>9454</v>
      </c>
      <c r="G3951" s="509" t="s">
        <v>13605</v>
      </c>
      <c r="H3951" s="509" t="s">
        <v>382</v>
      </c>
      <c r="I3951" s="204" t="s">
        <v>366</v>
      </c>
      <c r="J3951" s="255" t="s">
        <v>13606</v>
      </c>
      <c r="K3951" s="509" t="s">
        <v>13606</v>
      </c>
      <c r="L3951" s="204"/>
      <c r="M3951" s="510">
        <v>8</v>
      </c>
      <c r="N3951" s="511">
        <v>50</v>
      </c>
      <c r="O3951" s="511">
        <v>50</v>
      </c>
      <c r="P3951" s="204">
        <v>6</v>
      </c>
      <c r="Q3951" s="572">
        <v>48</v>
      </c>
      <c r="R3951" s="1209">
        <v>1623</v>
      </c>
      <c r="S3951" s="1209">
        <v>1623</v>
      </c>
      <c r="T3951" s="204" t="s">
        <v>3961</v>
      </c>
      <c r="U3951" s="1901" t="s">
        <v>13590</v>
      </c>
      <c r="V3951" s="572" t="s">
        <v>931</v>
      </c>
      <c r="W3951" s="681" t="s">
        <v>1</v>
      </c>
      <c r="X3951" s="18"/>
      <c r="Y3951" s="4"/>
      <c r="Z3951" s="4"/>
    </row>
    <row r="3952" spans="1:26" ht="15.6" hidden="1">
      <c r="A3952" s="20">
        <f t="shared" si="224"/>
        <v>3959</v>
      </c>
      <c r="B3952" s="1063">
        <v>43729</v>
      </c>
      <c r="C3952" s="934" t="s">
        <v>12539</v>
      </c>
      <c r="D3952" s="278" t="s">
        <v>6</v>
      </c>
      <c r="E3952" s="204" t="s">
        <v>13136</v>
      </c>
      <c r="F3952" s="934" t="s">
        <v>9454</v>
      </c>
      <c r="G3952" s="509" t="s">
        <v>13607</v>
      </c>
      <c r="H3952" s="509" t="s">
        <v>382</v>
      </c>
      <c r="I3952" s="204" t="s">
        <v>366</v>
      </c>
      <c r="J3952" s="255" t="s">
        <v>13608</v>
      </c>
      <c r="K3952" s="509" t="s">
        <v>13608</v>
      </c>
      <c r="L3952" s="204"/>
      <c r="M3952" s="510">
        <v>64</v>
      </c>
      <c r="N3952" s="511">
        <v>50</v>
      </c>
      <c r="O3952" s="511">
        <v>100</v>
      </c>
      <c r="P3952" s="204">
        <v>0</v>
      </c>
      <c r="Q3952" s="572">
        <v>36</v>
      </c>
      <c r="R3952" s="1209">
        <v>1623</v>
      </c>
      <c r="S3952" s="1209">
        <v>3246</v>
      </c>
      <c r="T3952" s="204" t="s">
        <v>3961</v>
      </c>
      <c r="U3952" s="1901" t="s">
        <v>13590</v>
      </c>
      <c r="V3952" s="572" t="s">
        <v>931</v>
      </c>
      <c r="W3952" s="681" t="s">
        <v>1</v>
      </c>
      <c r="X3952" s="18"/>
      <c r="Y3952" s="4"/>
      <c r="Z3952" s="4"/>
    </row>
    <row r="3953" spans="1:26" ht="15.6" hidden="1">
      <c r="A3953" s="20">
        <f t="shared" si="224"/>
        <v>3960</v>
      </c>
      <c r="B3953" s="1063">
        <v>43730</v>
      </c>
      <c r="C3953" s="934" t="s">
        <v>12543</v>
      </c>
      <c r="D3953" s="278" t="s">
        <v>6</v>
      </c>
      <c r="E3953" s="204" t="s">
        <v>13136</v>
      </c>
      <c r="F3953" s="934" t="s">
        <v>9454</v>
      </c>
      <c r="G3953" s="509" t="s">
        <v>13609</v>
      </c>
      <c r="H3953" s="509" t="s">
        <v>382</v>
      </c>
      <c r="I3953" s="204" t="s">
        <v>366</v>
      </c>
      <c r="J3953" s="255" t="s">
        <v>13610</v>
      </c>
      <c r="K3953" s="509" t="s">
        <v>13610</v>
      </c>
      <c r="L3953" s="204"/>
      <c r="M3953" s="510">
        <v>8</v>
      </c>
      <c r="N3953" s="511">
        <v>10</v>
      </c>
      <c r="O3953" s="511">
        <v>10</v>
      </c>
      <c r="P3953" s="204">
        <v>0</v>
      </c>
      <c r="Q3953" s="572">
        <v>2</v>
      </c>
      <c r="R3953" s="1209">
        <v>1603</v>
      </c>
      <c r="S3953" s="1209">
        <v>1603</v>
      </c>
      <c r="T3953" s="204" t="s">
        <v>3961</v>
      </c>
      <c r="U3953" s="1901" t="s">
        <v>13590</v>
      </c>
      <c r="V3953" s="572" t="s">
        <v>931</v>
      </c>
      <c r="W3953" s="681" t="s">
        <v>1</v>
      </c>
      <c r="X3953" s="18"/>
      <c r="Y3953" s="4"/>
      <c r="Z3953" s="4"/>
    </row>
    <row r="3954" spans="1:26" ht="15.6" hidden="1">
      <c r="A3954" s="20">
        <f t="shared" si="224"/>
        <v>3961</v>
      </c>
      <c r="B3954" s="1063">
        <v>43731</v>
      </c>
      <c r="C3954" s="1004" t="s">
        <v>12546</v>
      </c>
      <c r="D3954" s="278" t="s">
        <v>6</v>
      </c>
      <c r="E3954" s="204" t="s">
        <v>13136</v>
      </c>
      <c r="F3954" s="934" t="s">
        <v>9454</v>
      </c>
      <c r="G3954" s="509" t="s">
        <v>13611</v>
      </c>
      <c r="H3954" s="509" t="s">
        <v>382</v>
      </c>
      <c r="I3954" s="204" t="s">
        <v>366</v>
      </c>
      <c r="J3954" s="255" t="s">
        <v>2602</v>
      </c>
      <c r="K3954" s="509" t="s">
        <v>2602</v>
      </c>
      <c r="L3954" s="204"/>
      <c r="M3954" s="510">
        <v>16</v>
      </c>
      <c r="N3954" s="511">
        <v>10</v>
      </c>
      <c r="O3954" s="511">
        <v>20</v>
      </c>
      <c r="P3954" s="204">
        <v>0</v>
      </c>
      <c r="Q3954" s="572">
        <v>4</v>
      </c>
      <c r="R3954" s="1209">
        <v>362</v>
      </c>
      <c r="S3954" s="1209">
        <v>724</v>
      </c>
      <c r="T3954" s="204" t="s">
        <v>3961</v>
      </c>
      <c r="U3954" s="1901" t="s">
        <v>13590</v>
      </c>
      <c r="V3954" s="572" t="s">
        <v>931</v>
      </c>
      <c r="W3954" s="681" t="s">
        <v>13612</v>
      </c>
      <c r="X3954" s="18"/>
      <c r="Y3954" s="4"/>
      <c r="Z3954" s="4"/>
    </row>
    <row r="3955" spans="1:26" ht="15.6" hidden="1">
      <c r="A3955" s="20">
        <f t="shared" si="224"/>
        <v>3962</v>
      </c>
      <c r="B3955" s="1063">
        <v>43732</v>
      </c>
      <c r="C3955" s="934" t="s">
        <v>12543</v>
      </c>
      <c r="D3955" s="278" t="s">
        <v>6</v>
      </c>
      <c r="E3955" s="204" t="s">
        <v>13136</v>
      </c>
      <c r="F3955" s="934" t="s">
        <v>9454</v>
      </c>
      <c r="G3955" s="509" t="s">
        <v>13611</v>
      </c>
      <c r="H3955" s="509" t="s">
        <v>382</v>
      </c>
      <c r="I3955" s="204" t="s">
        <v>366</v>
      </c>
      <c r="J3955" s="255" t="s">
        <v>2604</v>
      </c>
      <c r="K3955" s="509" t="s">
        <v>2604</v>
      </c>
      <c r="L3955" s="204"/>
      <c r="M3955" s="510">
        <v>4</v>
      </c>
      <c r="N3955" s="204">
        <v>1</v>
      </c>
      <c r="O3955" s="204">
        <v>4</v>
      </c>
      <c r="P3955" s="204">
        <v>8</v>
      </c>
      <c r="Q3955" s="572">
        <v>8</v>
      </c>
      <c r="R3955" s="1209">
        <v>145</v>
      </c>
      <c r="S3955" s="1209">
        <v>580</v>
      </c>
      <c r="T3955" s="204" t="s">
        <v>3961</v>
      </c>
      <c r="U3955" s="1901" t="s">
        <v>13590</v>
      </c>
      <c r="V3955" s="572" t="s">
        <v>931</v>
      </c>
      <c r="W3955" s="681" t="s">
        <v>13613</v>
      </c>
      <c r="X3955" s="18"/>
      <c r="Y3955" s="4"/>
      <c r="Z3955" s="4"/>
    </row>
    <row r="3956" spans="1:26" ht="15.6" hidden="1">
      <c r="A3956" s="20">
        <f t="shared" si="224"/>
        <v>3963</v>
      </c>
      <c r="B3956" s="1063">
        <v>43733</v>
      </c>
      <c r="C3956" s="1004" t="s">
        <v>12546</v>
      </c>
      <c r="D3956" s="278" t="s">
        <v>6</v>
      </c>
      <c r="E3956" s="204" t="s">
        <v>13136</v>
      </c>
      <c r="F3956" s="934" t="s">
        <v>9454</v>
      </c>
      <c r="G3956" s="509" t="s">
        <v>13614</v>
      </c>
      <c r="H3956" s="509" t="s">
        <v>382</v>
      </c>
      <c r="I3956" s="204" t="s">
        <v>366</v>
      </c>
      <c r="J3956" s="255" t="s">
        <v>2600</v>
      </c>
      <c r="K3956" s="509" t="s">
        <v>2600</v>
      </c>
      <c r="L3956" s="204"/>
      <c r="M3956" s="510">
        <v>8</v>
      </c>
      <c r="N3956" s="204">
        <v>10</v>
      </c>
      <c r="O3956" s="204">
        <v>10</v>
      </c>
      <c r="P3956" s="204">
        <v>0</v>
      </c>
      <c r="Q3956" s="572">
        <v>2</v>
      </c>
      <c r="R3956" s="1209">
        <v>448</v>
      </c>
      <c r="S3956" s="1209">
        <v>448</v>
      </c>
      <c r="T3956" s="204" t="s">
        <v>3961</v>
      </c>
      <c r="U3956" s="1901" t="s">
        <v>13590</v>
      </c>
      <c r="V3956" s="572" t="s">
        <v>931</v>
      </c>
      <c r="W3956" s="804" t="s">
        <v>13615</v>
      </c>
      <c r="X3956" s="18"/>
      <c r="Y3956" s="4"/>
      <c r="Z3956" s="4"/>
    </row>
    <row r="3957" spans="1:26" ht="15.6" hidden="1">
      <c r="A3957" s="20">
        <f t="shared" si="224"/>
        <v>3964</v>
      </c>
      <c r="B3957" s="1063">
        <v>43734</v>
      </c>
      <c r="C3957" s="1004" t="s">
        <v>12546</v>
      </c>
      <c r="D3957" s="278" t="s">
        <v>6</v>
      </c>
      <c r="E3957" s="204" t="s">
        <v>13136</v>
      </c>
      <c r="F3957" s="934" t="s">
        <v>9454</v>
      </c>
      <c r="G3957" s="509" t="s">
        <v>13616</v>
      </c>
      <c r="H3957" s="509" t="s">
        <v>382</v>
      </c>
      <c r="I3957" s="204" t="s">
        <v>366</v>
      </c>
      <c r="J3957" s="255" t="s">
        <v>1524</v>
      </c>
      <c r="K3957" s="509" t="s">
        <v>1524</v>
      </c>
      <c r="L3957" s="204"/>
      <c r="M3957" s="510">
        <v>4</v>
      </c>
      <c r="N3957" s="204">
        <v>10</v>
      </c>
      <c r="O3957" s="204">
        <v>10</v>
      </c>
      <c r="P3957" s="204">
        <v>0</v>
      </c>
      <c r="Q3957" s="572">
        <v>6</v>
      </c>
      <c r="R3957" s="1209">
        <v>448</v>
      </c>
      <c r="S3957" s="1209">
        <v>448</v>
      </c>
      <c r="T3957" s="204" t="s">
        <v>3961</v>
      </c>
      <c r="U3957" s="1901" t="s">
        <v>13590</v>
      </c>
      <c r="V3957" s="572" t="s">
        <v>931</v>
      </c>
      <c r="W3957" s="804" t="s">
        <v>4726</v>
      </c>
      <c r="X3957" s="18"/>
      <c r="Y3957" s="4"/>
      <c r="Z3957" s="4"/>
    </row>
    <row r="3958" spans="1:26" ht="15.6" hidden="1">
      <c r="A3958" s="20">
        <f t="shared" si="224"/>
        <v>3965</v>
      </c>
      <c r="B3958" s="1063">
        <v>43735</v>
      </c>
      <c r="C3958" s="1004" t="s">
        <v>12546</v>
      </c>
      <c r="D3958" s="278" t="s">
        <v>6</v>
      </c>
      <c r="E3958" s="204" t="s">
        <v>13136</v>
      </c>
      <c r="F3958" s="934" t="s">
        <v>9454</v>
      </c>
      <c r="G3958" s="509" t="s">
        <v>13617</v>
      </c>
      <c r="H3958" s="512" t="s">
        <v>382</v>
      </c>
      <c r="I3958" s="204" t="s">
        <v>366</v>
      </c>
      <c r="J3958" s="255" t="s">
        <v>2606</v>
      </c>
      <c r="K3958" s="509" t="s">
        <v>2606</v>
      </c>
      <c r="L3958" s="204"/>
      <c r="M3958" s="510">
        <v>40</v>
      </c>
      <c r="N3958" s="204">
        <v>10</v>
      </c>
      <c r="O3958" s="204">
        <v>40</v>
      </c>
      <c r="P3958" s="204">
        <v>0</v>
      </c>
      <c r="Q3958" s="572">
        <v>0</v>
      </c>
      <c r="R3958" s="1209">
        <v>362</v>
      </c>
      <c r="S3958" s="1209">
        <v>1448</v>
      </c>
      <c r="T3958" s="204" t="s">
        <v>3961</v>
      </c>
      <c r="U3958" s="1901" t="s">
        <v>13590</v>
      </c>
      <c r="V3958" s="572" t="s">
        <v>931</v>
      </c>
      <c r="W3958" s="804" t="s">
        <v>13618</v>
      </c>
      <c r="X3958" s="18"/>
      <c r="Y3958" s="4"/>
      <c r="Z3958" s="4"/>
    </row>
    <row r="3959" spans="1:26" ht="15.6" hidden="1">
      <c r="A3959" s="20">
        <f t="shared" si="224"/>
        <v>3966</v>
      </c>
      <c r="B3959" s="1063">
        <v>43736</v>
      </c>
      <c r="C3959" s="934" t="s">
        <v>12543</v>
      </c>
      <c r="D3959" s="278" t="s">
        <v>6</v>
      </c>
      <c r="E3959" s="204" t="s">
        <v>13136</v>
      </c>
      <c r="F3959" s="934" t="s">
        <v>9454</v>
      </c>
      <c r="G3959" s="509" t="s">
        <v>13619</v>
      </c>
      <c r="H3959" s="509" t="s">
        <v>382</v>
      </c>
      <c r="I3959" s="204" t="s">
        <v>366</v>
      </c>
      <c r="J3959" s="255" t="s">
        <v>2612</v>
      </c>
      <c r="K3959" s="509" t="s">
        <v>2612</v>
      </c>
      <c r="L3959" s="204"/>
      <c r="M3959" s="510">
        <v>76</v>
      </c>
      <c r="N3959" s="204">
        <v>10</v>
      </c>
      <c r="O3959" s="204">
        <v>80</v>
      </c>
      <c r="P3959" s="204">
        <v>0</v>
      </c>
      <c r="Q3959" s="572">
        <v>4</v>
      </c>
      <c r="R3959" s="1209">
        <v>1441</v>
      </c>
      <c r="S3959" s="1209">
        <v>11528</v>
      </c>
      <c r="T3959" s="204" t="s">
        <v>3961</v>
      </c>
      <c r="U3959" s="1901" t="s">
        <v>13590</v>
      </c>
      <c r="V3959" s="572" t="s">
        <v>931</v>
      </c>
      <c r="W3959" s="681" t="s">
        <v>13620</v>
      </c>
      <c r="X3959" s="18"/>
      <c r="Y3959" s="4"/>
      <c r="Z3959" s="4"/>
    </row>
    <row r="3960" spans="1:26" ht="15.6" hidden="1">
      <c r="A3960" s="20">
        <f t="shared" si="224"/>
        <v>3967</v>
      </c>
      <c r="B3960" s="1063">
        <v>43737</v>
      </c>
      <c r="C3960" s="1004" t="s">
        <v>12556</v>
      </c>
      <c r="D3960" s="278" t="s">
        <v>6</v>
      </c>
      <c r="E3960" s="204" t="s">
        <v>13136</v>
      </c>
      <c r="F3960" s="934" t="s">
        <v>9454</v>
      </c>
      <c r="G3960" s="509" t="s">
        <v>13619</v>
      </c>
      <c r="H3960" s="507" t="s">
        <v>382</v>
      </c>
      <c r="I3960" s="204" t="s">
        <v>366</v>
      </c>
      <c r="J3960" s="207" t="s">
        <v>2595</v>
      </c>
      <c r="K3960" s="507" t="s">
        <v>2595</v>
      </c>
      <c r="L3960" s="204"/>
      <c r="M3960" s="508">
        <v>32</v>
      </c>
      <c r="N3960" s="204">
        <v>10</v>
      </c>
      <c r="O3960" s="204">
        <v>40</v>
      </c>
      <c r="P3960" s="204">
        <v>0</v>
      </c>
      <c r="Q3960" s="572">
        <v>8</v>
      </c>
      <c r="R3960" s="1209">
        <v>786</v>
      </c>
      <c r="S3960" s="1209">
        <v>3144</v>
      </c>
      <c r="T3960" s="204" t="s">
        <v>3961</v>
      </c>
      <c r="U3960" s="1901" t="s">
        <v>13590</v>
      </c>
      <c r="V3960" s="572" t="s">
        <v>931</v>
      </c>
      <c r="W3960" s="681" t="s">
        <v>1</v>
      </c>
      <c r="X3960" s="18"/>
      <c r="Y3960" s="4"/>
      <c r="Z3960" s="4"/>
    </row>
    <row r="3961" spans="1:26" ht="15.6" hidden="1">
      <c r="A3961" s="20">
        <f t="shared" si="224"/>
        <v>3968</v>
      </c>
      <c r="B3961" s="1063">
        <v>43738</v>
      </c>
      <c r="C3961" s="1004" t="s">
        <v>12556</v>
      </c>
      <c r="D3961" s="278" t="s">
        <v>6</v>
      </c>
      <c r="E3961" s="204" t="s">
        <v>13136</v>
      </c>
      <c r="F3961" s="934" t="s">
        <v>9454</v>
      </c>
      <c r="G3961" s="509" t="s">
        <v>13605</v>
      </c>
      <c r="H3961" s="509" t="s">
        <v>382</v>
      </c>
      <c r="I3961" s="204" t="s">
        <v>366</v>
      </c>
      <c r="J3961" s="255" t="s">
        <v>2597</v>
      </c>
      <c r="K3961" s="509" t="s">
        <v>2597</v>
      </c>
      <c r="L3961" s="204"/>
      <c r="M3961" s="510">
        <v>54</v>
      </c>
      <c r="N3961" s="204">
        <v>10</v>
      </c>
      <c r="O3961" s="204">
        <v>60</v>
      </c>
      <c r="P3961" s="204">
        <v>0</v>
      </c>
      <c r="Q3961" s="572">
        <v>6</v>
      </c>
      <c r="R3961" s="1209">
        <v>786</v>
      </c>
      <c r="S3961" s="1209">
        <v>4716</v>
      </c>
      <c r="T3961" s="204" t="s">
        <v>3961</v>
      </c>
      <c r="U3961" s="1901" t="s">
        <v>13590</v>
      </c>
      <c r="V3961" s="572" t="s">
        <v>931</v>
      </c>
      <c r="W3961" s="681" t="s">
        <v>1</v>
      </c>
      <c r="X3961" s="18"/>
      <c r="Y3961" s="4"/>
      <c r="Z3961" s="4"/>
    </row>
    <row r="3962" spans="1:26" ht="15.6" hidden="1">
      <c r="A3962" s="20">
        <f t="shared" si="224"/>
        <v>3969</v>
      </c>
      <c r="B3962" s="1063">
        <v>43739</v>
      </c>
      <c r="C3962" s="1004" t="s">
        <v>12556</v>
      </c>
      <c r="D3962" s="278" t="s">
        <v>6</v>
      </c>
      <c r="E3962" s="204" t="s">
        <v>13136</v>
      </c>
      <c r="F3962" s="934" t="s">
        <v>9454</v>
      </c>
      <c r="G3962" s="509" t="s">
        <v>13611</v>
      </c>
      <c r="H3962" s="509" t="s">
        <v>382</v>
      </c>
      <c r="I3962" s="204" t="s">
        <v>366</v>
      </c>
      <c r="J3962" s="255" t="s">
        <v>13621</v>
      </c>
      <c r="K3962" s="509" t="s">
        <v>13621</v>
      </c>
      <c r="L3962" s="204"/>
      <c r="M3962" s="510">
        <v>4</v>
      </c>
      <c r="N3962" s="204">
        <v>10</v>
      </c>
      <c r="O3962" s="204">
        <v>10</v>
      </c>
      <c r="P3962" s="204">
        <v>0</v>
      </c>
      <c r="Q3962" s="572">
        <v>6</v>
      </c>
      <c r="R3962" s="1209">
        <v>1646</v>
      </c>
      <c r="S3962" s="1209">
        <v>1646</v>
      </c>
      <c r="T3962" s="204" t="s">
        <v>3961</v>
      </c>
      <c r="U3962" s="1901" t="s">
        <v>13590</v>
      </c>
      <c r="V3962" s="572" t="s">
        <v>931</v>
      </c>
      <c r="W3962" s="681" t="s">
        <v>1</v>
      </c>
      <c r="X3962" s="18"/>
      <c r="Y3962" s="4"/>
      <c r="Z3962" s="4"/>
    </row>
    <row r="3963" spans="1:26" ht="15.6" hidden="1">
      <c r="A3963" s="20">
        <f t="shared" si="224"/>
        <v>3970</v>
      </c>
      <c r="B3963" s="1063">
        <v>43740</v>
      </c>
      <c r="C3963" s="1004" t="s">
        <v>12556</v>
      </c>
      <c r="D3963" s="278" t="s">
        <v>6</v>
      </c>
      <c r="E3963" s="204" t="s">
        <v>13136</v>
      </c>
      <c r="F3963" s="934" t="s">
        <v>9454</v>
      </c>
      <c r="G3963" s="509" t="s">
        <v>13617</v>
      </c>
      <c r="H3963" s="509" t="s">
        <v>382</v>
      </c>
      <c r="I3963" s="204" t="s">
        <v>366</v>
      </c>
      <c r="J3963" s="255" t="s">
        <v>13622</v>
      </c>
      <c r="K3963" s="509" t="s">
        <v>13622</v>
      </c>
      <c r="L3963" s="204"/>
      <c r="M3963" s="510">
        <v>4</v>
      </c>
      <c r="N3963" s="204">
        <v>10</v>
      </c>
      <c r="O3963" s="204">
        <v>10</v>
      </c>
      <c r="P3963" s="204">
        <v>0</v>
      </c>
      <c r="Q3963" s="572">
        <v>6</v>
      </c>
      <c r="R3963" s="1209">
        <v>786</v>
      </c>
      <c r="S3963" s="1209">
        <v>786</v>
      </c>
      <c r="T3963" s="204" t="s">
        <v>3961</v>
      </c>
      <c r="U3963" s="1901" t="s">
        <v>13590</v>
      </c>
      <c r="V3963" s="572" t="s">
        <v>931</v>
      </c>
      <c r="W3963" s="681" t="s">
        <v>1</v>
      </c>
      <c r="X3963" s="18"/>
      <c r="Y3963" s="4"/>
      <c r="Z3963" s="4"/>
    </row>
    <row r="3964" spans="1:26" ht="14.1" hidden="1">
      <c r="A3964" s="20">
        <f t="shared" si="224"/>
        <v>3971</v>
      </c>
      <c r="B3964" s="1063">
        <v>43741</v>
      </c>
      <c r="C3964" s="934" t="s">
        <v>13623</v>
      </c>
      <c r="D3964" s="11" t="s">
        <v>6</v>
      </c>
      <c r="E3964" s="204" t="s">
        <v>683</v>
      </c>
      <c r="F3964" s="934" t="s">
        <v>10005</v>
      </c>
      <c r="G3964" s="204" t="s">
        <v>13624</v>
      </c>
      <c r="H3964" s="204" t="s">
        <v>13625</v>
      </c>
      <c r="I3964" s="204" t="s">
        <v>84</v>
      </c>
      <c r="J3964" s="204" t="s">
        <v>149</v>
      </c>
      <c r="K3964" s="204">
        <v>1136</v>
      </c>
      <c r="L3964" s="204" t="s">
        <v>13626</v>
      </c>
      <c r="M3964" s="204" t="s">
        <v>13627</v>
      </c>
      <c r="N3964" s="204">
        <v>1</v>
      </c>
      <c r="O3964" s="204">
        <v>1</v>
      </c>
      <c r="P3964" s="204" t="s">
        <v>13628</v>
      </c>
      <c r="Q3964" s="572" t="s">
        <v>13629</v>
      </c>
      <c r="R3964" s="1209">
        <v>578</v>
      </c>
      <c r="S3964" s="1209">
        <f t="shared" ref="S3964:S3967" si="230">R3964*O3964</f>
        <v>578</v>
      </c>
      <c r="T3964" s="204" t="s">
        <v>4220</v>
      </c>
      <c r="U3964" s="1901" t="s">
        <v>4220</v>
      </c>
      <c r="V3964" s="572" t="s">
        <v>5604</v>
      </c>
      <c r="W3964" s="681" t="s">
        <v>13630</v>
      </c>
      <c r="X3964" s="18"/>
      <c r="Y3964" s="4"/>
      <c r="Z3964" s="4"/>
    </row>
    <row r="3965" spans="1:26" ht="14.1" hidden="1">
      <c r="A3965" s="20">
        <f t="shared" si="224"/>
        <v>3972</v>
      </c>
      <c r="B3965" s="1063">
        <v>43742</v>
      </c>
      <c r="C3965" s="934" t="s">
        <v>13631</v>
      </c>
      <c r="D3965" s="11" t="s">
        <v>6</v>
      </c>
      <c r="E3965" s="204" t="s">
        <v>683</v>
      </c>
      <c r="F3965" s="934" t="s">
        <v>10005</v>
      </c>
      <c r="G3965" s="204" t="s">
        <v>13624</v>
      </c>
      <c r="H3965" s="204" t="s">
        <v>13625</v>
      </c>
      <c r="I3965" s="204" t="s">
        <v>84</v>
      </c>
      <c r="J3965" s="204" t="s">
        <v>149</v>
      </c>
      <c r="K3965" s="204">
        <v>1135</v>
      </c>
      <c r="L3965" s="204" t="s">
        <v>13626</v>
      </c>
      <c r="M3965" s="204" t="s">
        <v>13627</v>
      </c>
      <c r="N3965" s="204">
        <v>1</v>
      </c>
      <c r="O3965" s="204">
        <v>1</v>
      </c>
      <c r="P3965" s="204" t="s">
        <v>13632</v>
      </c>
      <c r="Q3965" s="572" t="s">
        <v>13633</v>
      </c>
      <c r="R3965" s="1209">
        <v>578</v>
      </c>
      <c r="S3965" s="1209">
        <f t="shared" si="230"/>
        <v>578</v>
      </c>
      <c r="T3965" s="204" t="s">
        <v>4220</v>
      </c>
      <c r="U3965" s="1901" t="s">
        <v>4220</v>
      </c>
      <c r="V3965" s="572" t="s">
        <v>5604</v>
      </c>
      <c r="W3965" s="681" t="s">
        <v>13634</v>
      </c>
      <c r="X3965" s="18"/>
      <c r="Y3965" s="4"/>
      <c r="Z3965" s="4"/>
    </row>
    <row r="3966" spans="1:26" ht="14.1" hidden="1">
      <c r="A3966" s="20">
        <f t="shared" si="224"/>
        <v>3973</v>
      </c>
      <c r="B3966" s="1063">
        <v>43743</v>
      </c>
      <c r="C3966" s="934" t="s">
        <v>13635</v>
      </c>
      <c r="D3966" s="11" t="s">
        <v>6</v>
      </c>
      <c r="E3966" s="204" t="s">
        <v>683</v>
      </c>
      <c r="F3966" s="934" t="s">
        <v>10005</v>
      </c>
      <c r="G3966" s="204" t="s">
        <v>13636</v>
      </c>
      <c r="H3966" s="204" t="s">
        <v>13637</v>
      </c>
      <c r="I3966" s="204" t="s">
        <v>84</v>
      </c>
      <c r="J3966" s="204" t="s">
        <v>149</v>
      </c>
      <c r="K3966" s="204" t="s">
        <v>13638</v>
      </c>
      <c r="L3966" s="204" t="s">
        <v>13626</v>
      </c>
      <c r="M3966" s="204" t="s">
        <v>13627</v>
      </c>
      <c r="N3966" s="204">
        <v>1</v>
      </c>
      <c r="O3966" s="204">
        <v>1</v>
      </c>
      <c r="P3966" s="204" t="s">
        <v>13639</v>
      </c>
      <c r="Q3966" s="572" t="s">
        <v>13640</v>
      </c>
      <c r="R3966" s="1209">
        <v>489</v>
      </c>
      <c r="S3966" s="1209">
        <f t="shared" si="230"/>
        <v>489</v>
      </c>
      <c r="T3966" s="204" t="s">
        <v>4220</v>
      </c>
      <c r="U3966" s="1901" t="s">
        <v>4220</v>
      </c>
      <c r="V3966" s="572" t="s">
        <v>5604</v>
      </c>
      <c r="W3966" s="681" t="s">
        <v>13641</v>
      </c>
      <c r="X3966" s="18"/>
      <c r="Y3966" s="4"/>
      <c r="Z3966" s="4"/>
    </row>
    <row r="3967" spans="1:26" ht="14.1" hidden="1">
      <c r="A3967" s="20">
        <f t="shared" si="224"/>
        <v>3974</v>
      </c>
      <c r="B3967" s="1063">
        <v>43744</v>
      </c>
      <c r="C3967" s="934" t="s">
        <v>13642</v>
      </c>
      <c r="D3967" s="11" t="s">
        <v>6</v>
      </c>
      <c r="E3967" s="204" t="s">
        <v>683</v>
      </c>
      <c r="F3967" s="934" t="s">
        <v>10005</v>
      </c>
      <c r="G3967" s="204" t="s">
        <v>13643</v>
      </c>
      <c r="H3967" s="204" t="s">
        <v>7673</v>
      </c>
      <c r="I3967" s="204" t="s">
        <v>84</v>
      </c>
      <c r="J3967" s="204" t="s">
        <v>149</v>
      </c>
      <c r="K3967" s="204" t="s">
        <v>1521</v>
      </c>
      <c r="L3967" s="204" t="s">
        <v>13626</v>
      </c>
      <c r="M3967" s="204" t="s">
        <v>13644</v>
      </c>
      <c r="N3967" s="204">
        <v>1</v>
      </c>
      <c r="O3967" s="204">
        <v>1</v>
      </c>
      <c r="P3967" s="204" t="s">
        <v>13645</v>
      </c>
      <c r="Q3967" s="572" t="s">
        <v>13640</v>
      </c>
      <c r="R3967" s="1209">
        <v>429</v>
      </c>
      <c r="S3967" s="1209">
        <f t="shared" si="230"/>
        <v>429</v>
      </c>
      <c r="T3967" s="204" t="s">
        <v>4220</v>
      </c>
      <c r="U3967" s="1901" t="s">
        <v>4220</v>
      </c>
      <c r="V3967" s="572" t="s">
        <v>5604</v>
      </c>
      <c r="W3967" s="681" t="s">
        <v>13646</v>
      </c>
      <c r="X3967" s="18"/>
      <c r="Y3967" s="4"/>
      <c r="Z3967" s="4"/>
    </row>
    <row r="3968" spans="1:26" ht="14.1" hidden="1">
      <c r="A3968" s="20">
        <f t="shared" si="224"/>
        <v>3975</v>
      </c>
      <c r="B3968" s="1063">
        <v>43745</v>
      </c>
      <c r="C3968" s="934" t="s">
        <v>13647</v>
      </c>
      <c r="D3968" s="11" t="s">
        <v>6</v>
      </c>
      <c r="E3968" s="204" t="s">
        <v>13136</v>
      </c>
      <c r="F3968" s="934" t="s">
        <v>11434</v>
      </c>
      <c r="G3968" s="204" t="s">
        <v>1148</v>
      </c>
      <c r="H3968" s="204" t="s">
        <v>382</v>
      </c>
      <c r="I3968" s="204" t="s">
        <v>382</v>
      </c>
      <c r="J3968" s="204" t="s">
        <v>1148</v>
      </c>
      <c r="K3968" s="204" t="s">
        <v>1148</v>
      </c>
      <c r="L3968" s="204"/>
      <c r="M3968" s="204">
        <v>61</v>
      </c>
      <c r="N3968" s="204">
        <v>20</v>
      </c>
      <c r="O3968" s="204">
        <v>60</v>
      </c>
      <c r="P3968" s="204">
        <v>89</v>
      </c>
      <c r="Q3968" s="572">
        <v>150</v>
      </c>
      <c r="R3968" s="1209">
        <v>400</v>
      </c>
      <c r="S3968" s="1209">
        <v>1200</v>
      </c>
      <c r="T3968" s="204" t="s">
        <v>3961</v>
      </c>
      <c r="U3968" s="1901" t="s">
        <v>138</v>
      </c>
      <c r="V3968" s="572" t="s">
        <v>352</v>
      </c>
      <c r="W3968" s="681" t="s">
        <v>13648</v>
      </c>
      <c r="X3968" s="18"/>
      <c r="Y3968" s="4"/>
      <c r="Z3968" s="4"/>
    </row>
    <row r="3969" spans="1:26" ht="14.1" hidden="1">
      <c r="A3969" s="20">
        <f t="shared" si="224"/>
        <v>3976</v>
      </c>
      <c r="B3969" s="1063">
        <v>43746</v>
      </c>
      <c r="C3969" s="934" t="s">
        <v>13649</v>
      </c>
      <c r="D3969" s="11" t="s">
        <v>6</v>
      </c>
      <c r="E3969" s="204" t="s">
        <v>13136</v>
      </c>
      <c r="F3969" s="934" t="s">
        <v>11434</v>
      </c>
      <c r="G3969" s="204" t="s">
        <v>379</v>
      </c>
      <c r="H3969" s="204" t="s">
        <v>429</v>
      </c>
      <c r="I3969" s="204" t="s">
        <v>429</v>
      </c>
      <c r="J3969" s="204" t="s">
        <v>379</v>
      </c>
      <c r="K3969" s="204" t="s">
        <v>379</v>
      </c>
      <c r="L3969" s="204"/>
      <c r="M3969" s="204">
        <v>46</v>
      </c>
      <c r="N3969" s="204">
        <v>1</v>
      </c>
      <c r="O3969" s="204">
        <v>46</v>
      </c>
      <c r="P3969" s="204">
        <v>14</v>
      </c>
      <c r="Q3969" s="572">
        <v>60</v>
      </c>
      <c r="R3969" s="1209">
        <v>18</v>
      </c>
      <c r="S3969" s="1209">
        <v>1080</v>
      </c>
      <c r="T3969" s="204" t="s">
        <v>3961</v>
      </c>
      <c r="U3969" s="1901" t="s">
        <v>138</v>
      </c>
      <c r="V3969" s="572" t="s">
        <v>352</v>
      </c>
      <c r="W3969" s="681" t="s">
        <v>13650</v>
      </c>
      <c r="X3969" s="18"/>
      <c r="Y3969" s="4"/>
      <c r="Z3969" s="4"/>
    </row>
    <row r="3970" spans="1:26" ht="14.1" hidden="1">
      <c r="A3970" s="20">
        <f t="shared" si="224"/>
        <v>3977</v>
      </c>
      <c r="B3970" s="1063">
        <v>43747</v>
      </c>
      <c r="C3970" s="934" t="s">
        <v>13651</v>
      </c>
      <c r="D3970" s="11" t="s">
        <v>6</v>
      </c>
      <c r="E3970" s="204" t="s">
        <v>13136</v>
      </c>
      <c r="F3970" s="934" t="s">
        <v>11434</v>
      </c>
      <c r="G3970" s="204" t="s">
        <v>3281</v>
      </c>
      <c r="H3970" s="204" t="s">
        <v>1078</v>
      </c>
      <c r="I3970" s="204" t="s">
        <v>53</v>
      </c>
      <c r="J3970" s="204" t="s">
        <v>1079</v>
      </c>
      <c r="K3970" s="204" t="s">
        <v>1080</v>
      </c>
      <c r="L3970" s="204"/>
      <c r="M3970" s="204">
        <v>27</v>
      </c>
      <c r="N3970" s="204">
        <v>1</v>
      </c>
      <c r="O3970" s="204">
        <v>27</v>
      </c>
      <c r="P3970" s="204">
        <v>3</v>
      </c>
      <c r="Q3970" s="572">
        <v>30</v>
      </c>
      <c r="R3970" s="1209">
        <v>1053</v>
      </c>
      <c r="S3970" s="1209">
        <v>28432</v>
      </c>
      <c r="T3970" s="204" t="s">
        <v>3961</v>
      </c>
      <c r="U3970" s="1901" t="s">
        <v>138</v>
      </c>
      <c r="V3970" s="572" t="s">
        <v>352</v>
      </c>
      <c r="W3970" s="681" t="s">
        <v>13652</v>
      </c>
      <c r="X3970" s="18"/>
      <c r="Y3970" s="4"/>
      <c r="Z3970" s="4"/>
    </row>
    <row r="3971" spans="1:26" ht="14.1" hidden="1">
      <c r="A3971" s="20">
        <f t="shared" si="224"/>
        <v>3978</v>
      </c>
      <c r="B3971" s="1063">
        <v>43748</v>
      </c>
      <c r="C3971" s="934" t="s">
        <v>11807</v>
      </c>
      <c r="D3971" s="11" t="s">
        <v>6</v>
      </c>
      <c r="E3971" s="204" t="s">
        <v>13136</v>
      </c>
      <c r="F3971" s="934" t="s">
        <v>11434</v>
      </c>
      <c r="G3971" s="204" t="s">
        <v>13653</v>
      </c>
      <c r="H3971" s="204" t="s">
        <v>429</v>
      </c>
      <c r="I3971" s="204" t="s">
        <v>429</v>
      </c>
      <c r="J3971" s="204" t="s">
        <v>469</v>
      </c>
      <c r="K3971" s="204" t="s">
        <v>469</v>
      </c>
      <c r="L3971" s="204"/>
      <c r="M3971" s="204">
        <v>15</v>
      </c>
      <c r="N3971" s="204">
        <v>50</v>
      </c>
      <c r="O3971" s="204">
        <v>50</v>
      </c>
      <c r="P3971" s="204">
        <v>0</v>
      </c>
      <c r="Q3971" s="572">
        <v>50</v>
      </c>
      <c r="R3971" s="1209">
        <v>68</v>
      </c>
      <c r="S3971" s="1209">
        <v>3400</v>
      </c>
      <c r="T3971" s="204" t="s">
        <v>3961</v>
      </c>
      <c r="U3971" s="1901" t="s">
        <v>138</v>
      </c>
      <c r="V3971" s="572" t="s">
        <v>352</v>
      </c>
      <c r="W3971" s="681" t="s">
        <v>13654</v>
      </c>
      <c r="X3971" s="18"/>
      <c r="Y3971" s="4"/>
      <c r="Z3971" s="4"/>
    </row>
    <row r="3972" spans="1:26" ht="14.1" hidden="1">
      <c r="A3972" s="20">
        <f t="shared" si="224"/>
        <v>3979</v>
      </c>
      <c r="B3972" s="1063">
        <v>43749</v>
      </c>
      <c r="C3972" s="934" t="s">
        <v>13655</v>
      </c>
      <c r="D3972" s="11" t="s">
        <v>6</v>
      </c>
      <c r="E3972" s="204" t="s">
        <v>13136</v>
      </c>
      <c r="F3972" s="934" t="s">
        <v>11434</v>
      </c>
      <c r="G3972" s="204" t="s">
        <v>2604</v>
      </c>
      <c r="H3972" s="204" t="s">
        <v>382</v>
      </c>
      <c r="I3972" s="204" t="s">
        <v>382</v>
      </c>
      <c r="J3972" s="204" t="s">
        <v>2604</v>
      </c>
      <c r="K3972" s="204" t="s">
        <v>2604</v>
      </c>
      <c r="L3972" s="204"/>
      <c r="M3972" s="204">
        <v>9</v>
      </c>
      <c r="N3972" s="204">
        <v>10</v>
      </c>
      <c r="O3972" s="204">
        <v>10</v>
      </c>
      <c r="P3972" s="204">
        <v>21</v>
      </c>
      <c r="Q3972" s="572">
        <v>31</v>
      </c>
      <c r="R3972" s="1209">
        <v>1480</v>
      </c>
      <c r="S3972" s="1209">
        <v>1480</v>
      </c>
      <c r="T3972" s="204" t="s">
        <v>3961</v>
      </c>
      <c r="U3972" s="1901" t="s">
        <v>138</v>
      </c>
      <c r="V3972" s="572" t="s">
        <v>352</v>
      </c>
      <c r="W3972" s="681" t="s">
        <v>13656</v>
      </c>
      <c r="X3972" s="18"/>
      <c r="Y3972" s="4"/>
      <c r="Z3972" s="4"/>
    </row>
    <row r="3973" spans="1:26" ht="14.1" hidden="1">
      <c r="A3973" s="20">
        <f t="shared" si="224"/>
        <v>3980</v>
      </c>
      <c r="B3973" s="1063">
        <v>43750</v>
      </c>
      <c r="C3973" s="934" t="s">
        <v>13657</v>
      </c>
      <c r="D3973" s="11" t="s">
        <v>6</v>
      </c>
      <c r="E3973" s="204" t="s">
        <v>13136</v>
      </c>
      <c r="F3973" s="934" t="s">
        <v>11434</v>
      </c>
      <c r="G3973" s="204" t="s">
        <v>2595</v>
      </c>
      <c r="H3973" s="204" t="s">
        <v>382</v>
      </c>
      <c r="I3973" s="204" t="s">
        <v>382</v>
      </c>
      <c r="J3973" s="204" t="s">
        <v>2595</v>
      </c>
      <c r="K3973" s="204" t="s">
        <v>2595</v>
      </c>
      <c r="L3973" s="204"/>
      <c r="M3973" s="204">
        <v>91</v>
      </c>
      <c r="N3973" s="204">
        <v>10</v>
      </c>
      <c r="O3973" s="204">
        <v>100</v>
      </c>
      <c r="P3973" s="204">
        <v>21</v>
      </c>
      <c r="Q3973" s="572">
        <v>121</v>
      </c>
      <c r="R3973" s="1209">
        <v>800</v>
      </c>
      <c r="S3973" s="1209">
        <v>8000</v>
      </c>
      <c r="T3973" s="204" t="s">
        <v>3961</v>
      </c>
      <c r="U3973" s="1901" t="s">
        <v>138</v>
      </c>
      <c r="V3973" s="572" t="s">
        <v>352</v>
      </c>
      <c r="W3973" s="681" t="s">
        <v>2696</v>
      </c>
      <c r="X3973" s="18"/>
      <c r="Y3973" s="4"/>
      <c r="Z3973" s="4"/>
    </row>
    <row r="3974" spans="1:26" ht="14.1" hidden="1">
      <c r="A3974" s="20">
        <f t="shared" si="224"/>
        <v>3981</v>
      </c>
      <c r="B3974" s="1063">
        <v>43751</v>
      </c>
      <c r="C3974" s="934" t="s">
        <v>13658</v>
      </c>
      <c r="D3974" s="11" t="s">
        <v>6</v>
      </c>
      <c r="E3974" s="204" t="s">
        <v>13136</v>
      </c>
      <c r="F3974" s="934" t="s">
        <v>11434</v>
      </c>
      <c r="G3974" s="204" t="s">
        <v>2597</v>
      </c>
      <c r="H3974" s="204" t="s">
        <v>382</v>
      </c>
      <c r="I3974" s="204" t="s">
        <v>382</v>
      </c>
      <c r="J3974" s="204" t="s">
        <v>2597</v>
      </c>
      <c r="K3974" s="204" t="s">
        <v>2597</v>
      </c>
      <c r="L3974" s="204"/>
      <c r="M3974" s="204">
        <v>100</v>
      </c>
      <c r="N3974" s="204">
        <v>10</v>
      </c>
      <c r="O3974" s="204">
        <v>100</v>
      </c>
      <c r="P3974" s="204">
        <v>21</v>
      </c>
      <c r="Q3974" s="572">
        <v>121</v>
      </c>
      <c r="R3974" s="1209">
        <v>800</v>
      </c>
      <c r="S3974" s="1209">
        <v>8000</v>
      </c>
      <c r="T3974" s="204" t="s">
        <v>3961</v>
      </c>
      <c r="U3974" s="1901" t="s">
        <v>138</v>
      </c>
      <c r="V3974" s="572" t="s">
        <v>352</v>
      </c>
      <c r="W3974" s="681" t="s">
        <v>2696</v>
      </c>
      <c r="X3974" s="18"/>
      <c r="Y3974" s="4"/>
      <c r="Z3974" s="4"/>
    </row>
    <row r="3975" spans="1:26" ht="14.1" hidden="1">
      <c r="A3975" s="20">
        <f t="shared" si="224"/>
        <v>3982</v>
      </c>
      <c r="B3975" s="1063">
        <v>43752</v>
      </c>
      <c r="C3975" s="934" t="s">
        <v>13659</v>
      </c>
      <c r="D3975" s="11" t="s">
        <v>6</v>
      </c>
      <c r="E3975" s="204" t="s">
        <v>13136</v>
      </c>
      <c r="F3975" s="934" t="s">
        <v>11434</v>
      </c>
      <c r="G3975" s="204" t="s">
        <v>372</v>
      </c>
      <c r="H3975" s="204" t="s">
        <v>429</v>
      </c>
      <c r="I3975" s="204" t="s">
        <v>429</v>
      </c>
      <c r="J3975" s="204" t="s">
        <v>372</v>
      </c>
      <c r="K3975" s="204" t="s">
        <v>372</v>
      </c>
      <c r="L3975" s="204"/>
      <c r="M3975" s="204">
        <v>50</v>
      </c>
      <c r="N3975" s="204">
        <v>1</v>
      </c>
      <c r="O3975" s="204">
        <v>50</v>
      </c>
      <c r="P3975" s="204">
        <v>10</v>
      </c>
      <c r="Q3975" s="572">
        <v>60</v>
      </c>
      <c r="R3975" s="1209">
        <v>250</v>
      </c>
      <c r="S3975" s="1209">
        <v>12500</v>
      </c>
      <c r="T3975" s="204" t="s">
        <v>3961</v>
      </c>
      <c r="U3975" s="1901" t="s">
        <v>138</v>
      </c>
      <c r="V3975" s="572" t="s">
        <v>352</v>
      </c>
      <c r="W3975" s="681" t="s">
        <v>13660</v>
      </c>
      <c r="X3975" s="18"/>
      <c r="Y3975" s="4"/>
      <c r="Z3975" s="4"/>
    </row>
    <row r="3976" spans="1:26" ht="14.1" hidden="1">
      <c r="A3976" s="20">
        <f t="shared" si="224"/>
        <v>3983</v>
      </c>
      <c r="B3976" s="1063">
        <v>43753</v>
      </c>
      <c r="C3976" s="934" t="s">
        <v>1083</v>
      </c>
      <c r="D3976" s="11" t="s">
        <v>6</v>
      </c>
      <c r="E3976" s="204" t="s">
        <v>13136</v>
      </c>
      <c r="F3976" s="934" t="s">
        <v>11434</v>
      </c>
      <c r="G3976" s="204" t="s">
        <v>12336</v>
      </c>
      <c r="H3976" s="204" t="s">
        <v>1085</v>
      </c>
      <c r="I3976" s="204" t="s">
        <v>53</v>
      </c>
      <c r="J3976" s="204" t="s">
        <v>1086</v>
      </c>
      <c r="K3976" s="204" t="s">
        <v>1087</v>
      </c>
      <c r="L3976" s="204"/>
      <c r="M3976" s="204">
        <v>28</v>
      </c>
      <c r="N3976" s="204">
        <v>1</v>
      </c>
      <c r="O3976" s="204">
        <v>28</v>
      </c>
      <c r="P3976" s="204">
        <v>2</v>
      </c>
      <c r="Q3976" s="572">
        <v>30</v>
      </c>
      <c r="R3976" s="1209">
        <v>1227</v>
      </c>
      <c r="S3976" s="1209">
        <v>34363</v>
      </c>
      <c r="T3976" s="204" t="s">
        <v>3961</v>
      </c>
      <c r="U3976" s="1901" t="s">
        <v>138</v>
      </c>
      <c r="V3976" s="572" t="s">
        <v>352</v>
      </c>
      <c r="W3976" s="681" t="s">
        <v>13661</v>
      </c>
      <c r="X3976" s="18"/>
      <c r="Y3976" s="4"/>
      <c r="Z3976" s="4"/>
    </row>
    <row r="3977" spans="1:26" ht="14.1" hidden="1">
      <c r="A3977" s="20">
        <f t="shared" si="224"/>
        <v>3984</v>
      </c>
      <c r="B3977" s="1063">
        <v>43754</v>
      </c>
      <c r="C3977" s="934" t="s">
        <v>13662</v>
      </c>
      <c r="D3977" s="11" t="s">
        <v>6</v>
      </c>
      <c r="E3977" s="204" t="s">
        <v>13136</v>
      </c>
      <c r="F3977" s="934" t="s">
        <v>11434</v>
      </c>
      <c r="G3977" s="204" t="s">
        <v>13663</v>
      </c>
      <c r="H3977" s="204" t="s">
        <v>243</v>
      </c>
      <c r="I3977" s="204" t="s">
        <v>53</v>
      </c>
      <c r="J3977" s="204" t="s">
        <v>13492</v>
      </c>
      <c r="K3977" s="204" t="s">
        <v>1914</v>
      </c>
      <c r="L3977" s="204"/>
      <c r="M3977" s="204">
        <v>11</v>
      </c>
      <c r="N3977" s="204">
        <v>1</v>
      </c>
      <c r="O3977" s="204">
        <v>11</v>
      </c>
      <c r="P3977" s="204">
        <v>4</v>
      </c>
      <c r="Q3977" s="572">
        <v>15</v>
      </c>
      <c r="R3977" s="1209">
        <v>224</v>
      </c>
      <c r="S3977" s="1209">
        <v>2470</v>
      </c>
      <c r="T3977" s="204" t="s">
        <v>3961</v>
      </c>
      <c r="U3977" s="1901" t="s">
        <v>138</v>
      </c>
      <c r="V3977" s="572" t="s">
        <v>352</v>
      </c>
      <c r="W3977" s="681" t="s">
        <v>13664</v>
      </c>
      <c r="X3977" s="18"/>
      <c r="Y3977" s="4"/>
      <c r="Z3977" s="4"/>
    </row>
    <row r="3978" spans="1:26" ht="14.1" hidden="1">
      <c r="A3978" s="20">
        <f t="shared" si="224"/>
        <v>3985</v>
      </c>
      <c r="B3978" s="1063">
        <v>43755</v>
      </c>
      <c r="C3978" s="934" t="s">
        <v>13665</v>
      </c>
      <c r="D3978" s="11" t="s">
        <v>6</v>
      </c>
      <c r="E3978" s="204" t="s">
        <v>13136</v>
      </c>
      <c r="F3978" s="934" t="s">
        <v>11434</v>
      </c>
      <c r="G3978" s="204" t="s">
        <v>13666</v>
      </c>
      <c r="H3978" s="204" t="s">
        <v>348</v>
      </c>
      <c r="I3978" s="204" t="s">
        <v>53</v>
      </c>
      <c r="J3978" s="204" t="s">
        <v>2338</v>
      </c>
      <c r="K3978" s="204" t="s">
        <v>2339</v>
      </c>
      <c r="L3978" s="204"/>
      <c r="M3978" s="204">
        <v>11</v>
      </c>
      <c r="N3978" s="204">
        <v>1</v>
      </c>
      <c r="O3978" s="204">
        <v>11</v>
      </c>
      <c r="P3978" s="204">
        <v>4</v>
      </c>
      <c r="Q3978" s="572">
        <v>15</v>
      </c>
      <c r="R3978" s="1209">
        <v>276</v>
      </c>
      <c r="S3978" s="1209">
        <v>3035</v>
      </c>
      <c r="T3978" s="204" t="s">
        <v>3961</v>
      </c>
      <c r="U3978" s="1901" t="s">
        <v>138</v>
      </c>
      <c r="V3978" s="572" t="s">
        <v>352</v>
      </c>
      <c r="W3978" s="681" t="s">
        <v>13667</v>
      </c>
      <c r="X3978" s="18"/>
      <c r="Y3978" s="4"/>
      <c r="Z3978" s="4"/>
    </row>
    <row r="3979" spans="1:26" ht="14.1" hidden="1">
      <c r="A3979" s="20">
        <f t="shared" si="224"/>
        <v>3986</v>
      </c>
      <c r="B3979" s="1063">
        <v>43756</v>
      </c>
      <c r="C3979" s="934"/>
      <c r="D3979" s="37"/>
      <c r="E3979" s="204"/>
      <c r="F3979" s="934"/>
      <c r="G3979" s="204"/>
      <c r="H3979" s="204"/>
      <c r="I3979" s="204"/>
      <c r="J3979" s="204"/>
      <c r="K3979" s="204"/>
      <c r="L3979" s="204"/>
      <c r="M3979" s="204"/>
      <c r="N3979" s="204"/>
      <c r="O3979" s="204"/>
      <c r="P3979" s="204"/>
      <c r="Q3979" s="572"/>
      <c r="R3979" s="1209"/>
      <c r="S3979" s="1209"/>
      <c r="T3979" s="204"/>
      <c r="U3979" s="1901"/>
      <c r="V3979" s="572"/>
      <c r="W3979" s="681"/>
      <c r="X3979" s="18"/>
      <c r="Y3979" s="4"/>
      <c r="Z3979" s="4"/>
    </row>
    <row r="3980" spans="1:26" ht="24.75" hidden="1" customHeight="1">
      <c r="A3980" s="20">
        <f t="shared" si="224"/>
        <v>3987</v>
      </c>
      <c r="B3980" s="1063">
        <v>43757</v>
      </c>
      <c r="C3980" s="934" t="s">
        <v>2034</v>
      </c>
      <c r="D3980" s="37" t="s">
        <v>13668</v>
      </c>
      <c r="E3980" s="204" t="s">
        <v>13136</v>
      </c>
      <c r="F3980" s="934" t="s">
        <v>11559</v>
      </c>
      <c r="G3980" s="513" t="s">
        <v>13669</v>
      </c>
      <c r="H3980" s="204" t="s">
        <v>13670</v>
      </c>
      <c r="I3980" s="204" t="s">
        <v>39</v>
      </c>
      <c r="J3980" s="204" t="s">
        <v>2035</v>
      </c>
      <c r="K3980" s="204" t="s">
        <v>2034</v>
      </c>
      <c r="L3980" s="204"/>
      <c r="M3980" s="204">
        <v>7</v>
      </c>
      <c r="N3980" s="204">
        <v>1</v>
      </c>
      <c r="O3980" s="204">
        <v>7</v>
      </c>
      <c r="P3980" s="204">
        <v>3</v>
      </c>
      <c r="Q3980" s="572">
        <v>10</v>
      </c>
      <c r="R3980" s="1209" t="s">
        <v>13671</v>
      </c>
      <c r="S3980" s="1209" t="s">
        <v>13672</v>
      </c>
      <c r="T3980" s="204" t="s">
        <v>3961</v>
      </c>
      <c r="U3980" s="1901" t="s">
        <v>1886</v>
      </c>
      <c r="V3980" s="572" t="s">
        <v>352</v>
      </c>
      <c r="W3980" s="804" t="s">
        <v>13673</v>
      </c>
      <c r="X3980" s="18"/>
      <c r="Y3980" s="4"/>
      <c r="Z3980" s="4"/>
    </row>
    <row r="3981" spans="1:26" ht="14.1" hidden="1">
      <c r="A3981" s="20">
        <f t="shared" si="224"/>
        <v>3988</v>
      </c>
      <c r="B3981" s="1063">
        <v>43758</v>
      </c>
      <c r="C3981" s="934"/>
      <c r="D3981" s="37"/>
      <c r="E3981" s="204"/>
      <c r="F3981" s="934"/>
      <c r="G3981" s="204"/>
      <c r="H3981" s="204"/>
      <c r="I3981" s="204"/>
      <c r="J3981" s="204"/>
      <c r="K3981" s="204"/>
      <c r="L3981" s="204"/>
      <c r="M3981" s="204"/>
      <c r="N3981" s="204"/>
      <c r="O3981" s="204"/>
      <c r="P3981" s="204"/>
      <c r="Q3981" s="572"/>
      <c r="R3981" s="1209"/>
      <c r="S3981" s="1209"/>
      <c r="T3981" s="204"/>
      <c r="U3981" s="1901"/>
      <c r="V3981" s="572"/>
      <c r="W3981" s="804"/>
      <c r="X3981" s="18"/>
      <c r="Y3981" s="4"/>
      <c r="Z3981" s="4"/>
    </row>
    <row r="3982" spans="1:26" ht="14.1" hidden="1">
      <c r="A3982" s="20">
        <f t="shared" si="224"/>
        <v>3989</v>
      </c>
      <c r="B3982" s="1063">
        <v>43759</v>
      </c>
      <c r="C3982" s="934" t="s">
        <v>13674</v>
      </c>
      <c r="D3982" s="11" t="s">
        <v>6</v>
      </c>
      <c r="E3982" s="204" t="s">
        <v>62</v>
      </c>
      <c r="F3982" s="934" t="s">
        <v>2876</v>
      </c>
      <c r="G3982" s="204" t="s">
        <v>13675</v>
      </c>
      <c r="H3982" s="204" t="s">
        <v>13676</v>
      </c>
      <c r="I3982" s="204" t="s">
        <v>1022</v>
      </c>
      <c r="J3982" s="204"/>
      <c r="K3982" s="204"/>
      <c r="L3982" s="204" t="s">
        <v>13677</v>
      </c>
      <c r="M3982" s="204">
        <v>1</v>
      </c>
      <c r="N3982" s="204">
        <v>1</v>
      </c>
      <c r="O3982" s="204">
        <v>1</v>
      </c>
      <c r="P3982" s="204">
        <v>0</v>
      </c>
      <c r="Q3982" s="572">
        <v>1</v>
      </c>
      <c r="R3982" s="1209">
        <v>22000</v>
      </c>
      <c r="S3982" s="1273">
        <f t="shared" ref="S3982:S3983" si="231">O3982*R3982</f>
        <v>22000</v>
      </c>
      <c r="T3982" s="204" t="s">
        <v>13678</v>
      </c>
      <c r="U3982" s="1901" t="s">
        <v>13678</v>
      </c>
      <c r="V3982" s="572" t="s">
        <v>1141</v>
      </c>
      <c r="W3982" s="681" t="s">
        <v>13679</v>
      </c>
      <c r="X3982" s="18"/>
      <c r="Y3982" s="4"/>
      <c r="Z3982" s="4"/>
    </row>
    <row r="3983" spans="1:26" ht="14.1" hidden="1">
      <c r="A3983" s="20">
        <f t="shared" si="224"/>
        <v>3990</v>
      </c>
      <c r="B3983" s="1063">
        <v>43760</v>
      </c>
      <c r="C3983" s="934" t="s">
        <v>13680</v>
      </c>
      <c r="D3983" s="11" t="s">
        <v>6</v>
      </c>
      <c r="E3983" s="204" t="s">
        <v>62</v>
      </c>
      <c r="F3983" s="934" t="s">
        <v>2876</v>
      </c>
      <c r="G3983" s="204" t="s">
        <v>13681</v>
      </c>
      <c r="H3983" s="450" t="s">
        <v>13682</v>
      </c>
      <c r="I3983" s="204" t="s">
        <v>1022</v>
      </c>
      <c r="J3983" s="450" t="s">
        <v>13683</v>
      </c>
      <c r="K3983" s="204"/>
      <c r="L3983" s="204"/>
      <c r="M3983" s="204" t="s">
        <v>13684</v>
      </c>
      <c r="N3983" s="204">
        <v>1</v>
      </c>
      <c r="O3983" s="204">
        <v>1</v>
      </c>
      <c r="P3983" s="204">
        <v>6</v>
      </c>
      <c r="Q3983" s="572" t="s">
        <v>13685</v>
      </c>
      <c r="R3983" s="1209">
        <v>1143</v>
      </c>
      <c r="S3983" s="1273">
        <f t="shared" si="231"/>
        <v>1143</v>
      </c>
      <c r="T3983" s="204" t="s">
        <v>13678</v>
      </c>
      <c r="U3983" s="1901" t="s">
        <v>422</v>
      </c>
      <c r="V3983" s="572" t="s">
        <v>1141</v>
      </c>
      <c r="W3983" s="681" t="s">
        <v>13686</v>
      </c>
      <c r="X3983" s="18"/>
      <c r="Y3983" s="4"/>
      <c r="Z3983" s="4"/>
    </row>
    <row r="3984" spans="1:26" ht="14.1" hidden="1">
      <c r="A3984" s="20">
        <f t="shared" si="224"/>
        <v>3991</v>
      </c>
      <c r="B3984" s="1063">
        <v>43761</v>
      </c>
      <c r="C3984" s="934" t="s">
        <v>13687</v>
      </c>
      <c r="D3984" s="11" t="s">
        <v>6</v>
      </c>
      <c r="E3984" s="204" t="s">
        <v>62</v>
      </c>
      <c r="F3984" s="934" t="s">
        <v>2876</v>
      </c>
      <c r="G3984" s="204" t="s">
        <v>13688</v>
      </c>
      <c r="H3984" s="204" t="s">
        <v>13689</v>
      </c>
      <c r="I3984" s="204" t="s">
        <v>1022</v>
      </c>
      <c r="J3984" s="204"/>
      <c r="K3984" s="204"/>
      <c r="L3984" s="204"/>
      <c r="M3984" s="204" t="s">
        <v>13690</v>
      </c>
      <c r="N3984" s="204">
        <v>1</v>
      </c>
      <c r="O3984" s="204">
        <v>1</v>
      </c>
      <c r="P3984" s="204">
        <v>1</v>
      </c>
      <c r="Q3984" s="572" t="s">
        <v>13691</v>
      </c>
      <c r="R3984" s="1209"/>
      <c r="S3984" s="1209">
        <v>1768</v>
      </c>
      <c r="T3984" s="204" t="s">
        <v>422</v>
      </c>
      <c r="U3984" s="1901" t="s">
        <v>422</v>
      </c>
      <c r="V3984" s="572" t="s">
        <v>1141</v>
      </c>
      <c r="W3984" s="681" t="s">
        <v>13692</v>
      </c>
      <c r="X3984" s="18"/>
      <c r="Y3984" s="4"/>
      <c r="Z3984" s="4"/>
    </row>
    <row r="3985" spans="1:26" ht="14.1" hidden="1">
      <c r="A3985" s="20">
        <f t="shared" si="224"/>
        <v>3992</v>
      </c>
      <c r="B3985" s="1063">
        <v>43762</v>
      </c>
      <c r="C3985" s="934" t="s">
        <v>8112</v>
      </c>
      <c r="D3985" s="11" t="s">
        <v>6</v>
      </c>
      <c r="E3985" s="204" t="s">
        <v>4951</v>
      </c>
      <c r="F3985" s="934" t="s">
        <v>11323</v>
      </c>
      <c r="G3985" s="204" t="s">
        <v>13253</v>
      </c>
      <c r="H3985" s="204" t="s">
        <v>3898</v>
      </c>
      <c r="I3985" s="204" t="s">
        <v>574</v>
      </c>
      <c r="J3985" s="204" t="s">
        <v>933</v>
      </c>
      <c r="K3985" s="204" t="s">
        <v>8112</v>
      </c>
      <c r="L3985" s="204"/>
      <c r="M3985" s="204">
        <v>24</v>
      </c>
      <c r="N3985" s="204">
        <v>1</v>
      </c>
      <c r="O3985" s="204">
        <v>40</v>
      </c>
      <c r="P3985" s="204">
        <v>23</v>
      </c>
      <c r="Q3985" s="572">
        <v>53</v>
      </c>
      <c r="R3985" s="1209">
        <v>534</v>
      </c>
      <c r="S3985" s="1209">
        <f t="shared" ref="S3985:S3988" si="232">O3985*R3985</f>
        <v>21360</v>
      </c>
      <c r="T3985" s="204" t="s">
        <v>3961</v>
      </c>
      <c r="U3985" s="1901" t="s">
        <v>3637</v>
      </c>
      <c r="V3985" s="572" t="s">
        <v>352</v>
      </c>
      <c r="W3985" s="681" t="s">
        <v>12297</v>
      </c>
      <c r="X3985" s="18"/>
      <c r="Y3985" s="4"/>
      <c r="Z3985" s="4"/>
    </row>
    <row r="3986" spans="1:26" ht="14.1" hidden="1">
      <c r="A3986" s="20">
        <f t="shared" si="224"/>
        <v>3993</v>
      </c>
      <c r="B3986" s="1063">
        <v>43763</v>
      </c>
      <c r="C3986" s="934">
        <v>554600272</v>
      </c>
      <c r="D3986" s="11" t="s">
        <v>6</v>
      </c>
      <c r="E3986" s="204" t="s">
        <v>4951</v>
      </c>
      <c r="F3986" s="934" t="s">
        <v>11323</v>
      </c>
      <c r="G3986" s="204" t="s">
        <v>13693</v>
      </c>
      <c r="H3986" s="204" t="s">
        <v>1143</v>
      </c>
      <c r="I3986" s="204" t="s">
        <v>574</v>
      </c>
      <c r="J3986" s="204" t="s">
        <v>3640</v>
      </c>
      <c r="K3986" s="204">
        <v>554600272</v>
      </c>
      <c r="L3986" s="204"/>
      <c r="M3986" s="204">
        <v>25</v>
      </c>
      <c r="N3986" s="204">
        <v>1</v>
      </c>
      <c r="O3986" s="204">
        <v>30</v>
      </c>
      <c r="P3986" s="204">
        <v>0</v>
      </c>
      <c r="Q3986" s="572">
        <v>30</v>
      </c>
      <c r="R3986" s="1209">
        <v>122</v>
      </c>
      <c r="S3986" s="1209">
        <f t="shared" si="232"/>
        <v>3660</v>
      </c>
      <c r="T3986" s="204" t="s">
        <v>3961</v>
      </c>
      <c r="U3986" s="1901" t="s">
        <v>3637</v>
      </c>
      <c r="V3986" s="572" t="s">
        <v>352</v>
      </c>
      <c r="W3986" s="804" t="s">
        <v>13694</v>
      </c>
      <c r="X3986" s="18"/>
      <c r="Y3986" s="4"/>
      <c r="Z3986" s="4"/>
    </row>
    <row r="3987" spans="1:26" ht="14.1" hidden="1">
      <c r="A3987" s="20">
        <f t="shared" si="224"/>
        <v>3994</v>
      </c>
      <c r="B3987" s="1063">
        <v>43764</v>
      </c>
      <c r="C3987" s="934" t="s">
        <v>13695</v>
      </c>
      <c r="D3987" s="11" t="s">
        <v>6</v>
      </c>
      <c r="E3987" s="204" t="s">
        <v>4951</v>
      </c>
      <c r="F3987" s="934" t="s">
        <v>11323</v>
      </c>
      <c r="G3987" s="204" t="s">
        <v>13696</v>
      </c>
      <c r="H3987" s="204" t="s">
        <v>641</v>
      </c>
      <c r="I3987" s="204" t="s">
        <v>574</v>
      </c>
      <c r="J3987" s="204" t="s">
        <v>13697</v>
      </c>
      <c r="K3987" s="204" t="s">
        <v>13695</v>
      </c>
      <c r="L3987" s="204"/>
      <c r="M3987" s="204">
        <v>4</v>
      </c>
      <c r="N3987" s="204">
        <v>1</v>
      </c>
      <c r="O3987" s="204">
        <v>10</v>
      </c>
      <c r="P3987" s="204">
        <v>0</v>
      </c>
      <c r="Q3987" s="572">
        <v>10</v>
      </c>
      <c r="R3987" s="1209">
        <v>12.7</v>
      </c>
      <c r="S3987" s="1209">
        <f t="shared" si="232"/>
        <v>127</v>
      </c>
      <c r="T3987" s="204" t="s">
        <v>3961</v>
      </c>
      <c r="U3987" s="1901" t="s">
        <v>3637</v>
      </c>
      <c r="V3987" s="572" t="s">
        <v>352</v>
      </c>
      <c r="W3987" s="804" t="s">
        <v>13698</v>
      </c>
      <c r="X3987" s="18"/>
      <c r="Y3987" s="4"/>
      <c r="Z3987" s="4"/>
    </row>
    <row r="3988" spans="1:26" ht="14.1" hidden="1">
      <c r="A3988" s="20">
        <f t="shared" si="224"/>
        <v>3995</v>
      </c>
      <c r="B3988" s="1063">
        <v>43765</v>
      </c>
      <c r="C3988" s="934" t="s">
        <v>1991</v>
      </c>
      <c r="D3988" s="11" t="s">
        <v>6</v>
      </c>
      <c r="E3988" s="204" t="s">
        <v>4951</v>
      </c>
      <c r="F3988" s="934" t="s">
        <v>11323</v>
      </c>
      <c r="G3988" s="204" t="s">
        <v>9723</v>
      </c>
      <c r="H3988" s="204" t="s">
        <v>1853</v>
      </c>
      <c r="I3988" s="204" t="s">
        <v>574</v>
      </c>
      <c r="J3988" s="204" t="s">
        <v>599</v>
      </c>
      <c r="K3988" s="204" t="s">
        <v>1991</v>
      </c>
      <c r="L3988" s="204"/>
      <c r="M3988" s="204">
        <v>4</v>
      </c>
      <c r="N3988" s="204">
        <v>1</v>
      </c>
      <c r="O3988" s="204">
        <v>10</v>
      </c>
      <c r="P3988" s="204">
        <v>0</v>
      </c>
      <c r="Q3988" s="572">
        <v>10</v>
      </c>
      <c r="R3988" s="1209">
        <v>21</v>
      </c>
      <c r="S3988" s="1209">
        <f t="shared" si="232"/>
        <v>210</v>
      </c>
      <c r="T3988" s="204" t="s">
        <v>3961</v>
      </c>
      <c r="U3988" s="1901" t="s">
        <v>3637</v>
      </c>
      <c r="V3988" s="572" t="s">
        <v>352</v>
      </c>
      <c r="W3988" s="804" t="s">
        <v>602</v>
      </c>
      <c r="X3988" s="18"/>
      <c r="Y3988" s="4"/>
      <c r="Z3988" s="4"/>
    </row>
    <row r="3989" spans="1:26" ht="14.1" hidden="1">
      <c r="A3989" s="20">
        <f t="shared" si="224"/>
        <v>3996</v>
      </c>
      <c r="B3989" s="1063">
        <v>43766</v>
      </c>
      <c r="C3989" s="934" t="s">
        <v>13699</v>
      </c>
      <c r="D3989" s="11" t="s">
        <v>6</v>
      </c>
      <c r="E3989" s="204" t="s">
        <v>4951</v>
      </c>
      <c r="F3989" s="934" t="s">
        <v>11323</v>
      </c>
      <c r="G3989" s="204" t="s">
        <v>13700</v>
      </c>
      <c r="H3989" s="204" t="s">
        <v>468</v>
      </c>
      <c r="I3989" s="204" t="s">
        <v>322</v>
      </c>
      <c r="J3989" s="204">
        <v>26340378</v>
      </c>
      <c r="K3989" s="204" t="s">
        <v>13701</v>
      </c>
      <c r="L3989" s="204"/>
      <c r="M3989" s="204">
        <v>5</v>
      </c>
      <c r="N3989" s="204">
        <v>50</v>
      </c>
      <c r="O3989" s="204">
        <v>50</v>
      </c>
      <c r="P3989" s="204">
        <v>0</v>
      </c>
      <c r="Q3989" s="572">
        <v>5</v>
      </c>
      <c r="R3989" s="1209">
        <v>1529</v>
      </c>
      <c r="S3989" s="1209">
        <f>R3989</f>
        <v>1529</v>
      </c>
      <c r="T3989" s="204" t="s">
        <v>3961</v>
      </c>
      <c r="U3989" s="1901" t="s">
        <v>3637</v>
      </c>
      <c r="V3989" s="572" t="s">
        <v>352</v>
      </c>
      <c r="W3989" s="804" t="s">
        <v>13702</v>
      </c>
      <c r="X3989" s="18"/>
      <c r="Y3989" s="4"/>
      <c r="Z3989" s="4"/>
    </row>
    <row r="3990" spans="1:26" ht="14.1" hidden="1">
      <c r="A3990" s="20">
        <f t="shared" si="224"/>
        <v>3997</v>
      </c>
      <c r="B3990" s="1063">
        <v>43767</v>
      </c>
      <c r="C3990" s="934" t="s">
        <v>13703</v>
      </c>
      <c r="D3990" s="11" t="s">
        <v>6</v>
      </c>
      <c r="E3990" s="204" t="s">
        <v>683</v>
      </c>
      <c r="F3990" s="934" t="s">
        <v>9454</v>
      </c>
      <c r="G3990" s="204" t="s">
        <v>13704</v>
      </c>
      <c r="H3990" s="204" t="s">
        <v>12071</v>
      </c>
      <c r="I3990" s="204" t="s">
        <v>76</v>
      </c>
      <c r="J3990" s="204">
        <v>8435560</v>
      </c>
      <c r="K3990" s="204">
        <v>4540653241529</v>
      </c>
      <c r="L3990" s="204"/>
      <c r="M3990" s="204">
        <v>5</v>
      </c>
      <c r="N3990" s="204">
        <v>1</v>
      </c>
      <c r="O3990" s="204">
        <v>5</v>
      </c>
      <c r="P3990" s="204">
        <v>0</v>
      </c>
      <c r="Q3990" s="572">
        <v>5</v>
      </c>
      <c r="R3990" s="1209">
        <v>998</v>
      </c>
      <c r="S3990" s="1209">
        <v>4990</v>
      </c>
      <c r="T3990" s="204" t="s">
        <v>3961</v>
      </c>
      <c r="U3990" s="1901" t="s">
        <v>301</v>
      </c>
      <c r="V3990" s="572" t="s">
        <v>3342</v>
      </c>
      <c r="W3990" s="804" t="s">
        <v>13705</v>
      </c>
      <c r="X3990" s="18"/>
      <c r="Y3990" s="4"/>
      <c r="Z3990" s="4"/>
    </row>
    <row r="3991" spans="1:26" ht="14.1" hidden="1">
      <c r="A3991" s="20">
        <f t="shared" si="224"/>
        <v>3998</v>
      </c>
      <c r="B3991" s="1063">
        <v>43768</v>
      </c>
      <c r="C3991" s="934" t="s">
        <v>13706</v>
      </c>
      <c r="D3991" s="11" t="s">
        <v>6</v>
      </c>
      <c r="E3991" s="204" t="s">
        <v>683</v>
      </c>
      <c r="F3991" s="934" t="s">
        <v>9454</v>
      </c>
      <c r="G3991" s="204" t="s">
        <v>13707</v>
      </c>
      <c r="H3991" s="204" t="s">
        <v>12071</v>
      </c>
      <c r="I3991" s="204" t="s">
        <v>76</v>
      </c>
      <c r="J3991" s="204">
        <v>1260069</v>
      </c>
      <c r="K3991" s="204">
        <v>4540653241543</v>
      </c>
      <c r="L3991" s="204"/>
      <c r="M3991" s="204">
        <v>10</v>
      </c>
      <c r="N3991" s="204">
        <v>1</v>
      </c>
      <c r="O3991" s="204">
        <v>10</v>
      </c>
      <c r="P3991" s="204">
        <v>1</v>
      </c>
      <c r="Q3991" s="572">
        <v>11</v>
      </c>
      <c r="R3991" s="1209">
        <v>1180</v>
      </c>
      <c r="S3991" s="1209">
        <v>11800</v>
      </c>
      <c r="T3991" s="204" t="s">
        <v>3961</v>
      </c>
      <c r="U3991" s="1901" t="s">
        <v>301</v>
      </c>
      <c r="V3991" s="572" t="s">
        <v>3342</v>
      </c>
      <c r="W3991" s="804" t="s">
        <v>13708</v>
      </c>
      <c r="X3991" s="18"/>
      <c r="Y3991" s="4"/>
      <c r="Z3991" s="4"/>
    </row>
    <row r="3992" spans="1:26" ht="14.1" hidden="1">
      <c r="A3992" s="20">
        <f t="shared" si="224"/>
        <v>3999</v>
      </c>
      <c r="B3992" s="1063">
        <v>43769</v>
      </c>
      <c r="C3992" s="934" t="s">
        <v>13703</v>
      </c>
      <c r="D3992" s="11" t="s">
        <v>6</v>
      </c>
      <c r="E3992" s="204" t="s">
        <v>683</v>
      </c>
      <c r="F3992" s="934" t="s">
        <v>9454</v>
      </c>
      <c r="G3992" s="204" t="s">
        <v>13709</v>
      </c>
      <c r="H3992" s="204" t="s">
        <v>12071</v>
      </c>
      <c r="I3992" s="204" t="s">
        <v>76</v>
      </c>
      <c r="J3992" s="204">
        <v>8435597</v>
      </c>
      <c r="K3992" s="204">
        <v>4540653241567</v>
      </c>
      <c r="L3992" s="204"/>
      <c r="M3992" s="204">
        <v>10</v>
      </c>
      <c r="N3992" s="204">
        <v>1</v>
      </c>
      <c r="O3992" s="204">
        <v>10</v>
      </c>
      <c r="P3992" s="204">
        <v>1</v>
      </c>
      <c r="Q3992" s="572">
        <v>11</v>
      </c>
      <c r="R3992" s="1209">
        <v>998</v>
      </c>
      <c r="S3992" s="1209">
        <v>9980</v>
      </c>
      <c r="T3992" s="204" t="s">
        <v>3961</v>
      </c>
      <c r="U3992" s="1901" t="s">
        <v>301</v>
      </c>
      <c r="V3992" s="572" t="s">
        <v>3342</v>
      </c>
      <c r="W3992" s="804" t="s">
        <v>13710</v>
      </c>
      <c r="X3992" s="18"/>
      <c r="Y3992" s="4"/>
      <c r="Z3992" s="4"/>
    </row>
    <row r="3993" spans="1:26" ht="14.1" hidden="1">
      <c r="A3993" s="20">
        <f t="shared" si="224"/>
        <v>4000</v>
      </c>
      <c r="B3993" s="1063">
        <v>43770</v>
      </c>
      <c r="C3993" s="934" t="s">
        <v>13711</v>
      </c>
      <c r="D3993" s="11" t="s">
        <v>6</v>
      </c>
      <c r="E3993" s="204" t="s">
        <v>683</v>
      </c>
      <c r="F3993" s="934" t="s">
        <v>9454</v>
      </c>
      <c r="G3993" s="204" t="s">
        <v>13712</v>
      </c>
      <c r="H3993" s="204" t="s">
        <v>1177</v>
      </c>
      <c r="I3993" s="204" t="s">
        <v>76</v>
      </c>
      <c r="J3993" s="204" t="s">
        <v>13713</v>
      </c>
      <c r="K3993" s="204">
        <v>4906554152942</v>
      </c>
      <c r="L3993" s="204"/>
      <c r="M3993" s="204">
        <v>1</v>
      </c>
      <c r="N3993" s="204">
        <v>1</v>
      </c>
      <c r="O3993" s="204">
        <v>1</v>
      </c>
      <c r="P3993" s="204">
        <v>0</v>
      </c>
      <c r="Q3993" s="572">
        <v>1</v>
      </c>
      <c r="R3993" s="1209">
        <v>980</v>
      </c>
      <c r="S3993" s="1209">
        <v>980</v>
      </c>
      <c r="T3993" s="204" t="s">
        <v>3961</v>
      </c>
      <c r="U3993" s="1901" t="s">
        <v>301</v>
      </c>
      <c r="V3993" s="572" t="s">
        <v>3342</v>
      </c>
      <c r="W3993" s="804" t="s">
        <v>9795</v>
      </c>
      <c r="X3993" s="18"/>
      <c r="Y3993" s="4"/>
      <c r="Z3993" s="4"/>
    </row>
    <row r="3994" spans="1:26" ht="14.1" hidden="1">
      <c r="A3994" s="20">
        <f t="shared" si="224"/>
        <v>4001</v>
      </c>
      <c r="B3994" s="1063">
        <v>43771</v>
      </c>
      <c r="C3994" s="934" t="s">
        <v>13714</v>
      </c>
      <c r="D3994" s="11" t="s">
        <v>6</v>
      </c>
      <c r="E3994" s="204" t="s">
        <v>13136</v>
      </c>
      <c r="F3994" s="934" t="s">
        <v>11323</v>
      </c>
      <c r="G3994" s="204" t="s">
        <v>13715</v>
      </c>
      <c r="H3994" s="204" t="s">
        <v>13716</v>
      </c>
      <c r="I3994" s="204" t="s">
        <v>13716</v>
      </c>
      <c r="J3994" s="204" t="s">
        <v>13716</v>
      </c>
      <c r="K3994" s="204" t="s">
        <v>1</v>
      </c>
      <c r="L3994" s="204"/>
      <c r="M3994" s="204">
        <v>1</v>
      </c>
      <c r="N3994" s="204">
        <v>1</v>
      </c>
      <c r="O3994" s="204">
        <v>1</v>
      </c>
      <c r="P3994" s="204">
        <v>2</v>
      </c>
      <c r="Q3994" s="572">
        <v>3</v>
      </c>
      <c r="R3994" s="1209">
        <v>341000</v>
      </c>
      <c r="S3994" s="1209">
        <f>R3994*O3994</f>
        <v>341000</v>
      </c>
      <c r="T3994" s="204" t="s">
        <v>13717</v>
      </c>
      <c r="U3994" s="1901" t="s">
        <v>1</v>
      </c>
      <c r="V3994" s="572" t="s">
        <v>931</v>
      </c>
      <c r="W3994" s="681" t="s">
        <v>401</v>
      </c>
      <c r="X3994" s="18"/>
      <c r="Y3994" s="4"/>
      <c r="Z3994" s="4"/>
    </row>
    <row r="3995" spans="1:26" ht="14.1" hidden="1">
      <c r="A3995" s="20">
        <f t="shared" si="224"/>
        <v>4002</v>
      </c>
      <c r="B3995" s="1063">
        <v>43772</v>
      </c>
      <c r="C3995" s="934" t="s">
        <v>13718</v>
      </c>
      <c r="D3995" s="11" t="s">
        <v>6</v>
      </c>
      <c r="E3995" s="204" t="s">
        <v>13136</v>
      </c>
      <c r="F3995" s="934" t="s">
        <v>11434</v>
      </c>
      <c r="G3995" s="204"/>
      <c r="H3995" s="204" t="s">
        <v>287</v>
      </c>
      <c r="I3995" s="204" t="s">
        <v>287</v>
      </c>
      <c r="J3995" s="204"/>
      <c r="K3995" s="204" t="s">
        <v>1</v>
      </c>
      <c r="L3995" s="204" t="s">
        <v>1</v>
      </c>
      <c r="M3995" s="204">
        <v>1</v>
      </c>
      <c r="N3995" s="204">
        <v>1</v>
      </c>
      <c r="O3995" s="204">
        <v>4</v>
      </c>
      <c r="P3995" s="204">
        <v>0</v>
      </c>
      <c r="Q3995" s="572">
        <v>4</v>
      </c>
      <c r="R3995" s="1209" t="s">
        <v>1</v>
      </c>
      <c r="S3995" s="1209">
        <v>38934</v>
      </c>
      <c r="T3995" s="204" t="s">
        <v>3961</v>
      </c>
      <c r="U3995" s="1901" t="s">
        <v>13719</v>
      </c>
      <c r="V3995" s="572" t="s">
        <v>931</v>
      </c>
      <c r="W3995" s="681" t="s">
        <v>401</v>
      </c>
      <c r="X3995" s="18"/>
      <c r="Y3995" s="4"/>
      <c r="Z3995" s="4"/>
    </row>
    <row r="3996" spans="1:26" ht="14.1" hidden="1">
      <c r="A3996" s="20">
        <f t="shared" si="224"/>
        <v>4003</v>
      </c>
      <c r="B3996" s="1063">
        <v>43773</v>
      </c>
      <c r="C3996" t="s">
        <v>13720</v>
      </c>
      <c r="D3996" s="11" t="s">
        <v>6</v>
      </c>
      <c r="E3996" s="204" t="s">
        <v>13136</v>
      </c>
      <c r="F3996" s="934" t="s">
        <v>11434</v>
      </c>
      <c r="G3996" s="204"/>
      <c r="H3996" s="204" t="s">
        <v>287</v>
      </c>
      <c r="I3996" s="204" t="s">
        <v>287</v>
      </c>
      <c r="J3996" s="204"/>
      <c r="K3996" s="204" t="s">
        <v>1</v>
      </c>
      <c r="L3996" s="204" t="s">
        <v>1</v>
      </c>
      <c r="M3996" s="204">
        <v>1</v>
      </c>
      <c r="N3996" s="204">
        <v>1</v>
      </c>
      <c r="O3996" s="204">
        <v>4</v>
      </c>
      <c r="P3996" s="204">
        <v>0</v>
      </c>
      <c r="Q3996" s="572">
        <v>4</v>
      </c>
      <c r="R3996" s="1209" t="s">
        <v>1</v>
      </c>
      <c r="S3996" s="1209">
        <v>42006</v>
      </c>
      <c r="T3996" s="204" t="s">
        <v>3961</v>
      </c>
      <c r="U3996" s="1901" t="s">
        <v>13719</v>
      </c>
      <c r="V3996" s="572" t="s">
        <v>931</v>
      </c>
      <c r="W3996" s="681" t="s">
        <v>401</v>
      </c>
      <c r="X3996" s="18"/>
      <c r="Y3996" s="4"/>
      <c r="Z3996" s="4"/>
    </row>
    <row r="3997" spans="1:26" ht="14.1" hidden="1">
      <c r="A3997" s="20">
        <f t="shared" si="224"/>
        <v>4004</v>
      </c>
      <c r="B3997" s="1063">
        <v>43774</v>
      </c>
      <c r="C3997" s="934" t="s">
        <v>13721</v>
      </c>
      <c r="D3997" s="11" t="s">
        <v>6</v>
      </c>
      <c r="E3997" s="204" t="s">
        <v>13136</v>
      </c>
      <c r="F3997" s="934" t="s">
        <v>11434</v>
      </c>
      <c r="G3997" s="204"/>
      <c r="H3997" s="204" t="s">
        <v>287</v>
      </c>
      <c r="I3997" s="204" t="s">
        <v>287</v>
      </c>
      <c r="J3997" s="204"/>
      <c r="K3997" s="204" t="s">
        <v>1</v>
      </c>
      <c r="L3997" s="204" t="s">
        <v>1</v>
      </c>
      <c r="M3997" s="204">
        <v>2</v>
      </c>
      <c r="N3997" s="204">
        <v>1</v>
      </c>
      <c r="O3997" s="204">
        <v>4</v>
      </c>
      <c r="P3997" s="204">
        <v>0</v>
      </c>
      <c r="Q3997" s="572">
        <v>4</v>
      </c>
      <c r="R3997" s="1209" t="s">
        <v>1</v>
      </c>
      <c r="S3997" s="1209">
        <v>39122</v>
      </c>
      <c r="T3997" s="204" t="s">
        <v>3961</v>
      </c>
      <c r="U3997" s="1901" t="s">
        <v>13719</v>
      </c>
      <c r="V3997" s="572" t="s">
        <v>931</v>
      </c>
      <c r="W3997" s="681" t="s">
        <v>401</v>
      </c>
      <c r="X3997" s="18"/>
      <c r="Y3997" s="4"/>
      <c r="Z3997" s="4"/>
    </row>
    <row r="3998" spans="1:26" ht="14.1" hidden="1">
      <c r="A3998" s="20">
        <f t="shared" si="224"/>
        <v>4005</v>
      </c>
      <c r="B3998" s="1063">
        <v>43775</v>
      </c>
      <c r="C3998" s="934" t="s">
        <v>13722</v>
      </c>
      <c r="D3998" s="11" t="s">
        <v>6</v>
      </c>
      <c r="E3998" s="204" t="s">
        <v>13136</v>
      </c>
      <c r="F3998" s="934" t="s">
        <v>11434</v>
      </c>
      <c r="G3998" s="204"/>
      <c r="H3998" s="204" t="s">
        <v>287</v>
      </c>
      <c r="I3998" s="204" t="s">
        <v>287</v>
      </c>
      <c r="J3998" s="204"/>
      <c r="K3998" s="204" t="s">
        <v>1</v>
      </c>
      <c r="L3998" s="204" t="s">
        <v>1</v>
      </c>
      <c r="M3998" s="204">
        <v>1</v>
      </c>
      <c r="N3998" s="204">
        <v>1</v>
      </c>
      <c r="O3998" s="204">
        <v>4</v>
      </c>
      <c r="P3998" s="204">
        <v>0</v>
      </c>
      <c r="Q3998" s="572">
        <v>4</v>
      </c>
      <c r="R3998" s="1209" t="s">
        <v>1</v>
      </c>
      <c r="S3998" s="1209">
        <v>113250</v>
      </c>
      <c r="T3998" s="204" t="s">
        <v>3961</v>
      </c>
      <c r="U3998" s="1901" t="s">
        <v>13719</v>
      </c>
      <c r="V3998" s="572" t="s">
        <v>931</v>
      </c>
      <c r="W3998" s="681" t="s">
        <v>401</v>
      </c>
      <c r="X3998" s="18"/>
      <c r="Y3998" s="4"/>
      <c r="Z3998" s="4"/>
    </row>
    <row r="3999" spans="1:26" ht="14.1" hidden="1">
      <c r="A3999" s="20">
        <f t="shared" si="224"/>
        <v>4006</v>
      </c>
      <c r="B3999" s="1063">
        <v>43776</v>
      </c>
      <c r="C3999" s="934" t="s">
        <v>13723</v>
      </c>
      <c r="D3999" s="11" t="s">
        <v>6</v>
      </c>
      <c r="E3999" s="204" t="s">
        <v>13136</v>
      </c>
      <c r="F3999" s="934" t="s">
        <v>11434</v>
      </c>
      <c r="G3999" s="204"/>
      <c r="H3999" s="204" t="s">
        <v>287</v>
      </c>
      <c r="I3999" s="204" t="s">
        <v>287</v>
      </c>
      <c r="J3999" s="204"/>
      <c r="K3999" s="204" t="s">
        <v>1</v>
      </c>
      <c r="L3999" s="204" t="s">
        <v>1</v>
      </c>
      <c r="M3999" s="204">
        <v>1</v>
      </c>
      <c r="N3999" s="204">
        <v>1</v>
      </c>
      <c r="O3999" s="204">
        <v>4</v>
      </c>
      <c r="P3999" s="204">
        <v>0</v>
      </c>
      <c r="Q3999" s="572">
        <v>4</v>
      </c>
      <c r="R3999" s="1209" t="s">
        <v>1</v>
      </c>
      <c r="S3999" s="1209">
        <v>54994</v>
      </c>
      <c r="T3999" s="204" t="s">
        <v>3961</v>
      </c>
      <c r="U3999" s="1901" t="s">
        <v>13719</v>
      </c>
      <c r="V3999" s="572" t="s">
        <v>931</v>
      </c>
      <c r="W3999" s="681" t="s">
        <v>401</v>
      </c>
      <c r="X3999" s="18"/>
      <c r="Y3999" s="4"/>
      <c r="Z3999" s="4"/>
    </row>
    <row r="4000" spans="1:26" ht="14.1" hidden="1">
      <c r="A4000" s="20">
        <f t="shared" si="224"/>
        <v>4007</v>
      </c>
      <c r="B4000" s="1063">
        <v>43777</v>
      </c>
      <c r="C4000" s="934" t="s">
        <v>13724</v>
      </c>
      <c r="D4000" s="11" t="s">
        <v>6</v>
      </c>
      <c r="E4000" s="204" t="s">
        <v>13136</v>
      </c>
      <c r="F4000" s="934" t="s">
        <v>11434</v>
      </c>
      <c r="G4000" s="204"/>
      <c r="H4000" s="204" t="s">
        <v>287</v>
      </c>
      <c r="I4000" s="204" t="s">
        <v>287</v>
      </c>
      <c r="J4000" s="204"/>
      <c r="K4000" s="204" t="s">
        <v>1</v>
      </c>
      <c r="L4000" s="204" t="s">
        <v>1</v>
      </c>
      <c r="M4000" s="204">
        <v>1</v>
      </c>
      <c r="N4000" s="204">
        <v>1</v>
      </c>
      <c r="O4000" s="204">
        <v>4</v>
      </c>
      <c r="P4000" s="204">
        <v>0</v>
      </c>
      <c r="Q4000" s="572">
        <v>4</v>
      </c>
      <c r="R4000" s="1209" t="s">
        <v>1</v>
      </c>
      <c r="S4000" s="1209">
        <v>66628</v>
      </c>
      <c r="T4000" s="204" t="s">
        <v>3961</v>
      </c>
      <c r="U4000" s="1901" t="s">
        <v>13719</v>
      </c>
      <c r="V4000" s="572" t="s">
        <v>931</v>
      </c>
      <c r="W4000" s="681" t="s">
        <v>401</v>
      </c>
      <c r="X4000" s="18"/>
      <c r="Y4000" s="4"/>
      <c r="Z4000" s="4"/>
    </row>
    <row r="4001" spans="1:26" ht="14.1" hidden="1">
      <c r="A4001" s="20">
        <f t="shared" si="224"/>
        <v>4008</v>
      </c>
      <c r="B4001" s="1063">
        <v>43778</v>
      </c>
      <c r="C4001" s="934" t="s">
        <v>13725</v>
      </c>
      <c r="D4001" s="11" t="s">
        <v>6</v>
      </c>
      <c r="E4001" s="204" t="s">
        <v>13136</v>
      </c>
      <c r="F4001" s="934" t="s">
        <v>11434</v>
      </c>
      <c r="G4001" s="204"/>
      <c r="H4001" s="204" t="s">
        <v>287</v>
      </c>
      <c r="I4001" s="204" t="s">
        <v>287</v>
      </c>
      <c r="J4001" s="204"/>
      <c r="K4001" s="204" t="s">
        <v>1</v>
      </c>
      <c r="L4001" s="204" t="s">
        <v>1</v>
      </c>
      <c r="M4001" s="204">
        <v>1</v>
      </c>
      <c r="N4001" s="204">
        <v>1</v>
      </c>
      <c r="O4001" s="204">
        <v>4</v>
      </c>
      <c r="P4001" s="204">
        <v>0</v>
      </c>
      <c r="Q4001" s="572">
        <v>4</v>
      </c>
      <c r="R4001" s="1209" t="s">
        <v>1</v>
      </c>
      <c r="S4001" s="1209">
        <v>54994</v>
      </c>
      <c r="T4001" s="204" t="s">
        <v>3961</v>
      </c>
      <c r="U4001" s="1901" t="s">
        <v>13719</v>
      </c>
      <c r="V4001" s="572" t="s">
        <v>931</v>
      </c>
      <c r="W4001" s="681" t="s">
        <v>401</v>
      </c>
      <c r="X4001" s="18"/>
      <c r="Y4001" s="4"/>
      <c r="Z4001" s="4"/>
    </row>
    <row r="4002" spans="1:26" ht="14.1" hidden="1">
      <c r="A4002" s="20">
        <f t="shared" si="224"/>
        <v>4009</v>
      </c>
      <c r="B4002" s="1063">
        <v>43779</v>
      </c>
      <c r="C4002" s="932" t="s">
        <v>13726</v>
      </c>
      <c r="D4002" s="11" t="s">
        <v>6</v>
      </c>
      <c r="E4002" s="204" t="s">
        <v>13136</v>
      </c>
      <c r="F4002" s="934" t="s">
        <v>11434</v>
      </c>
      <c r="G4002" s="204"/>
      <c r="H4002" s="204" t="s">
        <v>287</v>
      </c>
      <c r="I4002" s="204" t="s">
        <v>287</v>
      </c>
      <c r="J4002" s="204"/>
      <c r="K4002" s="204" t="s">
        <v>1</v>
      </c>
      <c r="L4002" s="204" t="s">
        <v>1</v>
      </c>
      <c r="M4002" s="204">
        <v>1</v>
      </c>
      <c r="N4002" s="204">
        <v>1</v>
      </c>
      <c r="O4002" s="204">
        <v>4</v>
      </c>
      <c r="P4002" s="204">
        <v>0</v>
      </c>
      <c r="Q4002" s="572">
        <v>4</v>
      </c>
      <c r="R4002" s="1209" t="s">
        <v>1</v>
      </c>
      <c r="S4002" s="1209">
        <v>54994</v>
      </c>
      <c r="T4002" s="204" t="s">
        <v>3961</v>
      </c>
      <c r="U4002" s="1901" t="s">
        <v>13719</v>
      </c>
      <c r="V4002" s="572" t="s">
        <v>931</v>
      </c>
      <c r="W4002" s="681" t="s">
        <v>401</v>
      </c>
      <c r="X4002" s="18"/>
      <c r="Y4002" s="4"/>
      <c r="Z4002" s="4"/>
    </row>
    <row r="4003" spans="1:26" ht="14.1" hidden="1">
      <c r="A4003" s="20">
        <f t="shared" si="224"/>
        <v>4010</v>
      </c>
      <c r="B4003" s="1063">
        <v>43780</v>
      </c>
      <c r="C4003" s="934" t="s">
        <v>13727</v>
      </c>
      <c r="D4003" s="11" t="s">
        <v>6</v>
      </c>
      <c r="E4003" s="204" t="s">
        <v>13136</v>
      </c>
      <c r="F4003" s="934" t="s">
        <v>11434</v>
      </c>
      <c r="G4003" s="204"/>
      <c r="H4003" s="204" t="s">
        <v>287</v>
      </c>
      <c r="I4003" s="204" t="s">
        <v>287</v>
      </c>
      <c r="J4003" s="204"/>
      <c r="K4003" s="204" t="s">
        <v>1</v>
      </c>
      <c r="L4003" s="204" t="s">
        <v>1</v>
      </c>
      <c r="M4003" s="204">
        <v>1</v>
      </c>
      <c r="N4003" s="204">
        <v>1</v>
      </c>
      <c r="O4003" s="204">
        <v>4</v>
      </c>
      <c r="P4003" s="204">
        <v>0</v>
      </c>
      <c r="Q4003" s="572">
        <v>4</v>
      </c>
      <c r="R4003" s="1209" t="s">
        <v>1</v>
      </c>
      <c r="S4003" s="1209">
        <v>38934</v>
      </c>
      <c r="T4003" s="204" t="s">
        <v>3961</v>
      </c>
      <c r="U4003" s="1901" t="s">
        <v>13719</v>
      </c>
      <c r="V4003" s="572" t="s">
        <v>931</v>
      </c>
      <c r="W4003" s="681" t="s">
        <v>401</v>
      </c>
      <c r="X4003" s="18"/>
      <c r="Y4003" s="4"/>
      <c r="Z4003" s="4"/>
    </row>
    <row r="4004" spans="1:26" ht="14.1" hidden="1">
      <c r="A4004" s="20">
        <f t="shared" si="224"/>
        <v>4011</v>
      </c>
      <c r="B4004" s="1063">
        <v>43781</v>
      </c>
      <c r="C4004" s="934" t="s">
        <v>13728</v>
      </c>
      <c r="D4004" s="11" t="s">
        <v>6</v>
      </c>
      <c r="E4004" s="204" t="s">
        <v>13136</v>
      </c>
      <c r="F4004" s="934" t="s">
        <v>11434</v>
      </c>
      <c r="G4004" s="204"/>
      <c r="H4004" s="204" t="s">
        <v>287</v>
      </c>
      <c r="I4004" s="204" t="s">
        <v>287</v>
      </c>
      <c r="J4004" s="204"/>
      <c r="K4004" s="204" t="s">
        <v>1</v>
      </c>
      <c r="L4004" s="204" t="s">
        <v>1</v>
      </c>
      <c r="M4004" s="204">
        <v>1</v>
      </c>
      <c r="N4004" s="204">
        <v>1</v>
      </c>
      <c r="O4004" s="204">
        <v>4</v>
      </c>
      <c r="P4004" s="204">
        <v>0</v>
      </c>
      <c r="Q4004" s="572">
        <v>4</v>
      </c>
      <c r="R4004" s="1209" t="s">
        <v>1</v>
      </c>
      <c r="S4004" s="1209">
        <v>42006</v>
      </c>
      <c r="T4004" s="204" t="s">
        <v>3961</v>
      </c>
      <c r="U4004" s="1901" t="s">
        <v>13719</v>
      </c>
      <c r="V4004" s="572" t="s">
        <v>931</v>
      </c>
      <c r="W4004" s="681" t="s">
        <v>401</v>
      </c>
      <c r="X4004" s="18"/>
      <c r="Y4004" s="4"/>
      <c r="Z4004" s="4"/>
    </row>
    <row r="4005" spans="1:26" ht="14.1" hidden="1">
      <c r="A4005" s="20">
        <f t="shared" si="224"/>
        <v>4012</v>
      </c>
      <c r="B4005" s="1063">
        <v>43782</v>
      </c>
      <c r="C4005" s="934" t="s">
        <v>13729</v>
      </c>
      <c r="D4005" s="11" t="s">
        <v>6</v>
      </c>
      <c r="E4005" s="204" t="s">
        <v>13136</v>
      </c>
      <c r="F4005" s="934" t="s">
        <v>11434</v>
      </c>
      <c r="G4005" s="204"/>
      <c r="H4005" s="204" t="s">
        <v>287</v>
      </c>
      <c r="I4005" s="204" t="s">
        <v>287</v>
      </c>
      <c r="J4005" s="204"/>
      <c r="K4005" s="204" t="s">
        <v>1</v>
      </c>
      <c r="L4005" s="204" t="s">
        <v>1</v>
      </c>
      <c r="M4005" s="204">
        <v>1</v>
      </c>
      <c r="N4005" s="204">
        <v>1</v>
      </c>
      <c r="O4005" s="204">
        <v>4</v>
      </c>
      <c r="P4005" s="204">
        <v>0</v>
      </c>
      <c r="Q4005" s="572">
        <v>4</v>
      </c>
      <c r="R4005" s="1209" t="s">
        <v>1</v>
      </c>
      <c r="S4005" s="1209">
        <v>38934</v>
      </c>
      <c r="T4005" s="204" t="s">
        <v>3961</v>
      </c>
      <c r="U4005" s="1901" t="s">
        <v>13719</v>
      </c>
      <c r="V4005" s="572" t="s">
        <v>931</v>
      </c>
      <c r="W4005" s="681" t="s">
        <v>401</v>
      </c>
      <c r="X4005" s="18"/>
      <c r="Y4005" s="4"/>
      <c r="Z4005" s="4"/>
    </row>
    <row r="4006" spans="1:26" ht="14.1" hidden="1">
      <c r="A4006" s="20">
        <f t="shared" si="224"/>
        <v>4013</v>
      </c>
      <c r="B4006" s="1063">
        <v>43783</v>
      </c>
      <c r="C4006" s="934" t="s">
        <v>13730</v>
      </c>
      <c r="D4006" s="11" t="s">
        <v>6</v>
      </c>
      <c r="E4006" s="204" t="s">
        <v>13136</v>
      </c>
      <c r="F4006" s="934" t="s">
        <v>11434</v>
      </c>
      <c r="G4006" s="204"/>
      <c r="H4006" s="204" t="s">
        <v>287</v>
      </c>
      <c r="I4006" s="204" t="s">
        <v>287</v>
      </c>
      <c r="J4006" s="204"/>
      <c r="K4006" s="204" t="s">
        <v>1</v>
      </c>
      <c r="L4006" s="204" t="s">
        <v>1</v>
      </c>
      <c r="M4006" s="204">
        <v>1</v>
      </c>
      <c r="N4006" s="204">
        <v>1</v>
      </c>
      <c r="O4006" s="204">
        <v>4</v>
      </c>
      <c r="P4006" s="204">
        <v>0</v>
      </c>
      <c r="Q4006" s="572">
        <v>4</v>
      </c>
      <c r="R4006" s="1209" t="s">
        <v>1</v>
      </c>
      <c r="S4006" s="1209">
        <v>42006</v>
      </c>
      <c r="T4006" s="204" t="s">
        <v>3961</v>
      </c>
      <c r="U4006" s="1901" t="s">
        <v>13719</v>
      </c>
      <c r="V4006" s="572" t="s">
        <v>931</v>
      </c>
      <c r="W4006" s="681" t="s">
        <v>401</v>
      </c>
      <c r="X4006" s="18"/>
      <c r="Y4006" s="4"/>
      <c r="Z4006" s="4"/>
    </row>
    <row r="4007" spans="1:26" ht="14.1" hidden="1">
      <c r="A4007" s="20">
        <f t="shared" si="224"/>
        <v>4014</v>
      </c>
      <c r="B4007" s="1063">
        <v>43784</v>
      </c>
      <c r="C4007" s="934" t="s">
        <v>13731</v>
      </c>
      <c r="D4007" s="11" t="s">
        <v>6</v>
      </c>
      <c r="E4007" s="204" t="s">
        <v>13136</v>
      </c>
      <c r="F4007" s="934" t="s">
        <v>11434</v>
      </c>
      <c r="G4007" s="204"/>
      <c r="H4007" s="204" t="s">
        <v>287</v>
      </c>
      <c r="I4007" s="204" t="s">
        <v>287</v>
      </c>
      <c r="J4007" s="204"/>
      <c r="K4007" s="204" t="s">
        <v>1</v>
      </c>
      <c r="L4007" s="204" t="s">
        <v>1</v>
      </c>
      <c r="M4007" s="204">
        <v>1</v>
      </c>
      <c r="N4007" s="204">
        <v>1</v>
      </c>
      <c r="O4007" s="204">
        <v>4</v>
      </c>
      <c r="P4007" s="204">
        <v>0</v>
      </c>
      <c r="Q4007" s="572">
        <v>4</v>
      </c>
      <c r="R4007" s="1209" t="s">
        <v>1</v>
      </c>
      <c r="S4007" s="1209">
        <v>39122</v>
      </c>
      <c r="T4007" s="204" t="s">
        <v>3961</v>
      </c>
      <c r="U4007" s="1901" t="s">
        <v>13719</v>
      </c>
      <c r="V4007" s="572" t="s">
        <v>931</v>
      </c>
      <c r="W4007" s="681" t="s">
        <v>401</v>
      </c>
      <c r="X4007" s="18"/>
      <c r="Y4007" s="4"/>
      <c r="Z4007" s="4"/>
    </row>
    <row r="4008" spans="1:26" ht="14.1" hidden="1">
      <c r="A4008" s="20">
        <f t="shared" si="224"/>
        <v>4015</v>
      </c>
      <c r="B4008" s="1063">
        <v>43785</v>
      </c>
      <c r="C4008" s="934" t="s">
        <v>13732</v>
      </c>
      <c r="D4008" s="11"/>
      <c r="E4008" s="204" t="s">
        <v>62</v>
      </c>
      <c r="F4008" s="934" t="s">
        <v>13277</v>
      </c>
      <c r="G4008" s="204" t="s">
        <v>13733</v>
      </c>
      <c r="H4008" s="204" t="s">
        <v>1143</v>
      </c>
      <c r="I4008" s="204" t="s">
        <v>53</v>
      </c>
      <c r="J4008" s="204">
        <v>733910680</v>
      </c>
      <c r="K4008" s="204" t="s">
        <v>6640</v>
      </c>
      <c r="L4008" s="204" t="s">
        <v>11325</v>
      </c>
      <c r="M4008" s="204">
        <v>5</v>
      </c>
      <c r="N4008" s="204">
        <v>1</v>
      </c>
      <c r="O4008" s="204">
        <v>10</v>
      </c>
      <c r="P4008" s="204">
        <v>0</v>
      </c>
      <c r="Q4008" s="572">
        <f>O4008-M4008</f>
        <v>5</v>
      </c>
      <c r="R4008" s="1209">
        <v>546</v>
      </c>
      <c r="S4008" s="1209">
        <f>R4008*O4008</f>
        <v>5460</v>
      </c>
      <c r="T4008" s="204" t="s">
        <v>12425</v>
      </c>
      <c r="U4008" s="1901" t="s">
        <v>1896</v>
      </c>
      <c r="V4008" s="572" t="s">
        <v>13734</v>
      </c>
      <c r="W4008" s="804" t="s">
        <v>6641</v>
      </c>
      <c r="X4008" s="18"/>
      <c r="Y4008" s="4"/>
      <c r="Z4008" s="4"/>
    </row>
    <row r="4009" spans="1:26" ht="14.1" hidden="1">
      <c r="A4009" s="20">
        <f t="shared" si="224"/>
        <v>4016</v>
      </c>
      <c r="B4009" s="1063">
        <v>43786</v>
      </c>
      <c r="C4009" s="934" t="s">
        <v>13446</v>
      </c>
      <c r="D4009" s="11"/>
      <c r="E4009" s="204" t="s">
        <v>62</v>
      </c>
      <c r="F4009" s="924" t="s">
        <v>11559</v>
      </c>
      <c r="G4009" s="496" t="s">
        <v>13448</v>
      </c>
      <c r="H4009" s="204" t="s">
        <v>752</v>
      </c>
      <c r="I4009" s="204" t="s">
        <v>13449</v>
      </c>
      <c r="J4009" s="204" t="s">
        <v>13450</v>
      </c>
      <c r="K4009" s="204" t="s">
        <v>3828</v>
      </c>
      <c r="L4009" s="204" t="s">
        <v>10493</v>
      </c>
      <c r="M4009" s="204">
        <v>0</v>
      </c>
      <c r="N4009" s="204">
        <v>1</v>
      </c>
      <c r="O4009" s="204">
        <v>7</v>
      </c>
      <c r="P4009" s="204">
        <v>10</v>
      </c>
      <c r="Q4009" s="572">
        <v>17</v>
      </c>
      <c r="R4009" s="1209" t="s">
        <v>13451</v>
      </c>
      <c r="S4009" s="1209" t="s">
        <v>13452</v>
      </c>
      <c r="T4009" s="204" t="s">
        <v>9485</v>
      </c>
      <c r="U4009" s="1901" t="s">
        <v>1886</v>
      </c>
      <c r="V4009" s="572" t="s">
        <v>931</v>
      </c>
      <c r="W4009" s="804" t="s">
        <v>13453</v>
      </c>
      <c r="X4009" s="18"/>
      <c r="Y4009" s="4"/>
      <c r="Z4009" s="4"/>
    </row>
    <row r="4010" spans="1:26" ht="14.1" hidden="1">
      <c r="A4010" s="20">
        <f t="shared" si="224"/>
        <v>4017</v>
      </c>
      <c r="B4010" s="1063">
        <v>43787</v>
      </c>
      <c r="C4010" s="934" t="s">
        <v>13735</v>
      </c>
      <c r="D4010" s="11" t="s">
        <v>6</v>
      </c>
      <c r="E4010" s="204" t="s">
        <v>13136</v>
      </c>
      <c r="F4010" s="934" t="s">
        <v>11434</v>
      </c>
      <c r="G4010" s="204" t="s">
        <v>13736</v>
      </c>
      <c r="H4010" s="204" t="s">
        <v>13737</v>
      </c>
      <c r="I4010" s="204" t="s">
        <v>13737</v>
      </c>
      <c r="J4010" s="204"/>
      <c r="K4010" s="204" t="s">
        <v>134</v>
      </c>
      <c r="L4010" s="204"/>
      <c r="M4010" s="204"/>
      <c r="N4010" s="204"/>
      <c r="O4010" s="204"/>
      <c r="P4010" s="204"/>
      <c r="Q4010" s="572"/>
      <c r="R4010" s="1209"/>
      <c r="S4010" s="1209">
        <v>7500</v>
      </c>
      <c r="T4010" s="204" t="s">
        <v>3961</v>
      </c>
      <c r="U4010" s="1901" t="s">
        <v>138</v>
      </c>
      <c r="V4010" s="572" t="s">
        <v>352</v>
      </c>
      <c r="W4010" s="681"/>
      <c r="X4010" s="18"/>
      <c r="Y4010" s="4"/>
      <c r="Z4010" s="4"/>
    </row>
    <row r="4011" spans="1:26" ht="14.1" hidden="1">
      <c r="A4011" s="20">
        <f t="shared" si="224"/>
        <v>4018</v>
      </c>
      <c r="B4011" s="1063">
        <v>43788</v>
      </c>
      <c r="C4011" s="934" t="s">
        <v>5259</v>
      </c>
      <c r="D4011" s="11" t="s">
        <v>6</v>
      </c>
      <c r="E4011" s="204" t="s">
        <v>13136</v>
      </c>
      <c r="F4011" s="934" t="s">
        <v>11434</v>
      </c>
      <c r="G4011" s="204" t="s">
        <v>355</v>
      </c>
      <c r="H4011" s="204" t="s">
        <v>315</v>
      </c>
      <c r="I4011" s="204" t="s">
        <v>315</v>
      </c>
      <c r="J4011" s="204" t="s">
        <v>355</v>
      </c>
      <c r="K4011" s="204" t="s">
        <v>355</v>
      </c>
      <c r="L4011" s="204"/>
      <c r="M4011" s="204">
        <v>15</v>
      </c>
      <c r="N4011" s="204">
        <v>1</v>
      </c>
      <c r="O4011" s="204">
        <v>20</v>
      </c>
      <c r="P4011" s="204">
        <v>0</v>
      </c>
      <c r="Q4011" s="572">
        <v>20</v>
      </c>
      <c r="R4011" s="1209">
        <v>200</v>
      </c>
      <c r="S4011" s="1209">
        <v>4000</v>
      </c>
      <c r="T4011" s="204" t="s">
        <v>3961</v>
      </c>
      <c r="U4011" s="1901" t="s">
        <v>138</v>
      </c>
      <c r="V4011" s="572" t="s">
        <v>352</v>
      </c>
      <c r="W4011" s="681" t="s">
        <v>358</v>
      </c>
      <c r="X4011" s="18"/>
      <c r="Y4011" s="4"/>
      <c r="Z4011" s="4"/>
    </row>
    <row r="4012" spans="1:26" ht="14.1" hidden="1">
      <c r="A4012" s="20">
        <f t="shared" si="224"/>
        <v>4019</v>
      </c>
      <c r="B4012" s="1063">
        <v>43789</v>
      </c>
      <c r="C4012" s="934" t="s">
        <v>152</v>
      </c>
      <c r="D4012" s="11" t="s">
        <v>6</v>
      </c>
      <c r="E4012" s="204" t="s">
        <v>13136</v>
      </c>
      <c r="F4012" s="934" t="s">
        <v>11434</v>
      </c>
      <c r="G4012" s="204" t="s">
        <v>4062</v>
      </c>
      <c r="H4012" s="204" t="s">
        <v>154</v>
      </c>
      <c r="I4012" s="204" t="s">
        <v>13738</v>
      </c>
      <c r="J4012" s="204" t="s">
        <v>13739</v>
      </c>
      <c r="K4012" s="204" t="s">
        <v>4062</v>
      </c>
      <c r="L4012" s="204"/>
      <c r="M4012" s="204">
        <v>30</v>
      </c>
      <c r="N4012" s="204">
        <v>55</v>
      </c>
      <c r="O4012" s="204">
        <v>55</v>
      </c>
      <c r="P4012" s="204">
        <v>0</v>
      </c>
      <c r="Q4012" s="572">
        <v>55</v>
      </c>
      <c r="R4012" s="1209">
        <v>73</v>
      </c>
      <c r="S4012" s="1209">
        <v>4032</v>
      </c>
      <c r="T4012" s="204" t="s">
        <v>3961</v>
      </c>
      <c r="U4012" s="1901" t="s">
        <v>138</v>
      </c>
      <c r="V4012" s="572" t="s">
        <v>352</v>
      </c>
      <c r="W4012" s="681" t="s">
        <v>13740</v>
      </c>
      <c r="X4012" s="18"/>
      <c r="Y4012" s="4"/>
      <c r="Z4012" s="4"/>
    </row>
    <row r="4013" spans="1:26" ht="14.1" hidden="1">
      <c r="A4013" s="20">
        <f t="shared" si="224"/>
        <v>4020</v>
      </c>
      <c r="B4013" s="1063">
        <v>43790</v>
      </c>
      <c r="C4013" s="1005" t="s">
        <v>13741</v>
      </c>
      <c r="D4013" s="11"/>
      <c r="E4013" s="239" t="s">
        <v>4951</v>
      </c>
      <c r="F4013" s="940" t="s">
        <v>9004</v>
      </c>
      <c r="G4013" s="239" t="s">
        <v>13742</v>
      </c>
      <c r="H4013" s="239" t="s">
        <v>2668</v>
      </c>
      <c r="I4013" s="239" t="s">
        <v>1022</v>
      </c>
      <c r="J4013" s="514" t="s">
        <v>13743</v>
      </c>
      <c r="K4013" s="235" t="s">
        <v>5447</v>
      </c>
      <c r="L4013" s="239" t="s">
        <v>1</v>
      </c>
      <c r="M4013" s="239">
        <v>2</v>
      </c>
      <c r="N4013" s="239">
        <v>2</v>
      </c>
      <c r="O4013" s="239">
        <v>2</v>
      </c>
      <c r="P4013" s="239">
        <v>0</v>
      </c>
      <c r="Q4013" s="572">
        <v>0</v>
      </c>
      <c r="R4013" s="1209">
        <v>9999</v>
      </c>
      <c r="S4013" s="1209">
        <f t="shared" ref="S4013:S4035" si="233">O4013*R4013</f>
        <v>19998</v>
      </c>
      <c r="T4013" s="239" t="s">
        <v>12425</v>
      </c>
      <c r="U4013" s="1901" t="s">
        <v>13744</v>
      </c>
      <c r="V4013" s="572" t="s">
        <v>13734</v>
      </c>
      <c r="W4013" s="804" t="s">
        <v>13745</v>
      </c>
      <c r="X4013" s="26"/>
      <c r="Y4013" s="71"/>
      <c r="Z4013" s="71"/>
    </row>
    <row r="4014" spans="1:26" ht="14.1" hidden="1">
      <c r="A4014" s="20">
        <f t="shared" si="224"/>
        <v>4021</v>
      </c>
      <c r="B4014" s="1063">
        <v>43791</v>
      </c>
      <c r="C4014" s="940" t="s">
        <v>13746</v>
      </c>
      <c r="D4014" s="11"/>
      <c r="E4014" s="239" t="s">
        <v>4951</v>
      </c>
      <c r="F4014" s="940" t="s">
        <v>9004</v>
      </c>
      <c r="G4014" s="222" t="s">
        <v>5468</v>
      </c>
      <c r="H4014" s="239" t="s">
        <v>13747</v>
      </c>
      <c r="I4014" s="239" t="s">
        <v>574</v>
      </c>
      <c r="J4014" s="742" t="s">
        <v>5470</v>
      </c>
      <c r="K4014" s="742" t="s">
        <v>5471</v>
      </c>
      <c r="L4014" s="239" t="s">
        <v>1</v>
      </c>
      <c r="M4014" s="239">
        <v>3</v>
      </c>
      <c r="N4014" s="239">
        <v>3</v>
      </c>
      <c r="O4014" s="239">
        <v>3</v>
      </c>
      <c r="P4014" s="239">
        <v>0</v>
      </c>
      <c r="Q4014" s="572">
        <v>1</v>
      </c>
      <c r="R4014" s="1209">
        <v>2467</v>
      </c>
      <c r="S4014" s="1209">
        <f t="shared" si="233"/>
        <v>7401</v>
      </c>
      <c r="T4014" s="239" t="s">
        <v>12425</v>
      </c>
      <c r="U4014" s="1901" t="s">
        <v>13744</v>
      </c>
      <c r="V4014" s="572" t="s">
        <v>13734</v>
      </c>
      <c r="W4014" s="681" t="s">
        <v>5472</v>
      </c>
      <c r="X4014" s="26"/>
      <c r="Y4014" s="71"/>
      <c r="Z4014" s="71"/>
    </row>
    <row r="4015" spans="1:26" ht="14.1" hidden="1">
      <c r="A4015" s="20">
        <f t="shared" si="224"/>
        <v>4022</v>
      </c>
      <c r="B4015" s="1063">
        <v>43792</v>
      </c>
      <c r="C4015" s="1006" t="s">
        <v>5498</v>
      </c>
      <c r="D4015" s="11"/>
      <c r="E4015" s="239" t="s">
        <v>4951</v>
      </c>
      <c r="F4015" s="940" t="s">
        <v>9004</v>
      </c>
      <c r="G4015" s="222" t="s">
        <v>13748</v>
      </c>
      <c r="H4015" s="239" t="s">
        <v>5496</v>
      </c>
      <c r="I4015" s="239" t="s">
        <v>574</v>
      </c>
      <c r="J4015" s="239" t="s">
        <v>5497</v>
      </c>
      <c r="K4015" s="239" t="s">
        <v>5498</v>
      </c>
      <c r="L4015" s="239" t="s">
        <v>1</v>
      </c>
      <c r="M4015" s="239">
        <v>1</v>
      </c>
      <c r="N4015" s="239">
        <v>1</v>
      </c>
      <c r="O4015" s="239">
        <v>1</v>
      </c>
      <c r="P4015" s="239">
        <v>0</v>
      </c>
      <c r="Q4015" s="572">
        <v>0</v>
      </c>
      <c r="R4015" s="1209">
        <v>5263</v>
      </c>
      <c r="S4015" s="1209">
        <f t="shared" si="233"/>
        <v>5263</v>
      </c>
      <c r="T4015" s="239" t="s">
        <v>12425</v>
      </c>
      <c r="U4015" s="1901" t="s">
        <v>13744</v>
      </c>
      <c r="V4015" s="572" t="s">
        <v>13734</v>
      </c>
      <c r="W4015" s="681" t="s">
        <v>5499</v>
      </c>
      <c r="X4015" s="26"/>
      <c r="Y4015" s="71"/>
      <c r="Z4015" s="71"/>
    </row>
    <row r="4016" spans="1:26" ht="14.1" hidden="1">
      <c r="A4016" s="20">
        <f t="shared" si="224"/>
        <v>4023</v>
      </c>
      <c r="B4016" s="1063">
        <v>43793</v>
      </c>
      <c r="C4016" s="1006" t="s">
        <v>13749</v>
      </c>
      <c r="D4016" s="11"/>
      <c r="E4016" s="239" t="s">
        <v>4951</v>
      </c>
      <c r="F4016" s="940" t="s">
        <v>9004</v>
      </c>
      <c r="G4016" s="222" t="s">
        <v>13750</v>
      </c>
      <c r="H4016" s="239" t="s">
        <v>2668</v>
      </c>
      <c r="I4016" s="239" t="s">
        <v>4634</v>
      </c>
      <c r="J4016" s="239" t="s">
        <v>5459</v>
      </c>
      <c r="K4016" s="239">
        <v>1101001000045</v>
      </c>
      <c r="L4016" s="239" t="s">
        <v>1</v>
      </c>
      <c r="M4016" s="239">
        <v>1</v>
      </c>
      <c r="N4016" s="239">
        <v>1</v>
      </c>
      <c r="O4016" s="239">
        <v>1</v>
      </c>
      <c r="P4016" s="239">
        <v>0</v>
      </c>
      <c r="Q4016" s="572">
        <v>0</v>
      </c>
      <c r="R4016" s="1209">
        <v>1190</v>
      </c>
      <c r="S4016" s="1209">
        <f t="shared" si="233"/>
        <v>1190</v>
      </c>
      <c r="T4016" s="239" t="s">
        <v>12425</v>
      </c>
      <c r="U4016" s="1901" t="s">
        <v>13744</v>
      </c>
      <c r="V4016" s="572" t="s">
        <v>13734</v>
      </c>
      <c r="W4016" s="681" t="s">
        <v>13751</v>
      </c>
      <c r="X4016" s="26"/>
      <c r="Y4016" s="71"/>
      <c r="Z4016" s="71"/>
    </row>
    <row r="4017" spans="1:26" ht="14.1" hidden="1">
      <c r="A4017" s="20">
        <f t="shared" si="224"/>
        <v>4024</v>
      </c>
      <c r="B4017" s="1063">
        <v>43794</v>
      </c>
      <c r="C4017" s="1006" t="s">
        <v>3806</v>
      </c>
      <c r="D4017" s="11"/>
      <c r="E4017" s="239" t="s">
        <v>4951</v>
      </c>
      <c r="F4017" s="940" t="s">
        <v>9004</v>
      </c>
      <c r="G4017" s="222" t="s">
        <v>13752</v>
      </c>
      <c r="H4017" s="239" t="s">
        <v>1715</v>
      </c>
      <c r="I4017" s="239" t="s">
        <v>574</v>
      </c>
      <c r="J4017" s="239" t="s">
        <v>3805</v>
      </c>
      <c r="K4017" s="239" t="s">
        <v>3806</v>
      </c>
      <c r="L4017" s="234" t="s">
        <v>13753</v>
      </c>
      <c r="M4017" s="239">
        <v>8</v>
      </c>
      <c r="N4017" s="239">
        <v>8</v>
      </c>
      <c r="O4017" s="239">
        <v>16</v>
      </c>
      <c r="P4017" s="239">
        <v>0</v>
      </c>
      <c r="Q4017" s="572">
        <v>8</v>
      </c>
      <c r="R4017" s="1209">
        <v>556</v>
      </c>
      <c r="S4017" s="1209">
        <f t="shared" si="233"/>
        <v>8896</v>
      </c>
      <c r="T4017" s="239" t="s">
        <v>12425</v>
      </c>
      <c r="U4017" s="1901" t="s">
        <v>13744</v>
      </c>
      <c r="V4017" s="572" t="s">
        <v>13734</v>
      </c>
      <c r="W4017" s="681" t="s">
        <v>6485</v>
      </c>
      <c r="X4017" s="26"/>
      <c r="Y4017" s="71"/>
      <c r="Z4017" s="71"/>
    </row>
    <row r="4018" spans="1:26" ht="14.1" hidden="1">
      <c r="A4018" s="20">
        <f t="shared" si="224"/>
        <v>4025</v>
      </c>
      <c r="B4018" s="1063">
        <v>43795</v>
      </c>
      <c r="C4018" s="1006" t="s">
        <v>13754</v>
      </c>
      <c r="D4018" s="11"/>
      <c r="E4018" s="239" t="s">
        <v>4951</v>
      </c>
      <c r="F4018" s="940" t="s">
        <v>9004</v>
      </c>
      <c r="G4018" s="222" t="s">
        <v>13755</v>
      </c>
      <c r="H4018" s="239" t="s">
        <v>13756</v>
      </c>
      <c r="I4018" s="239" t="s">
        <v>1022</v>
      </c>
      <c r="J4018" s="239" t="s">
        <v>12461</v>
      </c>
      <c r="K4018" s="239" t="s">
        <v>1</v>
      </c>
      <c r="L4018" s="239" t="s">
        <v>1</v>
      </c>
      <c r="M4018" s="239">
        <v>2</v>
      </c>
      <c r="N4018" s="239">
        <v>2</v>
      </c>
      <c r="O4018" s="239">
        <v>2</v>
      </c>
      <c r="P4018" s="239">
        <v>0</v>
      </c>
      <c r="Q4018" s="572">
        <v>0</v>
      </c>
      <c r="R4018" s="1209">
        <v>4399</v>
      </c>
      <c r="S4018" s="1209">
        <f t="shared" si="233"/>
        <v>8798</v>
      </c>
      <c r="T4018" s="239" t="s">
        <v>12425</v>
      </c>
      <c r="U4018" s="1901" t="s">
        <v>13744</v>
      </c>
      <c r="V4018" s="572" t="s">
        <v>13734</v>
      </c>
      <c r="W4018" s="681" t="s">
        <v>13757</v>
      </c>
      <c r="X4018" s="26"/>
      <c r="Y4018" s="71"/>
      <c r="Z4018" s="71"/>
    </row>
    <row r="4019" spans="1:26" ht="14.1" hidden="1">
      <c r="A4019" s="20">
        <f t="shared" si="224"/>
        <v>4026</v>
      </c>
      <c r="B4019" s="1063">
        <v>43796</v>
      </c>
      <c r="C4019" s="1006" t="s">
        <v>13758</v>
      </c>
      <c r="D4019" s="11"/>
      <c r="E4019" s="239" t="s">
        <v>4951</v>
      </c>
      <c r="F4019" s="940" t="s">
        <v>9004</v>
      </c>
      <c r="G4019" s="222" t="s">
        <v>13759</v>
      </c>
      <c r="H4019" s="20" t="s">
        <v>12804</v>
      </c>
      <c r="I4019" s="239" t="s">
        <v>574</v>
      </c>
      <c r="J4019" s="20" t="s">
        <v>13760</v>
      </c>
      <c r="K4019" s="20" t="s">
        <v>13761</v>
      </c>
      <c r="L4019" s="239" t="s">
        <v>1</v>
      </c>
      <c r="M4019" s="239">
        <v>2</v>
      </c>
      <c r="N4019" s="239">
        <v>2</v>
      </c>
      <c r="O4019" s="239">
        <v>2</v>
      </c>
      <c r="P4019" s="239">
        <v>0</v>
      </c>
      <c r="Q4019" s="572">
        <v>0</v>
      </c>
      <c r="R4019" s="1209">
        <v>2901</v>
      </c>
      <c r="S4019" s="1209">
        <f t="shared" si="233"/>
        <v>5802</v>
      </c>
      <c r="T4019" s="239" t="s">
        <v>12425</v>
      </c>
      <c r="U4019" s="1901" t="s">
        <v>13744</v>
      </c>
      <c r="V4019" s="572" t="s">
        <v>13734</v>
      </c>
      <c r="W4019" s="681" t="s">
        <v>13762</v>
      </c>
      <c r="X4019" s="26"/>
      <c r="Y4019" s="71"/>
      <c r="Z4019" s="71"/>
    </row>
    <row r="4020" spans="1:26" ht="14.1" hidden="1">
      <c r="A4020" s="20">
        <f t="shared" si="224"/>
        <v>4027</v>
      </c>
      <c r="B4020" s="1063">
        <v>43797</v>
      </c>
      <c r="C4020" s="1006" t="s">
        <v>1774</v>
      </c>
      <c r="D4020" s="11"/>
      <c r="E4020" s="239" t="s">
        <v>4951</v>
      </c>
      <c r="F4020" s="940" t="s">
        <v>9004</v>
      </c>
      <c r="G4020" s="222" t="s">
        <v>13763</v>
      </c>
      <c r="H4020" s="239" t="s">
        <v>1762</v>
      </c>
      <c r="I4020" s="239" t="s">
        <v>574</v>
      </c>
      <c r="J4020" s="239" t="s">
        <v>13764</v>
      </c>
      <c r="K4020" s="239" t="s">
        <v>1774</v>
      </c>
      <c r="L4020" s="239" t="s">
        <v>1</v>
      </c>
      <c r="M4020" s="239">
        <v>2</v>
      </c>
      <c r="N4020" s="239">
        <v>2</v>
      </c>
      <c r="O4020" s="239">
        <v>2</v>
      </c>
      <c r="P4020" s="239">
        <v>0</v>
      </c>
      <c r="Q4020" s="572">
        <v>0</v>
      </c>
      <c r="R4020" s="1209">
        <v>226</v>
      </c>
      <c r="S4020" s="1209">
        <f t="shared" si="233"/>
        <v>452</v>
      </c>
      <c r="T4020" s="239" t="s">
        <v>12425</v>
      </c>
      <c r="U4020" s="1901" t="s">
        <v>13744</v>
      </c>
      <c r="V4020" s="572" t="s">
        <v>13734</v>
      </c>
      <c r="W4020" s="681" t="s">
        <v>13765</v>
      </c>
      <c r="X4020" s="26"/>
      <c r="Y4020" s="71"/>
      <c r="Z4020" s="71"/>
    </row>
    <row r="4021" spans="1:26" ht="14.1" hidden="1">
      <c r="A4021" s="20">
        <f t="shared" si="224"/>
        <v>4028</v>
      </c>
      <c r="B4021" s="1063">
        <v>43798</v>
      </c>
      <c r="C4021" s="1006" t="s">
        <v>1769</v>
      </c>
      <c r="D4021" s="11"/>
      <c r="E4021" s="239" t="s">
        <v>4951</v>
      </c>
      <c r="F4021" s="940" t="s">
        <v>9004</v>
      </c>
      <c r="G4021" s="222" t="s">
        <v>13766</v>
      </c>
      <c r="H4021" s="239" t="s">
        <v>1762</v>
      </c>
      <c r="I4021" s="239" t="s">
        <v>574</v>
      </c>
      <c r="J4021" s="239" t="s">
        <v>13767</v>
      </c>
      <c r="K4021" s="239" t="s">
        <v>1769</v>
      </c>
      <c r="L4021" s="239" t="s">
        <v>1</v>
      </c>
      <c r="M4021" s="239">
        <v>2</v>
      </c>
      <c r="N4021" s="239">
        <v>2</v>
      </c>
      <c r="O4021" s="239">
        <v>2</v>
      </c>
      <c r="P4021" s="239">
        <v>0</v>
      </c>
      <c r="Q4021" s="572">
        <v>0</v>
      </c>
      <c r="R4021" s="1209">
        <v>226</v>
      </c>
      <c r="S4021" s="1209">
        <f t="shared" si="233"/>
        <v>452</v>
      </c>
      <c r="T4021" s="239" t="s">
        <v>12425</v>
      </c>
      <c r="U4021" s="1901" t="s">
        <v>13744</v>
      </c>
      <c r="V4021" s="572" t="s">
        <v>13734</v>
      </c>
      <c r="W4021" s="681" t="s">
        <v>13768</v>
      </c>
      <c r="X4021" s="26"/>
      <c r="Y4021" s="71"/>
      <c r="Z4021" s="71"/>
    </row>
    <row r="4022" spans="1:26" ht="14.1" hidden="1">
      <c r="A4022" s="20">
        <f t="shared" si="224"/>
        <v>4029</v>
      </c>
      <c r="B4022" s="1063">
        <v>43799</v>
      </c>
      <c r="C4022" s="1006" t="s">
        <v>13769</v>
      </c>
      <c r="D4022" s="11"/>
      <c r="E4022" s="239" t="s">
        <v>4951</v>
      </c>
      <c r="F4022" s="940" t="s">
        <v>9004</v>
      </c>
      <c r="G4022" s="222" t="s">
        <v>13770</v>
      </c>
      <c r="H4022" s="239" t="s">
        <v>13771</v>
      </c>
      <c r="I4022" s="239" t="s">
        <v>574</v>
      </c>
      <c r="J4022" s="239" t="s">
        <v>13772</v>
      </c>
      <c r="K4022" s="239">
        <v>29285</v>
      </c>
      <c r="L4022" s="239" t="s">
        <v>1</v>
      </c>
      <c r="M4022" s="239">
        <v>1</v>
      </c>
      <c r="N4022" s="239">
        <v>1</v>
      </c>
      <c r="O4022" s="239">
        <v>1</v>
      </c>
      <c r="P4022" s="239">
        <v>0</v>
      </c>
      <c r="Q4022" s="572">
        <v>0</v>
      </c>
      <c r="R4022" s="1209">
        <v>606</v>
      </c>
      <c r="S4022" s="1209">
        <f t="shared" si="233"/>
        <v>606</v>
      </c>
      <c r="T4022" s="239" t="s">
        <v>12425</v>
      </c>
      <c r="U4022" s="1901" t="s">
        <v>13744</v>
      </c>
      <c r="V4022" s="572" t="s">
        <v>13734</v>
      </c>
      <c r="W4022" s="681" t="s">
        <v>13773</v>
      </c>
      <c r="X4022" s="26"/>
      <c r="Y4022" s="71"/>
      <c r="Z4022" s="71"/>
    </row>
    <row r="4023" spans="1:26" ht="14.1" hidden="1">
      <c r="A4023" s="20">
        <f t="shared" si="224"/>
        <v>4030</v>
      </c>
      <c r="B4023" s="1063">
        <v>43800</v>
      </c>
      <c r="C4023" s="190" t="s">
        <v>13774</v>
      </c>
      <c r="D4023" s="11"/>
      <c r="E4023" s="239" t="s">
        <v>13136</v>
      </c>
      <c r="F4023" s="190" t="s">
        <v>11441</v>
      </c>
      <c r="G4023" s="20" t="s">
        <v>13775</v>
      </c>
      <c r="H4023" s="239" t="s">
        <v>13776</v>
      </c>
      <c r="I4023" s="239" t="s">
        <v>13777</v>
      </c>
      <c r="J4023" s="239" t="s">
        <v>13778</v>
      </c>
      <c r="K4023" s="239" t="s">
        <v>13778</v>
      </c>
      <c r="L4023" s="239" t="s">
        <v>1</v>
      </c>
      <c r="M4023" s="204">
        <v>2</v>
      </c>
      <c r="N4023" s="204">
        <v>1</v>
      </c>
      <c r="O4023" s="204">
        <v>2</v>
      </c>
      <c r="P4023" s="204">
        <v>0</v>
      </c>
      <c r="Q4023" s="572">
        <v>0</v>
      </c>
      <c r="R4023" s="1252">
        <v>185600</v>
      </c>
      <c r="S4023" s="1209">
        <f t="shared" si="233"/>
        <v>371200</v>
      </c>
      <c r="T4023" s="20" t="s">
        <v>13779</v>
      </c>
      <c r="U4023" s="852" t="s">
        <v>13779</v>
      </c>
      <c r="V4023" s="20" t="s">
        <v>13780</v>
      </c>
      <c r="W4023" s="2093" t="s">
        <v>13781</v>
      </c>
      <c r="X4023" s="18"/>
      <c r="Y4023" s="4"/>
      <c r="Z4023" s="4"/>
    </row>
    <row r="4024" spans="1:26" ht="14.1" hidden="1">
      <c r="A4024" s="20">
        <f t="shared" si="224"/>
        <v>4031</v>
      </c>
      <c r="B4024" s="1063">
        <v>43801</v>
      </c>
      <c r="C4024" s="190" t="s">
        <v>13782</v>
      </c>
      <c r="D4024" s="11"/>
      <c r="E4024" s="239" t="s">
        <v>13136</v>
      </c>
      <c r="F4024" s="190" t="s">
        <v>11441</v>
      </c>
      <c r="G4024" s="20" t="s">
        <v>13783</v>
      </c>
      <c r="H4024" s="239" t="s">
        <v>13784</v>
      </c>
      <c r="I4024" s="239" t="s">
        <v>13785</v>
      </c>
      <c r="J4024" s="239" t="s">
        <v>13783</v>
      </c>
      <c r="K4024" s="239" t="s">
        <v>13783</v>
      </c>
      <c r="L4024" s="239" t="s">
        <v>1</v>
      </c>
      <c r="M4024" s="204">
        <v>2</v>
      </c>
      <c r="N4024" s="204">
        <v>1</v>
      </c>
      <c r="O4024" s="204">
        <v>2</v>
      </c>
      <c r="P4024" s="204">
        <v>0</v>
      </c>
      <c r="Q4024" s="572">
        <v>0</v>
      </c>
      <c r="R4024" s="1209">
        <v>84000</v>
      </c>
      <c r="S4024" s="1209">
        <f t="shared" si="233"/>
        <v>168000</v>
      </c>
      <c r="T4024" s="20" t="s">
        <v>13779</v>
      </c>
      <c r="U4024" s="852" t="s">
        <v>13779</v>
      </c>
      <c r="V4024" s="20" t="s">
        <v>13780</v>
      </c>
      <c r="W4024" s="681" t="s">
        <v>13786</v>
      </c>
      <c r="X4024" s="18"/>
      <c r="Y4024" s="4"/>
      <c r="Z4024" s="4"/>
    </row>
    <row r="4025" spans="1:26" ht="14.45" hidden="1">
      <c r="A4025" s="20">
        <f t="shared" si="224"/>
        <v>4032</v>
      </c>
      <c r="B4025" s="1063">
        <v>43802</v>
      </c>
      <c r="C4025" s="933" t="s">
        <v>13787</v>
      </c>
      <c r="D4025" s="11"/>
      <c r="E4025" s="239" t="s">
        <v>13136</v>
      </c>
      <c r="F4025" s="940" t="s">
        <v>11441</v>
      </c>
      <c r="G4025" s="20" t="s">
        <v>13788</v>
      </c>
      <c r="H4025" s="239" t="s">
        <v>13784</v>
      </c>
      <c r="I4025" s="239" t="s">
        <v>13785</v>
      </c>
      <c r="J4025" s="239" t="s">
        <v>13788</v>
      </c>
      <c r="K4025" s="239" t="s">
        <v>13788</v>
      </c>
      <c r="L4025" s="239" t="s">
        <v>1</v>
      </c>
      <c r="M4025" s="204">
        <v>2</v>
      </c>
      <c r="N4025" s="204">
        <v>1</v>
      </c>
      <c r="O4025" s="204">
        <v>2</v>
      </c>
      <c r="P4025" s="204">
        <v>0</v>
      </c>
      <c r="Q4025" s="572">
        <v>0</v>
      </c>
      <c r="R4025" s="1209">
        <v>7350</v>
      </c>
      <c r="S4025" s="1209">
        <f t="shared" si="233"/>
        <v>14700</v>
      </c>
      <c r="T4025" s="20" t="s">
        <v>13779</v>
      </c>
      <c r="U4025" s="852" t="s">
        <v>13779</v>
      </c>
      <c r="V4025" s="20" t="s">
        <v>13780</v>
      </c>
      <c r="W4025" s="681" t="s">
        <v>13789</v>
      </c>
      <c r="X4025" s="18"/>
      <c r="Y4025" s="4"/>
      <c r="Z4025" s="4"/>
    </row>
    <row r="4026" spans="1:26" ht="14.1" hidden="1">
      <c r="A4026" s="20">
        <f t="shared" si="224"/>
        <v>4033</v>
      </c>
      <c r="B4026" s="1063">
        <v>43803</v>
      </c>
      <c r="C4026" s="934" t="s">
        <v>13790</v>
      </c>
      <c r="D4026" s="11"/>
      <c r="E4026" s="239" t="s">
        <v>13136</v>
      </c>
      <c r="F4026" s="934" t="s">
        <v>11441</v>
      </c>
      <c r="G4026" s="204" t="s">
        <v>13791</v>
      </c>
      <c r="H4026" s="204" t="s">
        <v>5480</v>
      </c>
      <c r="I4026" s="204" t="s">
        <v>574</v>
      </c>
      <c r="J4026" s="204" t="s">
        <v>13546</v>
      </c>
      <c r="K4026" s="204" t="s">
        <v>5480</v>
      </c>
      <c r="L4026" s="204" t="s">
        <v>1</v>
      </c>
      <c r="M4026" s="204">
        <v>6</v>
      </c>
      <c r="N4026" s="204">
        <v>1</v>
      </c>
      <c r="O4026" s="204">
        <v>6</v>
      </c>
      <c r="P4026" s="204">
        <v>0</v>
      </c>
      <c r="Q4026" s="572">
        <v>0</v>
      </c>
      <c r="R4026" s="1209">
        <v>268</v>
      </c>
      <c r="S4026" s="1209">
        <f t="shared" si="233"/>
        <v>1608</v>
      </c>
      <c r="T4026" s="20" t="s">
        <v>13779</v>
      </c>
      <c r="U4026" s="852" t="s">
        <v>13779</v>
      </c>
      <c r="V4026" s="20" t="s">
        <v>13780</v>
      </c>
      <c r="W4026" s="681" t="s">
        <v>13547</v>
      </c>
      <c r="X4026" s="18"/>
      <c r="Y4026" s="4"/>
      <c r="Z4026" s="4"/>
    </row>
    <row r="4027" spans="1:26" ht="14.45" hidden="1">
      <c r="A4027" s="20">
        <f t="shared" si="224"/>
        <v>4034</v>
      </c>
      <c r="B4027" s="1063">
        <v>43804</v>
      </c>
      <c r="C4027" s="934" t="s">
        <v>13792</v>
      </c>
      <c r="D4027" s="11"/>
      <c r="E4027" s="239" t="s">
        <v>13136</v>
      </c>
      <c r="F4027" s="934" t="s">
        <v>11441</v>
      </c>
      <c r="G4027" s="209" t="s">
        <v>13549</v>
      </c>
      <c r="H4027" s="204" t="s">
        <v>13793</v>
      </c>
      <c r="I4027" s="189" t="s">
        <v>574</v>
      </c>
      <c r="J4027" s="204" t="s">
        <v>13550</v>
      </c>
      <c r="K4027" s="204" t="s">
        <v>13551</v>
      </c>
      <c r="L4027" s="204" t="s">
        <v>1</v>
      </c>
      <c r="M4027" s="204">
        <v>4</v>
      </c>
      <c r="N4027" s="204">
        <v>1</v>
      </c>
      <c r="O4027" s="204">
        <v>4</v>
      </c>
      <c r="P4027" s="204">
        <v>0</v>
      </c>
      <c r="Q4027" s="572">
        <v>0</v>
      </c>
      <c r="R4027" s="1209">
        <v>692</v>
      </c>
      <c r="S4027" s="1209">
        <f t="shared" si="233"/>
        <v>2768</v>
      </c>
      <c r="T4027" s="20" t="s">
        <v>13779</v>
      </c>
      <c r="U4027" s="852" t="s">
        <v>13779</v>
      </c>
      <c r="V4027" s="20" t="s">
        <v>13780</v>
      </c>
      <c r="W4027" s="804" t="s">
        <v>13552</v>
      </c>
      <c r="X4027" s="18"/>
      <c r="Y4027" s="4"/>
      <c r="Z4027" s="4"/>
    </row>
    <row r="4028" spans="1:26" ht="14.45" hidden="1">
      <c r="A4028" s="20">
        <f t="shared" si="224"/>
        <v>4035</v>
      </c>
      <c r="B4028" s="1063">
        <v>43805</v>
      </c>
      <c r="C4028" s="934" t="s">
        <v>13794</v>
      </c>
      <c r="D4028" s="11"/>
      <c r="E4028" s="239" t="s">
        <v>13136</v>
      </c>
      <c r="F4028" s="934" t="s">
        <v>11441</v>
      </c>
      <c r="G4028" s="209" t="s">
        <v>13576</v>
      </c>
      <c r="H4028" s="204" t="s">
        <v>1353</v>
      </c>
      <c r="I4028" s="204" t="s">
        <v>574</v>
      </c>
      <c r="J4028" s="204" t="s">
        <v>13577</v>
      </c>
      <c r="K4028" s="204" t="s">
        <v>13578</v>
      </c>
      <c r="L4028" s="204" t="s">
        <v>1</v>
      </c>
      <c r="M4028" s="204">
        <v>6</v>
      </c>
      <c r="N4028" s="204">
        <v>1</v>
      </c>
      <c r="O4028" s="204">
        <v>6</v>
      </c>
      <c r="P4028" s="204">
        <v>0</v>
      </c>
      <c r="Q4028" s="572">
        <v>0</v>
      </c>
      <c r="R4028" s="1209">
        <v>60</v>
      </c>
      <c r="S4028" s="1209">
        <f t="shared" si="233"/>
        <v>360</v>
      </c>
      <c r="T4028" s="20" t="s">
        <v>13779</v>
      </c>
      <c r="U4028" s="852" t="s">
        <v>13779</v>
      </c>
      <c r="V4028" s="20" t="s">
        <v>13780</v>
      </c>
      <c r="W4028" s="804" t="s">
        <v>13579</v>
      </c>
      <c r="X4028" s="18"/>
      <c r="Y4028" s="4"/>
      <c r="Z4028" s="4"/>
    </row>
    <row r="4029" spans="1:26" ht="14.45" hidden="1">
      <c r="A4029" s="20">
        <f t="shared" si="224"/>
        <v>4036</v>
      </c>
      <c r="B4029" s="1063">
        <v>43806</v>
      </c>
      <c r="C4029" s="934" t="s">
        <v>13795</v>
      </c>
      <c r="D4029" s="11"/>
      <c r="E4029" s="239" t="s">
        <v>13136</v>
      </c>
      <c r="F4029" s="934" t="s">
        <v>11441</v>
      </c>
      <c r="G4029" s="209" t="s">
        <v>13796</v>
      </c>
      <c r="H4029" s="204" t="s">
        <v>13797</v>
      </c>
      <c r="I4029" s="204" t="s">
        <v>574</v>
      </c>
      <c r="J4029" s="204" t="s">
        <v>13582</v>
      </c>
      <c r="K4029" s="204" t="s">
        <v>13583</v>
      </c>
      <c r="L4029" s="204" t="s">
        <v>1</v>
      </c>
      <c r="M4029" s="204">
        <v>6</v>
      </c>
      <c r="N4029" s="204">
        <v>1</v>
      </c>
      <c r="O4029" s="204">
        <v>6</v>
      </c>
      <c r="P4029" s="204">
        <v>0</v>
      </c>
      <c r="Q4029" s="572">
        <v>0</v>
      </c>
      <c r="R4029" s="1209">
        <v>86</v>
      </c>
      <c r="S4029" s="1209">
        <f t="shared" si="233"/>
        <v>516</v>
      </c>
      <c r="T4029" s="20" t="s">
        <v>13779</v>
      </c>
      <c r="U4029" s="852" t="s">
        <v>13779</v>
      </c>
      <c r="V4029" s="20" t="s">
        <v>13780</v>
      </c>
      <c r="W4029" s="681" t="s">
        <v>13584</v>
      </c>
      <c r="X4029" s="18"/>
      <c r="Y4029" s="4"/>
      <c r="Z4029" s="4"/>
    </row>
    <row r="4030" spans="1:26" ht="14.45" hidden="1">
      <c r="A4030" s="20">
        <f t="shared" si="224"/>
        <v>4037</v>
      </c>
      <c r="B4030" s="1063">
        <v>43807</v>
      </c>
      <c r="C4030" s="934" t="s">
        <v>13798</v>
      </c>
      <c r="D4030" s="11"/>
      <c r="E4030" s="239" t="s">
        <v>13136</v>
      </c>
      <c r="F4030" s="934" t="s">
        <v>11441</v>
      </c>
      <c r="G4030" s="209" t="s">
        <v>13566</v>
      </c>
      <c r="H4030" s="204" t="s">
        <v>8952</v>
      </c>
      <c r="I4030" s="204" t="s">
        <v>574</v>
      </c>
      <c r="J4030" s="204" t="s">
        <v>13567</v>
      </c>
      <c r="K4030" s="204" t="s">
        <v>13568</v>
      </c>
      <c r="L4030" s="204" t="s">
        <v>1</v>
      </c>
      <c r="M4030" s="204">
        <v>6</v>
      </c>
      <c r="N4030" s="204">
        <v>1</v>
      </c>
      <c r="O4030" s="204">
        <v>6</v>
      </c>
      <c r="P4030" s="204">
        <v>0</v>
      </c>
      <c r="Q4030" s="572">
        <v>0</v>
      </c>
      <c r="R4030" s="1209">
        <v>157</v>
      </c>
      <c r="S4030" s="1209">
        <f t="shared" si="233"/>
        <v>942</v>
      </c>
      <c r="T4030" s="20" t="s">
        <v>13779</v>
      </c>
      <c r="U4030" s="852" t="s">
        <v>13779</v>
      </c>
      <c r="V4030" s="20" t="s">
        <v>13780</v>
      </c>
      <c r="W4030" s="681" t="s">
        <v>13569</v>
      </c>
      <c r="X4030" s="18"/>
      <c r="Y4030" s="4"/>
      <c r="Z4030" s="4"/>
    </row>
    <row r="4031" spans="1:26" ht="14.45" hidden="1">
      <c r="A4031" s="20">
        <f t="shared" si="224"/>
        <v>4038</v>
      </c>
      <c r="B4031" s="1063">
        <v>43808</v>
      </c>
      <c r="C4031" s="934" t="s">
        <v>13799</v>
      </c>
      <c r="D4031" s="11"/>
      <c r="E4031" s="239" t="s">
        <v>13136</v>
      </c>
      <c r="F4031" s="934" t="s">
        <v>11441</v>
      </c>
      <c r="G4031" s="209" t="s">
        <v>13571</v>
      </c>
      <c r="H4031" s="204" t="s">
        <v>8952</v>
      </c>
      <c r="I4031" s="204" t="s">
        <v>574</v>
      </c>
      <c r="J4031" s="204" t="s">
        <v>13572</v>
      </c>
      <c r="K4031" s="204" t="s">
        <v>13573</v>
      </c>
      <c r="L4031" s="204" t="s">
        <v>1</v>
      </c>
      <c r="M4031" s="204">
        <v>6</v>
      </c>
      <c r="N4031" s="204">
        <v>1</v>
      </c>
      <c r="O4031" s="204">
        <v>6</v>
      </c>
      <c r="P4031" s="204">
        <v>0</v>
      </c>
      <c r="Q4031" s="572">
        <v>0</v>
      </c>
      <c r="R4031" s="1209">
        <v>132</v>
      </c>
      <c r="S4031" s="1209">
        <f t="shared" si="233"/>
        <v>792</v>
      </c>
      <c r="T4031" s="20" t="s">
        <v>13779</v>
      </c>
      <c r="U4031" s="852" t="s">
        <v>13779</v>
      </c>
      <c r="V4031" s="20" t="s">
        <v>13780</v>
      </c>
      <c r="W4031" s="681" t="s">
        <v>13574</v>
      </c>
      <c r="X4031" s="18"/>
      <c r="Y4031" s="4"/>
      <c r="Z4031" s="4"/>
    </row>
    <row r="4032" spans="1:26" ht="14.45" hidden="1">
      <c r="A4032" s="200">
        <f t="shared" si="224"/>
        <v>4039</v>
      </c>
      <c r="B4032" s="1063">
        <v>43809</v>
      </c>
      <c r="C4032" s="970" t="s">
        <v>13800</v>
      </c>
      <c r="D4032" s="515" t="s">
        <v>6</v>
      </c>
      <c r="E4032" s="717" t="s">
        <v>13136</v>
      </c>
      <c r="F4032" s="970" t="s">
        <v>11441</v>
      </c>
      <c r="G4032" s="516" t="s">
        <v>13801</v>
      </c>
      <c r="H4032" s="717" t="s">
        <v>13802</v>
      </c>
      <c r="I4032" s="717" t="s">
        <v>13803</v>
      </c>
      <c r="J4032" s="517" t="s">
        <v>13804</v>
      </c>
      <c r="K4032" s="516" t="s">
        <v>13588</v>
      </c>
      <c r="L4032" s="717" t="s">
        <v>1</v>
      </c>
      <c r="M4032" s="717">
        <v>6</v>
      </c>
      <c r="N4032" s="717">
        <v>1</v>
      </c>
      <c r="O4032" s="717">
        <v>6</v>
      </c>
      <c r="P4032" s="717">
        <v>0</v>
      </c>
      <c r="Q4032" s="718">
        <v>0</v>
      </c>
      <c r="R4032" s="1234">
        <v>295</v>
      </c>
      <c r="S4032" s="1234">
        <f t="shared" si="233"/>
        <v>1770</v>
      </c>
      <c r="T4032" s="200" t="s">
        <v>13779</v>
      </c>
      <c r="U4032" s="1928" t="s">
        <v>13779</v>
      </c>
      <c r="V4032" s="200" t="s">
        <v>13780</v>
      </c>
      <c r="W4032" s="2133" t="s">
        <v>13805</v>
      </c>
      <c r="X4032" s="56"/>
      <c r="Y4032" s="57"/>
      <c r="Z4032" s="57"/>
    </row>
    <row r="4033" spans="1:26" ht="14.1" hidden="1">
      <c r="A4033" s="20">
        <f t="shared" si="224"/>
        <v>4040</v>
      </c>
      <c r="B4033" s="1063">
        <v>43810</v>
      </c>
      <c r="C4033" s="934" t="s">
        <v>13806</v>
      </c>
      <c r="D4033" s="11"/>
      <c r="E4033" s="239" t="s">
        <v>13136</v>
      </c>
      <c r="F4033" s="934" t="s">
        <v>11441</v>
      </c>
      <c r="G4033" s="204" t="s">
        <v>13807</v>
      </c>
      <c r="H4033" s="204" t="s">
        <v>13808</v>
      </c>
      <c r="I4033" s="204" t="s">
        <v>574</v>
      </c>
      <c r="J4033" s="204" t="s">
        <v>13809</v>
      </c>
      <c r="K4033" s="204" t="s">
        <v>13810</v>
      </c>
      <c r="L4033" s="204" t="s">
        <v>1</v>
      </c>
      <c r="M4033" s="204">
        <v>2</v>
      </c>
      <c r="N4033" s="204">
        <v>1</v>
      </c>
      <c r="O4033" s="204">
        <v>2</v>
      </c>
      <c r="P4033" s="204">
        <v>0</v>
      </c>
      <c r="Q4033" s="572">
        <v>0</v>
      </c>
      <c r="R4033" s="1209">
        <v>3237</v>
      </c>
      <c r="S4033" s="1209">
        <f t="shared" si="233"/>
        <v>6474</v>
      </c>
      <c r="T4033" s="20" t="s">
        <v>13811</v>
      </c>
      <c r="U4033" s="852" t="s">
        <v>13811</v>
      </c>
      <c r="V4033" s="20" t="s">
        <v>13780</v>
      </c>
      <c r="W4033" s="804" t="s">
        <v>13812</v>
      </c>
      <c r="X4033" s="18"/>
      <c r="Y4033" s="4"/>
      <c r="Z4033" s="4"/>
    </row>
    <row r="4034" spans="1:26" ht="14.1" hidden="1">
      <c r="A4034" s="20">
        <f t="shared" si="224"/>
        <v>4041</v>
      </c>
      <c r="B4034" s="1063">
        <v>43811</v>
      </c>
      <c r="C4034" s="934" t="s">
        <v>13813</v>
      </c>
      <c r="D4034" s="11"/>
      <c r="E4034" s="239" t="s">
        <v>13136</v>
      </c>
      <c r="F4034" s="934" t="s">
        <v>11441</v>
      </c>
      <c r="G4034" s="204" t="s">
        <v>13814</v>
      </c>
      <c r="H4034" s="204" t="s">
        <v>2920</v>
      </c>
      <c r="I4034" s="204" t="s">
        <v>574</v>
      </c>
      <c r="J4034" s="204" t="s">
        <v>13815</v>
      </c>
      <c r="K4034" s="204">
        <v>1293</v>
      </c>
      <c r="L4034" s="204" t="s">
        <v>1</v>
      </c>
      <c r="M4034" s="204">
        <v>2</v>
      </c>
      <c r="N4034" s="204">
        <v>1</v>
      </c>
      <c r="O4034" s="204">
        <v>2</v>
      </c>
      <c r="P4034" s="204">
        <v>0</v>
      </c>
      <c r="Q4034" s="572">
        <v>0</v>
      </c>
      <c r="R4034" s="1209">
        <v>3477</v>
      </c>
      <c r="S4034" s="1209">
        <f t="shared" si="233"/>
        <v>6954</v>
      </c>
      <c r="T4034" s="20" t="s">
        <v>13811</v>
      </c>
      <c r="U4034" s="852" t="s">
        <v>13811</v>
      </c>
      <c r="V4034" s="20" t="s">
        <v>13780</v>
      </c>
      <c r="W4034" s="681" t="s">
        <v>13816</v>
      </c>
      <c r="X4034" s="18"/>
      <c r="Y4034" s="4"/>
      <c r="Z4034" s="4"/>
    </row>
    <row r="4035" spans="1:26" ht="14.1" hidden="1">
      <c r="A4035" s="20">
        <f t="shared" si="224"/>
        <v>4042</v>
      </c>
      <c r="B4035" s="1063">
        <v>43812</v>
      </c>
      <c r="C4035" s="934" t="s">
        <v>13817</v>
      </c>
      <c r="D4035" s="11"/>
      <c r="E4035" s="239" t="s">
        <v>13136</v>
      </c>
      <c r="F4035" s="934" t="s">
        <v>11441</v>
      </c>
      <c r="G4035" s="518" t="s">
        <v>13818</v>
      </c>
      <c r="H4035" s="204" t="s">
        <v>13819</v>
      </c>
      <c r="I4035" s="204" t="s">
        <v>574</v>
      </c>
      <c r="J4035" s="204" t="s">
        <v>13820</v>
      </c>
      <c r="K4035" s="204" t="s">
        <v>13821</v>
      </c>
      <c r="L4035" s="204" t="s">
        <v>1</v>
      </c>
      <c r="M4035" s="204">
        <v>2</v>
      </c>
      <c r="N4035" s="204">
        <v>1</v>
      </c>
      <c r="O4035" s="204">
        <v>2</v>
      </c>
      <c r="P4035" s="204">
        <v>0</v>
      </c>
      <c r="Q4035" s="572">
        <v>0</v>
      </c>
      <c r="R4035" s="1209">
        <v>2148</v>
      </c>
      <c r="S4035" s="1209">
        <f t="shared" si="233"/>
        <v>4296</v>
      </c>
      <c r="T4035" s="20" t="s">
        <v>13779</v>
      </c>
      <c r="U4035" s="852" t="s">
        <v>13779</v>
      </c>
      <c r="V4035" s="20" t="s">
        <v>13780</v>
      </c>
      <c r="W4035" s="681" t="s">
        <v>13822</v>
      </c>
      <c r="X4035" s="18"/>
      <c r="Y4035" s="4"/>
      <c r="Z4035" s="4"/>
    </row>
    <row r="4036" spans="1:26" ht="14.1" hidden="1">
      <c r="A4036" s="20">
        <f t="shared" si="224"/>
        <v>4043</v>
      </c>
      <c r="B4036" s="1063">
        <v>43813</v>
      </c>
      <c r="C4036" s="519" t="s">
        <v>13823</v>
      </c>
      <c r="D4036" s="11" t="s">
        <v>6</v>
      </c>
      <c r="E4036" s="204" t="s">
        <v>4951</v>
      </c>
      <c r="F4036" s="934" t="s">
        <v>10651</v>
      </c>
      <c r="G4036" s="204" t="s">
        <v>13824</v>
      </c>
      <c r="H4036" s="204" t="s">
        <v>84</v>
      </c>
      <c r="I4036" s="204" t="s">
        <v>84</v>
      </c>
      <c r="J4036" s="204"/>
      <c r="K4036" s="204">
        <v>37597034</v>
      </c>
      <c r="L4036" s="204"/>
      <c r="M4036" s="204">
        <v>3</v>
      </c>
      <c r="N4036" s="204">
        <v>1</v>
      </c>
      <c r="O4036" s="204">
        <v>2</v>
      </c>
      <c r="P4036" s="204">
        <v>0</v>
      </c>
      <c r="Q4036" s="572">
        <v>1</v>
      </c>
      <c r="R4036" s="1209">
        <v>799</v>
      </c>
      <c r="S4036" s="1209">
        <v>2397</v>
      </c>
      <c r="T4036" s="204" t="s">
        <v>12330</v>
      </c>
      <c r="U4036" s="1901" t="s">
        <v>301</v>
      </c>
      <c r="V4036" s="572" t="s">
        <v>10656</v>
      </c>
      <c r="W4036" s="681" t="s">
        <v>13288</v>
      </c>
      <c r="X4036" s="18"/>
      <c r="Y4036" s="4"/>
      <c r="Z4036" s="4"/>
    </row>
    <row r="4037" spans="1:26" ht="14.1" hidden="1">
      <c r="A4037" s="20">
        <f t="shared" si="224"/>
        <v>4044</v>
      </c>
      <c r="B4037" s="1063">
        <v>43814</v>
      </c>
      <c r="C4037" s="519" t="s">
        <v>13823</v>
      </c>
      <c r="D4037" s="11" t="s">
        <v>6</v>
      </c>
      <c r="E4037" s="204" t="s">
        <v>4951</v>
      </c>
      <c r="F4037" s="934" t="s">
        <v>10651</v>
      </c>
      <c r="G4037" s="204" t="s">
        <v>13825</v>
      </c>
      <c r="H4037" s="204" t="s">
        <v>84</v>
      </c>
      <c r="I4037" s="204" t="s">
        <v>84</v>
      </c>
      <c r="J4037" s="204"/>
      <c r="K4037" s="204">
        <v>7329795</v>
      </c>
      <c r="L4037" s="204"/>
      <c r="M4037" s="204">
        <v>2</v>
      </c>
      <c r="N4037" s="204">
        <v>1</v>
      </c>
      <c r="O4037" s="204">
        <v>1</v>
      </c>
      <c r="P4037" s="204">
        <v>0</v>
      </c>
      <c r="Q4037" s="572">
        <v>1</v>
      </c>
      <c r="R4037" s="1209">
        <v>179</v>
      </c>
      <c r="S4037" s="1209">
        <v>358</v>
      </c>
      <c r="T4037" s="204" t="s">
        <v>12330</v>
      </c>
      <c r="U4037" s="1901" t="s">
        <v>301</v>
      </c>
      <c r="V4037" s="572" t="s">
        <v>10656</v>
      </c>
      <c r="W4037" s="681" t="s">
        <v>13288</v>
      </c>
      <c r="X4037" s="18"/>
      <c r="Y4037" s="4"/>
      <c r="Z4037" s="4"/>
    </row>
    <row r="4038" spans="1:26" ht="14.1" hidden="1">
      <c r="A4038" s="20">
        <f t="shared" si="224"/>
        <v>4045</v>
      </c>
      <c r="B4038" s="1063">
        <v>43815</v>
      </c>
      <c r="C4038" s="934" t="s">
        <v>3425</v>
      </c>
      <c r="D4038" s="11" t="s">
        <v>6</v>
      </c>
      <c r="E4038" s="239" t="s">
        <v>13136</v>
      </c>
      <c r="F4038" s="934" t="s">
        <v>2143</v>
      </c>
      <c r="G4038" s="204" t="s">
        <v>13826</v>
      </c>
      <c r="H4038" s="204" t="s">
        <v>7518</v>
      </c>
      <c r="I4038" s="204" t="s">
        <v>76</v>
      </c>
      <c r="J4038" s="204"/>
      <c r="K4038" s="204"/>
      <c r="L4038" s="204"/>
      <c r="M4038" s="204">
        <v>1</v>
      </c>
      <c r="N4038" s="204">
        <v>1</v>
      </c>
      <c r="O4038" s="204">
        <v>1</v>
      </c>
      <c r="P4038" s="204">
        <v>0</v>
      </c>
      <c r="Q4038" s="572">
        <v>0</v>
      </c>
      <c r="R4038" s="1209">
        <v>354</v>
      </c>
      <c r="S4038" s="1209">
        <f t="shared" ref="S4038:S4039" si="234">R4038</f>
        <v>354</v>
      </c>
      <c r="T4038" s="204" t="s">
        <v>118</v>
      </c>
      <c r="U4038" s="1901" t="s">
        <v>929</v>
      </c>
      <c r="V4038" s="572" t="s">
        <v>118</v>
      </c>
      <c r="W4038" s="681" t="s">
        <v>13827</v>
      </c>
      <c r="X4038" s="18"/>
      <c r="Y4038" s="4"/>
      <c r="Z4038" s="4"/>
    </row>
    <row r="4039" spans="1:26" ht="14.1" hidden="1">
      <c r="A4039" s="20">
        <f t="shared" si="224"/>
        <v>4046</v>
      </c>
      <c r="B4039" s="1063">
        <v>43816</v>
      </c>
      <c r="C4039" s="934" t="s">
        <v>13828</v>
      </c>
      <c r="D4039" s="11" t="s">
        <v>6</v>
      </c>
      <c r="E4039" s="239" t="s">
        <v>13136</v>
      </c>
      <c r="F4039" s="934" t="s">
        <v>2143</v>
      </c>
      <c r="G4039" s="204" t="s">
        <v>13829</v>
      </c>
      <c r="H4039" s="204" t="s">
        <v>13830</v>
      </c>
      <c r="I4039" s="204" t="s">
        <v>76</v>
      </c>
      <c r="J4039" s="204"/>
      <c r="K4039" s="204"/>
      <c r="L4039" s="204"/>
      <c r="M4039" s="204">
        <v>1</v>
      </c>
      <c r="N4039" s="204">
        <v>1</v>
      </c>
      <c r="O4039" s="204">
        <v>1</v>
      </c>
      <c r="P4039" s="204">
        <v>0</v>
      </c>
      <c r="Q4039" s="572">
        <v>0</v>
      </c>
      <c r="R4039" s="1209">
        <v>500</v>
      </c>
      <c r="S4039" s="1209">
        <f t="shared" si="234"/>
        <v>500</v>
      </c>
      <c r="T4039" s="204" t="s">
        <v>118</v>
      </c>
      <c r="U4039" s="1901" t="s">
        <v>929</v>
      </c>
      <c r="V4039" s="572" t="s">
        <v>118</v>
      </c>
      <c r="W4039" s="681" t="s">
        <v>13831</v>
      </c>
      <c r="X4039" s="18"/>
      <c r="Y4039" s="4"/>
      <c r="Z4039" s="4"/>
    </row>
    <row r="4040" spans="1:26" ht="14.1" hidden="1">
      <c r="A4040" s="20">
        <f t="shared" si="224"/>
        <v>4047</v>
      </c>
      <c r="B4040" s="1063">
        <v>43817</v>
      </c>
      <c r="C4040" s="934" t="s">
        <v>13832</v>
      </c>
      <c r="D4040" s="11" t="s">
        <v>6</v>
      </c>
      <c r="E4040" s="204" t="s">
        <v>683</v>
      </c>
      <c r="F4040" s="934" t="s">
        <v>10005</v>
      </c>
      <c r="G4040" s="204" t="s">
        <v>13833</v>
      </c>
      <c r="H4040" s="204" t="s">
        <v>310</v>
      </c>
      <c r="I4040" s="204" t="s">
        <v>310</v>
      </c>
      <c r="J4040" s="204" t="s">
        <v>149</v>
      </c>
      <c r="K4040" s="204" t="s">
        <v>13834</v>
      </c>
      <c r="L4040" s="204" t="s">
        <v>13835</v>
      </c>
      <c r="M4040" s="204">
        <v>1</v>
      </c>
      <c r="N4040" s="204">
        <v>1</v>
      </c>
      <c r="O4040" s="204">
        <v>1</v>
      </c>
      <c r="P4040" s="204">
        <v>0</v>
      </c>
      <c r="Q4040" s="572">
        <v>1</v>
      </c>
      <c r="R4040" s="1209">
        <v>358.2</v>
      </c>
      <c r="S4040" s="1209">
        <f t="shared" ref="S4040:S4041" si="235">R4040*O4040</f>
        <v>358.2</v>
      </c>
      <c r="T4040" s="204" t="s">
        <v>4220</v>
      </c>
      <c r="U4040" s="1901" t="s">
        <v>4220</v>
      </c>
      <c r="V4040" s="572" t="s">
        <v>5604</v>
      </c>
      <c r="W4040" s="681" t="s">
        <v>149</v>
      </c>
      <c r="X4040" s="18"/>
      <c r="Y4040" s="4"/>
      <c r="Z4040" s="4"/>
    </row>
    <row r="4041" spans="1:26" ht="14.1" hidden="1">
      <c r="A4041" s="20">
        <f t="shared" si="224"/>
        <v>4048</v>
      </c>
      <c r="B4041" s="1063">
        <v>43818</v>
      </c>
      <c r="C4041" s="934" t="s">
        <v>13836</v>
      </c>
      <c r="D4041" s="11" t="s">
        <v>6</v>
      </c>
      <c r="E4041" s="204" t="s">
        <v>683</v>
      </c>
      <c r="F4041" s="934" t="s">
        <v>10005</v>
      </c>
      <c r="G4041" s="204" t="s">
        <v>13837</v>
      </c>
      <c r="H4041" s="204" t="s">
        <v>310</v>
      </c>
      <c r="I4041" s="204" t="s">
        <v>310</v>
      </c>
      <c r="J4041" s="204" t="s">
        <v>149</v>
      </c>
      <c r="K4041" s="204" t="s">
        <v>13838</v>
      </c>
      <c r="L4041" s="204" t="s">
        <v>13835</v>
      </c>
      <c r="M4041" s="204">
        <v>1</v>
      </c>
      <c r="N4041" s="204">
        <v>1</v>
      </c>
      <c r="O4041" s="204">
        <v>1</v>
      </c>
      <c r="P4041" s="204">
        <v>0</v>
      </c>
      <c r="Q4041" s="572">
        <v>1</v>
      </c>
      <c r="R4041" s="1209">
        <v>403.2</v>
      </c>
      <c r="S4041" s="1209">
        <f t="shared" si="235"/>
        <v>403.2</v>
      </c>
      <c r="T4041" s="204" t="s">
        <v>4220</v>
      </c>
      <c r="U4041" s="1901" t="s">
        <v>4220</v>
      </c>
      <c r="V4041" s="572" t="s">
        <v>5604</v>
      </c>
      <c r="W4041" s="681" t="s">
        <v>149</v>
      </c>
      <c r="X4041" s="18"/>
      <c r="Y4041" s="4"/>
      <c r="Z4041" s="4"/>
    </row>
    <row r="4042" spans="1:26" ht="15.6" hidden="1">
      <c r="A4042" s="20">
        <f t="shared" si="224"/>
        <v>4049</v>
      </c>
      <c r="B4042" s="1063">
        <v>43819</v>
      </c>
      <c r="C4042" s="934" t="s">
        <v>13839</v>
      </c>
      <c r="D4042" s="11" t="s">
        <v>6</v>
      </c>
      <c r="E4042" s="204" t="s">
        <v>13136</v>
      </c>
      <c r="F4042" s="934" t="s">
        <v>11441</v>
      </c>
      <c r="G4042" s="204" t="s">
        <v>13840</v>
      </c>
      <c r="H4042" s="204" t="s">
        <v>12973</v>
      </c>
      <c r="I4042" s="204" t="s">
        <v>7274</v>
      </c>
      <c r="J4042" s="1090">
        <v>2017004011</v>
      </c>
      <c r="K4042" s="520">
        <v>2017004011</v>
      </c>
      <c r="L4042" s="204"/>
      <c r="M4042" s="204">
        <v>1</v>
      </c>
      <c r="N4042" s="204">
        <v>1</v>
      </c>
      <c r="O4042" s="204">
        <v>1</v>
      </c>
      <c r="P4042" s="204">
        <v>0</v>
      </c>
      <c r="Q4042" s="572">
        <v>1</v>
      </c>
      <c r="R4042" s="1209">
        <v>4200</v>
      </c>
      <c r="S4042" s="1209">
        <v>4200</v>
      </c>
      <c r="T4042" s="204" t="s">
        <v>3961</v>
      </c>
      <c r="U4042" s="1901" t="s">
        <v>12081</v>
      </c>
      <c r="V4042" s="572" t="s">
        <v>352</v>
      </c>
      <c r="W4042" s="681" t="s">
        <v>13841</v>
      </c>
      <c r="X4042" s="18"/>
      <c r="Y4042" s="4"/>
      <c r="Z4042" s="4"/>
    </row>
    <row r="4043" spans="1:26" ht="15.6" hidden="1">
      <c r="A4043" s="20">
        <f t="shared" si="224"/>
        <v>4050</v>
      </c>
      <c r="B4043" s="1063">
        <v>43820</v>
      </c>
      <c r="C4043" s="934" t="s">
        <v>13842</v>
      </c>
      <c r="D4043" s="11" t="s">
        <v>6</v>
      </c>
      <c r="E4043" s="204" t="s">
        <v>13136</v>
      </c>
      <c r="F4043" s="934" t="s">
        <v>11441</v>
      </c>
      <c r="G4043" s="521" t="s">
        <v>13843</v>
      </c>
      <c r="H4043" s="204" t="s">
        <v>13844</v>
      </c>
      <c r="I4043" s="204" t="s">
        <v>13153</v>
      </c>
      <c r="J4043" s="204" t="s">
        <v>13845</v>
      </c>
      <c r="K4043" s="522">
        <v>12540801</v>
      </c>
      <c r="L4043" s="204"/>
      <c r="M4043" s="204">
        <v>1</v>
      </c>
      <c r="N4043" s="204">
        <v>1</v>
      </c>
      <c r="O4043" s="204">
        <v>1</v>
      </c>
      <c r="P4043" s="204">
        <v>0</v>
      </c>
      <c r="Q4043" s="572">
        <v>1</v>
      </c>
      <c r="R4043" s="1209">
        <v>7065</v>
      </c>
      <c r="S4043" s="1209">
        <v>7065</v>
      </c>
      <c r="T4043" s="204" t="s">
        <v>3961</v>
      </c>
      <c r="U4043" s="1901" t="s">
        <v>12081</v>
      </c>
      <c r="V4043" s="572" t="s">
        <v>352</v>
      </c>
      <c r="W4043" s="804" t="s">
        <v>13846</v>
      </c>
      <c r="X4043" s="18"/>
      <c r="Y4043" s="4"/>
      <c r="Z4043" s="4"/>
    </row>
    <row r="4044" spans="1:26" ht="15.95" hidden="1">
      <c r="A4044" s="20">
        <f t="shared" si="224"/>
        <v>4051</v>
      </c>
      <c r="B4044" s="1063">
        <v>43821</v>
      </c>
      <c r="C4044" s="1007" t="s">
        <v>13847</v>
      </c>
      <c r="D4044" s="11" t="s">
        <v>6</v>
      </c>
      <c r="E4044" s="204" t="s">
        <v>13136</v>
      </c>
      <c r="F4044" s="934" t="s">
        <v>10696</v>
      </c>
      <c r="G4044" s="775" t="s">
        <v>13848</v>
      </c>
      <c r="H4044" s="204"/>
      <c r="I4044" s="204" t="s">
        <v>84</v>
      </c>
      <c r="J4044" s="204" t="s">
        <v>1</v>
      </c>
      <c r="K4044" s="204" t="s">
        <v>1</v>
      </c>
      <c r="L4044" s="204" t="s">
        <v>1</v>
      </c>
      <c r="M4044" s="204">
        <v>1</v>
      </c>
      <c r="N4044" s="204">
        <v>1</v>
      </c>
      <c r="O4044" s="204">
        <v>1</v>
      </c>
      <c r="P4044" s="204">
        <v>0</v>
      </c>
      <c r="Q4044" s="572">
        <v>1</v>
      </c>
      <c r="R4044" s="1209">
        <v>3290</v>
      </c>
      <c r="S4044" s="1209">
        <v>3290</v>
      </c>
      <c r="T4044" s="204" t="s">
        <v>3961</v>
      </c>
      <c r="U4044" s="1901" t="s">
        <v>3646</v>
      </c>
      <c r="V4044" s="572" t="s">
        <v>352</v>
      </c>
      <c r="W4044" s="681" t="s">
        <v>13849</v>
      </c>
      <c r="X4044" s="18"/>
      <c r="Y4044" s="4"/>
      <c r="Z4044" s="4"/>
    </row>
    <row r="4045" spans="1:26" ht="14.1" hidden="1">
      <c r="A4045" s="20">
        <f t="shared" si="224"/>
        <v>4052</v>
      </c>
      <c r="B4045" s="1063">
        <v>43822</v>
      </c>
      <c r="C4045" s="934" t="s">
        <v>13850</v>
      </c>
      <c r="D4045" s="11" t="s">
        <v>6</v>
      </c>
      <c r="E4045" s="204" t="s">
        <v>13136</v>
      </c>
      <c r="F4045" s="934" t="s">
        <v>10696</v>
      </c>
      <c r="G4045" s="523" t="s">
        <v>13851</v>
      </c>
      <c r="H4045" s="204" t="s">
        <v>84</v>
      </c>
      <c r="I4045" s="204" t="s">
        <v>429</v>
      </c>
      <c r="J4045" s="1089">
        <v>38805173</v>
      </c>
      <c r="K4045" s="204"/>
      <c r="L4045" s="204"/>
      <c r="M4045" s="204">
        <v>1</v>
      </c>
      <c r="N4045" s="204">
        <v>1</v>
      </c>
      <c r="O4045" s="204">
        <v>1</v>
      </c>
      <c r="P4045" s="204">
        <v>0</v>
      </c>
      <c r="Q4045" s="572">
        <v>1</v>
      </c>
      <c r="R4045" s="1209">
        <v>1190</v>
      </c>
      <c r="S4045" s="1209">
        <v>1190</v>
      </c>
      <c r="T4045" s="204" t="s">
        <v>3961</v>
      </c>
      <c r="U4045" s="1901" t="s">
        <v>3646</v>
      </c>
      <c r="V4045" s="572" t="s">
        <v>352</v>
      </c>
      <c r="W4045" s="2143" t="s">
        <v>13852</v>
      </c>
      <c r="X4045" s="18"/>
      <c r="Y4045" s="4"/>
      <c r="Z4045" s="4"/>
    </row>
    <row r="4046" spans="1:26" ht="14.1" hidden="1">
      <c r="A4046" s="20">
        <f t="shared" si="224"/>
        <v>4053</v>
      </c>
      <c r="B4046" s="1063">
        <v>43823</v>
      </c>
      <c r="C4046" s="934" t="s">
        <v>13853</v>
      </c>
      <c r="D4046" s="11" t="s">
        <v>6</v>
      </c>
      <c r="E4046" s="204" t="s">
        <v>62</v>
      </c>
      <c r="F4046" s="934" t="s">
        <v>13854</v>
      </c>
      <c r="G4046" s="204" t="s">
        <v>13855</v>
      </c>
      <c r="H4046" s="204"/>
      <c r="I4046" s="204" t="s">
        <v>1597</v>
      </c>
      <c r="J4046" s="204" t="s">
        <v>11188</v>
      </c>
      <c r="K4046" s="204"/>
      <c r="L4046" s="204"/>
      <c r="M4046" s="204">
        <v>1</v>
      </c>
      <c r="N4046" s="204">
        <v>1</v>
      </c>
      <c r="O4046" s="204">
        <v>1</v>
      </c>
      <c r="P4046" s="204">
        <v>0</v>
      </c>
      <c r="Q4046" s="572">
        <v>0</v>
      </c>
      <c r="R4046" s="1209">
        <v>400</v>
      </c>
      <c r="S4046" s="1273">
        <v>400</v>
      </c>
      <c r="T4046" s="204" t="s">
        <v>13856</v>
      </c>
      <c r="U4046" s="1901" t="s">
        <v>13857</v>
      </c>
      <c r="V4046" s="572" t="s">
        <v>352</v>
      </c>
      <c r="W4046" s="681" t="s">
        <v>13858</v>
      </c>
      <c r="X4046" s="18"/>
      <c r="Y4046" s="4"/>
      <c r="Z4046" s="4"/>
    </row>
    <row r="4047" spans="1:26" ht="15" hidden="1">
      <c r="A4047" s="20">
        <f t="shared" si="224"/>
        <v>4054</v>
      </c>
      <c r="B4047" s="1063">
        <v>43824</v>
      </c>
      <c r="C4047" s="934" t="s">
        <v>13859</v>
      </c>
      <c r="D4047" s="11" t="s">
        <v>6</v>
      </c>
      <c r="E4047" s="204" t="s">
        <v>62</v>
      </c>
      <c r="F4047" s="934" t="s">
        <v>13854</v>
      </c>
      <c r="G4047" s="204" t="s">
        <v>13860</v>
      </c>
      <c r="H4047" s="204" t="s">
        <v>13861</v>
      </c>
      <c r="I4047" s="204" t="s">
        <v>1597</v>
      </c>
      <c r="J4047" s="204" t="s">
        <v>11191</v>
      </c>
      <c r="K4047" s="322">
        <v>269</v>
      </c>
      <c r="L4047" s="204"/>
      <c r="M4047" s="204">
        <v>1</v>
      </c>
      <c r="N4047" s="204">
        <v>1</v>
      </c>
      <c r="O4047" s="204">
        <v>1</v>
      </c>
      <c r="P4047" s="204">
        <v>0</v>
      </c>
      <c r="Q4047" s="572">
        <v>0</v>
      </c>
      <c r="R4047" s="1209">
        <v>1620</v>
      </c>
      <c r="S4047" s="1209">
        <v>1620</v>
      </c>
      <c r="T4047" s="204" t="s">
        <v>13856</v>
      </c>
      <c r="U4047" s="1901" t="s">
        <v>13857</v>
      </c>
      <c r="V4047" s="572" t="s">
        <v>352</v>
      </c>
      <c r="W4047" s="681" t="s">
        <v>11192</v>
      </c>
      <c r="X4047" s="18"/>
      <c r="Y4047" s="4"/>
      <c r="Z4047" s="4"/>
    </row>
    <row r="4048" spans="1:26" ht="14.1" hidden="1">
      <c r="A4048" s="20">
        <f t="shared" si="224"/>
        <v>4055</v>
      </c>
      <c r="B4048" s="1063">
        <v>43825</v>
      </c>
      <c r="C4048" s="934" t="s">
        <v>13862</v>
      </c>
      <c r="D4048" s="11" t="s">
        <v>6</v>
      </c>
      <c r="E4048" s="204" t="s">
        <v>62</v>
      </c>
      <c r="F4048" s="934" t="s">
        <v>13854</v>
      </c>
      <c r="G4048" s="204" t="s">
        <v>13863</v>
      </c>
      <c r="H4048" s="204" t="s">
        <v>13864</v>
      </c>
      <c r="I4048" s="204" t="s">
        <v>1597</v>
      </c>
      <c r="J4048" s="204" t="s">
        <v>12913</v>
      </c>
      <c r="K4048" s="204">
        <v>4582563850842</v>
      </c>
      <c r="L4048" s="204"/>
      <c r="M4048" s="204">
        <v>1</v>
      </c>
      <c r="N4048" s="204">
        <v>1</v>
      </c>
      <c r="O4048" s="204">
        <v>1</v>
      </c>
      <c r="P4048" s="204">
        <v>0</v>
      </c>
      <c r="Q4048" s="572">
        <v>0</v>
      </c>
      <c r="R4048" s="1209">
        <v>620</v>
      </c>
      <c r="S4048" s="1209">
        <v>620</v>
      </c>
      <c r="T4048" s="204" t="s">
        <v>13856</v>
      </c>
      <c r="U4048" s="1901" t="s">
        <v>13857</v>
      </c>
      <c r="V4048" s="572" t="s">
        <v>352</v>
      </c>
      <c r="W4048" s="681" t="s">
        <v>12915</v>
      </c>
      <c r="X4048" s="18"/>
      <c r="Y4048" s="4"/>
      <c r="Z4048" s="4"/>
    </row>
    <row r="4049" spans="1:26" ht="14.1" hidden="1">
      <c r="A4049" s="20">
        <f t="shared" si="224"/>
        <v>4056</v>
      </c>
      <c r="B4049" s="1063">
        <v>43826</v>
      </c>
      <c r="C4049" s="934" t="s">
        <v>13865</v>
      </c>
      <c r="D4049" s="11" t="s">
        <v>6</v>
      </c>
      <c r="E4049" s="204" t="s">
        <v>62</v>
      </c>
      <c r="F4049" s="934" t="s">
        <v>13854</v>
      </c>
      <c r="G4049" s="204" t="s">
        <v>13866</v>
      </c>
      <c r="H4049" s="204" t="s">
        <v>6984</v>
      </c>
      <c r="I4049" s="204" t="s">
        <v>13867</v>
      </c>
      <c r="J4049" s="204" t="s">
        <v>13868</v>
      </c>
      <c r="K4049" s="204" t="s">
        <v>13869</v>
      </c>
      <c r="L4049" s="204"/>
      <c r="M4049" s="204">
        <v>1</v>
      </c>
      <c r="N4049" s="204">
        <v>1</v>
      </c>
      <c r="O4049" s="204">
        <v>1</v>
      </c>
      <c r="P4049" s="204">
        <v>0</v>
      </c>
      <c r="Q4049" s="572">
        <v>0</v>
      </c>
      <c r="R4049" s="1209">
        <v>1937</v>
      </c>
      <c r="S4049" s="1209">
        <v>1937</v>
      </c>
      <c r="T4049" s="204" t="s">
        <v>13856</v>
      </c>
      <c r="U4049" s="1901" t="s">
        <v>13857</v>
      </c>
      <c r="V4049" s="572" t="s">
        <v>352</v>
      </c>
      <c r="W4049" s="681" t="s">
        <v>13870</v>
      </c>
      <c r="X4049" s="18"/>
      <c r="Y4049" s="4"/>
      <c r="Z4049" s="4"/>
    </row>
    <row r="4050" spans="1:26" ht="15" hidden="1">
      <c r="A4050" s="20">
        <f t="shared" si="224"/>
        <v>4057</v>
      </c>
      <c r="B4050" s="1063">
        <v>43827</v>
      </c>
      <c r="C4050" s="934" t="s">
        <v>13871</v>
      </c>
      <c r="D4050" s="11" t="s">
        <v>6</v>
      </c>
      <c r="E4050" s="204" t="s">
        <v>62</v>
      </c>
      <c r="F4050" s="934" t="s">
        <v>13854</v>
      </c>
      <c r="G4050" s="322" t="s">
        <v>13872</v>
      </c>
      <c r="H4050" s="204" t="s">
        <v>13873</v>
      </c>
      <c r="I4050" s="204" t="s">
        <v>1597</v>
      </c>
      <c r="J4050" s="204" t="s">
        <v>13874</v>
      </c>
      <c r="K4050" s="204" t="s">
        <v>13875</v>
      </c>
      <c r="L4050" s="204"/>
      <c r="M4050" s="204">
        <v>1</v>
      </c>
      <c r="N4050" s="204">
        <v>1</v>
      </c>
      <c r="O4050" s="204">
        <v>1</v>
      </c>
      <c r="P4050" s="204">
        <v>0</v>
      </c>
      <c r="Q4050" s="572">
        <v>0</v>
      </c>
      <c r="R4050" s="1209">
        <v>50</v>
      </c>
      <c r="S4050" s="1209">
        <v>50</v>
      </c>
      <c r="T4050" s="204" t="s">
        <v>13856</v>
      </c>
      <c r="U4050" s="1901" t="s">
        <v>13857</v>
      </c>
      <c r="V4050" s="572" t="s">
        <v>352</v>
      </c>
      <c r="W4050" s="681" t="s">
        <v>13876</v>
      </c>
      <c r="X4050" s="18"/>
      <c r="Y4050" s="4"/>
      <c r="Z4050" s="4"/>
    </row>
    <row r="4051" spans="1:26" ht="24.95" hidden="1">
      <c r="A4051" s="20">
        <f t="shared" si="224"/>
        <v>4058</v>
      </c>
      <c r="B4051" s="1063">
        <v>43828</v>
      </c>
      <c r="C4051" s="934" t="s">
        <v>13877</v>
      </c>
      <c r="D4051" s="11" t="s">
        <v>6</v>
      </c>
      <c r="E4051" s="204" t="s">
        <v>13878</v>
      </c>
      <c r="F4051" s="934" t="s">
        <v>11438</v>
      </c>
      <c r="G4051" s="204" t="s">
        <v>13879</v>
      </c>
      <c r="H4051" s="204" t="s">
        <v>11546</v>
      </c>
      <c r="I4051" s="160" t="s">
        <v>13880</v>
      </c>
      <c r="J4051" s="160" t="s">
        <v>13881</v>
      </c>
      <c r="K4051" s="204" t="s">
        <v>11549</v>
      </c>
      <c r="L4051" s="204"/>
      <c r="M4051" s="204">
        <v>64</v>
      </c>
      <c r="N4051" s="204">
        <v>1</v>
      </c>
      <c r="O4051" s="204">
        <v>24</v>
      </c>
      <c r="P4051" s="204">
        <v>40</v>
      </c>
      <c r="Q4051" s="572">
        <v>0</v>
      </c>
      <c r="R4051" s="1209">
        <v>36000</v>
      </c>
      <c r="S4051" s="1209">
        <v>894000</v>
      </c>
      <c r="T4051" s="204" t="s">
        <v>13882</v>
      </c>
      <c r="U4051" s="1901" t="s">
        <v>448</v>
      </c>
      <c r="V4051" s="572" t="s">
        <v>3342</v>
      </c>
      <c r="W4051" s="681" t="s">
        <v>11551</v>
      </c>
      <c r="X4051" s="18"/>
      <c r="Y4051" s="4"/>
      <c r="Z4051" s="4"/>
    </row>
    <row r="4052" spans="1:26" ht="14.1" hidden="1">
      <c r="A4052" s="20">
        <f t="shared" si="224"/>
        <v>4059</v>
      </c>
      <c r="B4052" s="1063">
        <v>43829</v>
      </c>
      <c r="C4052" s="934" t="s">
        <v>13883</v>
      </c>
      <c r="D4052" s="11"/>
      <c r="E4052" s="204" t="s">
        <v>13136</v>
      </c>
      <c r="F4052" s="934" t="s">
        <v>11441</v>
      </c>
      <c r="G4052" s="204" t="s">
        <v>13884</v>
      </c>
      <c r="H4052" s="204" t="s">
        <v>11998</v>
      </c>
      <c r="I4052" s="204" t="s">
        <v>13885</v>
      </c>
      <c r="J4052" s="20" t="s">
        <v>1330</v>
      </c>
      <c r="K4052" s="20" t="s">
        <v>1330</v>
      </c>
      <c r="L4052" s="204"/>
      <c r="M4052" s="204">
        <v>2</v>
      </c>
      <c r="N4052" s="204">
        <v>1</v>
      </c>
      <c r="O4052" s="204">
        <v>2</v>
      </c>
      <c r="P4052" s="204">
        <v>0</v>
      </c>
      <c r="Q4052" s="572">
        <v>0</v>
      </c>
      <c r="R4052" s="1209">
        <v>70000</v>
      </c>
      <c r="S4052" s="1209">
        <v>140000</v>
      </c>
      <c r="T4052" s="20" t="s">
        <v>13779</v>
      </c>
      <c r="U4052" s="852" t="s">
        <v>13886</v>
      </c>
      <c r="V4052" s="572" t="s">
        <v>13780</v>
      </c>
      <c r="W4052" s="681"/>
      <c r="X4052" s="18"/>
      <c r="Y4052" s="4"/>
      <c r="Z4052" s="4"/>
    </row>
    <row r="4053" spans="1:26" ht="14.1" hidden="1">
      <c r="A4053" s="20">
        <f t="shared" si="224"/>
        <v>4060</v>
      </c>
      <c r="B4053" s="1063">
        <v>43830</v>
      </c>
      <c r="C4053" s="934" t="s">
        <v>13887</v>
      </c>
      <c r="D4053" s="11"/>
      <c r="E4053" s="189" t="s">
        <v>572</v>
      </c>
      <c r="F4053" s="934" t="s">
        <v>13888</v>
      </c>
      <c r="G4053" s="204"/>
      <c r="H4053" s="204" t="s">
        <v>230</v>
      </c>
      <c r="I4053" s="204" t="s">
        <v>13153</v>
      </c>
      <c r="J4053" s="204" t="s">
        <v>12816</v>
      </c>
      <c r="K4053" s="204" t="s">
        <v>4896</v>
      </c>
      <c r="L4053" s="204"/>
      <c r="M4053" s="204">
        <v>2</v>
      </c>
      <c r="N4053" s="204">
        <v>1</v>
      </c>
      <c r="O4053" s="204">
        <v>2</v>
      </c>
      <c r="P4053" s="204">
        <v>0</v>
      </c>
      <c r="Q4053" s="572">
        <v>1</v>
      </c>
      <c r="R4053" s="1209">
        <v>9390</v>
      </c>
      <c r="S4053" s="1209">
        <v>18780</v>
      </c>
      <c r="T4053" s="204" t="s">
        <v>311</v>
      </c>
      <c r="U4053" s="1901" t="s">
        <v>311</v>
      </c>
      <c r="V4053" s="572" t="s">
        <v>2875</v>
      </c>
      <c r="W4053" s="804" t="s">
        <v>13889</v>
      </c>
      <c r="X4053" s="18"/>
      <c r="Y4053" s="4"/>
      <c r="Z4053" s="4"/>
    </row>
    <row r="4054" spans="1:26" ht="14.45" hidden="1">
      <c r="A4054" s="20">
        <f t="shared" si="224"/>
        <v>4061</v>
      </c>
      <c r="B4054" s="1063">
        <v>43831</v>
      </c>
      <c r="C4054" s="934" t="s">
        <v>10125</v>
      </c>
      <c r="D4054" s="11"/>
      <c r="E4054" s="204" t="s">
        <v>13890</v>
      </c>
      <c r="F4054" s="934" t="s">
        <v>11438</v>
      </c>
      <c r="G4054" s="204" t="s">
        <v>5685</v>
      </c>
      <c r="H4054" s="204" t="s">
        <v>5686</v>
      </c>
      <c r="I4054" s="204" t="s">
        <v>13891</v>
      </c>
      <c r="J4054" s="20" t="s">
        <v>5687</v>
      </c>
      <c r="K4054" s="189" t="s">
        <v>299</v>
      </c>
      <c r="L4054" s="204" t="s">
        <v>5416</v>
      </c>
      <c r="M4054" s="204">
        <v>100</v>
      </c>
      <c r="N4054" s="204">
        <v>1</v>
      </c>
      <c r="O4054" s="204">
        <v>100</v>
      </c>
      <c r="P4054" s="204">
        <v>6</v>
      </c>
      <c r="Q4054" s="572">
        <v>0</v>
      </c>
      <c r="R4054" s="1209">
        <v>125.51</v>
      </c>
      <c r="S4054" s="1209">
        <v>12550.62</v>
      </c>
      <c r="T4054" s="204" t="s">
        <v>3961</v>
      </c>
      <c r="U4054" s="1901" t="s">
        <v>448</v>
      </c>
      <c r="V4054" s="572" t="s">
        <v>352</v>
      </c>
      <c r="W4054" s="727" t="s">
        <v>10126</v>
      </c>
      <c r="X4054" s="18"/>
      <c r="Y4054" s="4"/>
      <c r="Z4054" s="4"/>
    </row>
    <row r="4055" spans="1:26" ht="14.1" hidden="1">
      <c r="A4055" s="20">
        <v>20</v>
      </c>
      <c r="B4055" s="1063">
        <v>43832</v>
      </c>
      <c r="C4055" s="934" t="s">
        <v>11439</v>
      </c>
      <c r="D4055" s="11"/>
      <c r="E4055" s="204" t="s">
        <v>13890</v>
      </c>
      <c r="F4055" s="934" t="s">
        <v>11438</v>
      </c>
      <c r="G4055" s="204" t="s">
        <v>4547</v>
      </c>
      <c r="H4055" s="204" t="s">
        <v>7942</v>
      </c>
      <c r="I4055" s="204" t="s">
        <v>13891</v>
      </c>
      <c r="J4055" s="204" t="s">
        <v>4548</v>
      </c>
      <c r="K4055" s="204" t="s">
        <v>1</v>
      </c>
      <c r="L4055" s="204"/>
      <c r="M4055" s="204">
        <v>50</v>
      </c>
      <c r="N4055" s="204">
        <v>100</v>
      </c>
      <c r="O4055" s="204">
        <v>100</v>
      </c>
      <c r="P4055" s="204">
        <v>7</v>
      </c>
      <c r="Q4055" s="572">
        <v>57</v>
      </c>
      <c r="R4055" s="1209">
        <v>3.26</v>
      </c>
      <c r="S4055" s="1209">
        <v>345</v>
      </c>
      <c r="T4055" s="204" t="s">
        <v>3961</v>
      </c>
      <c r="U4055" s="1901" t="s">
        <v>448</v>
      </c>
      <c r="V4055" s="572" t="s">
        <v>352</v>
      </c>
      <c r="W4055" s="681" t="s">
        <v>13892</v>
      </c>
      <c r="X4055" s="18"/>
      <c r="Y4055" s="4"/>
      <c r="Z4055" s="4"/>
    </row>
    <row r="4056" spans="1:26" ht="14.1" hidden="1">
      <c r="A4056" s="20">
        <f t="shared" si="224"/>
        <v>21</v>
      </c>
      <c r="B4056" s="1063">
        <v>43833</v>
      </c>
      <c r="C4056" s="934" t="s">
        <v>13893</v>
      </c>
      <c r="D4056" s="11"/>
      <c r="E4056" s="204" t="s">
        <v>13890</v>
      </c>
      <c r="F4056" s="934" t="s">
        <v>11438</v>
      </c>
      <c r="G4056" s="204" t="s">
        <v>5908</v>
      </c>
      <c r="H4056" s="204" t="s">
        <v>1143</v>
      </c>
      <c r="I4056" s="204" t="s">
        <v>13891</v>
      </c>
      <c r="J4056" s="204" t="s">
        <v>5909</v>
      </c>
      <c r="K4056" s="204">
        <v>50212100</v>
      </c>
      <c r="L4056" s="204"/>
      <c r="M4056" s="204">
        <v>12</v>
      </c>
      <c r="N4056" s="204">
        <v>1</v>
      </c>
      <c r="O4056" s="204">
        <v>50</v>
      </c>
      <c r="P4056" s="204">
        <v>0</v>
      </c>
      <c r="Q4056" s="572">
        <v>38</v>
      </c>
      <c r="R4056" s="1209">
        <v>25.48</v>
      </c>
      <c r="S4056" s="1209">
        <v>1273.76</v>
      </c>
      <c r="T4056" s="204" t="s">
        <v>3961</v>
      </c>
      <c r="U4056" s="1901" t="s">
        <v>448</v>
      </c>
      <c r="V4056" s="572" t="s">
        <v>352</v>
      </c>
      <c r="W4056" s="681" t="s">
        <v>1146</v>
      </c>
      <c r="X4056" s="18"/>
      <c r="Y4056" s="4"/>
      <c r="Z4056" s="4"/>
    </row>
    <row r="4057" spans="1:26" ht="14.1" hidden="1">
      <c r="A4057" s="20">
        <f t="shared" si="224"/>
        <v>22</v>
      </c>
      <c r="B4057" s="1063">
        <v>43834</v>
      </c>
      <c r="C4057" s="934" t="s">
        <v>13894</v>
      </c>
      <c r="D4057" s="11"/>
      <c r="E4057" s="189" t="s">
        <v>13136</v>
      </c>
      <c r="F4057" s="934" t="s">
        <v>11438</v>
      </c>
      <c r="G4057" s="204" t="s">
        <v>13894</v>
      </c>
      <c r="H4057" s="204" t="s">
        <v>12842</v>
      </c>
      <c r="I4057" s="204" t="s">
        <v>84</v>
      </c>
      <c r="J4057" s="204">
        <v>6393615</v>
      </c>
      <c r="K4057" s="204" t="s">
        <v>12843</v>
      </c>
      <c r="L4057" s="204"/>
      <c r="M4057" s="204">
        <v>1</v>
      </c>
      <c r="N4057" s="204">
        <v>1</v>
      </c>
      <c r="O4057" s="204">
        <v>1</v>
      </c>
      <c r="P4057" s="204">
        <v>0</v>
      </c>
      <c r="Q4057" s="572">
        <v>0</v>
      </c>
      <c r="R4057" s="1209">
        <v>2390</v>
      </c>
      <c r="S4057" s="1209">
        <v>2390</v>
      </c>
      <c r="T4057" s="204" t="s">
        <v>3961</v>
      </c>
      <c r="U4057" s="1901" t="s">
        <v>448</v>
      </c>
      <c r="V4057" s="572" t="s">
        <v>3342</v>
      </c>
      <c r="W4057" s="681" t="s">
        <v>13895</v>
      </c>
      <c r="X4057" s="18"/>
      <c r="Y4057" s="4"/>
      <c r="Z4057" s="4"/>
    </row>
    <row r="4058" spans="1:26" ht="14.1" hidden="1">
      <c r="A4058" s="20">
        <f t="shared" si="224"/>
        <v>23</v>
      </c>
      <c r="B4058" s="1063">
        <v>43835</v>
      </c>
      <c r="C4058" s="934" t="s">
        <v>13896</v>
      </c>
      <c r="D4058" s="11"/>
      <c r="E4058" s="204" t="s">
        <v>13890</v>
      </c>
      <c r="F4058" s="934" t="s">
        <v>11438</v>
      </c>
      <c r="G4058" s="204" t="s">
        <v>13896</v>
      </c>
      <c r="H4058" s="204" t="s">
        <v>12842</v>
      </c>
      <c r="I4058" s="204" t="s">
        <v>84</v>
      </c>
      <c r="J4058" s="204">
        <v>6393624</v>
      </c>
      <c r="K4058" s="204" t="s">
        <v>12843</v>
      </c>
      <c r="L4058" s="204"/>
      <c r="M4058" s="204">
        <v>1</v>
      </c>
      <c r="N4058" s="204">
        <v>1</v>
      </c>
      <c r="O4058" s="204">
        <v>1</v>
      </c>
      <c r="P4058" s="204">
        <v>0</v>
      </c>
      <c r="Q4058" s="572">
        <v>0</v>
      </c>
      <c r="R4058" s="1209">
        <v>2990</v>
      </c>
      <c r="S4058" s="1209">
        <v>2990</v>
      </c>
      <c r="T4058" s="204" t="s">
        <v>3961</v>
      </c>
      <c r="U4058" s="1901" t="s">
        <v>448</v>
      </c>
      <c r="V4058" s="572" t="s">
        <v>3342</v>
      </c>
      <c r="W4058" s="681" t="s">
        <v>13897</v>
      </c>
      <c r="X4058" s="18"/>
      <c r="Y4058" s="4"/>
      <c r="Z4058" s="4"/>
    </row>
    <row r="4059" spans="1:26" ht="14.1" hidden="1">
      <c r="A4059" s="20">
        <f t="shared" si="224"/>
        <v>24</v>
      </c>
      <c r="B4059" s="1063">
        <v>43836</v>
      </c>
      <c r="C4059" s="934" t="s">
        <v>13898</v>
      </c>
      <c r="D4059" s="11"/>
      <c r="E4059" s="204" t="s">
        <v>572</v>
      </c>
      <c r="F4059" s="934" t="s">
        <v>784</v>
      </c>
      <c r="G4059" s="204" t="s">
        <v>13899</v>
      </c>
      <c r="H4059" s="204" t="s">
        <v>13249</v>
      </c>
      <c r="I4059" s="204" t="s">
        <v>281</v>
      </c>
      <c r="J4059" s="204" t="s">
        <v>13900</v>
      </c>
      <c r="K4059" s="204" t="s">
        <v>13901</v>
      </c>
      <c r="L4059" s="204"/>
      <c r="M4059" s="204">
        <v>5</v>
      </c>
      <c r="N4059" s="204">
        <v>1</v>
      </c>
      <c r="O4059" s="204">
        <v>5</v>
      </c>
      <c r="P4059" s="204">
        <v>0</v>
      </c>
      <c r="Q4059" s="572">
        <v>0</v>
      </c>
      <c r="R4059" s="1209">
        <v>3800</v>
      </c>
      <c r="S4059" s="1209">
        <f t="shared" ref="S4059:S4067" si="236">R4059*O4059</f>
        <v>19000</v>
      </c>
      <c r="T4059" s="204" t="s">
        <v>10016</v>
      </c>
      <c r="U4059" s="1901" t="s">
        <v>10016</v>
      </c>
      <c r="V4059" s="572" t="s">
        <v>10323</v>
      </c>
      <c r="W4059" s="681" t="s">
        <v>13902</v>
      </c>
      <c r="X4059" s="18"/>
      <c r="Y4059" s="4"/>
      <c r="Z4059" s="4"/>
    </row>
    <row r="4060" spans="1:26" ht="14.1" hidden="1">
      <c r="A4060" s="20">
        <f t="shared" si="224"/>
        <v>25</v>
      </c>
      <c r="B4060" s="1063">
        <v>43837</v>
      </c>
      <c r="C4060" s="934" t="s">
        <v>13383</v>
      </c>
      <c r="D4060" s="11"/>
      <c r="E4060" s="204" t="s">
        <v>572</v>
      </c>
      <c r="F4060" s="934" t="s">
        <v>784</v>
      </c>
      <c r="G4060" s="204" t="s">
        <v>13903</v>
      </c>
      <c r="H4060" s="204" t="s">
        <v>13249</v>
      </c>
      <c r="I4060" s="204" t="s">
        <v>281</v>
      </c>
      <c r="J4060" s="204" t="s">
        <v>13904</v>
      </c>
      <c r="K4060" s="204" t="s">
        <v>13905</v>
      </c>
      <c r="L4060" s="204"/>
      <c r="M4060" s="204">
        <v>10</v>
      </c>
      <c r="N4060" s="204">
        <v>1</v>
      </c>
      <c r="O4060" s="204">
        <v>10</v>
      </c>
      <c r="P4060" s="204">
        <v>0</v>
      </c>
      <c r="Q4060" s="572">
        <v>0</v>
      </c>
      <c r="R4060" s="1209">
        <v>846.8</v>
      </c>
      <c r="S4060" s="1209">
        <f t="shared" si="236"/>
        <v>8468</v>
      </c>
      <c r="T4060" s="204" t="s">
        <v>10016</v>
      </c>
      <c r="U4060" s="1901" t="s">
        <v>10016</v>
      </c>
      <c r="V4060" s="572" t="s">
        <v>10323</v>
      </c>
      <c r="W4060" s="681" t="s">
        <v>13906</v>
      </c>
      <c r="X4060" s="18"/>
      <c r="Y4060" s="4"/>
      <c r="Z4060" s="4"/>
    </row>
    <row r="4061" spans="1:26" ht="14.1" hidden="1">
      <c r="A4061" s="20">
        <f t="shared" si="224"/>
        <v>26</v>
      </c>
      <c r="B4061" s="1063">
        <v>43838</v>
      </c>
      <c r="C4061" s="934" t="s">
        <v>13907</v>
      </c>
      <c r="D4061" s="11"/>
      <c r="E4061" s="204" t="s">
        <v>572</v>
      </c>
      <c r="F4061" s="934" t="s">
        <v>784</v>
      </c>
      <c r="G4061" s="204" t="s">
        <v>13907</v>
      </c>
      <c r="H4061" s="204" t="s">
        <v>13249</v>
      </c>
      <c r="I4061" s="204" t="s">
        <v>281</v>
      </c>
      <c r="J4061" s="204" t="s">
        <v>13908</v>
      </c>
      <c r="K4061" s="204" t="s">
        <v>13909</v>
      </c>
      <c r="L4061" s="204"/>
      <c r="M4061" s="204">
        <v>10</v>
      </c>
      <c r="N4061" s="204">
        <v>1</v>
      </c>
      <c r="O4061" s="204">
        <v>10</v>
      </c>
      <c r="P4061" s="204">
        <v>0</v>
      </c>
      <c r="Q4061" s="572">
        <v>0</v>
      </c>
      <c r="R4061" s="1209">
        <v>287</v>
      </c>
      <c r="S4061" s="1209">
        <f t="shared" si="236"/>
        <v>2870</v>
      </c>
      <c r="T4061" s="204" t="s">
        <v>10016</v>
      </c>
      <c r="U4061" s="1901" t="s">
        <v>10016</v>
      </c>
      <c r="V4061" s="572" t="s">
        <v>10323</v>
      </c>
      <c r="W4061" s="681" t="s">
        <v>13910</v>
      </c>
      <c r="X4061" s="18"/>
      <c r="Y4061" s="4"/>
      <c r="Z4061" s="4"/>
    </row>
    <row r="4062" spans="1:26" ht="14.1" hidden="1">
      <c r="A4062" s="20">
        <f t="shared" si="224"/>
        <v>27</v>
      </c>
      <c r="B4062" s="1063">
        <v>43839</v>
      </c>
      <c r="C4062" s="934" t="s">
        <v>13911</v>
      </c>
      <c r="D4062" s="11"/>
      <c r="E4062" s="204" t="s">
        <v>572</v>
      </c>
      <c r="F4062" s="934" t="s">
        <v>784</v>
      </c>
      <c r="G4062" s="204" t="s">
        <v>13912</v>
      </c>
      <c r="H4062" s="204" t="s">
        <v>1085</v>
      </c>
      <c r="I4062" s="204" t="s">
        <v>281</v>
      </c>
      <c r="J4062" s="204" t="s">
        <v>13913</v>
      </c>
      <c r="K4062" s="204" t="s">
        <v>13914</v>
      </c>
      <c r="L4062" s="204"/>
      <c r="M4062" s="204">
        <v>20</v>
      </c>
      <c r="N4062" s="204">
        <v>1</v>
      </c>
      <c r="O4062" s="204">
        <v>20</v>
      </c>
      <c r="P4062" s="204">
        <v>0</v>
      </c>
      <c r="Q4062" s="572">
        <v>0</v>
      </c>
      <c r="R4062" s="1209">
        <v>478.5</v>
      </c>
      <c r="S4062" s="1209">
        <f t="shared" si="236"/>
        <v>9570</v>
      </c>
      <c r="T4062" s="204" t="s">
        <v>10016</v>
      </c>
      <c r="U4062" s="1901" t="s">
        <v>10016</v>
      </c>
      <c r="V4062" s="572" t="s">
        <v>10323</v>
      </c>
      <c r="W4062" s="681" t="s">
        <v>13915</v>
      </c>
      <c r="X4062" s="18"/>
      <c r="Y4062" s="4"/>
      <c r="Z4062" s="4"/>
    </row>
    <row r="4063" spans="1:26" ht="15.6" hidden="1">
      <c r="A4063" s="20">
        <f t="shared" si="224"/>
        <v>28</v>
      </c>
      <c r="B4063" s="1063">
        <v>43840</v>
      </c>
      <c r="C4063" s="934" t="s">
        <v>13916</v>
      </c>
      <c r="D4063" s="11"/>
      <c r="E4063" s="204" t="s">
        <v>572</v>
      </c>
      <c r="F4063" s="934" t="s">
        <v>784</v>
      </c>
      <c r="G4063" s="204" t="s">
        <v>13916</v>
      </c>
      <c r="H4063" s="189" t="s">
        <v>13249</v>
      </c>
      <c r="I4063" s="204" t="s">
        <v>4634</v>
      </c>
      <c r="J4063" s="524" t="s">
        <v>13917</v>
      </c>
      <c r="K4063" s="204" t="s">
        <v>13918</v>
      </c>
      <c r="L4063" s="204"/>
      <c r="M4063" s="204">
        <v>10</v>
      </c>
      <c r="N4063" s="204">
        <v>1</v>
      </c>
      <c r="O4063" s="204">
        <v>10</v>
      </c>
      <c r="P4063" s="204">
        <v>0</v>
      </c>
      <c r="Q4063" s="572">
        <v>0</v>
      </c>
      <c r="R4063" s="1331">
        <v>355.2</v>
      </c>
      <c r="S4063" s="1209">
        <f t="shared" si="236"/>
        <v>3552</v>
      </c>
      <c r="T4063" s="204" t="s">
        <v>10016</v>
      </c>
      <c r="U4063" s="1901" t="s">
        <v>10016</v>
      </c>
      <c r="V4063" s="572" t="s">
        <v>10323</v>
      </c>
      <c r="W4063" s="681" t="s">
        <v>13919</v>
      </c>
      <c r="X4063" s="18"/>
      <c r="Y4063" s="4"/>
      <c r="Z4063" s="4"/>
    </row>
    <row r="4064" spans="1:26" ht="14.1" hidden="1">
      <c r="A4064" s="20">
        <f t="shared" si="224"/>
        <v>29</v>
      </c>
      <c r="B4064" s="1063">
        <v>43841</v>
      </c>
      <c r="C4064" s="934" t="s">
        <v>13920</v>
      </c>
      <c r="D4064" s="11"/>
      <c r="E4064" s="204" t="s">
        <v>572</v>
      </c>
      <c r="F4064" s="934" t="s">
        <v>784</v>
      </c>
      <c r="G4064" s="204" t="s">
        <v>13921</v>
      </c>
      <c r="H4064" s="204" t="s">
        <v>13249</v>
      </c>
      <c r="I4064" s="204" t="s">
        <v>4634</v>
      </c>
      <c r="J4064" s="204" t="s">
        <v>13922</v>
      </c>
      <c r="K4064" s="204" t="s">
        <v>13923</v>
      </c>
      <c r="L4064" s="204"/>
      <c r="M4064" s="204">
        <v>10</v>
      </c>
      <c r="N4064" s="204">
        <v>1</v>
      </c>
      <c r="O4064" s="204">
        <v>10</v>
      </c>
      <c r="P4064" s="204">
        <v>0</v>
      </c>
      <c r="Q4064" s="572">
        <v>0</v>
      </c>
      <c r="R4064" s="1209">
        <v>420.1</v>
      </c>
      <c r="S4064" s="1209">
        <f t="shared" si="236"/>
        <v>4201</v>
      </c>
      <c r="T4064" s="204" t="s">
        <v>10016</v>
      </c>
      <c r="U4064" s="1901" t="s">
        <v>10016</v>
      </c>
      <c r="V4064" s="572" t="s">
        <v>10323</v>
      </c>
      <c r="W4064" s="681" t="s">
        <v>13924</v>
      </c>
      <c r="X4064" s="18"/>
      <c r="Y4064" s="4"/>
      <c r="Z4064" s="4"/>
    </row>
    <row r="4065" spans="1:26" ht="14.1" hidden="1">
      <c r="A4065" s="20">
        <f t="shared" si="224"/>
        <v>30</v>
      </c>
      <c r="B4065" s="1063">
        <v>43842</v>
      </c>
      <c r="C4065" s="934" t="s">
        <v>13925</v>
      </c>
      <c r="D4065" s="11"/>
      <c r="E4065" s="204" t="s">
        <v>572</v>
      </c>
      <c r="F4065" s="934" t="s">
        <v>784</v>
      </c>
      <c r="G4065" s="204" t="s">
        <v>13926</v>
      </c>
      <c r="H4065" s="204" t="s">
        <v>13927</v>
      </c>
      <c r="I4065" s="204" t="s">
        <v>13927</v>
      </c>
      <c r="J4065" s="204" t="s">
        <v>13928</v>
      </c>
      <c r="K4065" s="204" t="s">
        <v>13928</v>
      </c>
      <c r="L4065" s="204"/>
      <c r="M4065" s="204">
        <v>20</v>
      </c>
      <c r="N4065" s="204">
        <v>20</v>
      </c>
      <c r="O4065" s="204">
        <v>20</v>
      </c>
      <c r="P4065" s="204">
        <v>0</v>
      </c>
      <c r="Q4065" s="572">
        <v>0</v>
      </c>
      <c r="R4065" s="1209">
        <v>350</v>
      </c>
      <c r="S4065" s="1209">
        <f t="shared" si="236"/>
        <v>7000</v>
      </c>
      <c r="T4065" s="204" t="s">
        <v>10016</v>
      </c>
      <c r="U4065" s="1901" t="s">
        <v>10016</v>
      </c>
      <c r="V4065" s="572" t="s">
        <v>10323</v>
      </c>
      <c r="W4065" s="681"/>
      <c r="X4065" s="18"/>
      <c r="Y4065" s="4"/>
      <c r="Z4065" s="4"/>
    </row>
    <row r="4066" spans="1:26" ht="14.1" hidden="1">
      <c r="A4066" s="20">
        <f t="shared" si="224"/>
        <v>31</v>
      </c>
      <c r="B4066" s="1063">
        <v>43843</v>
      </c>
      <c r="C4066" s="934" t="s">
        <v>13925</v>
      </c>
      <c r="D4066" s="11"/>
      <c r="E4066" s="204" t="s">
        <v>572</v>
      </c>
      <c r="F4066" s="934" t="s">
        <v>784</v>
      </c>
      <c r="G4066" s="204" t="s">
        <v>13929</v>
      </c>
      <c r="H4066" s="204" t="s">
        <v>13927</v>
      </c>
      <c r="I4066" s="204" t="s">
        <v>13927</v>
      </c>
      <c r="J4066" s="204" t="s">
        <v>13930</v>
      </c>
      <c r="K4066" s="204" t="s">
        <v>13930</v>
      </c>
      <c r="L4066" s="204"/>
      <c r="M4066" s="204">
        <v>20</v>
      </c>
      <c r="N4066" s="204">
        <v>20</v>
      </c>
      <c r="O4066" s="204">
        <v>20</v>
      </c>
      <c r="P4066" s="204">
        <v>0</v>
      </c>
      <c r="Q4066" s="572">
        <v>0</v>
      </c>
      <c r="R4066" s="1209">
        <v>1400</v>
      </c>
      <c r="S4066" s="1209">
        <f t="shared" si="236"/>
        <v>28000</v>
      </c>
      <c r="T4066" s="204" t="s">
        <v>10016</v>
      </c>
      <c r="U4066" s="1901" t="s">
        <v>10016</v>
      </c>
      <c r="V4066" s="572" t="s">
        <v>10323</v>
      </c>
      <c r="W4066" s="681"/>
      <c r="X4066" s="18"/>
      <c r="Y4066" s="4"/>
      <c r="Z4066" s="4"/>
    </row>
    <row r="4067" spans="1:26" ht="14.1" hidden="1">
      <c r="A4067" s="20">
        <f t="shared" si="224"/>
        <v>32</v>
      </c>
      <c r="B4067" s="1063">
        <v>43844</v>
      </c>
      <c r="C4067" s="934" t="s">
        <v>13931</v>
      </c>
      <c r="D4067" s="11"/>
      <c r="E4067" s="204" t="s">
        <v>572</v>
      </c>
      <c r="F4067" s="934" t="s">
        <v>784</v>
      </c>
      <c r="G4067" s="204" t="s">
        <v>13932</v>
      </c>
      <c r="H4067" s="204" t="s">
        <v>13927</v>
      </c>
      <c r="I4067" s="204" t="s">
        <v>13927</v>
      </c>
      <c r="J4067" s="204" t="s">
        <v>13933</v>
      </c>
      <c r="K4067" s="204" t="s">
        <v>13933</v>
      </c>
      <c r="L4067" s="204"/>
      <c r="M4067" s="204">
        <v>1</v>
      </c>
      <c r="N4067" s="204">
        <v>1</v>
      </c>
      <c r="O4067" s="204">
        <v>1</v>
      </c>
      <c r="P4067" s="204">
        <v>0</v>
      </c>
      <c r="Q4067" s="572">
        <v>0</v>
      </c>
      <c r="R4067" s="1209">
        <v>17400</v>
      </c>
      <c r="S4067" s="1209">
        <f t="shared" si="236"/>
        <v>17400</v>
      </c>
      <c r="T4067" s="204" t="s">
        <v>10016</v>
      </c>
      <c r="U4067" s="1901" t="s">
        <v>10016</v>
      </c>
      <c r="V4067" s="572" t="s">
        <v>10323</v>
      </c>
      <c r="W4067" s="681"/>
      <c r="X4067" s="18"/>
      <c r="Y4067" s="4"/>
      <c r="Z4067" s="4"/>
    </row>
    <row r="4068" spans="1:26" ht="14.1" hidden="1">
      <c r="A4068" s="20">
        <f t="shared" si="224"/>
        <v>33</v>
      </c>
      <c r="B4068" s="1063">
        <v>43845</v>
      </c>
      <c r="C4068" s="934" t="s">
        <v>13934</v>
      </c>
      <c r="D4068" s="11"/>
      <c r="E4068" s="204" t="s">
        <v>13890</v>
      </c>
      <c r="F4068" s="934" t="s">
        <v>13447</v>
      </c>
      <c r="G4068" s="204" t="s">
        <v>13935</v>
      </c>
      <c r="H4068" s="204" t="s">
        <v>13936</v>
      </c>
      <c r="I4068" s="204" t="s">
        <v>281</v>
      </c>
      <c r="J4068" s="204" t="s">
        <v>13937</v>
      </c>
      <c r="K4068" s="204" t="s">
        <v>13938</v>
      </c>
      <c r="L4068" s="204" t="s">
        <v>1088</v>
      </c>
      <c r="M4068" s="204">
        <v>7</v>
      </c>
      <c r="N4068" s="204">
        <v>1</v>
      </c>
      <c r="O4068" s="204">
        <v>15</v>
      </c>
      <c r="P4068" s="204">
        <v>4</v>
      </c>
      <c r="Q4068" s="572">
        <v>12</v>
      </c>
      <c r="R4068" s="1209" t="s">
        <v>13939</v>
      </c>
      <c r="S4068" s="1209" t="s">
        <v>13940</v>
      </c>
      <c r="T4068" s="204" t="s">
        <v>3961</v>
      </c>
      <c r="U4068" s="1901" t="s">
        <v>1886</v>
      </c>
      <c r="V4068" s="572" t="s">
        <v>352</v>
      </c>
      <c r="W4068" s="804" t="s">
        <v>13941</v>
      </c>
      <c r="X4068" s="18"/>
      <c r="Y4068" s="4"/>
      <c r="Z4068" s="4"/>
    </row>
    <row r="4069" spans="1:26" ht="14.1" hidden="1">
      <c r="A4069" s="20">
        <f t="shared" ref="A4069:A4277" si="237">A4068+1</f>
        <v>34</v>
      </c>
      <c r="B4069" s="1063">
        <v>43846</v>
      </c>
      <c r="C4069" s="934" t="s">
        <v>2342</v>
      </c>
      <c r="D4069" s="11"/>
      <c r="E4069" s="204" t="s">
        <v>13136</v>
      </c>
      <c r="F4069" s="934" t="s">
        <v>13447</v>
      </c>
      <c r="G4069" s="204" t="s">
        <v>13942</v>
      </c>
      <c r="H4069" s="204" t="s">
        <v>184</v>
      </c>
      <c r="I4069" s="204" t="s">
        <v>13153</v>
      </c>
      <c r="J4069" s="204" t="s">
        <v>13943</v>
      </c>
      <c r="K4069" s="204" t="s">
        <v>13944</v>
      </c>
      <c r="L4069" s="204"/>
      <c r="M4069" s="204">
        <v>3</v>
      </c>
      <c r="N4069" s="204">
        <v>10</v>
      </c>
      <c r="O4069" s="204">
        <v>20</v>
      </c>
      <c r="P4069" s="204">
        <v>0</v>
      </c>
      <c r="Q4069" s="572">
        <v>17</v>
      </c>
      <c r="R4069" s="1209" t="s">
        <v>13945</v>
      </c>
      <c r="S4069" s="1209" t="s">
        <v>13946</v>
      </c>
      <c r="T4069" s="204" t="s">
        <v>3961</v>
      </c>
      <c r="U4069" s="1901" t="s">
        <v>1886</v>
      </c>
      <c r="V4069" s="572" t="s">
        <v>352</v>
      </c>
      <c r="W4069" s="804" t="s">
        <v>13947</v>
      </c>
      <c r="X4069" s="18"/>
      <c r="Y4069" s="4"/>
      <c r="Z4069" s="4"/>
    </row>
    <row r="4070" spans="1:26" ht="14.1" hidden="1">
      <c r="A4070" s="20">
        <f t="shared" si="237"/>
        <v>35</v>
      </c>
      <c r="B4070" s="1063">
        <v>43847</v>
      </c>
      <c r="C4070" s="934" t="s">
        <v>2342</v>
      </c>
      <c r="D4070" s="11"/>
      <c r="E4070" s="204" t="s">
        <v>13136</v>
      </c>
      <c r="F4070" s="934" t="s">
        <v>13447</v>
      </c>
      <c r="G4070" s="204" t="s">
        <v>13948</v>
      </c>
      <c r="H4070" s="204" t="s">
        <v>1422</v>
      </c>
      <c r="I4070" s="204" t="s">
        <v>13153</v>
      </c>
      <c r="J4070" s="204" t="s">
        <v>13949</v>
      </c>
      <c r="K4070" s="204" t="s">
        <v>13950</v>
      </c>
      <c r="L4070" s="204"/>
      <c r="M4070" s="204">
        <v>12</v>
      </c>
      <c r="N4070" s="204">
        <v>25</v>
      </c>
      <c r="O4070" s="204">
        <v>50</v>
      </c>
      <c r="P4070" s="204">
        <v>0</v>
      </c>
      <c r="Q4070" s="572">
        <v>38</v>
      </c>
      <c r="R4070" s="1209" t="s">
        <v>13951</v>
      </c>
      <c r="S4070" s="1332" t="s">
        <v>13952</v>
      </c>
      <c r="T4070" s="204" t="s">
        <v>3961</v>
      </c>
      <c r="U4070" s="1901" t="s">
        <v>1886</v>
      </c>
      <c r="V4070" s="572" t="s">
        <v>352</v>
      </c>
      <c r="W4070" s="681" t="s">
        <v>13953</v>
      </c>
      <c r="X4070" s="18"/>
      <c r="Y4070" s="4"/>
      <c r="Z4070" s="4"/>
    </row>
    <row r="4071" spans="1:26" ht="14.1" hidden="1">
      <c r="A4071" s="20">
        <f t="shared" si="237"/>
        <v>36</v>
      </c>
      <c r="B4071" s="1063">
        <v>43848</v>
      </c>
      <c r="C4071" s="934" t="s">
        <v>2342</v>
      </c>
      <c r="D4071" s="11"/>
      <c r="E4071" s="204" t="s">
        <v>13136</v>
      </c>
      <c r="F4071" s="934" t="s">
        <v>13447</v>
      </c>
      <c r="G4071" s="204" t="s">
        <v>13954</v>
      </c>
      <c r="H4071" s="204" t="s">
        <v>184</v>
      </c>
      <c r="I4071" s="204" t="s">
        <v>13153</v>
      </c>
      <c r="J4071" s="204" t="s">
        <v>13955</v>
      </c>
      <c r="K4071" s="204" t="s">
        <v>13956</v>
      </c>
      <c r="L4071" s="204"/>
      <c r="M4071" s="204">
        <v>9</v>
      </c>
      <c r="N4071" s="204">
        <v>50</v>
      </c>
      <c r="O4071" s="204">
        <v>50</v>
      </c>
      <c r="P4071" s="204">
        <v>0</v>
      </c>
      <c r="Q4071" s="572">
        <v>41</v>
      </c>
      <c r="R4071" s="1209" t="s">
        <v>13957</v>
      </c>
      <c r="S4071" s="1332" t="s">
        <v>13958</v>
      </c>
      <c r="T4071" s="204" t="s">
        <v>3961</v>
      </c>
      <c r="U4071" s="1901" t="s">
        <v>1886</v>
      </c>
      <c r="V4071" s="572" t="s">
        <v>352</v>
      </c>
      <c r="W4071" s="681" t="s">
        <v>13959</v>
      </c>
      <c r="X4071" s="18"/>
      <c r="Y4071" s="4"/>
      <c r="Z4071" s="4"/>
    </row>
    <row r="4072" spans="1:26" ht="14.1" hidden="1">
      <c r="A4072" s="20">
        <f t="shared" si="237"/>
        <v>37</v>
      </c>
      <c r="B4072" s="1063">
        <v>43849</v>
      </c>
      <c r="C4072" s="934" t="s">
        <v>2342</v>
      </c>
      <c r="D4072" s="11"/>
      <c r="E4072" s="204" t="s">
        <v>13136</v>
      </c>
      <c r="F4072" s="934" t="s">
        <v>13447</v>
      </c>
      <c r="G4072" s="204" t="s">
        <v>13960</v>
      </c>
      <c r="H4072" s="204" t="s">
        <v>12221</v>
      </c>
      <c r="I4072" s="204" t="s">
        <v>13153</v>
      </c>
      <c r="J4072" s="204" t="s">
        <v>13961</v>
      </c>
      <c r="K4072" s="204" t="s">
        <v>13962</v>
      </c>
      <c r="L4072" s="204"/>
      <c r="M4072" s="204">
        <v>3</v>
      </c>
      <c r="N4072" s="204">
        <v>100</v>
      </c>
      <c r="O4072" s="204">
        <v>100</v>
      </c>
      <c r="P4072" s="204">
        <v>0</v>
      </c>
      <c r="Q4072" s="572">
        <v>97</v>
      </c>
      <c r="R4072" s="1209" t="s">
        <v>13963</v>
      </c>
      <c r="S4072" s="1209" t="s">
        <v>13964</v>
      </c>
      <c r="T4072" s="204" t="s">
        <v>3961</v>
      </c>
      <c r="U4072" s="1901" t="s">
        <v>1886</v>
      </c>
      <c r="V4072" s="572" t="s">
        <v>352</v>
      </c>
      <c r="W4072" s="804" t="s">
        <v>13965</v>
      </c>
      <c r="X4072" s="18"/>
      <c r="Y4072" s="4"/>
      <c r="Z4072" s="4"/>
    </row>
    <row r="4073" spans="1:26" ht="14.1" hidden="1">
      <c r="A4073" s="20">
        <f t="shared" si="237"/>
        <v>38</v>
      </c>
      <c r="B4073" s="1063">
        <v>43850</v>
      </c>
      <c r="C4073" s="934" t="s">
        <v>13966</v>
      </c>
      <c r="D4073" s="11" t="s">
        <v>6</v>
      </c>
      <c r="E4073" s="204" t="s">
        <v>4951</v>
      </c>
      <c r="F4073" s="934" t="s">
        <v>11323</v>
      </c>
      <c r="G4073" s="204" t="s">
        <v>13966</v>
      </c>
      <c r="H4073" s="204" t="s">
        <v>1379</v>
      </c>
      <c r="I4073" s="204" t="s">
        <v>1379</v>
      </c>
      <c r="J4073" s="204"/>
      <c r="K4073" s="204"/>
      <c r="L4073" s="204"/>
      <c r="M4073" s="204">
        <v>3</v>
      </c>
      <c r="N4073" s="204">
        <v>1</v>
      </c>
      <c r="O4073" s="204">
        <v>3</v>
      </c>
      <c r="P4073" s="204">
        <v>2</v>
      </c>
      <c r="Q4073" s="572">
        <v>5</v>
      </c>
      <c r="R4073" s="1209">
        <v>125104</v>
      </c>
      <c r="S4073" s="1209">
        <v>125104</v>
      </c>
      <c r="T4073" s="204" t="s">
        <v>3961</v>
      </c>
      <c r="U4073" s="1901" t="s">
        <v>3637</v>
      </c>
      <c r="V4073" s="572" t="s">
        <v>352</v>
      </c>
      <c r="W4073" s="681"/>
      <c r="X4073" s="18"/>
      <c r="Y4073" s="4"/>
      <c r="Z4073" s="4"/>
    </row>
    <row r="4074" spans="1:26" ht="14.1" hidden="1">
      <c r="A4074" s="20">
        <f t="shared" si="237"/>
        <v>39</v>
      </c>
      <c r="B4074" s="1063">
        <v>43851</v>
      </c>
      <c r="C4074" s="934" t="s">
        <v>8425</v>
      </c>
      <c r="D4074" s="11" t="s">
        <v>6</v>
      </c>
      <c r="E4074" s="204" t="s">
        <v>4951</v>
      </c>
      <c r="F4074" s="934" t="s">
        <v>11323</v>
      </c>
      <c r="G4074" s="204" t="s">
        <v>13967</v>
      </c>
      <c r="H4074" s="204" t="s">
        <v>2128</v>
      </c>
      <c r="I4074" s="204" t="s">
        <v>281</v>
      </c>
      <c r="J4074" s="204" t="s">
        <v>13968</v>
      </c>
      <c r="K4074" s="204" t="s">
        <v>13969</v>
      </c>
      <c r="L4074" s="204"/>
      <c r="M4074" s="204">
        <v>3</v>
      </c>
      <c r="N4074" s="204">
        <v>1</v>
      </c>
      <c r="O4074" s="204">
        <v>15</v>
      </c>
      <c r="P4074" s="204">
        <v>0</v>
      </c>
      <c r="Q4074" s="572">
        <v>15</v>
      </c>
      <c r="R4074" s="1209">
        <v>77.2</v>
      </c>
      <c r="S4074" s="1209">
        <f t="shared" ref="S4074:S4075" si="238">Q4074*R4074</f>
        <v>1158</v>
      </c>
      <c r="T4074" s="204" t="s">
        <v>3961</v>
      </c>
      <c r="U4074" s="1901" t="s">
        <v>3637</v>
      </c>
      <c r="V4074" s="572" t="s">
        <v>352</v>
      </c>
      <c r="W4074" s="804" t="s">
        <v>13970</v>
      </c>
      <c r="X4074" s="18"/>
      <c r="Y4074" s="4"/>
      <c r="Z4074" s="4"/>
    </row>
    <row r="4075" spans="1:26" ht="14.1" hidden="1">
      <c r="A4075" s="20">
        <f t="shared" si="237"/>
        <v>40</v>
      </c>
      <c r="B4075" s="1063">
        <v>43852</v>
      </c>
      <c r="C4075" s="934" t="s">
        <v>12028</v>
      </c>
      <c r="D4075" s="11" t="s">
        <v>6</v>
      </c>
      <c r="E4075" s="204" t="s">
        <v>13136</v>
      </c>
      <c r="F4075" s="934" t="s">
        <v>11323</v>
      </c>
      <c r="G4075" s="204" t="s">
        <v>13971</v>
      </c>
      <c r="H4075" s="204" t="s">
        <v>13972</v>
      </c>
      <c r="I4075" s="204" t="s">
        <v>13973</v>
      </c>
      <c r="J4075" s="204" t="s">
        <v>13974</v>
      </c>
      <c r="K4075" s="204" t="s">
        <v>6007</v>
      </c>
      <c r="L4075" s="204"/>
      <c r="M4075" s="204">
        <v>10</v>
      </c>
      <c r="N4075" s="204">
        <v>60</v>
      </c>
      <c r="O4075" s="204">
        <v>60</v>
      </c>
      <c r="P4075" s="204">
        <v>3</v>
      </c>
      <c r="Q4075" s="572">
        <v>60</v>
      </c>
      <c r="R4075" s="1209">
        <v>3960</v>
      </c>
      <c r="S4075" s="1209">
        <f t="shared" si="238"/>
        <v>237600</v>
      </c>
      <c r="T4075" s="204" t="s">
        <v>3961</v>
      </c>
      <c r="U4075" s="1901" t="s">
        <v>3637</v>
      </c>
      <c r="V4075" s="572" t="s">
        <v>352</v>
      </c>
      <c r="W4075" s="1184" t="s">
        <v>13975</v>
      </c>
      <c r="X4075" s="18"/>
      <c r="Y4075" s="4"/>
      <c r="Z4075" s="4"/>
    </row>
    <row r="4076" spans="1:26" ht="14.1" hidden="1">
      <c r="A4076" s="20">
        <f t="shared" si="237"/>
        <v>41</v>
      </c>
      <c r="B4076" s="1063">
        <v>43853</v>
      </c>
      <c r="C4076" s="934" t="s">
        <v>6225</v>
      </c>
      <c r="D4076" s="11"/>
      <c r="E4076" s="204" t="s">
        <v>683</v>
      </c>
      <c r="F4076" s="934" t="s">
        <v>73</v>
      </c>
      <c r="G4076" s="204" t="s">
        <v>13976</v>
      </c>
      <c r="H4076" s="204" t="s">
        <v>366</v>
      </c>
      <c r="I4076" s="204" t="s">
        <v>366</v>
      </c>
      <c r="J4076" s="189" t="s">
        <v>13977</v>
      </c>
      <c r="K4076" s="525" t="s">
        <v>13978</v>
      </c>
      <c r="L4076" s="204"/>
      <c r="M4076" s="204">
        <v>2</v>
      </c>
      <c r="N4076" s="204">
        <v>1</v>
      </c>
      <c r="O4076" s="204">
        <v>2</v>
      </c>
      <c r="P4076" s="204">
        <v>0</v>
      </c>
      <c r="Q4076" s="572">
        <v>2</v>
      </c>
      <c r="R4076" s="1209">
        <v>4125</v>
      </c>
      <c r="S4076" s="1209">
        <v>8250</v>
      </c>
      <c r="T4076" s="204" t="s">
        <v>1141</v>
      </c>
      <c r="U4076" s="1901" t="s">
        <v>1</v>
      </c>
      <c r="V4076" s="572" t="s">
        <v>13979</v>
      </c>
      <c r="W4076" s="681" t="s">
        <v>13980</v>
      </c>
      <c r="X4076" s="18"/>
      <c r="Y4076" s="4"/>
      <c r="Z4076" s="4"/>
    </row>
    <row r="4077" spans="1:26" ht="14.1" hidden="1">
      <c r="A4077" s="20">
        <f t="shared" si="237"/>
        <v>42</v>
      </c>
      <c r="B4077" s="1063">
        <v>43854</v>
      </c>
      <c r="C4077" s="934" t="s">
        <v>13981</v>
      </c>
      <c r="D4077" s="11"/>
      <c r="E4077" s="204" t="s">
        <v>572</v>
      </c>
      <c r="F4077" s="934" t="s">
        <v>784</v>
      </c>
      <c r="G4077" s="204" t="s">
        <v>13982</v>
      </c>
      <c r="H4077" s="204" t="s">
        <v>13983</v>
      </c>
      <c r="I4077" s="204" t="s">
        <v>4634</v>
      </c>
      <c r="J4077" s="204" t="s">
        <v>149</v>
      </c>
      <c r="K4077" s="204" t="s">
        <v>149</v>
      </c>
      <c r="L4077" s="204"/>
      <c r="M4077" s="204">
        <v>1</v>
      </c>
      <c r="N4077" s="204">
        <v>1</v>
      </c>
      <c r="O4077" s="204">
        <v>1</v>
      </c>
      <c r="P4077" s="204">
        <v>0</v>
      </c>
      <c r="Q4077" s="572">
        <v>1</v>
      </c>
      <c r="R4077" s="1209">
        <v>37544</v>
      </c>
      <c r="S4077" s="1209">
        <f t="shared" ref="S4077:S4078" si="239">O4077*R4077</f>
        <v>37544</v>
      </c>
      <c r="T4077" s="204" t="s">
        <v>10016</v>
      </c>
      <c r="U4077" s="1901" t="s">
        <v>10016</v>
      </c>
      <c r="V4077" s="572" t="s">
        <v>10323</v>
      </c>
      <c r="W4077" s="681"/>
      <c r="X4077" s="18"/>
      <c r="Y4077" s="4"/>
      <c r="Z4077" s="4"/>
    </row>
    <row r="4078" spans="1:26" ht="14.1" hidden="1">
      <c r="A4078" s="20">
        <f t="shared" si="237"/>
        <v>43</v>
      </c>
      <c r="B4078" s="1063">
        <v>43855</v>
      </c>
      <c r="C4078" s="934" t="s">
        <v>13984</v>
      </c>
      <c r="D4078" s="11"/>
      <c r="E4078" s="204" t="s">
        <v>572</v>
      </c>
      <c r="F4078" s="934" t="s">
        <v>784</v>
      </c>
      <c r="G4078" s="204" t="s">
        <v>13985</v>
      </c>
      <c r="H4078" s="204" t="s">
        <v>13986</v>
      </c>
      <c r="I4078" s="204" t="s">
        <v>281</v>
      </c>
      <c r="J4078" s="204" t="s">
        <v>149</v>
      </c>
      <c r="K4078" s="204" t="s">
        <v>149</v>
      </c>
      <c r="L4078" s="204"/>
      <c r="M4078" s="204">
        <v>1</v>
      </c>
      <c r="N4078" s="204">
        <v>1</v>
      </c>
      <c r="O4078" s="204">
        <v>1</v>
      </c>
      <c r="P4078" s="204">
        <v>0</v>
      </c>
      <c r="Q4078" s="572">
        <v>1</v>
      </c>
      <c r="R4078" s="1209">
        <v>23260</v>
      </c>
      <c r="S4078" s="1209">
        <f t="shared" si="239"/>
        <v>23260</v>
      </c>
      <c r="T4078" s="204" t="s">
        <v>10016</v>
      </c>
      <c r="U4078" s="1901" t="s">
        <v>10016</v>
      </c>
      <c r="V4078" s="572" t="s">
        <v>10323</v>
      </c>
      <c r="W4078" s="681"/>
      <c r="X4078" s="18"/>
      <c r="Y4078" s="4"/>
      <c r="Z4078" s="4"/>
    </row>
    <row r="4079" spans="1:26" ht="15.6" hidden="1">
      <c r="A4079" s="20">
        <f t="shared" si="237"/>
        <v>44</v>
      </c>
      <c r="B4079" s="1063">
        <v>43856</v>
      </c>
      <c r="C4079" s="934" t="s">
        <v>5189</v>
      </c>
      <c r="D4079" s="11"/>
      <c r="E4079" s="204" t="s">
        <v>13136</v>
      </c>
      <c r="F4079" s="934" t="s">
        <v>11438</v>
      </c>
      <c r="G4079" s="204" t="s">
        <v>5190</v>
      </c>
      <c r="H4079" s="204" t="s">
        <v>452</v>
      </c>
      <c r="I4079" s="207" t="s">
        <v>13987</v>
      </c>
      <c r="J4079" s="204"/>
      <c r="K4079" s="776" t="s">
        <v>454</v>
      </c>
      <c r="L4079" s="204" t="s">
        <v>13355</v>
      </c>
      <c r="M4079" s="204">
        <v>65</v>
      </c>
      <c r="N4079" s="208">
        <v>1</v>
      </c>
      <c r="O4079" s="204">
        <v>200</v>
      </c>
      <c r="P4079" s="208">
        <v>0</v>
      </c>
      <c r="Q4079" s="572">
        <v>135</v>
      </c>
      <c r="R4079" s="1288">
        <v>59.55</v>
      </c>
      <c r="S4079" s="1313">
        <v>11909.7</v>
      </c>
      <c r="T4079" s="208" t="s">
        <v>3961</v>
      </c>
      <c r="U4079" s="1939" t="s">
        <v>8730</v>
      </c>
      <c r="V4079" s="20" t="s">
        <v>352</v>
      </c>
      <c r="W4079" s="777" t="s">
        <v>13988</v>
      </c>
      <c r="X4079" s="778"/>
      <c r="Y4079" s="778"/>
      <c r="Z4079" s="4"/>
    </row>
    <row r="4080" spans="1:26" ht="14.1" hidden="1">
      <c r="A4080" s="20">
        <f t="shared" si="237"/>
        <v>45</v>
      </c>
      <c r="B4080" s="1063">
        <v>43857</v>
      </c>
      <c r="C4080" s="934" t="s">
        <v>329</v>
      </c>
      <c r="D4080" s="11"/>
      <c r="E4080" s="204" t="s">
        <v>13136</v>
      </c>
      <c r="F4080" s="934" t="s">
        <v>11438</v>
      </c>
      <c r="G4080" s="204" t="s">
        <v>650</v>
      </c>
      <c r="H4080" s="204" t="s">
        <v>184</v>
      </c>
      <c r="I4080" s="204" t="s">
        <v>574</v>
      </c>
      <c r="J4080" s="204" t="s">
        <v>6277</v>
      </c>
      <c r="K4080" s="204" t="s">
        <v>6278</v>
      </c>
      <c r="L4080" s="204">
        <v>805</v>
      </c>
      <c r="M4080" s="204">
        <v>44</v>
      </c>
      <c r="N4080" s="204">
        <v>1</v>
      </c>
      <c r="O4080" s="204">
        <v>50</v>
      </c>
      <c r="P4080" s="204">
        <v>0</v>
      </c>
      <c r="Q4080" s="572">
        <v>6</v>
      </c>
      <c r="R4080" s="1209">
        <v>35</v>
      </c>
      <c r="S4080" s="1209">
        <v>1757.24</v>
      </c>
      <c r="T4080" s="204" t="s">
        <v>3961</v>
      </c>
      <c r="U4080" s="1940" t="s">
        <v>8730</v>
      </c>
      <c r="V4080" s="572" t="s">
        <v>352</v>
      </c>
      <c r="W4080" s="804" t="s">
        <v>6281</v>
      </c>
      <c r="X4080" s="18"/>
      <c r="Y4080" s="4"/>
      <c r="Z4080" s="4"/>
    </row>
    <row r="4081" spans="1:26" ht="14.1" hidden="1">
      <c r="A4081" s="20">
        <f t="shared" si="237"/>
        <v>46</v>
      </c>
      <c r="B4081" s="1063">
        <v>43858</v>
      </c>
      <c r="C4081" s="934" t="s">
        <v>329</v>
      </c>
      <c r="D4081" s="11"/>
      <c r="E4081" s="204" t="s">
        <v>13136</v>
      </c>
      <c r="F4081" s="934" t="s">
        <v>11438</v>
      </c>
      <c r="G4081" s="204" t="s">
        <v>640</v>
      </c>
      <c r="H4081" s="204" t="s">
        <v>184</v>
      </c>
      <c r="I4081" s="204" t="s">
        <v>4634</v>
      </c>
      <c r="J4081" s="204" t="s">
        <v>13989</v>
      </c>
      <c r="K4081" s="204" t="s">
        <v>6300</v>
      </c>
      <c r="L4081" s="204">
        <v>805</v>
      </c>
      <c r="M4081" s="204">
        <v>44</v>
      </c>
      <c r="N4081" s="204">
        <v>1</v>
      </c>
      <c r="O4081" s="204">
        <v>50</v>
      </c>
      <c r="P4081" s="204">
        <v>0</v>
      </c>
      <c r="Q4081" s="572">
        <v>6</v>
      </c>
      <c r="R4081" s="1209">
        <v>11.28</v>
      </c>
      <c r="S4081" s="1209">
        <v>564.20000000000005</v>
      </c>
      <c r="T4081" s="204" t="s">
        <v>3961</v>
      </c>
      <c r="U4081" s="1901" t="s">
        <v>13990</v>
      </c>
      <c r="V4081" s="572" t="s">
        <v>352</v>
      </c>
      <c r="W4081" s="804" t="s">
        <v>13991</v>
      </c>
      <c r="X4081" s="18"/>
      <c r="Y4081" s="4"/>
      <c r="Z4081" s="4"/>
    </row>
    <row r="4082" spans="1:26" ht="14.1" hidden="1">
      <c r="A4082" s="20">
        <f t="shared" si="237"/>
        <v>47</v>
      </c>
      <c r="B4082" s="1063">
        <v>43859</v>
      </c>
      <c r="C4082" s="934" t="s">
        <v>1072</v>
      </c>
      <c r="D4082" s="11"/>
      <c r="E4082" s="204" t="s">
        <v>13136</v>
      </c>
      <c r="F4082" s="934" t="s">
        <v>11438</v>
      </c>
      <c r="G4082" s="208" t="s">
        <v>5188</v>
      </c>
      <c r="H4082" s="204" t="s">
        <v>13352</v>
      </c>
      <c r="I4082" s="204" t="s">
        <v>574</v>
      </c>
      <c r="J4082" s="204" t="s">
        <v>461</v>
      </c>
      <c r="K4082" s="204" t="s">
        <v>462</v>
      </c>
      <c r="L4082" s="208" t="s">
        <v>587</v>
      </c>
      <c r="M4082" s="204">
        <v>44</v>
      </c>
      <c r="N4082" s="204">
        <v>1</v>
      </c>
      <c r="O4082" s="204">
        <v>50</v>
      </c>
      <c r="P4082" s="204">
        <v>0</v>
      </c>
      <c r="Q4082" s="572">
        <v>6</v>
      </c>
      <c r="R4082" s="1209">
        <v>50.57</v>
      </c>
      <c r="S4082" s="1209">
        <v>2528.4899999999998</v>
      </c>
      <c r="T4082" s="204" t="s">
        <v>3961</v>
      </c>
      <c r="U4082" s="1901" t="s">
        <v>13990</v>
      </c>
      <c r="V4082" s="572" t="s">
        <v>13992</v>
      </c>
      <c r="W4082" s="681" t="s">
        <v>465</v>
      </c>
      <c r="X4082" s="18"/>
      <c r="Y4082" s="4"/>
      <c r="Z4082" s="4"/>
    </row>
    <row r="4083" spans="1:26" ht="14.1" hidden="1">
      <c r="A4083" s="20">
        <f t="shared" si="237"/>
        <v>48</v>
      </c>
      <c r="B4083" s="1063">
        <v>43860</v>
      </c>
      <c r="C4083" s="934" t="s">
        <v>7796</v>
      </c>
      <c r="D4083" s="11"/>
      <c r="E4083" s="204" t="s">
        <v>13136</v>
      </c>
      <c r="F4083" s="934" t="s">
        <v>11438</v>
      </c>
      <c r="G4083" s="204" t="s">
        <v>13993</v>
      </c>
      <c r="H4083" s="204" t="s">
        <v>13352</v>
      </c>
      <c r="I4083" s="204" t="s">
        <v>574</v>
      </c>
      <c r="J4083" s="204" t="s">
        <v>13994</v>
      </c>
      <c r="K4083" s="204" t="s">
        <v>13995</v>
      </c>
      <c r="L4083" s="528">
        <v>343877</v>
      </c>
      <c r="M4083" s="204" t="s">
        <v>10390</v>
      </c>
      <c r="N4083" s="204" t="s">
        <v>11648</v>
      </c>
      <c r="O4083" s="204" t="s">
        <v>11648</v>
      </c>
      <c r="P4083" s="204">
        <v>0</v>
      </c>
      <c r="Q4083" s="572" t="s">
        <v>11649</v>
      </c>
      <c r="R4083" s="1209">
        <v>328</v>
      </c>
      <c r="S4083" s="1209">
        <v>10014.290000000001</v>
      </c>
      <c r="T4083" s="204" t="s">
        <v>3961</v>
      </c>
      <c r="U4083" s="1901" t="s">
        <v>448</v>
      </c>
      <c r="V4083" s="572" t="s">
        <v>13992</v>
      </c>
      <c r="W4083" s="681" t="s">
        <v>13996</v>
      </c>
      <c r="X4083" s="18"/>
      <c r="Y4083" s="4"/>
      <c r="Z4083" s="4"/>
    </row>
    <row r="4084" spans="1:26" ht="14.1" hidden="1">
      <c r="A4084" s="20">
        <f t="shared" si="237"/>
        <v>49</v>
      </c>
      <c r="B4084" s="1063">
        <v>43861</v>
      </c>
      <c r="C4084" s="934" t="s">
        <v>13997</v>
      </c>
      <c r="D4084" s="515" t="s">
        <v>6</v>
      </c>
      <c r="E4084" s="204"/>
      <c r="F4084" s="934" t="s">
        <v>1569</v>
      </c>
      <c r="G4084" s="204"/>
      <c r="H4084" s="204"/>
      <c r="I4084" s="204"/>
      <c r="J4084" s="204"/>
      <c r="K4084" s="204"/>
      <c r="L4084" s="204"/>
      <c r="M4084" s="204"/>
      <c r="N4084" s="204"/>
      <c r="O4084" s="204"/>
      <c r="P4084" s="204"/>
      <c r="Q4084" s="572"/>
      <c r="R4084" s="1209"/>
      <c r="S4084" s="1209"/>
      <c r="T4084" s="204"/>
      <c r="U4084" s="1901"/>
      <c r="V4084" s="572"/>
      <c r="W4084" s="681"/>
      <c r="X4084" s="18"/>
      <c r="Y4084" s="4"/>
      <c r="Z4084" s="4"/>
    </row>
    <row r="4085" spans="1:26" ht="24.95" hidden="1">
      <c r="A4085" s="200">
        <f t="shared" si="237"/>
        <v>50</v>
      </c>
      <c r="B4085" s="1063">
        <v>43862</v>
      </c>
      <c r="C4085" s="779" t="s">
        <v>13998</v>
      </c>
      <c r="D4085" s="515" t="s">
        <v>6</v>
      </c>
      <c r="E4085" s="717" t="s">
        <v>62</v>
      </c>
      <c r="F4085" s="779" t="s">
        <v>1989</v>
      </c>
      <c r="G4085" s="638" t="s">
        <v>13999</v>
      </c>
      <c r="H4085" s="717" t="s">
        <v>6650</v>
      </c>
      <c r="I4085" s="717" t="s">
        <v>6680</v>
      </c>
      <c r="J4085" s="56" t="s">
        <v>715</v>
      </c>
      <c r="K4085" s="56" t="s">
        <v>716</v>
      </c>
      <c r="L4085" s="56" t="s">
        <v>1606</v>
      </c>
      <c r="M4085" s="717">
        <v>1</v>
      </c>
      <c r="N4085" s="717">
        <v>1</v>
      </c>
      <c r="O4085" s="717">
        <v>2</v>
      </c>
      <c r="P4085" s="717">
        <v>0</v>
      </c>
      <c r="Q4085" s="718">
        <v>1</v>
      </c>
      <c r="R4085" s="1234">
        <v>4580</v>
      </c>
      <c r="S4085" s="1234">
        <f t="shared" ref="S4085:S4086" si="240">PRODUCT(R4085,O4085)</f>
        <v>9160</v>
      </c>
      <c r="T4085" s="717" t="s">
        <v>14000</v>
      </c>
      <c r="U4085" s="1927" t="s">
        <v>14001</v>
      </c>
      <c r="V4085" s="718" t="s">
        <v>14002</v>
      </c>
      <c r="W4085" s="2133" t="s">
        <v>14003</v>
      </c>
      <c r="X4085" s="56"/>
      <c r="Y4085" s="57"/>
      <c r="Z4085" s="57"/>
    </row>
    <row r="4086" spans="1:26" ht="37.5" hidden="1">
      <c r="A4086" s="200">
        <f t="shared" si="237"/>
        <v>51</v>
      </c>
      <c r="B4086" s="1063">
        <v>43863</v>
      </c>
      <c r="C4086" s="970" t="s">
        <v>14004</v>
      </c>
      <c r="D4086" s="515" t="s">
        <v>6</v>
      </c>
      <c r="E4086" s="717" t="s">
        <v>62</v>
      </c>
      <c r="F4086" s="779" t="s">
        <v>1989</v>
      </c>
      <c r="G4086" s="139" t="s">
        <v>5468</v>
      </c>
      <c r="H4086" s="139" t="s">
        <v>5469</v>
      </c>
      <c r="I4086" s="139" t="s">
        <v>1144</v>
      </c>
      <c r="J4086" s="139" t="s">
        <v>5470</v>
      </c>
      <c r="K4086" s="139" t="s">
        <v>5471</v>
      </c>
      <c r="L4086" s="139" t="s">
        <v>1</v>
      </c>
      <c r="M4086" s="139">
        <v>1</v>
      </c>
      <c r="N4086" s="139">
        <v>1</v>
      </c>
      <c r="O4086" s="139">
        <v>1</v>
      </c>
      <c r="P4086" s="139">
        <v>0</v>
      </c>
      <c r="Q4086" s="139">
        <v>0</v>
      </c>
      <c r="R4086" s="1234">
        <v>2478</v>
      </c>
      <c r="S4086" s="1234">
        <f t="shared" si="240"/>
        <v>2478</v>
      </c>
      <c r="T4086" s="717" t="s">
        <v>14000</v>
      </c>
      <c r="U4086" s="1879" t="s">
        <v>14005</v>
      </c>
      <c r="V4086" s="718" t="s">
        <v>14002</v>
      </c>
      <c r="W4086" s="2033" t="s">
        <v>5472</v>
      </c>
      <c r="X4086" s="56"/>
      <c r="Y4086" s="57"/>
      <c r="Z4086" s="57"/>
    </row>
    <row r="4087" spans="1:26" ht="14.1" hidden="1">
      <c r="A4087" s="20">
        <f t="shared" si="237"/>
        <v>52</v>
      </c>
      <c r="B4087" s="1063">
        <v>43864</v>
      </c>
      <c r="C4087" s="934" t="s">
        <v>10076</v>
      </c>
      <c r="D4087" s="11" t="s">
        <v>6</v>
      </c>
      <c r="E4087" s="204" t="s">
        <v>4951</v>
      </c>
      <c r="F4087" s="934" t="s">
        <v>11323</v>
      </c>
      <c r="G4087" s="204" t="s">
        <v>11840</v>
      </c>
      <c r="H4087" s="204" t="s">
        <v>1928</v>
      </c>
      <c r="I4087" s="204" t="s">
        <v>39</v>
      </c>
      <c r="J4087" s="204" t="s">
        <v>938</v>
      </c>
      <c r="K4087" s="204" t="s">
        <v>938</v>
      </c>
      <c r="L4087" s="204"/>
      <c r="M4087" s="204">
        <v>15</v>
      </c>
      <c r="N4087" s="204">
        <v>1</v>
      </c>
      <c r="O4087" s="204">
        <v>10</v>
      </c>
      <c r="P4087" s="204">
        <v>10</v>
      </c>
      <c r="Q4087" s="572">
        <v>20</v>
      </c>
      <c r="R4087" s="1209">
        <v>252</v>
      </c>
      <c r="S4087" s="1209">
        <f>252*10</f>
        <v>2520</v>
      </c>
      <c r="T4087" s="204" t="s">
        <v>3961</v>
      </c>
      <c r="U4087" s="1901" t="s">
        <v>3637</v>
      </c>
      <c r="V4087" s="572" t="s">
        <v>352</v>
      </c>
      <c r="W4087" s="804" t="s">
        <v>11842</v>
      </c>
      <c r="X4087" s="18"/>
      <c r="Y4087" s="4"/>
      <c r="Z4087" s="4"/>
    </row>
    <row r="4088" spans="1:26" ht="14.1" hidden="1">
      <c r="A4088" s="20">
        <f t="shared" si="237"/>
        <v>53</v>
      </c>
      <c r="B4088" s="1063">
        <v>43865</v>
      </c>
      <c r="C4088" s="934" t="s">
        <v>14006</v>
      </c>
      <c r="D4088" s="11" t="s">
        <v>6</v>
      </c>
      <c r="E4088" s="204" t="s">
        <v>13136</v>
      </c>
      <c r="F4088" s="934" t="s">
        <v>11323</v>
      </c>
      <c r="G4088" s="204" t="s">
        <v>14007</v>
      </c>
      <c r="H4088" s="204" t="s">
        <v>7518</v>
      </c>
      <c r="I4088" s="204" t="s">
        <v>113</v>
      </c>
      <c r="J4088" s="204">
        <v>40231118</v>
      </c>
      <c r="K4088" s="204" t="s">
        <v>14008</v>
      </c>
      <c r="L4088" s="204"/>
      <c r="M4088" s="204">
        <v>2</v>
      </c>
      <c r="N4088" s="204">
        <v>1</v>
      </c>
      <c r="O4088" s="204">
        <v>2</v>
      </c>
      <c r="P4088" s="204">
        <v>2</v>
      </c>
      <c r="Q4088" s="572">
        <v>4</v>
      </c>
      <c r="R4088" s="1209">
        <v>1419</v>
      </c>
      <c r="S4088" s="1209">
        <f t="shared" ref="S4088:S4090" si="241">R4088*2</f>
        <v>2838</v>
      </c>
      <c r="T4088" s="204" t="s">
        <v>3961</v>
      </c>
      <c r="U4088" s="1901" t="s">
        <v>1</v>
      </c>
      <c r="V4088" s="572" t="s">
        <v>352</v>
      </c>
      <c r="W4088" s="804" t="s">
        <v>14009</v>
      </c>
      <c r="X4088" s="18"/>
      <c r="Y4088" s="4"/>
      <c r="Z4088" s="4"/>
    </row>
    <row r="4089" spans="1:26" ht="14.1" hidden="1">
      <c r="A4089" s="20">
        <f t="shared" si="237"/>
        <v>54</v>
      </c>
      <c r="B4089" s="1063">
        <v>43866</v>
      </c>
      <c r="C4089" s="934" t="s">
        <v>14010</v>
      </c>
      <c r="D4089" s="11" t="s">
        <v>6</v>
      </c>
      <c r="E4089" s="204" t="s">
        <v>13136</v>
      </c>
      <c r="F4089" s="934" t="s">
        <v>11323</v>
      </c>
      <c r="G4089" s="204" t="s">
        <v>14011</v>
      </c>
      <c r="H4089" s="204" t="s">
        <v>9894</v>
      </c>
      <c r="I4089" s="204" t="s">
        <v>113</v>
      </c>
      <c r="J4089" s="204">
        <v>49379618</v>
      </c>
      <c r="K4089" s="204" t="s">
        <v>14012</v>
      </c>
      <c r="L4089" s="204"/>
      <c r="M4089" s="204">
        <v>2</v>
      </c>
      <c r="N4089" s="204">
        <v>1</v>
      </c>
      <c r="O4089" s="204">
        <v>2</v>
      </c>
      <c r="P4089" s="204">
        <v>2</v>
      </c>
      <c r="Q4089" s="572">
        <v>4</v>
      </c>
      <c r="R4089" s="1209">
        <v>999</v>
      </c>
      <c r="S4089" s="1209">
        <f t="shared" si="241"/>
        <v>1998</v>
      </c>
      <c r="T4089" s="204" t="s">
        <v>3961</v>
      </c>
      <c r="U4089" s="1901" t="s">
        <v>1</v>
      </c>
      <c r="V4089" s="572" t="s">
        <v>352</v>
      </c>
      <c r="W4089" s="804" t="s">
        <v>14013</v>
      </c>
      <c r="X4089" s="18"/>
      <c r="Y4089" s="4"/>
      <c r="Z4089" s="4"/>
    </row>
    <row r="4090" spans="1:26" ht="14.1" hidden="1">
      <c r="A4090" s="20">
        <f t="shared" si="237"/>
        <v>55</v>
      </c>
      <c r="B4090" s="1063">
        <v>43867</v>
      </c>
      <c r="C4090" s="934" t="s">
        <v>14014</v>
      </c>
      <c r="D4090" s="11"/>
      <c r="E4090" s="204" t="s">
        <v>62</v>
      </c>
      <c r="F4090" s="934" t="s">
        <v>2693</v>
      </c>
      <c r="G4090" s="204" t="s">
        <v>14015</v>
      </c>
      <c r="H4090" s="204" t="s">
        <v>14016</v>
      </c>
      <c r="I4090" s="204" t="s">
        <v>1022</v>
      </c>
      <c r="J4090" s="204" t="s">
        <v>14017</v>
      </c>
      <c r="K4090" s="204" t="s">
        <v>14017</v>
      </c>
      <c r="L4090" s="204"/>
      <c r="M4090" s="204">
        <v>1</v>
      </c>
      <c r="N4090" s="204">
        <v>1</v>
      </c>
      <c r="O4090" s="204">
        <v>2</v>
      </c>
      <c r="P4090" s="204">
        <v>0</v>
      </c>
      <c r="Q4090" s="572">
        <v>2</v>
      </c>
      <c r="R4090" s="1209">
        <v>1098</v>
      </c>
      <c r="S4090" s="1209">
        <f t="shared" si="241"/>
        <v>2196</v>
      </c>
      <c r="T4090" s="204" t="s">
        <v>311</v>
      </c>
      <c r="U4090" s="1901" t="s">
        <v>1</v>
      </c>
      <c r="V4090" s="572" t="s">
        <v>352</v>
      </c>
      <c r="W4090" s="804" t="s">
        <v>14018</v>
      </c>
      <c r="X4090" s="18"/>
      <c r="Y4090" s="4"/>
      <c r="Z4090" s="4"/>
    </row>
    <row r="4091" spans="1:26" ht="14.1" hidden="1">
      <c r="A4091" s="20">
        <f t="shared" si="237"/>
        <v>56</v>
      </c>
      <c r="B4091" s="1063">
        <v>43868</v>
      </c>
      <c r="C4091" s="934" t="s">
        <v>14019</v>
      </c>
      <c r="D4091" s="11"/>
      <c r="E4091" s="204" t="s">
        <v>62</v>
      </c>
      <c r="F4091" s="934" t="s">
        <v>2693</v>
      </c>
      <c r="G4091" s="204" t="s">
        <v>14020</v>
      </c>
      <c r="H4091" s="204" t="s">
        <v>4110</v>
      </c>
      <c r="I4091" s="204" t="s">
        <v>113</v>
      </c>
      <c r="J4091" s="204" t="s">
        <v>14021</v>
      </c>
      <c r="K4091" s="204" t="s">
        <v>14021</v>
      </c>
      <c r="L4091" s="204"/>
      <c r="M4091" s="204">
        <v>1</v>
      </c>
      <c r="N4091" s="204">
        <v>1</v>
      </c>
      <c r="O4091" s="204">
        <v>1</v>
      </c>
      <c r="P4091" s="204">
        <v>0</v>
      </c>
      <c r="Q4091" s="572">
        <v>1</v>
      </c>
      <c r="R4091" s="1209">
        <v>2959</v>
      </c>
      <c r="S4091" s="1209">
        <v>2959</v>
      </c>
      <c r="T4091" s="204" t="s">
        <v>311</v>
      </c>
      <c r="U4091" s="1901" t="s">
        <v>1</v>
      </c>
      <c r="V4091" s="572" t="s">
        <v>352</v>
      </c>
      <c r="W4091" s="804" t="s">
        <v>14022</v>
      </c>
      <c r="X4091" s="18"/>
      <c r="Y4091" s="4"/>
      <c r="Z4091" s="4"/>
    </row>
    <row r="4092" spans="1:26" ht="14.45" hidden="1">
      <c r="A4092" s="20">
        <f t="shared" si="237"/>
        <v>57</v>
      </c>
      <c r="B4092" s="1063">
        <v>43869</v>
      </c>
      <c r="C4092" s="924" t="s">
        <v>329</v>
      </c>
      <c r="D4092" s="11"/>
      <c r="E4092" s="20" t="s">
        <v>12613</v>
      </c>
      <c r="F4092" s="985" t="s">
        <v>14023</v>
      </c>
      <c r="G4092" s="780" t="s">
        <v>14024</v>
      </c>
      <c r="H4092" s="683" t="s">
        <v>184</v>
      </c>
      <c r="I4092" s="683" t="s">
        <v>4634</v>
      </c>
      <c r="J4092" s="780" t="s">
        <v>14025</v>
      </c>
      <c r="K4092" s="781" t="s">
        <v>14026</v>
      </c>
      <c r="L4092" s="683" t="s">
        <v>8980</v>
      </c>
      <c r="M4092" s="683">
        <v>12</v>
      </c>
      <c r="N4092" s="678">
        <v>10</v>
      </c>
      <c r="O4092" s="678">
        <v>20</v>
      </c>
      <c r="P4092" s="683">
        <v>0</v>
      </c>
      <c r="Q4092" s="683">
        <v>8</v>
      </c>
      <c r="R4092" s="1333">
        <v>20.399999999999999</v>
      </c>
      <c r="S4092" s="1282">
        <v>408</v>
      </c>
      <c r="T4092" s="683" t="s">
        <v>12330</v>
      </c>
      <c r="U4092" s="740" t="s">
        <v>14027</v>
      </c>
      <c r="V4092" s="204" t="s">
        <v>5990</v>
      </c>
      <c r="W4092" s="782" t="s">
        <v>14028</v>
      </c>
      <c r="X4092" s="678"/>
      <c r="Y4092" s="4"/>
      <c r="Z4092" s="4"/>
    </row>
    <row r="4093" spans="1:26" ht="14.1" hidden="1">
      <c r="A4093" s="20">
        <f t="shared" si="237"/>
        <v>58</v>
      </c>
      <c r="B4093" s="1063">
        <v>43870</v>
      </c>
      <c r="C4093" s="1008" t="s">
        <v>329</v>
      </c>
      <c r="D4093" s="11"/>
      <c r="E4093" s="20" t="s">
        <v>12613</v>
      </c>
      <c r="F4093" s="1054" t="s">
        <v>14023</v>
      </c>
      <c r="G4093" s="530" t="s">
        <v>14029</v>
      </c>
      <c r="H4093" s="529" t="s">
        <v>144</v>
      </c>
      <c r="I4093" s="529" t="s">
        <v>4634</v>
      </c>
      <c r="J4093" s="530" t="s">
        <v>14030</v>
      </c>
      <c r="K4093" s="531" t="s">
        <v>14031</v>
      </c>
      <c r="L4093" s="529" t="s">
        <v>8980</v>
      </c>
      <c r="M4093" s="529">
        <v>79</v>
      </c>
      <c r="N4093" s="468">
        <v>100</v>
      </c>
      <c r="O4093" s="468">
        <v>100</v>
      </c>
      <c r="P4093" s="529">
        <v>0</v>
      </c>
      <c r="Q4093" s="529">
        <v>21</v>
      </c>
      <c r="R4093" s="1334">
        <v>14</v>
      </c>
      <c r="S4093" s="1282">
        <v>1400</v>
      </c>
      <c r="T4093" s="529" t="s">
        <v>12330</v>
      </c>
      <c r="U4093" s="1155" t="s">
        <v>14027</v>
      </c>
      <c r="V4093" s="204" t="s">
        <v>5990</v>
      </c>
      <c r="W4093" s="783" t="s">
        <v>14032</v>
      </c>
      <c r="X4093" s="18"/>
      <c r="Y4093" s="4"/>
      <c r="Z4093" s="4"/>
    </row>
    <row r="4094" spans="1:26" ht="14.1" hidden="1">
      <c r="A4094" s="20">
        <f t="shared" si="237"/>
        <v>59</v>
      </c>
      <c r="B4094" s="1063">
        <v>43871</v>
      </c>
      <c r="C4094" s="924" t="s">
        <v>329</v>
      </c>
      <c r="D4094" s="11"/>
      <c r="E4094" s="20" t="s">
        <v>12613</v>
      </c>
      <c r="F4094" s="985" t="s">
        <v>14023</v>
      </c>
      <c r="G4094" s="780" t="s">
        <v>14033</v>
      </c>
      <c r="H4094" s="683" t="s">
        <v>201</v>
      </c>
      <c r="I4094" s="683" t="s">
        <v>4634</v>
      </c>
      <c r="J4094" s="780" t="s">
        <v>14034</v>
      </c>
      <c r="K4094" s="781" t="s">
        <v>14035</v>
      </c>
      <c r="L4094" s="683" t="s">
        <v>8980</v>
      </c>
      <c r="M4094" s="683">
        <v>12</v>
      </c>
      <c r="N4094" s="678">
        <v>10</v>
      </c>
      <c r="O4094" s="678">
        <v>20</v>
      </c>
      <c r="P4094" s="683">
        <v>0</v>
      </c>
      <c r="Q4094" s="683">
        <v>8</v>
      </c>
      <c r="R4094" s="1282">
        <v>46.8</v>
      </c>
      <c r="S4094" s="1283">
        <v>936</v>
      </c>
      <c r="T4094" s="683" t="s">
        <v>12330</v>
      </c>
      <c r="U4094" s="740" t="s">
        <v>14027</v>
      </c>
      <c r="V4094" s="204" t="s">
        <v>5990</v>
      </c>
      <c r="W4094" s="681" t="s">
        <v>14036</v>
      </c>
      <c r="X4094" s="18" t="s">
        <v>14037</v>
      </c>
      <c r="Y4094" s="4"/>
      <c r="Z4094" s="4"/>
    </row>
    <row r="4095" spans="1:26" ht="14.1" hidden="1">
      <c r="A4095" s="20">
        <f t="shared" si="237"/>
        <v>60</v>
      </c>
      <c r="B4095" s="1063">
        <v>43872</v>
      </c>
      <c r="C4095" s="987" t="s">
        <v>329</v>
      </c>
      <c r="D4095" s="11"/>
      <c r="E4095" s="20" t="s">
        <v>12613</v>
      </c>
      <c r="F4095" s="986" t="s">
        <v>14023</v>
      </c>
      <c r="G4095" s="532" t="s">
        <v>14038</v>
      </c>
      <c r="H4095" s="298" t="s">
        <v>201</v>
      </c>
      <c r="I4095" s="298" t="s">
        <v>4634</v>
      </c>
      <c r="J4095" s="532" t="s">
        <v>14039</v>
      </c>
      <c r="K4095" s="533" t="s">
        <v>3666</v>
      </c>
      <c r="L4095" s="298" t="s">
        <v>8980</v>
      </c>
      <c r="M4095" s="298">
        <v>15</v>
      </c>
      <c r="N4095" s="282">
        <v>10</v>
      </c>
      <c r="O4095" s="282">
        <v>20</v>
      </c>
      <c r="P4095" s="298">
        <v>0</v>
      </c>
      <c r="Q4095" s="298">
        <v>5</v>
      </c>
      <c r="R4095" s="1283">
        <v>46.1</v>
      </c>
      <c r="S4095" s="1283">
        <v>922</v>
      </c>
      <c r="T4095" s="298" t="s">
        <v>12330</v>
      </c>
      <c r="U4095" s="1537" t="s">
        <v>14027</v>
      </c>
      <c r="V4095" s="204" t="s">
        <v>5990</v>
      </c>
      <c r="W4095" s="682" t="s">
        <v>14040</v>
      </c>
      <c r="X4095" s="18"/>
      <c r="Y4095" s="4"/>
      <c r="Z4095" s="4"/>
    </row>
    <row r="4096" spans="1:26" ht="14.1" hidden="1">
      <c r="A4096" s="20">
        <f t="shared" si="237"/>
        <v>61</v>
      </c>
      <c r="B4096" s="1063">
        <v>43873</v>
      </c>
      <c r="C4096" s="987" t="s">
        <v>329</v>
      </c>
      <c r="D4096" s="11"/>
      <c r="E4096" s="20" t="s">
        <v>12613</v>
      </c>
      <c r="F4096" s="986" t="s">
        <v>14023</v>
      </c>
      <c r="G4096" s="532" t="s">
        <v>14041</v>
      </c>
      <c r="H4096" s="298" t="s">
        <v>332</v>
      </c>
      <c r="I4096" s="298" t="s">
        <v>4634</v>
      </c>
      <c r="J4096" s="532" t="s">
        <v>14042</v>
      </c>
      <c r="K4096" s="533" t="s">
        <v>14043</v>
      </c>
      <c r="L4096" s="298" t="s">
        <v>8980</v>
      </c>
      <c r="M4096" s="298">
        <v>5</v>
      </c>
      <c r="N4096" s="282">
        <v>10</v>
      </c>
      <c r="O4096" s="282">
        <v>10</v>
      </c>
      <c r="P4096" s="298">
        <v>0</v>
      </c>
      <c r="Q4096" s="298">
        <v>5</v>
      </c>
      <c r="R4096" s="1283">
        <v>21.2</v>
      </c>
      <c r="S4096" s="1283">
        <v>212</v>
      </c>
      <c r="T4096" s="298" t="s">
        <v>12330</v>
      </c>
      <c r="U4096" s="1537" t="s">
        <v>14027</v>
      </c>
      <c r="V4096" s="204" t="s">
        <v>5990</v>
      </c>
      <c r="W4096" s="682" t="s">
        <v>14044</v>
      </c>
      <c r="X4096" s="18"/>
      <c r="Y4096" s="4"/>
      <c r="Z4096" s="4"/>
    </row>
    <row r="4097" spans="1:26" ht="14.1" hidden="1">
      <c r="A4097" s="200">
        <f t="shared" si="237"/>
        <v>62</v>
      </c>
      <c r="B4097" s="1063">
        <v>43874</v>
      </c>
      <c r="C4097" s="988" t="s">
        <v>329</v>
      </c>
      <c r="D4097" s="515" t="s">
        <v>6</v>
      </c>
      <c r="E4097" s="200" t="s">
        <v>12613</v>
      </c>
      <c r="F4097" s="1010" t="s">
        <v>14023</v>
      </c>
      <c r="G4097" s="534" t="s">
        <v>14045</v>
      </c>
      <c r="H4097" s="738" t="s">
        <v>144</v>
      </c>
      <c r="I4097" s="738" t="s">
        <v>4634</v>
      </c>
      <c r="J4097" s="534" t="s">
        <v>14046</v>
      </c>
      <c r="K4097" s="535" t="s">
        <v>14047</v>
      </c>
      <c r="L4097" s="738" t="s">
        <v>14048</v>
      </c>
      <c r="M4097" s="738">
        <v>10</v>
      </c>
      <c r="N4097" s="679">
        <v>10</v>
      </c>
      <c r="O4097" s="679">
        <v>20</v>
      </c>
      <c r="P4097" s="738">
        <v>0</v>
      </c>
      <c r="Q4097" s="738">
        <v>10</v>
      </c>
      <c r="R4097" s="1335">
        <v>97.8</v>
      </c>
      <c r="S4097" s="1335">
        <v>1956</v>
      </c>
      <c r="T4097" s="738" t="s">
        <v>12330</v>
      </c>
      <c r="U4097" s="1930" t="s">
        <v>14027</v>
      </c>
      <c r="V4097" s="717" t="s">
        <v>5990</v>
      </c>
      <c r="W4097" s="536" t="s">
        <v>14049</v>
      </c>
      <c r="X4097" s="18" t="s">
        <v>7860</v>
      </c>
      <c r="Y4097" s="4"/>
      <c r="Z4097" s="4"/>
    </row>
    <row r="4098" spans="1:26" ht="14.1" hidden="1">
      <c r="A4098" s="200">
        <f t="shared" si="237"/>
        <v>63</v>
      </c>
      <c r="B4098" s="1063">
        <v>43875</v>
      </c>
      <c r="C4098" s="988" t="s">
        <v>329</v>
      </c>
      <c r="D4098" s="515" t="s">
        <v>6</v>
      </c>
      <c r="E4098" s="200" t="s">
        <v>12613</v>
      </c>
      <c r="F4098" s="1010" t="s">
        <v>14023</v>
      </c>
      <c r="G4098" s="534" t="s">
        <v>14050</v>
      </c>
      <c r="H4098" s="738" t="s">
        <v>1422</v>
      </c>
      <c r="I4098" s="738" t="s">
        <v>4634</v>
      </c>
      <c r="J4098" s="1091" t="s">
        <v>14051</v>
      </c>
      <c r="K4098" s="537" t="s">
        <v>14052</v>
      </c>
      <c r="L4098" s="784" t="s">
        <v>8980</v>
      </c>
      <c r="M4098" s="738">
        <v>12</v>
      </c>
      <c r="N4098" s="679">
        <v>10</v>
      </c>
      <c r="O4098" s="679">
        <v>20</v>
      </c>
      <c r="P4098" s="738">
        <v>0</v>
      </c>
      <c r="Q4098" s="738">
        <v>8</v>
      </c>
      <c r="R4098" s="1335">
        <v>28.7</v>
      </c>
      <c r="S4098" s="1335">
        <v>574</v>
      </c>
      <c r="T4098" s="738" t="s">
        <v>12330</v>
      </c>
      <c r="U4098" s="1930" t="s">
        <v>14027</v>
      </c>
      <c r="V4098" s="717" t="s">
        <v>5990</v>
      </c>
      <c r="W4098" s="536" t="s">
        <v>14053</v>
      </c>
      <c r="X4098" s="18" t="s">
        <v>14054</v>
      </c>
      <c r="Y4098" s="4"/>
      <c r="Z4098" s="4"/>
    </row>
    <row r="4099" spans="1:26" ht="14.1" hidden="1">
      <c r="A4099" s="20">
        <f t="shared" si="237"/>
        <v>64</v>
      </c>
      <c r="B4099" s="1063">
        <v>43876</v>
      </c>
      <c r="C4099" s="987" t="s">
        <v>329</v>
      </c>
      <c r="D4099" s="11" t="s">
        <v>6</v>
      </c>
      <c r="E4099" s="20" t="s">
        <v>12613</v>
      </c>
      <c r="F4099" s="986" t="s">
        <v>14023</v>
      </c>
      <c r="G4099" s="532" t="s">
        <v>14055</v>
      </c>
      <c r="H4099" s="298" t="s">
        <v>332</v>
      </c>
      <c r="I4099" s="298" t="s">
        <v>4634</v>
      </c>
      <c r="J4099" s="780" t="s">
        <v>14056</v>
      </c>
      <c r="K4099" s="781" t="s">
        <v>14057</v>
      </c>
      <c r="L4099" s="298" t="s">
        <v>8980</v>
      </c>
      <c r="M4099" s="298">
        <v>5</v>
      </c>
      <c r="N4099" s="282">
        <v>10</v>
      </c>
      <c r="O4099" s="282">
        <v>10</v>
      </c>
      <c r="P4099" s="298">
        <v>0</v>
      </c>
      <c r="Q4099" s="298">
        <v>5</v>
      </c>
      <c r="R4099" s="1283">
        <v>74</v>
      </c>
      <c r="S4099" s="1283">
        <v>740</v>
      </c>
      <c r="T4099" s="298" t="s">
        <v>12330</v>
      </c>
      <c r="U4099" s="1537" t="s">
        <v>14027</v>
      </c>
      <c r="V4099" s="204" t="s">
        <v>5990</v>
      </c>
      <c r="W4099" s="682" t="s">
        <v>14058</v>
      </c>
      <c r="X4099" s="18"/>
      <c r="Y4099" s="4"/>
      <c r="Z4099" s="4"/>
    </row>
    <row r="4100" spans="1:26" ht="14.1" hidden="1">
      <c r="A4100" s="20">
        <f t="shared" si="237"/>
        <v>65</v>
      </c>
      <c r="B4100" s="1063">
        <v>43877</v>
      </c>
      <c r="C4100" s="987" t="s">
        <v>329</v>
      </c>
      <c r="D4100" s="11" t="s">
        <v>6</v>
      </c>
      <c r="E4100" s="20" t="s">
        <v>12613</v>
      </c>
      <c r="F4100" s="986" t="s">
        <v>14023</v>
      </c>
      <c r="G4100" s="532" t="s">
        <v>14059</v>
      </c>
      <c r="H4100" s="298" t="s">
        <v>201</v>
      </c>
      <c r="I4100" s="298" t="s">
        <v>4634</v>
      </c>
      <c r="J4100" s="532" t="s">
        <v>14060</v>
      </c>
      <c r="K4100" s="533" t="s">
        <v>14061</v>
      </c>
      <c r="L4100" s="298" t="s">
        <v>8980</v>
      </c>
      <c r="M4100" s="298">
        <v>5</v>
      </c>
      <c r="N4100" s="282">
        <v>10</v>
      </c>
      <c r="O4100" s="282">
        <v>10</v>
      </c>
      <c r="P4100" s="298">
        <v>0</v>
      </c>
      <c r="Q4100" s="298">
        <v>5</v>
      </c>
      <c r="R4100" s="1283">
        <v>21.1</v>
      </c>
      <c r="S4100" s="1283">
        <v>211</v>
      </c>
      <c r="T4100" s="298" t="s">
        <v>12330</v>
      </c>
      <c r="U4100" s="1537" t="s">
        <v>14027</v>
      </c>
      <c r="V4100" s="204" t="s">
        <v>5990</v>
      </c>
      <c r="W4100" s="682" t="s">
        <v>14062</v>
      </c>
      <c r="X4100" s="18"/>
      <c r="Y4100" s="4"/>
      <c r="Z4100" s="4"/>
    </row>
    <row r="4101" spans="1:26" ht="14.45" hidden="1">
      <c r="A4101" s="20">
        <f t="shared" si="237"/>
        <v>66</v>
      </c>
      <c r="B4101" s="1063">
        <v>43878</v>
      </c>
      <c r="C4101" s="987" t="s">
        <v>152</v>
      </c>
      <c r="D4101" s="11" t="s">
        <v>6</v>
      </c>
      <c r="E4101" s="20" t="s">
        <v>12613</v>
      </c>
      <c r="F4101" s="986" t="s">
        <v>14023</v>
      </c>
      <c r="G4101" s="532" t="s">
        <v>14063</v>
      </c>
      <c r="H4101" s="298" t="s">
        <v>154</v>
      </c>
      <c r="I4101" s="298" t="s">
        <v>4634</v>
      </c>
      <c r="J4101" s="532" t="s">
        <v>14064</v>
      </c>
      <c r="K4101" s="452" t="s">
        <v>14065</v>
      </c>
      <c r="L4101" s="298" t="s">
        <v>8980</v>
      </c>
      <c r="M4101" s="298">
        <v>20</v>
      </c>
      <c r="N4101" s="282">
        <v>10</v>
      </c>
      <c r="O4101" s="282">
        <v>30</v>
      </c>
      <c r="P4101" s="298">
        <v>0</v>
      </c>
      <c r="Q4101" s="298">
        <v>10</v>
      </c>
      <c r="R4101" s="1283">
        <v>84.4</v>
      </c>
      <c r="S4101" s="1283">
        <v>2532</v>
      </c>
      <c r="T4101" s="298" t="s">
        <v>12330</v>
      </c>
      <c r="U4101" s="1537" t="s">
        <v>14027</v>
      </c>
      <c r="V4101" s="204" t="s">
        <v>5990</v>
      </c>
      <c r="W4101" s="785" t="s">
        <v>14066</v>
      </c>
      <c r="X4101" s="18"/>
      <c r="Y4101" s="4"/>
      <c r="Z4101" s="4"/>
    </row>
    <row r="4102" spans="1:26" ht="14.45" hidden="1">
      <c r="A4102" s="20">
        <f t="shared" si="237"/>
        <v>67</v>
      </c>
      <c r="B4102" s="1063">
        <v>43879</v>
      </c>
      <c r="C4102" s="987" t="s">
        <v>152</v>
      </c>
      <c r="D4102" s="11" t="s">
        <v>6</v>
      </c>
      <c r="E4102" s="20" t="s">
        <v>12613</v>
      </c>
      <c r="F4102" s="986" t="s">
        <v>14023</v>
      </c>
      <c r="G4102" s="538" t="s">
        <v>14067</v>
      </c>
      <c r="H4102" s="297" t="s">
        <v>166</v>
      </c>
      <c r="I4102" s="298" t="s">
        <v>4634</v>
      </c>
      <c r="J4102" s="532" t="s">
        <v>14068</v>
      </c>
      <c r="K4102" s="452" t="s">
        <v>14069</v>
      </c>
      <c r="L4102" s="298" t="s">
        <v>8980</v>
      </c>
      <c r="M4102" s="298">
        <v>12</v>
      </c>
      <c r="N4102" s="282">
        <v>10</v>
      </c>
      <c r="O4102" s="282">
        <v>20</v>
      </c>
      <c r="P4102" s="298">
        <v>0</v>
      </c>
      <c r="Q4102" s="298">
        <v>8</v>
      </c>
      <c r="R4102" s="1283">
        <v>6.7</v>
      </c>
      <c r="S4102" s="1283">
        <v>134</v>
      </c>
      <c r="T4102" s="298" t="s">
        <v>12330</v>
      </c>
      <c r="U4102" s="1537" t="s">
        <v>14027</v>
      </c>
      <c r="V4102" s="204" t="s">
        <v>5990</v>
      </c>
      <c r="W4102" s="785" t="s">
        <v>14070</v>
      </c>
      <c r="X4102" s="18"/>
      <c r="Y4102" s="4"/>
      <c r="Z4102" s="4"/>
    </row>
    <row r="4103" spans="1:26" ht="14.45" hidden="1">
      <c r="A4103" s="20">
        <f t="shared" si="237"/>
        <v>68</v>
      </c>
      <c r="B4103" s="1063">
        <v>43880</v>
      </c>
      <c r="C4103" s="987" t="s">
        <v>152</v>
      </c>
      <c r="D4103" s="11" t="s">
        <v>6</v>
      </c>
      <c r="E4103" s="20" t="s">
        <v>12613</v>
      </c>
      <c r="F4103" s="986" t="s">
        <v>14023</v>
      </c>
      <c r="G4103" s="538" t="s">
        <v>14071</v>
      </c>
      <c r="H4103" s="297" t="s">
        <v>166</v>
      </c>
      <c r="I4103" s="298" t="s">
        <v>4634</v>
      </c>
      <c r="J4103" s="532" t="s">
        <v>14072</v>
      </c>
      <c r="K4103" s="452" t="s">
        <v>14073</v>
      </c>
      <c r="L4103" s="298" t="s">
        <v>8980</v>
      </c>
      <c r="M4103" s="298">
        <v>12</v>
      </c>
      <c r="N4103" s="282">
        <v>10</v>
      </c>
      <c r="O4103" s="282">
        <v>20</v>
      </c>
      <c r="P4103" s="298">
        <v>0</v>
      </c>
      <c r="Q4103" s="298">
        <v>8</v>
      </c>
      <c r="R4103" s="1283">
        <v>5.0999999999999996</v>
      </c>
      <c r="S4103" s="1283">
        <v>102</v>
      </c>
      <c r="T4103" s="298" t="s">
        <v>12330</v>
      </c>
      <c r="U4103" s="1537" t="s">
        <v>14027</v>
      </c>
      <c r="V4103" s="204" t="s">
        <v>5990</v>
      </c>
      <c r="W4103" s="785" t="s">
        <v>14074</v>
      </c>
      <c r="X4103" s="18"/>
      <c r="Y4103" s="4"/>
      <c r="Z4103" s="4"/>
    </row>
    <row r="4104" spans="1:26" ht="14.45" hidden="1">
      <c r="A4104" s="20">
        <f t="shared" si="237"/>
        <v>69</v>
      </c>
      <c r="B4104" s="1063">
        <v>43881</v>
      </c>
      <c r="C4104" s="987" t="s">
        <v>152</v>
      </c>
      <c r="D4104" s="11" t="s">
        <v>6</v>
      </c>
      <c r="E4104" s="20" t="s">
        <v>12613</v>
      </c>
      <c r="F4104" s="986" t="s">
        <v>14023</v>
      </c>
      <c r="G4104" s="780" t="s">
        <v>14075</v>
      </c>
      <c r="H4104" s="298" t="s">
        <v>166</v>
      </c>
      <c r="I4104" s="298" t="s">
        <v>4634</v>
      </c>
      <c r="J4104" s="532" t="s">
        <v>14076</v>
      </c>
      <c r="K4104" s="452" t="s">
        <v>14077</v>
      </c>
      <c r="L4104" s="298" t="s">
        <v>8980</v>
      </c>
      <c r="M4104" s="298">
        <v>10</v>
      </c>
      <c r="N4104" s="282">
        <v>10</v>
      </c>
      <c r="O4104" s="282">
        <v>10</v>
      </c>
      <c r="P4104" s="298">
        <v>0</v>
      </c>
      <c r="Q4104" s="298">
        <v>0</v>
      </c>
      <c r="R4104" s="1283">
        <v>15.7</v>
      </c>
      <c r="S4104" s="1283">
        <v>157</v>
      </c>
      <c r="T4104" s="298" t="s">
        <v>12330</v>
      </c>
      <c r="U4104" s="1537" t="s">
        <v>14027</v>
      </c>
      <c r="V4104" s="204" t="s">
        <v>5990</v>
      </c>
      <c r="W4104" s="785" t="s">
        <v>14078</v>
      </c>
      <c r="X4104" s="18"/>
      <c r="Y4104" s="4"/>
      <c r="Z4104" s="4"/>
    </row>
    <row r="4105" spans="1:26" ht="14.45" hidden="1">
      <c r="A4105" s="20">
        <f t="shared" si="237"/>
        <v>70</v>
      </c>
      <c r="B4105" s="1063">
        <v>43882</v>
      </c>
      <c r="C4105" s="987" t="s">
        <v>152</v>
      </c>
      <c r="D4105" s="11" t="s">
        <v>6</v>
      </c>
      <c r="E4105" s="20" t="s">
        <v>12613</v>
      </c>
      <c r="F4105" s="986" t="s">
        <v>14023</v>
      </c>
      <c r="G4105" s="532" t="s">
        <v>14079</v>
      </c>
      <c r="H4105" s="298" t="s">
        <v>166</v>
      </c>
      <c r="I4105" s="298" t="s">
        <v>4634</v>
      </c>
      <c r="J4105" s="1092" t="s">
        <v>14080</v>
      </c>
      <c r="K4105" s="539" t="s">
        <v>14081</v>
      </c>
      <c r="L4105" s="297" t="s">
        <v>8980</v>
      </c>
      <c r="M4105" s="298">
        <v>12</v>
      </c>
      <c r="N4105" s="282">
        <v>10</v>
      </c>
      <c r="O4105" s="282">
        <v>20</v>
      </c>
      <c r="P4105" s="298">
        <v>0</v>
      </c>
      <c r="Q4105" s="298">
        <v>8</v>
      </c>
      <c r="R4105" s="1283">
        <v>7.7</v>
      </c>
      <c r="S4105" s="1283">
        <v>154</v>
      </c>
      <c r="T4105" s="298" t="s">
        <v>12330</v>
      </c>
      <c r="U4105" s="1537" t="s">
        <v>14027</v>
      </c>
      <c r="V4105" s="204" t="s">
        <v>5990</v>
      </c>
      <c r="W4105" s="785" t="s">
        <v>14082</v>
      </c>
      <c r="X4105" s="18"/>
      <c r="Y4105" s="4"/>
      <c r="Z4105" s="4"/>
    </row>
    <row r="4106" spans="1:26" ht="14.1" hidden="1">
      <c r="A4106" s="20">
        <f t="shared" si="237"/>
        <v>71</v>
      </c>
      <c r="B4106" s="1063">
        <v>43883</v>
      </c>
      <c r="C4106" s="987" t="s">
        <v>152</v>
      </c>
      <c r="D4106" s="11" t="s">
        <v>6</v>
      </c>
      <c r="E4106" s="20" t="s">
        <v>12613</v>
      </c>
      <c r="F4106" s="986" t="s">
        <v>14023</v>
      </c>
      <c r="G4106" s="532" t="s">
        <v>14083</v>
      </c>
      <c r="H4106" s="298" t="s">
        <v>166</v>
      </c>
      <c r="I4106" s="298" t="s">
        <v>4634</v>
      </c>
      <c r="J4106" s="780" t="s">
        <v>14084</v>
      </c>
      <c r="K4106" s="781" t="s">
        <v>14085</v>
      </c>
      <c r="L4106" s="298" t="s">
        <v>8980</v>
      </c>
      <c r="M4106" s="298">
        <v>30</v>
      </c>
      <c r="N4106" s="282">
        <v>100</v>
      </c>
      <c r="O4106" s="282">
        <v>100</v>
      </c>
      <c r="P4106" s="298">
        <v>0</v>
      </c>
      <c r="Q4106" s="298">
        <v>70</v>
      </c>
      <c r="R4106" s="1283">
        <v>6.4</v>
      </c>
      <c r="S4106" s="1283">
        <v>640</v>
      </c>
      <c r="T4106" s="298" t="s">
        <v>12330</v>
      </c>
      <c r="U4106" s="1537" t="s">
        <v>14027</v>
      </c>
      <c r="V4106" s="204" t="s">
        <v>5990</v>
      </c>
      <c r="W4106" s="682" t="s">
        <v>14086</v>
      </c>
      <c r="X4106" s="18"/>
      <c r="Y4106" s="4"/>
      <c r="Z4106" s="4"/>
    </row>
    <row r="4107" spans="1:26" ht="14.1" hidden="1">
      <c r="A4107" s="20">
        <f t="shared" si="237"/>
        <v>72</v>
      </c>
      <c r="B4107" s="1063">
        <v>43884</v>
      </c>
      <c r="C4107" s="987" t="s">
        <v>152</v>
      </c>
      <c r="D4107" s="11" t="s">
        <v>6</v>
      </c>
      <c r="E4107" s="20" t="s">
        <v>12613</v>
      </c>
      <c r="F4107" s="986" t="s">
        <v>14023</v>
      </c>
      <c r="G4107" s="532" t="s">
        <v>14087</v>
      </c>
      <c r="H4107" s="298" t="s">
        <v>166</v>
      </c>
      <c r="I4107" s="298" t="s">
        <v>4634</v>
      </c>
      <c r="J4107" s="532" t="s">
        <v>14088</v>
      </c>
      <c r="K4107" s="533" t="s">
        <v>14089</v>
      </c>
      <c r="L4107" s="298" t="s">
        <v>8980</v>
      </c>
      <c r="M4107" s="298">
        <v>55</v>
      </c>
      <c r="N4107" s="282">
        <v>100</v>
      </c>
      <c r="O4107" s="282">
        <v>100</v>
      </c>
      <c r="P4107" s="298">
        <v>0</v>
      </c>
      <c r="Q4107" s="298">
        <v>45</v>
      </c>
      <c r="R4107" s="1283">
        <v>4.7</v>
      </c>
      <c r="S4107" s="1283">
        <v>470</v>
      </c>
      <c r="T4107" s="298" t="s">
        <v>12330</v>
      </c>
      <c r="U4107" s="1537" t="s">
        <v>14027</v>
      </c>
      <c r="V4107" s="204" t="s">
        <v>5990</v>
      </c>
      <c r="W4107" s="682" t="s">
        <v>14090</v>
      </c>
      <c r="X4107" s="18"/>
      <c r="Y4107" s="4"/>
      <c r="Z4107" s="4"/>
    </row>
    <row r="4108" spans="1:26" ht="14.45" hidden="1">
      <c r="A4108" s="20">
        <f t="shared" si="237"/>
        <v>73</v>
      </c>
      <c r="B4108" s="1063">
        <v>43885</v>
      </c>
      <c r="C4108" s="987" t="s">
        <v>152</v>
      </c>
      <c r="D4108" s="11" t="s">
        <v>6</v>
      </c>
      <c r="E4108" s="20" t="s">
        <v>12613</v>
      </c>
      <c r="F4108" s="986" t="s">
        <v>14023</v>
      </c>
      <c r="G4108" s="532" t="s">
        <v>14091</v>
      </c>
      <c r="H4108" s="298" t="s">
        <v>166</v>
      </c>
      <c r="I4108" s="298" t="s">
        <v>4634</v>
      </c>
      <c r="J4108" s="532" t="s">
        <v>14092</v>
      </c>
      <c r="K4108" s="533" t="s">
        <v>14093</v>
      </c>
      <c r="L4108" s="298" t="s">
        <v>8980</v>
      </c>
      <c r="M4108" s="298">
        <v>25</v>
      </c>
      <c r="N4108" s="282">
        <v>10</v>
      </c>
      <c r="O4108" s="282">
        <v>30</v>
      </c>
      <c r="P4108" s="298">
        <v>0</v>
      </c>
      <c r="Q4108" s="298">
        <v>5</v>
      </c>
      <c r="R4108" s="1283">
        <v>6.1</v>
      </c>
      <c r="S4108" s="1283">
        <v>183</v>
      </c>
      <c r="T4108" s="298" t="s">
        <v>12330</v>
      </c>
      <c r="U4108" s="1537" t="s">
        <v>14027</v>
      </c>
      <c r="V4108" s="204" t="s">
        <v>5990</v>
      </c>
      <c r="W4108" s="785" t="s">
        <v>14094</v>
      </c>
      <c r="X4108" s="18"/>
      <c r="Y4108" s="4"/>
      <c r="Z4108" s="4"/>
    </row>
    <row r="4109" spans="1:26" ht="14.1" hidden="1">
      <c r="A4109" s="20">
        <f t="shared" si="237"/>
        <v>74</v>
      </c>
      <c r="B4109" s="1063">
        <v>43886</v>
      </c>
      <c r="C4109" s="987" t="s">
        <v>5189</v>
      </c>
      <c r="D4109" s="11" t="s">
        <v>6</v>
      </c>
      <c r="E4109" s="20" t="s">
        <v>12613</v>
      </c>
      <c r="F4109" s="986" t="s">
        <v>14023</v>
      </c>
      <c r="G4109" s="532" t="s">
        <v>14095</v>
      </c>
      <c r="H4109" s="298" t="s">
        <v>14096</v>
      </c>
      <c r="I4109" s="298" t="s">
        <v>4634</v>
      </c>
      <c r="J4109" s="532" t="s">
        <v>14097</v>
      </c>
      <c r="K4109" s="533" t="s">
        <v>14098</v>
      </c>
      <c r="L4109" s="532" t="s">
        <v>14099</v>
      </c>
      <c r="M4109" s="298">
        <v>10</v>
      </c>
      <c r="N4109" s="282">
        <v>10</v>
      </c>
      <c r="O4109" s="282">
        <v>20</v>
      </c>
      <c r="P4109" s="298">
        <v>10</v>
      </c>
      <c r="Q4109" s="298">
        <v>10</v>
      </c>
      <c r="R4109" s="1283">
        <v>30.3</v>
      </c>
      <c r="S4109" s="1283">
        <v>606</v>
      </c>
      <c r="T4109" s="298" t="s">
        <v>12330</v>
      </c>
      <c r="U4109" s="1537" t="s">
        <v>14027</v>
      </c>
      <c r="V4109" s="204" t="s">
        <v>5990</v>
      </c>
      <c r="W4109" s="682" t="s">
        <v>14100</v>
      </c>
      <c r="X4109" s="18"/>
      <c r="Y4109" s="4"/>
      <c r="Z4109" s="4"/>
    </row>
    <row r="4110" spans="1:26" ht="14.1" hidden="1">
      <c r="A4110" s="20">
        <f t="shared" si="237"/>
        <v>75</v>
      </c>
      <c r="B4110" s="1063">
        <v>43887</v>
      </c>
      <c r="C4110" s="987" t="s">
        <v>14101</v>
      </c>
      <c r="D4110" s="11" t="s">
        <v>6</v>
      </c>
      <c r="E4110" s="20" t="s">
        <v>12613</v>
      </c>
      <c r="F4110" s="986" t="s">
        <v>14023</v>
      </c>
      <c r="G4110" s="532" t="s">
        <v>14102</v>
      </c>
      <c r="H4110" s="298" t="s">
        <v>452</v>
      </c>
      <c r="I4110" s="298" t="s">
        <v>4634</v>
      </c>
      <c r="J4110" s="532" t="s">
        <v>11139</v>
      </c>
      <c r="K4110" s="533" t="s">
        <v>6455</v>
      </c>
      <c r="L4110" s="532" t="s">
        <v>14103</v>
      </c>
      <c r="M4110" s="298">
        <v>15</v>
      </c>
      <c r="N4110" s="282">
        <v>10</v>
      </c>
      <c r="O4110" s="282">
        <v>20</v>
      </c>
      <c r="P4110" s="298">
        <v>0</v>
      </c>
      <c r="Q4110" s="298">
        <v>5</v>
      </c>
      <c r="R4110" s="1283">
        <v>18.2</v>
      </c>
      <c r="S4110" s="1283">
        <v>364</v>
      </c>
      <c r="T4110" s="298" t="s">
        <v>12330</v>
      </c>
      <c r="U4110" s="1537" t="s">
        <v>14027</v>
      </c>
      <c r="V4110" s="204" t="s">
        <v>5990</v>
      </c>
      <c r="W4110" s="682" t="s">
        <v>11140</v>
      </c>
      <c r="X4110" s="18"/>
      <c r="Y4110" s="4"/>
      <c r="Z4110" s="4"/>
    </row>
    <row r="4111" spans="1:26" ht="14.45" hidden="1">
      <c r="A4111" s="20">
        <f t="shared" si="237"/>
        <v>76</v>
      </c>
      <c r="B4111" s="1063">
        <v>43888</v>
      </c>
      <c r="C4111" s="987" t="s">
        <v>14104</v>
      </c>
      <c r="D4111" s="11" t="s">
        <v>6</v>
      </c>
      <c r="E4111" s="20" t="s">
        <v>12613</v>
      </c>
      <c r="F4111" s="986" t="s">
        <v>14023</v>
      </c>
      <c r="G4111" s="532" t="s">
        <v>14105</v>
      </c>
      <c r="H4111" s="298" t="s">
        <v>230</v>
      </c>
      <c r="I4111" s="298" t="s">
        <v>4634</v>
      </c>
      <c r="J4111" s="532" t="s">
        <v>14106</v>
      </c>
      <c r="K4111" s="533" t="s">
        <v>3806</v>
      </c>
      <c r="L4111" s="298" t="s">
        <v>14107</v>
      </c>
      <c r="M4111" s="298">
        <v>6</v>
      </c>
      <c r="N4111" s="282">
        <v>1</v>
      </c>
      <c r="O4111" s="282">
        <v>6</v>
      </c>
      <c r="P4111" s="298">
        <v>0</v>
      </c>
      <c r="Q4111" s="298">
        <v>0</v>
      </c>
      <c r="R4111" s="1283">
        <v>513.29999999999995</v>
      </c>
      <c r="S4111" s="1283">
        <v>3079.8</v>
      </c>
      <c r="T4111" s="298" t="s">
        <v>12330</v>
      </c>
      <c r="U4111" s="1537" t="s">
        <v>14027</v>
      </c>
      <c r="V4111" s="204" t="s">
        <v>5990</v>
      </c>
      <c r="W4111" s="785" t="s">
        <v>14108</v>
      </c>
      <c r="X4111" s="18"/>
      <c r="Y4111" s="4"/>
      <c r="Z4111" s="4"/>
    </row>
    <row r="4112" spans="1:26" ht="14.1" hidden="1">
      <c r="A4112" s="20">
        <f t="shared" si="237"/>
        <v>77</v>
      </c>
      <c r="B4112" s="1063">
        <v>43889</v>
      </c>
      <c r="C4112" s="987" t="s">
        <v>14109</v>
      </c>
      <c r="D4112" s="11" t="s">
        <v>6</v>
      </c>
      <c r="E4112" s="20" t="s">
        <v>12613</v>
      </c>
      <c r="F4112" s="986" t="s">
        <v>14023</v>
      </c>
      <c r="G4112" s="298" t="s">
        <v>14110</v>
      </c>
      <c r="H4112" s="298" t="s">
        <v>14111</v>
      </c>
      <c r="I4112" s="298" t="s">
        <v>4634</v>
      </c>
      <c r="J4112" s="532" t="s">
        <v>14112</v>
      </c>
      <c r="K4112" s="533" t="s">
        <v>14113</v>
      </c>
      <c r="L4112" s="298" t="s">
        <v>14114</v>
      </c>
      <c r="M4112" s="298">
        <v>6</v>
      </c>
      <c r="N4112" s="282">
        <v>1</v>
      </c>
      <c r="O4112" s="282">
        <v>6</v>
      </c>
      <c r="P4112" s="298">
        <v>0</v>
      </c>
      <c r="Q4112" s="298">
        <v>0</v>
      </c>
      <c r="R4112" s="1283">
        <v>153.4</v>
      </c>
      <c r="S4112" s="1283">
        <v>920.4</v>
      </c>
      <c r="T4112" s="298" t="s">
        <v>12330</v>
      </c>
      <c r="U4112" s="1537" t="s">
        <v>14027</v>
      </c>
      <c r="V4112" s="204" t="s">
        <v>5990</v>
      </c>
      <c r="W4112" s="682" t="s">
        <v>14115</v>
      </c>
      <c r="X4112" s="18"/>
      <c r="Y4112" s="4"/>
      <c r="Z4112" s="4"/>
    </row>
    <row r="4113" spans="1:26" ht="15" hidden="1" customHeight="1">
      <c r="A4113" s="20">
        <f t="shared" si="237"/>
        <v>78</v>
      </c>
      <c r="B4113" s="1063">
        <v>43890</v>
      </c>
      <c r="C4113" s="1009" t="s">
        <v>14116</v>
      </c>
      <c r="D4113" s="11" t="s">
        <v>6</v>
      </c>
      <c r="E4113" s="20" t="s">
        <v>12613</v>
      </c>
      <c r="F4113" s="986" t="s">
        <v>14023</v>
      </c>
      <c r="G4113" s="532" t="s">
        <v>14117</v>
      </c>
      <c r="H4113" s="298" t="s">
        <v>1460</v>
      </c>
      <c r="I4113" s="298" t="s">
        <v>4634</v>
      </c>
      <c r="J4113" s="532" t="s">
        <v>14118</v>
      </c>
      <c r="K4113" s="533" t="s">
        <v>14119</v>
      </c>
      <c r="L4113" s="298" t="s">
        <v>14120</v>
      </c>
      <c r="M4113" s="298">
        <v>6</v>
      </c>
      <c r="N4113" s="282">
        <v>1</v>
      </c>
      <c r="O4113" s="282">
        <v>6</v>
      </c>
      <c r="P4113" s="298">
        <v>0</v>
      </c>
      <c r="Q4113" s="298">
        <v>0</v>
      </c>
      <c r="R4113" s="1283">
        <v>282</v>
      </c>
      <c r="S4113" s="1283">
        <v>1692</v>
      </c>
      <c r="T4113" s="298" t="s">
        <v>12330</v>
      </c>
      <c r="U4113" s="1537" t="s">
        <v>14027</v>
      </c>
      <c r="V4113" s="204" t="s">
        <v>5990</v>
      </c>
      <c r="W4113" s="785" t="s">
        <v>14121</v>
      </c>
      <c r="X4113" s="18"/>
      <c r="Y4113" s="4"/>
      <c r="Z4113" s="4"/>
    </row>
    <row r="4114" spans="1:26" ht="15" hidden="1" customHeight="1">
      <c r="A4114" s="20">
        <f t="shared" si="237"/>
        <v>79</v>
      </c>
      <c r="B4114" s="1063">
        <v>43891</v>
      </c>
      <c r="C4114" s="1009" t="s">
        <v>14122</v>
      </c>
      <c r="D4114" s="11" t="s">
        <v>6</v>
      </c>
      <c r="E4114" s="20" t="s">
        <v>12613</v>
      </c>
      <c r="F4114" s="986" t="s">
        <v>14023</v>
      </c>
      <c r="G4114" s="532" t="s">
        <v>14123</v>
      </c>
      <c r="H4114" s="298" t="s">
        <v>460</v>
      </c>
      <c r="I4114" s="298" t="s">
        <v>4634</v>
      </c>
      <c r="J4114" s="532" t="s">
        <v>14124</v>
      </c>
      <c r="K4114" s="533" t="s">
        <v>14125</v>
      </c>
      <c r="L4114" s="298" t="s">
        <v>14126</v>
      </c>
      <c r="M4114" s="298">
        <v>5</v>
      </c>
      <c r="N4114" s="243">
        <v>1</v>
      </c>
      <c r="O4114" s="243">
        <v>5</v>
      </c>
      <c r="P4114" s="298">
        <v>0</v>
      </c>
      <c r="Q4114" s="298">
        <v>0</v>
      </c>
      <c r="R4114" s="1283">
        <v>90</v>
      </c>
      <c r="S4114" s="1283">
        <v>450</v>
      </c>
      <c r="T4114" s="298" t="s">
        <v>12330</v>
      </c>
      <c r="U4114" s="1537" t="s">
        <v>14027</v>
      </c>
      <c r="V4114" s="204" t="s">
        <v>5990</v>
      </c>
      <c r="W4114" s="785" t="s">
        <v>14127</v>
      </c>
      <c r="X4114" s="18"/>
      <c r="Y4114" s="4"/>
      <c r="Z4114" s="4"/>
    </row>
    <row r="4115" spans="1:26" ht="15" hidden="1" customHeight="1">
      <c r="A4115" s="20">
        <f t="shared" si="237"/>
        <v>80</v>
      </c>
      <c r="B4115" s="1063">
        <v>43892</v>
      </c>
      <c r="C4115" s="987" t="s">
        <v>14128</v>
      </c>
      <c r="D4115" s="11" t="s">
        <v>6</v>
      </c>
      <c r="E4115" s="20" t="s">
        <v>12613</v>
      </c>
      <c r="F4115" s="986" t="s">
        <v>14023</v>
      </c>
      <c r="G4115" s="298" t="s">
        <v>14129</v>
      </c>
      <c r="H4115" s="298" t="s">
        <v>460</v>
      </c>
      <c r="I4115" s="298" t="s">
        <v>4634</v>
      </c>
      <c r="J4115" s="532" t="s">
        <v>14130</v>
      </c>
      <c r="K4115" s="533" t="s">
        <v>14131</v>
      </c>
      <c r="L4115" s="502" t="s">
        <v>1907</v>
      </c>
      <c r="M4115" s="298">
        <v>10</v>
      </c>
      <c r="N4115" s="243">
        <v>10</v>
      </c>
      <c r="O4115" s="243">
        <v>10</v>
      </c>
      <c r="P4115" s="298">
        <v>0</v>
      </c>
      <c r="Q4115" s="298">
        <v>0</v>
      </c>
      <c r="R4115" s="1283">
        <v>63.6</v>
      </c>
      <c r="S4115" s="1283">
        <v>636</v>
      </c>
      <c r="T4115" s="298" t="s">
        <v>12330</v>
      </c>
      <c r="U4115" s="1537" t="s">
        <v>14027</v>
      </c>
      <c r="V4115" s="204" t="s">
        <v>5990</v>
      </c>
      <c r="W4115" s="785" t="s">
        <v>14132</v>
      </c>
      <c r="X4115" s="18"/>
      <c r="Y4115" s="4"/>
      <c r="Z4115" s="4"/>
    </row>
    <row r="4116" spans="1:26" ht="15" hidden="1" customHeight="1">
      <c r="A4116" s="200">
        <f t="shared" si="237"/>
        <v>81</v>
      </c>
      <c r="B4116" s="1063">
        <v>43893</v>
      </c>
      <c r="C4116" s="988" t="s">
        <v>2517</v>
      </c>
      <c r="D4116" s="515" t="s">
        <v>6</v>
      </c>
      <c r="E4116" s="20" t="s">
        <v>12613</v>
      </c>
      <c r="F4116" s="1010" t="s">
        <v>14023</v>
      </c>
      <c r="G4116" s="534" t="s">
        <v>14133</v>
      </c>
      <c r="H4116" s="738" t="s">
        <v>14134</v>
      </c>
      <c r="I4116" s="738" t="s">
        <v>4634</v>
      </c>
      <c r="J4116" s="534" t="s">
        <v>14135</v>
      </c>
      <c r="K4116" s="535" t="s">
        <v>14136</v>
      </c>
      <c r="L4116" s="534" t="s">
        <v>14137</v>
      </c>
      <c r="M4116" s="738">
        <v>4</v>
      </c>
      <c r="N4116" s="540">
        <v>1</v>
      </c>
      <c r="O4116" s="540">
        <v>4</v>
      </c>
      <c r="P4116" s="738">
        <v>0</v>
      </c>
      <c r="Q4116" s="738">
        <v>0</v>
      </c>
      <c r="R4116" s="1336">
        <v>2607</v>
      </c>
      <c r="S4116" s="1335">
        <v>10428</v>
      </c>
      <c r="T4116" s="738" t="s">
        <v>12330</v>
      </c>
      <c r="U4116" s="1930" t="s">
        <v>14027</v>
      </c>
      <c r="V4116" s="717" t="s">
        <v>5990</v>
      </c>
      <c r="W4116" s="541" t="s">
        <v>14138</v>
      </c>
      <c r="X4116" s="18" t="s">
        <v>14054</v>
      </c>
      <c r="Y4116" s="4"/>
      <c r="Z4116" s="4"/>
    </row>
    <row r="4117" spans="1:26" ht="14.45" hidden="1">
      <c r="A4117" s="20">
        <f t="shared" si="237"/>
        <v>82</v>
      </c>
      <c r="B4117" s="1063">
        <v>43894</v>
      </c>
      <c r="C4117" s="1009" t="s">
        <v>14139</v>
      </c>
      <c r="D4117" s="11" t="s">
        <v>6</v>
      </c>
      <c r="E4117" s="20" t="s">
        <v>12613</v>
      </c>
      <c r="F4117" s="986" t="s">
        <v>14023</v>
      </c>
      <c r="G4117" s="532" t="s">
        <v>14140</v>
      </c>
      <c r="H4117" s="298" t="s">
        <v>243</v>
      </c>
      <c r="I4117" s="298" t="s">
        <v>4634</v>
      </c>
      <c r="J4117" s="532" t="s">
        <v>14141</v>
      </c>
      <c r="K4117" s="452" t="s">
        <v>14142</v>
      </c>
      <c r="L4117" s="532" t="s">
        <v>14143</v>
      </c>
      <c r="M4117" s="298">
        <v>15</v>
      </c>
      <c r="N4117" s="243">
        <v>10</v>
      </c>
      <c r="O4117" s="243">
        <v>20</v>
      </c>
      <c r="P4117" s="298">
        <v>0</v>
      </c>
      <c r="Q4117" s="298">
        <v>5</v>
      </c>
      <c r="R4117" s="1283">
        <v>387</v>
      </c>
      <c r="S4117" s="1283">
        <v>7740</v>
      </c>
      <c r="T4117" s="298" t="s">
        <v>12330</v>
      </c>
      <c r="U4117" s="1537" t="s">
        <v>14027</v>
      </c>
      <c r="V4117" s="204" t="s">
        <v>5990</v>
      </c>
      <c r="W4117" s="785" t="s">
        <v>14144</v>
      </c>
      <c r="X4117" s="18"/>
      <c r="Y4117" s="4"/>
      <c r="Z4117" s="4"/>
    </row>
    <row r="4118" spans="1:26" ht="14.45" hidden="1">
      <c r="A4118" s="20">
        <f t="shared" si="237"/>
        <v>83</v>
      </c>
      <c r="B4118" s="1063">
        <v>43895</v>
      </c>
      <c r="C4118" s="1009" t="s">
        <v>14145</v>
      </c>
      <c r="D4118" s="11" t="s">
        <v>6</v>
      </c>
      <c r="E4118" s="20" t="s">
        <v>12613</v>
      </c>
      <c r="F4118" s="986" t="s">
        <v>14023</v>
      </c>
      <c r="G4118" s="532" t="s">
        <v>14146</v>
      </c>
      <c r="H4118" s="298" t="s">
        <v>6984</v>
      </c>
      <c r="I4118" s="298" t="s">
        <v>4634</v>
      </c>
      <c r="J4118" s="532" t="s">
        <v>14147</v>
      </c>
      <c r="K4118" s="452" t="s">
        <v>14148</v>
      </c>
      <c r="L4118" s="298" t="s">
        <v>14120</v>
      </c>
      <c r="M4118" s="298">
        <v>1</v>
      </c>
      <c r="N4118" s="243">
        <v>1</v>
      </c>
      <c r="O4118" s="243">
        <v>1</v>
      </c>
      <c r="P4118" s="298">
        <v>0</v>
      </c>
      <c r="Q4118" s="298">
        <v>0</v>
      </c>
      <c r="R4118" s="1283">
        <v>3062</v>
      </c>
      <c r="S4118" s="1283">
        <v>3062</v>
      </c>
      <c r="T4118" s="298" t="s">
        <v>12330</v>
      </c>
      <c r="U4118" s="1537" t="s">
        <v>14027</v>
      </c>
      <c r="V4118" s="204" t="s">
        <v>5990</v>
      </c>
      <c r="W4118" s="785" t="s">
        <v>14149</v>
      </c>
      <c r="X4118" s="18"/>
      <c r="Y4118" s="4"/>
      <c r="Z4118" s="4"/>
    </row>
    <row r="4119" spans="1:26" ht="14.45" hidden="1">
      <c r="A4119" s="20">
        <f t="shared" si="237"/>
        <v>84</v>
      </c>
      <c r="B4119" s="1063">
        <v>43896</v>
      </c>
      <c r="C4119" s="1009" t="s">
        <v>14150</v>
      </c>
      <c r="D4119" s="11" t="s">
        <v>6</v>
      </c>
      <c r="E4119" s="20" t="s">
        <v>12613</v>
      </c>
      <c r="F4119" s="1055" t="s">
        <v>14023</v>
      </c>
      <c r="G4119" s="532" t="s">
        <v>14151</v>
      </c>
      <c r="H4119" s="298" t="s">
        <v>230</v>
      </c>
      <c r="I4119" s="298" t="s">
        <v>4634</v>
      </c>
      <c r="J4119" s="532" t="s">
        <v>14152</v>
      </c>
      <c r="K4119" s="533" t="s">
        <v>14153</v>
      </c>
      <c r="L4119" s="532" t="s">
        <v>1671</v>
      </c>
      <c r="M4119" s="298">
        <v>3</v>
      </c>
      <c r="N4119" s="243">
        <v>1</v>
      </c>
      <c r="O4119" s="243">
        <v>3</v>
      </c>
      <c r="P4119" s="298">
        <v>0</v>
      </c>
      <c r="Q4119" s="298">
        <v>0</v>
      </c>
      <c r="R4119" s="1283">
        <v>178.2</v>
      </c>
      <c r="S4119" s="1283">
        <v>534.6</v>
      </c>
      <c r="T4119" s="298" t="s">
        <v>12330</v>
      </c>
      <c r="U4119" s="1537" t="s">
        <v>14027</v>
      </c>
      <c r="V4119" s="204" t="s">
        <v>5990</v>
      </c>
      <c r="W4119" s="785" t="s">
        <v>14154</v>
      </c>
      <c r="X4119" s="18"/>
      <c r="Y4119" s="4"/>
      <c r="Z4119" s="4"/>
    </row>
    <row r="4120" spans="1:26" ht="14.45" hidden="1">
      <c r="A4120" s="20">
        <f t="shared" si="237"/>
        <v>85</v>
      </c>
      <c r="B4120" s="1063">
        <v>43897</v>
      </c>
      <c r="C4120" s="1009" t="s">
        <v>14150</v>
      </c>
      <c r="D4120" s="11" t="s">
        <v>6</v>
      </c>
      <c r="E4120" s="20" t="s">
        <v>12613</v>
      </c>
      <c r="F4120" s="985" t="s">
        <v>14023</v>
      </c>
      <c r="G4120" s="532" t="s">
        <v>14155</v>
      </c>
      <c r="H4120" s="298" t="s">
        <v>230</v>
      </c>
      <c r="I4120" s="298" t="s">
        <v>4634</v>
      </c>
      <c r="J4120" s="532" t="s">
        <v>14156</v>
      </c>
      <c r="K4120" s="533" t="s">
        <v>14157</v>
      </c>
      <c r="L4120" s="532" t="s">
        <v>1671</v>
      </c>
      <c r="M4120" s="298">
        <v>3</v>
      </c>
      <c r="N4120" s="243">
        <v>1</v>
      </c>
      <c r="O4120" s="243">
        <v>3</v>
      </c>
      <c r="P4120" s="298">
        <v>0</v>
      </c>
      <c r="Q4120" s="298">
        <v>0</v>
      </c>
      <c r="R4120" s="1283">
        <v>178.2</v>
      </c>
      <c r="S4120" s="1283">
        <v>534.6</v>
      </c>
      <c r="T4120" s="298" t="s">
        <v>12330</v>
      </c>
      <c r="U4120" s="1537" t="s">
        <v>14027</v>
      </c>
      <c r="V4120" s="204" t="s">
        <v>5990</v>
      </c>
      <c r="W4120" s="785" t="s">
        <v>14158</v>
      </c>
      <c r="X4120" s="18"/>
      <c r="Y4120" s="4"/>
      <c r="Z4120" s="4"/>
    </row>
    <row r="4121" spans="1:26" ht="14.45" hidden="1">
      <c r="A4121" s="20">
        <f t="shared" si="237"/>
        <v>86</v>
      </c>
      <c r="B4121" s="1063">
        <v>43898</v>
      </c>
      <c r="C4121" s="1009" t="s">
        <v>14150</v>
      </c>
      <c r="D4121" s="11" t="s">
        <v>6</v>
      </c>
      <c r="E4121" s="20" t="s">
        <v>12613</v>
      </c>
      <c r="F4121" s="986" t="s">
        <v>14023</v>
      </c>
      <c r="G4121" s="532" t="s">
        <v>14159</v>
      </c>
      <c r="H4121" s="298" t="s">
        <v>230</v>
      </c>
      <c r="I4121" s="298" t="s">
        <v>4634</v>
      </c>
      <c r="J4121" s="532" t="s">
        <v>14160</v>
      </c>
      <c r="K4121" s="533" t="s">
        <v>14161</v>
      </c>
      <c r="L4121" s="532" t="s">
        <v>1671</v>
      </c>
      <c r="M4121" s="738">
        <v>3</v>
      </c>
      <c r="N4121" s="243">
        <v>1</v>
      </c>
      <c r="O4121" s="540">
        <v>3</v>
      </c>
      <c r="P4121" s="298">
        <v>0</v>
      </c>
      <c r="Q4121" s="298">
        <v>0</v>
      </c>
      <c r="R4121" s="1283">
        <v>178.2</v>
      </c>
      <c r="S4121" s="1283">
        <v>534.6</v>
      </c>
      <c r="T4121" s="298" t="s">
        <v>12330</v>
      </c>
      <c r="U4121" s="1537" t="s">
        <v>14027</v>
      </c>
      <c r="V4121" s="204" t="s">
        <v>5990</v>
      </c>
      <c r="W4121" s="785" t="s">
        <v>14162</v>
      </c>
      <c r="X4121" s="18" t="s">
        <v>14163</v>
      </c>
      <c r="Y4121" s="4"/>
      <c r="Z4121" s="4"/>
    </row>
    <row r="4122" spans="1:26" ht="26.1" hidden="1">
      <c r="A4122" s="20">
        <f t="shared" si="237"/>
        <v>87</v>
      </c>
      <c r="B4122" s="1063">
        <v>43899</v>
      </c>
      <c r="C4122" s="1009" t="s">
        <v>14150</v>
      </c>
      <c r="D4122" s="11" t="s">
        <v>6</v>
      </c>
      <c r="E4122" s="20" t="s">
        <v>12613</v>
      </c>
      <c r="F4122" s="986" t="s">
        <v>14023</v>
      </c>
      <c r="G4122" s="532" t="s">
        <v>14164</v>
      </c>
      <c r="H4122" s="298" t="s">
        <v>230</v>
      </c>
      <c r="I4122" s="298" t="s">
        <v>14165</v>
      </c>
      <c r="J4122" s="532" t="s">
        <v>14166</v>
      </c>
      <c r="K4122" s="533" t="s">
        <v>14167</v>
      </c>
      <c r="L4122" s="532" t="s">
        <v>1671</v>
      </c>
      <c r="M4122" s="298">
        <v>3</v>
      </c>
      <c r="N4122" s="243">
        <v>1</v>
      </c>
      <c r="O4122" s="243">
        <v>3</v>
      </c>
      <c r="P4122" s="298">
        <v>0</v>
      </c>
      <c r="Q4122" s="298">
        <v>0</v>
      </c>
      <c r="R4122" s="1283">
        <v>178.2</v>
      </c>
      <c r="S4122" s="1283">
        <v>534.6</v>
      </c>
      <c r="T4122" s="298" t="s">
        <v>12330</v>
      </c>
      <c r="U4122" s="1537" t="s">
        <v>14027</v>
      </c>
      <c r="V4122" s="204" t="s">
        <v>5990</v>
      </c>
      <c r="W4122" s="785" t="s">
        <v>14168</v>
      </c>
      <c r="X4122" s="18" t="s">
        <v>14169</v>
      </c>
      <c r="Y4122" s="4"/>
      <c r="Z4122" s="4"/>
    </row>
    <row r="4123" spans="1:26" ht="14.45" hidden="1">
      <c r="A4123" s="20">
        <f t="shared" si="237"/>
        <v>88</v>
      </c>
      <c r="B4123" s="1063">
        <v>43900</v>
      </c>
      <c r="C4123" s="1009" t="s">
        <v>14150</v>
      </c>
      <c r="D4123" s="11" t="s">
        <v>6</v>
      </c>
      <c r="E4123" s="20" t="s">
        <v>12613</v>
      </c>
      <c r="F4123" s="986" t="s">
        <v>14023</v>
      </c>
      <c r="G4123" s="532" t="s">
        <v>14170</v>
      </c>
      <c r="H4123" s="298" t="s">
        <v>230</v>
      </c>
      <c r="I4123" s="298" t="s">
        <v>4634</v>
      </c>
      <c r="J4123" s="532" t="s">
        <v>14171</v>
      </c>
      <c r="K4123" s="533" t="s">
        <v>14172</v>
      </c>
      <c r="L4123" s="532" t="s">
        <v>1671</v>
      </c>
      <c r="M4123" s="298">
        <v>3</v>
      </c>
      <c r="N4123" s="243">
        <v>1</v>
      </c>
      <c r="O4123" s="243">
        <v>3</v>
      </c>
      <c r="P4123" s="298">
        <v>0</v>
      </c>
      <c r="Q4123" s="298">
        <v>0</v>
      </c>
      <c r="R4123" s="1283">
        <v>178.2</v>
      </c>
      <c r="S4123" s="1283">
        <v>534.6</v>
      </c>
      <c r="T4123" s="298" t="s">
        <v>12330</v>
      </c>
      <c r="U4123" s="1537" t="s">
        <v>14027</v>
      </c>
      <c r="V4123" s="204" t="s">
        <v>5990</v>
      </c>
      <c r="W4123" s="785" t="s">
        <v>14173</v>
      </c>
      <c r="X4123" s="18"/>
      <c r="Y4123" s="4"/>
      <c r="Z4123" s="4"/>
    </row>
    <row r="4124" spans="1:26" ht="14.45" hidden="1">
      <c r="A4124" s="20">
        <f t="shared" si="237"/>
        <v>89</v>
      </c>
      <c r="B4124" s="1063">
        <v>43901</v>
      </c>
      <c r="C4124" s="1009" t="s">
        <v>14150</v>
      </c>
      <c r="D4124" s="11" t="s">
        <v>6</v>
      </c>
      <c r="E4124" s="20" t="s">
        <v>12613</v>
      </c>
      <c r="F4124" s="986" t="s">
        <v>14023</v>
      </c>
      <c r="G4124" s="532" t="s">
        <v>14174</v>
      </c>
      <c r="H4124" s="298" t="s">
        <v>230</v>
      </c>
      <c r="I4124" s="298" t="s">
        <v>4634</v>
      </c>
      <c r="J4124" s="532" t="s">
        <v>14175</v>
      </c>
      <c r="K4124" s="533" t="s">
        <v>14176</v>
      </c>
      <c r="L4124" s="532" t="s">
        <v>1671</v>
      </c>
      <c r="M4124" s="298">
        <v>3</v>
      </c>
      <c r="N4124" s="243">
        <v>1</v>
      </c>
      <c r="O4124" s="243">
        <v>3</v>
      </c>
      <c r="P4124" s="298">
        <v>0</v>
      </c>
      <c r="Q4124" s="298">
        <v>0</v>
      </c>
      <c r="R4124" s="1283">
        <v>178.2</v>
      </c>
      <c r="S4124" s="1283">
        <v>534.6</v>
      </c>
      <c r="T4124" s="298" t="s">
        <v>12330</v>
      </c>
      <c r="U4124" s="1537" t="s">
        <v>14027</v>
      </c>
      <c r="V4124" s="204" t="s">
        <v>5990</v>
      </c>
      <c r="W4124" s="785" t="s">
        <v>14177</v>
      </c>
      <c r="X4124" s="18"/>
      <c r="Y4124" s="4"/>
      <c r="Z4124" s="4"/>
    </row>
    <row r="4125" spans="1:26" ht="14.45" hidden="1">
      <c r="A4125" s="20">
        <f t="shared" si="237"/>
        <v>90</v>
      </c>
      <c r="B4125" s="1063">
        <v>43902</v>
      </c>
      <c r="C4125" s="1009" t="s">
        <v>14178</v>
      </c>
      <c r="D4125" s="11" t="s">
        <v>6</v>
      </c>
      <c r="E4125" s="20" t="s">
        <v>12613</v>
      </c>
      <c r="F4125" s="986" t="s">
        <v>14023</v>
      </c>
      <c r="G4125" s="532" t="s">
        <v>14179</v>
      </c>
      <c r="H4125" s="298" t="s">
        <v>13182</v>
      </c>
      <c r="I4125" s="298" t="s">
        <v>4634</v>
      </c>
      <c r="J4125" s="532" t="s">
        <v>14180</v>
      </c>
      <c r="K4125" s="452" t="s">
        <v>14181</v>
      </c>
      <c r="L4125" s="298" t="s">
        <v>14120</v>
      </c>
      <c r="M4125" s="298">
        <v>2</v>
      </c>
      <c r="N4125" s="243">
        <v>1</v>
      </c>
      <c r="O4125" s="243">
        <v>2</v>
      </c>
      <c r="P4125" s="298">
        <v>0</v>
      </c>
      <c r="Q4125" s="298">
        <v>0</v>
      </c>
      <c r="R4125" s="1283">
        <v>2352.9</v>
      </c>
      <c r="S4125" s="1283">
        <v>4705.8</v>
      </c>
      <c r="T4125" s="298" t="s">
        <v>12330</v>
      </c>
      <c r="U4125" s="1537" t="s">
        <v>14027</v>
      </c>
      <c r="V4125" s="204" t="s">
        <v>5990</v>
      </c>
      <c r="W4125" s="785" t="s">
        <v>14182</v>
      </c>
      <c r="X4125" s="18"/>
      <c r="Y4125" s="4"/>
      <c r="Z4125" s="4"/>
    </row>
    <row r="4126" spans="1:26" ht="14.45" hidden="1">
      <c r="A4126" s="20">
        <f t="shared" si="237"/>
        <v>91</v>
      </c>
      <c r="B4126" s="1063">
        <v>43903</v>
      </c>
      <c r="C4126" s="1009" t="s">
        <v>14183</v>
      </c>
      <c r="D4126" s="11" t="s">
        <v>6</v>
      </c>
      <c r="E4126" s="20" t="s">
        <v>12613</v>
      </c>
      <c r="F4126" s="986" t="s">
        <v>14023</v>
      </c>
      <c r="G4126" s="542" t="s">
        <v>14184</v>
      </c>
      <c r="H4126" s="298" t="s">
        <v>3898</v>
      </c>
      <c r="I4126" s="298" t="s">
        <v>4634</v>
      </c>
      <c r="J4126" s="532" t="s">
        <v>14185</v>
      </c>
      <c r="K4126" s="452" t="s">
        <v>14186</v>
      </c>
      <c r="L4126" s="298" t="s">
        <v>14120</v>
      </c>
      <c r="M4126" s="298">
        <v>14</v>
      </c>
      <c r="N4126" s="243">
        <v>10</v>
      </c>
      <c r="O4126" s="243">
        <v>20</v>
      </c>
      <c r="P4126" s="298">
        <v>0</v>
      </c>
      <c r="Q4126" s="298">
        <v>6</v>
      </c>
      <c r="R4126" s="1283">
        <v>92.3</v>
      </c>
      <c r="S4126" s="1283">
        <v>1846</v>
      </c>
      <c r="T4126" s="298" t="s">
        <v>12330</v>
      </c>
      <c r="U4126" s="1537" t="s">
        <v>14027</v>
      </c>
      <c r="V4126" s="204" t="s">
        <v>5990</v>
      </c>
      <c r="W4126" s="785" t="s">
        <v>14187</v>
      </c>
      <c r="X4126" s="18"/>
      <c r="Y4126" s="4"/>
      <c r="Z4126" s="4"/>
    </row>
    <row r="4127" spans="1:26" ht="14.45" hidden="1">
      <c r="A4127" s="20">
        <f t="shared" si="237"/>
        <v>92</v>
      </c>
      <c r="B4127" s="1063">
        <v>43904</v>
      </c>
      <c r="C4127" s="1009" t="s">
        <v>14188</v>
      </c>
      <c r="D4127" s="11" t="s">
        <v>6</v>
      </c>
      <c r="E4127" s="20" t="s">
        <v>12613</v>
      </c>
      <c r="F4127" s="986" t="s">
        <v>14023</v>
      </c>
      <c r="G4127" s="532" t="s">
        <v>14189</v>
      </c>
      <c r="H4127" s="298" t="s">
        <v>3898</v>
      </c>
      <c r="I4127" s="298" t="s">
        <v>4634</v>
      </c>
      <c r="J4127" s="532" t="s">
        <v>14190</v>
      </c>
      <c r="K4127" s="452" t="s">
        <v>14191</v>
      </c>
      <c r="L4127" s="298" t="s">
        <v>14120</v>
      </c>
      <c r="M4127" s="298">
        <v>14</v>
      </c>
      <c r="N4127" s="243">
        <v>10</v>
      </c>
      <c r="O4127" s="243">
        <v>20</v>
      </c>
      <c r="P4127" s="298">
        <v>0</v>
      </c>
      <c r="Q4127" s="298">
        <v>6</v>
      </c>
      <c r="R4127" s="1283">
        <v>40.1</v>
      </c>
      <c r="S4127" s="1283">
        <v>802</v>
      </c>
      <c r="T4127" s="298" t="s">
        <v>12330</v>
      </c>
      <c r="U4127" s="1537" t="s">
        <v>14027</v>
      </c>
      <c r="V4127" s="204" t="s">
        <v>5990</v>
      </c>
      <c r="W4127" s="785" t="s">
        <v>14192</v>
      </c>
      <c r="X4127" s="18"/>
      <c r="Y4127" s="4"/>
      <c r="Z4127" s="4"/>
    </row>
    <row r="4128" spans="1:26" ht="14.45" hidden="1">
      <c r="A4128" s="20">
        <f t="shared" si="237"/>
        <v>93</v>
      </c>
      <c r="B4128" s="1063">
        <v>43905</v>
      </c>
      <c r="C4128" s="1009" t="s">
        <v>14193</v>
      </c>
      <c r="D4128" s="11" t="s">
        <v>6</v>
      </c>
      <c r="E4128" s="20" t="s">
        <v>12613</v>
      </c>
      <c r="F4128" s="986" t="s">
        <v>14023</v>
      </c>
      <c r="G4128" s="532" t="s">
        <v>14194</v>
      </c>
      <c r="H4128" s="298" t="s">
        <v>3898</v>
      </c>
      <c r="I4128" s="298" t="s">
        <v>4634</v>
      </c>
      <c r="J4128" s="1093" t="s">
        <v>14195</v>
      </c>
      <c r="K4128" s="539" t="s">
        <v>14196</v>
      </c>
      <c r="L4128" s="297" t="s">
        <v>14120</v>
      </c>
      <c r="M4128" s="298">
        <v>48</v>
      </c>
      <c r="N4128" s="243">
        <v>100</v>
      </c>
      <c r="O4128" s="243">
        <v>100</v>
      </c>
      <c r="P4128" s="298">
        <v>0</v>
      </c>
      <c r="Q4128" s="298">
        <v>52</v>
      </c>
      <c r="R4128" s="1283">
        <v>7.9</v>
      </c>
      <c r="S4128" s="1283">
        <v>790</v>
      </c>
      <c r="T4128" s="298" t="s">
        <v>12330</v>
      </c>
      <c r="U4128" s="1537" t="s">
        <v>14027</v>
      </c>
      <c r="V4128" s="204" t="s">
        <v>5990</v>
      </c>
      <c r="W4128" s="785" t="s">
        <v>14197</v>
      </c>
      <c r="X4128" s="18"/>
      <c r="Y4128" s="4"/>
      <c r="Z4128" s="4"/>
    </row>
    <row r="4129" spans="1:26" ht="14.45" hidden="1">
      <c r="A4129" s="20">
        <f t="shared" si="237"/>
        <v>94</v>
      </c>
      <c r="B4129" s="1063">
        <v>43906</v>
      </c>
      <c r="C4129" s="1009" t="s">
        <v>14198</v>
      </c>
      <c r="D4129" s="11" t="s">
        <v>6</v>
      </c>
      <c r="E4129" s="20" t="s">
        <v>12613</v>
      </c>
      <c r="F4129" s="986" t="s">
        <v>14023</v>
      </c>
      <c r="G4129" s="532" t="s">
        <v>14199</v>
      </c>
      <c r="H4129" s="298" t="s">
        <v>10376</v>
      </c>
      <c r="I4129" s="298" t="s">
        <v>4634</v>
      </c>
      <c r="J4129" s="780" t="s">
        <v>14200</v>
      </c>
      <c r="K4129" s="786" t="s">
        <v>14201</v>
      </c>
      <c r="L4129" s="298" t="s">
        <v>14120</v>
      </c>
      <c r="M4129" s="298">
        <v>6</v>
      </c>
      <c r="N4129" s="243">
        <v>1</v>
      </c>
      <c r="O4129" s="243">
        <v>6</v>
      </c>
      <c r="P4129" s="298">
        <v>0</v>
      </c>
      <c r="Q4129" s="298">
        <v>0</v>
      </c>
      <c r="R4129" s="1283">
        <v>415.4</v>
      </c>
      <c r="S4129" s="1283">
        <v>2492.4</v>
      </c>
      <c r="T4129" s="298" t="s">
        <v>12330</v>
      </c>
      <c r="U4129" s="1537" t="s">
        <v>14027</v>
      </c>
      <c r="V4129" s="204" t="s">
        <v>5990</v>
      </c>
      <c r="W4129" s="785" t="s">
        <v>14202</v>
      </c>
      <c r="X4129" s="18"/>
      <c r="Y4129" s="4"/>
      <c r="Z4129" s="4"/>
    </row>
    <row r="4130" spans="1:26" ht="14.45" hidden="1">
      <c r="A4130" s="20">
        <f t="shared" si="237"/>
        <v>95</v>
      </c>
      <c r="B4130" s="1063">
        <v>43907</v>
      </c>
      <c r="C4130" s="1009" t="s">
        <v>14203</v>
      </c>
      <c r="D4130" s="11" t="s">
        <v>6</v>
      </c>
      <c r="E4130" s="20" t="s">
        <v>12613</v>
      </c>
      <c r="F4130" s="986" t="s">
        <v>14023</v>
      </c>
      <c r="G4130" s="532" t="s">
        <v>14204</v>
      </c>
      <c r="H4130" s="298" t="s">
        <v>1143</v>
      </c>
      <c r="I4130" s="298" t="s">
        <v>4634</v>
      </c>
      <c r="J4130" s="613" t="s">
        <v>14205</v>
      </c>
      <c r="K4130" s="543" t="s">
        <v>14206</v>
      </c>
      <c r="L4130" s="297" t="s">
        <v>14120</v>
      </c>
      <c r="M4130" s="298">
        <v>2</v>
      </c>
      <c r="N4130" s="243">
        <v>1</v>
      </c>
      <c r="O4130" s="243">
        <v>2</v>
      </c>
      <c r="P4130" s="298">
        <v>0</v>
      </c>
      <c r="Q4130" s="298">
        <v>0</v>
      </c>
      <c r="R4130" s="1283">
        <v>415.4</v>
      </c>
      <c r="S4130" s="1283">
        <v>830.8</v>
      </c>
      <c r="T4130" s="298" t="s">
        <v>12330</v>
      </c>
      <c r="U4130" s="1537" t="s">
        <v>14027</v>
      </c>
      <c r="V4130" s="204" t="s">
        <v>5990</v>
      </c>
      <c r="W4130" s="785" t="s">
        <v>14207</v>
      </c>
      <c r="X4130" s="18"/>
      <c r="Y4130" s="4"/>
      <c r="Z4130" s="4"/>
    </row>
    <row r="4131" spans="1:26" ht="14.45" hidden="1">
      <c r="A4131" s="20">
        <f t="shared" si="237"/>
        <v>96</v>
      </c>
      <c r="B4131" s="1063">
        <v>43908</v>
      </c>
      <c r="C4131" s="1009" t="s">
        <v>14208</v>
      </c>
      <c r="D4131" s="11" t="s">
        <v>6</v>
      </c>
      <c r="E4131" s="20" t="s">
        <v>12613</v>
      </c>
      <c r="F4131" s="986" t="s">
        <v>14023</v>
      </c>
      <c r="G4131" s="532" t="s">
        <v>14209</v>
      </c>
      <c r="H4131" s="298" t="s">
        <v>14210</v>
      </c>
      <c r="I4131" s="298" t="s">
        <v>4634</v>
      </c>
      <c r="J4131" s="613" t="s">
        <v>14211</v>
      </c>
      <c r="K4131" s="544">
        <v>61302211021</v>
      </c>
      <c r="L4131" s="297" t="s">
        <v>14120</v>
      </c>
      <c r="M4131" s="298">
        <v>2</v>
      </c>
      <c r="N4131" s="243">
        <v>1</v>
      </c>
      <c r="O4131" s="243">
        <v>2</v>
      </c>
      <c r="P4131" s="298">
        <v>0</v>
      </c>
      <c r="Q4131" s="298">
        <v>0</v>
      </c>
      <c r="R4131" s="1283">
        <v>150</v>
      </c>
      <c r="S4131" s="1283">
        <v>300</v>
      </c>
      <c r="T4131" s="298" t="s">
        <v>12330</v>
      </c>
      <c r="U4131" s="1537" t="s">
        <v>14027</v>
      </c>
      <c r="V4131" s="204" t="s">
        <v>5990</v>
      </c>
      <c r="W4131" s="785" t="s">
        <v>14212</v>
      </c>
      <c r="X4131" s="18"/>
      <c r="Y4131" s="4"/>
      <c r="Z4131" s="4"/>
    </row>
    <row r="4132" spans="1:26" ht="14.45" hidden="1">
      <c r="A4132" s="20">
        <f t="shared" si="237"/>
        <v>97</v>
      </c>
      <c r="B4132" s="1063">
        <v>43909</v>
      </c>
      <c r="C4132" s="1009" t="s">
        <v>14213</v>
      </c>
      <c r="D4132" s="11" t="s">
        <v>6</v>
      </c>
      <c r="E4132" s="20" t="s">
        <v>12613</v>
      </c>
      <c r="F4132" s="986" t="s">
        <v>14023</v>
      </c>
      <c r="G4132" s="532" t="s">
        <v>14214</v>
      </c>
      <c r="H4132" s="298" t="s">
        <v>10376</v>
      </c>
      <c r="I4132" s="298" t="s">
        <v>4634</v>
      </c>
      <c r="J4132" s="780" t="s">
        <v>14215</v>
      </c>
      <c r="K4132" s="786" t="s">
        <v>14216</v>
      </c>
      <c r="L4132" s="298" t="s">
        <v>14120</v>
      </c>
      <c r="M4132" s="298">
        <v>4</v>
      </c>
      <c r="N4132" s="243">
        <v>1</v>
      </c>
      <c r="O4132" s="243">
        <v>4</v>
      </c>
      <c r="P4132" s="298">
        <v>0</v>
      </c>
      <c r="Q4132" s="298">
        <v>0</v>
      </c>
      <c r="R4132" s="1283">
        <v>866.1</v>
      </c>
      <c r="S4132" s="1283">
        <v>3464.4</v>
      </c>
      <c r="T4132" s="298" t="s">
        <v>12330</v>
      </c>
      <c r="U4132" s="1537" t="s">
        <v>14027</v>
      </c>
      <c r="V4132" s="204" t="s">
        <v>5990</v>
      </c>
      <c r="W4132" s="756" t="s">
        <v>14217</v>
      </c>
      <c r="X4132" s="18" t="s">
        <v>14218</v>
      </c>
      <c r="Y4132" s="4"/>
      <c r="Z4132" s="4"/>
    </row>
    <row r="4133" spans="1:26" ht="14.45" hidden="1">
      <c r="A4133" s="20">
        <f t="shared" si="237"/>
        <v>98</v>
      </c>
      <c r="B4133" s="1063">
        <v>43910</v>
      </c>
      <c r="C4133" s="958" t="s">
        <v>10495</v>
      </c>
      <c r="D4133" s="11" t="s">
        <v>6</v>
      </c>
      <c r="E4133" s="20" t="s">
        <v>12613</v>
      </c>
      <c r="F4133" s="986" t="s">
        <v>14023</v>
      </c>
      <c r="G4133" s="545" t="s">
        <v>14219</v>
      </c>
      <c r="H4133" s="298" t="s">
        <v>752</v>
      </c>
      <c r="I4133" s="298" t="s">
        <v>281</v>
      </c>
      <c r="J4133" s="574" t="s">
        <v>14220</v>
      </c>
      <c r="K4133" s="546" t="s">
        <v>14221</v>
      </c>
      <c r="L4133" s="299" t="s">
        <v>14222</v>
      </c>
      <c r="M4133" s="298">
        <v>4</v>
      </c>
      <c r="N4133" s="243">
        <v>1</v>
      </c>
      <c r="O4133" s="243">
        <v>4</v>
      </c>
      <c r="P4133" s="298">
        <v>0</v>
      </c>
      <c r="Q4133" s="298">
        <v>0</v>
      </c>
      <c r="R4133" s="1283">
        <v>1731</v>
      </c>
      <c r="S4133" s="1283">
        <v>6924</v>
      </c>
      <c r="T4133" s="298" t="s">
        <v>12330</v>
      </c>
      <c r="U4133" s="1537" t="s">
        <v>14027</v>
      </c>
      <c r="V4133" s="204" t="s">
        <v>5990</v>
      </c>
      <c r="W4133" s="785" t="s">
        <v>14223</v>
      </c>
      <c r="X4133" s="18"/>
      <c r="Y4133" s="4"/>
      <c r="Z4133" s="4"/>
    </row>
    <row r="4134" spans="1:26" ht="14.45" hidden="1">
      <c r="A4134" s="20">
        <f t="shared" si="237"/>
        <v>99</v>
      </c>
      <c r="B4134" s="1063">
        <v>43911</v>
      </c>
      <c r="C4134" s="958" t="s">
        <v>14224</v>
      </c>
      <c r="D4134" s="11" t="s">
        <v>6</v>
      </c>
      <c r="E4134" s="20" t="s">
        <v>12613</v>
      </c>
      <c r="F4134" s="986" t="s">
        <v>14023</v>
      </c>
      <c r="G4134" s="298" t="s">
        <v>14225</v>
      </c>
      <c r="H4134" s="298" t="s">
        <v>511</v>
      </c>
      <c r="I4134" s="298" t="s">
        <v>281</v>
      </c>
      <c r="J4134" s="1094" t="s">
        <v>14226</v>
      </c>
      <c r="K4134" s="308" t="s">
        <v>14227</v>
      </c>
      <c r="L4134" s="298" t="s">
        <v>14228</v>
      </c>
      <c r="M4134" s="298">
        <v>4</v>
      </c>
      <c r="N4134" s="243">
        <v>1</v>
      </c>
      <c r="O4134" s="243">
        <v>4</v>
      </c>
      <c r="P4134" s="298">
        <v>0</v>
      </c>
      <c r="Q4134" s="298">
        <v>0</v>
      </c>
      <c r="R4134" s="1283">
        <v>51</v>
      </c>
      <c r="S4134" s="1283">
        <v>204</v>
      </c>
      <c r="T4134" s="298" t="s">
        <v>12330</v>
      </c>
      <c r="U4134" s="1537" t="s">
        <v>14027</v>
      </c>
      <c r="V4134" s="204" t="s">
        <v>5990</v>
      </c>
      <c r="W4134" s="785" t="s">
        <v>14229</v>
      </c>
      <c r="X4134" s="18"/>
      <c r="Y4134" s="4"/>
      <c r="Z4134" s="4"/>
    </row>
    <row r="4135" spans="1:26" ht="14.45" hidden="1">
      <c r="A4135" s="20">
        <f t="shared" si="237"/>
        <v>100</v>
      </c>
      <c r="B4135" s="1063">
        <v>43912</v>
      </c>
      <c r="C4135" s="958" t="s">
        <v>14230</v>
      </c>
      <c r="D4135" s="11" t="s">
        <v>6</v>
      </c>
      <c r="E4135" s="20" t="s">
        <v>12613</v>
      </c>
      <c r="F4135" s="986" t="s">
        <v>14023</v>
      </c>
      <c r="G4135" s="298" t="s">
        <v>14231</v>
      </c>
      <c r="H4135" s="298" t="s">
        <v>14232</v>
      </c>
      <c r="I4135" s="298" t="s">
        <v>14232</v>
      </c>
      <c r="J4135" s="298" t="s">
        <v>13128</v>
      </c>
      <c r="K4135" s="298" t="s">
        <v>13128</v>
      </c>
      <c r="L4135" s="298" t="s">
        <v>13128</v>
      </c>
      <c r="M4135" s="298">
        <v>12</v>
      </c>
      <c r="N4135" s="243">
        <v>20</v>
      </c>
      <c r="O4135" s="243">
        <v>20</v>
      </c>
      <c r="P4135" s="298">
        <v>0</v>
      </c>
      <c r="Q4135" s="298">
        <v>8</v>
      </c>
      <c r="R4135" s="1283">
        <v>250</v>
      </c>
      <c r="S4135" s="1283">
        <v>5000</v>
      </c>
      <c r="T4135" s="298" t="s">
        <v>12330</v>
      </c>
      <c r="U4135" s="1537" t="s">
        <v>14027</v>
      </c>
      <c r="V4135" s="204" t="s">
        <v>5990</v>
      </c>
      <c r="W4135" s="756" t="s">
        <v>14233</v>
      </c>
      <c r="X4135" s="18"/>
      <c r="Y4135" s="4"/>
      <c r="Z4135" s="4"/>
    </row>
    <row r="4136" spans="1:26" ht="14.45" hidden="1">
      <c r="A4136" s="20">
        <f t="shared" si="237"/>
        <v>101</v>
      </c>
      <c r="B4136" s="1063">
        <v>43913</v>
      </c>
      <c r="C4136" s="1009" t="s">
        <v>14234</v>
      </c>
      <c r="D4136" s="11" t="s">
        <v>6</v>
      </c>
      <c r="E4136" s="20" t="s">
        <v>12613</v>
      </c>
      <c r="F4136" s="986" t="s">
        <v>14023</v>
      </c>
      <c r="G4136" s="532" t="s">
        <v>14235</v>
      </c>
      <c r="H4136" s="298" t="s">
        <v>13128</v>
      </c>
      <c r="I4136" s="298" t="s">
        <v>1022</v>
      </c>
      <c r="J4136" s="298" t="s">
        <v>13128</v>
      </c>
      <c r="K4136" s="298" t="s">
        <v>13128</v>
      </c>
      <c r="L4136" s="298" t="s">
        <v>13128</v>
      </c>
      <c r="M4136" s="298">
        <v>1</v>
      </c>
      <c r="N4136" s="243">
        <v>1</v>
      </c>
      <c r="O4136" s="243">
        <v>1</v>
      </c>
      <c r="P4136" s="298">
        <v>0</v>
      </c>
      <c r="Q4136" s="298">
        <v>1</v>
      </c>
      <c r="R4136" s="1283">
        <v>899</v>
      </c>
      <c r="S4136" s="1283">
        <v>899</v>
      </c>
      <c r="T4136" s="298" t="s">
        <v>12330</v>
      </c>
      <c r="U4136" s="1537" t="s">
        <v>14120</v>
      </c>
      <c r="V4136" s="204" t="s">
        <v>5990</v>
      </c>
      <c r="W4136" s="756" t="s">
        <v>1022</v>
      </c>
      <c r="X4136" s="18"/>
      <c r="Y4136" s="4"/>
      <c r="Z4136" s="4"/>
    </row>
    <row r="4137" spans="1:26" ht="14.1" hidden="1">
      <c r="A4137" s="20">
        <f t="shared" si="237"/>
        <v>102</v>
      </c>
      <c r="B4137" s="1063">
        <v>43914</v>
      </c>
      <c r="C4137" s="934" t="s">
        <v>14236</v>
      </c>
      <c r="D4137" s="11"/>
      <c r="E4137" s="204" t="s">
        <v>7956</v>
      </c>
      <c r="F4137" s="934" t="s">
        <v>404</v>
      </c>
      <c r="G4137" s="204" t="s">
        <v>14237</v>
      </c>
      <c r="H4137" s="204" t="s">
        <v>14238</v>
      </c>
      <c r="I4137" s="204" t="s">
        <v>14238</v>
      </c>
      <c r="J4137" s="204" t="s">
        <v>14239</v>
      </c>
      <c r="K4137" s="204" t="s">
        <v>14239</v>
      </c>
      <c r="L4137" s="204"/>
      <c r="M4137" s="204">
        <v>1</v>
      </c>
      <c r="N4137" s="204">
        <v>1</v>
      </c>
      <c r="O4137" s="204">
        <v>5</v>
      </c>
      <c r="P4137" s="204">
        <v>0</v>
      </c>
      <c r="Q4137" s="572">
        <v>4</v>
      </c>
      <c r="R4137" s="1209">
        <v>1837</v>
      </c>
      <c r="S4137" s="1209">
        <v>9187</v>
      </c>
      <c r="T4137" s="204" t="s">
        <v>311</v>
      </c>
      <c r="U4137" s="1901" t="s">
        <v>311</v>
      </c>
      <c r="V4137" s="572" t="s">
        <v>2875</v>
      </c>
      <c r="W4137" s="681" t="s">
        <v>12266</v>
      </c>
      <c r="X4137" s="18"/>
      <c r="Y4137" s="4"/>
      <c r="Z4137" s="4"/>
    </row>
    <row r="4138" spans="1:26" ht="14.1" hidden="1">
      <c r="A4138" s="20">
        <f t="shared" si="237"/>
        <v>103</v>
      </c>
      <c r="B4138" s="1063">
        <v>43915</v>
      </c>
      <c r="C4138" s="934" t="s">
        <v>14240</v>
      </c>
      <c r="D4138" s="11"/>
      <c r="E4138" s="204" t="s">
        <v>7956</v>
      </c>
      <c r="F4138" s="934" t="s">
        <v>404</v>
      </c>
      <c r="G4138" s="204" t="s">
        <v>14241</v>
      </c>
      <c r="H4138" s="204" t="s">
        <v>310</v>
      </c>
      <c r="I4138" s="204" t="s">
        <v>310</v>
      </c>
      <c r="J4138" s="204" t="s">
        <v>13128</v>
      </c>
      <c r="K4138" s="204"/>
      <c r="L4138" s="204"/>
      <c r="M4138" s="204">
        <v>1</v>
      </c>
      <c r="N4138" s="204">
        <v>1</v>
      </c>
      <c r="O4138" s="204">
        <v>1</v>
      </c>
      <c r="P4138" s="204">
        <v>0</v>
      </c>
      <c r="Q4138" s="572">
        <v>0</v>
      </c>
      <c r="R4138" s="1209">
        <v>1436</v>
      </c>
      <c r="S4138" s="1209">
        <v>1436</v>
      </c>
      <c r="T4138" s="204" t="s">
        <v>311</v>
      </c>
      <c r="U4138" s="1901" t="s">
        <v>311</v>
      </c>
      <c r="V4138" s="572" t="s">
        <v>2875</v>
      </c>
      <c r="W4138" s="681"/>
      <c r="X4138" s="18"/>
      <c r="Y4138" s="4"/>
      <c r="Z4138" s="4"/>
    </row>
    <row r="4139" spans="1:26" ht="14.1" hidden="1">
      <c r="A4139" s="20">
        <f t="shared" si="237"/>
        <v>104</v>
      </c>
      <c r="B4139" s="1063">
        <v>43916</v>
      </c>
      <c r="C4139" s="934" t="s">
        <v>14242</v>
      </c>
      <c r="D4139" s="11"/>
      <c r="E4139" s="204" t="s">
        <v>7956</v>
      </c>
      <c r="F4139" s="934" t="s">
        <v>404</v>
      </c>
      <c r="G4139" s="204" t="s">
        <v>14243</v>
      </c>
      <c r="H4139" s="204" t="s">
        <v>2151</v>
      </c>
      <c r="I4139" s="189" t="s">
        <v>574</v>
      </c>
      <c r="J4139" s="204" t="s">
        <v>14244</v>
      </c>
      <c r="K4139" s="204">
        <v>113990755</v>
      </c>
      <c r="L4139" s="204"/>
      <c r="M4139" s="204">
        <v>1</v>
      </c>
      <c r="N4139" s="204">
        <v>1</v>
      </c>
      <c r="O4139" s="204">
        <v>1</v>
      </c>
      <c r="P4139" s="204">
        <v>0</v>
      </c>
      <c r="Q4139" s="572">
        <v>0</v>
      </c>
      <c r="R4139" s="1209">
        <v>3382</v>
      </c>
      <c r="S4139" s="1209">
        <v>3382</v>
      </c>
      <c r="T4139" s="204" t="s">
        <v>311</v>
      </c>
      <c r="U4139" s="1901" t="s">
        <v>311</v>
      </c>
      <c r="V4139" s="572" t="s">
        <v>2875</v>
      </c>
      <c r="W4139" s="681" t="s">
        <v>14245</v>
      </c>
      <c r="X4139" s="18"/>
      <c r="Y4139" s="4"/>
      <c r="Z4139" s="4"/>
    </row>
    <row r="4140" spans="1:26" ht="14.1" hidden="1">
      <c r="A4140" s="20">
        <f t="shared" si="237"/>
        <v>105</v>
      </c>
      <c r="B4140" s="1063">
        <v>43917</v>
      </c>
      <c r="C4140" s="934" t="s">
        <v>14246</v>
      </c>
      <c r="D4140" s="11"/>
      <c r="E4140" s="204" t="s">
        <v>7956</v>
      </c>
      <c r="F4140" s="934" t="s">
        <v>404</v>
      </c>
      <c r="G4140" s="204" t="s">
        <v>14247</v>
      </c>
      <c r="H4140" s="204" t="s">
        <v>2151</v>
      </c>
      <c r="I4140" s="189" t="s">
        <v>574</v>
      </c>
      <c r="J4140" s="204" t="s">
        <v>14248</v>
      </c>
      <c r="K4140" s="204">
        <v>113990662</v>
      </c>
      <c r="L4140" s="204"/>
      <c r="M4140" s="204">
        <v>1</v>
      </c>
      <c r="N4140" s="204">
        <v>1</v>
      </c>
      <c r="O4140" s="204">
        <v>1</v>
      </c>
      <c r="P4140" s="204">
        <v>0</v>
      </c>
      <c r="Q4140" s="572">
        <v>0</v>
      </c>
      <c r="R4140" s="1209">
        <v>7275</v>
      </c>
      <c r="S4140" s="1209">
        <v>7275</v>
      </c>
      <c r="T4140" s="204" t="s">
        <v>311</v>
      </c>
      <c r="U4140" s="1901" t="s">
        <v>311</v>
      </c>
      <c r="V4140" s="572" t="s">
        <v>2875</v>
      </c>
      <c r="W4140" s="681" t="s">
        <v>14249</v>
      </c>
      <c r="X4140" s="18"/>
      <c r="Y4140" s="4"/>
      <c r="Z4140" s="4"/>
    </row>
    <row r="4141" spans="1:26" ht="24.95" hidden="1">
      <c r="A4141" s="20">
        <f t="shared" si="237"/>
        <v>106</v>
      </c>
      <c r="B4141" s="1063">
        <v>43918</v>
      </c>
      <c r="C4141" s="934" t="s">
        <v>14250</v>
      </c>
      <c r="D4141" s="11"/>
      <c r="E4141" s="204" t="s">
        <v>7956</v>
      </c>
      <c r="F4141" s="934" t="s">
        <v>404</v>
      </c>
      <c r="G4141" s="160" t="s">
        <v>14251</v>
      </c>
      <c r="H4141" s="204" t="s">
        <v>14252</v>
      </c>
      <c r="I4141" s="204" t="s">
        <v>14253</v>
      </c>
      <c r="J4141" s="204">
        <v>1609523</v>
      </c>
      <c r="K4141" s="204"/>
      <c r="L4141" s="204"/>
      <c r="M4141" s="204">
        <v>1</v>
      </c>
      <c r="N4141" s="204">
        <v>1</v>
      </c>
      <c r="O4141" s="204">
        <v>1</v>
      </c>
      <c r="P4141" s="204">
        <v>0</v>
      </c>
      <c r="Q4141" s="572">
        <v>0</v>
      </c>
      <c r="R4141" s="1209">
        <v>3338</v>
      </c>
      <c r="S4141" s="1209">
        <v>3338</v>
      </c>
      <c r="T4141" s="204" t="s">
        <v>311</v>
      </c>
      <c r="U4141" s="1901" t="s">
        <v>311</v>
      </c>
      <c r="V4141" s="572" t="s">
        <v>2875</v>
      </c>
      <c r="W4141" s="681" t="s">
        <v>14254</v>
      </c>
      <c r="X4141" s="18"/>
      <c r="Y4141" s="4"/>
      <c r="Z4141" s="4"/>
    </row>
    <row r="4142" spans="1:26" ht="14.1" hidden="1">
      <c r="A4142" s="20">
        <f t="shared" si="237"/>
        <v>107</v>
      </c>
      <c r="B4142" s="1063">
        <v>43919</v>
      </c>
      <c r="C4142" s="934" t="s">
        <v>1806</v>
      </c>
      <c r="D4142" s="11"/>
      <c r="E4142" s="204" t="s">
        <v>7956</v>
      </c>
      <c r="F4142" s="934" t="s">
        <v>404</v>
      </c>
      <c r="G4142" s="204" t="s">
        <v>14255</v>
      </c>
      <c r="H4142" s="204" t="s">
        <v>1143</v>
      </c>
      <c r="I4142" s="204" t="s">
        <v>574</v>
      </c>
      <c r="J4142" s="204" t="s">
        <v>14256</v>
      </c>
      <c r="K4142" s="204">
        <v>530470810</v>
      </c>
      <c r="L4142" s="204"/>
      <c r="M4142" s="204">
        <v>5</v>
      </c>
      <c r="N4142" s="204">
        <v>1</v>
      </c>
      <c r="O4142" s="204">
        <v>5</v>
      </c>
      <c r="P4142" s="204">
        <v>0</v>
      </c>
      <c r="Q4142" s="572">
        <v>0</v>
      </c>
      <c r="R4142" s="1209">
        <v>52</v>
      </c>
      <c r="S4142" s="1209">
        <v>260</v>
      </c>
      <c r="T4142" s="204" t="s">
        <v>311</v>
      </c>
      <c r="U4142" s="1901" t="s">
        <v>311</v>
      </c>
      <c r="V4142" s="572" t="s">
        <v>2875</v>
      </c>
      <c r="W4142" s="804" t="s">
        <v>14257</v>
      </c>
      <c r="X4142" s="18"/>
      <c r="Y4142" s="4"/>
      <c r="Z4142" s="4"/>
    </row>
    <row r="4143" spans="1:26" ht="14.1" hidden="1">
      <c r="A4143" s="20">
        <f t="shared" si="237"/>
        <v>108</v>
      </c>
      <c r="B4143" s="1063">
        <v>43920</v>
      </c>
      <c r="C4143" s="934" t="s">
        <v>175</v>
      </c>
      <c r="D4143" s="11"/>
      <c r="E4143" s="204" t="s">
        <v>13136</v>
      </c>
      <c r="F4143" s="934" t="s">
        <v>11438</v>
      </c>
      <c r="G4143" s="204" t="s">
        <v>14258</v>
      </c>
      <c r="H4143" s="204"/>
      <c r="I4143" s="204" t="s">
        <v>14259</v>
      </c>
      <c r="J4143" s="204">
        <v>9567127</v>
      </c>
      <c r="K4143" s="204" t="s">
        <v>14260</v>
      </c>
      <c r="L4143" s="204" t="s">
        <v>14261</v>
      </c>
      <c r="M4143" s="204">
        <v>6</v>
      </c>
      <c r="N4143" s="204">
        <v>1</v>
      </c>
      <c r="O4143" s="204">
        <v>10</v>
      </c>
      <c r="P4143" s="204">
        <v>0</v>
      </c>
      <c r="Q4143" s="572">
        <v>4</v>
      </c>
      <c r="R4143" s="1209">
        <v>665.81</v>
      </c>
      <c r="S4143" s="1209">
        <v>5817.88</v>
      </c>
      <c r="T4143" s="204" t="s">
        <v>311</v>
      </c>
      <c r="U4143" s="1901" t="s">
        <v>311</v>
      </c>
      <c r="V4143" s="572" t="s">
        <v>10339</v>
      </c>
      <c r="W4143" s="804" t="s">
        <v>14262</v>
      </c>
      <c r="X4143" s="18"/>
      <c r="Y4143" s="4"/>
      <c r="Z4143" s="4"/>
    </row>
    <row r="4144" spans="1:26" ht="14.1" hidden="1">
      <c r="A4144" s="20">
        <f t="shared" si="237"/>
        <v>109</v>
      </c>
      <c r="B4144" s="1063">
        <v>43921</v>
      </c>
      <c r="C4144" s="970" t="s">
        <v>14263</v>
      </c>
      <c r="D4144" s="515" t="s">
        <v>6</v>
      </c>
      <c r="E4144" s="204"/>
      <c r="F4144" s="970" t="s">
        <v>9454</v>
      </c>
      <c r="G4144" s="717" t="s">
        <v>14264</v>
      </c>
      <c r="H4144" s="717" t="s">
        <v>366</v>
      </c>
      <c r="I4144" s="717" t="s">
        <v>366</v>
      </c>
      <c r="J4144" s="717" t="s">
        <v>14265</v>
      </c>
      <c r="K4144" s="717" t="s">
        <v>14265</v>
      </c>
      <c r="L4144" s="204"/>
      <c r="M4144" s="717">
        <v>1</v>
      </c>
      <c r="N4144" s="717">
        <v>1</v>
      </c>
      <c r="O4144" s="717">
        <v>1</v>
      </c>
      <c r="P4144" s="717">
        <v>0</v>
      </c>
      <c r="Q4144" s="718">
        <v>0</v>
      </c>
      <c r="R4144" s="1234">
        <v>1560</v>
      </c>
      <c r="S4144" s="1234">
        <v>1560</v>
      </c>
      <c r="T4144" s="717" t="s">
        <v>3961</v>
      </c>
      <c r="U4144" s="1927" t="s">
        <v>9486</v>
      </c>
      <c r="V4144" s="718" t="s">
        <v>352</v>
      </c>
      <c r="W4144" s="804" t="s">
        <v>14266</v>
      </c>
      <c r="X4144" s="18"/>
      <c r="Y4144" s="4"/>
      <c r="Z4144" s="4"/>
    </row>
    <row r="4145" spans="1:26" ht="14.1" hidden="1">
      <c r="A4145" s="20">
        <f t="shared" si="237"/>
        <v>110</v>
      </c>
      <c r="B4145" s="1063">
        <v>43922</v>
      </c>
      <c r="C4145" s="934" t="s">
        <v>14267</v>
      </c>
      <c r="D4145" s="11"/>
      <c r="E4145" s="204" t="s">
        <v>13136</v>
      </c>
      <c r="F4145" s="934" t="s">
        <v>9454</v>
      </c>
      <c r="G4145" s="204" t="s">
        <v>14268</v>
      </c>
      <c r="H4145" s="204" t="s">
        <v>839</v>
      </c>
      <c r="I4145" s="208" t="s">
        <v>574</v>
      </c>
      <c r="J4145" s="204" t="s">
        <v>14269</v>
      </c>
      <c r="K4145" s="204" t="s">
        <v>14270</v>
      </c>
      <c r="L4145" s="204" t="s">
        <v>11647</v>
      </c>
      <c r="M4145" s="204" t="s">
        <v>10390</v>
      </c>
      <c r="N4145" s="204">
        <v>30.5</v>
      </c>
      <c r="O4145" s="204">
        <v>30.5</v>
      </c>
      <c r="P4145" s="204">
        <v>0</v>
      </c>
      <c r="Q4145" s="572">
        <v>28.5</v>
      </c>
      <c r="R4145" s="1209">
        <v>287</v>
      </c>
      <c r="S4145" s="1209">
        <v>9210.5499999999993</v>
      </c>
      <c r="T4145" s="204" t="s">
        <v>3961</v>
      </c>
      <c r="U4145" s="1901" t="s">
        <v>448</v>
      </c>
      <c r="V4145" s="572" t="s">
        <v>352</v>
      </c>
      <c r="W4145" s="681" t="s">
        <v>14271</v>
      </c>
      <c r="X4145" s="18"/>
      <c r="Y4145" s="4"/>
      <c r="Z4145" s="4"/>
    </row>
    <row r="4146" spans="1:26" ht="14.1" hidden="1">
      <c r="A4146" s="20">
        <f t="shared" si="237"/>
        <v>111</v>
      </c>
      <c r="B4146" s="1063">
        <v>43923</v>
      </c>
      <c r="C4146" s="934" t="s">
        <v>14272</v>
      </c>
      <c r="D4146" s="11"/>
      <c r="E4146" s="204" t="s">
        <v>7956</v>
      </c>
      <c r="F4146" s="934" t="s">
        <v>11441</v>
      </c>
      <c r="G4146" s="204" t="s">
        <v>14273</v>
      </c>
      <c r="H4146" s="204" t="s">
        <v>12973</v>
      </c>
      <c r="I4146" s="204" t="s">
        <v>1022</v>
      </c>
      <c r="J4146" s="204" t="s">
        <v>14274</v>
      </c>
      <c r="K4146" s="204" t="s">
        <v>14275</v>
      </c>
      <c r="L4146" s="204"/>
      <c r="M4146" s="204">
        <v>1</v>
      </c>
      <c r="N4146" s="204">
        <v>1</v>
      </c>
      <c r="O4146" s="204">
        <v>1</v>
      </c>
      <c r="P4146" s="204">
        <v>1</v>
      </c>
      <c r="Q4146" s="572">
        <v>2</v>
      </c>
      <c r="R4146" s="1209">
        <v>14400</v>
      </c>
      <c r="S4146" s="1209">
        <v>14400</v>
      </c>
      <c r="T4146" s="204" t="s">
        <v>3961</v>
      </c>
      <c r="U4146" s="1901" t="s">
        <v>12265</v>
      </c>
      <c r="V4146" s="572" t="s">
        <v>352</v>
      </c>
      <c r="W4146" s="804" t="s">
        <v>12976</v>
      </c>
      <c r="X4146" s="18"/>
      <c r="Y4146" s="4"/>
      <c r="Z4146" s="4"/>
    </row>
    <row r="4147" spans="1:26" ht="14.1" hidden="1">
      <c r="A4147" s="20">
        <f t="shared" si="237"/>
        <v>112</v>
      </c>
      <c r="B4147" s="1063">
        <v>43924</v>
      </c>
      <c r="C4147" s="934" t="s">
        <v>14276</v>
      </c>
      <c r="D4147" s="11"/>
      <c r="E4147" s="204" t="s">
        <v>7956</v>
      </c>
      <c r="F4147" s="934" t="s">
        <v>11441</v>
      </c>
      <c r="G4147" s="204" t="s">
        <v>14277</v>
      </c>
      <c r="H4147" s="204" t="s">
        <v>14278</v>
      </c>
      <c r="I4147" s="204" t="s">
        <v>1022</v>
      </c>
      <c r="J4147" s="204" t="s">
        <v>1</v>
      </c>
      <c r="K4147" s="204" t="s">
        <v>1</v>
      </c>
      <c r="L4147" s="204"/>
      <c r="M4147" s="204">
        <v>1</v>
      </c>
      <c r="N4147" s="204">
        <v>1</v>
      </c>
      <c r="O4147" s="204">
        <v>1</v>
      </c>
      <c r="P4147" s="204">
        <v>0</v>
      </c>
      <c r="Q4147" s="572">
        <v>1</v>
      </c>
      <c r="R4147" s="1209">
        <v>10500</v>
      </c>
      <c r="S4147" s="1209">
        <v>10500</v>
      </c>
      <c r="T4147" s="204" t="s">
        <v>3961</v>
      </c>
      <c r="U4147" s="1901" t="s">
        <v>12265</v>
      </c>
      <c r="V4147" s="572" t="s">
        <v>352</v>
      </c>
      <c r="W4147" s="1184" t="s">
        <v>14279</v>
      </c>
      <c r="X4147" s="18"/>
      <c r="Y4147" s="4"/>
      <c r="Z4147" s="4"/>
    </row>
    <row r="4148" spans="1:26" ht="14.1" hidden="1">
      <c r="A4148" s="20">
        <f t="shared" si="237"/>
        <v>113</v>
      </c>
      <c r="B4148" s="1063">
        <v>43925</v>
      </c>
      <c r="C4148" s="934" t="s">
        <v>14280</v>
      </c>
      <c r="D4148" s="11"/>
      <c r="E4148" s="204" t="s">
        <v>7956</v>
      </c>
      <c r="F4148" s="934" t="s">
        <v>11441</v>
      </c>
      <c r="G4148" s="204" t="s">
        <v>14281</v>
      </c>
      <c r="H4148" s="204" t="s">
        <v>14282</v>
      </c>
      <c r="I4148" s="204" t="s">
        <v>574</v>
      </c>
      <c r="J4148" s="204" t="s">
        <v>14283</v>
      </c>
      <c r="K4148" s="204" t="s">
        <v>14284</v>
      </c>
      <c r="L4148" s="204"/>
      <c r="M4148" s="204">
        <v>1</v>
      </c>
      <c r="N4148" s="204">
        <v>1</v>
      </c>
      <c r="O4148" s="204">
        <v>2</v>
      </c>
      <c r="P4148" s="204">
        <v>0</v>
      </c>
      <c r="Q4148" s="572">
        <v>2</v>
      </c>
      <c r="R4148" s="1209">
        <v>580</v>
      </c>
      <c r="S4148" s="1209">
        <v>1160</v>
      </c>
      <c r="T4148" s="204" t="s">
        <v>3961</v>
      </c>
      <c r="U4148" s="1901" t="s">
        <v>12265</v>
      </c>
      <c r="V4148" s="572" t="s">
        <v>352</v>
      </c>
      <c r="W4148" s="1184" t="s">
        <v>14285</v>
      </c>
      <c r="X4148" s="18"/>
      <c r="Y4148" s="4"/>
      <c r="Z4148" s="4"/>
    </row>
    <row r="4149" spans="1:26" ht="14.1" hidden="1">
      <c r="A4149" s="20">
        <f t="shared" si="237"/>
        <v>114</v>
      </c>
      <c r="B4149" s="1063">
        <v>43926</v>
      </c>
      <c r="C4149" s="934" t="s">
        <v>2586</v>
      </c>
      <c r="D4149" s="11"/>
      <c r="E4149" s="204" t="s">
        <v>7956</v>
      </c>
      <c r="F4149" s="934" t="s">
        <v>11441</v>
      </c>
      <c r="G4149" s="204" t="s">
        <v>14286</v>
      </c>
      <c r="H4149" s="204" t="s">
        <v>14287</v>
      </c>
      <c r="I4149" s="204" t="s">
        <v>574</v>
      </c>
      <c r="J4149" s="204" t="s">
        <v>14288</v>
      </c>
      <c r="K4149" s="204" t="s">
        <v>14289</v>
      </c>
      <c r="L4149" s="204"/>
      <c r="M4149" s="204">
        <v>1</v>
      </c>
      <c r="N4149" s="204">
        <v>1</v>
      </c>
      <c r="O4149" s="204">
        <v>1</v>
      </c>
      <c r="P4149" s="204">
        <v>0</v>
      </c>
      <c r="Q4149" s="572">
        <v>1</v>
      </c>
      <c r="R4149" s="1209">
        <v>3932</v>
      </c>
      <c r="S4149" s="1209">
        <v>3932</v>
      </c>
      <c r="T4149" s="204" t="s">
        <v>3961</v>
      </c>
      <c r="U4149" s="1901" t="s">
        <v>12265</v>
      </c>
      <c r="V4149" s="572" t="s">
        <v>352</v>
      </c>
      <c r="W4149" s="804" t="s">
        <v>14290</v>
      </c>
      <c r="X4149" s="18"/>
      <c r="Y4149" s="4"/>
      <c r="Z4149" s="4"/>
    </row>
    <row r="4150" spans="1:26" ht="14.1" hidden="1">
      <c r="A4150" s="20">
        <f t="shared" si="237"/>
        <v>115</v>
      </c>
      <c r="B4150" s="1063">
        <v>43927</v>
      </c>
      <c r="C4150" s="934" t="s">
        <v>14291</v>
      </c>
      <c r="D4150" s="11"/>
      <c r="E4150" s="37" t="s">
        <v>572</v>
      </c>
      <c r="F4150" s="934" t="s">
        <v>784</v>
      </c>
      <c r="G4150" s="204" t="s">
        <v>14292</v>
      </c>
      <c r="H4150" s="204" t="s">
        <v>287</v>
      </c>
      <c r="I4150" s="204" t="s">
        <v>287</v>
      </c>
      <c r="J4150" s="204" t="s">
        <v>149</v>
      </c>
      <c r="K4150" s="204" t="s">
        <v>149</v>
      </c>
      <c r="L4150" s="204" t="s">
        <v>149</v>
      </c>
      <c r="M4150" s="204">
        <v>1</v>
      </c>
      <c r="N4150" s="204">
        <v>1</v>
      </c>
      <c r="O4150" s="204">
        <v>1</v>
      </c>
      <c r="P4150" s="204">
        <v>0</v>
      </c>
      <c r="Q4150" s="572">
        <v>0</v>
      </c>
      <c r="R4150" s="1209">
        <v>125757</v>
      </c>
      <c r="S4150" s="1209">
        <f>R4150*O4150</f>
        <v>125757</v>
      </c>
      <c r="T4150" s="204" t="s">
        <v>10016</v>
      </c>
      <c r="U4150" s="1901" t="s">
        <v>10016</v>
      </c>
      <c r="V4150" s="572" t="s">
        <v>7705</v>
      </c>
      <c r="W4150" s="681"/>
      <c r="X4150" s="18"/>
      <c r="Y4150" s="4"/>
      <c r="Z4150" s="4"/>
    </row>
    <row r="4151" spans="1:26" ht="14.1" hidden="1">
      <c r="A4151" s="20">
        <f t="shared" si="237"/>
        <v>116</v>
      </c>
      <c r="B4151" s="1063">
        <v>43928</v>
      </c>
      <c r="C4151" s="970" t="s">
        <v>14293</v>
      </c>
      <c r="D4151" s="515" t="s">
        <v>6</v>
      </c>
      <c r="E4151" s="717"/>
      <c r="F4151" s="970" t="s">
        <v>11434</v>
      </c>
      <c r="G4151" s="717"/>
      <c r="H4151" s="717" t="s">
        <v>287</v>
      </c>
      <c r="I4151" s="717" t="s">
        <v>287</v>
      </c>
      <c r="J4151" s="717"/>
      <c r="K4151" s="717"/>
      <c r="L4151" s="717"/>
      <c r="M4151" s="717">
        <v>4</v>
      </c>
      <c r="N4151" s="717">
        <v>4</v>
      </c>
      <c r="O4151" s="717">
        <v>4</v>
      </c>
      <c r="P4151" s="717">
        <v>0</v>
      </c>
      <c r="Q4151" s="718">
        <v>4</v>
      </c>
      <c r="R4151" s="1234">
        <v>270836</v>
      </c>
      <c r="S4151" s="1234"/>
      <c r="T4151" s="717" t="s">
        <v>3961</v>
      </c>
      <c r="U4151" s="1927" t="s">
        <v>13719</v>
      </c>
      <c r="V4151" s="718" t="s">
        <v>931</v>
      </c>
      <c r="W4151" s="681" t="s">
        <v>401</v>
      </c>
      <c r="X4151" s="18"/>
      <c r="Y4151" s="4"/>
      <c r="Z4151" s="4"/>
    </row>
    <row r="4152" spans="1:26" ht="14.1" hidden="1">
      <c r="A4152" s="20">
        <f t="shared" si="237"/>
        <v>117</v>
      </c>
      <c r="B4152" s="1063">
        <v>43929</v>
      </c>
      <c r="C4152" s="934" t="s">
        <v>14294</v>
      </c>
      <c r="D4152" s="11"/>
      <c r="E4152" s="204" t="s">
        <v>13136</v>
      </c>
      <c r="F4152" s="934" t="s">
        <v>11434</v>
      </c>
      <c r="G4152" s="204" t="s">
        <v>14294</v>
      </c>
      <c r="H4152" s="204" t="s">
        <v>1729</v>
      </c>
      <c r="I4152" s="204" t="s">
        <v>281</v>
      </c>
      <c r="J4152" s="204" t="s">
        <v>14295</v>
      </c>
      <c r="K4152" s="204" t="s">
        <v>14296</v>
      </c>
      <c r="L4152" s="204"/>
      <c r="M4152" s="204">
        <v>1</v>
      </c>
      <c r="N4152" s="204">
        <v>1</v>
      </c>
      <c r="O4152" s="204">
        <v>1</v>
      </c>
      <c r="P4152" s="204">
        <v>0</v>
      </c>
      <c r="Q4152" s="572">
        <v>1</v>
      </c>
      <c r="R4152" s="1337">
        <v>2604</v>
      </c>
      <c r="S4152" s="1337">
        <v>2604</v>
      </c>
      <c r="T4152" s="204" t="s">
        <v>3961</v>
      </c>
      <c r="U4152" s="1901" t="s">
        <v>138</v>
      </c>
      <c r="V4152" s="572" t="s">
        <v>931</v>
      </c>
      <c r="W4152" s="681" t="s">
        <v>14297</v>
      </c>
      <c r="X4152" s="18"/>
      <c r="Y4152" s="4"/>
      <c r="Z4152" s="4"/>
    </row>
    <row r="4153" spans="1:26" ht="15.95" hidden="1">
      <c r="A4153" s="20">
        <f t="shared" si="237"/>
        <v>118</v>
      </c>
      <c r="B4153" s="1063">
        <v>43930</v>
      </c>
      <c r="C4153" s="934" t="s">
        <v>14298</v>
      </c>
      <c r="D4153" s="11"/>
      <c r="E4153" s="204" t="s">
        <v>13136</v>
      </c>
      <c r="F4153" s="934" t="s">
        <v>14299</v>
      </c>
      <c r="G4153" s="204" t="s">
        <v>14300</v>
      </c>
      <c r="H4153" s="204" t="s">
        <v>166</v>
      </c>
      <c r="I4153" s="204" t="s">
        <v>84</v>
      </c>
      <c r="J4153" s="228">
        <v>29158579</v>
      </c>
      <c r="K4153" s="228" t="s">
        <v>14301</v>
      </c>
      <c r="L4153" s="204"/>
      <c r="M4153" s="204">
        <v>4</v>
      </c>
      <c r="N4153" s="204">
        <v>4</v>
      </c>
      <c r="O4153" s="204">
        <v>4</v>
      </c>
      <c r="P4153" s="204">
        <v>0</v>
      </c>
      <c r="Q4153" s="572">
        <v>0</v>
      </c>
      <c r="R4153" s="1209">
        <v>1690</v>
      </c>
      <c r="S4153" s="1209">
        <v>1690</v>
      </c>
      <c r="T4153" s="204" t="s">
        <v>3961</v>
      </c>
      <c r="U4153" s="1901" t="s">
        <v>448</v>
      </c>
      <c r="V4153" s="572" t="s">
        <v>931</v>
      </c>
      <c r="W4153" s="1184" t="s">
        <v>14302</v>
      </c>
      <c r="X4153" s="18"/>
      <c r="Y4153" s="4"/>
      <c r="Z4153" s="4"/>
    </row>
    <row r="4154" spans="1:26" ht="14.1" hidden="1">
      <c r="A4154" s="20">
        <f t="shared" si="237"/>
        <v>119</v>
      </c>
      <c r="B4154" s="1063">
        <v>43931</v>
      </c>
      <c r="C4154" s="985" t="s">
        <v>14293</v>
      </c>
      <c r="D4154" s="11"/>
      <c r="E4154" s="204" t="s">
        <v>13136</v>
      </c>
      <c r="F4154" s="985" t="s">
        <v>11434</v>
      </c>
      <c r="G4154" s="683"/>
      <c r="H4154" s="683" t="s">
        <v>287</v>
      </c>
      <c r="I4154" s="683" t="s">
        <v>287</v>
      </c>
      <c r="J4154" s="683">
        <v>21062200175</v>
      </c>
      <c r="K4154" s="683"/>
      <c r="L4154" s="683"/>
      <c r="M4154" s="683">
        <v>1</v>
      </c>
      <c r="N4154" s="683">
        <v>1</v>
      </c>
      <c r="O4154" s="683">
        <v>1</v>
      </c>
      <c r="P4154" s="683">
        <v>0</v>
      </c>
      <c r="Q4154" s="669">
        <v>1</v>
      </c>
      <c r="R4154" s="1338">
        <v>52243</v>
      </c>
      <c r="S4154" s="1338">
        <v>52243</v>
      </c>
      <c r="T4154" s="683" t="s">
        <v>3961</v>
      </c>
      <c r="U4154" s="1909" t="s">
        <v>13719</v>
      </c>
      <c r="V4154" s="572" t="s">
        <v>931</v>
      </c>
      <c r="W4154" s="681" t="s">
        <v>401</v>
      </c>
      <c r="X4154" s="18"/>
      <c r="Y4154" s="4"/>
      <c r="Z4154" s="4"/>
    </row>
    <row r="4155" spans="1:26" ht="14.1" hidden="1">
      <c r="A4155" s="20">
        <f t="shared" si="237"/>
        <v>120</v>
      </c>
      <c r="B4155" s="1063">
        <v>43932</v>
      </c>
      <c r="C4155" s="985" t="s">
        <v>14293</v>
      </c>
      <c r="D4155" s="11"/>
      <c r="E4155" s="204" t="s">
        <v>13136</v>
      </c>
      <c r="F4155" s="985" t="s">
        <v>11434</v>
      </c>
      <c r="G4155" s="683"/>
      <c r="H4155" s="683" t="s">
        <v>287</v>
      </c>
      <c r="I4155" s="683" t="s">
        <v>287</v>
      </c>
      <c r="J4155" s="683">
        <v>21062200176</v>
      </c>
      <c r="K4155" s="683"/>
      <c r="L4155" s="683"/>
      <c r="M4155" s="683">
        <v>1</v>
      </c>
      <c r="N4155" s="683">
        <v>1</v>
      </c>
      <c r="O4155" s="683">
        <v>1</v>
      </c>
      <c r="P4155" s="683">
        <v>0</v>
      </c>
      <c r="Q4155" s="669">
        <v>1</v>
      </c>
      <c r="R4155" s="1338">
        <v>74135</v>
      </c>
      <c r="S4155" s="1338">
        <v>74135</v>
      </c>
      <c r="T4155" s="683" t="s">
        <v>3961</v>
      </c>
      <c r="U4155" s="1909" t="s">
        <v>13719</v>
      </c>
      <c r="V4155" s="572" t="s">
        <v>931</v>
      </c>
      <c r="W4155" s="681" t="s">
        <v>401</v>
      </c>
      <c r="X4155" s="18"/>
      <c r="Y4155" s="4"/>
      <c r="Z4155" s="4"/>
    </row>
    <row r="4156" spans="1:26" ht="14.1" hidden="1">
      <c r="A4156" s="20">
        <f t="shared" si="237"/>
        <v>121</v>
      </c>
      <c r="B4156" s="1063">
        <v>43933</v>
      </c>
      <c r="C4156" s="985" t="s">
        <v>14293</v>
      </c>
      <c r="D4156" s="11"/>
      <c r="E4156" s="204" t="s">
        <v>13136</v>
      </c>
      <c r="F4156" s="985" t="s">
        <v>11434</v>
      </c>
      <c r="G4156" s="683"/>
      <c r="H4156" s="683" t="s">
        <v>287</v>
      </c>
      <c r="I4156" s="683" t="s">
        <v>287</v>
      </c>
      <c r="J4156" s="683">
        <v>21062200177</v>
      </c>
      <c r="K4156" s="683"/>
      <c r="L4156" s="683"/>
      <c r="M4156" s="683">
        <v>1</v>
      </c>
      <c r="N4156" s="683">
        <v>1</v>
      </c>
      <c r="O4156" s="683">
        <v>1</v>
      </c>
      <c r="P4156" s="683">
        <v>0</v>
      </c>
      <c r="Q4156" s="669">
        <v>1</v>
      </c>
      <c r="R4156" s="1338">
        <v>56086</v>
      </c>
      <c r="S4156" s="1338">
        <v>56086</v>
      </c>
      <c r="T4156" s="683" t="s">
        <v>3961</v>
      </c>
      <c r="U4156" s="1909" t="s">
        <v>13719</v>
      </c>
      <c r="V4156" s="572" t="s">
        <v>931</v>
      </c>
      <c r="W4156" s="681" t="s">
        <v>401</v>
      </c>
      <c r="X4156" s="18"/>
      <c r="Y4156" s="4"/>
      <c r="Z4156" s="4"/>
    </row>
    <row r="4157" spans="1:26" ht="14.1" hidden="1">
      <c r="A4157" s="20">
        <f t="shared" si="237"/>
        <v>122</v>
      </c>
      <c r="B4157" s="1063">
        <v>43934</v>
      </c>
      <c r="C4157" s="985" t="s">
        <v>14293</v>
      </c>
      <c r="D4157" s="11"/>
      <c r="E4157" s="204" t="s">
        <v>13136</v>
      </c>
      <c r="F4157" s="985" t="s">
        <v>11434</v>
      </c>
      <c r="G4157" s="683"/>
      <c r="H4157" s="683" t="s">
        <v>287</v>
      </c>
      <c r="I4157" s="683" t="s">
        <v>287</v>
      </c>
      <c r="J4157" s="683">
        <v>21062200178</v>
      </c>
      <c r="K4157" s="683"/>
      <c r="L4157" s="683"/>
      <c r="M4157" s="683">
        <v>1</v>
      </c>
      <c r="N4157" s="683">
        <v>1</v>
      </c>
      <c r="O4157" s="683">
        <v>1</v>
      </c>
      <c r="P4157" s="683">
        <v>0</v>
      </c>
      <c r="Q4157" s="669">
        <v>1</v>
      </c>
      <c r="R4157" s="1338">
        <v>88372</v>
      </c>
      <c r="S4157" s="1338">
        <v>88372</v>
      </c>
      <c r="T4157" s="683" t="s">
        <v>3961</v>
      </c>
      <c r="U4157" s="1909" t="s">
        <v>13719</v>
      </c>
      <c r="V4157" s="572" t="s">
        <v>931</v>
      </c>
      <c r="W4157" s="681" t="s">
        <v>401</v>
      </c>
      <c r="X4157" s="18"/>
      <c r="Y4157" s="4"/>
      <c r="Z4157" s="4"/>
    </row>
    <row r="4158" spans="1:26" ht="14.1" hidden="1">
      <c r="A4158" s="20">
        <f t="shared" si="237"/>
        <v>123</v>
      </c>
      <c r="B4158" s="1063">
        <v>43935</v>
      </c>
      <c r="C4158" s="934" t="s">
        <v>14303</v>
      </c>
      <c r="D4158" s="11"/>
      <c r="E4158" s="204" t="s">
        <v>572</v>
      </c>
      <c r="F4158" s="934" t="s">
        <v>784</v>
      </c>
      <c r="G4158" s="204" t="s">
        <v>14304</v>
      </c>
      <c r="H4158" s="204" t="s">
        <v>14305</v>
      </c>
      <c r="I4158" s="204" t="s">
        <v>6680</v>
      </c>
      <c r="J4158" s="204" t="s">
        <v>14306</v>
      </c>
      <c r="K4158" s="204" t="s">
        <v>14307</v>
      </c>
      <c r="L4158" s="204" t="s">
        <v>149</v>
      </c>
      <c r="M4158" s="204">
        <v>1</v>
      </c>
      <c r="N4158" s="204">
        <v>1</v>
      </c>
      <c r="O4158" s="204">
        <v>1</v>
      </c>
      <c r="P4158" s="204">
        <v>0</v>
      </c>
      <c r="Q4158" s="572">
        <v>0</v>
      </c>
      <c r="R4158" s="1209">
        <v>117600</v>
      </c>
      <c r="S4158" s="1209">
        <f>O4158*R4158</f>
        <v>117600</v>
      </c>
      <c r="T4158" s="204" t="s">
        <v>10016</v>
      </c>
      <c r="U4158" s="1901" t="s">
        <v>10016</v>
      </c>
      <c r="V4158" s="572" t="s">
        <v>7705</v>
      </c>
      <c r="W4158" s="681" t="s">
        <v>14308</v>
      </c>
      <c r="X4158" s="18"/>
      <c r="Y4158" s="4"/>
      <c r="Z4158" s="4"/>
    </row>
    <row r="4159" spans="1:26" ht="24.75" hidden="1" customHeight="1">
      <c r="A4159" s="20">
        <f t="shared" si="237"/>
        <v>124</v>
      </c>
      <c r="B4159" s="1063">
        <v>43936</v>
      </c>
      <c r="C4159" s="986" t="s">
        <v>12589</v>
      </c>
      <c r="D4159" s="547" t="s">
        <v>14309</v>
      </c>
      <c r="E4159" s="37" t="s">
        <v>7956</v>
      </c>
      <c r="F4159" s="986" t="s">
        <v>13364</v>
      </c>
      <c r="G4159" s="298" t="s">
        <v>14310</v>
      </c>
      <c r="H4159" s="298" t="s">
        <v>4125</v>
      </c>
      <c r="I4159" s="298" t="s">
        <v>1</v>
      </c>
      <c r="J4159" s="298" t="s">
        <v>1</v>
      </c>
      <c r="K4159" s="298" t="s">
        <v>1</v>
      </c>
      <c r="L4159" s="298" t="s">
        <v>1</v>
      </c>
      <c r="M4159" s="298" t="s">
        <v>1</v>
      </c>
      <c r="N4159" s="298" t="s">
        <v>1</v>
      </c>
      <c r="O4159" s="298" t="s">
        <v>1</v>
      </c>
      <c r="P4159" s="298" t="s">
        <v>1</v>
      </c>
      <c r="Q4159" s="298" t="s">
        <v>1</v>
      </c>
      <c r="R4159" s="1286">
        <v>22100</v>
      </c>
      <c r="S4159" s="1286">
        <v>22100</v>
      </c>
      <c r="T4159" s="298" t="s">
        <v>311</v>
      </c>
      <c r="U4159" s="1537" t="s">
        <v>1</v>
      </c>
      <c r="V4159" s="204" t="s">
        <v>1</v>
      </c>
      <c r="W4159" s="548"/>
      <c r="X4159" s="330"/>
      <c r="Y4159" s="4"/>
      <c r="Z4159" s="4"/>
    </row>
    <row r="4160" spans="1:26" ht="24.75" hidden="1" customHeight="1">
      <c r="A4160" s="20">
        <f t="shared" si="237"/>
        <v>125</v>
      </c>
      <c r="B4160" s="1063">
        <v>43937</v>
      </c>
      <c r="C4160" s="985" t="s">
        <v>12582</v>
      </c>
      <c r="D4160" s="547" t="s">
        <v>14309</v>
      </c>
      <c r="E4160" s="37" t="s">
        <v>7956</v>
      </c>
      <c r="F4160" s="986" t="s">
        <v>13364</v>
      </c>
      <c r="G4160" s="298" t="s">
        <v>14310</v>
      </c>
      <c r="H4160" s="683" t="s">
        <v>4125</v>
      </c>
      <c r="I4160" s="683" t="s">
        <v>1</v>
      </c>
      <c r="J4160" s="683" t="s">
        <v>1</v>
      </c>
      <c r="K4160" s="683" t="s">
        <v>1</v>
      </c>
      <c r="L4160" s="683" t="s">
        <v>1</v>
      </c>
      <c r="M4160" s="683" t="s">
        <v>1</v>
      </c>
      <c r="N4160" s="683" t="s">
        <v>1</v>
      </c>
      <c r="O4160" s="683" t="s">
        <v>1</v>
      </c>
      <c r="P4160" s="683" t="s">
        <v>1</v>
      </c>
      <c r="Q4160" s="683" t="s">
        <v>1</v>
      </c>
      <c r="R4160" s="1285">
        <v>13130</v>
      </c>
      <c r="S4160" s="1285">
        <v>13130</v>
      </c>
      <c r="T4160" s="683" t="s">
        <v>311</v>
      </c>
      <c r="U4160" s="740" t="s">
        <v>1</v>
      </c>
      <c r="V4160" s="204"/>
      <c r="W4160" s="728"/>
      <c r="X4160" s="734"/>
      <c r="Y4160" s="4"/>
      <c r="Z4160" s="4"/>
    </row>
    <row r="4161" spans="1:26" ht="24.75" hidden="1" customHeight="1">
      <c r="A4161" s="20">
        <f t="shared" si="237"/>
        <v>126</v>
      </c>
      <c r="B4161" s="1063">
        <v>43938</v>
      </c>
      <c r="C4161" s="986" t="s">
        <v>12584</v>
      </c>
      <c r="D4161" s="547" t="s">
        <v>14309</v>
      </c>
      <c r="E4161" s="37" t="s">
        <v>7956</v>
      </c>
      <c r="F4161" s="986" t="s">
        <v>13364</v>
      </c>
      <c r="G4161" s="298" t="s">
        <v>14310</v>
      </c>
      <c r="H4161" s="298" t="s">
        <v>4125</v>
      </c>
      <c r="I4161" s="298" t="s">
        <v>1</v>
      </c>
      <c r="J4161" s="298" t="s">
        <v>1</v>
      </c>
      <c r="K4161" s="298" t="s">
        <v>1</v>
      </c>
      <c r="L4161" s="298" t="s">
        <v>1</v>
      </c>
      <c r="M4161" s="298" t="s">
        <v>1</v>
      </c>
      <c r="N4161" s="298" t="s">
        <v>1</v>
      </c>
      <c r="O4161" s="298" t="s">
        <v>1</v>
      </c>
      <c r="P4161" s="298" t="s">
        <v>1</v>
      </c>
      <c r="Q4161" s="298" t="s">
        <v>1</v>
      </c>
      <c r="R4161" s="1286">
        <v>17452</v>
      </c>
      <c r="S4161" s="1286">
        <v>17452</v>
      </c>
      <c r="T4161" s="298" t="s">
        <v>311</v>
      </c>
      <c r="U4161" s="1537" t="s">
        <v>1</v>
      </c>
      <c r="V4161" s="204" t="s">
        <v>1</v>
      </c>
      <c r="W4161" s="548"/>
      <c r="X4161" s="330"/>
      <c r="Y4161" s="4"/>
      <c r="Z4161" s="4"/>
    </row>
    <row r="4162" spans="1:26" ht="24.75" hidden="1" customHeight="1">
      <c r="A4162" s="20">
        <f t="shared" si="237"/>
        <v>127</v>
      </c>
      <c r="B4162" s="1063">
        <v>43939</v>
      </c>
      <c r="C4162" s="986" t="s">
        <v>12585</v>
      </c>
      <c r="D4162" s="547" t="s">
        <v>14309</v>
      </c>
      <c r="E4162" s="37" t="s">
        <v>7956</v>
      </c>
      <c r="F4162" s="986" t="s">
        <v>13364</v>
      </c>
      <c r="G4162" s="298" t="s">
        <v>14310</v>
      </c>
      <c r="H4162" s="298" t="s">
        <v>4125</v>
      </c>
      <c r="I4162" s="298" t="s">
        <v>1</v>
      </c>
      <c r="J4162" s="298" t="s">
        <v>1</v>
      </c>
      <c r="K4162" s="298" t="s">
        <v>1</v>
      </c>
      <c r="L4162" s="298" t="s">
        <v>1</v>
      </c>
      <c r="M4162" s="298" t="s">
        <v>1</v>
      </c>
      <c r="N4162" s="298" t="s">
        <v>1</v>
      </c>
      <c r="O4162" s="298" t="s">
        <v>1</v>
      </c>
      <c r="P4162" s="298" t="s">
        <v>1</v>
      </c>
      <c r="Q4162" s="298" t="s">
        <v>1</v>
      </c>
      <c r="R4162" s="1285">
        <v>14423</v>
      </c>
      <c r="S4162" s="1285">
        <v>14423</v>
      </c>
      <c r="T4162" s="298" t="s">
        <v>311</v>
      </c>
      <c r="U4162" s="1537" t="s">
        <v>1</v>
      </c>
      <c r="V4162" s="204" t="s">
        <v>1</v>
      </c>
      <c r="W4162" s="548"/>
      <c r="X4162" s="330"/>
      <c r="Y4162" s="4"/>
      <c r="Z4162" s="4"/>
    </row>
    <row r="4163" spans="1:26" ht="24.75" hidden="1" customHeight="1">
      <c r="A4163" s="20">
        <f t="shared" si="237"/>
        <v>128</v>
      </c>
      <c r="B4163" s="1063">
        <v>43940</v>
      </c>
      <c r="C4163" s="986" t="s">
        <v>12586</v>
      </c>
      <c r="D4163" s="547" t="s">
        <v>14309</v>
      </c>
      <c r="E4163" s="37" t="s">
        <v>7956</v>
      </c>
      <c r="F4163" s="986" t="s">
        <v>13364</v>
      </c>
      <c r="G4163" s="298" t="s">
        <v>14310</v>
      </c>
      <c r="H4163" s="298" t="s">
        <v>4125</v>
      </c>
      <c r="I4163" s="298" t="s">
        <v>1</v>
      </c>
      <c r="J4163" s="298" t="s">
        <v>1</v>
      </c>
      <c r="K4163" s="298" t="s">
        <v>1</v>
      </c>
      <c r="L4163" s="298" t="s">
        <v>1</v>
      </c>
      <c r="M4163" s="298" t="s">
        <v>1</v>
      </c>
      <c r="N4163" s="298" t="s">
        <v>1</v>
      </c>
      <c r="O4163" s="298" t="s">
        <v>1</v>
      </c>
      <c r="P4163" s="298" t="s">
        <v>1</v>
      </c>
      <c r="Q4163" s="298" t="s">
        <v>1</v>
      </c>
      <c r="R4163" s="1286">
        <v>30535</v>
      </c>
      <c r="S4163" s="1286">
        <v>30535</v>
      </c>
      <c r="T4163" s="298" t="s">
        <v>311</v>
      </c>
      <c r="U4163" s="1537" t="s">
        <v>1</v>
      </c>
      <c r="V4163" s="204" t="s">
        <v>1</v>
      </c>
      <c r="W4163" s="548"/>
      <c r="X4163" s="330"/>
      <c r="Y4163" s="4"/>
      <c r="Z4163" s="4"/>
    </row>
    <row r="4164" spans="1:26" ht="24.75" hidden="1" customHeight="1">
      <c r="A4164" s="20">
        <f t="shared" si="237"/>
        <v>129</v>
      </c>
      <c r="B4164" s="1063">
        <v>43941</v>
      </c>
      <c r="C4164" s="986" t="s">
        <v>12587</v>
      </c>
      <c r="D4164" s="547" t="s">
        <v>14309</v>
      </c>
      <c r="E4164" s="37" t="s">
        <v>7956</v>
      </c>
      <c r="F4164" s="986" t="s">
        <v>13364</v>
      </c>
      <c r="G4164" s="298" t="s">
        <v>14310</v>
      </c>
      <c r="H4164" s="298" t="s">
        <v>4125</v>
      </c>
      <c r="I4164" s="298" t="s">
        <v>1</v>
      </c>
      <c r="J4164" s="298" t="s">
        <v>1</v>
      </c>
      <c r="K4164" s="298" t="s">
        <v>1</v>
      </c>
      <c r="L4164" s="298" t="s">
        <v>1</v>
      </c>
      <c r="M4164" s="298" t="s">
        <v>1</v>
      </c>
      <c r="N4164" s="298" t="s">
        <v>1</v>
      </c>
      <c r="O4164" s="298" t="s">
        <v>1</v>
      </c>
      <c r="P4164" s="298" t="s">
        <v>1</v>
      </c>
      <c r="Q4164" s="298" t="s">
        <v>1</v>
      </c>
      <c r="R4164" s="1285">
        <v>30535</v>
      </c>
      <c r="S4164" s="1285">
        <v>30535</v>
      </c>
      <c r="T4164" s="298" t="s">
        <v>311</v>
      </c>
      <c r="U4164" s="1537" t="s">
        <v>1</v>
      </c>
      <c r="V4164" s="204" t="s">
        <v>1</v>
      </c>
      <c r="W4164" s="548"/>
      <c r="X4164" s="330"/>
      <c r="Y4164" s="4"/>
      <c r="Z4164" s="4"/>
    </row>
    <row r="4165" spans="1:26" ht="24.75" hidden="1" customHeight="1">
      <c r="A4165" s="20">
        <f t="shared" si="237"/>
        <v>130</v>
      </c>
      <c r="B4165" s="1063">
        <v>43942</v>
      </c>
      <c r="C4165" s="986" t="s">
        <v>12588</v>
      </c>
      <c r="D4165" s="547" t="s">
        <v>14309</v>
      </c>
      <c r="E4165" s="37" t="s">
        <v>7956</v>
      </c>
      <c r="F4165" s="986" t="s">
        <v>13364</v>
      </c>
      <c r="G4165" s="298" t="s">
        <v>14310</v>
      </c>
      <c r="H4165" s="298" t="s">
        <v>4125</v>
      </c>
      <c r="I4165" s="298" t="s">
        <v>1</v>
      </c>
      <c r="J4165" s="298" t="s">
        <v>1</v>
      </c>
      <c r="K4165" s="298" t="s">
        <v>1</v>
      </c>
      <c r="L4165" s="298" t="s">
        <v>1</v>
      </c>
      <c r="M4165" s="298" t="s">
        <v>1</v>
      </c>
      <c r="N4165" s="298" t="s">
        <v>1</v>
      </c>
      <c r="O4165" s="298" t="s">
        <v>1</v>
      </c>
      <c r="P4165" s="298" t="s">
        <v>1</v>
      </c>
      <c r="Q4165" s="298" t="s">
        <v>1</v>
      </c>
      <c r="R4165" s="1286">
        <v>16170</v>
      </c>
      <c r="S4165" s="1286">
        <v>16170</v>
      </c>
      <c r="T4165" s="298" t="s">
        <v>311</v>
      </c>
      <c r="U4165" s="1537" t="s">
        <v>1</v>
      </c>
      <c r="V4165" s="204" t="s">
        <v>1</v>
      </c>
      <c r="W4165" s="548"/>
      <c r="X4165" s="330"/>
      <c r="Y4165" s="4"/>
      <c r="Z4165" s="4"/>
    </row>
    <row r="4166" spans="1:26" ht="24.75" hidden="1" customHeight="1">
      <c r="A4166" s="20">
        <f t="shared" si="237"/>
        <v>131</v>
      </c>
      <c r="B4166" s="1063">
        <v>43943</v>
      </c>
      <c r="C4166" s="934" t="s">
        <v>14311</v>
      </c>
      <c r="D4166" s="547" t="s">
        <v>14309</v>
      </c>
      <c r="E4166" s="37" t="s">
        <v>7956</v>
      </c>
      <c r="F4166" s="986" t="s">
        <v>13364</v>
      </c>
      <c r="G4166" s="298" t="s">
        <v>14310</v>
      </c>
      <c r="H4166" s="298" t="s">
        <v>4125</v>
      </c>
      <c r="I4166" s="298" t="s">
        <v>1</v>
      </c>
      <c r="J4166" s="298" t="s">
        <v>1</v>
      </c>
      <c r="K4166" s="298" t="s">
        <v>1</v>
      </c>
      <c r="L4166" s="298" t="s">
        <v>1</v>
      </c>
      <c r="M4166" s="298" t="s">
        <v>1</v>
      </c>
      <c r="N4166" s="298" t="s">
        <v>1</v>
      </c>
      <c r="O4166" s="298" t="s">
        <v>1</v>
      </c>
      <c r="P4166" s="298" t="s">
        <v>1</v>
      </c>
      <c r="Q4166" s="298" t="s">
        <v>1</v>
      </c>
      <c r="R4166" s="1285">
        <v>20000</v>
      </c>
      <c r="S4166" s="1285">
        <v>20000</v>
      </c>
      <c r="T4166" s="298" t="s">
        <v>311</v>
      </c>
      <c r="U4166" s="1537" t="s">
        <v>1</v>
      </c>
      <c r="V4166" s="204" t="s">
        <v>1</v>
      </c>
      <c r="W4166" s="548"/>
      <c r="X4166" s="330"/>
      <c r="Y4166" s="4"/>
      <c r="Z4166" s="4"/>
    </row>
    <row r="4167" spans="1:26" ht="14.1" hidden="1">
      <c r="A4167" s="20">
        <f t="shared" si="237"/>
        <v>132</v>
      </c>
      <c r="B4167" s="1063">
        <v>43944</v>
      </c>
      <c r="C4167" s="934" t="s">
        <v>14312</v>
      </c>
      <c r="D4167" s="11" t="s">
        <v>6</v>
      </c>
      <c r="E4167" s="204" t="s">
        <v>683</v>
      </c>
      <c r="F4167" s="934" t="s">
        <v>73</v>
      </c>
      <c r="G4167" s="204" t="s">
        <v>14313</v>
      </c>
      <c r="H4167" s="204" t="s">
        <v>14314</v>
      </c>
      <c r="I4167" s="204" t="s">
        <v>366</v>
      </c>
      <c r="J4167" s="189" t="s">
        <v>14315</v>
      </c>
      <c r="K4167" s="365" t="s">
        <v>14315</v>
      </c>
      <c r="L4167" s="204" t="s">
        <v>1</v>
      </c>
      <c r="M4167" s="204">
        <v>1</v>
      </c>
      <c r="N4167" s="204">
        <v>1</v>
      </c>
      <c r="O4167" s="204">
        <v>1</v>
      </c>
      <c r="P4167" s="204">
        <v>0</v>
      </c>
      <c r="Q4167" s="572">
        <v>1</v>
      </c>
      <c r="R4167" s="1209">
        <v>1786</v>
      </c>
      <c r="S4167" s="1209">
        <v>1786</v>
      </c>
      <c r="T4167" s="204" t="s">
        <v>4220</v>
      </c>
      <c r="U4167" s="1901" t="s">
        <v>1</v>
      </c>
      <c r="V4167" s="572" t="s">
        <v>12768</v>
      </c>
      <c r="W4167" s="681" t="s">
        <v>14316</v>
      </c>
      <c r="X4167" s="18"/>
      <c r="Y4167" s="4"/>
      <c r="Z4167" s="4"/>
    </row>
    <row r="4168" spans="1:26" ht="14.1" hidden="1">
      <c r="A4168" s="20">
        <f t="shared" si="237"/>
        <v>133</v>
      </c>
      <c r="B4168" s="1063">
        <v>43945</v>
      </c>
      <c r="C4168" s="934" t="s">
        <v>14317</v>
      </c>
      <c r="D4168" s="11" t="s">
        <v>6</v>
      </c>
      <c r="E4168" s="204" t="s">
        <v>683</v>
      </c>
      <c r="F4168" s="934" t="s">
        <v>73</v>
      </c>
      <c r="G4168" s="204" t="s">
        <v>14318</v>
      </c>
      <c r="H4168" s="204" t="s">
        <v>14319</v>
      </c>
      <c r="I4168" s="204" t="s">
        <v>366</v>
      </c>
      <c r="J4168" s="204" t="s">
        <v>14320</v>
      </c>
      <c r="K4168" s="204" t="s">
        <v>14320</v>
      </c>
      <c r="L4168" s="204" t="s">
        <v>1</v>
      </c>
      <c r="M4168" s="204">
        <v>1</v>
      </c>
      <c r="N4168" s="204">
        <v>1</v>
      </c>
      <c r="O4168" s="204">
        <v>1</v>
      </c>
      <c r="P4168" s="204">
        <v>0</v>
      </c>
      <c r="Q4168" s="572">
        <v>1</v>
      </c>
      <c r="R4168" s="1209">
        <v>349</v>
      </c>
      <c r="S4168" s="1209">
        <v>349</v>
      </c>
      <c r="T4168" s="204" t="s">
        <v>4220</v>
      </c>
      <c r="U4168" s="1901" t="s">
        <v>1</v>
      </c>
      <c r="V4168" s="572" t="s">
        <v>12768</v>
      </c>
      <c r="W4168" s="681" t="s">
        <v>14321</v>
      </c>
      <c r="X4168" s="18"/>
      <c r="Y4168" s="4"/>
      <c r="Z4168" s="4"/>
    </row>
    <row r="4169" spans="1:26" ht="14.1" hidden="1">
      <c r="A4169" s="20">
        <f t="shared" si="237"/>
        <v>134</v>
      </c>
      <c r="B4169" s="1063">
        <v>43946</v>
      </c>
      <c r="C4169" s="934" t="s">
        <v>14317</v>
      </c>
      <c r="D4169" s="11" t="s">
        <v>6</v>
      </c>
      <c r="E4169" s="204" t="s">
        <v>683</v>
      </c>
      <c r="F4169" s="934" t="s">
        <v>73</v>
      </c>
      <c r="G4169" s="204" t="s">
        <v>14322</v>
      </c>
      <c r="H4169" s="204" t="s">
        <v>14319</v>
      </c>
      <c r="I4169" s="204" t="s">
        <v>366</v>
      </c>
      <c r="J4169" s="204" t="s">
        <v>14323</v>
      </c>
      <c r="K4169" s="204" t="s">
        <v>14323</v>
      </c>
      <c r="L4169" s="204" t="s">
        <v>1</v>
      </c>
      <c r="M4169" s="204">
        <v>1</v>
      </c>
      <c r="N4169" s="204">
        <v>1</v>
      </c>
      <c r="O4169" s="204">
        <v>1</v>
      </c>
      <c r="P4169" s="204">
        <v>0</v>
      </c>
      <c r="Q4169" s="572">
        <v>1</v>
      </c>
      <c r="R4169" s="1209">
        <v>319</v>
      </c>
      <c r="S4169" s="1209">
        <v>319</v>
      </c>
      <c r="T4169" s="204" t="s">
        <v>4220</v>
      </c>
      <c r="U4169" s="1901" t="s">
        <v>1</v>
      </c>
      <c r="V4169" s="572" t="s">
        <v>12768</v>
      </c>
      <c r="W4169" s="681" t="s">
        <v>14324</v>
      </c>
      <c r="X4169" s="18"/>
      <c r="Y4169" s="4"/>
      <c r="Z4169" s="4"/>
    </row>
    <row r="4170" spans="1:26" ht="14.1" hidden="1">
      <c r="A4170" s="20">
        <f t="shared" si="237"/>
        <v>135</v>
      </c>
      <c r="B4170" s="1063">
        <v>43947</v>
      </c>
      <c r="C4170" s="934" t="s">
        <v>14325</v>
      </c>
      <c r="D4170" s="11" t="s">
        <v>6</v>
      </c>
      <c r="E4170" s="204" t="s">
        <v>683</v>
      </c>
      <c r="F4170" s="934" t="s">
        <v>73</v>
      </c>
      <c r="G4170" s="204" t="s">
        <v>14326</v>
      </c>
      <c r="H4170" s="204" t="s">
        <v>14327</v>
      </c>
      <c r="I4170" s="204" t="s">
        <v>366</v>
      </c>
      <c r="J4170" s="204">
        <v>48</v>
      </c>
      <c r="K4170" s="204">
        <v>48</v>
      </c>
      <c r="L4170" s="204" t="s">
        <v>1</v>
      </c>
      <c r="M4170" s="204">
        <v>1</v>
      </c>
      <c r="N4170" s="204">
        <v>1</v>
      </c>
      <c r="O4170" s="204">
        <v>1</v>
      </c>
      <c r="P4170" s="204">
        <v>0</v>
      </c>
      <c r="Q4170" s="572">
        <v>1</v>
      </c>
      <c r="R4170" s="1209">
        <v>1231</v>
      </c>
      <c r="S4170" s="1209">
        <v>1231</v>
      </c>
      <c r="T4170" s="204" t="s">
        <v>4220</v>
      </c>
      <c r="U4170" s="1901" t="s">
        <v>1</v>
      </c>
      <c r="V4170" s="572" t="s">
        <v>12768</v>
      </c>
      <c r="W4170" s="681" t="s">
        <v>14328</v>
      </c>
      <c r="X4170" s="18"/>
      <c r="Y4170" s="4"/>
      <c r="Z4170" s="4"/>
    </row>
    <row r="4171" spans="1:26" ht="14.1" hidden="1">
      <c r="A4171" s="20">
        <f t="shared" si="237"/>
        <v>136</v>
      </c>
      <c r="B4171" s="1063">
        <v>43948</v>
      </c>
      <c r="C4171" s="934" t="s">
        <v>14325</v>
      </c>
      <c r="D4171" s="11" t="s">
        <v>6</v>
      </c>
      <c r="E4171" s="204" t="s">
        <v>683</v>
      </c>
      <c r="F4171" s="934" t="s">
        <v>73</v>
      </c>
      <c r="G4171" s="204" t="s">
        <v>14329</v>
      </c>
      <c r="H4171" s="204" t="s">
        <v>14327</v>
      </c>
      <c r="I4171" s="204" t="s">
        <v>366</v>
      </c>
      <c r="J4171" s="204">
        <v>38</v>
      </c>
      <c r="K4171" s="204">
        <v>38</v>
      </c>
      <c r="L4171" s="204" t="s">
        <v>1</v>
      </c>
      <c r="M4171" s="204">
        <v>1</v>
      </c>
      <c r="N4171" s="204">
        <v>1</v>
      </c>
      <c r="O4171" s="204">
        <v>1</v>
      </c>
      <c r="P4171" s="204">
        <v>0</v>
      </c>
      <c r="Q4171" s="572">
        <v>1</v>
      </c>
      <c r="R4171" s="1209">
        <v>1169</v>
      </c>
      <c r="S4171" s="1209">
        <v>1169</v>
      </c>
      <c r="T4171" s="204" t="s">
        <v>4220</v>
      </c>
      <c r="U4171" s="1901" t="s">
        <v>1</v>
      </c>
      <c r="V4171" s="572" t="s">
        <v>12768</v>
      </c>
      <c r="W4171" s="681" t="s">
        <v>14330</v>
      </c>
      <c r="X4171" s="18"/>
      <c r="Y4171" s="4"/>
      <c r="Z4171" s="4"/>
    </row>
    <row r="4172" spans="1:26" ht="24.75" hidden="1" customHeight="1">
      <c r="A4172" s="20">
        <f t="shared" si="237"/>
        <v>137</v>
      </c>
      <c r="B4172" s="1063">
        <v>43949</v>
      </c>
      <c r="C4172" s="934" t="s">
        <v>14331</v>
      </c>
      <c r="D4172" s="547" t="s">
        <v>14309</v>
      </c>
      <c r="E4172" s="37" t="s">
        <v>7956</v>
      </c>
      <c r="F4172" s="986" t="s">
        <v>13364</v>
      </c>
      <c r="G4172" s="298" t="s">
        <v>14310</v>
      </c>
      <c r="H4172" s="298" t="s">
        <v>4125</v>
      </c>
      <c r="I4172" s="298" t="s">
        <v>1</v>
      </c>
      <c r="J4172" s="298" t="s">
        <v>1</v>
      </c>
      <c r="K4172" s="298" t="s">
        <v>1</v>
      </c>
      <c r="L4172" s="298" t="s">
        <v>1</v>
      </c>
      <c r="M4172" s="298" t="s">
        <v>1</v>
      </c>
      <c r="N4172" s="298" t="s">
        <v>1</v>
      </c>
      <c r="O4172" s="298" t="s">
        <v>1</v>
      </c>
      <c r="P4172" s="298" t="s">
        <v>1</v>
      </c>
      <c r="Q4172" s="298" t="s">
        <v>1</v>
      </c>
      <c r="R4172" s="1285">
        <v>20000</v>
      </c>
      <c r="S4172" s="1285">
        <v>20000</v>
      </c>
      <c r="T4172" s="298" t="s">
        <v>311</v>
      </c>
      <c r="U4172" s="1537" t="s">
        <v>1</v>
      </c>
      <c r="V4172" s="204" t="s">
        <v>1</v>
      </c>
      <c r="W4172" s="548"/>
      <c r="X4172" s="330"/>
      <c r="Y4172" s="4"/>
      <c r="Z4172" s="4"/>
    </row>
    <row r="4173" spans="1:26" ht="14.1" hidden="1">
      <c r="A4173" s="20">
        <f t="shared" si="237"/>
        <v>138</v>
      </c>
      <c r="B4173" s="1063">
        <v>43950</v>
      </c>
      <c r="C4173" s="934" t="s">
        <v>14332</v>
      </c>
      <c r="D4173" s="11"/>
      <c r="E4173" s="204" t="s">
        <v>62</v>
      </c>
      <c r="F4173" s="934" t="s">
        <v>11323</v>
      </c>
      <c r="G4173" s="204" t="s">
        <v>14332</v>
      </c>
      <c r="H4173" s="204" t="s">
        <v>13716</v>
      </c>
      <c r="I4173" s="204" t="s">
        <v>13716</v>
      </c>
      <c r="J4173" s="204"/>
      <c r="K4173" s="204"/>
      <c r="L4173" s="204"/>
      <c r="M4173" s="204">
        <v>1</v>
      </c>
      <c r="N4173" s="204" t="s">
        <v>1</v>
      </c>
      <c r="O4173" s="204">
        <v>1</v>
      </c>
      <c r="P4173" s="204" t="s">
        <v>1</v>
      </c>
      <c r="Q4173" s="572" t="s">
        <v>1</v>
      </c>
      <c r="R4173" s="1209">
        <v>45500</v>
      </c>
      <c r="S4173" s="1209">
        <f>R4173</f>
        <v>45500</v>
      </c>
      <c r="T4173" s="204" t="s">
        <v>3961</v>
      </c>
      <c r="U4173" s="1901" t="s">
        <v>4615</v>
      </c>
      <c r="V4173" s="572" t="s">
        <v>352</v>
      </c>
      <c r="W4173" s="681"/>
      <c r="X4173" s="18"/>
      <c r="Y4173" s="4"/>
      <c r="Z4173" s="4"/>
    </row>
    <row r="4174" spans="1:26" ht="14.1" hidden="1">
      <c r="A4174" s="20">
        <f t="shared" si="237"/>
        <v>139</v>
      </c>
      <c r="B4174" s="1063">
        <v>43951</v>
      </c>
      <c r="C4174" s="934" t="s">
        <v>14333</v>
      </c>
      <c r="D4174" s="11" t="s">
        <v>6</v>
      </c>
      <c r="E4174" s="37" t="s">
        <v>7956</v>
      </c>
      <c r="F4174" s="934" t="s">
        <v>13364</v>
      </c>
      <c r="G4174" s="204" t="s">
        <v>14334</v>
      </c>
      <c r="H4174" s="204" t="s">
        <v>1318</v>
      </c>
      <c r="I4174" s="204" t="s">
        <v>574</v>
      </c>
      <c r="J4174" s="204" t="s">
        <v>14335</v>
      </c>
      <c r="K4174" s="272" t="s">
        <v>14336</v>
      </c>
      <c r="L4174" s="204" t="s">
        <v>1</v>
      </c>
      <c r="M4174" s="204">
        <v>10</v>
      </c>
      <c r="N4174" s="204">
        <v>1</v>
      </c>
      <c r="O4174" s="204">
        <v>10</v>
      </c>
      <c r="P4174" s="204">
        <v>0</v>
      </c>
      <c r="Q4174" s="572">
        <v>0</v>
      </c>
      <c r="R4174" s="1209">
        <v>959</v>
      </c>
      <c r="S4174" s="1209">
        <f t="shared" ref="S4174:S4177" si="242">R4174*O4174</f>
        <v>9590</v>
      </c>
      <c r="T4174" s="204" t="s">
        <v>311</v>
      </c>
      <c r="U4174" s="1901" t="s">
        <v>311</v>
      </c>
      <c r="V4174" s="572" t="s">
        <v>2875</v>
      </c>
      <c r="W4174" s="804" t="s">
        <v>14337</v>
      </c>
      <c r="X4174" s="18"/>
      <c r="Y4174" s="4"/>
      <c r="Z4174" s="4"/>
    </row>
    <row r="4175" spans="1:26" ht="14.1" hidden="1">
      <c r="A4175" s="20">
        <f t="shared" si="237"/>
        <v>140</v>
      </c>
      <c r="B4175" s="1063">
        <v>43952</v>
      </c>
      <c r="C4175" s="934" t="s">
        <v>14338</v>
      </c>
      <c r="D4175" s="11" t="s">
        <v>6</v>
      </c>
      <c r="E4175" s="239" t="s">
        <v>14339</v>
      </c>
      <c r="F4175" s="934" t="s">
        <v>13277</v>
      </c>
      <c r="G4175" s="204" t="s">
        <v>14338</v>
      </c>
      <c r="H4175" s="204" t="s">
        <v>14340</v>
      </c>
      <c r="I4175" s="204" t="s">
        <v>14340</v>
      </c>
      <c r="J4175" s="204" t="s">
        <v>1</v>
      </c>
      <c r="K4175" s="204" t="s">
        <v>1</v>
      </c>
      <c r="L4175" s="204" t="s">
        <v>1</v>
      </c>
      <c r="M4175" s="204">
        <v>1</v>
      </c>
      <c r="N4175" s="204">
        <v>1</v>
      </c>
      <c r="O4175" s="204">
        <v>2</v>
      </c>
      <c r="P4175" s="204">
        <v>0</v>
      </c>
      <c r="Q4175" s="572">
        <v>1</v>
      </c>
      <c r="R4175" s="1209">
        <v>100</v>
      </c>
      <c r="S4175" s="1209">
        <f t="shared" si="242"/>
        <v>200</v>
      </c>
      <c r="T4175" s="204" t="s">
        <v>12425</v>
      </c>
      <c r="U4175" s="1901" t="s">
        <v>13282</v>
      </c>
      <c r="V4175" s="572" t="s">
        <v>5990</v>
      </c>
      <c r="W4175" s="681"/>
      <c r="X4175" s="18"/>
      <c r="Y4175" s="4"/>
      <c r="Z4175" s="4"/>
    </row>
    <row r="4176" spans="1:26" ht="14.1" hidden="1">
      <c r="A4176" s="20">
        <f t="shared" si="237"/>
        <v>141</v>
      </c>
      <c r="B4176" s="1063">
        <v>43953</v>
      </c>
      <c r="C4176" s="934" t="s">
        <v>14341</v>
      </c>
      <c r="D4176" s="11" t="s">
        <v>6</v>
      </c>
      <c r="E4176" s="239" t="s">
        <v>14339</v>
      </c>
      <c r="F4176" s="934" t="s">
        <v>13277</v>
      </c>
      <c r="G4176" s="204" t="s">
        <v>14341</v>
      </c>
      <c r="H4176" s="204" t="s">
        <v>14340</v>
      </c>
      <c r="I4176" s="204" t="s">
        <v>14340</v>
      </c>
      <c r="J4176" s="204" t="s">
        <v>1</v>
      </c>
      <c r="K4176" s="204" t="s">
        <v>1</v>
      </c>
      <c r="L4176" s="204" t="s">
        <v>1</v>
      </c>
      <c r="M4176" s="204">
        <v>1</v>
      </c>
      <c r="N4176" s="204">
        <v>1</v>
      </c>
      <c r="O4176" s="204">
        <v>1</v>
      </c>
      <c r="P4176" s="204">
        <v>0</v>
      </c>
      <c r="Q4176" s="572">
        <v>0</v>
      </c>
      <c r="R4176" s="1209">
        <v>100</v>
      </c>
      <c r="S4176" s="1209">
        <f t="shared" si="242"/>
        <v>100</v>
      </c>
      <c r="T4176" s="204" t="s">
        <v>12425</v>
      </c>
      <c r="U4176" s="1901" t="s">
        <v>13282</v>
      </c>
      <c r="V4176" s="572" t="s">
        <v>5990</v>
      </c>
      <c r="W4176" s="681"/>
      <c r="X4176" s="18"/>
      <c r="Y4176" s="4"/>
      <c r="Z4176" s="4"/>
    </row>
    <row r="4177" spans="1:26" ht="14.1" hidden="1">
      <c r="A4177" s="20">
        <f t="shared" si="237"/>
        <v>142</v>
      </c>
      <c r="B4177" s="1063">
        <v>43954</v>
      </c>
      <c r="C4177" s="934" t="s">
        <v>14342</v>
      </c>
      <c r="D4177" s="11" t="s">
        <v>6</v>
      </c>
      <c r="E4177" s="239" t="s">
        <v>14339</v>
      </c>
      <c r="F4177" s="934" t="s">
        <v>13277</v>
      </c>
      <c r="G4177" s="204" t="s">
        <v>14342</v>
      </c>
      <c r="H4177" s="204" t="s">
        <v>14340</v>
      </c>
      <c r="I4177" s="204" t="s">
        <v>14340</v>
      </c>
      <c r="J4177" s="204" t="s">
        <v>1</v>
      </c>
      <c r="K4177" s="204" t="s">
        <v>1</v>
      </c>
      <c r="L4177" s="204" t="s">
        <v>1</v>
      </c>
      <c r="M4177" s="204">
        <v>1</v>
      </c>
      <c r="N4177" s="204">
        <v>1</v>
      </c>
      <c r="O4177" s="204">
        <v>1</v>
      </c>
      <c r="P4177" s="204">
        <v>0</v>
      </c>
      <c r="Q4177" s="572">
        <f>O4177-M4177</f>
        <v>0</v>
      </c>
      <c r="R4177" s="1209">
        <v>200</v>
      </c>
      <c r="S4177" s="1209">
        <f t="shared" si="242"/>
        <v>200</v>
      </c>
      <c r="T4177" s="204" t="s">
        <v>12425</v>
      </c>
      <c r="U4177" s="1901" t="s">
        <v>13282</v>
      </c>
      <c r="V4177" s="572" t="s">
        <v>5990</v>
      </c>
      <c r="W4177" s="681"/>
      <c r="X4177" s="18"/>
      <c r="Y4177" s="4"/>
      <c r="Z4177" s="4"/>
    </row>
    <row r="4178" spans="1:26" ht="18" hidden="1">
      <c r="A4178" s="20">
        <f t="shared" si="237"/>
        <v>143</v>
      </c>
      <c r="B4178" s="1063">
        <v>43955</v>
      </c>
      <c r="C4178" s="985" t="s">
        <v>10787</v>
      </c>
      <c r="D4178" s="11" t="s">
        <v>6</v>
      </c>
      <c r="E4178" s="204" t="s">
        <v>13136</v>
      </c>
      <c r="F4178" s="985" t="s">
        <v>13454</v>
      </c>
      <c r="G4178" s="683" t="s">
        <v>12177</v>
      </c>
      <c r="H4178" s="683" t="s">
        <v>1073</v>
      </c>
      <c r="I4178" s="678" t="s">
        <v>1144</v>
      </c>
      <c r="J4178" s="678" t="s">
        <v>2970</v>
      </c>
      <c r="K4178" s="678" t="s">
        <v>2971</v>
      </c>
      <c r="L4178" s="683"/>
      <c r="M4178" s="683">
        <v>4</v>
      </c>
      <c r="N4178" s="683">
        <v>10</v>
      </c>
      <c r="O4178" s="683">
        <v>10</v>
      </c>
      <c r="P4178" s="683">
        <v>0</v>
      </c>
      <c r="Q4178" s="683">
        <v>6</v>
      </c>
      <c r="R4178" s="1285">
        <v>329</v>
      </c>
      <c r="S4178" s="1286">
        <v>3285</v>
      </c>
      <c r="T4178" s="683" t="s">
        <v>9485</v>
      </c>
      <c r="U4178" s="740" t="s">
        <v>9486</v>
      </c>
      <c r="V4178" s="204" t="s">
        <v>931</v>
      </c>
      <c r="W4178" s="787" t="s">
        <v>12178</v>
      </c>
      <c r="X4178" s="734"/>
      <c r="Y4178" s="4"/>
      <c r="Z4178" s="4"/>
    </row>
    <row r="4179" spans="1:26" ht="18" hidden="1">
      <c r="A4179" s="20">
        <f t="shared" si="237"/>
        <v>144</v>
      </c>
      <c r="B4179" s="1063">
        <v>43956</v>
      </c>
      <c r="C4179" s="986" t="s">
        <v>13196</v>
      </c>
      <c r="D4179" s="11" t="s">
        <v>6</v>
      </c>
      <c r="E4179" s="204" t="s">
        <v>13136</v>
      </c>
      <c r="F4179" s="986" t="s">
        <v>13454</v>
      </c>
      <c r="G4179" s="298" t="s">
        <v>10783</v>
      </c>
      <c r="H4179" s="298" t="s">
        <v>460</v>
      </c>
      <c r="I4179" s="282" t="s">
        <v>1144</v>
      </c>
      <c r="J4179" s="499" t="s">
        <v>13197</v>
      </c>
      <c r="K4179" s="499" t="s">
        <v>10785</v>
      </c>
      <c r="L4179" s="298"/>
      <c r="M4179" s="298">
        <v>4</v>
      </c>
      <c r="N4179" s="298">
        <v>10</v>
      </c>
      <c r="O4179" s="298">
        <v>10</v>
      </c>
      <c r="P4179" s="298">
        <v>0</v>
      </c>
      <c r="Q4179" s="298">
        <v>6</v>
      </c>
      <c r="R4179" s="1286">
        <v>1938</v>
      </c>
      <c r="S4179" s="1286">
        <v>19375</v>
      </c>
      <c r="T4179" s="298" t="s">
        <v>9485</v>
      </c>
      <c r="U4179" s="1537" t="s">
        <v>9486</v>
      </c>
      <c r="V4179" s="204" t="s">
        <v>931</v>
      </c>
      <c r="W4179" s="768" t="s">
        <v>13198</v>
      </c>
      <c r="X4179" s="330"/>
      <c r="Y4179" s="4"/>
      <c r="Z4179" s="4"/>
    </row>
    <row r="4180" spans="1:26" ht="18" hidden="1">
      <c r="A4180" s="20">
        <f t="shared" si="237"/>
        <v>145</v>
      </c>
      <c r="B4180" s="1063">
        <v>43957</v>
      </c>
      <c r="C4180" s="986" t="s">
        <v>12171</v>
      </c>
      <c r="D4180" s="11" t="s">
        <v>6</v>
      </c>
      <c r="E4180" s="204" t="s">
        <v>13136</v>
      </c>
      <c r="F4180" s="986" t="s">
        <v>13454</v>
      </c>
      <c r="G4180" s="500" t="s">
        <v>13203</v>
      </c>
      <c r="H4180" s="501" t="s">
        <v>7921</v>
      </c>
      <c r="I4180" s="298" t="s">
        <v>39</v>
      </c>
      <c r="J4180" s="499" t="s">
        <v>13460</v>
      </c>
      <c r="K4180" s="499" t="s">
        <v>12174</v>
      </c>
      <c r="L4180" s="298"/>
      <c r="M4180" s="298">
        <v>6</v>
      </c>
      <c r="N4180" s="298">
        <v>2</v>
      </c>
      <c r="O4180" s="298">
        <v>12</v>
      </c>
      <c r="P4180" s="298">
        <v>0</v>
      </c>
      <c r="Q4180" s="298">
        <v>6</v>
      </c>
      <c r="R4180" s="1286">
        <v>410</v>
      </c>
      <c r="S4180" s="1286">
        <v>4920</v>
      </c>
      <c r="T4180" s="298" t="s">
        <v>9485</v>
      </c>
      <c r="U4180" s="1537" t="s">
        <v>9486</v>
      </c>
      <c r="V4180" s="204" t="s">
        <v>931</v>
      </c>
      <c r="W4180" s="773" t="s">
        <v>13461</v>
      </c>
      <c r="X4180" s="330"/>
      <c r="Y4180" s="4"/>
      <c r="Z4180" s="4"/>
    </row>
    <row r="4181" spans="1:26" ht="18" hidden="1">
      <c r="A4181" s="20">
        <f t="shared" si="237"/>
        <v>146</v>
      </c>
      <c r="B4181" s="1063">
        <v>43958</v>
      </c>
      <c r="C4181" s="986" t="s">
        <v>13205</v>
      </c>
      <c r="D4181" s="11" t="s">
        <v>6</v>
      </c>
      <c r="E4181" s="204" t="s">
        <v>13136</v>
      </c>
      <c r="F4181" s="986" t="s">
        <v>13454</v>
      </c>
      <c r="G4181" s="500" t="s">
        <v>13206</v>
      </c>
      <c r="H4181" s="501" t="s">
        <v>1078</v>
      </c>
      <c r="I4181" s="282" t="s">
        <v>1144</v>
      </c>
      <c r="J4181" s="499" t="s">
        <v>1267</v>
      </c>
      <c r="K4181" s="499" t="s">
        <v>1268</v>
      </c>
      <c r="L4181" s="298"/>
      <c r="M4181" s="298">
        <v>12</v>
      </c>
      <c r="N4181" s="298">
        <v>25</v>
      </c>
      <c r="O4181" s="298">
        <v>25</v>
      </c>
      <c r="P4181" s="298">
        <v>0</v>
      </c>
      <c r="Q4181" s="298">
        <v>13</v>
      </c>
      <c r="R4181" s="1286">
        <v>1074</v>
      </c>
      <c r="S4181" s="1286">
        <v>26843</v>
      </c>
      <c r="T4181" s="298" t="s">
        <v>9485</v>
      </c>
      <c r="U4181" s="1537" t="s">
        <v>9486</v>
      </c>
      <c r="V4181" s="204" t="s">
        <v>931</v>
      </c>
      <c r="W4181" s="768" t="s">
        <v>13207</v>
      </c>
      <c r="X4181" s="330"/>
      <c r="Y4181" s="4"/>
      <c r="Z4181" s="4"/>
    </row>
    <row r="4182" spans="1:26" ht="18" hidden="1">
      <c r="A4182" s="20">
        <f t="shared" si="237"/>
        <v>147</v>
      </c>
      <c r="B4182" s="1063">
        <v>43959</v>
      </c>
      <c r="C4182" s="986" t="s">
        <v>13208</v>
      </c>
      <c r="D4182" s="11" t="s">
        <v>6</v>
      </c>
      <c r="E4182" s="204" t="s">
        <v>13136</v>
      </c>
      <c r="F4182" s="986" t="s">
        <v>13454</v>
      </c>
      <c r="G4182" s="500" t="s">
        <v>10769</v>
      </c>
      <c r="H4182" s="501" t="s">
        <v>460</v>
      </c>
      <c r="I4182" s="282" t="s">
        <v>1144</v>
      </c>
      <c r="J4182" s="499" t="s">
        <v>13209</v>
      </c>
      <c r="K4182" s="499" t="s">
        <v>13210</v>
      </c>
      <c r="L4182" s="298"/>
      <c r="M4182" s="298">
        <v>4</v>
      </c>
      <c r="N4182" s="298">
        <v>10</v>
      </c>
      <c r="O4182" s="298">
        <v>10</v>
      </c>
      <c r="P4182" s="298">
        <v>0</v>
      </c>
      <c r="Q4182" s="298">
        <v>6</v>
      </c>
      <c r="R4182" s="1286">
        <v>1261</v>
      </c>
      <c r="S4182" s="1286">
        <v>12613</v>
      </c>
      <c r="T4182" s="298" t="s">
        <v>9485</v>
      </c>
      <c r="U4182" s="1537" t="s">
        <v>9486</v>
      </c>
      <c r="V4182" s="204" t="s">
        <v>931</v>
      </c>
      <c r="W4182" s="768" t="s">
        <v>13211</v>
      </c>
      <c r="X4182" s="330"/>
      <c r="Y4182" s="4"/>
      <c r="Z4182" s="4"/>
    </row>
    <row r="4183" spans="1:26" ht="18" hidden="1">
      <c r="A4183" s="20">
        <f t="shared" si="237"/>
        <v>148</v>
      </c>
      <c r="B4183" s="1063">
        <v>43960</v>
      </c>
      <c r="C4183" s="986" t="s">
        <v>12877</v>
      </c>
      <c r="D4183" s="11" t="s">
        <v>6</v>
      </c>
      <c r="E4183" s="204" t="s">
        <v>13136</v>
      </c>
      <c r="F4183" s="986" t="s">
        <v>13454</v>
      </c>
      <c r="G4183" s="502" t="s">
        <v>13212</v>
      </c>
      <c r="H4183" s="282" t="s">
        <v>460</v>
      </c>
      <c r="I4183" s="282" t="s">
        <v>39</v>
      </c>
      <c r="J4183" s="502" t="s">
        <v>14343</v>
      </c>
      <c r="K4183" s="502" t="s">
        <v>14344</v>
      </c>
      <c r="L4183" s="298"/>
      <c r="M4183" s="298">
        <v>4</v>
      </c>
      <c r="N4183" s="298">
        <v>1</v>
      </c>
      <c r="O4183" s="298">
        <v>10</v>
      </c>
      <c r="P4183" s="298">
        <v>0</v>
      </c>
      <c r="Q4183" s="298">
        <v>6</v>
      </c>
      <c r="R4183" s="1286">
        <v>197</v>
      </c>
      <c r="S4183" s="1286">
        <v>1970</v>
      </c>
      <c r="T4183" s="298" t="s">
        <v>9485</v>
      </c>
      <c r="U4183" s="1537" t="s">
        <v>9486</v>
      </c>
      <c r="V4183" s="204" t="s">
        <v>931</v>
      </c>
      <c r="W4183" s="768" t="s">
        <v>14345</v>
      </c>
      <c r="X4183" s="330"/>
      <c r="Y4183" s="4"/>
      <c r="Z4183" s="4"/>
    </row>
    <row r="4184" spans="1:26" ht="18" hidden="1">
      <c r="A4184" s="200">
        <f t="shared" si="237"/>
        <v>149</v>
      </c>
      <c r="B4184" s="1063">
        <v>43961</v>
      </c>
      <c r="C4184" s="1010" t="s">
        <v>12877</v>
      </c>
      <c r="D4184" s="515" t="s">
        <v>14346</v>
      </c>
      <c r="E4184" s="717" t="s">
        <v>13136</v>
      </c>
      <c r="F4184" s="1010" t="s">
        <v>13454</v>
      </c>
      <c r="G4184" s="549" t="s">
        <v>13216</v>
      </c>
      <c r="H4184" s="550" t="s">
        <v>460</v>
      </c>
      <c r="I4184" s="679" t="s">
        <v>1144</v>
      </c>
      <c r="J4184" s="551" t="s">
        <v>13217</v>
      </c>
      <c r="K4184" s="551" t="s">
        <v>13218</v>
      </c>
      <c r="L4184" s="738"/>
      <c r="M4184" s="738">
        <v>4</v>
      </c>
      <c r="N4184" s="738">
        <v>10</v>
      </c>
      <c r="O4184" s="738">
        <v>10</v>
      </c>
      <c r="P4184" s="738">
        <v>0</v>
      </c>
      <c r="Q4184" s="738">
        <v>6</v>
      </c>
      <c r="R4184" s="1277">
        <v>175</v>
      </c>
      <c r="S4184" s="1277">
        <v>1750</v>
      </c>
      <c r="T4184" s="738" t="s">
        <v>9485</v>
      </c>
      <c r="U4184" s="1930" t="s">
        <v>9486</v>
      </c>
      <c r="V4184" s="717" t="s">
        <v>931</v>
      </c>
      <c r="W4184" s="552" t="s">
        <v>13219</v>
      </c>
      <c r="X4184" s="788"/>
      <c r="Y4184" s="57"/>
      <c r="Z4184" s="57"/>
    </row>
    <row r="4185" spans="1:26" ht="18" hidden="1">
      <c r="A4185" s="20">
        <f t="shared" si="237"/>
        <v>150</v>
      </c>
      <c r="B4185" s="1063">
        <v>43962</v>
      </c>
      <c r="C4185" s="986" t="s">
        <v>12877</v>
      </c>
      <c r="D4185" s="11" t="s">
        <v>6</v>
      </c>
      <c r="E4185" s="204" t="s">
        <v>13136</v>
      </c>
      <c r="F4185" s="986" t="s">
        <v>13454</v>
      </c>
      <c r="G4185" s="500" t="s">
        <v>13220</v>
      </c>
      <c r="H4185" s="484" t="s">
        <v>460</v>
      </c>
      <c r="I4185" s="282" t="s">
        <v>39</v>
      </c>
      <c r="J4185" s="499" t="s">
        <v>14347</v>
      </c>
      <c r="K4185" s="499" t="s">
        <v>14348</v>
      </c>
      <c r="L4185" s="298"/>
      <c r="M4185" s="298">
        <v>4</v>
      </c>
      <c r="N4185" s="298">
        <v>10</v>
      </c>
      <c r="O4185" s="298">
        <v>10</v>
      </c>
      <c r="P4185" s="298">
        <v>0</v>
      </c>
      <c r="Q4185" s="298">
        <v>6</v>
      </c>
      <c r="R4185" s="1286">
        <v>287</v>
      </c>
      <c r="S4185" s="1286">
        <v>2870</v>
      </c>
      <c r="T4185" s="298" t="s">
        <v>9485</v>
      </c>
      <c r="U4185" s="1537" t="s">
        <v>9486</v>
      </c>
      <c r="V4185" s="204" t="s">
        <v>931</v>
      </c>
      <c r="W4185" s="768" t="s">
        <v>14349</v>
      </c>
      <c r="X4185" s="330"/>
      <c r="Y4185" s="4"/>
      <c r="Z4185" s="4"/>
    </row>
    <row r="4186" spans="1:26" ht="18" hidden="1">
      <c r="A4186" s="20">
        <f t="shared" si="237"/>
        <v>151</v>
      </c>
      <c r="B4186" s="1063">
        <v>43963</v>
      </c>
      <c r="C4186" s="986" t="s">
        <v>339</v>
      </c>
      <c r="D4186" s="11" t="s">
        <v>6</v>
      </c>
      <c r="E4186" s="204" t="s">
        <v>13136</v>
      </c>
      <c r="F4186" s="986" t="s">
        <v>13454</v>
      </c>
      <c r="G4186" s="500" t="s">
        <v>13222</v>
      </c>
      <c r="H4186" s="298" t="s">
        <v>1865</v>
      </c>
      <c r="I4186" s="282" t="s">
        <v>1144</v>
      </c>
      <c r="J4186" s="499" t="s">
        <v>585</v>
      </c>
      <c r="K4186" s="499" t="s">
        <v>586</v>
      </c>
      <c r="L4186" s="298"/>
      <c r="M4186" s="298">
        <v>10</v>
      </c>
      <c r="N4186" s="298">
        <v>10</v>
      </c>
      <c r="O4186" s="298">
        <v>20</v>
      </c>
      <c r="P4186" s="298">
        <v>0</v>
      </c>
      <c r="Q4186" s="298">
        <v>10</v>
      </c>
      <c r="R4186" s="1286">
        <v>47</v>
      </c>
      <c r="S4186" s="1286">
        <v>938</v>
      </c>
      <c r="T4186" s="298" t="s">
        <v>9485</v>
      </c>
      <c r="U4186" s="1537" t="s">
        <v>9486</v>
      </c>
      <c r="V4186" s="204" t="s">
        <v>931</v>
      </c>
      <c r="W4186" s="768" t="s">
        <v>5321</v>
      </c>
      <c r="X4186" s="330"/>
      <c r="Y4186" s="4"/>
      <c r="Z4186" s="4"/>
    </row>
    <row r="4187" spans="1:26" ht="18" hidden="1">
      <c r="A4187" s="20">
        <f t="shared" si="237"/>
        <v>152</v>
      </c>
      <c r="B4187" s="1063">
        <v>43964</v>
      </c>
      <c r="C4187" s="986" t="s">
        <v>1828</v>
      </c>
      <c r="D4187" s="11" t="s">
        <v>6</v>
      </c>
      <c r="E4187" s="204" t="s">
        <v>13136</v>
      </c>
      <c r="F4187" s="986" t="s">
        <v>13454</v>
      </c>
      <c r="G4187" s="500" t="s">
        <v>13223</v>
      </c>
      <c r="H4187" s="298" t="s">
        <v>1073</v>
      </c>
      <c r="I4187" s="282" t="s">
        <v>1144</v>
      </c>
      <c r="J4187" s="499" t="s">
        <v>13224</v>
      </c>
      <c r="K4187" s="499" t="s">
        <v>13225</v>
      </c>
      <c r="L4187" s="298"/>
      <c r="M4187" s="298">
        <v>10</v>
      </c>
      <c r="N4187" s="298">
        <v>10</v>
      </c>
      <c r="O4187" s="298">
        <v>20</v>
      </c>
      <c r="P4187" s="298">
        <v>0</v>
      </c>
      <c r="Q4187" s="298">
        <v>10</v>
      </c>
      <c r="R4187" s="1339">
        <v>517</v>
      </c>
      <c r="S4187" s="1286">
        <v>10332</v>
      </c>
      <c r="T4187" s="298" t="s">
        <v>9485</v>
      </c>
      <c r="U4187" s="1537" t="s">
        <v>9486</v>
      </c>
      <c r="V4187" s="204" t="s">
        <v>931</v>
      </c>
      <c r="W4187" s="768" t="s">
        <v>12130</v>
      </c>
      <c r="X4187" s="330"/>
      <c r="Y4187" s="4"/>
      <c r="Z4187" s="4"/>
    </row>
    <row r="4188" spans="1:26" ht="18" hidden="1">
      <c r="A4188" s="20">
        <f t="shared" si="237"/>
        <v>153</v>
      </c>
      <c r="B4188" s="1063">
        <v>43965</v>
      </c>
      <c r="C4188" s="986" t="s">
        <v>5288</v>
      </c>
      <c r="D4188" s="11" t="s">
        <v>6</v>
      </c>
      <c r="E4188" s="204" t="s">
        <v>13136</v>
      </c>
      <c r="F4188" s="986" t="s">
        <v>13454</v>
      </c>
      <c r="G4188" s="500" t="s">
        <v>9723</v>
      </c>
      <c r="H4188" s="298" t="s">
        <v>1853</v>
      </c>
      <c r="I4188" s="282" t="s">
        <v>1144</v>
      </c>
      <c r="J4188" s="499" t="s">
        <v>599</v>
      </c>
      <c r="K4188" s="499" t="s">
        <v>1991</v>
      </c>
      <c r="L4188" s="298"/>
      <c r="M4188" s="298">
        <v>10</v>
      </c>
      <c r="N4188" s="298">
        <v>10</v>
      </c>
      <c r="O4188" s="298">
        <v>20</v>
      </c>
      <c r="P4188" s="298">
        <v>0</v>
      </c>
      <c r="Q4188" s="298">
        <v>10</v>
      </c>
      <c r="R4188" s="1286">
        <v>21</v>
      </c>
      <c r="S4188" s="1286">
        <v>428</v>
      </c>
      <c r="T4188" s="298" t="s">
        <v>9485</v>
      </c>
      <c r="U4188" s="1537" t="s">
        <v>9486</v>
      </c>
      <c r="V4188" s="204" t="s">
        <v>931</v>
      </c>
      <c r="W4188" s="768" t="s">
        <v>602</v>
      </c>
      <c r="X4188" s="330"/>
      <c r="Y4188" s="4"/>
      <c r="Z4188" s="4"/>
    </row>
    <row r="4189" spans="1:26" ht="18" hidden="1">
      <c r="A4189" s="20">
        <f t="shared" si="237"/>
        <v>154</v>
      </c>
      <c r="B4189" s="1063">
        <v>43966</v>
      </c>
      <c r="C4189" s="986" t="s">
        <v>1525</v>
      </c>
      <c r="D4189" s="11" t="s">
        <v>6</v>
      </c>
      <c r="E4189" s="204" t="s">
        <v>13136</v>
      </c>
      <c r="F4189" s="986" t="s">
        <v>13454</v>
      </c>
      <c r="G4189" s="298" t="s">
        <v>13469</v>
      </c>
      <c r="H4189" s="553" t="s">
        <v>1111</v>
      </c>
      <c r="I4189" s="282" t="s">
        <v>1144</v>
      </c>
      <c r="J4189" s="298" t="s">
        <v>13470</v>
      </c>
      <c r="K4189" s="298" t="s">
        <v>13471</v>
      </c>
      <c r="L4189" s="298"/>
      <c r="M4189" s="298">
        <v>4</v>
      </c>
      <c r="N4189" s="298">
        <v>1</v>
      </c>
      <c r="O4189" s="298">
        <v>20</v>
      </c>
      <c r="P4189" s="298">
        <v>0</v>
      </c>
      <c r="Q4189" s="298">
        <v>6</v>
      </c>
      <c r="R4189" s="1286">
        <v>316</v>
      </c>
      <c r="S4189" s="1286">
        <v>3160</v>
      </c>
      <c r="T4189" s="298" t="s">
        <v>9485</v>
      </c>
      <c r="U4189" s="1537" t="s">
        <v>9486</v>
      </c>
      <c r="V4189" s="204" t="s">
        <v>931</v>
      </c>
      <c r="W4189" s="773" t="s">
        <v>13472</v>
      </c>
      <c r="X4189" s="330"/>
      <c r="Y4189" s="4"/>
      <c r="Z4189" s="4"/>
    </row>
    <row r="4190" spans="1:26" ht="18" hidden="1">
      <c r="A4190" s="20">
        <f t="shared" si="237"/>
        <v>155</v>
      </c>
      <c r="B4190" s="1063">
        <v>43967</v>
      </c>
      <c r="C4190" s="986" t="s">
        <v>1525</v>
      </c>
      <c r="D4190" s="11" t="s">
        <v>6</v>
      </c>
      <c r="E4190" s="204" t="s">
        <v>13136</v>
      </c>
      <c r="F4190" s="986" t="s">
        <v>13454</v>
      </c>
      <c r="G4190" s="298" t="s">
        <v>13473</v>
      </c>
      <c r="H4190" s="298" t="s">
        <v>3898</v>
      </c>
      <c r="I4190" s="298" t="s">
        <v>1144</v>
      </c>
      <c r="J4190" s="298" t="s">
        <v>13474</v>
      </c>
      <c r="K4190" s="298" t="s">
        <v>13475</v>
      </c>
      <c r="L4190" s="298"/>
      <c r="M4190" s="298">
        <v>10</v>
      </c>
      <c r="N4190" s="298">
        <v>10</v>
      </c>
      <c r="O4190" s="298">
        <v>20</v>
      </c>
      <c r="P4190" s="298">
        <v>0</v>
      </c>
      <c r="Q4190" s="298">
        <v>10</v>
      </c>
      <c r="R4190" s="1286">
        <v>85</v>
      </c>
      <c r="S4190" s="1286">
        <v>1704</v>
      </c>
      <c r="T4190" s="298" t="s">
        <v>9485</v>
      </c>
      <c r="U4190" s="1537" t="s">
        <v>9486</v>
      </c>
      <c r="V4190" s="204" t="s">
        <v>931</v>
      </c>
      <c r="W4190" s="773" t="s">
        <v>13476</v>
      </c>
      <c r="X4190" s="330"/>
      <c r="Y4190" s="4"/>
      <c r="Z4190" s="4"/>
    </row>
    <row r="4191" spans="1:26" ht="18" hidden="1">
      <c r="A4191" s="200">
        <f t="shared" si="237"/>
        <v>156</v>
      </c>
      <c r="B4191" s="1063">
        <v>43968</v>
      </c>
      <c r="C4191" s="1011" t="s">
        <v>12171</v>
      </c>
      <c r="D4191" s="515" t="s">
        <v>14346</v>
      </c>
      <c r="E4191" s="717" t="s">
        <v>13136</v>
      </c>
      <c r="F4191" s="1010" t="s">
        <v>13454</v>
      </c>
      <c r="G4191" s="554" t="s">
        <v>12171</v>
      </c>
      <c r="H4191" s="738" t="s">
        <v>1073</v>
      </c>
      <c r="I4191" s="738" t="s">
        <v>1144</v>
      </c>
      <c r="J4191" s="738" t="s">
        <v>14350</v>
      </c>
      <c r="K4191" s="738" t="s">
        <v>14351</v>
      </c>
      <c r="L4191" s="738"/>
      <c r="M4191" s="738">
        <v>4</v>
      </c>
      <c r="N4191" s="738">
        <v>10</v>
      </c>
      <c r="O4191" s="298">
        <v>20</v>
      </c>
      <c r="P4191" s="298">
        <v>0</v>
      </c>
      <c r="Q4191" s="738">
        <v>6</v>
      </c>
      <c r="R4191" s="1277">
        <v>645</v>
      </c>
      <c r="S4191" s="1277">
        <v>6451</v>
      </c>
      <c r="T4191" s="738" t="s">
        <v>9485</v>
      </c>
      <c r="U4191" s="1930" t="s">
        <v>9486</v>
      </c>
      <c r="V4191" s="717" t="s">
        <v>931</v>
      </c>
      <c r="W4191" s="555" t="s">
        <v>14352</v>
      </c>
      <c r="X4191" s="788"/>
      <c r="Y4191" s="57"/>
      <c r="Z4191" s="57"/>
    </row>
    <row r="4192" spans="1:26" ht="18" hidden="1">
      <c r="A4192" s="20">
        <f t="shared" si="237"/>
        <v>157</v>
      </c>
      <c r="B4192" s="1063">
        <v>43969</v>
      </c>
      <c r="C4192" s="1012" t="s">
        <v>10787</v>
      </c>
      <c r="D4192" s="11" t="s">
        <v>6</v>
      </c>
      <c r="E4192" s="204" t="s">
        <v>13136</v>
      </c>
      <c r="F4192" s="986" t="s">
        <v>13454</v>
      </c>
      <c r="G4192" s="556" t="s">
        <v>14353</v>
      </c>
      <c r="H4192" s="298" t="s">
        <v>9584</v>
      </c>
      <c r="I4192" s="298" t="s">
        <v>1144</v>
      </c>
      <c r="J4192" s="298" t="s">
        <v>9585</v>
      </c>
      <c r="K4192" s="298" t="s">
        <v>9586</v>
      </c>
      <c r="L4192" s="298"/>
      <c r="M4192" s="298">
        <v>4</v>
      </c>
      <c r="N4192" s="298">
        <v>1</v>
      </c>
      <c r="O4192" s="298">
        <v>20</v>
      </c>
      <c r="P4192" s="298">
        <v>0</v>
      </c>
      <c r="Q4192" s="298">
        <v>3</v>
      </c>
      <c r="R4192" s="1286">
        <v>10037</v>
      </c>
      <c r="S4192" s="1286">
        <v>70259</v>
      </c>
      <c r="T4192" s="298" t="s">
        <v>9485</v>
      </c>
      <c r="U4192" s="1537" t="s">
        <v>9486</v>
      </c>
      <c r="V4192" s="204" t="s">
        <v>931</v>
      </c>
      <c r="W4192" s="773" t="s">
        <v>14354</v>
      </c>
      <c r="X4192" s="330"/>
      <c r="Y4192" s="4"/>
      <c r="Z4192" s="4"/>
    </row>
    <row r="4193" spans="1:26" ht="18" hidden="1">
      <c r="A4193" s="20">
        <f t="shared" si="237"/>
        <v>158</v>
      </c>
      <c r="B4193" s="1063">
        <v>43970</v>
      </c>
      <c r="C4193" s="1012" t="s">
        <v>10787</v>
      </c>
      <c r="D4193" s="11" t="s">
        <v>6</v>
      </c>
      <c r="E4193" s="204" t="s">
        <v>13136</v>
      </c>
      <c r="F4193" s="986" t="s">
        <v>13454</v>
      </c>
      <c r="G4193" s="556" t="s">
        <v>14355</v>
      </c>
      <c r="H4193" s="298" t="s">
        <v>1260</v>
      </c>
      <c r="I4193" s="298" t="s">
        <v>1144</v>
      </c>
      <c r="J4193" s="298" t="s">
        <v>3006</v>
      </c>
      <c r="K4193" s="298" t="s">
        <v>3007</v>
      </c>
      <c r="L4193" s="298"/>
      <c r="M4193" s="298">
        <v>4</v>
      </c>
      <c r="N4193" s="298">
        <v>1</v>
      </c>
      <c r="O4193" s="298">
        <v>7</v>
      </c>
      <c r="P4193" s="298">
        <v>0</v>
      </c>
      <c r="Q4193" s="298">
        <v>3</v>
      </c>
      <c r="R4193" s="1286">
        <v>1622</v>
      </c>
      <c r="S4193" s="1286">
        <v>11354</v>
      </c>
      <c r="T4193" s="298" t="s">
        <v>9485</v>
      </c>
      <c r="U4193" s="1537" t="s">
        <v>9486</v>
      </c>
      <c r="V4193" s="204" t="s">
        <v>931</v>
      </c>
      <c r="W4193" s="773" t="s">
        <v>10789</v>
      </c>
      <c r="X4193" s="330"/>
      <c r="Y4193" s="4"/>
      <c r="Z4193" s="4"/>
    </row>
    <row r="4194" spans="1:26" ht="15.95" hidden="1">
      <c r="A4194" s="20">
        <f t="shared" si="237"/>
        <v>159</v>
      </c>
      <c r="B4194" s="1063">
        <v>43971</v>
      </c>
      <c r="C4194" s="934" t="s">
        <v>14298</v>
      </c>
      <c r="D4194" s="11" t="s">
        <v>6</v>
      </c>
      <c r="E4194" s="204" t="s">
        <v>13136</v>
      </c>
      <c r="F4194" s="934" t="s">
        <v>14299</v>
      </c>
      <c r="G4194" s="204" t="s">
        <v>14300</v>
      </c>
      <c r="H4194" s="204" t="s">
        <v>166</v>
      </c>
      <c r="I4194" s="204" t="s">
        <v>84</v>
      </c>
      <c r="J4194" s="228">
        <v>29158579</v>
      </c>
      <c r="K4194" s="228" t="s">
        <v>14301</v>
      </c>
      <c r="L4194" s="204"/>
      <c r="M4194" s="204">
        <v>24</v>
      </c>
      <c r="N4194" s="204">
        <v>1</v>
      </c>
      <c r="O4194" s="204">
        <v>24</v>
      </c>
      <c r="P4194" s="204">
        <v>0</v>
      </c>
      <c r="Q4194" s="572">
        <v>0</v>
      </c>
      <c r="R4194" s="1209">
        <v>1690</v>
      </c>
      <c r="S4194" s="1209">
        <v>40560</v>
      </c>
      <c r="T4194" s="204" t="s">
        <v>3961</v>
      </c>
      <c r="U4194" s="1901" t="s">
        <v>448</v>
      </c>
      <c r="V4194" s="572" t="s">
        <v>931</v>
      </c>
      <c r="W4194" s="681" t="s">
        <v>14302</v>
      </c>
      <c r="X4194" s="18"/>
      <c r="Y4194" s="4"/>
      <c r="Z4194" s="4"/>
    </row>
    <row r="4195" spans="1:26" ht="18" hidden="1">
      <c r="A4195" s="20">
        <f t="shared" si="237"/>
        <v>160</v>
      </c>
      <c r="B4195" s="1063">
        <v>43972</v>
      </c>
      <c r="C4195" s="934" t="s">
        <v>11326</v>
      </c>
      <c r="D4195" s="11" t="s">
        <v>6</v>
      </c>
      <c r="E4195" s="557" t="s">
        <v>62</v>
      </c>
      <c r="F4195" s="934" t="s">
        <v>11323</v>
      </c>
      <c r="G4195" s="58" t="s">
        <v>3266</v>
      </c>
      <c r="H4195" s="58" t="s">
        <v>3267</v>
      </c>
      <c r="I4195" s="58" t="s">
        <v>10330</v>
      </c>
      <c r="J4195" s="204" t="s">
        <v>6660</v>
      </c>
      <c r="K4195" s="204" t="s">
        <v>6660</v>
      </c>
      <c r="L4195" s="204"/>
      <c r="M4195" s="204">
        <v>40</v>
      </c>
      <c r="N4195" s="204">
        <v>1</v>
      </c>
      <c r="O4195" s="204">
        <v>100</v>
      </c>
      <c r="P4195" s="204">
        <v>40</v>
      </c>
      <c r="Q4195" s="572">
        <v>140</v>
      </c>
      <c r="R4195" s="1209" t="s">
        <v>1</v>
      </c>
      <c r="S4195" s="1209">
        <v>58080</v>
      </c>
      <c r="T4195" s="204" t="s">
        <v>3961</v>
      </c>
      <c r="U4195" s="1901" t="s">
        <v>14356</v>
      </c>
      <c r="V4195" s="572" t="s">
        <v>931</v>
      </c>
      <c r="W4195" s="681"/>
      <c r="X4195" s="18"/>
      <c r="Y4195" s="4"/>
      <c r="Z4195" s="4"/>
    </row>
    <row r="4196" spans="1:26" ht="18" hidden="1">
      <c r="A4196" s="20">
        <f t="shared" si="237"/>
        <v>161</v>
      </c>
      <c r="B4196" s="1063">
        <v>43973</v>
      </c>
      <c r="C4196" s="934" t="s">
        <v>3806</v>
      </c>
      <c r="D4196" s="11" t="s">
        <v>6</v>
      </c>
      <c r="E4196" s="557" t="s">
        <v>62</v>
      </c>
      <c r="F4196" s="934" t="s">
        <v>11323</v>
      </c>
      <c r="G4196" s="204" t="s">
        <v>13245</v>
      </c>
      <c r="H4196" s="204" t="s">
        <v>1715</v>
      </c>
      <c r="I4196" s="204" t="s">
        <v>281</v>
      </c>
      <c r="J4196" s="204" t="s">
        <v>3805</v>
      </c>
      <c r="K4196" s="204" t="s">
        <v>3806</v>
      </c>
      <c r="L4196" s="204"/>
      <c r="M4196" s="204">
        <v>30</v>
      </c>
      <c r="N4196" s="204">
        <v>1</v>
      </c>
      <c r="O4196" s="204">
        <v>50</v>
      </c>
      <c r="P4196" s="204">
        <v>5</v>
      </c>
      <c r="Q4196" s="572">
        <v>55</v>
      </c>
      <c r="R4196" s="1209">
        <v>543</v>
      </c>
      <c r="S4196" s="1209">
        <f>R4196*O4196</f>
        <v>27150</v>
      </c>
      <c r="T4196" s="204" t="s">
        <v>3961</v>
      </c>
      <c r="U4196" s="1901" t="s">
        <v>14356</v>
      </c>
      <c r="V4196" s="572" t="s">
        <v>931</v>
      </c>
      <c r="W4196" s="804" t="s">
        <v>14357</v>
      </c>
      <c r="X4196" s="18"/>
      <c r="Y4196" s="4"/>
      <c r="Z4196" s="4"/>
    </row>
    <row r="4197" spans="1:26" ht="14.1" hidden="1">
      <c r="A4197" s="20">
        <f t="shared" si="237"/>
        <v>162</v>
      </c>
      <c r="B4197" s="1063">
        <v>43974</v>
      </c>
      <c r="C4197" s="934" t="s">
        <v>14358</v>
      </c>
      <c r="D4197" s="11" t="s">
        <v>6</v>
      </c>
      <c r="E4197" s="204" t="s">
        <v>7956</v>
      </c>
      <c r="F4197" s="934" t="s">
        <v>404</v>
      </c>
      <c r="G4197" s="204" t="s">
        <v>14359</v>
      </c>
      <c r="H4197" s="204" t="s">
        <v>1715</v>
      </c>
      <c r="I4197" s="204" t="s">
        <v>1715</v>
      </c>
      <c r="J4197" s="204" t="s">
        <v>14360</v>
      </c>
      <c r="K4197" s="204" t="s">
        <v>14360</v>
      </c>
      <c r="L4197" s="204" t="s">
        <v>14361</v>
      </c>
      <c r="M4197" s="204">
        <v>16</v>
      </c>
      <c r="N4197" s="204">
        <v>1</v>
      </c>
      <c r="O4197" s="204">
        <v>16</v>
      </c>
      <c r="P4197" s="204">
        <v>0</v>
      </c>
      <c r="Q4197" s="572">
        <v>0</v>
      </c>
      <c r="R4197" s="1209">
        <v>456</v>
      </c>
      <c r="S4197" s="1209">
        <f>456*16</f>
        <v>7296</v>
      </c>
      <c r="T4197" s="204" t="s">
        <v>14362</v>
      </c>
      <c r="U4197" s="1901" t="s">
        <v>14363</v>
      </c>
      <c r="V4197" s="572" t="s">
        <v>3187</v>
      </c>
      <c r="W4197" s="681" t="s">
        <v>14364</v>
      </c>
      <c r="X4197" s="18"/>
      <c r="Y4197" s="4"/>
      <c r="Z4197" s="4"/>
    </row>
    <row r="4198" spans="1:26" ht="18" hidden="1">
      <c r="A4198" s="20">
        <f t="shared" si="237"/>
        <v>163</v>
      </c>
      <c r="B4198" s="1063">
        <v>43975</v>
      </c>
      <c r="C4198" s="934" t="s">
        <v>6471</v>
      </c>
      <c r="D4198" s="11"/>
      <c r="E4198" s="557" t="s">
        <v>62</v>
      </c>
      <c r="F4198" s="934" t="s">
        <v>11323</v>
      </c>
      <c r="G4198" s="204" t="s">
        <v>4789</v>
      </c>
      <c r="H4198" s="204" t="s">
        <v>1715</v>
      </c>
      <c r="I4198" s="204" t="s">
        <v>14365</v>
      </c>
      <c r="J4198" s="204" t="s">
        <v>6471</v>
      </c>
      <c r="K4198" s="558" t="s">
        <v>6471</v>
      </c>
      <c r="L4198" s="204"/>
      <c r="M4198" s="204" t="s">
        <v>1</v>
      </c>
      <c r="N4198" s="204">
        <v>1</v>
      </c>
      <c r="O4198" s="204">
        <v>50</v>
      </c>
      <c r="P4198" s="204">
        <v>0</v>
      </c>
      <c r="Q4198" s="572">
        <v>50</v>
      </c>
      <c r="R4198" s="1209">
        <v>1085</v>
      </c>
      <c r="S4198" s="1209">
        <f>R4198*Q4198</f>
        <v>54250</v>
      </c>
      <c r="T4198" s="204" t="s">
        <v>3961</v>
      </c>
      <c r="U4198" s="1901" t="s">
        <v>14356</v>
      </c>
      <c r="V4198" s="572" t="s">
        <v>931</v>
      </c>
      <c r="W4198" s="804" t="s">
        <v>14366</v>
      </c>
      <c r="X4198" s="18"/>
      <c r="Y4198" s="4"/>
      <c r="Z4198" s="4"/>
    </row>
    <row r="4199" spans="1:26" ht="14.1" hidden="1">
      <c r="A4199" s="20">
        <f t="shared" si="237"/>
        <v>164</v>
      </c>
      <c r="B4199" s="1063">
        <v>43976</v>
      </c>
      <c r="C4199" s="934" t="s">
        <v>14367</v>
      </c>
      <c r="D4199" s="11"/>
      <c r="E4199" s="204" t="s">
        <v>13136</v>
      </c>
      <c r="F4199" s="934" t="s">
        <v>11434</v>
      </c>
      <c r="G4199" s="204"/>
      <c r="H4199" s="204" t="s">
        <v>84</v>
      </c>
      <c r="I4199" s="204" t="s">
        <v>84</v>
      </c>
      <c r="J4199" s="204">
        <v>33234593</v>
      </c>
      <c r="K4199" s="204"/>
      <c r="L4199" s="204"/>
      <c r="M4199" s="204">
        <v>1</v>
      </c>
      <c r="N4199" s="204">
        <v>1</v>
      </c>
      <c r="O4199" s="204">
        <v>1</v>
      </c>
      <c r="P4199" s="204">
        <v>0</v>
      </c>
      <c r="Q4199" s="572">
        <v>1</v>
      </c>
      <c r="R4199" s="1209">
        <v>1390</v>
      </c>
      <c r="S4199" s="1209">
        <v>1390</v>
      </c>
      <c r="T4199" s="204" t="s">
        <v>3961</v>
      </c>
      <c r="U4199" s="1901" t="s">
        <v>138</v>
      </c>
      <c r="V4199" s="572" t="s">
        <v>931</v>
      </c>
      <c r="W4199" s="681" t="s">
        <v>14368</v>
      </c>
      <c r="X4199" s="18"/>
      <c r="Y4199" s="4"/>
      <c r="Z4199" s="4"/>
    </row>
    <row r="4200" spans="1:26" ht="14.1" hidden="1">
      <c r="A4200" s="20">
        <f t="shared" si="237"/>
        <v>165</v>
      </c>
      <c r="B4200" s="1063">
        <v>43977</v>
      </c>
      <c r="C4200" s="934" t="s">
        <v>14369</v>
      </c>
      <c r="D4200" s="11" t="s">
        <v>6</v>
      </c>
      <c r="E4200" s="204" t="s">
        <v>572</v>
      </c>
      <c r="F4200" s="934" t="s">
        <v>13277</v>
      </c>
      <c r="G4200" s="204" t="s">
        <v>14370</v>
      </c>
      <c r="H4200" s="204" t="s">
        <v>14371</v>
      </c>
      <c r="I4200" s="204" t="s">
        <v>1022</v>
      </c>
      <c r="J4200" s="204" t="s">
        <v>14372</v>
      </c>
      <c r="K4200" s="204" t="s">
        <v>14373</v>
      </c>
      <c r="L4200" s="204" t="s">
        <v>1</v>
      </c>
      <c r="M4200" s="204">
        <v>1</v>
      </c>
      <c r="N4200" s="204">
        <v>1</v>
      </c>
      <c r="O4200" s="204">
        <v>1</v>
      </c>
      <c r="P4200" s="204">
        <v>0</v>
      </c>
      <c r="Q4200" s="572">
        <v>0</v>
      </c>
      <c r="R4200" s="1209">
        <f>1081*0.95</f>
        <v>1026.95</v>
      </c>
      <c r="S4200" s="1209">
        <f t="shared" ref="S4200:S4203" si="243">R4200*O4200</f>
        <v>1026.95</v>
      </c>
      <c r="T4200" s="204" t="s">
        <v>12425</v>
      </c>
      <c r="U4200" s="1901" t="s">
        <v>13282</v>
      </c>
      <c r="V4200" s="572" t="s">
        <v>14374</v>
      </c>
      <c r="W4200" s="681" t="s">
        <v>14375</v>
      </c>
      <c r="X4200" s="18"/>
      <c r="Y4200" s="4"/>
      <c r="Z4200" s="4"/>
    </row>
    <row r="4201" spans="1:26" ht="14.1" hidden="1">
      <c r="A4201" s="20">
        <f t="shared" si="237"/>
        <v>166</v>
      </c>
      <c r="B4201" s="1063">
        <v>43978</v>
      </c>
      <c r="C4201" s="934" t="s">
        <v>14376</v>
      </c>
      <c r="D4201" s="11" t="s">
        <v>6</v>
      </c>
      <c r="E4201" s="204" t="s">
        <v>572</v>
      </c>
      <c r="F4201" s="934" t="s">
        <v>13277</v>
      </c>
      <c r="G4201" s="204" t="s">
        <v>14377</v>
      </c>
      <c r="H4201" s="204" t="s">
        <v>2681</v>
      </c>
      <c r="I4201" s="204" t="s">
        <v>1022</v>
      </c>
      <c r="J4201" s="204" t="s">
        <v>14378</v>
      </c>
      <c r="K4201" s="204" t="s">
        <v>14379</v>
      </c>
      <c r="L4201" s="204" t="s">
        <v>1</v>
      </c>
      <c r="M4201" s="204">
        <v>1</v>
      </c>
      <c r="N4201" s="204">
        <v>1</v>
      </c>
      <c r="O4201" s="204">
        <v>1</v>
      </c>
      <c r="P4201" s="204">
        <v>0</v>
      </c>
      <c r="Q4201" s="572">
        <v>0</v>
      </c>
      <c r="R4201" s="1209">
        <v>580</v>
      </c>
      <c r="S4201" s="1209">
        <f t="shared" si="243"/>
        <v>580</v>
      </c>
      <c r="T4201" s="204" t="s">
        <v>12425</v>
      </c>
      <c r="U4201" s="1901" t="s">
        <v>13282</v>
      </c>
      <c r="V4201" s="572" t="s">
        <v>14374</v>
      </c>
      <c r="W4201" s="681" t="s">
        <v>14380</v>
      </c>
      <c r="X4201" s="18"/>
      <c r="Y4201" s="4"/>
      <c r="Z4201" s="4"/>
    </row>
    <row r="4202" spans="1:26" ht="14.1" hidden="1">
      <c r="A4202" s="20">
        <f t="shared" si="237"/>
        <v>167</v>
      </c>
      <c r="B4202" s="1063">
        <v>43979</v>
      </c>
      <c r="C4202" s="934" t="s">
        <v>14381</v>
      </c>
      <c r="D4202" s="11" t="s">
        <v>6</v>
      </c>
      <c r="E4202" s="204" t="s">
        <v>572</v>
      </c>
      <c r="F4202" s="934" t="s">
        <v>13277</v>
      </c>
      <c r="G4202" s="204" t="s">
        <v>14382</v>
      </c>
      <c r="H4202" s="204" t="s">
        <v>14383</v>
      </c>
      <c r="I4202" s="204" t="s">
        <v>1022</v>
      </c>
      <c r="J4202" s="204" t="s">
        <v>14384</v>
      </c>
      <c r="K4202" s="204" t="s">
        <v>14385</v>
      </c>
      <c r="L4202" s="204" t="s">
        <v>1</v>
      </c>
      <c r="M4202" s="204">
        <v>1</v>
      </c>
      <c r="N4202" s="204">
        <v>1</v>
      </c>
      <c r="O4202" s="204">
        <v>1</v>
      </c>
      <c r="P4202" s="204">
        <v>0</v>
      </c>
      <c r="Q4202" s="572">
        <v>0</v>
      </c>
      <c r="R4202" s="1209">
        <v>6678</v>
      </c>
      <c r="S4202" s="1209">
        <f t="shared" si="243"/>
        <v>6678</v>
      </c>
      <c r="T4202" s="204" t="s">
        <v>12425</v>
      </c>
      <c r="U4202" s="1901" t="s">
        <v>13282</v>
      </c>
      <c r="V4202" s="572" t="s">
        <v>14374</v>
      </c>
      <c r="W4202" s="681" t="s">
        <v>14386</v>
      </c>
      <c r="X4202" s="18"/>
      <c r="Y4202" s="4"/>
      <c r="Z4202" s="4"/>
    </row>
    <row r="4203" spans="1:26" ht="14.1" hidden="1">
      <c r="A4203" s="20">
        <f t="shared" si="237"/>
        <v>168</v>
      </c>
      <c r="B4203" s="1063">
        <v>43980</v>
      </c>
      <c r="C4203" s="934" t="s">
        <v>14387</v>
      </c>
      <c r="D4203" s="11"/>
      <c r="E4203" s="204" t="s">
        <v>13136</v>
      </c>
      <c r="F4203" s="934" t="s">
        <v>11323</v>
      </c>
      <c r="G4203" s="204" t="s">
        <v>13253</v>
      </c>
      <c r="H4203" s="204" t="s">
        <v>3898</v>
      </c>
      <c r="I4203" s="204" t="s">
        <v>574</v>
      </c>
      <c r="J4203" s="204" t="s">
        <v>933</v>
      </c>
      <c r="K4203" s="204" t="s">
        <v>8112</v>
      </c>
      <c r="L4203" s="204"/>
      <c r="M4203" s="204">
        <v>42</v>
      </c>
      <c r="N4203" s="204">
        <v>50</v>
      </c>
      <c r="O4203" s="204">
        <v>50</v>
      </c>
      <c r="P4203" s="204">
        <v>18</v>
      </c>
      <c r="Q4203" s="572">
        <v>68</v>
      </c>
      <c r="R4203" s="1209">
        <v>449</v>
      </c>
      <c r="S4203" s="1209">
        <f t="shared" si="243"/>
        <v>22450</v>
      </c>
      <c r="T4203" s="204" t="s">
        <v>3961</v>
      </c>
      <c r="U4203" s="1901" t="s">
        <v>14356</v>
      </c>
      <c r="V4203" s="572" t="s">
        <v>931</v>
      </c>
      <c r="W4203" s="804" t="s">
        <v>14388</v>
      </c>
      <c r="X4203" s="18"/>
      <c r="Y4203" s="4"/>
      <c r="Z4203" s="4"/>
    </row>
    <row r="4204" spans="1:26" ht="14.1" hidden="1">
      <c r="A4204" s="20">
        <f t="shared" si="237"/>
        <v>169</v>
      </c>
      <c r="B4204" s="1063">
        <v>43981</v>
      </c>
      <c r="C4204" s="934" t="s">
        <v>14389</v>
      </c>
      <c r="D4204" s="11"/>
      <c r="E4204" s="204" t="s">
        <v>13136</v>
      </c>
      <c r="F4204" s="934" t="s">
        <v>11323</v>
      </c>
      <c r="G4204" s="365" t="s">
        <v>14390</v>
      </c>
      <c r="H4204" s="204" t="s">
        <v>641</v>
      </c>
      <c r="I4204" s="204" t="s">
        <v>574</v>
      </c>
      <c r="J4204" s="189" t="s">
        <v>14391</v>
      </c>
      <c r="K4204" s="204" t="s">
        <v>14392</v>
      </c>
      <c r="L4204" s="204"/>
      <c r="M4204" s="204">
        <v>10</v>
      </c>
      <c r="N4204" s="204">
        <v>1</v>
      </c>
      <c r="O4204" s="204">
        <v>10</v>
      </c>
      <c r="P4204" s="204">
        <v>0</v>
      </c>
      <c r="Q4204" s="572">
        <v>6</v>
      </c>
      <c r="R4204" s="1209">
        <v>22.1</v>
      </c>
      <c r="S4204" s="1209">
        <f>O4204*R4204</f>
        <v>221</v>
      </c>
      <c r="T4204" s="204" t="s">
        <v>3961</v>
      </c>
      <c r="U4204" s="1901" t="s">
        <v>14356</v>
      </c>
      <c r="V4204" s="572" t="s">
        <v>931</v>
      </c>
      <c r="W4204" s="804" t="s">
        <v>14393</v>
      </c>
      <c r="X4204" s="18"/>
      <c r="Y4204" s="4"/>
      <c r="Z4204" s="4"/>
    </row>
    <row r="4205" spans="1:26" ht="14.1" hidden="1">
      <c r="A4205" s="20">
        <f t="shared" si="237"/>
        <v>170</v>
      </c>
      <c r="B4205" s="1063">
        <v>43982</v>
      </c>
      <c r="C4205" s="934" t="s">
        <v>14394</v>
      </c>
      <c r="D4205" s="11"/>
      <c r="E4205" s="204" t="s">
        <v>13136</v>
      </c>
      <c r="F4205" s="934" t="s">
        <v>11323</v>
      </c>
      <c r="G4205" s="204" t="s">
        <v>14395</v>
      </c>
      <c r="H4205" s="204" t="s">
        <v>641</v>
      </c>
      <c r="I4205" s="204" t="s">
        <v>574</v>
      </c>
      <c r="J4205" s="204" t="s">
        <v>14396</v>
      </c>
      <c r="K4205" s="204" t="s">
        <v>14397</v>
      </c>
      <c r="L4205" s="204"/>
      <c r="M4205" s="204">
        <v>10</v>
      </c>
      <c r="N4205" s="204">
        <v>1</v>
      </c>
      <c r="O4205" s="204">
        <v>10</v>
      </c>
      <c r="P4205" s="204">
        <v>0</v>
      </c>
      <c r="Q4205" s="572">
        <v>6</v>
      </c>
      <c r="R4205" s="1209">
        <v>18.899999999999999</v>
      </c>
      <c r="S4205" s="1209">
        <f t="shared" ref="S4205:S4210" si="244">R4205*O4205</f>
        <v>189</v>
      </c>
      <c r="T4205" s="204" t="s">
        <v>3961</v>
      </c>
      <c r="U4205" s="1901" t="s">
        <v>14356</v>
      </c>
      <c r="V4205" s="572" t="s">
        <v>931</v>
      </c>
      <c r="W4205" s="804" t="s">
        <v>12408</v>
      </c>
      <c r="X4205" s="18"/>
      <c r="Y4205" s="4"/>
      <c r="Z4205" s="4"/>
    </row>
    <row r="4206" spans="1:26" ht="14.1" hidden="1">
      <c r="A4206" s="20">
        <f t="shared" si="237"/>
        <v>171</v>
      </c>
      <c r="B4206" s="1063">
        <v>43983</v>
      </c>
      <c r="C4206" s="934" t="s">
        <v>14398</v>
      </c>
      <c r="D4206" s="11"/>
      <c r="E4206" s="204" t="s">
        <v>13136</v>
      </c>
      <c r="F4206" s="934" t="s">
        <v>11323</v>
      </c>
      <c r="G4206" s="204" t="s">
        <v>13256</v>
      </c>
      <c r="H4206" s="204" t="s">
        <v>460</v>
      </c>
      <c r="I4206" s="204" t="s">
        <v>39</v>
      </c>
      <c r="J4206" s="204" t="s">
        <v>14399</v>
      </c>
      <c r="K4206" s="204" t="s">
        <v>14400</v>
      </c>
      <c r="L4206" s="204"/>
      <c r="M4206" s="204">
        <v>10</v>
      </c>
      <c r="N4206" s="204">
        <v>5</v>
      </c>
      <c r="O4206" s="204">
        <v>10</v>
      </c>
      <c r="P4206" s="204">
        <v>6</v>
      </c>
      <c r="Q4206" s="572">
        <v>16</v>
      </c>
      <c r="R4206" s="1209">
        <v>57</v>
      </c>
      <c r="S4206" s="1209">
        <f t="shared" si="244"/>
        <v>570</v>
      </c>
      <c r="T4206" s="204" t="s">
        <v>3961</v>
      </c>
      <c r="U4206" s="1901" t="s">
        <v>14356</v>
      </c>
      <c r="V4206" s="572" t="s">
        <v>931</v>
      </c>
      <c r="W4206" s="804" t="s">
        <v>14401</v>
      </c>
      <c r="X4206" s="18"/>
      <c r="Y4206" s="4"/>
      <c r="Z4206" s="4"/>
    </row>
    <row r="4207" spans="1:26" ht="14.1" hidden="1">
      <c r="A4207" s="20">
        <f t="shared" si="237"/>
        <v>172</v>
      </c>
      <c r="B4207" s="1063">
        <v>43984</v>
      </c>
      <c r="C4207" s="934" t="s">
        <v>14402</v>
      </c>
      <c r="D4207" s="11"/>
      <c r="E4207" s="204" t="s">
        <v>13136</v>
      </c>
      <c r="F4207" s="934" t="s">
        <v>11323</v>
      </c>
      <c r="G4207" s="204" t="s">
        <v>13257</v>
      </c>
      <c r="H4207" s="204" t="s">
        <v>14403</v>
      </c>
      <c r="I4207" s="204" t="s">
        <v>281</v>
      </c>
      <c r="J4207" s="204" t="s">
        <v>6012</v>
      </c>
      <c r="K4207" s="204" t="s">
        <v>6013</v>
      </c>
      <c r="L4207" s="204"/>
      <c r="M4207" s="204">
        <v>10</v>
      </c>
      <c r="N4207" s="204">
        <v>1</v>
      </c>
      <c r="O4207" s="204">
        <v>10</v>
      </c>
      <c r="P4207" s="204">
        <v>5</v>
      </c>
      <c r="Q4207" s="572">
        <v>15</v>
      </c>
      <c r="R4207" s="1209">
        <v>91</v>
      </c>
      <c r="S4207" s="1209">
        <f t="shared" si="244"/>
        <v>910</v>
      </c>
      <c r="T4207" s="204" t="s">
        <v>3961</v>
      </c>
      <c r="U4207" s="1901" t="s">
        <v>14356</v>
      </c>
      <c r="V4207" s="572" t="s">
        <v>931</v>
      </c>
      <c r="W4207" s="804" t="s">
        <v>12302</v>
      </c>
      <c r="X4207" s="18"/>
      <c r="Y4207" s="4"/>
      <c r="Z4207" s="4"/>
    </row>
    <row r="4208" spans="1:26" ht="14.1" hidden="1">
      <c r="A4208" s="20">
        <f t="shared" si="237"/>
        <v>173</v>
      </c>
      <c r="B4208" s="1063">
        <v>43985</v>
      </c>
      <c r="C4208" s="934" t="s">
        <v>14404</v>
      </c>
      <c r="D4208" s="11"/>
      <c r="E4208" s="204" t="s">
        <v>13136</v>
      </c>
      <c r="F4208" s="934" t="s">
        <v>11323</v>
      </c>
      <c r="G4208" s="204" t="s">
        <v>13258</v>
      </c>
      <c r="H4208" s="204" t="s">
        <v>5730</v>
      </c>
      <c r="I4208" s="204" t="s">
        <v>281</v>
      </c>
      <c r="J4208" s="204" t="s">
        <v>6025</v>
      </c>
      <c r="K4208" s="204" t="s">
        <v>14405</v>
      </c>
      <c r="L4208" s="204"/>
      <c r="M4208" s="204">
        <v>10</v>
      </c>
      <c r="N4208" s="204">
        <v>1</v>
      </c>
      <c r="O4208" s="204">
        <v>10</v>
      </c>
      <c r="P4208" s="204">
        <v>6</v>
      </c>
      <c r="Q4208" s="572">
        <v>16</v>
      </c>
      <c r="R4208" s="1209">
        <v>9.4</v>
      </c>
      <c r="S4208" s="1209">
        <f t="shared" si="244"/>
        <v>94</v>
      </c>
      <c r="T4208" s="204" t="s">
        <v>3961</v>
      </c>
      <c r="U4208" s="1901" t="s">
        <v>14356</v>
      </c>
      <c r="V4208" s="572" t="s">
        <v>931</v>
      </c>
      <c r="W4208" s="804" t="s">
        <v>14406</v>
      </c>
      <c r="X4208" s="18"/>
      <c r="Y4208" s="4"/>
      <c r="Z4208" s="4"/>
    </row>
    <row r="4209" spans="1:26" ht="14.1" hidden="1">
      <c r="A4209" s="20">
        <f t="shared" si="237"/>
        <v>174</v>
      </c>
      <c r="B4209" s="1063">
        <v>43986</v>
      </c>
      <c r="C4209" s="934" t="s">
        <v>14407</v>
      </c>
      <c r="D4209" s="11"/>
      <c r="E4209" s="204" t="s">
        <v>13136</v>
      </c>
      <c r="F4209" s="934" t="s">
        <v>11323</v>
      </c>
      <c r="G4209" s="204" t="s">
        <v>13260</v>
      </c>
      <c r="H4209" s="204" t="s">
        <v>5730</v>
      </c>
      <c r="I4209" s="204" t="s">
        <v>281</v>
      </c>
      <c r="J4209" s="204" t="s">
        <v>13261</v>
      </c>
      <c r="K4209" s="204" t="s">
        <v>13259</v>
      </c>
      <c r="L4209" s="204"/>
      <c r="M4209" s="204">
        <v>10</v>
      </c>
      <c r="N4209" s="204">
        <v>1</v>
      </c>
      <c r="O4209" s="204">
        <v>10</v>
      </c>
      <c r="P4209" s="204">
        <v>3</v>
      </c>
      <c r="Q4209" s="572">
        <v>13</v>
      </c>
      <c r="R4209" s="1209">
        <v>33</v>
      </c>
      <c r="S4209" s="1209">
        <f t="shared" si="244"/>
        <v>330</v>
      </c>
      <c r="T4209" s="204" t="s">
        <v>3961</v>
      </c>
      <c r="U4209" s="1901" t="s">
        <v>14356</v>
      </c>
      <c r="V4209" s="572" t="s">
        <v>931</v>
      </c>
      <c r="W4209" s="804" t="s">
        <v>14408</v>
      </c>
      <c r="X4209" s="18"/>
      <c r="Y4209" s="4"/>
      <c r="Z4209" s="4"/>
    </row>
    <row r="4210" spans="1:26" ht="14.1" hidden="1">
      <c r="A4210" s="20">
        <f t="shared" si="237"/>
        <v>175</v>
      </c>
      <c r="B4210" s="1063">
        <v>43987</v>
      </c>
      <c r="C4210" s="934" t="s">
        <v>14409</v>
      </c>
      <c r="D4210" s="11"/>
      <c r="E4210" s="204" t="s">
        <v>13136</v>
      </c>
      <c r="F4210" s="934" t="s">
        <v>11323</v>
      </c>
      <c r="G4210" s="204" t="s">
        <v>14410</v>
      </c>
      <c r="H4210" s="204" t="s">
        <v>5550</v>
      </c>
      <c r="I4210" s="204" t="s">
        <v>281</v>
      </c>
      <c r="J4210" s="204" t="s">
        <v>14411</v>
      </c>
      <c r="K4210" s="204" t="s">
        <v>14412</v>
      </c>
      <c r="L4210" s="204"/>
      <c r="M4210" s="204">
        <v>10</v>
      </c>
      <c r="N4210" s="204">
        <v>1</v>
      </c>
      <c r="O4210" s="204">
        <v>10</v>
      </c>
      <c r="P4210" s="204">
        <v>6</v>
      </c>
      <c r="Q4210" s="572">
        <v>16</v>
      </c>
      <c r="R4210" s="1209">
        <v>37.9</v>
      </c>
      <c r="S4210" s="1209">
        <f t="shared" si="244"/>
        <v>379</v>
      </c>
      <c r="T4210" s="204" t="s">
        <v>3961</v>
      </c>
      <c r="U4210" s="1901" t="s">
        <v>14356</v>
      </c>
      <c r="V4210" s="572" t="s">
        <v>931</v>
      </c>
      <c r="W4210" s="804" t="s">
        <v>14413</v>
      </c>
      <c r="X4210" s="18"/>
      <c r="Y4210" s="4"/>
      <c r="Z4210" s="4"/>
    </row>
    <row r="4211" spans="1:26" ht="15.95" hidden="1">
      <c r="A4211" s="20">
        <f t="shared" si="237"/>
        <v>176</v>
      </c>
      <c r="B4211" s="1063">
        <v>43988</v>
      </c>
      <c r="C4211" s="934" t="s">
        <v>8107</v>
      </c>
      <c r="D4211" s="11"/>
      <c r="E4211" s="204" t="s">
        <v>13136</v>
      </c>
      <c r="F4211" s="934" t="s">
        <v>11323</v>
      </c>
      <c r="G4211" s="204" t="s">
        <v>14414</v>
      </c>
      <c r="H4211" s="204" t="s">
        <v>468</v>
      </c>
      <c r="I4211" s="204" t="s">
        <v>113</v>
      </c>
      <c r="J4211" s="182">
        <v>26344578</v>
      </c>
      <c r="K4211" s="204" t="s">
        <v>5989</v>
      </c>
      <c r="L4211" s="204"/>
      <c r="M4211" s="204">
        <v>30</v>
      </c>
      <c r="N4211" s="204">
        <v>50</v>
      </c>
      <c r="O4211" s="204">
        <v>50</v>
      </c>
      <c r="P4211" s="204">
        <v>26</v>
      </c>
      <c r="Q4211" s="572">
        <v>76</v>
      </c>
      <c r="R4211" s="1209">
        <v>1690</v>
      </c>
      <c r="S4211" s="1209">
        <v>1690</v>
      </c>
      <c r="T4211" s="204" t="s">
        <v>3961</v>
      </c>
      <c r="U4211" s="1901" t="s">
        <v>14356</v>
      </c>
      <c r="V4211" s="572" t="s">
        <v>931</v>
      </c>
      <c r="W4211" s="804" t="s">
        <v>14415</v>
      </c>
      <c r="X4211" s="18"/>
      <c r="Y4211" s="4"/>
      <c r="Z4211" s="4"/>
    </row>
    <row r="4212" spans="1:26" ht="14.1" hidden="1">
      <c r="A4212" s="20">
        <f t="shared" si="237"/>
        <v>177</v>
      </c>
      <c r="B4212" s="1063">
        <v>43989</v>
      </c>
      <c r="C4212" s="934" t="s">
        <v>14416</v>
      </c>
      <c r="D4212" s="11"/>
      <c r="E4212" s="204" t="s">
        <v>13136</v>
      </c>
      <c r="F4212" s="934" t="s">
        <v>11323</v>
      </c>
      <c r="G4212" s="204" t="s">
        <v>13700</v>
      </c>
      <c r="H4212" s="204" t="s">
        <v>468</v>
      </c>
      <c r="I4212" s="204" t="s">
        <v>113</v>
      </c>
      <c r="J4212" s="204">
        <v>26340378</v>
      </c>
      <c r="K4212" s="204" t="s">
        <v>13701</v>
      </c>
      <c r="L4212" s="204"/>
      <c r="M4212" s="204">
        <v>10</v>
      </c>
      <c r="N4212" s="204">
        <v>50</v>
      </c>
      <c r="O4212" s="204">
        <v>50</v>
      </c>
      <c r="P4212" s="204">
        <v>0</v>
      </c>
      <c r="Q4212" s="572">
        <v>50</v>
      </c>
      <c r="R4212" s="1209">
        <v>1390</v>
      </c>
      <c r="S4212" s="1209">
        <v>1390</v>
      </c>
      <c r="T4212" s="204" t="s">
        <v>3961</v>
      </c>
      <c r="U4212" s="1901" t="s">
        <v>14356</v>
      </c>
      <c r="V4212" s="572" t="s">
        <v>931</v>
      </c>
      <c r="W4212" s="804" t="s">
        <v>14417</v>
      </c>
      <c r="X4212" s="18"/>
      <c r="Y4212" s="4"/>
      <c r="Z4212" s="4"/>
    </row>
    <row r="4213" spans="1:26" ht="14.1" hidden="1">
      <c r="A4213" s="20">
        <f t="shared" si="237"/>
        <v>178</v>
      </c>
      <c r="B4213" s="1063">
        <v>43990</v>
      </c>
      <c r="C4213" s="934" t="s">
        <v>5288</v>
      </c>
      <c r="D4213" s="11"/>
      <c r="E4213" s="204" t="s">
        <v>13136</v>
      </c>
      <c r="F4213" s="934" t="s">
        <v>11323</v>
      </c>
      <c r="G4213" s="204" t="s">
        <v>9723</v>
      </c>
      <c r="H4213" s="204" t="s">
        <v>1853</v>
      </c>
      <c r="I4213" s="204" t="s">
        <v>281</v>
      </c>
      <c r="J4213" s="204" t="s">
        <v>599</v>
      </c>
      <c r="K4213" s="204" t="s">
        <v>1991</v>
      </c>
      <c r="L4213" s="204"/>
      <c r="M4213" s="204">
        <v>10</v>
      </c>
      <c r="N4213" s="204">
        <v>1</v>
      </c>
      <c r="O4213" s="204">
        <v>10</v>
      </c>
      <c r="P4213" s="204">
        <v>6</v>
      </c>
      <c r="Q4213" s="572">
        <v>16</v>
      </c>
      <c r="R4213" s="1209">
        <v>24</v>
      </c>
      <c r="S4213" s="1209">
        <f>24*10</f>
        <v>240</v>
      </c>
      <c r="T4213" s="204" t="s">
        <v>3961</v>
      </c>
      <c r="U4213" s="1901" t="s">
        <v>14356</v>
      </c>
      <c r="V4213" s="572" t="s">
        <v>931</v>
      </c>
      <c r="W4213" s="804" t="s">
        <v>602</v>
      </c>
      <c r="X4213" s="18"/>
      <c r="Y4213" s="4"/>
      <c r="Z4213" s="4"/>
    </row>
    <row r="4214" spans="1:26" ht="15.6" hidden="1">
      <c r="A4214" s="20">
        <f t="shared" si="237"/>
        <v>179</v>
      </c>
      <c r="B4214" s="1063">
        <v>43991</v>
      </c>
      <c r="C4214" s="934" t="s">
        <v>12877</v>
      </c>
      <c r="D4214" s="11" t="s">
        <v>6</v>
      </c>
      <c r="E4214" s="204" t="s">
        <v>13136</v>
      </c>
      <c r="F4214" s="934" t="s">
        <v>11544</v>
      </c>
      <c r="G4214" s="559" t="s">
        <v>14418</v>
      </c>
      <c r="H4214" s="204" t="s">
        <v>460</v>
      </c>
      <c r="I4214" s="204" t="s">
        <v>39</v>
      </c>
      <c r="J4214" s="560" t="s">
        <v>14419</v>
      </c>
      <c r="K4214" s="560" t="s">
        <v>13218</v>
      </c>
      <c r="L4214" s="204"/>
      <c r="M4214" s="298">
        <v>4</v>
      </c>
      <c r="N4214" s="298">
        <v>1</v>
      </c>
      <c r="O4214" s="298">
        <v>10</v>
      </c>
      <c r="P4214" s="298">
        <v>0</v>
      </c>
      <c r="Q4214" s="298">
        <v>6</v>
      </c>
      <c r="R4214" s="1340">
        <v>171.4</v>
      </c>
      <c r="S4214" s="1209">
        <f t="shared" ref="S4214:S4219" si="245">R4214*O4214</f>
        <v>1714</v>
      </c>
      <c r="T4214" s="204" t="s">
        <v>3961</v>
      </c>
      <c r="U4214" s="1901" t="s">
        <v>9486</v>
      </c>
      <c r="V4214" s="572" t="s">
        <v>931</v>
      </c>
      <c r="W4214" s="681" t="s">
        <v>14420</v>
      </c>
      <c r="X4214" s="18"/>
      <c r="Y4214" s="4"/>
      <c r="Z4214" s="4"/>
    </row>
    <row r="4215" spans="1:26" ht="14.1" hidden="1">
      <c r="A4215" s="20">
        <f t="shared" si="237"/>
        <v>180</v>
      </c>
      <c r="B4215" s="1063">
        <v>43992</v>
      </c>
      <c r="C4215" s="934" t="s">
        <v>12171</v>
      </c>
      <c r="D4215" s="11" t="s">
        <v>6</v>
      </c>
      <c r="E4215" s="204" t="s">
        <v>13136</v>
      </c>
      <c r="F4215" s="934" t="s">
        <v>11544</v>
      </c>
      <c r="G4215" s="559" t="s">
        <v>14421</v>
      </c>
      <c r="H4215" s="204" t="s">
        <v>243</v>
      </c>
      <c r="I4215" s="204" t="s">
        <v>39</v>
      </c>
      <c r="J4215" s="561" t="s">
        <v>14422</v>
      </c>
      <c r="K4215" s="561" t="s">
        <v>14423</v>
      </c>
      <c r="L4215" s="204"/>
      <c r="M4215" s="298">
        <v>4</v>
      </c>
      <c r="N4215" s="298">
        <v>1</v>
      </c>
      <c r="O4215" s="298">
        <v>10</v>
      </c>
      <c r="P4215" s="298">
        <v>0</v>
      </c>
      <c r="Q4215" s="298">
        <v>6</v>
      </c>
      <c r="R4215" s="1340">
        <v>805</v>
      </c>
      <c r="S4215" s="1209">
        <f t="shared" si="245"/>
        <v>8050</v>
      </c>
      <c r="T4215" s="204" t="s">
        <v>3961</v>
      </c>
      <c r="U4215" s="1901" t="s">
        <v>9486</v>
      </c>
      <c r="V4215" s="572" t="s">
        <v>931</v>
      </c>
      <c r="W4215" s="681" t="s">
        <v>14424</v>
      </c>
      <c r="X4215" s="18"/>
      <c r="Y4215" s="4"/>
      <c r="Z4215" s="4"/>
    </row>
    <row r="4216" spans="1:26" ht="14.1" hidden="1">
      <c r="A4216" s="20">
        <f t="shared" si="237"/>
        <v>181</v>
      </c>
      <c r="B4216" s="1063">
        <v>43993</v>
      </c>
      <c r="C4216" s="934" t="s">
        <v>13490</v>
      </c>
      <c r="D4216" s="11" t="s">
        <v>6</v>
      </c>
      <c r="E4216" s="204" t="s">
        <v>13136</v>
      </c>
      <c r="F4216" s="934" t="s">
        <v>11544</v>
      </c>
      <c r="G4216" s="559" t="s">
        <v>14425</v>
      </c>
      <c r="H4216" s="204" t="s">
        <v>243</v>
      </c>
      <c r="I4216" s="204" t="s">
        <v>39</v>
      </c>
      <c r="J4216" s="561" t="s">
        <v>14426</v>
      </c>
      <c r="K4216" s="561" t="s">
        <v>1914</v>
      </c>
      <c r="L4216" s="204"/>
      <c r="M4216" s="204">
        <v>4</v>
      </c>
      <c r="N4216" s="204">
        <v>5</v>
      </c>
      <c r="O4216" s="204">
        <v>10</v>
      </c>
      <c r="P4216" s="204">
        <v>0</v>
      </c>
      <c r="Q4216" s="572">
        <v>6</v>
      </c>
      <c r="R4216" s="1341">
        <v>315.2</v>
      </c>
      <c r="S4216" s="1209">
        <f t="shared" si="245"/>
        <v>3152</v>
      </c>
      <c r="T4216" s="204" t="s">
        <v>3961</v>
      </c>
      <c r="U4216" s="1901" t="s">
        <v>9486</v>
      </c>
      <c r="V4216" s="572" t="s">
        <v>931</v>
      </c>
      <c r="W4216" s="681" t="s">
        <v>14427</v>
      </c>
      <c r="X4216" s="18"/>
      <c r="Y4216" s="4"/>
      <c r="Z4216" s="4"/>
    </row>
    <row r="4217" spans="1:26" ht="15.6" hidden="1">
      <c r="A4217" s="20">
        <f t="shared" si="237"/>
        <v>182</v>
      </c>
      <c r="B4217" s="1063">
        <v>43994</v>
      </c>
      <c r="C4217" s="934" t="s">
        <v>13494</v>
      </c>
      <c r="D4217" s="11" t="s">
        <v>6</v>
      </c>
      <c r="E4217" s="204" t="s">
        <v>13136</v>
      </c>
      <c r="F4217" s="934" t="s">
        <v>11544</v>
      </c>
      <c r="G4217" s="521" t="s">
        <v>14428</v>
      </c>
      <c r="H4217" s="204" t="s">
        <v>14429</v>
      </c>
      <c r="I4217" s="204" t="s">
        <v>39</v>
      </c>
      <c r="J4217" s="562" t="s">
        <v>14430</v>
      </c>
      <c r="K4217" s="562" t="s">
        <v>1080</v>
      </c>
      <c r="L4217" s="204"/>
      <c r="M4217" s="204">
        <v>8</v>
      </c>
      <c r="N4217" s="204">
        <v>1</v>
      </c>
      <c r="O4217" s="204">
        <v>14</v>
      </c>
      <c r="P4217" s="204">
        <v>0</v>
      </c>
      <c r="Q4217" s="572">
        <v>6</v>
      </c>
      <c r="R4217" s="1341">
        <v>1281</v>
      </c>
      <c r="S4217" s="1209">
        <f t="shared" si="245"/>
        <v>17934</v>
      </c>
      <c r="T4217" s="204" t="s">
        <v>3961</v>
      </c>
      <c r="U4217" s="1901" t="s">
        <v>9486</v>
      </c>
      <c r="V4217" s="572" t="s">
        <v>931</v>
      </c>
      <c r="W4217" s="681" t="s">
        <v>14431</v>
      </c>
      <c r="X4217" s="18"/>
      <c r="Y4217" s="4"/>
      <c r="Z4217" s="4"/>
    </row>
    <row r="4218" spans="1:26" ht="14.1" hidden="1">
      <c r="A4218" s="20">
        <f t="shared" si="237"/>
        <v>183</v>
      </c>
      <c r="B4218" s="1063">
        <v>43995</v>
      </c>
      <c r="C4218" s="934" t="s">
        <v>14432</v>
      </c>
      <c r="D4218" s="11" t="s">
        <v>6</v>
      </c>
      <c r="E4218" s="239" t="s">
        <v>14339</v>
      </c>
      <c r="F4218" s="934" t="s">
        <v>13277</v>
      </c>
      <c r="G4218" s="204" t="s">
        <v>14432</v>
      </c>
      <c r="H4218" s="204" t="s">
        <v>14340</v>
      </c>
      <c r="I4218" s="204" t="s">
        <v>14340</v>
      </c>
      <c r="J4218" s="204" t="s">
        <v>1</v>
      </c>
      <c r="K4218" s="204" t="s">
        <v>1</v>
      </c>
      <c r="L4218" s="204" t="s">
        <v>1</v>
      </c>
      <c r="M4218" s="204">
        <v>1</v>
      </c>
      <c r="N4218" s="204">
        <v>1</v>
      </c>
      <c r="O4218" s="204">
        <v>1</v>
      </c>
      <c r="P4218" s="204">
        <v>0</v>
      </c>
      <c r="Q4218" s="572">
        <v>0</v>
      </c>
      <c r="R4218" s="1209">
        <v>200</v>
      </c>
      <c r="S4218" s="1209">
        <f t="shared" si="245"/>
        <v>200</v>
      </c>
      <c r="T4218" s="204" t="s">
        <v>12425</v>
      </c>
      <c r="U4218" s="1901" t="s">
        <v>13282</v>
      </c>
      <c r="V4218" s="572" t="s">
        <v>5990</v>
      </c>
      <c r="W4218" s="681"/>
      <c r="X4218" s="18"/>
      <c r="Y4218" s="4"/>
      <c r="Z4218" s="4"/>
    </row>
    <row r="4219" spans="1:26" ht="14.1" hidden="1">
      <c r="A4219" s="20">
        <f t="shared" si="237"/>
        <v>184</v>
      </c>
      <c r="B4219" s="1063">
        <v>43996</v>
      </c>
      <c r="C4219" s="934" t="s">
        <v>14433</v>
      </c>
      <c r="D4219" s="11" t="s">
        <v>6</v>
      </c>
      <c r="E4219" s="239" t="s">
        <v>14339</v>
      </c>
      <c r="F4219" s="934" t="s">
        <v>13277</v>
      </c>
      <c r="G4219" s="204" t="s">
        <v>14433</v>
      </c>
      <c r="H4219" s="204" t="s">
        <v>14340</v>
      </c>
      <c r="I4219" s="204" t="s">
        <v>14340</v>
      </c>
      <c r="J4219" s="204" t="s">
        <v>1</v>
      </c>
      <c r="K4219" s="204" t="s">
        <v>1</v>
      </c>
      <c r="L4219" s="204" t="s">
        <v>1</v>
      </c>
      <c r="M4219" s="204">
        <v>1</v>
      </c>
      <c r="N4219" s="204">
        <v>1</v>
      </c>
      <c r="O4219" s="204">
        <v>1</v>
      </c>
      <c r="P4219" s="204">
        <v>0</v>
      </c>
      <c r="Q4219" s="572">
        <f>O4219-M4219</f>
        <v>0</v>
      </c>
      <c r="R4219" s="1209">
        <v>100</v>
      </c>
      <c r="S4219" s="1209">
        <f t="shared" si="245"/>
        <v>100</v>
      </c>
      <c r="T4219" s="204" t="s">
        <v>12425</v>
      </c>
      <c r="U4219" s="1901" t="s">
        <v>13282</v>
      </c>
      <c r="V4219" s="572" t="s">
        <v>5990</v>
      </c>
      <c r="W4219" s="681"/>
      <c r="X4219" s="18"/>
      <c r="Y4219" s="4"/>
      <c r="Z4219" s="4"/>
    </row>
    <row r="4220" spans="1:26" ht="14.1" hidden="1">
      <c r="A4220" s="20">
        <f t="shared" si="237"/>
        <v>185</v>
      </c>
      <c r="B4220" s="1063">
        <v>43997</v>
      </c>
      <c r="C4220" s="934" t="s">
        <v>534</v>
      </c>
      <c r="D4220" s="11"/>
      <c r="E4220" s="204" t="s">
        <v>62</v>
      </c>
      <c r="F4220" s="934" t="s">
        <v>13364</v>
      </c>
      <c r="G4220" s="204" t="s">
        <v>6458</v>
      </c>
      <c r="H4220" s="204" t="s">
        <v>2255</v>
      </c>
      <c r="I4220" s="204" t="s">
        <v>281</v>
      </c>
      <c r="J4220" s="204" t="s">
        <v>14434</v>
      </c>
      <c r="K4220" s="204" t="s">
        <v>14435</v>
      </c>
      <c r="L4220" s="204" t="s">
        <v>1088</v>
      </c>
      <c r="M4220" s="204">
        <v>40</v>
      </c>
      <c r="N4220" s="204">
        <v>1</v>
      </c>
      <c r="O4220" s="204">
        <v>45</v>
      </c>
      <c r="P4220" s="204">
        <v>0</v>
      </c>
      <c r="Q4220" s="572">
        <v>5</v>
      </c>
      <c r="R4220" s="1209">
        <v>68.099999999999994</v>
      </c>
      <c r="S4220" s="1209">
        <v>3064.5</v>
      </c>
      <c r="T4220" s="204" t="s">
        <v>14362</v>
      </c>
      <c r="U4220" s="1901" t="s">
        <v>10628</v>
      </c>
      <c r="V4220" s="572"/>
      <c r="W4220" s="681" t="s">
        <v>14436</v>
      </c>
      <c r="X4220" s="18"/>
      <c r="Y4220" s="4"/>
      <c r="Z4220" s="4"/>
    </row>
    <row r="4221" spans="1:26" ht="14.1" hidden="1">
      <c r="A4221" s="20">
        <f t="shared" si="237"/>
        <v>186</v>
      </c>
      <c r="B4221" s="1063">
        <v>43998</v>
      </c>
      <c r="C4221" s="934" t="s">
        <v>14437</v>
      </c>
      <c r="D4221" s="11"/>
      <c r="E4221" s="204" t="s">
        <v>62</v>
      </c>
      <c r="F4221" s="934" t="s">
        <v>13364</v>
      </c>
      <c r="G4221" s="204" t="s">
        <v>14438</v>
      </c>
      <c r="H4221" s="204" t="s">
        <v>3890</v>
      </c>
      <c r="I4221" s="204" t="s">
        <v>281</v>
      </c>
      <c r="J4221" s="204" t="s">
        <v>14439</v>
      </c>
      <c r="K4221" s="204" t="s">
        <v>14440</v>
      </c>
      <c r="L4221" s="204" t="s">
        <v>1088</v>
      </c>
      <c r="M4221" s="204">
        <v>80</v>
      </c>
      <c r="N4221" s="204">
        <v>1</v>
      </c>
      <c r="O4221" s="204">
        <v>80</v>
      </c>
      <c r="P4221" s="204">
        <v>0</v>
      </c>
      <c r="Q4221" s="572">
        <v>32</v>
      </c>
      <c r="R4221" s="1209">
        <v>758</v>
      </c>
      <c r="S4221" s="1209">
        <v>60640</v>
      </c>
      <c r="T4221" s="204" t="s">
        <v>14362</v>
      </c>
      <c r="U4221" s="1901" t="s">
        <v>10628</v>
      </c>
      <c r="V4221" s="572"/>
      <c r="W4221" s="681" t="s">
        <v>14441</v>
      </c>
      <c r="X4221" s="18"/>
      <c r="Y4221" s="4"/>
      <c r="Z4221" s="4"/>
    </row>
    <row r="4222" spans="1:26" ht="14.1" hidden="1">
      <c r="A4222" s="20">
        <f t="shared" si="237"/>
        <v>187</v>
      </c>
      <c r="B4222" s="1063">
        <v>43999</v>
      </c>
      <c r="C4222" s="934" t="s">
        <v>3692</v>
      </c>
      <c r="D4222" s="11"/>
      <c r="E4222" s="204" t="s">
        <v>62</v>
      </c>
      <c r="F4222" s="934" t="s">
        <v>13364</v>
      </c>
      <c r="G4222" s="204" t="s">
        <v>7143</v>
      </c>
      <c r="H4222" s="204" t="s">
        <v>12629</v>
      </c>
      <c r="I4222" s="204" t="s">
        <v>281</v>
      </c>
      <c r="J4222" s="204" t="s">
        <v>8221</v>
      </c>
      <c r="K4222" s="204" t="s">
        <v>8221</v>
      </c>
      <c r="L4222" s="204" t="s">
        <v>532</v>
      </c>
      <c r="M4222" s="204">
        <v>10</v>
      </c>
      <c r="N4222" s="204">
        <v>1</v>
      </c>
      <c r="O4222" s="204">
        <v>15</v>
      </c>
      <c r="P4222" s="204">
        <v>0</v>
      </c>
      <c r="Q4222" s="572">
        <v>5</v>
      </c>
      <c r="R4222" s="1209">
        <v>459</v>
      </c>
      <c r="S4222" s="1209">
        <v>6885</v>
      </c>
      <c r="T4222" s="204" t="s">
        <v>14362</v>
      </c>
      <c r="U4222" s="1901" t="s">
        <v>10628</v>
      </c>
      <c r="V4222" s="572"/>
      <c r="W4222" s="681" t="s">
        <v>13372</v>
      </c>
      <c r="X4222" s="18"/>
      <c r="Y4222" s="4"/>
      <c r="Z4222" s="4"/>
    </row>
    <row r="4223" spans="1:26" ht="14.1" hidden="1">
      <c r="A4223" s="20">
        <f t="shared" si="237"/>
        <v>188</v>
      </c>
      <c r="B4223" s="1063">
        <v>44000</v>
      </c>
      <c r="C4223" s="934" t="s">
        <v>6590</v>
      </c>
      <c r="D4223" s="11"/>
      <c r="E4223" s="204" t="s">
        <v>62</v>
      </c>
      <c r="F4223" s="934" t="s">
        <v>13364</v>
      </c>
      <c r="G4223" s="204" t="s">
        <v>6591</v>
      </c>
      <c r="H4223" s="204" t="s">
        <v>6592</v>
      </c>
      <c r="I4223" s="204" t="s">
        <v>574</v>
      </c>
      <c r="J4223" s="204" t="s">
        <v>6593</v>
      </c>
      <c r="K4223" s="204" t="s">
        <v>6590</v>
      </c>
      <c r="L4223" s="204" t="s">
        <v>6580</v>
      </c>
      <c r="M4223" s="204">
        <v>36</v>
      </c>
      <c r="N4223" s="204">
        <v>1</v>
      </c>
      <c r="O4223" s="204">
        <v>60</v>
      </c>
      <c r="P4223" s="204">
        <v>0</v>
      </c>
      <c r="Q4223" s="572">
        <v>24</v>
      </c>
      <c r="R4223" s="1209">
        <v>42</v>
      </c>
      <c r="S4223" s="1209">
        <v>2520</v>
      </c>
      <c r="T4223" s="204" t="s">
        <v>14362</v>
      </c>
      <c r="U4223" s="1901" t="s">
        <v>10628</v>
      </c>
      <c r="V4223" s="572"/>
      <c r="W4223" s="681" t="s">
        <v>6594</v>
      </c>
      <c r="X4223" s="18"/>
      <c r="Y4223" s="4"/>
      <c r="Z4223" s="4"/>
    </row>
    <row r="4224" spans="1:26" ht="14.1" hidden="1">
      <c r="A4224" s="20">
        <f t="shared" si="237"/>
        <v>189</v>
      </c>
      <c r="B4224" s="1063">
        <v>44001</v>
      </c>
      <c r="C4224" s="934" t="s">
        <v>6599</v>
      </c>
      <c r="D4224" s="11"/>
      <c r="E4224" s="204" t="s">
        <v>62</v>
      </c>
      <c r="F4224" s="934" t="s">
        <v>13364</v>
      </c>
      <c r="G4224" s="204" t="s">
        <v>6600</v>
      </c>
      <c r="H4224" s="204" t="s">
        <v>1653</v>
      </c>
      <c r="I4224" s="204" t="s">
        <v>574</v>
      </c>
      <c r="J4224" s="204" t="s">
        <v>6601</v>
      </c>
      <c r="K4224" s="204" t="s">
        <v>6599</v>
      </c>
      <c r="L4224" s="204" t="s">
        <v>6580</v>
      </c>
      <c r="M4224" s="204">
        <v>300</v>
      </c>
      <c r="N4224" s="204">
        <v>1</v>
      </c>
      <c r="O4224" s="204">
        <v>300</v>
      </c>
      <c r="P4224" s="204">
        <v>0</v>
      </c>
      <c r="Q4224" s="572">
        <v>108</v>
      </c>
      <c r="R4224" s="1209">
        <v>0.78</v>
      </c>
      <c r="S4224" s="1209">
        <v>234</v>
      </c>
      <c r="T4224" s="204" t="s">
        <v>14362</v>
      </c>
      <c r="U4224" s="1901" t="s">
        <v>10628</v>
      </c>
      <c r="V4224" s="572"/>
      <c r="W4224" s="681" t="s">
        <v>6602</v>
      </c>
      <c r="X4224" s="18"/>
      <c r="Y4224" s="4"/>
      <c r="Z4224" s="4"/>
    </row>
    <row r="4225" spans="1:26" ht="14.1" hidden="1">
      <c r="A4225" s="20">
        <f t="shared" si="237"/>
        <v>190</v>
      </c>
      <c r="B4225" s="1063">
        <v>44002</v>
      </c>
      <c r="C4225" s="934" t="s">
        <v>14442</v>
      </c>
      <c r="D4225" s="11"/>
      <c r="E4225" s="204" t="s">
        <v>62</v>
      </c>
      <c r="F4225" s="934" t="s">
        <v>13364</v>
      </c>
      <c r="G4225" s="204" t="s">
        <v>14443</v>
      </c>
      <c r="H4225" s="204" t="s">
        <v>14444</v>
      </c>
      <c r="I4225" s="204" t="s">
        <v>574</v>
      </c>
      <c r="J4225" s="204" t="s">
        <v>6690</v>
      </c>
      <c r="K4225" s="204" t="s">
        <v>14445</v>
      </c>
      <c r="L4225" s="204" t="s">
        <v>1088</v>
      </c>
      <c r="M4225" s="204">
        <v>48</v>
      </c>
      <c r="N4225" s="204">
        <v>1</v>
      </c>
      <c r="O4225" s="204">
        <v>60</v>
      </c>
      <c r="P4225" s="204">
        <v>0</v>
      </c>
      <c r="Q4225" s="572">
        <v>12</v>
      </c>
      <c r="R4225" s="1209">
        <v>184.8</v>
      </c>
      <c r="S4225" s="1209">
        <v>11088</v>
      </c>
      <c r="T4225" s="204" t="s">
        <v>14362</v>
      </c>
      <c r="U4225" s="1901" t="s">
        <v>10628</v>
      </c>
      <c r="V4225" s="572"/>
      <c r="W4225" s="681" t="s">
        <v>14446</v>
      </c>
      <c r="X4225" s="18"/>
      <c r="Y4225" s="4"/>
      <c r="Z4225" s="4"/>
    </row>
    <row r="4226" spans="1:26" ht="14.1" hidden="1">
      <c r="A4226" s="20">
        <f t="shared" si="237"/>
        <v>191</v>
      </c>
      <c r="B4226" s="1063">
        <v>44003</v>
      </c>
      <c r="C4226" s="934" t="s">
        <v>14447</v>
      </c>
      <c r="D4226" s="11"/>
      <c r="E4226" s="204" t="s">
        <v>62</v>
      </c>
      <c r="F4226" s="934" t="s">
        <v>13364</v>
      </c>
      <c r="G4226" s="204" t="s">
        <v>14448</v>
      </c>
      <c r="H4226" s="204" t="s">
        <v>14449</v>
      </c>
      <c r="I4226" s="204" t="s">
        <v>574</v>
      </c>
      <c r="J4226" s="204" t="s">
        <v>14450</v>
      </c>
      <c r="K4226" s="204" t="s">
        <v>14451</v>
      </c>
      <c r="L4226" s="204" t="s">
        <v>1088</v>
      </c>
      <c r="M4226" s="204">
        <v>20</v>
      </c>
      <c r="N4226" s="204">
        <v>1</v>
      </c>
      <c r="O4226" s="204">
        <v>20</v>
      </c>
      <c r="P4226" s="204">
        <v>0</v>
      </c>
      <c r="Q4226" s="572">
        <v>8</v>
      </c>
      <c r="R4226" s="1209">
        <v>294</v>
      </c>
      <c r="S4226" s="1209">
        <v>5880</v>
      </c>
      <c r="T4226" s="204" t="s">
        <v>14362</v>
      </c>
      <c r="U4226" s="1901" t="s">
        <v>10628</v>
      </c>
      <c r="V4226" s="572"/>
      <c r="W4226" s="681" t="s">
        <v>14452</v>
      </c>
      <c r="X4226" s="18"/>
      <c r="Y4226" s="4"/>
      <c r="Z4226" s="4"/>
    </row>
    <row r="4227" spans="1:26" ht="14.1" hidden="1">
      <c r="A4227" s="20">
        <f t="shared" si="237"/>
        <v>192</v>
      </c>
      <c r="B4227" s="1063">
        <v>44004</v>
      </c>
      <c r="C4227" s="934" t="s">
        <v>14453</v>
      </c>
      <c r="D4227" s="11"/>
      <c r="E4227" s="204" t="s">
        <v>62</v>
      </c>
      <c r="F4227" s="934" t="s">
        <v>13364</v>
      </c>
      <c r="G4227" s="204" t="s">
        <v>14454</v>
      </c>
      <c r="H4227" s="204" t="s">
        <v>5730</v>
      </c>
      <c r="I4227" s="204" t="s">
        <v>574</v>
      </c>
      <c r="J4227" s="204" t="s">
        <v>14455</v>
      </c>
      <c r="K4227" s="204" t="s">
        <v>14456</v>
      </c>
      <c r="L4227" s="204" t="s">
        <v>1088</v>
      </c>
      <c r="M4227" s="204">
        <v>80</v>
      </c>
      <c r="N4227" s="204">
        <v>1</v>
      </c>
      <c r="O4227" s="204">
        <v>80</v>
      </c>
      <c r="P4227" s="204">
        <v>0</v>
      </c>
      <c r="Q4227" s="572">
        <v>32</v>
      </c>
      <c r="R4227" s="1209">
        <v>10.1</v>
      </c>
      <c r="S4227" s="1209">
        <v>808</v>
      </c>
      <c r="T4227" s="204" t="s">
        <v>14362</v>
      </c>
      <c r="U4227" s="1901" t="s">
        <v>10628</v>
      </c>
      <c r="V4227" s="572"/>
      <c r="W4227" s="681" t="s">
        <v>14457</v>
      </c>
      <c r="X4227" s="18"/>
      <c r="Y4227" s="4"/>
      <c r="Z4227" s="4"/>
    </row>
    <row r="4228" spans="1:26" ht="14.1" hidden="1">
      <c r="A4228" s="20">
        <f t="shared" si="237"/>
        <v>193</v>
      </c>
      <c r="B4228" s="1063">
        <v>44005</v>
      </c>
      <c r="C4228" s="934" t="s">
        <v>14458</v>
      </c>
      <c r="D4228" s="11"/>
      <c r="E4228" s="204" t="s">
        <v>62</v>
      </c>
      <c r="F4228" s="934" t="s">
        <v>13364</v>
      </c>
      <c r="G4228" s="204" t="s">
        <v>14459</v>
      </c>
      <c r="H4228" s="204" t="s">
        <v>578</v>
      </c>
      <c r="I4228" s="204" t="s">
        <v>574</v>
      </c>
      <c r="J4228" s="204" t="s">
        <v>14460</v>
      </c>
      <c r="K4228" s="204" t="s">
        <v>13410</v>
      </c>
      <c r="L4228" s="204" t="s">
        <v>1088</v>
      </c>
      <c r="M4228" s="204">
        <v>20</v>
      </c>
      <c r="N4228" s="204">
        <v>1</v>
      </c>
      <c r="O4228" s="204">
        <v>20</v>
      </c>
      <c r="P4228" s="204">
        <v>0</v>
      </c>
      <c r="Q4228" s="572">
        <v>8</v>
      </c>
      <c r="R4228" s="1209">
        <v>59</v>
      </c>
      <c r="S4228" s="1209">
        <v>1180</v>
      </c>
      <c r="T4228" s="204" t="s">
        <v>14362</v>
      </c>
      <c r="U4228" s="1901" t="s">
        <v>10628</v>
      </c>
      <c r="V4228" s="572"/>
      <c r="W4228" s="681" t="s">
        <v>14461</v>
      </c>
      <c r="X4228" s="18"/>
      <c r="Y4228" s="4"/>
      <c r="Z4228" s="4"/>
    </row>
    <row r="4229" spans="1:26" ht="14.1" hidden="1">
      <c r="A4229" s="20">
        <f t="shared" si="237"/>
        <v>194</v>
      </c>
      <c r="B4229" s="1063">
        <v>44006</v>
      </c>
      <c r="C4229" s="934" t="s">
        <v>14462</v>
      </c>
      <c r="D4229" s="11"/>
      <c r="E4229" s="204" t="s">
        <v>62</v>
      </c>
      <c r="F4229" s="934" t="s">
        <v>13364</v>
      </c>
      <c r="G4229" s="204" t="s">
        <v>14463</v>
      </c>
      <c r="H4229" s="204" t="s">
        <v>14464</v>
      </c>
      <c r="I4229" s="204" t="s">
        <v>574</v>
      </c>
      <c r="J4229" s="204" t="s">
        <v>14465</v>
      </c>
      <c r="K4229" s="204" t="s">
        <v>14466</v>
      </c>
      <c r="L4229" s="204" t="s">
        <v>1088</v>
      </c>
      <c r="M4229" s="204">
        <v>80</v>
      </c>
      <c r="N4229" s="204">
        <v>1</v>
      </c>
      <c r="O4229" s="204">
        <v>80</v>
      </c>
      <c r="P4229" s="204">
        <v>0</v>
      </c>
      <c r="Q4229" s="572">
        <v>32</v>
      </c>
      <c r="R4229" s="1209">
        <v>5.6</v>
      </c>
      <c r="S4229" s="1209">
        <v>448</v>
      </c>
      <c r="T4229" s="204" t="s">
        <v>14362</v>
      </c>
      <c r="U4229" s="1901" t="s">
        <v>10628</v>
      </c>
      <c r="V4229" s="572"/>
      <c r="W4229" s="681" t="s">
        <v>14467</v>
      </c>
      <c r="X4229" s="18"/>
      <c r="Y4229" s="4"/>
      <c r="Z4229" s="4"/>
    </row>
    <row r="4230" spans="1:26" ht="14.1" hidden="1">
      <c r="A4230" s="20">
        <f t="shared" si="237"/>
        <v>195</v>
      </c>
      <c r="B4230" s="1063">
        <v>44007</v>
      </c>
      <c r="C4230" s="934" t="s">
        <v>14468</v>
      </c>
      <c r="D4230" s="11"/>
      <c r="E4230" s="204" t="s">
        <v>62</v>
      </c>
      <c r="F4230" s="934" t="s">
        <v>13364</v>
      </c>
      <c r="G4230" s="204" t="s">
        <v>14469</v>
      </c>
      <c r="H4230" s="204" t="s">
        <v>315</v>
      </c>
      <c r="I4230" s="204" t="s">
        <v>6612</v>
      </c>
      <c r="J4230" s="204" t="s">
        <v>6620</v>
      </c>
      <c r="K4230" s="204" t="s">
        <v>6620</v>
      </c>
      <c r="L4230" s="204"/>
      <c r="M4230" s="204">
        <v>10</v>
      </c>
      <c r="N4230" s="204">
        <v>1</v>
      </c>
      <c r="O4230" s="204">
        <v>15</v>
      </c>
      <c r="P4230" s="204">
        <v>0</v>
      </c>
      <c r="Q4230" s="572">
        <v>5</v>
      </c>
      <c r="R4230" s="1209">
        <v>154.68</v>
      </c>
      <c r="S4230" s="1209">
        <v>2320.1999999999998</v>
      </c>
      <c r="T4230" s="204" t="s">
        <v>14362</v>
      </c>
      <c r="U4230" s="1901" t="s">
        <v>10628</v>
      </c>
      <c r="V4230" s="572"/>
      <c r="W4230" s="681" t="s">
        <v>6621</v>
      </c>
      <c r="X4230" s="18"/>
      <c r="Y4230" s="4"/>
      <c r="Z4230" s="4"/>
    </row>
    <row r="4231" spans="1:26" ht="14.1" hidden="1">
      <c r="A4231" s="20">
        <f t="shared" si="237"/>
        <v>196</v>
      </c>
      <c r="B4231" s="1063">
        <v>44008</v>
      </c>
      <c r="C4231" s="934" t="s">
        <v>6554</v>
      </c>
      <c r="D4231" s="11"/>
      <c r="E4231" s="204" t="s">
        <v>62</v>
      </c>
      <c r="F4231" s="934" t="s">
        <v>13364</v>
      </c>
      <c r="G4231" s="204" t="s">
        <v>14470</v>
      </c>
      <c r="H4231" s="204" t="s">
        <v>1740</v>
      </c>
      <c r="I4231" s="204" t="s">
        <v>574</v>
      </c>
      <c r="J4231" s="204" t="s">
        <v>14471</v>
      </c>
      <c r="K4231" s="204" t="s">
        <v>14472</v>
      </c>
      <c r="L4231" s="204" t="s">
        <v>1088</v>
      </c>
      <c r="M4231" s="204">
        <v>80</v>
      </c>
      <c r="N4231" s="204">
        <v>1</v>
      </c>
      <c r="O4231" s="204">
        <v>100</v>
      </c>
      <c r="P4231" s="204">
        <v>0</v>
      </c>
      <c r="Q4231" s="572">
        <v>32</v>
      </c>
      <c r="R4231" s="1209">
        <v>42.9</v>
      </c>
      <c r="S4231" s="1209">
        <v>4290</v>
      </c>
      <c r="T4231" s="204" t="s">
        <v>14362</v>
      </c>
      <c r="U4231" s="1901" t="s">
        <v>10628</v>
      </c>
      <c r="V4231" s="572"/>
      <c r="W4231" s="681" t="s">
        <v>14473</v>
      </c>
      <c r="X4231" s="18"/>
      <c r="Y4231" s="4"/>
      <c r="Z4231" s="4"/>
    </row>
    <row r="4232" spans="1:26" ht="14.1" hidden="1">
      <c r="A4232" s="20">
        <f t="shared" si="237"/>
        <v>197</v>
      </c>
      <c r="B4232" s="1063">
        <v>44009</v>
      </c>
      <c r="C4232" s="934" t="s">
        <v>2320</v>
      </c>
      <c r="D4232" s="11"/>
      <c r="E4232" s="204" t="s">
        <v>62</v>
      </c>
      <c r="F4232" s="934" t="s">
        <v>13364</v>
      </c>
      <c r="G4232" s="204" t="s">
        <v>14474</v>
      </c>
      <c r="H4232" s="204" t="s">
        <v>1853</v>
      </c>
      <c r="I4232" s="204" t="s">
        <v>574</v>
      </c>
      <c r="J4232" s="204" t="s">
        <v>2322</v>
      </c>
      <c r="K4232" s="204" t="s">
        <v>2323</v>
      </c>
      <c r="L4232" s="204" t="s">
        <v>2324</v>
      </c>
      <c r="M4232" s="204">
        <v>20</v>
      </c>
      <c r="N4232" s="204">
        <v>1</v>
      </c>
      <c r="O4232" s="204">
        <v>20</v>
      </c>
      <c r="P4232" s="204">
        <v>0</v>
      </c>
      <c r="Q4232" s="572">
        <v>8</v>
      </c>
      <c r="R4232" s="1209">
        <v>238</v>
      </c>
      <c r="S4232" s="1209">
        <v>4760</v>
      </c>
      <c r="T4232" s="204" t="s">
        <v>14362</v>
      </c>
      <c r="U4232" s="1901" t="s">
        <v>10628</v>
      </c>
      <c r="V4232" s="572"/>
      <c r="W4232" s="681" t="s">
        <v>2325</v>
      </c>
      <c r="X4232" s="18"/>
      <c r="Y4232" s="4"/>
      <c r="Z4232" s="4"/>
    </row>
    <row r="4233" spans="1:26" ht="14.1" hidden="1">
      <c r="A4233" s="20">
        <f t="shared" si="237"/>
        <v>198</v>
      </c>
      <c r="B4233" s="1063">
        <v>44010</v>
      </c>
      <c r="C4233" s="934" t="s">
        <v>2279</v>
      </c>
      <c r="D4233" s="11"/>
      <c r="E4233" s="204" t="s">
        <v>62</v>
      </c>
      <c r="F4233" s="934" t="s">
        <v>13364</v>
      </c>
      <c r="G4233" s="204" t="s">
        <v>2279</v>
      </c>
      <c r="H4233" s="204" t="s">
        <v>2280</v>
      </c>
      <c r="I4233" s="204" t="s">
        <v>574</v>
      </c>
      <c r="J4233" s="204" t="s">
        <v>512</v>
      </c>
      <c r="K4233" s="204" t="s">
        <v>2281</v>
      </c>
      <c r="L4233" s="204" t="s">
        <v>2282</v>
      </c>
      <c r="M4233" s="204">
        <v>10</v>
      </c>
      <c r="N4233" s="204">
        <v>1</v>
      </c>
      <c r="O4233" s="204">
        <v>15</v>
      </c>
      <c r="P4233" s="204">
        <v>0</v>
      </c>
      <c r="Q4233" s="572">
        <v>5</v>
      </c>
      <c r="R4233" s="1209">
        <v>53</v>
      </c>
      <c r="S4233" s="1209">
        <v>795</v>
      </c>
      <c r="T4233" s="204" t="s">
        <v>14362</v>
      </c>
      <c r="U4233" s="1901" t="s">
        <v>10628</v>
      </c>
      <c r="V4233" s="572"/>
      <c r="W4233" s="681" t="s">
        <v>2283</v>
      </c>
      <c r="X4233" s="18"/>
      <c r="Y4233" s="4"/>
      <c r="Z4233" s="4"/>
    </row>
    <row r="4234" spans="1:26" ht="14.1" hidden="1">
      <c r="A4234" s="20">
        <f t="shared" si="237"/>
        <v>199</v>
      </c>
      <c r="B4234" s="1063">
        <v>44011</v>
      </c>
      <c r="C4234" s="934" t="s">
        <v>14475</v>
      </c>
      <c r="D4234" s="11"/>
      <c r="E4234" s="204" t="s">
        <v>62</v>
      </c>
      <c r="F4234" s="934" t="s">
        <v>13364</v>
      </c>
      <c r="G4234" s="204" t="s">
        <v>12090</v>
      </c>
      <c r="H4234" s="204" t="s">
        <v>578</v>
      </c>
      <c r="I4234" s="204" t="s">
        <v>281</v>
      </c>
      <c r="J4234" s="204" t="s">
        <v>14476</v>
      </c>
      <c r="K4234" s="204" t="s">
        <v>14477</v>
      </c>
      <c r="L4234" s="204" t="s">
        <v>14478</v>
      </c>
      <c r="M4234" s="204">
        <v>10</v>
      </c>
      <c r="N4234" s="204">
        <v>1</v>
      </c>
      <c r="O4234" s="204">
        <v>10</v>
      </c>
      <c r="P4234" s="204">
        <v>0</v>
      </c>
      <c r="Q4234" s="572">
        <v>4</v>
      </c>
      <c r="R4234" s="1209">
        <v>3.6</v>
      </c>
      <c r="S4234" s="1209">
        <v>36</v>
      </c>
      <c r="T4234" s="204" t="s">
        <v>14362</v>
      </c>
      <c r="U4234" s="1901" t="s">
        <v>10628</v>
      </c>
      <c r="V4234" s="572"/>
      <c r="W4234" s="681" t="s">
        <v>14479</v>
      </c>
      <c r="X4234" s="18"/>
      <c r="Y4234" s="4"/>
      <c r="Z4234" s="4"/>
    </row>
    <row r="4235" spans="1:26" ht="14.1" hidden="1">
      <c r="A4235" s="20">
        <f t="shared" si="237"/>
        <v>200</v>
      </c>
      <c r="B4235" s="1063">
        <v>44012</v>
      </c>
      <c r="C4235" s="934" t="s">
        <v>6545</v>
      </c>
      <c r="D4235" s="11"/>
      <c r="E4235" s="204" t="s">
        <v>62</v>
      </c>
      <c r="F4235" s="934" t="s">
        <v>13364</v>
      </c>
      <c r="G4235" s="204" t="s">
        <v>14480</v>
      </c>
      <c r="H4235" s="204" t="s">
        <v>6567</v>
      </c>
      <c r="I4235" s="204" t="s">
        <v>281</v>
      </c>
      <c r="J4235" s="204" t="s">
        <v>14481</v>
      </c>
      <c r="K4235" s="204" t="s">
        <v>14482</v>
      </c>
      <c r="L4235" s="204" t="s">
        <v>6661</v>
      </c>
      <c r="M4235" s="204">
        <v>10</v>
      </c>
      <c r="N4235" s="204">
        <v>1</v>
      </c>
      <c r="O4235" s="204">
        <v>10</v>
      </c>
      <c r="P4235" s="204">
        <v>0</v>
      </c>
      <c r="Q4235" s="572">
        <v>4</v>
      </c>
      <c r="R4235" s="1209">
        <v>537</v>
      </c>
      <c r="S4235" s="1209">
        <v>5370</v>
      </c>
      <c r="T4235" s="204" t="s">
        <v>14362</v>
      </c>
      <c r="U4235" s="1901" t="s">
        <v>10628</v>
      </c>
      <c r="V4235" s="572"/>
      <c r="W4235" s="681" t="s">
        <v>14483</v>
      </c>
      <c r="X4235" s="18"/>
      <c r="Y4235" s="4"/>
      <c r="Z4235" s="4"/>
    </row>
    <row r="4236" spans="1:26" ht="14.1" hidden="1">
      <c r="A4236" s="20">
        <f t="shared" si="237"/>
        <v>201</v>
      </c>
      <c r="B4236" s="1063">
        <v>44013</v>
      </c>
      <c r="C4236" s="934" t="s">
        <v>14484</v>
      </c>
      <c r="D4236" s="11"/>
      <c r="E4236" s="204" t="s">
        <v>62</v>
      </c>
      <c r="F4236" s="934" t="s">
        <v>13364</v>
      </c>
      <c r="G4236" s="204" t="s">
        <v>7127</v>
      </c>
      <c r="H4236" s="204" t="s">
        <v>1853</v>
      </c>
      <c r="I4236" s="204" t="s">
        <v>281</v>
      </c>
      <c r="J4236" s="204" t="s">
        <v>599</v>
      </c>
      <c r="K4236" s="204" t="s">
        <v>1991</v>
      </c>
      <c r="L4236" s="204" t="s">
        <v>1088</v>
      </c>
      <c r="M4236" s="204">
        <v>10</v>
      </c>
      <c r="N4236" s="204">
        <v>1</v>
      </c>
      <c r="O4236" s="204">
        <v>15</v>
      </c>
      <c r="P4236" s="204">
        <v>0</v>
      </c>
      <c r="Q4236" s="572">
        <v>5</v>
      </c>
      <c r="R4236" s="1209">
        <v>21.4</v>
      </c>
      <c r="S4236" s="1209">
        <v>321</v>
      </c>
      <c r="T4236" s="204" t="s">
        <v>14362</v>
      </c>
      <c r="U4236" s="1901" t="s">
        <v>10628</v>
      </c>
      <c r="V4236" s="572"/>
      <c r="W4236" s="681" t="s">
        <v>1994</v>
      </c>
      <c r="X4236" s="18"/>
      <c r="Y4236" s="4"/>
      <c r="Z4236" s="4"/>
    </row>
    <row r="4237" spans="1:26" ht="14.1" hidden="1">
      <c r="A4237" s="20">
        <f t="shared" si="237"/>
        <v>202</v>
      </c>
      <c r="B4237" s="1063">
        <v>44014</v>
      </c>
      <c r="C4237" s="934" t="s">
        <v>14485</v>
      </c>
      <c r="D4237" s="11"/>
      <c r="E4237" s="204" t="s">
        <v>14486</v>
      </c>
      <c r="F4237" s="934" t="s">
        <v>13364</v>
      </c>
      <c r="G4237" s="204" t="s">
        <v>14487</v>
      </c>
      <c r="H4237" s="204" t="s">
        <v>315</v>
      </c>
      <c r="I4237" s="204" t="s">
        <v>315</v>
      </c>
      <c r="J4237" s="204" t="s">
        <v>14488</v>
      </c>
      <c r="K4237" s="204" t="s">
        <v>14488</v>
      </c>
      <c r="L4237" s="204" t="s">
        <v>1088</v>
      </c>
      <c r="M4237" s="204">
        <v>10</v>
      </c>
      <c r="N4237" s="204">
        <v>1</v>
      </c>
      <c r="O4237" s="204">
        <v>10</v>
      </c>
      <c r="P4237" s="204">
        <v>0</v>
      </c>
      <c r="Q4237" s="572">
        <v>7</v>
      </c>
      <c r="R4237" s="1209">
        <v>130</v>
      </c>
      <c r="S4237" s="1209">
        <v>1300</v>
      </c>
      <c r="T4237" s="204" t="s">
        <v>14362</v>
      </c>
      <c r="U4237" s="1901" t="s">
        <v>10628</v>
      </c>
      <c r="V4237" s="572"/>
      <c r="W4237" s="681" t="s">
        <v>14489</v>
      </c>
      <c r="X4237" s="18"/>
      <c r="Y4237" s="4"/>
      <c r="Z4237" s="4"/>
    </row>
    <row r="4238" spans="1:26" ht="14.1" hidden="1">
      <c r="A4238" s="20">
        <f t="shared" si="237"/>
        <v>203</v>
      </c>
      <c r="B4238" s="1063">
        <v>44015</v>
      </c>
      <c r="C4238" s="934" t="s">
        <v>14490</v>
      </c>
      <c r="D4238" s="11"/>
      <c r="E4238" s="204" t="s">
        <v>14486</v>
      </c>
      <c r="F4238" s="934" t="s">
        <v>13364</v>
      </c>
      <c r="G4238" s="204" t="s">
        <v>14491</v>
      </c>
      <c r="H4238" s="204" t="s">
        <v>315</v>
      </c>
      <c r="I4238" s="204" t="s">
        <v>315</v>
      </c>
      <c r="J4238" s="204" t="s">
        <v>14492</v>
      </c>
      <c r="K4238" s="204" t="s">
        <v>14492</v>
      </c>
      <c r="L4238" s="204" t="s">
        <v>1088</v>
      </c>
      <c r="M4238" s="204">
        <v>20</v>
      </c>
      <c r="N4238" s="204">
        <v>1</v>
      </c>
      <c r="O4238" s="204">
        <v>20</v>
      </c>
      <c r="P4238" s="204">
        <v>0</v>
      </c>
      <c r="Q4238" s="572">
        <v>8</v>
      </c>
      <c r="R4238" s="1209">
        <v>192.69</v>
      </c>
      <c r="S4238" s="1209">
        <v>3853.8</v>
      </c>
      <c r="T4238" s="204" t="s">
        <v>14362</v>
      </c>
      <c r="U4238" s="1901" t="s">
        <v>10628</v>
      </c>
      <c r="V4238" s="572"/>
      <c r="W4238" s="681" t="s">
        <v>14493</v>
      </c>
      <c r="X4238" s="18"/>
      <c r="Y4238" s="4"/>
      <c r="Z4238" s="4"/>
    </row>
    <row r="4239" spans="1:26" ht="14.1" hidden="1">
      <c r="A4239" s="20">
        <f t="shared" si="237"/>
        <v>204</v>
      </c>
      <c r="B4239" s="1063">
        <v>44016</v>
      </c>
      <c r="C4239" s="934" t="s">
        <v>14494</v>
      </c>
      <c r="D4239" s="11"/>
      <c r="E4239" s="204" t="s">
        <v>14486</v>
      </c>
      <c r="F4239" s="934" t="s">
        <v>13364</v>
      </c>
      <c r="G4239" s="204" t="s">
        <v>6623</v>
      </c>
      <c r="H4239" s="204" t="s">
        <v>315</v>
      </c>
      <c r="I4239" s="204" t="s">
        <v>315</v>
      </c>
      <c r="J4239" s="204" t="s">
        <v>6624</v>
      </c>
      <c r="K4239" s="204" t="s">
        <v>6624</v>
      </c>
      <c r="L4239" s="204" t="s">
        <v>3182</v>
      </c>
      <c r="M4239" s="204">
        <v>10</v>
      </c>
      <c r="N4239" s="204">
        <v>1</v>
      </c>
      <c r="O4239" s="204">
        <v>15</v>
      </c>
      <c r="P4239" s="204">
        <v>0</v>
      </c>
      <c r="Q4239" s="572">
        <v>5</v>
      </c>
      <c r="R4239" s="1209">
        <v>402</v>
      </c>
      <c r="S4239" s="1209">
        <v>6030</v>
      </c>
      <c r="T4239" s="204" t="s">
        <v>14362</v>
      </c>
      <c r="U4239" s="1901" t="s">
        <v>10628</v>
      </c>
      <c r="V4239" s="572"/>
      <c r="W4239" s="681" t="s">
        <v>6625</v>
      </c>
      <c r="X4239" s="18"/>
      <c r="Y4239" s="4"/>
      <c r="Z4239" s="4"/>
    </row>
    <row r="4240" spans="1:26" ht="14.1" hidden="1">
      <c r="A4240" s="20">
        <f t="shared" si="237"/>
        <v>205</v>
      </c>
      <c r="B4240" s="1063">
        <v>44017</v>
      </c>
      <c r="C4240" s="934" t="s">
        <v>6585</v>
      </c>
      <c r="D4240" s="11"/>
      <c r="E4240" s="204" t="s">
        <v>62</v>
      </c>
      <c r="F4240" s="934" t="s">
        <v>13364</v>
      </c>
      <c r="G4240" s="204" t="s">
        <v>6586</v>
      </c>
      <c r="H4240" s="204" t="s">
        <v>1704</v>
      </c>
      <c r="I4240" s="204" t="s">
        <v>574</v>
      </c>
      <c r="J4240" s="204" t="s">
        <v>6587</v>
      </c>
      <c r="K4240" s="204" t="s">
        <v>6585</v>
      </c>
      <c r="L4240" s="204" t="s">
        <v>6588</v>
      </c>
      <c r="M4240" s="204">
        <v>20</v>
      </c>
      <c r="N4240" s="204">
        <v>1</v>
      </c>
      <c r="O4240" s="204">
        <v>20</v>
      </c>
      <c r="P4240" s="204">
        <v>0</v>
      </c>
      <c r="Q4240" s="572">
        <v>8</v>
      </c>
      <c r="R4240" s="1209">
        <v>64.8</v>
      </c>
      <c r="S4240" s="1209">
        <v>1296</v>
      </c>
      <c r="T4240" s="204" t="s">
        <v>14362</v>
      </c>
      <c r="U4240" s="1901" t="s">
        <v>10628</v>
      </c>
      <c r="V4240" s="572"/>
      <c r="W4240" s="681" t="s">
        <v>6589</v>
      </c>
      <c r="X4240" s="18"/>
      <c r="Y4240" s="4"/>
      <c r="Z4240" s="4"/>
    </row>
    <row r="4241" spans="1:26" ht="14.1" hidden="1">
      <c r="A4241" s="20">
        <f t="shared" si="237"/>
        <v>206</v>
      </c>
      <c r="B4241" s="1063">
        <v>44018</v>
      </c>
      <c r="C4241" s="934" t="s">
        <v>3840</v>
      </c>
      <c r="D4241" s="11"/>
      <c r="E4241" s="204" t="s">
        <v>62</v>
      </c>
      <c r="F4241" s="934" t="s">
        <v>13364</v>
      </c>
      <c r="G4241" s="204" t="s">
        <v>6583</v>
      </c>
      <c r="H4241" s="204" t="s">
        <v>5730</v>
      </c>
      <c r="I4241" s="204" t="s">
        <v>574</v>
      </c>
      <c r="J4241" s="204" t="s">
        <v>3839</v>
      </c>
      <c r="K4241" s="204" t="s">
        <v>3840</v>
      </c>
      <c r="L4241" s="204" t="s">
        <v>6580</v>
      </c>
      <c r="M4241" s="204">
        <v>80</v>
      </c>
      <c r="N4241" s="204">
        <v>1</v>
      </c>
      <c r="O4241" s="204">
        <v>80</v>
      </c>
      <c r="P4241" s="204">
        <v>0</v>
      </c>
      <c r="Q4241" s="572">
        <v>32</v>
      </c>
      <c r="R4241" s="1209">
        <v>10</v>
      </c>
      <c r="S4241" s="1209">
        <v>800</v>
      </c>
      <c r="T4241" s="204" t="s">
        <v>14362</v>
      </c>
      <c r="U4241" s="1901" t="s">
        <v>10628</v>
      </c>
      <c r="V4241" s="572"/>
      <c r="W4241" s="681" t="s">
        <v>6584</v>
      </c>
      <c r="X4241" s="18"/>
      <c r="Y4241" s="4"/>
      <c r="Z4241" s="4"/>
    </row>
    <row r="4242" spans="1:26" ht="14.1" hidden="1">
      <c r="A4242" s="20">
        <f t="shared" si="237"/>
        <v>207</v>
      </c>
      <c r="B4242" s="1063">
        <v>44019</v>
      </c>
      <c r="C4242" s="934" t="s">
        <v>3845</v>
      </c>
      <c r="D4242" s="11"/>
      <c r="E4242" s="204" t="s">
        <v>62</v>
      </c>
      <c r="F4242" s="934" t="s">
        <v>13364</v>
      </c>
      <c r="G4242" s="204" t="s">
        <v>6581</v>
      </c>
      <c r="H4242" s="204" t="s">
        <v>5730</v>
      </c>
      <c r="I4242" s="204" t="s">
        <v>574</v>
      </c>
      <c r="J4242" s="204" t="s">
        <v>3844</v>
      </c>
      <c r="K4242" s="204" t="s">
        <v>3845</v>
      </c>
      <c r="L4242" s="204" t="s">
        <v>6580</v>
      </c>
      <c r="M4242" s="204">
        <v>80</v>
      </c>
      <c r="N4242" s="204"/>
      <c r="O4242" s="204">
        <v>80</v>
      </c>
      <c r="P4242" s="204">
        <v>0</v>
      </c>
      <c r="Q4242" s="572">
        <v>32</v>
      </c>
      <c r="R4242" s="1209">
        <v>21</v>
      </c>
      <c r="S4242" s="1209">
        <v>1680</v>
      </c>
      <c r="T4242" s="204" t="s">
        <v>14362</v>
      </c>
      <c r="U4242" s="1901" t="s">
        <v>10628</v>
      </c>
      <c r="V4242" s="572"/>
      <c r="W4242" s="681" t="s">
        <v>6582</v>
      </c>
      <c r="X4242" s="18"/>
      <c r="Y4242" s="4"/>
      <c r="Z4242" s="4"/>
    </row>
    <row r="4243" spans="1:26" ht="14.1" hidden="1">
      <c r="A4243" s="20">
        <f t="shared" si="237"/>
        <v>208</v>
      </c>
      <c r="B4243" s="1063">
        <v>44020</v>
      </c>
      <c r="C4243" s="934" t="s">
        <v>554</v>
      </c>
      <c r="D4243" s="11"/>
      <c r="E4243" s="204" t="s">
        <v>62</v>
      </c>
      <c r="F4243" s="934" t="s">
        <v>13364</v>
      </c>
      <c r="G4243" s="204" t="s">
        <v>555</v>
      </c>
      <c r="H4243" s="204" t="s">
        <v>556</v>
      </c>
      <c r="I4243" s="204" t="s">
        <v>281</v>
      </c>
      <c r="J4243" s="204" t="s">
        <v>557</v>
      </c>
      <c r="K4243" s="204" t="s">
        <v>558</v>
      </c>
      <c r="L4243" s="204" t="s">
        <v>496</v>
      </c>
      <c r="M4243" s="204">
        <v>1</v>
      </c>
      <c r="N4243" s="204">
        <v>1</v>
      </c>
      <c r="O4243" s="204">
        <v>10</v>
      </c>
      <c r="P4243" s="204">
        <v>0</v>
      </c>
      <c r="Q4243" s="572">
        <v>4</v>
      </c>
      <c r="R4243" s="1209">
        <v>10.8</v>
      </c>
      <c r="S4243" s="1209">
        <v>108</v>
      </c>
      <c r="T4243" s="204" t="s">
        <v>14362</v>
      </c>
      <c r="U4243" s="1901" t="s">
        <v>10628</v>
      </c>
      <c r="V4243" s="572"/>
      <c r="W4243" s="681" t="s">
        <v>559</v>
      </c>
      <c r="X4243" s="18"/>
      <c r="Y4243" s="4"/>
      <c r="Z4243" s="4"/>
    </row>
    <row r="4244" spans="1:26" ht="14.1" hidden="1">
      <c r="A4244" s="20">
        <f t="shared" si="237"/>
        <v>209</v>
      </c>
      <c r="B4244" s="1063">
        <v>44021</v>
      </c>
      <c r="C4244" s="934" t="s">
        <v>188</v>
      </c>
      <c r="D4244" s="11"/>
      <c r="E4244" s="204" t="s">
        <v>62</v>
      </c>
      <c r="F4244" s="934" t="s">
        <v>13364</v>
      </c>
      <c r="G4244" s="204" t="s">
        <v>2298</v>
      </c>
      <c r="H4244" s="204" t="s">
        <v>1092</v>
      </c>
      <c r="I4244" s="204" t="s">
        <v>1662</v>
      </c>
      <c r="J4244" s="204" t="s">
        <v>2299</v>
      </c>
      <c r="K4244" s="204" t="s">
        <v>2300</v>
      </c>
      <c r="L4244" s="204" t="s">
        <v>2292</v>
      </c>
      <c r="M4244" s="204">
        <v>60</v>
      </c>
      <c r="N4244" s="204">
        <v>1</v>
      </c>
      <c r="O4244" s="204">
        <v>80</v>
      </c>
      <c r="P4244" s="204">
        <v>0</v>
      </c>
      <c r="Q4244" s="572">
        <v>20</v>
      </c>
      <c r="R4244" s="1209">
        <v>5.6</v>
      </c>
      <c r="S4244" s="1209">
        <v>448</v>
      </c>
      <c r="T4244" s="204" t="s">
        <v>14362</v>
      </c>
      <c r="U4244" s="1901" t="s">
        <v>10628</v>
      </c>
      <c r="V4244" s="572"/>
      <c r="W4244" s="681" t="s">
        <v>2301</v>
      </c>
      <c r="X4244" s="18"/>
      <c r="Y4244" s="4"/>
      <c r="Z4244" s="4"/>
    </row>
    <row r="4245" spans="1:26" ht="14.1" hidden="1">
      <c r="A4245" s="20">
        <f t="shared" si="237"/>
        <v>210</v>
      </c>
      <c r="B4245" s="1063">
        <v>44022</v>
      </c>
      <c r="C4245" s="934" t="s">
        <v>6572</v>
      </c>
      <c r="D4245" s="11"/>
      <c r="E4245" s="204" t="s">
        <v>62</v>
      </c>
      <c r="F4245" s="934" t="s">
        <v>13364</v>
      </c>
      <c r="G4245" s="204" t="s">
        <v>6573</v>
      </c>
      <c r="H4245" s="204" t="s">
        <v>6567</v>
      </c>
      <c r="I4245" s="204" t="s">
        <v>574</v>
      </c>
      <c r="J4245" s="204" t="s">
        <v>6574</v>
      </c>
      <c r="K4245" s="204" t="s">
        <v>6575</v>
      </c>
      <c r="L4245" s="204" t="s">
        <v>1088</v>
      </c>
      <c r="M4245" s="204">
        <v>30</v>
      </c>
      <c r="N4245" s="204">
        <v>1</v>
      </c>
      <c r="O4245" s="204">
        <v>40</v>
      </c>
      <c r="P4245" s="204">
        <v>0</v>
      </c>
      <c r="Q4245" s="572">
        <v>10</v>
      </c>
      <c r="R4245" s="1209">
        <v>184.6</v>
      </c>
      <c r="S4245" s="1209">
        <v>7384</v>
      </c>
      <c r="T4245" s="204" t="s">
        <v>14362</v>
      </c>
      <c r="U4245" s="1901" t="s">
        <v>10628</v>
      </c>
      <c r="V4245" s="572"/>
      <c r="W4245" s="681" t="s">
        <v>6576</v>
      </c>
      <c r="X4245" s="18"/>
      <c r="Y4245" s="4"/>
      <c r="Z4245" s="4"/>
    </row>
    <row r="4246" spans="1:26" ht="14.1" hidden="1">
      <c r="A4246" s="20">
        <f t="shared" si="237"/>
        <v>211</v>
      </c>
      <c r="B4246" s="1063">
        <v>44023</v>
      </c>
      <c r="C4246" s="934" t="s">
        <v>14490</v>
      </c>
      <c r="D4246" s="11"/>
      <c r="E4246" s="204" t="s">
        <v>62</v>
      </c>
      <c r="F4246" s="934" t="s">
        <v>13364</v>
      </c>
      <c r="G4246" s="204" t="s">
        <v>6615</v>
      </c>
      <c r="H4246" s="204" t="s">
        <v>6612</v>
      </c>
      <c r="I4246" s="204" t="s">
        <v>6612</v>
      </c>
      <c r="J4246" s="204" t="s">
        <v>6616</v>
      </c>
      <c r="K4246" s="204" t="s">
        <v>6616</v>
      </c>
      <c r="L4246" s="204"/>
      <c r="M4246" s="204">
        <v>12</v>
      </c>
      <c r="N4246" s="204">
        <v>1</v>
      </c>
      <c r="O4246" s="204">
        <v>15</v>
      </c>
      <c r="P4246" s="204">
        <v>0</v>
      </c>
      <c r="Q4246" s="572">
        <v>3</v>
      </c>
      <c r="R4246" s="1209">
        <v>2350</v>
      </c>
      <c r="S4246" s="1209">
        <v>35250</v>
      </c>
      <c r="T4246" s="204" t="s">
        <v>14362</v>
      </c>
      <c r="U4246" s="1901" t="s">
        <v>10628</v>
      </c>
      <c r="V4246" s="572"/>
      <c r="W4246" s="681" t="s">
        <v>6617</v>
      </c>
      <c r="X4246" s="18"/>
      <c r="Y4246" s="4"/>
      <c r="Z4246" s="4"/>
    </row>
    <row r="4247" spans="1:26" ht="14.1" hidden="1">
      <c r="A4247" s="20">
        <f t="shared" si="237"/>
        <v>212</v>
      </c>
      <c r="B4247" s="1063">
        <v>44024</v>
      </c>
      <c r="C4247" s="934" t="s">
        <v>14485</v>
      </c>
      <c r="D4247" s="11"/>
      <c r="E4247" s="204" t="s">
        <v>62</v>
      </c>
      <c r="F4247" s="934" t="s">
        <v>13364</v>
      </c>
      <c r="G4247" s="204" t="s">
        <v>6611</v>
      </c>
      <c r="H4247" s="204" t="s">
        <v>6612</v>
      </c>
      <c r="I4247" s="204" t="s">
        <v>6612</v>
      </c>
      <c r="J4247" s="204" t="s">
        <v>6613</v>
      </c>
      <c r="K4247" s="204" t="s">
        <v>6613</v>
      </c>
      <c r="L4247" s="204"/>
      <c r="M4247" s="204">
        <v>6</v>
      </c>
      <c r="N4247" s="204">
        <v>1</v>
      </c>
      <c r="O4247" s="204">
        <v>10</v>
      </c>
      <c r="P4247" s="204">
        <v>0</v>
      </c>
      <c r="Q4247" s="572">
        <v>4</v>
      </c>
      <c r="R4247" s="1209">
        <v>1150</v>
      </c>
      <c r="S4247" s="1209">
        <v>11500</v>
      </c>
      <c r="T4247" s="204" t="s">
        <v>14362</v>
      </c>
      <c r="U4247" s="1901" t="s">
        <v>10628</v>
      </c>
      <c r="V4247" s="572"/>
      <c r="W4247" s="681" t="s">
        <v>6614</v>
      </c>
      <c r="X4247" s="18"/>
      <c r="Y4247" s="4"/>
      <c r="Z4247" s="4"/>
    </row>
    <row r="4248" spans="1:26" ht="14.1" hidden="1">
      <c r="A4248" s="20">
        <f t="shared" si="237"/>
        <v>213</v>
      </c>
      <c r="B4248" s="1063">
        <v>44025</v>
      </c>
      <c r="C4248" s="934" t="s">
        <v>6551</v>
      </c>
      <c r="D4248" s="11"/>
      <c r="E4248" s="204" t="s">
        <v>62</v>
      </c>
      <c r="F4248" s="934" t="s">
        <v>13364</v>
      </c>
      <c r="G4248" s="204" t="s">
        <v>2243</v>
      </c>
      <c r="H4248" s="204" t="s">
        <v>3890</v>
      </c>
      <c r="I4248" s="204" t="s">
        <v>574</v>
      </c>
      <c r="J4248" s="204" t="s">
        <v>2242</v>
      </c>
      <c r="K4248" s="204" t="s">
        <v>2243</v>
      </c>
      <c r="L4248" s="204" t="s">
        <v>1088</v>
      </c>
      <c r="M4248" s="204">
        <v>32</v>
      </c>
      <c r="N4248" s="204"/>
      <c r="O4248" s="204">
        <v>36</v>
      </c>
      <c r="P4248" s="204">
        <v>0</v>
      </c>
      <c r="Q4248" s="572">
        <v>4</v>
      </c>
      <c r="R4248" s="1209">
        <v>666</v>
      </c>
      <c r="S4248" s="1209">
        <v>23976</v>
      </c>
      <c r="T4248" s="204" t="s">
        <v>14362</v>
      </c>
      <c r="U4248" s="1901" t="s">
        <v>10628</v>
      </c>
      <c r="V4248" s="572"/>
      <c r="W4248" s="681" t="s">
        <v>6552</v>
      </c>
      <c r="X4248" s="18"/>
      <c r="Y4248" s="4"/>
      <c r="Z4248" s="4"/>
    </row>
    <row r="4249" spans="1:26" ht="14.1" hidden="1">
      <c r="A4249" s="20">
        <f t="shared" si="237"/>
        <v>214</v>
      </c>
      <c r="B4249" s="1063">
        <v>44026</v>
      </c>
      <c r="C4249" s="934" t="s">
        <v>14495</v>
      </c>
      <c r="D4249" s="11"/>
      <c r="E4249" s="204" t="s">
        <v>62</v>
      </c>
      <c r="F4249" s="934" t="s">
        <v>13364</v>
      </c>
      <c r="G4249" s="204" t="s">
        <v>14496</v>
      </c>
      <c r="H4249" s="204" t="s">
        <v>1143</v>
      </c>
      <c r="I4249" s="204" t="s">
        <v>574</v>
      </c>
      <c r="J4249" s="204" t="s">
        <v>14497</v>
      </c>
      <c r="K4249" s="204">
        <v>151340803</v>
      </c>
      <c r="L4249" s="204"/>
      <c r="M4249" s="204">
        <v>1</v>
      </c>
      <c r="N4249" s="204">
        <v>1</v>
      </c>
      <c r="O4249" s="204">
        <v>1</v>
      </c>
      <c r="P4249" s="204">
        <v>0</v>
      </c>
      <c r="Q4249" s="572">
        <v>0</v>
      </c>
      <c r="R4249" s="1209">
        <v>721</v>
      </c>
      <c r="S4249" s="1209">
        <v>721</v>
      </c>
      <c r="T4249" s="204" t="s">
        <v>14362</v>
      </c>
      <c r="U4249" s="1901" t="s">
        <v>14498</v>
      </c>
      <c r="V4249" s="572"/>
      <c r="W4249" s="681" t="s">
        <v>14499</v>
      </c>
      <c r="X4249" s="18"/>
      <c r="Y4249" s="4"/>
      <c r="Z4249" s="4"/>
    </row>
    <row r="4250" spans="1:26" ht="14.1" hidden="1">
      <c r="A4250" s="20">
        <f t="shared" si="237"/>
        <v>215</v>
      </c>
      <c r="B4250" s="1063">
        <v>44027</v>
      </c>
      <c r="C4250" s="934" t="s">
        <v>14500</v>
      </c>
      <c r="D4250" s="11"/>
      <c r="E4250" s="204" t="s">
        <v>62</v>
      </c>
      <c r="F4250" s="934" t="s">
        <v>13364</v>
      </c>
      <c r="G4250" s="204" t="s">
        <v>14501</v>
      </c>
      <c r="H4250" s="204" t="s">
        <v>287</v>
      </c>
      <c r="I4250" s="204" t="s">
        <v>287</v>
      </c>
      <c r="J4250" s="204">
        <v>21071200017</v>
      </c>
      <c r="K4250" s="204">
        <v>21071200017</v>
      </c>
      <c r="L4250" s="204"/>
      <c r="M4250" s="204">
        <v>1</v>
      </c>
      <c r="N4250" s="204">
        <v>1</v>
      </c>
      <c r="O4250" s="204">
        <v>5</v>
      </c>
      <c r="P4250" s="204">
        <v>0</v>
      </c>
      <c r="Q4250" s="572">
        <v>4</v>
      </c>
      <c r="R4250" s="1209">
        <v>120217</v>
      </c>
      <c r="S4250" s="1209">
        <v>120217</v>
      </c>
      <c r="T4250" s="204" t="s">
        <v>14362</v>
      </c>
      <c r="U4250" s="1901" t="s">
        <v>14498</v>
      </c>
      <c r="V4250" s="572"/>
      <c r="W4250" s="804" t="s">
        <v>5265</v>
      </c>
      <c r="X4250" s="18"/>
      <c r="Y4250" s="4"/>
      <c r="Z4250" s="4"/>
    </row>
    <row r="4251" spans="1:26" ht="14.1" hidden="1">
      <c r="A4251" s="20">
        <f t="shared" si="237"/>
        <v>216</v>
      </c>
      <c r="B4251" s="1063">
        <v>44028</v>
      </c>
      <c r="C4251" s="934" t="s">
        <v>14502</v>
      </c>
      <c r="D4251" s="11"/>
      <c r="E4251" s="204" t="s">
        <v>62</v>
      </c>
      <c r="F4251" s="934" t="s">
        <v>404</v>
      </c>
      <c r="G4251" s="204" t="s">
        <v>14503</v>
      </c>
      <c r="H4251" s="204" t="s">
        <v>1143</v>
      </c>
      <c r="I4251" s="204" t="s">
        <v>39</v>
      </c>
      <c r="J4251" s="204" t="s">
        <v>14504</v>
      </c>
      <c r="K4251" s="204" t="s">
        <v>14505</v>
      </c>
      <c r="L4251" s="204"/>
      <c r="M4251" s="204">
        <v>2</v>
      </c>
      <c r="N4251" s="204">
        <v>5</v>
      </c>
      <c r="O4251" s="204">
        <v>5</v>
      </c>
      <c r="P4251" s="204">
        <v>0</v>
      </c>
      <c r="Q4251" s="572">
        <v>3</v>
      </c>
      <c r="R4251" s="1209">
        <v>54.34</v>
      </c>
      <c r="S4251" s="1209">
        <f>R4251*5</f>
        <v>271.70000000000005</v>
      </c>
      <c r="T4251" s="204" t="s">
        <v>1</v>
      </c>
      <c r="U4251" s="1901" t="s">
        <v>12265</v>
      </c>
      <c r="V4251" s="572"/>
      <c r="W4251" s="681" t="s">
        <v>14506</v>
      </c>
      <c r="X4251" s="18"/>
      <c r="Y4251" s="4"/>
      <c r="Z4251" s="4"/>
    </row>
    <row r="4252" spans="1:26" ht="14.1" hidden="1">
      <c r="A4252" s="20">
        <f t="shared" si="237"/>
        <v>217</v>
      </c>
      <c r="B4252" s="1063">
        <v>44029</v>
      </c>
      <c r="C4252" s="934" t="s">
        <v>14507</v>
      </c>
      <c r="D4252" s="11"/>
      <c r="E4252" s="183" t="s">
        <v>683</v>
      </c>
      <c r="F4252" s="934" t="s">
        <v>10005</v>
      </c>
      <c r="G4252" s="204" t="s">
        <v>14508</v>
      </c>
      <c r="H4252" s="204" t="s">
        <v>2103</v>
      </c>
      <c r="I4252" s="204" t="s">
        <v>2103</v>
      </c>
      <c r="J4252" s="204" t="s">
        <v>1</v>
      </c>
      <c r="K4252" s="204" t="s">
        <v>1</v>
      </c>
      <c r="L4252" s="204" t="s">
        <v>149</v>
      </c>
      <c r="M4252" s="204">
        <v>1</v>
      </c>
      <c r="N4252" s="204">
        <v>1</v>
      </c>
      <c r="O4252" s="204">
        <v>1</v>
      </c>
      <c r="P4252" s="204">
        <v>0</v>
      </c>
      <c r="Q4252" s="572">
        <v>0</v>
      </c>
      <c r="R4252" s="1209">
        <v>66800</v>
      </c>
      <c r="S4252" s="1209">
        <f t="shared" ref="S4252:S4253" si="246">R4252*1</f>
        <v>66800</v>
      </c>
      <c r="T4252" s="204" t="s">
        <v>14509</v>
      </c>
      <c r="U4252" s="1" t="s">
        <v>4220</v>
      </c>
      <c r="V4252" s="572" t="s">
        <v>5604</v>
      </c>
      <c r="W4252" s="681"/>
      <c r="X4252" s="18"/>
      <c r="Y4252" s="4"/>
      <c r="Z4252" s="4"/>
    </row>
    <row r="4253" spans="1:26" ht="14.1" hidden="1">
      <c r="A4253" s="20">
        <f t="shared" si="237"/>
        <v>218</v>
      </c>
      <c r="B4253" s="1063">
        <v>44030</v>
      </c>
      <c r="C4253" s="934" t="s">
        <v>14510</v>
      </c>
      <c r="D4253" s="11"/>
      <c r="E4253" s="183" t="s">
        <v>683</v>
      </c>
      <c r="F4253" s="934" t="s">
        <v>10005</v>
      </c>
      <c r="G4253" s="204" t="s">
        <v>14511</v>
      </c>
      <c r="H4253" s="204" t="s">
        <v>2103</v>
      </c>
      <c r="I4253" s="204" t="s">
        <v>2103</v>
      </c>
      <c r="J4253" s="204" t="s">
        <v>1</v>
      </c>
      <c r="K4253" s="204" t="s">
        <v>1</v>
      </c>
      <c r="L4253" s="204" t="s">
        <v>149</v>
      </c>
      <c r="M4253" s="204">
        <v>1</v>
      </c>
      <c r="N4253" s="204">
        <v>1</v>
      </c>
      <c r="O4253" s="204">
        <v>1</v>
      </c>
      <c r="P4253" s="204">
        <v>0</v>
      </c>
      <c r="Q4253" s="572">
        <v>0</v>
      </c>
      <c r="R4253" s="1209">
        <v>95000</v>
      </c>
      <c r="S4253" s="1209">
        <f t="shared" si="246"/>
        <v>95000</v>
      </c>
      <c r="T4253" s="204" t="s">
        <v>14509</v>
      </c>
      <c r="U4253" s="1" t="s">
        <v>4220</v>
      </c>
      <c r="V4253" s="572" t="s">
        <v>5604</v>
      </c>
      <c r="W4253" s="681"/>
      <c r="X4253" s="18"/>
      <c r="Y4253" s="4"/>
      <c r="Z4253" s="4"/>
    </row>
    <row r="4254" spans="1:26" ht="14.1" hidden="1">
      <c r="A4254" s="20">
        <f t="shared" si="237"/>
        <v>219</v>
      </c>
      <c r="B4254" s="1063">
        <v>44031</v>
      </c>
      <c r="C4254" s="934" t="s">
        <v>14512</v>
      </c>
      <c r="D4254" s="11"/>
      <c r="E4254" s="183" t="s">
        <v>683</v>
      </c>
      <c r="F4254" s="934" t="s">
        <v>10005</v>
      </c>
      <c r="G4254" s="204" t="s">
        <v>14513</v>
      </c>
      <c r="H4254" s="204" t="s">
        <v>2103</v>
      </c>
      <c r="I4254" s="204" t="s">
        <v>2103</v>
      </c>
      <c r="J4254" s="204" t="s">
        <v>1</v>
      </c>
      <c r="K4254" s="204" t="s">
        <v>1</v>
      </c>
      <c r="L4254" s="204" t="s">
        <v>149</v>
      </c>
      <c r="M4254" s="204">
        <v>1</v>
      </c>
      <c r="N4254" s="204">
        <v>1</v>
      </c>
      <c r="O4254" s="204">
        <v>2</v>
      </c>
      <c r="P4254" s="204">
        <v>0</v>
      </c>
      <c r="Q4254" s="572">
        <v>0</v>
      </c>
      <c r="R4254" s="1209">
        <v>89500</v>
      </c>
      <c r="S4254" s="1209">
        <f>R4254*2</f>
        <v>179000</v>
      </c>
      <c r="T4254" s="204" t="s">
        <v>14509</v>
      </c>
      <c r="U4254" s="1" t="s">
        <v>4220</v>
      </c>
      <c r="V4254" s="572" t="s">
        <v>5604</v>
      </c>
      <c r="W4254" s="681"/>
      <c r="X4254" s="18"/>
      <c r="Y4254" s="4"/>
      <c r="Z4254" s="4"/>
    </row>
    <row r="4255" spans="1:26" ht="14.1" hidden="1">
      <c r="A4255" s="20">
        <f t="shared" si="237"/>
        <v>220</v>
      </c>
      <c r="B4255" s="1063">
        <v>44032</v>
      </c>
      <c r="C4255" s="934" t="s">
        <v>14514</v>
      </c>
      <c r="D4255" s="11"/>
      <c r="E4255" s="183" t="s">
        <v>683</v>
      </c>
      <c r="F4255" s="934" t="s">
        <v>10005</v>
      </c>
      <c r="G4255" s="204" t="s">
        <v>14515</v>
      </c>
      <c r="H4255" s="204" t="s">
        <v>2103</v>
      </c>
      <c r="I4255" s="204" t="s">
        <v>2103</v>
      </c>
      <c r="J4255" s="204" t="s">
        <v>1</v>
      </c>
      <c r="K4255" s="204" t="s">
        <v>1</v>
      </c>
      <c r="L4255" s="204" t="s">
        <v>149</v>
      </c>
      <c r="M4255" s="204">
        <v>1</v>
      </c>
      <c r="N4255" s="204">
        <v>1</v>
      </c>
      <c r="O4255" s="204">
        <v>1</v>
      </c>
      <c r="P4255" s="204">
        <v>0</v>
      </c>
      <c r="Q4255" s="572">
        <v>0</v>
      </c>
      <c r="R4255" s="1209">
        <v>27800</v>
      </c>
      <c r="S4255" s="1209">
        <f t="shared" ref="S4255:S4257" si="247">R4255</f>
        <v>27800</v>
      </c>
      <c r="T4255" s="204" t="s">
        <v>14509</v>
      </c>
      <c r="U4255" s="1" t="s">
        <v>4220</v>
      </c>
      <c r="V4255" s="572" t="s">
        <v>5604</v>
      </c>
      <c r="W4255" s="681"/>
      <c r="X4255" s="18"/>
      <c r="Y4255" s="4"/>
      <c r="Z4255" s="4"/>
    </row>
    <row r="4256" spans="1:26" ht="14.1" hidden="1">
      <c r="A4256" s="20">
        <f t="shared" si="237"/>
        <v>221</v>
      </c>
      <c r="B4256" s="1063">
        <v>44033</v>
      </c>
      <c r="C4256" s="934" t="s">
        <v>14516</v>
      </c>
      <c r="D4256" s="11"/>
      <c r="E4256" s="183" t="s">
        <v>683</v>
      </c>
      <c r="F4256" s="934" t="s">
        <v>10005</v>
      </c>
      <c r="G4256" s="204" t="s">
        <v>14517</v>
      </c>
      <c r="H4256" s="204" t="s">
        <v>10008</v>
      </c>
      <c r="I4256" s="204" t="s">
        <v>10008</v>
      </c>
      <c r="J4256" s="204" t="s">
        <v>1</v>
      </c>
      <c r="K4256" s="204" t="s">
        <v>1</v>
      </c>
      <c r="L4256" s="204" t="s">
        <v>149</v>
      </c>
      <c r="M4256" s="204">
        <v>1</v>
      </c>
      <c r="N4256" s="204">
        <v>1</v>
      </c>
      <c r="O4256" s="204">
        <v>1</v>
      </c>
      <c r="P4256" s="204">
        <v>0</v>
      </c>
      <c r="Q4256" s="572">
        <v>0</v>
      </c>
      <c r="R4256" s="1209">
        <v>93000</v>
      </c>
      <c r="S4256" s="1209">
        <f t="shared" si="247"/>
        <v>93000</v>
      </c>
      <c r="T4256" s="204" t="s">
        <v>14509</v>
      </c>
      <c r="U4256" s="1" t="s">
        <v>4220</v>
      </c>
      <c r="V4256" s="572" t="s">
        <v>5604</v>
      </c>
      <c r="W4256" s="681"/>
      <c r="X4256" s="18"/>
      <c r="Y4256" s="4"/>
      <c r="Z4256" s="4"/>
    </row>
    <row r="4257" spans="1:26" ht="14.1" hidden="1">
      <c r="A4257" s="20">
        <f t="shared" si="237"/>
        <v>222</v>
      </c>
      <c r="B4257" s="1063">
        <v>44034</v>
      </c>
      <c r="C4257" s="934" t="s">
        <v>14518</v>
      </c>
      <c r="D4257" s="11"/>
      <c r="E4257" s="183" t="s">
        <v>683</v>
      </c>
      <c r="F4257" s="934" t="s">
        <v>10005</v>
      </c>
      <c r="G4257" s="204" t="s">
        <v>14519</v>
      </c>
      <c r="H4257" s="204" t="s">
        <v>10008</v>
      </c>
      <c r="I4257" s="204" t="s">
        <v>10008</v>
      </c>
      <c r="J4257" s="204" t="s">
        <v>1</v>
      </c>
      <c r="K4257" s="204" t="s">
        <v>1</v>
      </c>
      <c r="L4257" s="204" t="s">
        <v>149</v>
      </c>
      <c r="M4257" s="204">
        <v>1</v>
      </c>
      <c r="N4257" s="204">
        <v>5</v>
      </c>
      <c r="O4257" s="204">
        <v>5</v>
      </c>
      <c r="P4257" s="204">
        <v>0</v>
      </c>
      <c r="Q4257" s="572">
        <v>43</v>
      </c>
      <c r="R4257" s="1209">
        <v>700</v>
      </c>
      <c r="S4257" s="1209">
        <f t="shared" si="247"/>
        <v>700</v>
      </c>
      <c r="T4257" s="204" t="s">
        <v>14520</v>
      </c>
      <c r="U4257" s="1" t="s">
        <v>14520</v>
      </c>
      <c r="V4257" s="572" t="s">
        <v>5604</v>
      </c>
      <c r="W4257" s="681"/>
      <c r="X4257" s="18"/>
      <c r="Y4257" s="4"/>
      <c r="Z4257" s="4"/>
    </row>
    <row r="4258" spans="1:26" ht="14.1" hidden="1">
      <c r="A4258" s="20">
        <f t="shared" si="237"/>
        <v>223</v>
      </c>
      <c r="B4258" s="1063">
        <v>44035</v>
      </c>
      <c r="C4258" s="934" t="s">
        <v>14521</v>
      </c>
      <c r="D4258" s="11"/>
      <c r="E4258" s="183" t="s">
        <v>683</v>
      </c>
      <c r="F4258" s="934" t="s">
        <v>10005</v>
      </c>
      <c r="G4258" s="204" t="s">
        <v>14522</v>
      </c>
      <c r="H4258" s="204" t="s">
        <v>10008</v>
      </c>
      <c r="I4258" s="204" t="s">
        <v>10008</v>
      </c>
      <c r="J4258" s="204" t="s">
        <v>1</v>
      </c>
      <c r="K4258" s="204" t="s">
        <v>1</v>
      </c>
      <c r="L4258" s="204" t="s">
        <v>149</v>
      </c>
      <c r="M4258" s="204">
        <v>5</v>
      </c>
      <c r="N4258" s="204">
        <v>5</v>
      </c>
      <c r="O4258" s="204">
        <v>20</v>
      </c>
      <c r="P4258" s="204">
        <v>0</v>
      </c>
      <c r="Q4258" s="572">
        <v>15</v>
      </c>
      <c r="R4258" s="1209">
        <v>1200</v>
      </c>
      <c r="S4258" s="1209">
        <f>R4258*4</f>
        <v>4800</v>
      </c>
      <c r="T4258" s="204" t="s">
        <v>14520</v>
      </c>
      <c r="U4258" s="1" t="s">
        <v>14520</v>
      </c>
      <c r="V4258" s="572" t="s">
        <v>5604</v>
      </c>
      <c r="W4258" s="681"/>
      <c r="X4258" s="18"/>
      <c r="Y4258" s="4"/>
      <c r="Z4258" s="4"/>
    </row>
    <row r="4259" spans="1:26" ht="14.1" hidden="1">
      <c r="A4259" s="20">
        <v>1</v>
      </c>
      <c r="B4259" s="1063">
        <v>44036</v>
      </c>
      <c r="C4259" s="934" t="s">
        <v>14523</v>
      </c>
      <c r="D4259" s="11"/>
      <c r="E4259" s="204" t="s">
        <v>13136</v>
      </c>
      <c r="F4259" s="934" t="s">
        <v>11438</v>
      </c>
      <c r="G4259" s="204" t="s">
        <v>5689</v>
      </c>
      <c r="H4259" s="204" t="s">
        <v>799</v>
      </c>
      <c r="I4259" s="204" t="s">
        <v>5690</v>
      </c>
      <c r="J4259" s="204">
        <v>33240313</v>
      </c>
      <c r="K4259" s="204" t="s">
        <v>1</v>
      </c>
      <c r="L4259" s="204" t="s">
        <v>1</v>
      </c>
      <c r="M4259" s="204">
        <v>1</v>
      </c>
      <c r="N4259" s="204">
        <v>1</v>
      </c>
      <c r="O4259" s="204">
        <v>2</v>
      </c>
      <c r="P4259" s="204">
        <v>0</v>
      </c>
      <c r="Q4259" s="572">
        <v>1</v>
      </c>
      <c r="R4259" s="1209">
        <v>10900</v>
      </c>
      <c r="S4259" s="1209">
        <v>21800</v>
      </c>
      <c r="T4259" s="204" t="s">
        <v>9485</v>
      </c>
      <c r="U4259" s="1901" t="s">
        <v>448</v>
      </c>
      <c r="V4259" s="572" t="s">
        <v>931</v>
      </c>
      <c r="W4259" s="804" t="s">
        <v>802</v>
      </c>
      <c r="X4259" s="18"/>
      <c r="Y4259" s="4"/>
      <c r="Z4259" s="4"/>
    </row>
    <row r="4260" spans="1:26" ht="14.1" hidden="1">
      <c r="A4260" s="20">
        <f t="shared" si="237"/>
        <v>2</v>
      </c>
      <c r="B4260" s="1063">
        <v>44037</v>
      </c>
      <c r="C4260" s="934" t="s">
        <v>14524</v>
      </c>
      <c r="D4260" s="11"/>
      <c r="E4260" s="204" t="s">
        <v>13136</v>
      </c>
      <c r="F4260" s="934" t="s">
        <v>11438</v>
      </c>
      <c r="G4260" s="204" t="s">
        <v>5682</v>
      </c>
      <c r="H4260" s="204" t="s">
        <v>1143</v>
      </c>
      <c r="I4260" s="204" t="s">
        <v>39</v>
      </c>
      <c r="J4260" s="204" t="s">
        <v>306</v>
      </c>
      <c r="K4260" s="204" t="s">
        <v>1</v>
      </c>
      <c r="L4260" s="204" t="s">
        <v>1</v>
      </c>
      <c r="M4260" s="204">
        <v>40</v>
      </c>
      <c r="N4260" s="204">
        <v>10</v>
      </c>
      <c r="O4260" s="204">
        <v>60</v>
      </c>
      <c r="P4260" s="204">
        <v>0</v>
      </c>
      <c r="Q4260" s="572">
        <v>20</v>
      </c>
      <c r="R4260" s="1209">
        <v>53.9</v>
      </c>
      <c r="S4260" s="1209">
        <v>3234</v>
      </c>
      <c r="T4260" s="204" t="s">
        <v>9485</v>
      </c>
      <c r="U4260" s="1901" t="s">
        <v>448</v>
      </c>
      <c r="V4260" s="572" t="s">
        <v>931</v>
      </c>
      <c r="W4260" s="804" t="s">
        <v>14525</v>
      </c>
      <c r="X4260" s="18"/>
      <c r="Y4260" s="4"/>
      <c r="Z4260" s="4"/>
    </row>
    <row r="4261" spans="1:26" ht="14.1" hidden="1">
      <c r="A4261" s="20">
        <f t="shared" si="237"/>
        <v>3</v>
      </c>
      <c r="B4261" s="1063">
        <v>44038</v>
      </c>
      <c r="C4261" s="934" t="s">
        <v>14526</v>
      </c>
      <c r="D4261" s="11"/>
      <c r="E4261" s="204" t="s">
        <v>572</v>
      </c>
      <c r="F4261" s="934" t="s">
        <v>784</v>
      </c>
      <c r="G4261" s="204" t="s">
        <v>14527</v>
      </c>
      <c r="H4261" s="204" t="s">
        <v>14528</v>
      </c>
      <c r="I4261" s="204" t="s">
        <v>39</v>
      </c>
      <c r="J4261" s="204" t="s">
        <v>14529</v>
      </c>
      <c r="K4261" s="204" t="s">
        <v>14530</v>
      </c>
      <c r="L4261" s="204" t="s">
        <v>149</v>
      </c>
      <c r="M4261" s="204">
        <v>1</v>
      </c>
      <c r="N4261" s="204">
        <v>1</v>
      </c>
      <c r="O4261" s="204">
        <v>1</v>
      </c>
      <c r="P4261" s="204">
        <v>0</v>
      </c>
      <c r="Q4261" s="572">
        <v>0</v>
      </c>
      <c r="R4261" s="1209">
        <v>5845.4</v>
      </c>
      <c r="S4261" s="1209">
        <f>R4261*O4261</f>
        <v>5845.4</v>
      </c>
      <c r="T4261" s="204" t="s">
        <v>10016</v>
      </c>
      <c r="U4261" s="1901" t="s">
        <v>10016</v>
      </c>
      <c r="V4261" s="572" t="s">
        <v>10323</v>
      </c>
      <c r="W4261" s="681" t="s">
        <v>14531</v>
      </c>
      <c r="X4261" s="18"/>
      <c r="Y4261" s="4"/>
      <c r="Z4261" s="4"/>
    </row>
    <row r="4262" spans="1:26" ht="75.95" hidden="1">
      <c r="A4262" s="20">
        <f t="shared" si="237"/>
        <v>4</v>
      </c>
      <c r="B4262" s="1063">
        <v>44039</v>
      </c>
      <c r="C4262" s="934" t="s">
        <v>14532</v>
      </c>
      <c r="D4262" s="11"/>
      <c r="E4262" s="183" t="s">
        <v>683</v>
      </c>
      <c r="F4262" s="934" t="s">
        <v>10696</v>
      </c>
      <c r="G4262" s="563" t="s">
        <v>14533</v>
      </c>
      <c r="H4262" s="204" t="s">
        <v>14534</v>
      </c>
      <c r="I4262" s="204" t="s">
        <v>1022</v>
      </c>
      <c r="J4262" s="450" t="s">
        <v>14535</v>
      </c>
      <c r="K4262" s="204">
        <v>1000</v>
      </c>
      <c r="L4262" s="204" t="s">
        <v>149</v>
      </c>
      <c r="M4262" s="204">
        <v>1</v>
      </c>
      <c r="N4262" s="204">
        <v>1</v>
      </c>
      <c r="O4262" s="204">
        <v>1</v>
      </c>
      <c r="P4262" s="204">
        <v>0</v>
      </c>
      <c r="Q4262" s="572">
        <v>1</v>
      </c>
      <c r="R4262" s="1209">
        <v>25731</v>
      </c>
      <c r="S4262" s="1209">
        <v>25731</v>
      </c>
      <c r="T4262" s="204" t="s">
        <v>9485</v>
      </c>
      <c r="U4262" s="1901" t="s">
        <v>3646</v>
      </c>
      <c r="V4262" s="572" t="s">
        <v>931</v>
      </c>
      <c r="W4262" s="2041" t="s">
        <v>14536</v>
      </c>
      <c r="X4262" s="18"/>
      <c r="Y4262" s="4"/>
      <c r="Z4262" s="4"/>
    </row>
    <row r="4263" spans="1:26" ht="14.1" hidden="1">
      <c r="A4263" s="20">
        <f t="shared" si="237"/>
        <v>5</v>
      </c>
      <c r="B4263" s="1063">
        <v>44040</v>
      </c>
      <c r="C4263" s="934" t="s">
        <v>14537</v>
      </c>
      <c r="D4263" s="11" t="s">
        <v>6</v>
      </c>
      <c r="E4263" s="204" t="s">
        <v>166</v>
      </c>
      <c r="F4263" s="934" t="s">
        <v>2876</v>
      </c>
      <c r="G4263" s="204" t="s">
        <v>5993</v>
      </c>
      <c r="H4263" s="204" t="s">
        <v>3898</v>
      </c>
      <c r="I4263" s="204" t="s">
        <v>281</v>
      </c>
      <c r="J4263" s="204" t="s">
        <v>5994</v>
      </c>
      <c r="K4263" s="204" t="s">
        <v>5995</v>
      </c>
      <c r="L4263" s="204" t="s">
        <v>3636</v>
      </c>
      <c r="M4263" s="204">
        <v>36</v>
      </c>
      <c r="N4263" s="204">
        <v>1</v>
      </c>
      <c r="O4263" s="204">
        <v>80</v>
      </c>
      <c r="P4263" s="204">
        <v>34</v>
      </c>
      <c r="Q4263" s="572">
        <v>68</v>
      </c>
      <c r="R4263" s="1209">
        <v>133.08000000000001</v>
      </c>
      <c r="S4263" s="1209">
        <f t="shared" ref="S4263:S4277" si="248">O4263*R4263</f>
        <v>10646.400000000001</v>
      </c>
      <c r="T4263" s="204" t="s">
        <v>12425</v>
      </c>
      <c r="U4263" s="1901" t="s">
        <v>14538</v>
      </c>
      <c r="V4263" s="572" t="s">
        <v>5990</v>
      </c>
      <c r="W4263" s="681" t="s">
        <v>5996</v>
      </c>
      <c r="X4263" s="18"/>
      <c r="Y4263" s="4"/>
      <c r="Z4263" s="4"/>
    </row>
    <row r="4264" spans="1:26" ht="14.1" hidden="1">
      <c r="A4264" s="20">
        <f t="shared" si="237"/>
        <v>6</v>
      </c>
      <c r="B4264" s="1063">
        <v>44041</v>
      </c>
      <c r="C4264" s="934" t="s">
        <v>14539</v>
      </c>
      <c r="D4264" s="11" t="s">
        <v>6</v>
      </c>
      <c r="E4264" s="204" t="s">
        <v>166</v>
      </c>
      <c r="F4264" s="934" t="s">
        <v>2876</v>
      </c>
      <c r="G4264" s="204" t="s">
        <v>14540</v>
      </c>
      <c r="H4264" s="204" t="s">
        <v>3898</v>
      </c>
      <c r="I4264" s="204" t="s">
        <v>281</v>
      </c>
      <c r="J4264" s="204" t="s">
        <v>14541</v>
      </c>
      <c r="K4264" s="204" t="s">
        <v>14542</v>
      </c>
      <c r="L4264" s="204" t="s">
        <v>2011</v>
      </c>
      <c r="M4264" s="204">
        <v>6</v>
      </c>
      <c r="N4264" s="204">
        <v>10</v>
      </c>
      <c r="O4264" s="204">
        <v>10</v>
      </c>
      <c r="P4264" s="204">
        <v>0</v>
      </c>
      <c r="Q4264" s="572">
        <v>4</v>
      </c>
      <c r="R4264" s="1209">
        <v>171.2</v>
      </c>
      <c r="S4264" s="1209">
        <f t="shared" si="248"/>
        <v>1712</v>
      </c>
      <c r="T4264" s="204" t="s">
        <v>12425</v>
      </c>
      <c r="U4264" s="1901" t="s">
        <v>14543</v>
      </c>
      <c r="V4264" s="572" t="s">
        <v>5990</v>
      </c>
      <c r="W4264" s="681" t="s">
        <v>14544</v>
      </c>
      <c r="X4264" s="18"/>
      <c r="Y4264" s="4"/>
      <c r="Z4264" s="4"/>
    </row>
    <row r="4265" spans="1:26" ht="14.1" hidden="1">
      <c r="A4265" s="20">
        <f t="shared" si="237"/>
        <v>7</v>
      </c>
      <c r="B4265" s="1063">
        <v>44042</v>
      </c>
      <c r="C4265" s="934" t="s">
        <v>188</v>
      </c>
      <c r="D4265" s="11" t="s">
        <v>6</v>
      </c>
      <c r="E4265" s="204" t="s">
        <v>166</v>
      </c>
      <c r="F4265" s="934" t="s">
        <v>2876</v>
      </c>
      <c r="G4265" s="204" t="s">
        <v>6024</v>
      </c>
      <c r="H4265" s="204" t="s">
        <v>5730</v>
      </c>
      <c r="I4265" s="204" t="s">
        <v>281</v>
      </c>
      <c r="J4265" s="204" t="s">
        <v>6025</v>
      </c>
      <c r="K4265" s="204" t="s">
        <v>6026</v>
      </c>
      <c r="L4265" s="204" t="s">
        <v>5267</v>
      </c>
      <c r="M4265" s="204">
        <v>3</v>
      </c>
      <c r="N4265" s="204">
        <v>10</v>
      </c>
      <c r="O4265" s="204">
        <v>10</v>
      </c>
      <c r="P4265" s="204">
        <v>0</v>
      </c>
      <c r="Q4265" s="572">
        <v>7</v>
      </c>
      <c r="R4265" s="1209">
        <v>9.4</v>
      </c>
      <c r="S4265" s="1209">
        <f t="shared" si="248"/>
        <v>94</v>
      </c>
      <c r="T4265" s="204" t="s">
        <v>12425</v>
      </c>
      <c r="U4265" s="1901" t="s">
        <v>14543</v>
      </c>
      <c r="V4265" s="572" t="s">
        <v>5990</v>
      </c>
      <c r="W4265" s="681" t="s">
        <v>14545</v>
      </c>
      <c r="X4265" s="18"/>
      <c r="Y4265" s="4"/>
      <c r="Z4265" s="4"/>
    </row>
    <row r="4266" spans="1:26" ht="14.1" hidden="1">
      <c r="A4266" s="20">
        <f t="shared" si="237"/>
        <v>8</v>
      </c>
      <c r="B4266" s="1063">
        <v>44043</v>
      </c>
      <c r="C4266" s="934" t="s">
        <v>5997</v>
      </c>
      <c r="D4266" s="11" t="s">
        <v>6</v>
      </c>
      <c r="E4266" s="204" t="s">
        <v>166</v>
      </c>
      <c r="F4266" s="934" t="s">
        <v>2876</v>
      </c>
      <c r="G4266" s="204" t="s">
        <v>3639</v>
      </c>
      <c r="H4266" s="204" t="s">
        <v>1143</v>
      </c>
      <c r="I4266" s="204" t="s">
        <v>281</v>
      </c>
      <c r="J4266" s="204" t="s">
        <v>3640</v>
      </c>
      <c r="K4266" s="204">
        <v>554600272</v>
      </c>
      <c r="L4266" s="204" t="s">
        <v>5267</v>
      </c>
      <c r="M4266" s="204">
        <v>12</v>
      </c>
      <c r="N4266" s="204">
        <v>10</v>
      </c>
      <c r="O4266" s="204">
        <v>10</v>
      </c>
      <c r="P4266" s="204">
        <v>9</v>
      </c>
      <c r="Q4266" s="572">
        <v>7</v>
      </c>
      <c r="R4266" s="1209">
        <v>124.5</v>
      </c>
      <c r="S4266" s="1209">
        <f t="shared" si="248"/>
        <v>1245</v>
      </c>
      <c r="T4266" s="204" t="s">
        <v>12425</v>
      </c>
      <c r="U4266" s="1901" t="s">
        <v>14543</v>
      </c>
      <c r="V4266" s="572" t="s">
        <v>5990</v>
      </c>
      <c r="W4266" s="681" t="s">
        <v>5269</v>
      </c>
      <c r="X4266" s="18"/>
      <c r="Y4266" s="4"/>
      <c r="Z4266" s="4"/>
    </row>
    <row r="4267" spans="1:26" ht="14.1" hidden="1">
      <c r="A4267" s="20">
        <f t="shared" si="237"/>
        <v>9</v>
      </c>
      <c r="B4267" s="1063">
        <v>44044</v>
      </c>
      <c r="C4267" s="934" t="s">
        <v>6010</v>
      </c>
      <c r="D4267" s="11" t="s">
        <v>6</v>
      </c>
      <c r="E4267" s="204" t="s">
        <v>166</v>
      </c>
      <c r="F4267" s="934" t="s">
        <v>2876</v>
      </c>
      <c r="G4267" s="204" t="s">
        <v>6011</v>
      </c>
      <c r="H4267" s="204" t="s">
        <v>452</v>
      </c>
      <c r="I4267" s="204" t="s">
        <v>281</v>
      </c>
      <c r="J4267" s="204" t="s">
        <v>6012</v>
      </c>
      <c r="K4267" s="204" t="s">
        <v>6013</v>
      </c>
      <c r="L4267" s="204" t="s">
        <v>4753</v>
      </c>
      <c r="M4267" s="204">
        <v>3</v>
      </c>
      <c r="N4267" s="204">
        <v>10</v>
      </c>
      <c r="O4267" s="204">
        <v>10</v>
      </c>
      <c r="P4267" s="204">
        <v>2</v>
      </c>
      <c r="Q4267" s="572">
        <v>9</v>
      </c>
      <c r="R4267" s="1209">
        <v>79.7</v>
      </c>
      <c r="S4267" s="1209">
        <f t="shared" si="248"/>
        <v>797</v>
      </c>
      <c r="T4267" s="204" t="s">
        <v>12425</v>
      </c>
      <c r="U4267" s="1901" t="s">
        <v>14543</v>
      </c>
      <c r="V4267" s="572" t="s">
        <v>5990</v>
      </c>
      <c r="W4267" s="681" t="s">
        <v>10341</v>
      </c>
      <c r="X4267" s="18"/>
      <c r="Y4267" s="4"/>
      <c r="Z4267" s="4"/>
    </row>
    <row r="4268" spans="1:26" ht="14.1" hidden="1">
      <c r="A4268" s="20">
        <f t="shared" si="237"/>
        <v>10</v>
      </c>
      <c r="B4268" s="1063">
        <v>44045</v>
      </c>
      <c r="C4268" s="934" t="s">
        <v>5775</v>
      </c>
      <c r="D4268" s="11" t="s">
        <v>6</v>
      </c>
      <c r="E4268" s="204" t="s">
        <v>166</v>
      </c>
      <c r="F4268" s="934" t="s">
        <v>2876</v>
      </c>
      <c r="G4268" s="204" t="s">
        <v>14546</v>
      </c>
      <c r="H4268" s="204" t="s">
        <v>14547</v>
      </c>
      <c r="I4268" s="204" t="s">
        <v>281</v>
      </c>
      <c r="J4268" s="204" t="s">
        <v>14548</v>
      </c>
      <c r="K4268" s="204">
        <v>34.101999999999997</v>
      </c>
      <c r="L4268" s="204" t="s">
        <v>3636</v>
      </c>
      <c r="M4268" s="204">
        <v>27</v>
      </c>
      <c r="N4268" s="204">
        <v>25</v>
      </c>
      <c r="O4268" s="204">
        <v>25</v>
      </c>
      <c r="P4268" s="204">
        <v>0</v>
      </c>
      <c r="Q4268" s="572">
        <v>-2</v>
      </c>
      <c r="R4268" s="1209">
        <v>63.84</v>
      </c>
      <c r="S4268" s="1209">
        <f t="shared" si="248"/>
        <v>1596</v>
      </c>
      <c r="T4268" s="204" t="s">
        <v>12425</v>
      </c>
      <c r="U4268" s="1901" t="s">
        <v>14543</v>
      </c>
      <c r="V4268" s="572" t="s">
        <v>5990</v>
      </c>
      <c r="W4268" s="681" t="s">
        <v>14549</v>
      </c>
      <c r="X4268" s="18"/>
      <c r="Y4268" s="4"/>
      <c r="Z4268" s="4"/>
    </row>
    <row r="4269" spans="1:26" ht="14.1" hidden="1">
      <c r="A4269" s="20">
        <f t="shared" si="237"/>
        <v>11</v>
      </c>
      <c r="B4269" s="1063">
        <v>44046</v>
      </c>
      <c r="C4269" s="934" t="s">
        <v>589</v>
      </c>
      <c r="D4269" s="11" t="s">
        <v>6</v>
      </c>
      <c r="E4269" s="204" t="s">
        <v>166</v>
      </c>
      <c r="F4269" s="934" t="s">
        <v>2876</v>
      </c>
      <c r="G4269" s="204" t="s">
        <v>14550</v>
      </c>
      <c r="H4269" s="204" t="s">
        <v>6337</v>
      </c>
      <c r="I4269" s="204" t="s">
        <v>281</v>
      </c>
      <c r="J4269" s="204" t="s">
        <v>14551</v>
      </c>
      <c r="K4269" s="204" t="s">
        <v>14552</v>
      </c>
      <c r="L4269" s="204" t="s">
        <v>5267</v>
      </c>
      <c r="M4269" s="204">
        <v>27</v>
      </c>
      <c r="N4269" s="204">
        <v>1</v>
      </c>
      <c r="O4269" s="204">
        <v>30</v>
      </c>
      <c r="P4269" s="204">
        <v>0</v>
      </c>
      <c r="Q4269" s="572">
        <v>3</v>
      </c>
      <c r="R4269" s="1209">
        <v>17</v>
      </c>
      <c r="S4269" s="1209">
        <f t="shared" si="248"/>
        <v>510</v>
      </c>
      <c r="T4269" s="204" t="s">
        <v>12425</v>
      </c>
      <c r="U4269" s="1901" t="s">
        <v>14543</v>
      </c>
      <c r="V4269" s="572" t="s">
        <v>5990</v>
      </c>
      <c r="W4269" s="681" t="s">
        <v>14553</v>
      </c>
      <c r="X4269" s="18"/>
      <c r="Y4269" s="4"/>
      <c r="Z4269" s="4"/>
    </row>
    <row r="4270" spans="1:26" ht="14.1" hidden="1">
      <c r="A4270" s="20">
        <f t="shared" si="237"/>
        <v>12</v>
      </c>
      <c r="B4270" s="1063">
        <v>44047</v>
      </c>
      <c r="C4270" s="934" t="s">
        <v>14554</v>
      </c>
      <c r="D4270" s="11" t="s">
        <v>6</v>
      </c>
      <c r="E4270" s="204" t="s">
        <v>166</v>
      </c>
      <c r="F4270" s="934" t="s">
        <v>2876</v>
      </c>
      <c r="G4270" s="204" t="s">
        <v>14555</v>
      </c>
      <c r="H4270" s="204" t="s">
        <v>249</v>
      </c>
      <c r="I4270" s="204" t="s">
        <v>281</v>
      </c>
      <c r="J4270" s="204" t="s">
        <v>14556</v>
      </c>
      <c r="K4270" s="204" t="s">
        <v>14557</v>
      </c>
      <c r="L4270" s="204" t="s">
        <v>3636</v>
      </c>
      <c r="M4270" s="204">
        <v>3</v>
      </c>
      <c r="N4270" s="204">
        <v>1</v>
      </c>
      <c r="O4270" s="204">
        <v>3</v>
      </c>
      <c r="P4270" s="204">
        <v>0</v>
      </c>
      <c r="Q4270" s="572">
        <v>0</v>
      </c>
      <c r="R4270" s="1209">
        <v>437</v>
      </c>
      <c r="S4270" s="1209">
        <f t="shared" si="248"/>
        <v>1311</v>
      </c>
      <c r="T4270" s="204" t="s">
        <v>12425</v>
      </c>
      <c r="U4270" s="1901" t="s">
        <v>14543</v>
      </c>
      <c r="V4270" s="572" t="s">
        <v>5990</v>
      </c>
      <c r="W4270" s="681" t="s">
        <v>14558</v>
      </c>
      <c r="X4270" s="18"/>
      <c r="Y4270" s="4"/>
      <c r="Z4270" s="4"/>
    </row>
    <row r="4271" spans="1:26" ht="14.1" hidden="1">
      <c r="A4271" s="20">
        <f t="shared" si="237"/>
        <v>13</v>
      </c>
      <c r="B4271" s="1063">
        <v>44048</v>
      </c>
      <c r="C4271" s="934" t="s">
        <v>14559</v>
      </c>
      <c r="D4271" s="11" t="s">
        <v>6</v>
      </c>
      <c r="E4271" s="204" t="s">
        <v>166</v>
      </c>
      <c r="F4271" s="934" t="s">
        <v>2876</v>
      </c>
      <c r="G4271" s="204" t="s">
        <v>14560</v>
      </c>
      <c r="H4271" s="204" t="s">
        <v>249</v>
      </c>
      <c r="I4271" s="204" t="s">
        <v>281</v>
      </c>
      <c r="J4271" s="204" t="s">
        <v>14561</v>
      </c>
      <c r="K4271" s="204" t="s">
        <v>14562</v>
      </c>
      <c r="L4271" s="204" t="s">
        <v>3636</v>
      </c>
      <c r="M4271" s="204">
        <v>6</v>
      </c>
      <c r="N4271" s="204">
        <v>1</v>
      </c>
      <c r="O4271" s="204">
        <v>6</v>
      </c>
      <c r="P4271" s="204">
        <v>0</v>
      </c>
      <c r="Q4271" s="572">
        <v>0</v>
      </c>
      <c r="R4271" s="1209">
        <v>466</v>
      </c>
      <c r="S4271" s="1209">
        <f t="shared" si="248"/>
        <v>2796</v>
      </c>
      <c r="T4271" s="204" t="s">
        <v>12425</v>
      </c>
      <c r="U4271" s="1901" t="s">
        <v>14543</v>
      </c>
      <c r="V4271" s="572" t="s">
        <v>5990</v>
      </c>
      <c r="W4271" s="681" t="s">
        <v>14563</v>
      </c>
      <c r="X4271" s="18"/>
      <c r="Y4271" s="4"/>
      <c r="Z4271" s="4"/>
    </row>
    <row r="4272" spans="1:26" ht="14.1" hidden="1">
      <c r="A4272" s="20">
        <f t="shared" si="237"/>
        <v>14</v>
      </c>
      <c r="B4272" s="1063">
        <v>44049</v>
      </c>
      <c r="C4272" s="934" t="s">
        <v>14564</v>
      </c>
      <c r="D4272" s="11" t="s">
        <v>6</v>
      </c>
      <c r="E4272" s="204" t="s">
        <v>166</v>
      </c>
      <c r="F4272" s="934" t="s">
        <v>2876</v>
      </c>
      <c r="G4272" s="204" t="s">
        <v>14565</v>
      </c>
      <c r="H4272" s="204" t="s">
        <v>249</v>
      </c>
      <c r="I4272" s="204" t="s">
        <v>281</v>
      </c>
      <c r="J4272" s="204" t="s">
        <v>14566</v>
      </c>
      <c r="K4272" s="204" t="s">
        <v>14567</v>
      </c>
      <c r="L4272" s="204" t="s">
        <v>3636</v>
      </c>
      <c r="M4272" s="204">
        <v>3</v>
      </c>
      <c r="N4272" s="204">
        <v>1</v>
      </c>
      <c r="O4272" s="204">
        <v>3</v>
      </c>
      <c r="P4272" s="204">
        <v>0</v>
      </c>
      <c r="Q4272" s="572">
        <v>0</v>
      </c>
      <c r="R4272" s="1209">
        <v>320</v>
      </c>
      <c r="S4272" s="1209">
        <f t="shared" si="248"/>
        <v>960</v>
      </c>
      <c r="T4272" s="204" t="s">
        <v>12425</v>
      </c>
      <c r="U4272" s="1901" t="s">
        <v>14543</v>
      </c>
      <c r="V4272" s="572" t="s">
        <v>5990</v>
      </c>
      <c r="W4272" s="681" t="s">
        <v>14568</v>
      </c>
      <c r="X4272" s="18"/>
      <c r="Y4272" s="4"/>
      <c r="Z4272" s="4"/>
    </row>
    <row r="4273" spans="1:26" ht="14.1" hidden="1">
      <c r="A4273" s="20">
        <f t="shared" si="237"/>
        <v>15</v>
      </c>
      <c r="B4273" s="1063">
        <v>44050</v>
      </c>
      <c r="C4273" s="934" t="s">
        <v>14569</v>
      </c>
      <c r="D4273" s="11" t="s">
        <v>6</v>
      </c>
      <c r="E4273" s="204" t="s">
        <v>166</v>
      </c>
      <c r="F4273" s="934" t="s">
        <v>2876</v>
      </c>
      <c r="G4273" s="204" t="s">
        <v>14570</v>
      </c>
      <c r="H4273" s="204" t="s">
        <v>249</v>
      </c>
      <c r="I4273" s="204" t="s">
        <v>281</v>
      </c>
      <c r="J4273" s="204" t="s">
        <v>14571</v>
      </c>
      <c r="K4273" s="204" t="s">
        <v>14572</v>
      </c>
      <c r="L4273" s="204" t="s">
        <v>1606</v>
      </c>
      <c r="M4273" s="204">
        <v>10</v>
      </c>
      <c r="N4273" s="204">
        <v>10</v>
      </c>
      <c r="O4273" s="204">
        <v>10</v>
      </c>
      <c r="P4273" s="204">
        <v>0</v>
      </c>
      <c r="Q4273" s="572">
        <v>0</v>
      </c>
      <c r="R4273" s="1209">
        <v>43.9</v>
      </c>
      <c r="S4273" s="1209">
        <f t="shared" si="248"/>
        <v>439</v>
      </c>
      <c r="T4273" s="204" t="s">
        <v>12425</v>
      </c>
      <c r="U4273" s="1901" t="s">
        <v>14543</v>
      </c>
      <c r="V4273" s="572" t="s">
        <v>5990</v>
      </c>
      <c r="W4273" s="681" t="s">
        <v>14573</v>
      </c>
      <c r="X4273" s="18"/>
      <c r="Y4273" s="4"/>
      <c r="Z4273" s="4"/>
    </row>
    <row r="4274" spans="1:26" ht="14.1" hidden="1">
      <c r="A4274" s="20">
        <f t="shared" si="237"/>
        <v>16</v>
      </c>
      <c r="B4274" s="1063">
        <v>44051</v>
      </c>
      <c r="C4274" s="934" t="s">
        <v>14574</v>
      </c>
      <c r="D4274" s="11" t="s">
        <v>6</v>
      </c>
      <c r="E4274" s="204" t="s">
        <v>166</v>
      </c>
      <c r="F4274" s="934" t="s">
        <v>2876</v>
      </c>
      <c r="G4274" s="204" t="s">
        <v>14575</v>
      </c>
      <c r="H4274" s="204" t="s">
        <v>249</v>
      </c>
      <c r="I4274" s="204" t="s">
        <v>281</v>
      </c>
      <c r="J4274" s="204" t="s">
        <v>14576</v>
      </c>
      <c r="K4274" s="204" t="s">
        <v>14577</v>
      </c>
      <c r="L4274" s="204" t="s">
        <v>1606</v>
      </c>
      <c r="M4274" s="204">
        <v>10</v>
      </c>
      <c r="N4274" s="204">
        <v>10</v>
      </c>
      <c r="O4274" s="204">
        <v>10</v>
      </c>
      <c r="P4274" s="204">
        <v>0</v>
      </c>
      <c r="Q4274" s="572">
        <v>0</v>
      </c>
      <c r="R4274" s="1209">
        <v>46.4</v>
      </c>
      <c r="S4274" s="1209">
        <f t="shared" si="248"/>
        <v>464</v>
      </c>
      <c r="T4274" s="204" t="s">
        <v>12425</v>
      </c>
      <c r="U4274" s="1901" t="s">
        <v>14543</v>
      </c>
      <c r="V4274" s="572" t="s">
        <v>5990</v>
      </c>
      <c r="W4274" s="681" t="s">
        <v>14578</v>
      </c>
      <c r="X4274" s="18"/>
      <c r="Y4274" s="4"/>
      <c r="Z4274" s="4"/>
    </row>
    <row r="4275" spans="1:26" ht="14.1" hidden="1">
      <c r="A4275" s="20">
        <f t="shared" si="237"/>
        <v>17</v>
      </c>
      <c r="B4275" s="1063">
        <v>44052</v>
      </c>
      <c r="C4275" s="934" t="s">
        <v>329</v>
      </c>
      <c r="D4275" s="11" t="s">
        <v>6</v>
      </c>
      <c r="E4275" s="204" t="s">
        <v>166</v>
      </c>
      <c r="F4275" s="934" t="s">
        <v>2876</v>
      </c>
      <c r="G4275" s="204" t="s">
        <v>14579</v>
      </c>
      <c r="H4275" s="204" t="s">
        <v>14580</v>
      </c>
      <c r="I4275" s="204" t="s">
        <v>14581</v>
      </c>
      <c r="J4275" s="235" t="s">
        <v>14582</v>
      </c>
      <c r="K4275" s="204" t="s">
        <v>14583</v>
      </c>
      <c r="L4275" s="204" t="s">
        <v>2011</v>
      </c>
      <c r="M4275" s="204">
        <v>15</v>
      </c>
      <c r="N4275" s="204">
        <v>1</v>
      </c>
      <c r="O4275" s="204">
        <v>50</v>
      </c>
      <c r="P4275" s="204">
        <v>6</v>
      </c>
      <c r="Q4275" s="572">
        <v>41</v>
      </c>
      <c r="R4275" s="1209">
        <v>21.4</v>
      </c>
      <c r="S4275" s="1209">
        <f t="shared" si="248"/>
        <v>1070</v>
      </c>
      <c r="T4275" s="204" t="s">
        <v>12425</v>
      </c>
      <c r="U4275" s="1901" t="s">
        <v>14538</v>
      </c>
      <c r="V4275" s="572" t="s">
        <v>5990</v>
      </c>
      <c r="W4275" s="681" t="s">
        <v>14584</v>
      </c>
      <c r="X4275" s="18"/>
      <c r="Y4275" s="4"/>
      <c r="Z4275" s="4"/>
    </row>
    <row r="4276" spans="1:26" ht="14.1" hidden="1">
      <c r="A4276" s="20">
        <f t="shared" si="237"/>
        <v>18</v>
      </c>
      <c r="B4276" s="1063">
        <v>44053</v>
      </c>
      <c r="C4276" s="934" t="s">
        <v>329</v>
      </c>
      <c r="D4276" s="11" t="s">
        <v>6</v>
      </c>
      <c r="E4276" s="204" t="s">
        <v>166</v>
      </c>
      <c r="F4276" s="934" t="s">
        <v>2876</v>
      </c>
      <c r="G4276" s="204" t="s">
        <v>14585</v>
      </c>
      <c r="H4276" s="204" t="s">
        <v>14580</v>
      </c>
      <c r="I4276" s="204" t="s">
        <v>14581</v>
      </c>
      <c r="J4276" s="235" t="s">
        <v>14586</v>
      </c>
      <c r="K4276" s="204" t="s">
        <v>14586</v>
      </c>
      <c r="L4276" s="204" t="s">
        <v>2011</v>
      </c>
      <c r="M4276" s="204">
        <v>10</v>
      </c>
      <c r="N4276" s="204">
        <v>1</v>
      </c>
      <c r="O4276" s="204">
        <v>40</v>
      </c>
      <c r="P4276" s="204">
        <v>7</v>
      </c>
      <c r="Q4276" s="572">
        <v>37</v>
      </c>
      <c r="R4276" s="1209">
        <v>21.6</v>
      </c>
      <c r="S4276" s="1209">
        <f t="shared" si="248"/>
        <v>864</v>
      </c>
      <c r="T4276" s="204" t="s">
        <v>12425</v>
      </c>
      <c r="U4276" s="1901" t="s">
        <v>14538</v>
      </c>
      <c r="V4276" s="572" t="s">
        <v>5990</v>
      </c>
      <c r="W4276" s="681" t="s">
        <v>14587</v>
      </c>
      <c r="X4276" s="18"/>
      <c r="Y4276" s="4"/>
      <c r="Z4276" s="4"/>
    </row>
    <row r="4277" spans="1:26" ht="14.1" hidden="1">
      <c r="A4277" s="20">
        <f t="shared" si="237"/>
        <v>19</v>
      </c>
      <c r="B4277" s="1063">
        <v>44054</v>
      </c>
      <c r="C4277" s="934" t="s">
        <v>329</v>
      </c>
      <c r="D4277" s="11" t="s">
        <v>6</v>
      </c>
      <c r="E4277" s="204" t="s">
        <v>166</v>
      </c>
      <c r="F4277" s="934" t="s">
        <v>2876</v>
      </c>
      <c r="G4277" s="204" t="s">
        <v>14588</v>
      </c>
      <c r="H4277" s="204" t="s">
        <v>14580</v>
      </c>
      <c r="I4277" s="204" t="s">
        <v>14581</v>
      </c>
      <c r="J4277" s="235" t="s">
        <v>14589</v>
      </c>
      <c r="K4277" s="204" t="s">
        <v>14590</v>
      </c>
      <c r="L4277" s="204" t="s">
        <v>2011</v>
      </c>
      <c r="M4277" s="204">
        <v>10</v>
      </c>
      <c r="N4277" s="204">
        <v>1</v>
      </c>
      <c r="O4277" s="204">
        <v>40</v>
      </c>
      <c r="P4277" s="204">
        <v>7</v>
      </c>
      <c r="Q4277" s="572">
        <v>37</v>
      </c>
      <c r="R4277" s="1209">
        <v>43.1</v>
      </c>
      <c r="S4277" s="1209">
        <f t="shared" si="248"/>
        <v>1724</v>
      </c>
      <c r="T4277" s="204" t="s">
        <v>12425</v>
      </c>
      <c r="U4277" s="1901" t="s">
        <v>14538</v>
      </c>
      <c r="V4277" s="572" t="s">
        <v>5990</v>
      </c>
      <c r="W4277" s="681" t="s">
        <v>14591</v>
      </c>
      <c r="X4277" s="18"/>
      <c r="Y4277" s="4"/>
      <c r="Z4277" s="4"/>
    </row>
    <row r="4278" spans="1:26" ht="14.1" hidden="1">
      <c r="A4278" s="20">
        <v>4285</v>
      </c>
      <c r="B4278" s="1063">
        <v>44055</v>
      </c>
      <c r="C4278" s="934" t="s">
        <v>11468</v>
      </c>
      <c r="D4278" s="11"/>
      <c r="E4278" s="204" t="s">
        <v>13136</v>
      </c>
      <c r="F4278" s="934" t="s">
        <v>11441</v>
      </c>
      <c r="G4278" s="234" t="s">
        <v>14592</v>
      </c>
      <c r="H4278" s="204" t="s">
        <v>1715</v>
      </c>
      <c r="I4278" s="204" t="s">
        <v>5445</v>
      </c>
      <c r="J4278" s="235" t="s">
        <v>13144</v>
      </c>
      <c r="K4278" s="463" t="s">
        <v>2136</v>
      </c>
      <c r="L4278" s="204"/>
      <c r="M4278" s="204">
        <v>4</v>
      </c>
      <c r="N4278" s="204">
        <v>1</v>
      </c>
      <c r="O4278" s="204">
        <v>10</v>
      </c>
      <c r="P4278" s="204">
        <v>3</v>
      </c>
      <c r="Q4278" s="572">
        <v>13</v>
      </c>
      <c r="R4278" s="1209">
        <v>71</v>
      </c>
      <c r="S4278" s="1209">
        <v>710</v>
      </c>
      <c r="T4278" s="204" t="s">
        <v>9485</v>
      </c>
      <c r="U4278" s="1901" t="s">
        <v>12081</v>
      </c>
      <c r="V4278" s="572" t="s">
        <v>931</v>
      </c>
      <c r="W4278" s="804" t="s">
        <v>14593</v>
      </c>
      <c r="X4278" s="18"/>
      <c r="Y4278" s="4"/>
      <c r="Z4278" s="4"/>
    </row>
    <row r="4279" spans="1:26" ht="14.1" hidden="1">
      <c r="A4279" s="20">
        <v>4286</v>
      </c>
      <c r="B4279" s="1063">
        <v>44056</v>
      </c>
      <c r="C4279" s="934" t="s">
        <v>14594</v>
      </c>
      <c r="D4279" s="11"/>
      <c r="E4279" s="204" t="s">
        <v>13136</v>
      </c>
      <c r="F4279" s="934" t="s">
        <v>11441</v>
      </c>
      <c r="G4279" s="204" t="s">
        <v>14595</v>
      </c>
      <c r="H4279" s="204" t="s">
        <v>7066</v>
      </c>
      <c r="I4279" s="204" t="s">
        <v>281</v>
      </c>
      <c r="J4279" s="204" t="s">
        <v>8653</v>
      </c>
      <c r="K4279" s="204" t="s">
        <v>8654</v>
      </c>
      <c r="L4279" s="204"/>
      <c r="M4279" s="204">
        <v>2</v>
      </c>
      <c r="N4279" s="204">
        <v>1</v>
      </c>
      <c r="O4279" s="204">
        <v>2</v>
      </c>
      <c r="P4279" s="204">
        <v>1</v>
      </c>
      <c r="Q4279" s="572">
        <v>3</v>
      </c>
      <c r="R4279" s="1209">
        <v>2447</v>
      </c>
      <c r="S4279" s="1209">
        <v>4894</v>
      </c>
      <c r="T4279" s="204" t="s">
        <v>9485</v>
      </c>
      <c r="U4279" s="1901" t="s">
        <v>12081</v>
      </c>
      <c r="V4279" s="572" t="s">
        <v>931</v>
      </c>
      <c r="W4279" s="681" t="s">
        <v>8655</v>
      </c>
      <c r="X4279" s="18"/>
      <c r="Y4279" s="4"/>
      <c r="Z4279" s="4"/>
    </row>
    <row r="4280" spans="1:26" ht="14.1" hidden="1">
      <c r="A4280" s="20">
        <v>4287</v>
      </c>
      <c r="B4280" s="1063">
        <v>44057</v>
      </c>
      <c r="C4280" s="934" t="s">
        <v>14596</v>
      </c>
      <c r="D4280" s="11" t="s">
        <v>6</v>
      </c>
      <c r="E4280" s="204" t="s">
        <v>62</v>
      </c>
      <c r="F4280" s="934" t="s">
        <v>2143</v>
      </c>
      <c r="G4280" s="204" t="s">
        <v>14597</v>
      </c>
      <c r="H4280" s="204" t="s">
        <v>13398</v>
      </c>
      <c r="I4280" s="204" t="s">
        <v>14598</v>
      </c>
      <c r="J4280" s="204" t="s">
        <v>14596</v>
      </c>
      <c r="K4280" s="204" t="s">
        <v>14596</v>
      </c>
      <c r="L4280" s="204"/>
      <c r="M4280" s="204">
        <v>1</v>
      </c>
      <c r="N4280" s="204">
        <v>1</v>
      </c>
      <c r="O4280" s="204">
        <v>1</v>
      </c>
      <c r="P4280" s="204">
        <v>0</v>
      </c>
      <c r="Q4280" s="572">
        <v>0</v>
      </c>
      <c r="R4280" s="1209">
        <v>120000</v>
      </c>
      <c r="S4280" s="1209">
        <v>120000</v>
      </c>
      <c r="T4280" s="204" t="s">
        <v>118</v>
      </c>
      <c r="U4280" s="1901" t="s">
        <v>118</v>
      </c>
      <c r="V4280" s="572" t="s">
        <v>118</v>
      </c>
      <c r="W4280" s="681" t="s">
        <v>14599</v>
      </c>
      <c r="X4280" s="18"/>
      <c r="Y4280" s="4"/>
      <c r="Z4280" s="4"/>
    </row>
    <row r="4281" spans="1:26" ht="14.1" hidden="1">
      <c r="A4281" s="20">
        <v>4288</v>
      </c>
      <c r="B4281" s="1063">
        <v>44058</v>
      </c>
      <c r="C4281" s="934" t="s">
        <v>14600</v>
      </c>
      <c r="D4281" s="11" t="s">
        <v>6</v>
      </c>
      <c r="E4281" s="204" t="s">
        <v>13136</v>
      </c>
      <c r="F4281" s="934" t="s">
        <v>11323</v>
      </c>
      <c r="G4281" s="204" t="s">
        <v>14600</v>
      </c>
      <c r="H4281" s="204" t="s">
        <v>287</v>
      </c>
      <c r="I4281" s="204" t="s">
        <v>287</v>
      </c>
      <c r="J4281" s="204"/>
      <c r="K4281" s="204"/>
      <c r="L4281" s="204"/>
      <c r="M4281" s="204">
        <v>2</v>
      </c>
      <c r="N4281" s="204">
        <v>1</v>
      </c>
      <c r="O4281" s="204">
        <v>2</v>
      </c>
      <c r="P4281" s="204">
        <v>0</v>
      </c>
      <c r="Q4281" s="572">
        <v>0</v>
      </c>
      <c r="R4281" s="1209">
        <v>130000</v>
      </c>
      <c r="S4281" s="1209">
        <f>R4281</f>
        <v>130000</v>
      </c>
      <c r="T4281" s="204" t="s">
        <v>9485</v>
      </c>
      <c r="U4281" s="1" t="s">
        <v>9485</v>
      </c>
      <c r="V4281" s="204" t="s">
        <v>14601</v>
      </c>
      <c r="W4281" s="681"/>
      <c r="X4281" s="18"/>
      <c r="Y4281" s="4"/>
      <c r="Z4281" s="4"/>
    </row>
    <row r="4282" spans="1:26" ht="14.1" hidden="1">
      <c r="A4282" s="20">
        <v>4289</v>
      </c>
      <c r="B4282" s="1063">
        <v>44059</v>
      </c>
      <c r="C4282" s="934" t="s">
        <v>14602</v>
      </c>
      <c r="D4282" s="11"/>
      <c r="E4282" s="204" t="s">
        <v>13136</v>
      </c>
      <c r="F4282" s="934" t="s">
        <v>14603</v>
      </c>
      <c r="G4282" s="204" t="s">
        <v>14604</v>
      </c>
      <c r="H4282" s="204" t="s">
        <v>14605</v>
      </c>
      <c r="I4282" s="204" t="s">
        <v>84</v>
      </c>
      <c r="J4282" s="204">
        <v>89848456</v>
      </c>
      <c r="K4282" s="204" t="s">
        <v>14606</v>
      </c>
      <c r="L4282" s="204"/>
      <c r="M4282" s="204">
        <v>1</v>
      </c>
      <c r="N4282" s="204">
        <v>1</v>
      </c>
      <c r="O4282" s="204">
        <v>2</v>
      </c>
      <c r="P4282" s="204">
        <v>0</v>
      </c>
      <c r="Q4282" s="572">
        <v>1</v>
      </c>
      <c r="R4282" s="1252">
        <v>167</v>
      </c>
      <c r="S4282" s="1252">
        <v>334</v>
      </c>
      <c r="T4282" s="204" t="s">
        <v>14607</v>
      </c>
      <c r="U4282" s="1901" t="s">
        <v>149</v>
      </c>
      <c r="V4282" s="572" t="s">
        <v>352</v>
      </c>
      <c r="W4282" s="681" t="s">
        <v>14608</v>
      </c>
      <c r="X4282" s="18"/>
      <c r="Y4282" s="4"/>
      <c r="Z4282" s="4"/>
    </row>
    <row r="4283" spans="1:26" ht="14.1" hidden="1">
      <c r="A4283" s="20">
        <v>4290</v>
      </c>
      <c r="B4283" s="1063">
        <v>44060</v>
      </c>
      <c r="C4283" s="934" t="s">
        <v>14609</v>
      </c>
      <c r="D4283" s="11"/>
      <c r="E4283" s="204" t="s">
        <v>13136</v>
      </c>
      <c r="F4283" s="934" t="s">
        <v>14603</v>
      </c>
      <c r="G4283" s="204" t="s">
        <v>14610</v>
      </c>
      <c r="H4283" s="297" t="s">
        <v>201</v>
      </c>
      <c r="I4283" s="297" t="s">
        <v>39</v>
      </c>
      <c r="J4283" s="297" t="s">
        <v>4218</v>
      </c>
      <c r="K4283" s="297" t="s">
        <v>4219</v>
      </c>
      <c r="L4283" s="204" t="s">
        <v>1088</v>
      </c>
      <c r="M4283" s="297">
        <v>126</v>
      </c>
      <c r="N4283" s="297">
        <v>25</v>
      </c>
      <c r="O4283" s="297">
        <v>150</v>
      </c>
      <c r="P4283" s="297">
        <v>6</v>
      </c>
      <c r="Q4283" s="694">
        <v>30</v>
      </c>
      <c r="R4283" s="1256">
        <v>50</v>
      </c>
      <c r="S4283" s="1256">
        <v>7458</v>
      </c>
      <c r="T4283" s="297" t="s">
        <v>14607</v>
      </c>
      <c r="U4283" s="1941" t="s">
        <v>149</v>
      </c>
      <c r="V4283" s="572" t="s">
        <v>352</v>
      </c>
      <c r="W4283" s="681" t="s">
        <v>14611</v>
      </c>
      <c r="X4283" s="18"/>
      <c r="Y4283" s="4"/>
      <c r="Z4283" s="4"/>
    </row>
    <row r="4284" spans="1:26" ht="14.1" hidden="1">
      <c r="A4284" s="20">
        <v>4291</v>
      </c>
      <c r="B4284" s="1063">
        <v>44061</v>
      </c>
      <c r="C4284" s="934" t="s">
        <v>14612</v>
      </c>
      <c r="D4284" s="11"/>
      <c r="E4284" s="204" t="s">
        <v>13136</v>
      </c>
      <c r="F4284" s="958" t="s">
        <v>14603</v>
      </c>
      <c r="G4284" s="204" t="s">
        <v>14613</v>
      </c>
      <c r="H4284" s="297" t="s">
        <v>144</v>
      </c>
      <c r="I4284" s="297" t="s">
        <v>14614</v>
      </c>
      <c r="J4284" s="297" t="s">
        <v>4225</v>
      </c>
      <c r="K4284" s="297" t="s">
        <v>4225</v>
      </c>
      <c r="L4284" s="297" t="s">
        <v>1088</v>
      </c>
      <c r="M4284" s="297">
        <v>45</v>
      </c>
      <c r="N4284" s="297">
        <v>1</v>
      </c>
      <c r="O4284" s="297">
        <v>45</v>
      </c>
      <c r="P4284" s="297">
        <v>7</v>
      </c>
      <c r="Q4284" s="694">
        <v>7</v>
      </c>
      <c r="R4284" s="1256">
        <v>52.23</v>
      </c>
      <c r="S4284" s="1256">
        <v>2350.23</v>
      </c>
      <c r="T4284" s="297" t="s">
        <v>14607</v>
      </c>
      <c r="U4284" s="1941" t="s">
        <v>149</v>
      </c>
      <c r="V4284" s="572" t="s">
        <v>352</v>
      </c>
      <c r="W4284" s="681" t="s">
        <v>14615</v>
      </c>
      <c r="X4284" s="18"/>
      <c r="Y4284" s="4"/>
      <c r="Z4284" s="4"/>
    </row>
    <row r="4285" spans="1:26" ht="14.1" hidden="1">
      <c r="A4285" s="20">
        <v>4292</v>
      </c>
      <c r="B4285" s="1063">
        <v>44062</v>
      </c>
      <c r="C4285" s="934" t="s">
        <v>14612</v>
      </c>
      <c r="D4285" s="11"/>
      <c r="E4285" s="204" t="s">
        <v>13136</v>
      </c>
      <c r="F4285" s="958" t="s">
        <v>14603</v>
      </c>
      <c r="G4285" s="204" t="s">
        <v>14616</v>
      </c>
      <c r="H4285" s="297" t="s">
        <v>201</v>
      </c>
      <c r="I4285" s="297" t="s">
        <v>39</v>
      </c>
      <c r="J4285" s="297" t="s">
        <v>4228</v>
      </c>
      <c r="K4285" s="297" t="s">
        <v>4229</v>
      </c>
      <c r="L4285" s="297" t="s">
        <v>1088</v>
      </c>
      <c r="M4285" s="297">
        <v>36</v>
      </c>
      <c r="N4285" s="297">
        <v>5</v>
      </c>
      <c r="O4285" s="297">
        <v>25</v>
      </c>
      <c r="P4285" s="297">
        <v>13</v>
      </c>
      <c r="Q4285" s="694">
        <v>2</v>
      </c>
      <c r="R4285" s="1256">
        <v>191</v>
      </c>
      <c r="S4285" s="1256">
        <v>4785</v>
      </c>
      <c r="T4285" s="297" t="s">
        <v>14607</v>
      </c>
      <c r="U4285" s="1941" t="s">
        <v>149</v>
      </c>
      <c r="V4285" s="572" t="s">
        <v>352</v>
      </c>
      <c r="W4285" s="804" t="s">
        <v>4231</v>
      </c>
      <c r="X4285" s="18"/>
      <c r="Y4285" s="4"/>
      <c r="Z4285" s="4"/>
    </row>
    <row r="4286" spans="1:26" ht="14.1" hidden="1">
      <c r="A4286" s="20">
        <v>4293</v>
      </c>
      <c r="B4286" s="1063">
        <v>44063</v>
      </c>
      <c r="C4286" s="934" t="s">
        <v>14617</v>
      </c>
      <c r="D4286" s="11"/>
      <c r="E4286" s="204" t="s">
        <v>13136</v>
      </c>
      <c r="F4286" s="958" t="s">
        <v>14603</v>
      </c>
      <c r="G4286" s="204" t="s">
        <v>14618</v>
      </c>
      <c r="H4286" s="297" t="s">
        <v>184</v>
      </c>
      <c r="I4286" s="297" t="s">
        <v>39</v>
      </c>
      <c r="J4286" s="297" t="s">
        <v>185</v>
      </c>
      <c r="K4286" s="297" t="s">
        <v>186</v>
      </c>
      <c r="L4286" s="297" t="s">
        <v>1088</v>
      </c>
      <c r="M4286" s="297">
        <v>63</v>
      </c>
      <c r="N4286" s="297">
        <v>5</v>
      </c>
      <c r="O4286" s="297">
        <v>30</v>
      </c>
      <c r="P4286" s="297">
        <v>36</v>
      </c>
      <c r="Q4286" s="694">
        <v>3</v>
      </c>
      <c r="R4286" s="1256">
        <v>302</v>
      </c>
      <c r="S4286" s="1256">
        <v>9066</v>
      </c>
      <c r="T4286" s="297" t="s">
        <v>14607</v>
      </c>
      <c r="U4286" s="1941" t="s">
        <v>149</v>
      </c>
      <c r="V4286" s="572" t="s">
        <v>352</v>
      </c>
      <c r="W4286" s="804" t="s">
        <v>746</v>
      </c>
      <c r="X4286" s="18"/>
      <c r="Y4286" s="4"/>
      <c r="Z4286" s="4"/>
    </row>
    <row r="4287" spans="1:26" ht="14.1" hidden="1">
      <c r="A4287" s="20">
        <v>4294</v>
      </c>
      <c r="B4287" s="1063">
        <v>44064</v>
      </c>
      <c r="C4287" s="934" t="s">
        <v>14619</v>
      </c>
      <c r="D4287" s="11"/>
      <c r="E4287" s="204" t="s">
        <v>13136</v>
      </c>
      <c r="F4287" s="958" t="s">
        <v>14603</v>
      </c>
      <c r="G4287" s="204" t="s">
        <v>14620</v>
      </c>
      <c r="H4287" s="297" t="s">
        <v>201</v>
      </c>
      <c r="I4287" s="297" t="s">
        <v>574</v>
      </c>
      <c r="J4287" s="297" t="s">
        <v>14621</v>
      </c>
      <c r="K4287" s="297" t="s">
        <v>3550</v>
      </c>
      <c r="L4287" s="297" t="s">
        <v>1088</v>
      </c>
      <c r="M4287" s="297">
        <v>63</v>
      </c>
      <c r="N4287" s="297">
        <v>1</v>
      </c>
      <c r="O4287" s="297">
        <v>50</v>
      </c>
      <c r="P4287" s="297">
        <v>20</v>
      </c>
      <c r="Q4287" s="694">
        <v>7</v>
      </c>
      <c r="R4287" s="1256">
        <v>12</v>
      </c>
      <c r="S4287" s="1256">
        <v>613</v>
      </c>
      <c r="T4287" s="297" t="s">
        <v>14607</v>
      </c>
      <c r="U4287" s="1941" t="s">
        <v>149</v>
      </c>
      <c r="V4287" s="572" t="s">
        <v>352</v>
      </c>
      <c r="W4287" s="804" t="s">
        <v>14622</v>
      </c>
      <c r="X4287" s="18"/>
      <c r="Y4287" s="4"/>
      <c r="Z4287" s="4"/>
    </row>
    <row r="4288" spans="1:26" ht="14.1" hidden="1">
      <c r="A4288" s="20">
        <v>4295</v>
      </c>
      <c r="B4288" s="1063">
        <v>44065</v>
      </c>
      <c r="C4288" s="934" t="s">
        <v>14623</v>
      </c>
      <c r="D4288" s="11"/>
      <c r="E4288" s="204" t="s">
        <v>13136</v>
      </c>
      <c r="F4288" s="958" t="s">
        <v>14603</v>
      </c>
      <c r="G4288" s="160" t="s">
        <v>14624</v>
      </c>
      <c r="H4288" s="297" t="s">
        <v>160</v>
      </c>
      <c r="I4288" s="297" t="s">
        <v>39</v>
      </c>
      <c r="J4288" s="297" t="s">
        <v>14625</v>
      </c>
      <c r="K4288" s="297" t="s">
        <v>162</v>
      </c>
      <c r="L4288" s="297" t="s">
        <v>1088</v>
      </c>
      <c r="M4288" s="297">
        <v>6</v>
      </c>
      <c r="N4288" s="297">
        <v>10</v>
      </c>
      <c r="O4288" s="297">
        <v>10</v>
      </c>
      <c r="P4288" s="297">
        <v>0</v>
      </c>
      <c r="Q4288" s="694">
        <v>4</v>
      </c>
      <c r="R4288" s="1256">
        <v>37</v>
      </c>
      <c r="S4288" s="1256">
        <v>370</v>
      </c>
      <c r="T4288" s="297" t="s">
        <v>14607</v>
      </c>
      <c r="U4288" s="1941" t="s">
        <v>149</v>
      </c>
      <c r="V4288" s="572" t="s">
        <v>352</v>
      </c>
      <c r="W4288" s="681" t="s">
        <v>14626</v>
      </c>
      <c r="X4288" s="18"/>
      <c r="Y4288" s="4"/>
      <c r="Z4288" s="4"/>
    </row>
    <row r="4289" spans="1:26" ht="14.1" hidden="1">
      <c r="A4289" s="20">
        <v>4296</v>
      </c>
      <c r="B4289" s="1063">
        <v>44066</v>
      </c>
      <c r="C4289" s="934" t="s">
        <v>14627</v>
      </c>
      <c r="D4289" s="11"/>
      <c r="E4289" s="204" t="s">
        <v>13136</v>
      </c>
      <c r="F4289" s="958" t="s">
        <v>14603</v>
      </c>
      <c r="G4289" s="204" t="s">
        <v>14628</v>
      </c>
      <c r="H4289" s="204" t="s">
        <v>220</v>
      </c>
      <c r="I4289" s="204" t="s">
        <v>39</v>
      </c>
      <c r="J4289" s="204" t="s">
        <v>225</v>
      </c>
      <c r="K4289" s="204" t="s">
        <v>4244</v>
      </c>
      <c r="L4289" s="204" t="s">
        <v>6661</v>
      </c>
      <c r="M4289" s="204">
        <v>3</v>
      </c>
      <c r="N4289" s="204">
        <v>10</v>
      </c>
      <c r="O4289" s="204">
        <v>10</v>
      </c>
      <c r="P4289" s="204">
        <v>0</v>
      </c>
      <c r="Q4289" s="572">
        <v>7</v>
      </c>
      <c r="R4289" s="1252">
        <v>32</v>
      </c>
      <c r="S4289" s="1252">
        <v>322</v>
      </c>
      <c r="T4289" s="204" t="s">
        <v>14607</v>
      </c>
      <c r="U4289" s="1901" t="s">
        <v>149</v>
      </c>
      <c r="V4289" s="204" t="s">
        <v>14601</v>
      </c>
      <c r="W4289" s="681" t="s">
        <v>4245</v>
      </c>
      <c r="X4289" s="18"/>
      <c r="Y4289" s="4"/>
      <c r="Z4289" s="4"/>
    </row>
    <row r="4290" spans="1:26" ht="14.1" hidden="1">
      <c r="A4290" s="20">
        <v>4297</v>
      </c>
      <c r="B4290" s="1063">
        <v>44067</v>
      </c>
      <c r="C4290" s="934" t="s">
        <v>14629</v>
      </c>
      <c r="D4290" s="11"/>
      <c r="E4290" s="204" t="s">
        <v>13136</v>
      </c>
      <c r="F4290" s="958" t="s">
        <v>14603</v>
      </c>
      <c r="G4290" s="160" t="s">
        <v>14630</v>
      </c>
      <c r="H4290" s="297" t="s">
        <v>10376</v>
      </c>
      <c r="I4290" s="297" t="s">
        <v>39</v>
      </c>
      <c r="J4290" s="297" t="s">
        <v>4248</v>
      </c>
      <c r="K4290" s="297" t="s">
        <v>4249</v>
      </c>
      <c r="L4290" s="297" t="s">
        <v>6661</v>
      </c>
      <c r="M4290" s="297">
        <v>3</v>
      </c>
      <c r="N4290" s="297">
        <v>1</v>
      </c>
      <c r="O4290" s="297">
        <v>5</v>
      </c>
      <c r="P4290" s="297">
        <v>0</v>
      </c>
      <c r="Q4290" s="694">
        <v>2</v>
      </c>
      <c r="R4290" s="1256">
        <v>521</v>
      </c>
      <c r="S4290" s="1256">
        <v>2605</v>
      </c>
      <c r="T4290" s="297" t="s">
        <v>14607</v>
      </c>
      <c r="U4290" s="1941" t="s">
        <v>149</v>
      </c>
      <c r="V4290" s="572" t="s">
        <v>352</v>
      </c>
      <c r="W4290" s="681" t="s">
        <v>4250</v>
      </c>
      <c r="X4290" s="18"/>
      <c r="Y4290" s="4"/>
      <c r="Z4290" s="4"/>
    </row>
    <row r="4291" spans="1:26" ht="14.1" hidden="1">
      <c r="A4291" s="20">
        <v>4298</v>
      </c>
      <c r="B4291" s="1063">
        <v>44068</v>
      </c>
      <c r="C4291" s="934" t="s">
        <v>4255</v>
      </c>
      <c r="D4291" s="11"/>
      <c r="E4291" s="204" t="s">
        <v>13136</v>
      </c>
      <c r="F4291" s="958" t="s">
        <v>14603</v>
      </c>
      <c r="G4291" s="204" t="s">
        <v>14631</v>
      </c>
      <c r="H4291" s="297" t="s">
        <v>230</v>
      </c>
      <c r="I4291" s="297" t="s">
        <v>39</v>
      </c>
      <c r="J4291" s="297" t="s">
        <v>231</v>
      </c>
      <c r="K4291" s="297" t="s">
        <v>4257</v>
      </c>
      <c r="L4291" s="297" t="s">
        <v>1088</v>
      </c>
      <c r="M4291" s="297">
        <v>3</v>
      </c>
      <c r="N4291" s="297">
        <v>2</v>
      </c>
      <c r="O4291" s="297">
        <v>4</v>
      </c>
      <c r="P4291" s="297">
        <v>0</v>
      </c>
      <c r="Q4291" s="694">
        <v>1</v>
      </c>
      <c r="R4291" s="1256">
        <v>191</v>
      </c>
      <c r="S4291" s="1256">
        <v>762</v>
      </c>
      <c r="T4291" s="297" t="s">
        <v>14607</v>
      </c>
      <c r="U4291" s="1941" t="s">
        <v>149</v>
      </c>
      <c r="V4291" s="572" t="s">
        <v>352</v>
      </c>
      <c r="W4291" s="804" t="s">
        <v>14632</v>
      </c>
      <c r="X4291" s="18"/>
      <c r="Y4291" s="4"/>
      <c r="Z4291" s="4"/>
    </row>
    <row r="4292" spans="1:26" ht="14.1" hidden="1">
      <c r="A4292" s="20">
        <v>4299</v>
      </c>
      <c r="B4292" s="1063">
        <v>44069</v>
      </c>
      <c r="C4292" s="934" t="s">
        <v>4263</v>
      </c>
      <c r="D4292" s="11"/>
      <c r="E4292" s="204" t="s">
        <v>13136</v>
      </c>
      <c r="F4292" s="958" t="s">
        <v>14603</v>
      </c>
      <c r="G4292" s="204" t="s">
        <v>14633</v>
      </c>
      <c r="H4292" s="297" t="s">
        <v>14634</v>
      </c>
      <c r="I4292" s="297" t="s">
        <v>14259</v>
      </c>
      <c r="J4292" s="297">
        <v>2325631</v>
      </c>
      <c r="K4292" s="297" t="s">
        <v>14635</v>
      </c>
      <c r="L4292" s="297" t="s">
        <v>6661</v>
      </c>
      <c r="M4292" s="297">
        <v>3</v>
      </c>
      <c r="N4292" s="297">
        <v>1</v>
      </c>
      <c r="O4292" s="297">
        <v>10</v>
      </c>
      <c r="P4292" s="297">
        <v>1</v>
      </c>
      <c r="Q4292" s="694">
        <v>11</v>
      </c>
      <c r="R4292" s="1256">
        <v>172.1</v>
      </c>
      <c r="S4292" s="1256">
        <v>1720</v>
      </c>
      <c r="T4292" s="297" t="s">
        <v>14607</v>
      </c>
      <c r="U4292" s="1941" t="s">
        <v>149</v>
      </c>
      <c r="V4292" s="572" t="s">
        <v>352</v>
      </c>
      <c r="W4292" s="804" t="s">
        <v>14636</v>
      </c>
      <c r="X4292" s="18"/>
      <c r="Y4292" s="4"/>
      <c r="Z4292" s="4"/>
    </row>
    <row r="4293" spans="1:26" ht="15" hidden="1" customHeight="1">
      <c r="A4293" s="20">
        <v>4300</v>
      </c>
      <c r="B4293" s="1063">
        <v>44070</v>
      </c>
      <c r="C4293" s="934" t="s">
        <v>4267</v>
      </c>
      <c r="D4293" s="11"/>
      <c r="E4293" s="204" t="s">
        <v>13136</v>
      </c>
      <c r="F4293" s="958" t="s">
        <v>14603</v>
      </c>
      <c r="G4293" s="160" t="s">
        <v>14637</v>
      </c>
      <c r="H4293" s="297" t="s">
        <v>144</v>
      </c>
      <c r="I4293" s="297" t="s">
        <v>39</v>
      </c>
      <c r="J4293" s="297" t="s">
        <v>190</v>
      </c>
      <c r="K4293" s="297" t="s">
        <v>191</v>
      </c>
      <c r="L4293" s="297" t="s">
        <v>1088</v>
      </c>
      <c r="M4293" s="297">
        <v>6</v>
      </c>
      <c r="N4293" s="297">
        <v>1</v>
      </c>
      <c r="O4293" s="297">
        <v>2</v>
      </c>
      <c r="P4293" s="297">
        <v>5</v>
      </c>
      <c r="Q4293" s="694">
        <v>1</v>
      </c>
      <c r="R4293" s="1256">
        <v>401</v>
      </c>
      <c r="S4293" s="1256">
        <v>802</v>
      </c>
      <c r="T4293" s="297" t="s">
        <v>14607</v>
      </c>
      <c r="U4293" s="1941" t="s">
        <v>149</v>
      </c>
      <c r="V4293" s="572" t="s">
        <v>352</v>
      </c>
      <c r="W4293" s="681" t="s">
        <v>4269</v>
      </c>
      <c r="X4293" s="18"/>
      <c r="Y4293" s="4"/>
      <c r="Z4293" s="4"/>
    </row>
    <row r="4294" spans="1:26" ht="14.1" hidden="1">
      <c r="A4294" s="20">
        <v>4301</v>
      </c>
      <c r="B4294" s="1063">
        <v>44071</v>
      </c>
      <c r="C4294" s="934" t="s">
        <v>589</v>
      </c>
      <c r="D4294" s="11"/>
      <c r="E4294" s="204" t="s">
        <v>13136</v>
      </c>
      <c r="F4294" s="958" t="s">
        <v>14603</v>
      </c>
      <c r="G4294" s="160" t="s">
        <v>14638</v>
      </c>
      <c r="H4294" s="297" t="s">
        <v>8101</v>
      </c>
      <c r="I4294" s="297" t="s">
        <v>39</v>
      </c>
      <c r="J4294" s="297" t="s">
        <v>14639</v>
      </c>
      <c r="K4294" s="297" t="s">
        <v>14640</v>
      </c>
      <c r="L4294" s="297" t="s">
        <v>1088</v>
      </c>
      <c r="M4294" s="297">
        <v>9</v>
      </c>
      <c r="N4294" s="297">
        <v>50</v>
      </c>
      <c r="O4294" s="297">
        <v>50</v>
      </c>
      <c r="P4294" s="297">
        <v>2</v>
      </c>
      <c r="Q4294" s="694">
        <v>43</v>
      </c>
      <c r="R4294" s="1256">
        <v>39</v>
      </c>
      <c r="S4294" s="1256">
        <v>1927</v>
      </c>
      <c r="T4294" s="297" t="s">
        <v>14607</v>
      </c>
      <c r="U4294" s="1941" t="s">
        <v>149</v>
      </c>
      <c r="V4294" s="572" t="s">
        <v>352</v>
      </c>
      <c r="W4294" s="804" t="s">
        <v>14641</v>
      </c>
      <c r="X4294" s="18"/>
      <c r="Y4294" s="4"/>
      <c r="Z4294" s="4"/>
    </row>
    <row r="4295" spans="1:26" ht="14.1" hidden="1">
      <c r="A4295" s="20">
        <v>4302</v>
      </c>
      <c r="B4295" s="1063">
        <v>44072</v>
      </c>
      <c r="C4295" s="934" t="s">
        <v>253</v>
      </c>
      <c r="D4295" s="11"/>
      <c r="E4295" s="204" t="s">
        <v>13136</v>
      </c>
      <c r="F4295" s="958" t="s">
        <v>14603</v>
      </c>
      <c r="G4295" s="204" t="s">
        <v>14642</v>
      </c>
      <c r="H4295" s="297" t="s">
        <v>154</v>
      </c>
      <c r="I4295" s="297" t="s">
        <v>14643</v>
      </c>
      <c r="J4295" s="297" t="s">
        <v>1</v>
      </c>
      <c r="K4295" s="297" t="s">
        <v>4272</v>
      </c>
      <c r="L4295" s="297" t="s">
        <v>1088</v>
      </c>
      <c r="M4295" s="297">
        <v>6</v>
      </c>
      <c r="N4295" s="297">
        <v>1</v>
      </c>
      <c r="O4295" s="297">
        <v>45</v>
      </c>
      <c r="P4295" s="297">
        <v>5</v>
      </c>
      <c r="Q4295" s="694">
        <v>14</v>
      </c>
      <c r="R4295" s="1256">
        <v>127.01</v>
      </c>
      <c r="S4295" s="1256">
        <v>5715</v>
      </c>
      <c r="T4295" s="297" t="s">
        <v>14607</v>
      </c>
      <c r="U4295" s="1941" t="s">
        <v>149</v>
      </c>
      <c r="V4295" s="572" t="s">
        <v>352</v>
      </c>
      <c r="W4295" s="681" t="s">
        <v>14644</v>
      </c>
      <c r="X4295" s="18"/>
      <c r="Y4295" s="4"/>
      <c r="Z4295" s="4"/>
    </row>
    <row r="4296" spans="1:26" ht="14.1" hidden="1">
      <c r="A4296" s="20">
        <v>4303</v>
      </c>
      <c r="B4296" s="1063">
        <v>44073</v>
      </c>
      <c r="C4296" s="934" t="s">
        <v>175</v>
      </c>
      <c r="D4296" s="11"/>
      <c r="E4296" s="204" t="s">
        <v>13136</v>
      </c>
      <c r="F4296" s="958" t="s">
        <v>14603</v>
      </c>
      <c r="G4296" s="204" t="s">
        <v>14645</v>
      </c>
      <c r="H4296" s="297" t="s">
        <v>154</v>
      </c>
      <c r="I4296" s="297" t="s">
        <v>39</v>
      </c>
      <c r="J4296" s="297" t="s">
        <v>910</v>
      </c>
      <c r="K4296" s="297" t="s">
        <v>14646</v>
      </c>
      <c r="L4296" s="297" t="s">
        <v>6661</v>
      </c>
      <c r="M4296" s="297">
        <v>9</v>
      </c>
      <c r="N4296" s="297">
        <v>1</v>
      </c>
      <c r="O4296" s="297">
        <v>9</v>
      </c>
      <c r="P4296" s="297">
        <v>3</v>
      </c>
      <c r="Q4296" s="694">
        <v>3</v>
      </c>
      <c r="R4296" s="1256">
        <v>887</v>
      </c>
      <c r="S4296" s="1256">
        <v>7983</v>
      </c>
      <c r="T4296" s="297" t="s">
        <v>14607</v>
      </c>
      <c r="U4296" s="1941" t="s">
        <v>149</v>
      </c>
      <c r="V4296" s="572" t="s">
        <v>352</v>
      </c>
      <c r="W4296" s="681" t="s">
        <v>14647</v>
      </c>
      <c r="X4296" s="18"/>
      <c r="Y4296" s="4"/>
      <c r="Z4296" s="4"/>
    </row>
    <row r="4297" spans="1:26" ht="14.1" hidden="1">
      <c r="A4297" s="20">
        <v>4304</v>
      </c>
      <c r="B4297" s="1063">
        <v>44074</v>
      </c>
      <c r="C4297" s="958" t="s">
        <v>14648</v>
      </c>
      <c r="D4297" s="11"/>
      <c r="E4297" s="204" t="s">
        <v>13136</v>
      </c>
      <c r="F4297" s="958" t="s">
        <v>14603</v>
      </c>
      <c r="G4297" s="204" t="s">
        <v>14649</v>
      </c>
      <c r="H4297" s="297" t="s">
        <v>154</v>
      </c>
      <c r="I4297" s="297" t="s">
        <v>39</v>
      </c>
      <c r="J4297" s="297" t="s">
        <v>4289</v>
      </c>
      <c r="K4297" s="297" t="s">
        <v>4290</v>
      </c>
      <c r="L4297" s="297" t="s">
        <v>1088</v>
      </c>
      <c r="M4297" s="297">
        <v>6</v>
      </c>
      <c r="N4297" s="297">
        <v>50</v>
      </c>
      <c r="O4297" s="297">
        <v>50</v>
      </c>
      <c r="P4297" s="297">
        <v>9</v>
      </c>
      <c r="Q4297" s="694">
        <v>53</v>
      </c>
      <c r="R4297" s="1256">
        <v>2</v>
      </c>
      <c r="S4297" s="1256">
        <v>114</v>
      </c>
      <c r="T4297" s="297" t="s">
        <v>14607</v>
      </c>
      <c r="U4297" s="1941" t="s">
        <v>149</v>
      </c>
      <c r="V4297" s="204" t="s">
        <v>14601</v>
      </c>
      <c r="W4297" s="681" t="s">
        <v>14650</v>
      </c>
      <c r="X4297" s="18"/>
      <c r="Y4297" s="4"/>
      <c r="Z4297" s="4"/>
    </row>
    <row r="4298" spans="1:26" ht="14.1" hidden="1">
      <c r="A4298" s="20">
        <v>4305</v>
      </c>
      <c r="B4298" s="1063">
        <v>44075</v>
      </c>
      <c r="C4298" s="958" t="s">
        <v>14651</v>
      </c>
      <c r="D4298" s="11"/>
      <c r="E4298" s="204" t="s">
        <v>13136</v>
      </c>
      <c r="F4298" s="958" t="s">
        <v>14603</v>
      </c>
      <c r="G4298" s="204" t="s">
        <v>14652</v>
      </c>
      <c r="H4298" s="297" t="s">
        <v>154</v>
      </c>
      <c r="I4298" s="297" t="s">
        <v>39</v>
      </c>
      <c r="J4298" s="297" t="s">
        <v>155</v>
      </c>
      <c r="K4298" s="297" t="s">
        <v>14653</v>
      </c>
      <c r="L4298" s="297" t="s">
        <v>1088</v>
      </c>
      <c r="M4298" s="297">
        <v>9</v>
      </c>
      <c r="N4298" s="297">
        <v>50</v>
      </c>
      <c r="O4298" s="297">
        <v>50</v>
      </c>
      <c r="P4298" s="297">
        <v>1</v>
      </c>
      <c r="Q4298" s="694">
        <v>42</v>
      </c>
      <c r="R4298" s="1256">
        <v>5</v>
      </c>
      <c r="S4298" s="1256">
        <v>227</v>
      </c>
      <c r="T4298" s="297" t="s">
        <v>14607</v>
      </c>
      <c r="U4298" s="1941" t="s">
        <v>149</v>
      </c>
      <c r="V4298" s="572" t="s">
        <v>352</v>
      </c>
      <c r="W4298" s="681" t="s">
        <v>14654</v>
      </c>
      <c r="X4298" s="18"/>
      <c r="Y4298" s="4"/>
      <c r="Z4298" s="4"/>
    </row>
    <row r="4299" spans="1:26" ht="14.1" hidden="1">
      <c r="A4299" s="20">
        <v>4306</v>
      </c>
      <c r="B4299" s="1063">
        <v>44076</v>
      </c>
      <c r="C4299" s="958" t="s">
        <v>14655</v>
      </c>
      <c r="D4299" s="11"/>
      <c r="E4299" s="204" t="s">
        <v>13136</v>
      </c>
      <c r="F4299" s="958" t="s">
        <v>14603</v>
      </c>
      <c r="G4299" s="297" t="s">
        <v>14656</v>
      </c>
      <c r="H4299" s="297" t="s">
        <v>452</v>
      </c>
      <c r="I4299" s="297" t="s">
        <v>4634</v>
      </c>
      <c r="J4299" s="297" t="s">
        <v>14657</v>
      </c>
      <c r="K4299" s="297" t="s">
        <v>4300</v>
      </c>
      <c r="L4299" s="297" t="s">
        <v>1088</v>
      </c>
      <c r="M4299" s="297">
        <v>3</v>
      </c>
      <c r="N4299" s="297">
        <v>1</v>
      </c>
      <c r="O4299" s="297">
        <v>10</v>
      </c>
      <c r="P4299" s="297">
        <v>0</v>
      </c>
      <c r="Q4299" s="694">
        <v>7</v>
      </c>
      <c r="R4299" s="1256">
        <v>103</v>
      </c>
      <c r="S4299" s="1256">
        <v>1031</v>
      </c>
      <c r="T4299" s="297" t="s">
        <v>14607</v>
      </c>
      <c r="U4299" s="1941" t="s">
        <v>149</v>
      </c>
      <c r="V4299" s="572" t="s">
        <v>352</v>
      </c>
      <c r="W4299" s="681" t="s">
        <v>14658</v>
      </c>
      <c r="X4299" s="18"/>
      <c r="Y4299" s="4"/>
      <c r="Z4299" s="4"/>
    </row>
    <row r="4300" spans="1:26" ht="14.1" hidden="1">
      <c r="A4300" s="20">
        <v>4307</v>
      </c>
      <c r="B4300" s="1063">
        <v>44077</v>
      </c>
      <c r="C4300" s="958" t="s">
        <v>241</v>
      </c>
      <c r="D4300" s="11"/>
      <c r="E4300" s="204" t="s">
        <v>13136</v>
      </c>
      <c r="F4300" s="958" t="s">
        <v>14603</v>
      </c>
      <c r="G4300" s="297" t="s">
        <v>14659</v>
      </c>
      <c r="H4300" s="297" t="s">
        <v>243</v>
      </c>
      <c r="I4300" s="297" t="s">
        <v>14614</v>
      </c>
      <c r="J4300" s="297" t="s">
        <v>1</v>
      </c>
      <c r="K4300" s="297" t="s">
        <v>245</v>
      </c>
      <c r="L4300" s="297" t="s">
        <v>1088</v>
      </c>
      <c r="M4300" s="297">
        <v>6</v>
      </c>
      <c r="N4300" s="297">
        <v>1</v>
      </c>
      <c r="O4300" s="297">
        <v>15</v>
      </c>
      <c r="P4300" s="297">
        <v>2</v>
      </c>
      <c r="Q4300" s="694">
        <v>6</v>
      </c>
      <c r="R4300" s="1256">
        <v>183.78</v>
      </c>
      <c r="S4300" s="1256">
        <v>2763.23</v>
      </c>
      <c r="T4300" s="297" t="s">
        <v>14607</v>
      </c>
      <c r="U4300" s="1941" t="s">
        <v>149</v>
      </c>
      <c r="V4300" s="572" t="s">
        <v>352</v>
      </c>
      <c r="W4300" s="681" t="s">
        <v>14660</v>
      </c>
      <c r="X4300" s="18"/>
      <c r="Y4300" s="4"/>
      <c r="Z4300" s="4"/>
    </row>
    <row r="4301" spans="1:26" ht="14.1" hidden="1">
      <c r="A4301" s="20">
        <v>4308</v>
      </c>
      <c r="B4301" s="1063">
        <v>44078</v>
      </c>
      <c r="C4301" s="958" t="s">
        <v>14661</v>
      </c>
      <c r="D4301" s="11"/>
      <c r="E4301" s="204" t="s">
        <v>13136</v>
      </c>
      <c r="F4301" s="958" t="s">
        <v>14603</v>
      </c>
      <c r="G4301" s="297" t="s">
        <v>14662</v>
      </c>
      <c r="H4301" s="297" t="s">
        <v>260</v>
      </c>
      <c r="I4301" s="297" t="s">
        <v>39</v>
      </c>
      <c r="J4301" s="297" t="s">
        <v>906</v>
      </c>
      <c r="K4301" s="297" t="s">
        <v>1928</v>
      </c>
      <c r="L4301" s="297" t="s">
        <v>1</v>
      </c>
      <c r="M4301" s="297">
        <v>9</v>
      </c>
      <c r="N4301" s="297">
        <v>10</v>
      </c>
      <c r="O4301" s="297">
        <v>10</v>
      </c>
      <c r="P4301" s="297">
        <v>0</v>
      </c>
      <c r="Q4301" s="694">
        <v>1</v>
      </c>
      <c r="R4301" s="1256">
        <v>250</v>
      </c>
      <c r="S4301" s="1256">
        <v>2498</v>
      </c>
      <c r="T4301" s="297" t="s">
        <v>14607</v>
      </c>
      <c r="U4301" s="1941" t="s">
        <v>149</v>
      </c>
      <c r="V4301" s="572" t="s">
        <v>352</v>
      </c>
      <c r="W4301" s="681" t="s">
        <v>908</v>
      </c>
      <c r="X4301" s="18"/>
      <c r="Y4301" s="4"/>
      <c r="Z4301" s="4"/>
    </row>
    <row r="4302" spans="1:26" ht="14.1" hidden="1">
      <c r="A4302" s="20">
        <v>4309</v>
      </c>
      <c r="B4302" s="1063">
        <v>44079</v>
      </c>
      <c r="C4302" s="958" t="s">
        <v>14663</v>
      </c>
      <c r="D4302" s="11"/>
      <c r="E4302" s="204" t="s">
        <v>13136</v>
      </c>
      <c r="F4302" s="958" t="s">
        <v>14603</v>
      </c>
      <c r="G4302" s="297" t="s">
        <v>14664</v>
      </c>
      <c r="H4302" s="297" t="s">
        <v>201</v>
      </c>
      <c r="I4302" s="297" t="s">
        <v>39</v>
      </c>
      <c r="J4302" s="297" t="s">
        <v>4218</v>
      </c>
      <c r="K4302" s="297" t="s">
        <v>4219</v>
      </c>
      <c r="L4302" s="297" t="s">
        <v>1088</v>
      </c>
      <c r="M4302" s="297">
        <v>3</v>
      </c>
      <c r="N4302" s="297">
        <v>25</v>
      </c>
      <c r="O4302" s="297">
        <v>25</v>
      </c>
      <c r="P4302" s="297">
        <v>0</v>
      </c>
      <c r="Q4302" s="694">
        <v>22</v>
      </c>
      <c r="R4302" s="1256">
        <v>50</v>
      </c>
      <c r="S4302" s="1256">
        <v>1243</v>
      </c>
      <c r="T4302" s="297" t="s">
        <v>14665</v>
      </c>
      <c r="U4302" s="1941" t="s">
        <v>149</v>
      </c>
      <c r="V4302" s="572" t="s">
        <v>352</v>
      </c>
      <c r="W4302" s="681" t="s">
        <v>14666</v>
      </c>
      <c r="X4302" s="18"/>
      <c r="Y4302" s="4"/>
      <c r="Z4302" s="4"/>
    </row>
    <row r="4303" spans="1:26" ht="14.1" hidden="1">
      <c r="A4303" s="20">
        <v>4310</v>
      </c>
      <c r="B4303" s="1063">
        <v>44080</v>
      </c>
      <c r="C4303" s="958" t="s">
        <v>14667</v>
      </c>
      <c r="D4303" s="11"/>
      <c r="E4303" s="204" t="s">
        <v>13136</v>
      </c>
      <c r="F4303" s="958" t="s">
        <v>14603</v>
      </c>
      <c r="G4303" s="297" t="s">
        <v>14668</v>
      </c>
      <c r="H4303" s="297" t="s">
        <v>3293</v>
      </c>
      <c r="I4303" s="297" t="s">
        <v>574</v>
      </c>
      <c r="J4303" s="297" t="s">
        <v>14669</v>
      </c>
      <c r="K4303" s="297" t="s">
        <v>14670</v>
      </c>
      <c r="L4303" s="297" t="s">
        <v>6661</v>
      </c>
      <c r="M4303" s="297">
        <v>4</v>
      </c>
      <c r="N4303" s="297">
        <v>1</v>
      </c>
      <c r="O4303" s="297">
        <v>4</v>
      </c>
      <c r="P4303" s="297">
        <v>0</v>
      </c>
      <c r="Q4303" s="694">
        <v>0</v>
      </c>
      <c r="R4303" s="1256">
        <v>708</v>
      </c>
      <c r="S4303" s="1256">
        <v>2832</v>
      </c>
      <c r="T4303" s="297" t="s">
        <v>14665</v>
      </c>
      <c r="U4303" s="1941" t="s">
        <v>149</v>
      </c>
      <c r="V4303" s="572" t="s">
        <v>352</v>
      </c>
      <c r="W4303" s="804" t="s">
        <v>14671</v>
      </c>
      <c r="X4303" s="18"/>
      <c r="Y4303" s="4"/>
      <c r="Z4303" s="4"/>
    </row>
    <row r="4304" spans="1:26" ht="14.1" hidden="1">
      <c r="A4304" s="20">
        <v>4311</v>
      </c>
      <c r="B4304" s="1063">
        <v>44081</v>
      </c>
      <c r="C4304" s="958" t="s">
        <v>4310</v>
      </c>
      <c r="D4304" s="11"/>
      <c r="E4304" s="204" t="s">
        <v>13136</v>
      </c>
      <c r="F4304" s="958" t="s">
        <v>14603</v>
      </c>
      <c r="G4304" s="297" t="s">
        <v>14672</v>
      </c>
      <c r="H4304" s="297" t="s">
        <v>2914</v>
      </c>
      <c r="I4304" s="297" t="s">
        <v>39</v>
      </c>
      <c r="J4304" s="297" t="s">
        <v>4312</v>
      </c>
      <c r="K4304" s="297" t="s">
        <v>2916</v>
      </c>
      <c r="L4304" s="297" t="s">
        <v>6661</v>
      </c>
      <c r="M4304" s="297">
        <v>8</v>
      </c>
      <c r="N4304" s="297">
        <v>1</v>
      </c>
      <c r="O4304" s="297">
        <v>8</v>
      </c>
      <c r="P4304" s="297">
        <v>0</v>
      </c>
      <c r="Q4304" s="694">
        <v>0</v>
      </c>
      <c r="R4304" s="1256">
        <v>602</v>
      </c>
      <c r="S4304" s="1256">
        <v>4816</v>
      </c>
      <c r="T4304" s="297" t="s">
        <v>14665</v>
      </c>
      <c r="U4304" s="1941" t="s">
        <v>149</v>
      </c>
      <c r="V4304" s="572" t="s">
        <v>352</v>
      </c>
      <c r="W4304" s="804" t="s">
        <v>4314</v>
      </c>
      <c r="X4304" s="18"/>
      <c r="Y4304" s="4"/>
      <c r="Z4304" s="4"/>
    </row>
    <row r="4305" spans="1:26" ht="14.1" hidden="1">
      <c r="A4305" s="20">
        <v>4312</v>
      </c>
      <c r="B4305" s="1063">
        <v>44082</v>
      </c>
      <c r="C4305" s="958" t="s">
        <v>14629</v>
      </c>
      <c r="D4305" s="11"/>
      <c r="E4305" s="204" t="s">
        <v>13136</v>
      </c>
      <c r="F4305" s="958" t="s">
        <v>14603</v>
      </c>
      <c r="G4305" s="204" t="s">
        <v>14673</v>
      </c>
      <c r="H4305" s="297" t="s">
        <v>6567</v>
      </c>
      <c r="I4305" s="297" t="s">
        <v>14674</v>
      </c>
      <c r="J4305" s="297" t="s">
        <v>14675</v>
      </c>
      <c r="K4305" s="297" t="s">
        <v>14675</v>
      </c>
      <c r="L4305" s="297" t="s">
        <v>6661</v>
      </c>
      <c r="M4305" s="297">
        <v>3</v>
      </c>
      <c r="N4305" s="297">
        <v>1</v>
      </c>
      <c r="O4305" s="297">
        <v>10</v>
      </c>
      <c r="P4305" s="297">
        <v>0</v>
      </c>
      <c r="Q4305" s="694">
        <v>7</v>
      </c>
      <c r="R4305" s="1256">
        <v>214.19</v>
      </c>
      <c r="S4305" s="1256">
        <v>2141.86</v>
      </c>
      <c r="T4305" s="297" t="s">
        <v>14665</v>
      </c>
      <c r="U4305" s="1941" t="s">
        <v>149</v>
      </c>
      <c r="V4305" s="204" t="s">
        <v>14601</v>
      </c>
      <c r="W4305" s="681" t="s">
        <v>14676</v>
      </c>
      <c r="X4305" s="18"/>
      <c r="Y4305" s="4"/>
      <c r="Z4305" s="4"/>
    </row>
    <row r="4306" spans="1:26" ht="14.1" hidden="1">
      <c r="A4306" s="20">
        <v>4313</v>
      </c>
      <c r="B4306" s="1063">
        <v>44083</v>
      </c>
      <c r="C4306" s="958" t="s">
        <v>4263</v>
      </c>
      <c r="D4306" s="11"/>
      <c r="E4306" s="204" t="s">
        <v>13136</v>
      </c>
      <c r="F4306" s="958" t="s">
        <v>14603</v>
      </c>
      <c r="G4306" s="204" t="s">
        <v>14677</v>
      </c>
      <c r="H4306" s="297" t="s">
        <v>249</v>
      </c>
      <c r="I4306" s="297" t="s">
        <v>39</v>
      </c>
      <c r="J4306" s="297" t="s">
        <v>4325</v>
      </c>
      <c r="K4306" s="297" t="s">
        <v>4326</v>
      </c>
      <c r="L4306" s="297" t="s">
        <v>6661</v>
      </c>
      <c r="M4306" s="297">
        <v>9</v>
      </c>
      <c r="N4306" s="297">
        <v>1</v>
      </c>
      <c r="O4306" s="297">
        <v>5</v>
      </c>
      <c r="P4306" s="297">
        <v>6</v>
      </c>
      <c r="Q4306" s="694">
        <v>2</v>
      </c>
      <c r="R4306" s="1256">
        <v>487</v>
      </c>
      <c r="S4306" s="1256">
        <v>2435</v>
      </c>
      <c r="T4306" s="297" t="s">
        <v>14665</v>
      </c>
      <c r="U4306" s="1941" t="s">
        <v>149</v>
      </c>
      <c r="V4306" s="572" t="s">
        <v>352</v>
      </c>
      <c r="W4306" s="804" t="s">
        <v>14678</v>
      </c>
      <c r="X4306" s="18"/>
      <c r="Y4306" s="4"/>
      <c r="Z4306" s="4"/>
    </row>
    <row r="4307" spans="1:26" ht="14.1" hidden="1">
      <c r="A4307" s="20">
        <v>4314</v>
      </c>
      <c r="B4307" s="1063">
        <v>44084</v>
      </c>
      <c r="C4307" s="934" t="s">
        <v>1072</v>
      </c>
      <c r="D4307" s="11"/>
      <c r="E4307" s="204" t="s">
        <v>13136</v>
      </c>
      <c r="F4307" s="958" t="s">
        <v>14603</v>
      </c>
      <c r="G4307" s="297" t="s">
        <v>14679</v>
      </c>
      <c r="H4307" s="564" t="s">
        <v>14680</v>
      </c>
      <c r="I4307" s="297" t="s">
        <v>39</v>
      </c>
      <c r="J4307" s="297" t="s">
        <v>4337</v>
      </c>
      <c r="K4307" s="297" t="s">
        <v>4338</v>
      </c>
      <c r="L4307" s="297" t="s">
        <v>1088</v>
      </c>
      <c r="M4307" s="297">
        <v>16</v>
      </c>
      <c r="N4307" s="297">
        <v>5</v>
      </c>
      <c r="O4307" s="297">
        <v>20</v>
      </c>
      <c r="P4307" s="297">
        <v>0</v>
      </c>
      <c r="Q4307" s="694">
        <v>4</v>
      </c>
      <c r="R4307" s="1256">
        <v>93</v>
      </c>
      <c r="S4307" s="1256">
        <v>1868</v>
      </c>
      <c r="T4307" s="297" t="s">
        <v>14665</v>
      </c>
      <c r="U4307" s="1941" t="s">
        <v>149</v>
      </c>
      <c r="V4307" s="572" t="s">
        <v>352</v>
      </c>
      <c r="W4307" s="681" t="s">
        <v>14681</v>
      </c>
      <c r="X4307" s="18"/>
      <c r="Y4307" s="4"/>
      <c r="Z4307" s="4"/>
    </row>
    <row r="4308" spans="1:26" ht="14.1" hidden="1">
      <c r="A4308" s="20">
        <v>4315</v>
      </c>
      <c r="B4308" s="1063">
        <v>44085</v>
      </c>
      <c r="C4308" s="934" t="s">
        <v>4341</v>
      </c>
      <c r="D4308" s="11"/>
      <c r="E4308" s="204" t="s">
        <v>13136</v>
      </c>
      <c r="F4308" s="958" t="s">
        <v>14603</v>
      </c>
      <c r="G4308" s="297" t="s">
        <v>14682</v>
      </c>
      <c r="H4308" s="297" t="s">
        <v>14683</v>
      </c>
      <c r="I4308" s="297" t="s">
        <v>39</v>
      </c>
      <c r="J4308" s="297" t="s">
        <v>900</v>
      </c>
      <c r="K4308" s="297" t="s">
        <v>901</v>
      </c>
      <c r="L4308" s="297" t="s">
        <v>1</v>
      </c>
      <c r="M4308" s="297">
        <v>9</v>
      </c>
      <c r="N4308" s="204">
        <v>1</v>
      </c>
      <c r="O4308" s="297">
        <v>10</v>
      </c>
      <c r="P4308" s="297">
        <v>0</v>
      </c>
      <c r="Q4308" s="694">
        <v>1</v>
      </c>
      <c r="R4308" s="1256">
        <v>103</v>
      </c>
      <c r="S4308" s="1256">
        <v>1039</v>
      </c>
      <c r="T4308" s="297" t="s">
        <v>14665</v>
      </c>
      <c r="U4308" s="1941" t="s">
        <v>149</v>
      </c>
      <c r="V4308" s="572" t="s">
        <v>352</v>
      </c>
      <c r="W4308" s="681" t="s">
        <v>14684</v>
      </c>
      <c r="X4308" s="18"/>
      <c r="Y4308" s="4"/>
      <c r="Z4308" s="4"/>
    </row>
    <row r="4309" spans="1:26" ht="14.1" hidden="1">
      <c r="A4309" s="20">
        <v>4316</v>
      </c>
      <c r="B4309" s="1063">
        <v>44086</v>
      </c>
      <c r="C4309" s="934" t="s">
        <v>14685</v>
      </c>
      <c r="D4309" s="278" t="s">
        <v>6</v>
      </c>
      <c r="E4309" s="204" t="s">
        <v>13136</v>
      </c>
      <c r="F4309" s="958" t="s">
        <v>9454</v>
      </c>
      <c r="G4309" s="204" t="s">
        <v>14686</v>
      </c>
      <c r="H4309" s="204" t="s">
        <v>14687</v>
      </c>
      <c r="I4309" s="204" t="s">
        <v>14687</v>
      </c>
      <c r="J4309" s="204" t="s">
        <v>14688</v>
      </c>
      <c r="K4309" s="204" t="s">
        <v>14688</v>
      </c>
      <c r="L4309" s="204"/>
      <c r="M4309" s="204">
        <v>20</v>
      </c>
      <c r="N4309" s="204">
        <v>1</v>
      </c>
      <c r="O4309" s="204">
        <v>20</v>
      </c>
      <c r="P4309" s="204">
        <v>0</v>
      </c>
      <c r="Q4309" s="572">
        <v>0</v>
      </c>
      <c r="R4309" s="1209">
        <v>1320</v>
      </c>
      <c r="S4309" s="1209">
        <v>1320</v>
      </c>
      <c r="T4309" s="204" t="s">
        <v>3961</v>
      </c>
      <c r="U4309" s="1901" t="s">
        <v>301</v>
      </c>
      <c r="V4309" s="572" t="s">
        <v>352</v>
      </c>
      <c r="W4309" s="804" t="s">
        <v>14689</v>
      </c>
      <c r="X4309" s="18"/>
      <c r="Y4309" s="4"/>
      <c r="Z4309" s="4"/>
    </row>
    <row r="4310" spans="1:26" ht="14.1" hidden="1">
      <c r="A4310" s="20">
        <v>4317</v>
      </c>
      <c r="B4310" s="1063">
        <v>44087</v>
      </c>
      <c r="C4310" s="934" t="s">
        <v>14690</v>
      </c>
      <c r="D4310" s="278" t="s">
        <v>6</v>
      </c>
      <c r="E4310" s="204" t="s">
        <v>13136</v>
      </c>
      <c r="F4310" s="934" t="s">
        <v>9454</v>
      </c>
      <c r="G4310" s="204" t="s">
        <v>14691</v>
      </c>
      <c r="H4310" s="204" t="s">
        <v>14687</v>
      </c>
      <c r="I4310" s="204" t="s">
        <v>14687</v>
      </c>
      <c r="J4310" s="204" t="s">
        <v>14692</v>
      </c>
      <c r="K4310" s="204" t="s">
        <v>14692</v>
      </c>
      <c r="L4310" s="204"/>
      <c r="M4310" s="204">
        <v>18</v>
      </c>
      <c r="N4310" s="204">
        <v>1</v>
      </c>
      <c r="O4310" s="204">
        <v>20</v>
      </c>
      <c r="P4310" s="204">
        <v>0</v>
      </c>
      <c r="Q4310" s="572">
        <v>0</v>
      </c>
      <c r="R4310" s="1209">
        <v>1320</v>
      </c>
      <c r="S4310" s="1209">
        <v>1320</v>
      </c>
      <c r="T4310" s="204" t="s">
        <v>3961</v>
      </c>
      <c r="U4310" s="1901" t="s">
        <v>301</v>
      </c>
      <c r="V4310" s="572" t="s">
        <v>352</v>
      </c>
      <c r="W4310" s="804" t="s">
        <v>14689</v>
      </c>
      <c r="X4310" s="18"/>
      <c r="Y4310" s="4"/>
      <c r="Z4310" s="4"/>
    </row>
    <row r="4311" spans="1:26" ht="14.1" hidden="1">
      <c r="A4311" s="20">
        <v>4318</v>
      </c>
      <c r="B4311" s="1063">
        <v>44088</v>
      </c>
      <c r="C4311" s="934" t="s">
        <v>14693</v>
      </c>
      <c r="D4311" s="278" t="s">
        <v>6</v>
      </c>
      <c r="E4311" s="204" t="s">
        <v>13136</v>
      </c>
      <c r="F4311" s="934" t="s">
        <v>9454</v>
      </c>
      <c r="G4311" s="204" t="s">
        <v>14694</v>
      </c>
      <c r="H4311" s="204" t="s">
        <v>14687</v>
      </c>
      <c r="I4311" s="204" t="s">
        <v>14687</v>
      </c>
      <c r="J4311" s="204" t="s">
        <v>14695</v>
      </c>
      <c r="K4311" s="204" t="s">
        <v>14695</v>
      </c>
      <c r="L4311" s="204"/>
      <c r="M4311" s="204">
        <v>1</v>
      </c>
      <c r="N4311" s="204">
        <v>1</v>
      </c>
      <c r="O4311" s="204">
        <v>1</v>
      </c>
      <c r="P4311" s="204">
        <v>0</v>
      </c>
      <c r="Q4311" s="572">
        <v>0</v>
      </c>
      <c r="R4311" s="1209">
        <v>8000</v>
      </c>
      <c r="S4311" s="1209">
        <v>8000</v>
      </c>
      <c r="T4311" s="204" t="s">
        <v>3961</v>
      </c>
      <c r="U4311" s="1901" t="s">
        <v>301</v>
      </c>
      <c r="V4311" s="572" t="s">
        <v>352</v>
      </c>
      <c r="W4311" s="681" t="s">
        <v>14696</v>
      </c>
      <c r="X4311" s="18"/>
      <c r="Y4311" s="4"/>
      <c r="Z4311" s="4"/>
    </row>
    <row r="4312" spans="1:26" ht="14.1" hidden="1">
      <c r="A4312" s="20">
        <v>4319</v>
      </c>
      <c r="B4312" s="1063">
        <v>44089</v>
      </c>
      <c r="C4312" s="934" t="s">
        <v>14697</v>
      </c>
      <c r="D4312" s="11" t="s">
        <v>6</v>
      </c>
      <c r="E4312" s="565" t="s">
        <v>14698</v>
      </c>
      <c r="F4312" s="934" t="s">
        <v>13364</v>
      </c>
      <c r="G4312" s="204" t="s">
        <v>14699</v>
      </c>
      <c r="H4312" s="204" t="s">
        <v>752</v>
      </c>
      <c r="I4312" s="204" t="s">
        <v>281</v>
      </c>
      <c r="J4312" s="204" t="s">
        <v>14700</v>
      </c>
      <c r="K4312" s="204" t="s">
        <v>14701</v>
      </c>
      <c r="L4312" s="204"/>
      <c r="M4312" s="204">
        <v>1</v>
      </c>
      <c r="N4312" s="204">
        <v>1</v>
      </c>
      <c r="O4312" s="204">
        <v>1</v>
      </c>
      <c r="P4312" s="204">
        <v>0</v>
      </c>
      <c r="Q4312" s="204">
        <v>0</v>
      </c>
      <c r="R4312" s="1209">
        <v>5489</v>
      </c>
      <c r="S4312" s="1209">
        <v>5489</v>
      </c>
      <c r="T4312" s="204" t="s">
        <v>14362</v>
      </c>
      <c r="U4312" s="1" t="s">
        <v>10628</v>
      </c>
      <c r="V4312" s="195" t="s">
        <v>14002</v>
      </c>
      <c r="W4312" s="681" t="s">
        <v>14702</v>
      </c>
      <c r="X4312" s="18"/>
      <c r="Y4312" s="4"/>
      <c r="Z4312" s="4"/>
    </row>
    <row r="4313" spans="1:26" ht="14.1" hidden="1">
      <c r="A4313" s="20">
        <v>4320</v>
      </c>
      <c r="B4313" s="1063">
        <v>44090</v>
      </c>
      <c r="C4313" s="934" t="s">
        <v>14703</v>
      </c>
      <c r="D4313" s="11" t="s">
        <v>6</v>
      </c>
      <c r="E4313" s="565" t="s">
        <v>14698</v>
      </c>
      <c r="F4313" s="934" t="s">
        <v>13277</v>
      </c>
      <c r="G4313" s="204" t="s">
        <v>14704</v>
      </c>
      <c r="H4313" s="204" t="s">
        <v>14705</v>
      </c>
      <c r="I4313" s="204" t="s">
        <v>281</v>
      </c>
      <c r="J4313" s="204" t="s">
        <v>14706</v>
      </c>
      <c r="K4313" s="204" t="s">
        <v>14707</v>
      </c>
      <c r="L4313" s="204" t="s">
        <v>1088</v>
      </c>
      <c r="M4313" s="204">
        <v>20</v>
      </c>
      <c r="N4313" s="204">
        <v>1</v>
      </c>
      <c r="O4313" s="204">
        <v>30</v>
      </c>
      <c r="P4313" s="204">
        <v>0</v>
      </c>
      <c r="Q4313" s="572">
        <v>10</v>
      </c>
      <c r="R4313" s="1209">
        <v>308.5</v>
      </c>
      <c r="S4313" s="1209">
        <f t="shared" ref="S4313:S4314" si="249">O4313*R4313</f>
        <v>9255</v>
      </c>
      <c r="T4313" s="204" t="s">
        <v>14362</v>
      </c>
      <c r="U4313" s="1901" t="s">
        <v>14708</v>
      </c>
      <c r="V4313" s="572" t="s">
        <v>3140</v>
      </c>
      <c r="W4313" s="804" t="s">
        <v>14709</v>
      </c>
      <c r="X4313" s="18"/>
      <c r="Y4313" s="4"/>
      <c r="Z4313" s="4"/>
    </row>
    <row r="4314" spans="1:26" ht="14.1" hidden="1">
      <c r="A4314" s="20">
        <v>4321</v>
      </c>
      <c r="B4314" s="1063">
        <v>44091</v>
      </c>
      <c r="C4314" s="934" t="s">
        <v>14710</v>
      </c>
      <c r="D4314" s="11" t="s">
        <v>6</v>
      </c>
      <c r="E4314" s="204" t="s">
        <v>5448</v>
      </c>
      <c r="F4314" s="934" t="s">
        <v>13277</v>
      </c>
      <c r="G4314" s="204" t="s">
        <v>14711</v>
      </c>
      <c r="H4314" s="204" t="s">
        <v>14712</v>
      </c>
      <c r="I4314" s="204" t="s">
        <v>4634</v>
      </c>
      <c r="J4314" s="204" t="s">
        <v>14713</v>
      </c>
      <c r="K4314" s="204" t="s">
        <v>11330</v>
      </c>
      <c r="L4314" s="204" t="s">
        <v>1</v>
      </c>
      <c r="M4314" s="204">
        <v>1</v>
      </c>
      <c r="N4314" s="204">
        <v>1</v>
      </c>
      <c r="O4314" s="204">
        <v>1</v>
      </c>
      <c r="P4314" s="204">
        <v>0</v>
      </c>
      <c r="Q4314" s="572">
        <v>0</v>
      </c>
      <c r="R4314" s="1209">
        <v>12037.2</v>
      </c>
      <c r="S4314" s="1209">
        <f t="shared" si="249"/>
        <v>12037.2</v>
      </c>
      <c r="T4314" s="204" t="s">
        <v>6634</v>
      </c>
      <c r="U4314" s="1901" t="s">
        <v>14714</v>
      </c>
      <c r="V4314" s="572" t="s">
        <v>14715</v>
      </c>
      <c r="W4314" s="804" t="s">
        <v>14716</v>
      </c>
      <c r="X4314" s="18"/>
      <c r="Y4314" s="4"/>
      <c r="Z4314" s="4"/>
    </row>
    <row r="4315" spans="1:26" ht="14.1" hidden="1">
      <c r="A4315" s="20">
        <v>4322</v>
      </c>
      <c r="B4315" s="1063">
        <v>44092</v>
      </c>
      <c r="C4315" s="934" t="s">
        <v>14717</v>
      </c>
      <c r="D4315" s="11" t="s">
        <v>6</v>
      </c>
      <c r="E4315" s="204" t="s">
        <v>62</v>
      </c>
      <c r="F4315" s="934" t="s">
        <v>11438</v>
      </c>
      <c r="G4315" s="204" t="s">
        <v>14718</v>
      </c>
      <c r="H4315" s="204" t="s">
        <v>4480</v>
      </c>
      <c r="I4315" s="204" t="s">
        <v>287</v>
      </c>
      <c r="J4315" s="204"/>
      <c r="K4315" s="204"/>
      <c r="L4315" s="204"/>
      <c r="M4315" s="204">
        <v>3</v>
      </c>
      <c r="N4315" s="204">
        <v>1</v>
      </c>
      <c r="O4315" s="204">
        <v>3</v>
      </c>
      <c r="P4315" s="204">
        <v>0</v>
      </c>
      <c r="Q4315" s="572">
        <v>0</v>
      </c>
      <c r="R4315" s="1209"/>
      <c r="S4315" s="1209">
        <v>50633</v>
      </c>
      <c r="T4315" s="204" t="s">
        <v>14719</v>
      </c>
      <c r="U4315" s="1901" t="s">
        <v>149</v>
      </c>
      <c r="V4315" s="572" t="s">
        <v>352</v>
      </c>
      <c r="W4315" s="681"/>
      <c r="X4315" s="18"/>
      <c r="Y4315" s="18"/>
      <c r="Z4315" s="18"/>
    </row>
    <row r="4316" spans="1:26" ht="14.1" hidden="1">
      <c r="A4316" s="20">
        <v>4323</v>
      </c>
      <c r="B4316" s="1063">
        <v>44093</v>
      </c>
      <c r="C4316" s="934" t="s">
        <v>14720</v>
      </c>
      <c r="D4316" s="11" t="s">
        <v>6</v>
      </c>
      <c r="E4316" s="204" t="s">
        <v>62</v>
      </c>
      <c r="F4316" s="934" t="s">
        <v>11438</v>
      </c>
      <c r="G4316" s="204" t="s">
        <v>14721</v>
      </c>
      <c r="H4316" s="204" t="s">
        <v>4480</v>
      </c>
      <c r="I4316" s="204" t="s">
        <v>4480</v>
      </c>
      <c r="J4316" s="204"/>
      <c r="K4316" s="204"/>
      <c r="L4316" s="204"/>
      <c r="M4316" s="204">
        <v>2</v>
      </c>
      <c r="N4316" s="204">
        <v>1</v>
      </c>
      <c r="O4316" s="204">
        <v>2</v>
      </c>
      <c r="P4316" s="204">
        <v>0</v>
      </c>
      <c r="Q4316" s="572">
        <v>0</v>
      </c>
      <c r="R4316" s="1209"/>
      <c r="S4316" s="1209">
        <v>43369</v>
      </c>
      <c r="T4316" s="160" t="s">
        <v>14721</v>
      </c>
      <c r="U4316" s="1901" t="s">
        <v>149</v>
      </c>
      <c r="V4316" s="572" t="s">
        <v>352</v>
      </c>
      <c r="W4316" s="681"/>
      <c r="X4316" s="18"/>
      <c r="Y4316" s="18"/>
      <c r="Z4316" s="18"/>
    </row>
    <row r="4317" spans="1:26" ht="14.1" hidden="1">
      <c r="A4317" s="20">
        <v>4324</v>
      </c>
      <c r="B4317" s="1063">
        <v>44094</v>
      </c>
      <c r="C4317" s="934" t="s">
        <v>14722</v>
      </c>
      <c r="D4317" s="11" t="s">
        <v>6</v>
      </c>
      <c r="E4317" s="204" t="s">
        <v>62</v>
      </c>
      <c r="F4317" s="934" t="s">
        <v>11438</v>
      </c>
      <c r="G4317" s="204" t="s">
        <v>14723</v>
      </c>
      <c r="H4317" s="204" t="s">
        <v>4480</v>
      </c>
      <c r="I4317" s="204" t="s">
        <v>4480</v>
      </c>
      <c r="J4317" s="204"/>
      <c r="K4317" s="204"/>
      <c r="L4317" s="204"/>
      <c r="M4317" s="204">
        <v>1</v>
      </c>
      <c r="N4317" s="204">
        <v>1</v>
      </c>
      <c r="O4317" s="204">
        <v>1</v>
      </c>
      <c r="P4317" s="204">
        <v>0</v>
      </c>
      <c r="Q4317" s="572">
        <v>0</v>
      </c>
      <c r="R4317" s="1209">
        <v>43369</v>
      </c>
      <c r="S4317" s="1209">
        <v>43369</v>
      </c>
      <c r="T4317" s="204" t="s">
        <v>14723</v>
      </c>
      <c r="U4317" s="1901" t="s">
        <v>149</v>
      </c>
      <c r="V4317" s="572" t="s">
        <v>352</v>
      </c>
      <c r="W4317" s="681"/>
      <c r="X4317" s="18"/>
      <c r="Y4317" s="18"/>
      <c r="Z4317" s="18"/>
    </row>
    <row r="4318" spans="1:26" ht="15.6" hidden="1">
      <c r="A4318" s="20">
        <f t="shared" ref="A4318:A4319" si="250">A4317+1</f>
        <v>4325</v>
      </c>
      <c r="B4318" s="1063">
        <v>44095</v>
      </c>
      <c r="C4318" s="995" t="s">
        <v>12510</v>
      </c>
      <c r="D4318" s="11" t="s">
        <v>6</v>
      </c>
      <c r="E4318" s="243" t="s">
        <v>13136</v>
      </c>
      <c r="F4318" s="998" t="s">
        <v>9454</v>
      </c>
      <c r="G4318" s="243" t="s">
        <v>14724</v>
      </c>
      <c r="H4318" s="243" t="s">
        <v>7319</v>
      </c>
      <c r="I4318" s="470" t="s">
        <v>366</v>
      </c>
      <c r="J4318" s="566" t="s">
        <v>9210</v>
      </c>
      <c r="K4318" s="566" t="s">
        <v>9210</v>
      </c>
      <c r="L4318" s="243" t="s">
        <v>12491</v>
      </c>
      <c r="M4318" s="567">
        <v>16</v>
      </c>
      <c r="N4318" s="243">
        <v>50</v>
      </c>
      <c r="O4318" s="243">
        <v>50</v>
      </c>
      <c r="P4318" s="243">
        <v>0</v>
      </c>
      <c r="Q4318" s="243">
        <v>10</v>
      </c>
      <c r="R4318" s="1263">
        <v>16</v>
      </c>
      <c r="S4318" s="1263">
        <v>800</v>
      </c>
      <c r="T4318" s="470" t="s">
        <v>3961</v>
      </c>
      <c r="U4318" s="1931" t="s">
        <v>9101</v>
      </c>
      <c r="V4318" s="195" t="s">
        <v>9064</v>
      </c>
      <c r="W4318" s="2144" t="s">
        <v>14725</v>
      </c>
      <c r="X4318" s="455"/>
      <c r="Y4318" s="325"/>
      <c r="Z4318" s="325"/>
    </row>
    <row r="4319" spans="1:26" ht="15.6" hidden="1">
      <c r="A4319" s="20">
        <f t="shared" si="250"/>
        <v>4326</v>
      </c>
      <c r="B4319" s="1063">
        <v>44096</v>
      </c>
      <c r="C4319" s="995" t="s">
        <v>12510</v>
      </c>
      <c r="D4319" s="11" t="s">
        <v>6</v>
      </c>
      <c r="E4319" s="243" t="s">
        <v>13136</v>
      </c>
      <c r="F4319" s="998" t="s">
        <v>9454</v>
      </c>
      <c r="G4319" s="243" t="s">
        <v>14726</v>
      </c>
      <c r="H4319" s="243" t="s">
        <v>7319</v>
      </c>
      <c r="I4319" s="470" t="s">
        <v>366</v>
      </c>
      <c r="J4319" s="566" t="s">
        <v>9199</v>
      </c>
      <c r="K4319" s="566" t="s">
        <v>9199</v>
      </c>
      <c r="L4319" s="243" t="s">
        <v>12491</v>
      </c>
      <c r="M4319" s="567">
        <v>32</v>
      </c>
      <c r="N4319" s="243">
        <v>50</v>
      </c>
      <c r="O4319" s="243">
        <v>50</v>
      </c>
      <c r="P4319" s="243">
        <v>0</v>
      </c>
      <c r="Q4319" s="243">
        <v>10</v>
      </c>
      <c r="R4319" s="1263">
        <v>12</v>
      </c>
      <c r="S4319" s="1263">
        <v>600</v>
      </c>
      <c r="T4319" s="470" t="s">
        <v>3961</v>
      </c>
      <c r="U4319" s="1931" t="s">
        <v>9101</v>
      </c>
      <c r="V4319" s="195" t="s">
        <v>9064</v>
      </c>
      <c r="W4319" s="2144" t="s">
        <v>14727</v>
      </c>
      <c r="X4319" s="455"/>
      <c r="Y4319" s="325"/>
      <c r="Z4319" s="325"/>
    </row>
    <row r="4320" spans="1:26" ht="14.1" hidden="1">
      <c r="A4320" s="20">
        <v>4327</v>
      </c>
      <c r="B4320" s="1063">
        <v>44097</v>
      </c>
      <c r="C4320" s="934" t="s">
        <v>199</v>
      </c>
      <c r="D4320" s="11"/>
      <c r="E4320" s="204" t="s">
        <v>62</v>
      </c>
      <c r="F4320" s="934" t="s">
        <v>11438</v>
      </c>
      <c r="G4320" s="204" t="s">
        <v>14728</v>
      </c>
      <c r="H4320" s="204" t="s">
        <v>201</v>
      </c>
      <c r="I4320" s="204" t="s">
        <v>39</v>
      </c>
      <c r="J4320" s="204" t="s">
        <v>202</v>
      </c>
      <c r="K4320" s="204" t="s">
        <v>14729</v>
      </c>
      <c r="L4320" s="204" t="s">
        <v>1088</v>
      </c>
      <c r="M4320" s="204">
        <v>3</v>
      </c>
      <c r="N4320" s="204">
        <v>2</v>
      </c>
      <c r="O4320" s="204">
        <v>8</v>
      </c>
      <c r="P4320" s="204">
        <v>0</v>
      </c>
      <c r="Q4320" s="572">
        <v>5</v>
      </c>
      <c r="R4320" s="1209">
        <v>266</v>
      </c>
      <c r="S4320" s="1209">
        <v>2128</v>
      </c>
      <c r="T4320" s="204" t="s">
        <v>14607</v>
      </c>
      <c r="U4320" s="1901" t="s">
        <v>149</v>
      </c>
      <c r="V4320" s="572" t="s">
        <v>352</v>
      </c>
      <c r="W4320" s="804" t="s">
        <v>14730</v>
      </c>
      <c r="X4320" s="18"/>
      <c r="Y4320" s="4"/>
      <c r="Z4320" s="4"/>
    </row>
    <row r="4321" spans="1:26" ht="14.1" hidden="1">
      <c r="A4321" s="20">
        <v>4328</v>
      </c>
      <c r="B4321" s="1063">
        <v>44098</v>
      </c>
      <c r="C4321" s="932" t="s">
        <v>10115</v>
      </c>
      <c r="D4321" s="11"/>
      <c r="E4321" s="204" t="s">
        <v>62</v>
      </c>
      <c r="F4321" s="934" t="s">
        <v>11438</v>
      </c>
      <c r="G4321" s="204" t="s">
        <v>6244</v>
      </c>
      <c r="H4321" s="208" t="s">
        <v>3750</v>
      </c>
      <c r="I4321" s="204" t="s">
        <v>84</v>
      </c>
      <c r="J4321" s="204">
        <v>34665565</v>
      </c>
      <c r="K4321" s="204" t="s">
        <v>10116</v>
      </c>
      <c r="L4321" s="204" t="s">
        <v>149</v>
      </c>
      <c r="M4321" s="204">
        <v>1</v>
      </c>
      <c r="N4321" s="204">
        <v>1</v>
      </c>
      <c r="O4321" s="204">
        <v>1</v>
      </c>
      <c r="P4321" s="204">
        <v>0</v>
      </c>
      <c r="Q4321" s="572">
        <v>1</v>
      </c>
      <c r="R4321" s="1209">
        <v>699</v>
      </c>
      <c r="S4321" s="1209">
        <v>699</v>
      </c>
      <c r="T4321" s="204" t="s">
        <v>448</v>
      </c>
      <c r="U4321" s="1901" t="s">
        <v>149</v>
      </c>
      <c r="V4321" s="572" t="s">
        <v>352</v>
      </c>
      <c r="W4321" s="804" t="s">
        <v>3752</v>
      </c>
      <c r="X4321" s="18"/>
      <c r="Y4321" s="4"/>
      <c r="Z4321" s="4"/>
    </row>
    <row r="4322" spans="1:26" ht="14.1" hidden="1">
      <c r="A4322" s="200">
        <v>4329</v>
      </c>
      <c r="B4322" s="1063">
        <v>44099</v>
      </c>
      <c r="C4322" s="970" t="s">
        <v>14731</v>
      </c>
      <c r="D4322" s="515" t="s">
        <v>6</v>
      </c>
      <c r="E4322" s="717"/>
      <c r="F4322" s="970" t="s">
        <v>13277</v>
      </c>
      <c r="G4322" s="717" t="s">
        <v>14731</v>
      </c>
      <c r="H4322" s="717" t="s">
        <v>14732</v>
      </c>
      <c r="I4322" s="717" t="s">
        <v>281</v>
      </c>
      <c r="J4322" s="717" t="s">
        <v>14733</v>
      </c>
      <c r="K4322" s="717" t="s">
        <v>14734</v>
      </c>
      <c r="L4322" s="717" t="s">
        <v>13281</v>
      </c>
      <c r="M4322" s="717">
        <v>1</v>
      </c>
      <c r="N4322" s="717">
        <v>1</v>
      </c>
      <c r="O4322" s="717">
        <v>1</v>
      </c>
      <c r="P4322" s="717">
        <v>0</v>
      </c>
      <c r="Q4322" s="718">
        <v>0</v>
      </c>
      <c r="R4322" s="1234">
        <v>3860</v>
      </c>
      <c r="S4322" s="1234">
        <f>O4322*R4322</f>
        <v>3860</v>
      </c>
      <c r="T4322" s="717" t="s">
        <v>5448</v>
      </c>
      <c r="U4322" s="1927" t="s">
        <v>14714</v>
      </c>
      <c r="V4322" s="718" t="s">
        <v>3140</v>
      </c>
      <c r="W4322" s="2133" t="s">
        <v>14735</v>
      </c>
      <c r="X4322" s="56"/>
      <c r="Y4322" s="57"/>
      <c r="Z4322" s="57"/>
    </row>
    <row r="4323" spans="1:26" ht="14.1" hidden="1">
      <c r="A4323" s="20">
        <v>4330</v>
      </c>
      <c r="B4323" s="1063">
        <v>44100</v>
      </c>
      <c r="C4323" s="932" t="s">
        <v>4263</v>
      </c>
      <c r="D4323" s="11"/>
      <c r="E4323" s="568" t="s">
        <v>14736</v>
      </c>
      <c r="F4323" s="934" t="s">
        <v>14603</v>
      </c>
      <c r="G4323" s="204" t="s">
        <v>14677</v>
      </c>
      <c r="H4323" s="204" t="s">
        <v>249</v>
      </c>
      <c r="I4323" s="204" t="s">
        <v>39</v>
      </c>
      <c r="J4323" s="204" t="s">
        <v>4325</v>
      </c>
      <c r="K4323" s="204" t="s">
        <v>4326</v>
      </c>
      <c r="L4323" s="204" t="s">
        <v>6661</v>
      </c>
      <c r="M4323" s="204">
        <v>12</v>
      </c>
      <c r="N4323" s="204">
        <v>1</v>
      </c>
      <c r="O4323" s="204">
        <v>3</v>
      </c>
      <c r="P4323" s="204">
        <v>0</v>
      </c>
      <c r="Q4323" s="572">
        <v>1</v>
      </c>
      <c r="R4323" s="1209">
        <v>487</v>
      </c>
      <c r="S4323" s="1209">
        <v>1461</v>
      </c>
      <c r="T4323" s="204" t="s">
        <v>14665</v>
      </c>
      <c r="U4323" s="1901" t="s">
        <v>149</v>
      </c>
      <c r="V4323" s="572" t="s">
        <v>352</v>
      </c>
      <c r="W4323" s="804" t="s">
        <v>14678</v>
      </c>
      <c r="X4323" s="18"/>
      <c r="Y4323" s="4"/>
      <c r="Z4323" s="4"/>
    </row>
    <row r="4324" spans="1:26" ht="14.1" hidden="1">
      <c r="A4324" s="20">
        <v>4331</v>
      </c>
      <c r="B4324" s="1063">
        <v>44101</v>
      </c>
      <c r="C4324" s="934" t="s">
        <v>14737</v>
      </c>
      <c r="D4324" s="11"/>
      <c r="E4324" s="204" t="s">
        <v>10695</v>
      </c>
      <c r="F4324" s="934" t="s">
        <v>9454</v>
      </c>
      <c r="G4324" s="204" t="s">
        <v>14738</v>
      </c>
      <c r="H4324" s="204" t="s">
        <v>9456</v>
      </c>
      <c r="I4324" s="204" t="s">
        <v>84</v>
      </c>
      <c r="J4324" s="204">
        <v>21006116</v>
      </c>
      <c r="K4324" s="204"/>
      <c r="L4324" s="204"/>
      <c r="M4324" s="204">
        <v>1</v>
      </c>
      <c r="N4324" s="204">
        <v>1</v>
      </c>
      <c r="O4324" s="204">
        <v>2</v>
      </c>
      <c r="P4324" s="204">
        <v>0</v>
      </c>
      <c r="Q4324" s="572">
        <v>1</v>
      </c>
      <c r="R4324" s="1209">
        <v>2190</v>
      </c>
      <c r="S4324" s="1209">
        <v>4380</v>
      </c>
      <c r="T4324" s="204" t="s">
        <v>3961</v>
      </c>
      <c r="U4324" s="1901" t="s">
        <v>301</v>
      </c>
      <c r="V4324" s="572" t="s">
        <v>352</v>
      </c>
      <c r="W4324" s="804" t="s">
        <v>14739</v>
      </c>
      <c r="X4324" s="18"/>
      <c r="Y4324" s="4"/>
      <c r="Z4324" s="4"/>
    </row>
    <row r="4325" spans="1:26" ht="14.1" hidden="1">
      <c r="A4325" s="20">
        <v>4332</v>
      </c>
      <c r="B4325" s="1063">
        <v>44102</v>
      </c>
      <c r="C4325" s="934" t="s">
        <v>14737</v>
      </c>
      <c r="D4325" s="11"/>
      <c r="E4325" s="204" t="s">
        <v>10695</v>
      </c>
      <c r="F4325" s="934" t="s">
        <v>9454</v>
      </c>
      <c r="G4325" s="204" t="s">
        <v>14740</v>
      </c>
      <c r="H4325" s="204" t="s">
        <v>9456</v>
      </c>
      <c r="I4325" s="204" t="s">
        <v>84</v>
      </c>
      <c r="J4325" s="204">
        <v>21006213</v>
      </c>
      <c r="K4325" s="204"/>
      <c r="L4325" s="204"/>
      <c r="M4325" s="204">
        <v>1</v>
      </c>
      <c r="N4325" s="204">
        <v>1</v>
      </c>
      <c r="O4325" s="204">
        <v>2</v>
      </c>
      <c r="P4325" s="204">
        <v>0</v>
      </c>
      <c r="Q4325" s="572">
        <v>1</v>
      </c>
      <c r="R4325" s="1209">
        <v>2890</v>
      </c>
      <c r="S4325" s="1209">
        <v>5780</v>
      </c>
      <c r="T4325" s="204" t="s">
        <v>3961</v>
      </c>
      <c r="U4325" s="1901" t="s">
        <v>301</v>
      </c>
      <c r="V4325" s="572" t="s">
        <v>352</v>
      </c>
      <c r="W4325" s="804" t="s">
        <v>14741</v>
      </c>
      <c r="X4325" s="18"/>
      <c r="Y4325" s="4"/>
      <c r="Z4325" s="4"/>
    </row>
    <row r="4326" spans="1:26" ht="14.1" hidden="1">
      <c r="A4326" s="20">
        <v>4333</v>
      </c>
      <c r="B4326" s="1063">
        <v>44103</v>
      </c>
      <c r="C4326" s="934" t="s">
        <v>14742</v>
      </c>
      <c r="D4326" s="11"/>
      <c r="E4326" s="204" t="s">
        <v>10695</v>
      </c>
      <c r="F4326" s="934" t="s">
        <v>9454</v>
      </c>
      <c r="G4326" s="204" t="s">
        <v>14743</v>
      </c>
      <c r="H4326" s="204" t="s">
        <v>84</v>
      </c>
      <c r="I4326" s="204" t="s">
        <v>84</v>
      </c>
      <c r="J4326" s="204">
        <v>18370485</v>
      </c>
      <c r="K4326" s="204"/>
      <c r="L4326" s="204"/>
      <c r="M4326" s="204">
        <v>2</v>
      </c>
      <c r="N4326" s="204">
        <v>1</v>
      </c>
      <c r="O4326" s="204">
        <v>2</v>
      </c>
      <c r="P4326" s="204">
        <v>0</v>
      </c>
      <c r="Q4326" s="572">
        <v>0</v>
      </c>
      <c r="R4326" s="1209">
        <v>229</v>
      </c>
      <c r="S4326" s="1209">
        <v>458</v>
      </c>
      <c r="T4326" s="204" t="s">
        <v>14744</v>
      </c>
      <c r="U4326" s="1901" t="s">
        <v>301</v>
      </c>
      <c r="V4326" s="572" t="s">
        <v>352</v>
      </c>
      <c r="W4326" s="804" t="s">
        <v>14745</v>
      </c>
      <c r="X4326" s="18"/>
      <c r="Y4326" s="4"/>
      <c r="Z4326" s="4"/>
    </row>
    <row r="4327" spans="1:26" ht="14.1" hidden="1">
      <c r="A4327" s="20">
        <v>4334</v>
      </c>
      <c r="B4327" s="1063">
        <v>44104</v>
      </c>
      <c r="C4327" s="934" t="s">
        <v>14746</v>
      </c>
      <c r="D4327" s="11"/>
      <c r="E4327" s="204" t="s">
        <v>10695</v>
      </c>
      <c r="F4327" s="934" t="s">
        <v>14747</v>
      </c>
      <c r="G4327" s="204" t="s">
        <v>14748</v>
      </c>
      <c r="H4327" s="204" t="s">
        <v>84</v>
      </c>
      <c r="I4327" s="204" t="s">
        <v>84</v>
      </c>
      <c r="J4327" s="204">
        <v>42169592</v>
      </c>
      <c r="K4327" s="204"/>
      <c r="L4327" s="204"/>
      <c r="M4327" s="204">
        <v>1</v>
      </c>
      <c r="N4327" s="204">
        <v>1</v>
      </c>
      <c r="O4327" s="204">
        <v>1</v>
      </c>
      <c r="P4327" s="204"/>
      <c r="Q4327" s="572"/>
      <c r="R4327" s="1209">
        <v>439</v>
      </c>
      <c r="S4327" s="1209">
        <v>439</v>
      </c>
      <c r="T4327" s="204" t="s">
        <v>3961</v>
      </c>
      <c r="U4327" s="1901"/>
      <c r="V4327" s="572"/>
      <c r="W4327" s="681"/>
      <c r="X4327" s="18"/>
      <c r="Y4327" s="4"/>
      <c r="Z4327" s="4"/>
    </row>
    <row r="4328" spans="1:26" ht="14.1" hidden="1">
      <c r="A4328" s="20">
        <v>4335</v>
      </c>
      <c r="B4328" s="1063">
        <v>44105</v>
      </c>
      <c r="C4328" s="934" t="s">
        <v>14749</v>
      </c>
      <c r="D4328" s="11"/>
      <c r="E4328" s="204" t="s">
        <v>62</v>
      </c>
      <c r="F4328" s="934" t="s">
        <v>14747</v>
      </c>
      <c r="G4328" s="204"/>
      <c r="H4328" s="204" t="s">
        <v>84</v>
      </c>
      <c r="I4328" s="204" t="s">
        <v>84</v>
      </c>
      <c r="J4328" s="204">
        <v>64138534</v>
      </c>
      <c r="K4328" s="204"/>
      <c r="L4328" s="204"/>
      <c r="M4328" s="204">
        <v>3</v>
      </c>
      <c r="N4328" s="204"/>
      <c r="O4328" s="204"/>
      <c r="P4328" s="204"/>
      <c r="Q4328" s="572"/>
      <c r="R4328" s="1209">
        <v>1780</v>
      </c>
      <c r="S4328" s="1209">
        <v>5874</v>
      </c>
      <c r="T4328" s="204" t="s">
        <v>3961</v>
      </c>
      <c r="U4328" s="1901"/>
      <c r="V4328" s="572"/>
      <c r="W4328" s="681"/>
      <c r="X4328" s="18"/>
      <c r="Y4328" s="4"/>
      <c r="Z4328" s="4"/>
    </row>
    <row r="4329" spans="1:26" ht="14.1" hidden="1">
      <c r="A4329" s="20">
        <v>4336</v>
      </c>
      <c r="B4329" s="1063">
        <v>44106</v>
      </c>
      <c r="C4329" s="934" t="s">
        <v>14750</v>
      </c>
      <c r="D4329" s="11"/>
      <c r="E4329" s="204" t="s">
        <v>62</v>
      </c>
      <c r="F4329" s="934" t="s">
        <v>13277</v>
      </c>
      <c r="G4329" s="204" t="s">
        <v>14751</v>
      </c>
      <c r="H4329" s="204" t="s">
        <v>166</v>
      </c>
      <c r="I4329" s="204" t="s">
        <v>84</v>
      </c>
      <c r="J4329" s="204">
        <v>29158579</v>
      </c>
      <c r="K4329" s="204" t="s">
        <v>14301</v>
      </c>
      <c r="L4329" s="204"/>
      <c r="M4329" s="204">
        <v>6</v>
      </c>
      <c r="N4329" s="204">
        <v>1</v>
      </c>
      <c r="O4329" s="204">
        <v>10</v>
      </c>
      <c r="P4329" s="204">
        <v>0</v>
      </c>
      <c r="Q4329" s="572">
        <f>O4329-M4329</f>
        <v>4</v>
      </c>
      <c r="R4329" s="1209">
        <v>1690</v>
      </c>
      <c r="S4329" s="1209">
        <f>O4329*R4329</f>
        <v>16900</v>
      </c>
      <c r="T4329" s="204" t="s">
        <v>14752</v>
      </c>
      <c r="U4329" s="1901" t="s">
        <v>448</v>
      </c>
      <c r="V4329" s="572" t="s">
        <v>3140</v>
      </c>
      <c r="W4329" s="681" t="s">
        <v>14302</v>
      </c>
      <c r="X4329" s="18"/>
      <c r="Y4329" s="4"/>
      <c r="Z4329" s="4"/>
    </row>
    <row r="4330" spans="1:26" ht="14.1" hidden="1">
      <c r="A4330" s="20">
        <v>4337</v>
      </c>
      <c r="B4330" s="1063">
        <v>44107</v>
      </c>
      <c r="C4330" s="934" t="s">
        <v>285</v>
      </c>
      <c r="D4330" s="11" t="s">
        <v>6</v>
      </c>
      <c r="E4330" s="204" t="s">
        <v>166</v>
      </c>
      <c r="F4330" s="934" t="s">
        <v>2876</v>
      </c>
      <c r="G4330" s="204" t="s">
        <v>14753</v>
      </c>
      <c r="H4330" s="204" t="s">
        <v>1002</v>
      </c>
      <c r="I4330" s="204" t="s">
        <v>1002</v>
      </c>
      <c r="J4330" s="204"/>
      <c r="K4330" s="204"/>
      <c r="L4330" s="204"/>
      <c r="M4330" s="204">
        <v>3</v>
      </c>
      <c r="N4330" s="204">
        <v>1</v>
      </c>
      <c r="O4330" s="204">
        <v>3</v>
      </c>
      <c r="P4330" s="204">
        <v>0</v>
      </c>
      <c r="Q4330" s="572">
        <v>0</v>
      </c>
      <c r="R4330" s="1209">
        <f>69601/3</f>
        <v>23200.333333333332</v>
      </c>
      <c r="S4330" s="1209">
        <f t="shared" ref="S4330:S4331" si="251">R4330*O4330</f>
        <v>69601</v>
      </c>
      <c r="T4330" s="204" t="s">
        <v>12425</v>
      </c>
      <c r="U4330" s="1901" t="s">
        <v>14754</v>
      </c>
      <c r="V4330" s="572" t="s">
        <v>3140</v>
      </c>
      <c r="W4330" s="681"/>
      <c r="X4330" s="18"/>
      <c r="Y4330" s="4"/>
      <c r="Z4330" s="4"/>
    </row>
    <row r="4331" spans="1:26" ht="14.1" hidden="1">
      <c r="A4331" s="20">
        <v>4338</v>
      </c>
      <c r="B4331" s="1063">
        <v>44108</v>
      </c>
      <c r="C4331" s="26" t="s">
        <v>14755</v>
      </c>
      <c r="D4331" s="11" t="s">
        <v>6</v>
      </c>
      <c r="E4331" s="204" t="s">
        <v>62</v>
      </c>
      <c r="F4331" s="26" t="s">
        <v>13277</v>
      </c>
      <c r="G4331" s="26" t="s">
        <v>14756</v>
      </c>
      <c r="H4331" s="26" t="s">
        <v>5132</v>
      </c>
      <c r="I4331" s="26" t="s">
        <v>5132</v>
      </c>
      <c r="J4331" s="26" t="s">
        <v>149</v>
      </c>
      <c r="K4331" s="26" t="s">
        <v>149</v>
      </c>
      <c r="L4331" s="26" t="s">
        <v>5123</v>
      </c>
      <c r="M4331" s="26">
        <v>1</v>
      </c>
      <c r="N4331" s="26">
        <v>1</v>
      </c>
      <c r="O4331" s="26">
        <v>1</v>
      </c>
      <c r="P4331" s="26">
        <v>0</v>
      </c>
      <c r="Q4331" s="26">
        <v>0</v>
      </c>
      <c r="R4331" s="1209">
        <v>799000</v>
      </c>
      <c r="S4331" s="1209">
        <f t="shared" si="251"/>
        <v>799000</v>
      </c>
      <c r="T4331" s="26" t="s">
        <v>14752</v>
      </c>
      <c r="U4331" s="1871" t="s">
        <v>1896</v>
      </c>
      <c r="V4331" s="572" t="s">
        <v>3140</v>
      </c>
      <c r="W4331" s="2015"/>
      <c r="X4331" s="18"/>
      <c r="Y4331" s="4"/>
      <c r="Z4331" s="4"/>
    </row>
    <row r="4332" spans="1:26" ht="15.6" hidden="1">
      <c r="A4332" s="20">
        <v>4339</v>
      </c>
      <c r="B4332" s="1063">
        <v>44109</v>
      </c>
      <c r="C4332" s="1013" t="s">
        <v>14757</v>
      </c>
      <c r="D4332" s="11" t="s">
        <v>6</v>
      </c>
      <c r="E4332" s="204" t="s">
        <v>14758</v>
      </c>
      <c r="F4332" s="934" t="s">
        <v>404</v>
      </c>
      <c r="G4332" s="569" t="s">
        <v>14759</v>
      </c>
      <c r="H4332" s="204" t="s">
        <v>14760</v>
      </c>
      <c r="I4332" s="204" t="s">
        <v>14760</v>
      </c>
      <c r="J4332" s="204" t="s">
        <v>14761</v>
      </c>
      <c r="K4332" s="204" t="s">
        <v>14761</v>
      </c>
      <c r="L4332" s="204"/>
      <c r="M4332" s="204">
        <v>1</v>
      </c>
      <c r="N4332" s="204">
        <v>1</v>
      </c>
      <c r="O4332" s="204">
        <v>1</v>
      </c>
      <c r="P4332" s="204">
        <v>0</v>
      </c>
      <c r="Q4332" s="572">
        <v>0</v>
      </c>
      <c r="R4332" s="1209">
        <v>164000</v>
      </c>
      <c r="S4332" s="1209">
        <v>16400</v>
      </c>
      <c r="T4332" s="26" t="s">
        <v>14752</v>
      </c>
      <c r="U4332" s="1901" t="s">
        <v>14762</v>
      </c>
      <c r="V4332" s="572" t="s">
        <v>3187</v>
      </c>
      <c r="W4332" s="681" t="s">
        <v>14763</v>
      </c>
      <c r="X4332" s="18"/>
      <c r="Y4332" s="4"/>
      <c r="Z4332" s="4"/>
    </row>
    <row r="4333" spans="1:26" ht="15.6" hidden="1">
      <c r="A4333" s="20">
        <v>4340</v>
      </c>
      <c r="B4333" s="1063">
        <v>44110</v>
      </c>
      <c r="C4333" s="1013" t="s">
        <v>14764</v>
      </c>
      <c r="D4333" s="11" t="s">
        <v>6</v>
      </c>
      <c r="E4333" s="204" t="s">
        <v>14758</v>
      </c>
      <c r="F4333" s="934" t="s">
        <v>404</v>
      </c>
      <c r="G4333" s="569" t="s">
        <v>14765</v>
      </c>
      <c r="H4333" s="204" t="s">
        <v>14760</v>
      </c>
      <c r="I4333" s="204" t="s">
        <v>14760</v>
      </c>
      <c r="J4333" s="204" t="s">
        <v>14766</v>
      </c>
      <c r="K4333" s="204" t="s">
        <v>14766</v>
      </c>
      <c r="L4333" s="204"/>
      <c r="M4333" s="204">
        <v>1</v>
      </c>
      <c r="N4333" s="204">
        <v>1</v>
      </c>
      <c r="O4333" s="204">
        <v>2</v>
      </c>
      <c r="P4333" s="204">
        <v>0</v>
      </c>
      <c r="Q4333" s="572">
        <v>1</v>
      </c>
      <c r="R4333" s="1209">
        <v>9800</v>
      </c>
      <c r="S4333" s="1209">
        <v>19600</v>
      </c>
      <c r="T4333" s="26" t="s">
        <v>14752</v>
      </c>
      <c r="U4333" s="1901" t="s">
        <v>14762</v>
      </c>
      <c r="V4333" s="572" t="s">
        <v>3187</v>
      </c>
      <c r="W4333" s="681" t="s">
        <v>14763</v>
      </c>
      <c r="X4333" s="18"/>
      <c r="Y4333" s="4"/>
      <c r="Z4333" s="4"/>
    </row>
    <row r="4334" spans="1:26" ht="15.6" hidden="1">
      <c r="A4334" s="20">
        <v>4341</v>
      </c>
      <c r="B4334" s="1063">
        <v>44111</v>
      </c>
      <c r="C4334" s="1013" t="s">
        <v>138</v>
      </c>
      <c r="D4334" s="11" t="s">
        <v>6</v>
      </c>
      <c r="E4334" s="204" t="s">
        <v>14758</v>
      </c>
      <c r="F4334" s="934" t="s">
        <v>404</v>
      </c>
      <c r="G4334" s="569" t="s">
        <v>14767</v>
      </c>
      <c r="H4334" s="204" t="s">
        <v>14760</v>
      </c>
      <c r="I4334" s="204" t="s">
        <v>14760</v>
      </c>
      <c r="J4334" s="204" t="s">
        <v>14768</v>
      </c>
      <c r="K4334" s="204" t="s">
        <v>14768</v>
      </c>
      <c r="L4334" s="204"/>
      <c r="M4334" s="204">
        <v>1</v>
      </c>
      <c r="N4334" s="204">
        <v>1</v>
      </c>
      <c r="O4334" s="204">
        <v>2</v>
      </c>
      <c r="P4334" s="204">
        <v>0</v>
      </c>
      <c r="Q4334" s="572">
        <v>1</v>
      </c>
      <c r="R4334" s="1209">
        <v>3000</v>
      </c>
      <c r="S4334" s="1209">
        <v>6000</v>
      </c>
      <c r="T4334" s="26" t="s">
        <v>14752</v>
      </c>
      <c r="U4334" s="1901" t="s">
        <v>14762</v>
      </c>
      <c r="V4334" s="572" t="s">
        <v>3187</v>
      </c>
      <c r="W4334" s="681" t="s">
        <v>14763</v>
      </c>
      <c r="X4334" s="18"/>
      <c r="Y4334" s="4"/>
      <c r="Z4334" s="4"/>
    </row>
    <row r="4335" spans="1:26" ht="15.6" hidden="1">
      <c r="A4335" s="20">
        <v>4342</v>
      </c>
      <c r="B4335" s="1063">
        <v>44112</v>
      </c>
      <c r="C4335" s="1013" t="s">
        <v>14769</v>
      </c>
      <c r="D4335" s="11" t="s">
        <v>6</v>
      </c>
      <c r="E4335" s="204" t="s">
        <v>14758</v>
      </c>
      <c r="F4335" s="934" t="s">
        <v>404</v>
      </c>
      <c r="G4335" s="569" t="s">
        <v>14769</v>
      </c>
      <c r="H4335" s="204" t="s">
        <v>14760</v>
      </c>
      <c r="I4335" s="204" t="s">
        <v>14760</v>
      </c>
      <c r="J4335" s="204" t="s">
        <v>14770</v>
      </c>
      <c r="K4335" s="204" t="s">
        <v>14770</v>
      </c>
      <c r="L4335" s="204"/>
      <c r="M4335" s="204">
        <v>1</v>
      </c>
      <c r="N4335" s="204">
        <v>1</v>
      </c>
      <c r="O4335" s="204">
        <v>2</v>
      </c>
      <c r="P4335" s="204">
        <v>0</v>
      </c>
      <c r="Q4335" s="572">
        <v>1</v>
      </c>
      <c r="R4335" s="1209">
        <v>1500</v>
      </c>
      <c r="S4335" s="1209">
        <v>3000</v>
      </c>
      <c r="T4335" s="26" t="s">
        <v>14752</v>
      </c>
      <c r="U4335" s="1901" t="s">
        <v>14762</v>
      </c>
      <c r="V4335" s="572" t="s">
        <v>3187</v>
      </c>
      <c r="W4335" s="681" t="s">
        <v>14763</v>
      </c>
      <c r="X4335" s="18"/>
      <c r="Y4335" s="4"/>
      <c r="Z4335" s="4"/>
    </row>
    <row r="4336" spans="1:26" ht="15.6" hidden="1">
      <c r="A4336" s="20">
        <v>4343</v>
      </c>
      <c r="B4336" s="1063">
        <v>44113</v>
      </c>
      <c r="C4336" s="1013" t="s">
        <v>14771</v>
      </c>
      <c r="D4336" s="11" t="s">
        <v>6</v>
      </c>
      <c r="E4336" s="204" t="s">
        <v>14758</v>
      </c>
      <c r="F4336" s="934" t="s">
        <v>404</v>
      </c>
      <c r="G4336" s="569" t="s">
        <v>14771</v>
      </c>
      <c r="H4336" s="204" t="s">
        <v>14760</v>
      </c>
      <c r="I4336" s="204" t="s">
        <v>14760</v>
      </c>
      <c r="J4336" s="204" t="s">
        <v>14772</v>
      </c>
      <c r="K4336" s="204" t="s">
        <v>14772</v>
      </c>
      <c r="L4336" s="204"/>
      <c r="M4336" s="204">
        <v>1</v>
      </c>
      <c r="N4336" s="204">
        <v>1</v>
      </c>
      <c r="O4336" s="204">
        <v>2</v>
      </c>
      <c r="P4336" s="204">
        <v>0</v>
      </c>
      <c r="Q4336" s="572">
        <v>1</v>
      </c>
      <c r="R4336" s="1209">
        <v>3750</v>
      </c>
      <c r="S4336" s="1209">
        <v>3750</v>
      </c>
      <c r="T4336" s="26" t="s">
        <v>14752</v>
      </c>
      <c r="U4336" s="1901" t="s">
        <v>14762</v>
      </c>
      <c r="V4336" s="572" t="s">
        <v>3187</v>
      </c>
      <c r="W4336" s="681" t="s">
        <v>14763</v>
      </c>
      <c r="X4336" s="18"/>
      <c r="Y4336" s="4"/>
      <c r="Z4336" s="4"/>
    </row>
    <row r="4337" spans="1:26" ht="14.1" hidden="1">
      <c r="A4337" s="20">
        <v>4344</v>
      </c>
      <c r="B4337" s="1063">
        <v>44114</v>
      </c>
      <c r="C4337" s="934" t="s">
        <v>14773</v>
      </c>
      <c r="D4337" s="11" t="s">
        <v>6</v>
      </c>
      <c r="E4337" s="204" t="s">
        <v>14758</v>
      </c>
      <c r="F4337" s="934" t="s">
        <v>2143</v>
      </c>
      <c r="G4337" s="204" t="s">
        <v>14774</v>
      </c>
      <c r="H4337" s="204" t="s">
        <v>10146</v>
      </c>
      <c r="I4337" s="204" t="s">
        <v>574</v>
      </c>
      <c r="J4337" s="204" t="s">
        <v>14775</v>
      </c>
      <c r="K4337" s="204" t="s">
        <v>14776</v>
      </c>
      <c r="L4337" s="204"/>
      <c r="M4337" s="204">
        <v>2</v>
      </c>
      <c r="N4337" s="204">
        <v>1</v>
      </c>
      <c r="O4337" s="204">
        <v>2</v>
      </c>
      <c r="P4337" s="204">
        <v>0</v>
      </c>
      <c r="Q4337" s="572">
        <v>0</v>
      </c>
      <c r="R4337" s="1209">
        <v>109</v>
      </c>
      <c r="S4337" s="1209">
        <f t="shared" ref="S4337:S4339" si="252">R4337*O4337</f>
        <v>218</v>
      </c>
      <c r="T4337" s="204" t="s">
        <v>118</v>
      </c>
      <c r="U4337" s="1901" t="s">
        <v>118</v>
      </c>
      <c r="V4337" s="572" t="s">
        <v>118</v>
      </c>
      <c r="W4337" s="681" t="s">
        <v>14777</v>
      </c>
      <c r="X4337" s="18"/>
      <c r="Y4337" s="4"/>
      <c r="Z4337" s="4"/>
    </row>
    <row r="4338" spans="1:26" ht="14.1" hidden="1">
      <c r="A4338" s="20">
        <v>4345</v>
      </c>
      <c r="B4338" s="1063">
        <v>44115</v>
      </c>
      <c r="C4338" s="934" t="s">
        <v>14778</v>
      </c>
      <c r="D4338" s="11" t="s">
        <v>6</v>
      </c>
      <c r="E4338" s="204" t="s">
        <v>14758</v>
      </c>
      <c r="F4338" s="934" t="s">
        <v>2143</v>
      </c>
      <c r="G4338" s="204" t="s">
        <v>14779</v>
      </c>
      <c r="H4338" s="204" t="s">
        <v>6919</v>
      </c>
      <c r="I4338" s="204" t="s">
        <v>574</v>
      </c>
      <c r="J4338" s="204" t="s">
        <v>14780</v>
      </c>
      <c r="K4338" s="204" t="s">
        <v>14781</v>
      </c>
      <c r="L4338" s="204"/>
      <c r="M4338" s="204">
        <v>2</v>
      </c>
      <c r="N4338" s="204">
        <v>1</v>
      </c>
      <c r="O4338" s="204">
        <v>2</v>
      </c>
      <c r="P4338" s="204">
        <v>0</v>
      </c>
      <c r="Q4338" s="572">
        <v>0</v>
      </c>
      <c r="R4338" s="1209">
        <v>88</v>
      </c>
      <c r="S4338" s="1209">
        <f t="shared" si="252"/>
        <v>176</v>
      </c>
      <c r="T4338" s="204" t="s">
        <v>118</v>
      </c>
      <c r="U4338" s="1901" t="s">
        <v>118</v>
      </c>
      <c r="V4338" s="572" t="s">
        <v>118</v>
      </c>
      <c r="W4338" s="681" t="s">
        <v>14782</v>
      </c>
      <c r="X4338" s="18"/>
      <c r="Y4338" s="4"/>
      <c r="Z4338" s="4"/>
    </row>
    <row r="4339" spans="1:26" ht="14.1" hidden="1">
      <c r="A4339" s="20">
        <v>4346</v>
      </c>
      <c r="B4339" s="1063">
        <v>44116</v>
      </c>
      <c r="C4339" s="934" t="s">
        <v>14783</v>
      </c>
      <c r="D4339" s="11" t="s">
        <v>6</v>
      </c>
      <c r="E4339" s="204" t="s">
        <v>14758</v>
      </c>
      <c r="F4339" s="934" t="s">
        <v>2143</v>
      </c>
      <c r="G4339" s="204" t="s">
        <v>14784</v>
      </c>
      <c r="H4339" s="204" t="s">
        <v>6919</v>
      </c>
      <c r="I4339" s="204" t="s">
        <v>574</v>
      </c>
      <c r="J4339" s="204" t="s">
        <v>14785</v>
      </c>
      <c r="K4339" s="204" t="s">
        <v>14786</v>
      </c>
      <c r="L4339" s="204"/>
      <c r="M4339" s="204">
        <v>2</v>
      </c>
      <c r="N4339" s="204">
        <v>1</v>
      </c>
      <c r="O4339" s="204">
        <v>2</v>
      </c>
      <c r="P4339" s="204">
        <v>0</v>
      </c>
      <c r="Q4339" s="572">
        <v>0</v>
      </c>
      <c r="R4339" s="1209">
        <v>531</v>
      </c>
      <c r="S4339" s="1209">
        <f t="shared" si="252"/>
        <v>1062</v>
      </c>
      <c r="T4339" s="204" t="s">
        <v>118</v>
      </c>
      <c r="U4339" s="1901" t="s">
        <v>118</v>
      </c>
      <c r="V4339" s="572" t="s">
        <v>118</v>
      </c>
      <c r="W4339" s="681" t="s">
        <v>14787</v>
      </c>
      <c r="X4339" s="18"/>
      <c r="Y4339" s="4"/>
      <c r="Z4339" s="4"/>
    </row>
    <row r="4340" spans="1:26" ht="14.1" hidden="1">
      <c r="A4340" s="20">
        <v>4347</v>
      </c>
      <c r="B4340" s="1063">
        <v>44117</v>
      </c>
      <c r="C4340" s="934" t="s">
        <v>14788</v>
      </c>
      <c r="D4340" s="11" t="s">
        <v>6</v>
      </c>
      <c r="E4340" s="204" t="s">
        <v>14758</v>
      </c>
      <c r="F4340" s="934" t="s">
        <v>2143</v>
      </c>
      <c r="G4340" s="204" t="s">
        <v>14789</v>
      </c>
      <c r="H4340" s="204" t="s">
        <v>9928</v>
      </c>
      <c r="I4340" s="204" t="s">
        <v>574</v>
      </c>
      <c r="J4340" s="204" t="s">
        <v>14790</v>
      </c>
      <c r="K4340" s="204" t="s">
        <v>14791</v>
      </c>
      <c r="L4340" s="204"/>
      <c r="M4340" s="204">
        <v>1</v>
      </c>
      <c r="N4340" s="204">
        <v>1</v>
      </c>
      <c r="O4340" s="204">
        <v>1</v>
      </c>
      <c r="P4340" s="204">
        <v>0</v>
      </c>
      <c r="Q4340" s="572">
        <v>0</v>
      </c>
      <c r="R4340" s="1209">
        <v>937</v>
      </c>
      <c r="S4340" s="1209">
        <v>937</v>
      </c>
      <c r="T4340" s="204" t="s">
        <v>118</v>
      </c>
      <c r="U4340" s="1901" t="s">
        <v>118</v>
      </c>
      <c r="V4340" s="572" t="s">
        <v>118</v>
      </c>
      <c r="W4340" s="681" t="s">
        <v>14792</v>
      </c>
      <c r="X4340" s="18"/>
      <c r="Y4340" s="4"/>
      <c r="Z4340" s="4"/>
    </row>
    <row r="4341" spans="1:26" ht="14.1" hidden="1">
      <c r="A4341" s="20">
        <v>4348</v>
      </c>
      <c r="B4341" s="1063">
        <v>44118</v>
      </c>
      <c r="C4341" s="934" t="s">
        <v>14793</v>
      </c>
      <c r="D4341" s="11" t="s">
        <v>6</v>
      </c>
      <c r="E4341" s="204" t="s">
        <v>7498</v>
      </c>
      <c r="F4341" s="934" t="s">
        <v>4980</v>
      </c>
      <c r="G4341" s="204" t="s">
        <v>14794</v>
      </c>
      <c r="H4341" s="204" t="s">
        <v>7439</v>
      </c>
      <c r="I4341" s="204" t="s">
        <v>574</v>
      </c>
      <c r="J4341" s="204" t="s">
        <v>14795</v>
      </c>
      <c r="K4341" s="204" t="s">
        <v>14796</v>
      </c>
      <c r="L4341" s="204"/>
      <c r="M4341" s="204">
        <v>2</v>
      </c>
      <c r="N4341" s="204">
        <v>2</v>
      </c>
      <c r="O4341" s="204">
        <v>2</v>
      </c>
      <c r="P4341" s="204">
        <v>0</v>
      </c>
      <c r="Q4341" s="572">
        <v>2</v>
      </c>
      <c r="R4341" s="1209">
        <v>617</v>
      </c>
      <c r="S4341" s="1209">
        <v>1234</v>
      </c>
      <c r="T4341" s="204" t="s">
        <v>14797</v>
      </c>
      <c r="U4341" s="1901" t="s">
        <v>14797</v>
      </c>
      <c r="V4341" s="572" t="s">
        <v>14798</v>
      </c>
      <c r="W4341" s="681" t="s">
        <v>14799</v>
      </c>
      <c r="X4341" s="18"/>
      <c r="Y4341" s="4"/>
      <c r="Z4341" s="4"/>
    </row>
    <row r="4342" spans="1:26" ht="14.1" hidden="1">
      <c r="A4342" s="20">
        <v>4349</v>
      </c>
      <c r="B4342" s="1063">
        <v>44119</v>
      </c>
      <c r="C4342" s="934" t="s">
        <v>14800</v>
      </c>
      <c r="D4342" s="11" t="s">
        <v>6</v>
      </c>
      <c r="E4342" s="204" t="s">
        <v>7498</v>
      </c>
      <c r="F4342" s="934" t="s">
        <v>4980</v>
      </c>
      <c r="G4342" s="204" t="s">
        <v>14801</v>
      </c>
      <c r="H4342" s="204" t="s">
        <v>460</v>
      </c>
      <c r="I4342" s="204" t="s">
        <v>574</v>
      </c>
      <c r="J4342" s="204" t="s">
        <v>14802</v>
      </c>
      <c r="K4342" s="204" t="s">
        <v>14803</v>
      </c>
      <c r="L4342" s="204"/>
      <c r="M4342" s="204">
        <v>2</v>
      </c>
      <c r="N4342" s="204">
        <v>2</v>
      </c>
      <c r="O4342" s="204">
        <v>2</v>
      </c>
      <c r="P4342" s="204">
        <v>0</v>
      </c>
      <c r="Q4342" s="572">
        <v>2</v>
      </c>
      <c r="R4342" s="1209">
        <v>70</v>
      </c>
      <c r="S4342" s="1209">
        <v>140</v>
      </c>
      <c r="T4342" s="204" t="s">
        <v>14797</v>
      </c>
      <c r="U4342" s="1901" t="s">
        <v>14797</v>
      </c>
      <c r="V4342" s="572" t="s">
        <v>14798</v>
      </c>
      <c r="W4342" s="681" t="s">
        <v>14804</v>
      </c>
      <c r="X4342" s="18"/>
      <c r="Y4342" s="4"/>
      <c r="Z4342" s="4"/>
    </row>
    <row r="4343" spans="1:26" ht="14.1" hidden="1">
      <c r="A4343" s="20">
        <v>4350</v>
      </c>
      <c r="B4343" s="1063">
        <v>44120</v>
      </c>
      <c r="C4343" s="934" t="s">
        <v>14805</v>
      </c>
      <c r="D4343" s="11" t="s">
        <v>6</v>
      </c>
      <c r="E4343" s="204" t="s">
        <v>7498</v>
      </c>
      <c r="F4343" s="934" t="s">
        <v>4980</v>
      </c>
      <c r="G4343" s="204" t="s">
        <v>14806</v>
      </c>
      <c r="H4343" s="204" t="s">
        <v>1762</v>
      </c>
      <c r="I4343" s="204" t="s">
        <v>574</v>
      </c>
      <c r="J4343" s="204" t="s">
        <v>14807</v>
      </c>
      <c r="K4343" s="204" t="s">
        <v>14808</v>
      </c>
      <c r="L4343" s="204"/>
      <c r="M4343" s="204">
        <v>1</v>
      </c>
      <c r="N4343" s="204">
        <v>1</v>
      </c>
      <c r="O4343" s="204">
        <v>1</v>
      </c>
      <c r="P4343" s="204">
        <v>0</v>
      </c>
      <c r="Q4343" s="572">
        <v>1</v>
      </c>
      <c r="R4343" s="1209">
        <v>347</v>
      </c>
      <c r="S4343" s="1209">
        <v>347</v>
      </c>
      <c r="T4343" s="204" t="s">
        <v>14797</v>
      </c>
      <c r="U4343" s="1901" t="s">
        <v>14797</v>
      </c>
      <c r="V4343" s="572" t="s">
        <v>14798</v>
      </c>
      <c r="W4343" s="681" t="s">
        <v>14809</v>
      </c>
      <c r="X4343" s="18"/>
      <c r="Y4343" s="4"/>
      <c r="Z4343" s="4"/>
    </row>
    <row r="4344" spans="1:26" ht="14.1" hidden="1">
      <c r="A4344" s="20">
        <v>4351</v>
      </c>
      <c r="B4344" s="1063">
        <v>44121</v>
      </c>
      <c r="C4344" s="934" t="s">
        <v>14810</v>
      </c>
      <c r="D4344" s="11" t="s">
        <v>6</v>
      </c>
      <c r="E4344" s="204" t="s">
        <v>7498</v>
      </c>
      <c r="F4344" s="934" t="s">
        <v>4980</v>
      </c>
      <c r="G4344" s="204" t="s">
        <v>14811</v>
      </c>
      <c r="H4344" s="204" t="s">
        <v>2920</v>
      </c>
      <c r="I4344" s="204" t="s">
        <v>574</v>
      </c>
      <c r="J4344" s="204" t="s">
        <v>14812</v>
      </c>
      <c r="K4344" s="204">
        <v>1141</v>
      </c>
      <c r="L4344" s="204"/>
      <c r="M4344" s="204">
        <v>2</v>
      </c>
      <c r="N4344" s="204">
        <v>2</v>
      </c>
      <c r="O4344" s="204">
        <v>2</v>
      </c>
      <c r="P4344" s="204">
        <v>0</v>
      </c>
      <c r="Q4344" s="572">
        <v>2</v>
      </c>
      <c r="R4344" s="1209">
        <v>1639</v>
      </c>
      <c r="S4344" s="1209">
        <v>3278</v>
      </c>
      <c r="T4344" s="204" t="s">
        <v>14797</v>
      </c>
      <c r="U4344" s="1901" t="s">
        <v>14797</v>
      </c>
      <c r="V4344" s="572" t="s">
        <v>14798</v>
      </c>
      <c r="W4344" s="681" t="s">
        <v>14813</v>
      </c>
      <c r="X4344" s="18"/>
      <c r="Y4344" s="4"/>
      <c r="Z4344" s="4"/>
    </row>
    <row r="4345" spans="1:26" ht="14.1" hidden="1">
      <c r="A4345" s="20">
        <v>4352</v>
      </c>
      <c r="B4345" s="1063">
        <v>44122</v>
      </c>
      <c r="C4345" s="934" t="s">
        <v>14814</v>
      </c>
      <c r="D4345" s="11" t="s">
        <v>6</v>
      </c>
      <c r="E4345" s="204" t="s">
        <v>7498</v>
      </c>
      <c r="F4345" s="934" t="s">
        <v>4980</v>
      </c>
      <c r="G4345" s="204" t="s">
        <v>14815</v>
      </c>
      <c r="H4345" s="204" t="s">
        <v>4915</v>
      </c>
      <c r="I4345" s="204" t="s">
        <v>574</v>
      </c>
      <c r="J4345" s="204" t="s">
        <v>14816</v>
      </c>
      <c r="K4345" s="204" t="s">
        <v>14817</v>
      </c>
      <c r="L4345" s="204"/>
      <c r="M4345" s="204">
        <v>10</v>
      </c>
      <c r="N4345" s="204">
        <v>10</v>
      </c>
      <c r="O4345" s="204">
        <v>10</v>
      </c>
      <c r="P4345" s="204">
        <v>0</v>
      </c>
      <c r="Q4345" s="572">
        <v>10</v>
      </c>
      <c r="R4345" s="1209">
        <v>4.5</v>
      </c>
      <c r="S4345" s="1209">
        <v>45</v>
      </c>
      <c r="T4345" s="204" t="s">
        <v>14797</v>
      </c>
      <c r="U4345" s="1901" t="s">
        <v>14797</v>
      </c>
      <c r="V4345" s="572" t="s">
        <v>14798</v>
      </c>
      <c r="W4345" s="681" t="s">
        <v>14818</v>
      </c>
      <c r="X4345" s="18"/>
      <c r="Y4345" s="4"/>
      <c r="Z4345" s="4"/>
    </row>
    <row r="4346" spans="1:26" ht="14.1" hidden="1">
      <c r="A4346" s="20">
        <v>4353</v>
      </c>
      <c r="B4346" s="1063">
        <v>44123</v>
      </c>
      <c r="C4346" s="934" t="s">
        <v>14819</v>
      </c>
      <c r="D4346" s="11" t="s">
        <v>6</v>
      </c>
      <c r="E4346" s="204" t="s">
        <v>7498</v>
      </c>
      <c r="F4346" s="934" t="s">
        <v>4980</v>
      </c>
      <c r="G4346" s="204" t="s">
        <v>14820</v>
      </c>
      <c r="H4346" s="204" t="s">
        <v>460</v>
      </c>
      <c r="I4346" s="204" t="s">
        <v>574</v>
      </c>
      <c r="J4346" s="204" t="s">
        <v>14821</v>
      </c>
      <c r="K4346" s="204" t="s">
        <v>14822</v>
      </c>
      <c r="L4346" s="204"/>
      <c r="M4346" s="204">
        <v>1</v>
      </c>
      <c r="N4346" s="204">
        <v>1</v>
      </c>
      <c r="O4346" s="204">
        <v>1</v>
      </c>
      <c r="P4346" s="204">
        <v>0</v>
      </c>
      <c r="Q4346" s="572">
        <v>1</v>
      </c>
      <c r="R4346" s="1209">
        <v>42150</v>
      </c>
      <c r="S4346" s="1209">
        <v>42150</v>
      </c>
      <c r="T4346" s="204" t="s">
        <v>14797</v>
      </c>
      <c r="U4346" s="1901" t="s">
        <v>14797</v>
      </c>
      <c r="V4346" s="572" t="s">
        <v>14798</v>
      </c>
      <c r="W4346" s="681" t="s">
        <v>14823</v>
      </c>
      <c r="X4346" s="18"/>
      <c r="Y4346" s="4"/>
      <c r="Z4346" s="4"/>
    </row>
    <row r="4347" spans="1:26" ht="14.1" hidden="1">
      <c r="A4347" s="20">
        <v>4354</v>
      </c>
      <c r="B4347" s="1063">
        <v>44124</v>
      </c>
      <c r="C4347" s="934" t="s">
        <v>14824</v>
      </c>
      <c r="D4347" s="11" t="s">
        <v>6</v>
      </c>
      <c r="E4347" s="204" t="s">
        <v>7498</v>
      </c>
      <c r="F4347" s="934" t="s">
        <v>4980</v>
      </c>
      <c r="G4347" s="204" t="s">
        <v>14825</v>
      </c>
      <c r="H4347" s="204" t="s">
        <v>14826</v>
      </c>
      <c r="I4347" s="204" t="s">
        <v>14827</v>
      </c>
      <c r="J4347" s="204" t="s">
        <v>14828</v>
      </c>
      <c r="K4347" s="204" t="s">
        <v>14828</v>
      </c>
      <c r="L4347" s="204"/>
      <c r="M4347" s="204">
        <v>1</v>
      </c>
      <c r="N4347" s="204">
        <v>1</v>
      </c>
      <c r="O4347" s="204">
        <v>1</v>
      </c>
      <c r="P4347" s="204">
        <v>0</v>
      </c>
      <c r="Q4347" s="572">
        <v>1</v>
      </c>
      <c r="R4347" s="1209">
        <v>32198.74</v>
      </c>
      <c r="S4347" s="1209">
        <v>32198.74</v>
      </c>
      <c r="T4347" s="204" t="s">
        <v>14797</v>
      </c>
      <c r="U4347" s="1901" t="s">
        <v>14797</v>
      </c>
      <c r="V4347" s="572" t="s">
        <v>14798</v>
      </c>
      <c r="W4347" s="681" t="s">
        <v>14829</v>
      </c>
      <c r="X4347" s="18"/>
      <c r="Y4347" s="4"/>
      <c r="Z4347" s="4"/>
    </row>
    <row r="4348" spans="1:26" ht="14.1" hidden="1">
      <c r="A4348" s="20">
        <v>4355</v>
      </c>
      <c r="B4348" s="1063">
        <v>44125</v>
      </c>
      <c r="C4348" s="934" t="s">
        <v>14830</v>
      </c>
      <c r="D4348" s="11" t="s">
        <v>6</v>
      </c>
      <c r="E4348" s="204" t="s">
        <v>7498</v>
      </c>
      <c r="F4348" s="934" t="s">
        <v>4980</v>
      </c>
      <c r="G4348" s="204" t="s">
        <v>14831</v>
      </c>
      <c r="H4348" s="204" t="s">
        <v>460</v>
      </c>
      <c r="I4348" s="204" t="s">
        <v>574</v>
      </c>
      <c r="J4348" s="204" t="s">
        <v>14832</v>
      </c>
      <c r="K4348" s="204" t="s">
        <v>14833</v>
      </c>
      <c r="L4348" s="204"/>
      <c r="M4348" s="204">
        <v>2</v>
      </c>
      <c r="N4348" s="204">
        <v>2</v>
      </c>
      <c r="O4348" s="204">
        <v>2</v>
      </c>
      <c r="P4348" s="204">
        <v>0</v>
      </c>
      <c r="Q4348" s="572">
        <v>2</v>
      </c>
      <c r="R4348" s="1209">
        <v>423</v>
      </c>
      <c r="S4348" s="1209">
        <v>846</v>
      </c>
      <c r="T4348" s="204" t="s">
        <v>14797</v>
      </c>
      <c r="U4348" s="1901" t="s">
        <v>14797</v>
      </c>
      <c r="V4348" s="572" t="s">
        <v>14798</v>
      </c>
      <c r="W4348" s="681" t="s">
        <v>14834</v>
      </c>
      <c r="X4348" s="18"/>
      <c r="Y4348" s="4"/>
      <c r="Z4348" s="4"/>
    </row>
    <row r="4349" spans="1:26" ht="14.1" hidden="1">
      <c r="A4349" s="20">
        <v>4356</v>
      </c>
      <c r="B4349" s="1063">
        <v>44126</v>
      </c>
      <c r="C4349" s="934" t="s">
        <v>14835</v>
      </c>
      <c r="D4349" s="11" t="s">
        <v>6</v>
      </c>
      <c r="E4349" s="204" t="s">
        <v>7498</v>
      </c>
      <c r="F4349" s="934" t="s">
        <v>4980</v>
      </c>
      <c r="G4349" s="204" t="s">
        <v>14836</v>
      </c>
      <c r="H4349" s="204" t="s">
        <v>460</v>
      </c>
      <c r="I4349" s="204" t="s">
        <v>574</v>
      </c>
      <c r="J4349" s="204" t="s">
        <v>14837</v>
      </c>
      <c r="K4349" s="204" t="s">
        <v>14838</v>
      </c>
      <c r="L4349" s="204"/>
      <c r="M4349" s="204">
        <v>2</v>
      </c>
      <c r="N4349" s="204">
        <v>2</v>
      </c>
      <c r="O4349" s="204">
        <v>2</v>
      </c>
      <c r="P4349" s="204">
        <v>0</v>
      </c>
      <c r="Q4349" s="572">
        <v>2</v>
      </c>
      <c r="R4349" s="1209">
        <v>140</v>
      </c>
      <c r="S4349" s="1209">
        <v>280</v>
      </c>
      <c r="T4349" s="204" t="s">
        <v>14797</v>
      </c>
      <c r="U4349" s="1901" t="s">
        <v>14797</v>
      </c>
      <c r="V4349" s="572" t="s">
        <v>14798</v>
      </c>
      <c r="W4349" s="681" t="s">
        <v>14839</v>
      </c>
      <c r="X4349" s="18"/>
      <c r="Y4349" s="4"/>
      <c r="Z4349" s="4"/>
    </row>
    <row r="4350" spans="1:26" ht="14.1" hidden="1">
      <c r="A4350" s="20">
        <v>4357</v>
      </c>
      <c r="B4350" s="1063">
        <v>44127</v>
      </c>
      <c r="C4350" s="934" t="s">
        <v>14840</v>
      </c>
      <c r="D4350" s="11" t="s">
        <v>6</v>
      </c>
      <c r="E4350" s="204" t="s">
        <v>7498</v>
      </c>
      <c r="F4350" s="934" t="s">
        <v>4980</v>
      </c>
      <c r="G4350" s="204" t="s">
        <v>14841</v>
      </c>
      <c r="H4350" s="204" t="s">
        <v>14842</v>
      </c>
      <c r="I4350" s="204" t="s">
        <v>574</v>
      </c>
      <c r="J4350" s="204" t="s">
        <v>14843</v>
      </c>
      <c r="K4350" s="204" t="s">
        <v>14844</v>
      </c>
      <c r="L4350" s="204"/>
      <c r="M4350" s="204">
        <v>10</v>
      </c>
      <c r="N4350" s="204">
        <v>10</v>
      </c>
      <c r="O4350" s="204">
        <v>10</v>
      </c>
      <c r="P4350" s="204">
        <v>0</v>
      </c>
      <c r="Q4350" s="572">
        <v>10</v>
      </c>
      <c r="R4350" s="1209">
        <v>54.7</v>
      </c>
      <c r="S4350" s="1209">
        <v>547</v>
      </c>
      <c r="T4350" s="204" t="s">
        <v>14797</v>
      </c>
      <c r="U4350" s="1901" t="s">
        <v>14797</v>
      </c>
      <c r="V4350" s="572" t="s">
        <v>14798</v>
      </c>
      <c r="W4350" s="681" t="s">
        <v>14845</v>
      </c>
      <c r="X4350" s="18"/>
      <c r="Y4350" s="4"/>
      <c r="Z4350" s="4"/>
    </row>
    <row r="4351" spans="1:26" ht="14.1" hidden="1">
      <c r="A4351" s="20">
        <v>4358</v>
      </c>
      <c r="B4351" s="1063">
        <v>44128</v>
      </c>
      <c r="C4351" s="934" t="s">
        <v>14846</v>
      </c>
      <c r="D4351" s="11" t="s">
        <v>6</v>
      </c>
      <c r="E4351" s="204" t="s">
        <v>7498</v>
      </c>
      <c r="F4351" s="934" t="s">
        <v>4980</v>
      </c>
      <c r="G4351" s="204" t="s">
        <v>14847</v>
      </c>
      <c r="H4351" s="204" t="s">
        <v>14842</v>
      </c>
      <c r="I4351" s="204" t="s">
        <v>574</v>
      </c>
      <c r="J4351" s="204" t="s">
        <v>14848</v>
      </c>
      <c r="K4351" s="204" t="s">
        <v>14846</v>
      </c>
      <c r="L4351" s="204"/>
      <c r="M4351" s="204">
        <v>5</v>
      </c>
      <c r="N4351" s="204">
        <v>5</v>
      </c>
      <c r="O4351" s="204">
        <v>5</v>
      </c>
      <c r="P4351" s="204">
        <v>0</v>
      </c>
      <c r="Q4351" s="572">
        <v>5</v>
      </c>
      <c r="R4351" s="1209">
        <v>40</v>
      </c>
      <c r="S4351" s="1209">
        <v>200</v>
      </c>
      <c r="T4351" s="204" t="s">
        <v>14797</v>
      </c>
      <c r="U4351" s="1901" t="s">
        <v>14797</v>
      </c>
      <c r="V4351" s="572" t="s">
        <v>14798</v>
      </c>
      <c r="W4351" s="681" t="s">
        <v>14849</v>
      </c>
      <c r="X4351" s="18"/>
      <c r="Y4351" s="4"/>
      <c r="Z4351" s="4"/>
    </row>
    <row r="4352" spans="1:26" ht="14.1" hidden="1">
      <c r="A4352" s="20">
        <v>4359</v>
      </c>
      <c r="B4352" s="1063">
        <v>44129</v>
      </c>
      <c r="C4352" s="934" t="s">
        <v>14850</v>
      </c>
      <c r="D4352" s="11" t="s">
        <v>6</v>
      </c>
      <c r="E4352" s="204" t="s">
        <v>7498</v>
      </c>
      <c r="F4352" s="934" t="s">
        <v>4980</v>
      </c>
      <c r="G4352" s="204" t="s">
        <v>14851</v>
      </c>
      <c r="H4352" s="204" t="s">
        <v>5550</v>
      </c>
      <c r="I4352" s="204" t="s">
        <v>574</v>
      </c>
      <c r="J4352" s="204" t="s">
        <v>14852</v>
      </c>
      <c r="K4352" s="204" t="s">
        <v>14853</v>
      </c>
      <c r="L4352" s="204"/>
      <c r="M4352" s="204">
        <v>5</v>
      </c>
      <c r="N4352" s="204">
        <v>5</v>
      </c>
      <c r="O4352" s="204">
        <v>5</v>
      </c>
      <c r="P4352" s="204">
        <v>0</v>
      </c>
      <c r="Q4352" s="572">
        <v>5</v>
      </c>
      <c r="R4352" s="1209">
        <v>28</v>
      </c>
      <c r="S4352" s="1209">
        <v>140</v>
      </c>
      <c r="T4352" s="204" t="s">
        <v>14797</v>
      </c>
      <c r="U4352" s="1901" t="s">
        <v>14797</v>
      </c>
      <c r="V4352" s="572" t="s">
        <v>14798</v>
      </c>
      <c r="W4352" s="681" t="s">
        <v>14854</v>
      </c>
      <c r="X4352" s="18"/>
      <c r="Y4352" s="4"/>
      <c r="Z4352" s="4"/>
    </row>
    <row r="4353" spans="1:26" ht="14.1" hidden="1">
      <c r="A4353" s="20">
        <v>4360</v>
      </c>
      <c r="B4353" s="1063">
        <v>44130</v>
      </c>
      <c r="C4353" s="934" t="s">
        <v>14855</v>
      </c>
      <c r="D4353" s="11" t="s">
        <v>6</v>
      </c>
      <c r="E4353" s="204" t="s">
        <v>7498</v>
      </c>
      <c r="F4353" s="934" t="s">
        <v>4980</v>
      </c>
      <c r="G4353" s="204" t="s">
        <v>14856</v>
      </c>
      <c r="H4353" s="204" t="s">
        <v>14857</v>
      </c>
      <c r="I4353" s="204" t="s">
        <v>574</v>
      </c>
      <c r="J4353" s="204" t="s">
        <v>14858</v>
      </c>
      <c r="K4353" s="204" t="s">
        <v>14855</v>
      </c>
      <c r="L4353" s="204"/>
      <c r="M4353" s="204">
        <v>5</v>
      </c>
      <c r="N4353" s="204">
        <v>5</v>
      </c>
      <c r="O4353" s="204">
        <v>5</v>
      </c>
      <c r="P4353" s="204">
        <v>0</v>
      </c>
      <c r="Q4353" s="572">
        <v>5</v>
      </c>
      <c r="R4353" s="1209">
        <v>38</v>
      </c>
      <c r="S4353" s="1209">
        <v>190</v>
      </c>
      <c r="T4353" s="204" t="s">
        <v>14797</v>
      </c>
      <c r="U4353" s="1901" t="s">
        <v>14797</v>
      </c>
      <c r="V4353" s="572" t="s">
        <v>14798</v>
      </c>
      <c r="W4353" s="681" t="s">
        <v>14859</v>
      </c>
      <c r="X4353" s="18"/>
      <c r="Y4353" s="4"/>
      <c r="Z4353" s="4"/>
    </row>
    <row r="4354" spans="1:26" ht="14.1" hidden="1">
      <c r="A4354" s="20">
        <v>4361</v>
      </c>
      <c r="B4354" s="1063">
        <v>44131</v>
      </c>
      <c r="C4354" s="934" t="s">
        <v>14814</v>
      </c>
      <c r="D4354" s="11" t="s">
        <v>6</v>
      </c>
      <c r="E4354" s="204" t="s">
        <v>7498</v>
      </c>
      <c r="F4354" s="934" t="s">
        <v>4980</v>
      </c>
      <c r="G4354" s="204" t="s">
        <v>14860</v>
      </c>
      <c r="H4354" s="204" t="s">
        <v>4915</v>
      </c>
      <c r="I4354" s="204" t="s">
        <v>574</v>
      </c>
      <c r="J4354" s="204" t="s">
        <v>5362</v>
      </c>
      <c r="K4354" s="204" t="s">
        <v>5361</v>
      </c>
      <c r="L4354" s="204"/>
      <c r="M4354" s="204">
        <v>10</v>
      </c>
      <c r="N4354" s="204">
        <v>10</v>
      </c>
      <c r="O4354" s="204">
        <v>10</v>
      </c>
      <c r="P4354" s="204">
        <v>0</v>
      </c>
      <c r="Q4354" s="572">
        <v>10</v>
      </c>
      <c r="R4354" s="1209">
        <v>4.2</v>
      </c>
      <c r="S4354" s="1209">
        <v>42</v>
      </c>
      <c r="T4354" s="204" t="s">
        <v>14797</v>
      </c>
      <c r="U4354" s="1901" t="s">
        <v>14797</v>
      </c>
      <c r="V4354" s="572" t="s">
        <v>14798</v>
      </c>
      <c r="W4354" s="681" t="s">
        <v>14861</v>
      </c>
      <c r="X4354" s="18"/>
      <c r="Y4354" s="4"/>
      <c r="Z4354" s="4"/>
    </row>
    <row r="4355" spans="1:26" ht="14.1" hidden="1">
      <c r="A4355" s="20">
        <v>4362</v>
      </c>
      <c r="B4355" s="1063">
        <v>44132</v>
      </c>
      <c r="C4355" s="934" t="s">
        <v>14814</v>
      </c>
      <c r="D4355" s="11" t="s">
        <v>6</v>
      </c>
      <c r="E4355" s="204" t="s">
        <v>7498</v>
      </c>
      <c r="F4355" s="934" t="s">
        <v>4980</v>
      </c>
      <c r="G4355" s="204" t="s">
        <v>14862</v>
      </c>
      <c r="H4355" s="204" t="s">
        <v>5550</v>
      </c>
      <c r="I4355" s="204" t="s">
        <v>574</v>
      </c>
      <c r="J4355" s="204" t="s">
        <v>14863</v>
      </c>
      <c r="K4355" s="204" t="s">
        <v>14864</v>
      </c>
      <c r="L4355" s="204"/>
      <c r="M4355" s="204">
        <v>10</v>
      </c>
      <c r="N4355" s="204">
        <v>10</v>
      </c>
      <c r="O4355" s="204">
        <v>10</v>
      </c>
      <c r="P4355" s="204">
        <v>0</v>
      </c>
      <c r="Q4355" s="572">
        <v>10</v>
      </c>
      <c r="R4355" s="1209">
        <v>31.7</v>
      </c>
      <c r="S4355" s="1209">
        <v>317</v>
      </c>
      <c r="T4355" s="204" t="s">
        <v>14797</v>
      </c>
      <c r="U4355" s="1901" t="s">
        <v>14797</v>
      </c>
      <c r="V4355" s="572" t="s">
        <v>14798</v>
      </c>
      <c r="W4355" s="681" t="s">
        <v>14865</v>
      </c>
      <c r="X4355" s="18"/>
      <c r="Y4355" s="4"/>
      <c r="Z4355" s="4"/>
    </row>
    <row r="4356" spans="1:26" ht="14.1" hidden="1">
      <c r="A4356" s="20">
        <v>4363</v>
      </c>
      <c r="B4356" s="1063">
        <v>44133</v>
      </c>
      <c r="C4356" s="934" t="s">
        <v>14866</v>
      </c>
      <c r="D4356" s="11" t="s">
        <v>6</v>
      </c>
      <c r="E4356" s="204" t="s">
        <v>7498</v>
      </c>
      <c r="F4356" s="934" t="s">
        <v>4980</v>
      </c>
      <c r="G4356" s="204" t="s">
        <v>14867</v>
      </c>
      <c r="H4356" s="204" t="s">
        <v>641</v>
      </c>
      <c r="I4356" s="204" t="s">
        <v>574</v>
      </c>
      <c r="J4356" s="204" t="s">
        <v>14868</v>
      </c>
      <c r="K4356" s="204" t="s">
        <v>14866</v>
      </c>
      <c r="L4356" s="204"/>
      <c r="M4356" s="204">
        <v>10</v>
      </c>
      <c r="N4356" s="204">
        <v>10</v>
      </c>
      <c r="O4356" s="204">
        <v>10</v>
      </c>
      <c r="P4356" s="204">
        <v>0</v>
      </c>
      <c r="Q4356" s="572">
        <v>10</v>
      </c>
      <c r="R4356" s="1209">
        <v>13</v>
      </c>
      <c r="S4356" s="1209">
        <v>130</v>
      </c>
      <c r="T4356" s="204" t="s">
        <v>14797</v>
      </c>
      <c r="U4356" s="1901" t="s">
        <v>14797</v>
      </c>
      <c r="V4356" s="572" t="s">
        <v>14798</v>
      </c>
      <c r="W4356" s="681" t="s">
        <v>14869</v>
      </c>
      <c r="X4356" s="18"/>
      <c r="Y4356" s="4"/>
      <c r="Z4356" s="4"/>
    </row>
    <row r="4357" spans="1:26" ht="14.1" hidden="1">
      <c r="A4357" s="20">
        <v>4364</v>
      </c>
      <c r="B4357" s="1063">
        <v>44134</v>
      </c>
      <c r="C4357" s="934" t="s">
        <v>14870</v>
      </c>
      <c r="D4357" s="11" t="s">
        <v>6</v>
      </c>
      <c r="E4357" s="204" t="s">
        <v>7498</v>
      </c>
      <c r="F4357" s="934" t="s">
        <v>4980</v>
      </c>
      <c r="G4357" s="204" t="s">
        <v>14871</v>
      </c>
      <c r="H4357" s="204" t="s">
        <v>641</v>
      </c>
      <c r="I4357" s="204" t="s">
        <v>574</v>
      </c>
      <c r="J4357" s="204" t="s">
        <v>14872</v>
      </c>
      <c r="K4357" s="204" t="s">
        <v>14870</v>
      </c>
      <c r="L4357" s="204"/>
      <c r="M4357" s="204">
        <v>10</v>
      </c>
      <c r="N4357" s="204">
        <v>10</v>
      </c>
      <c r="O4357" s="204">
        <v>10</v>
      </c>
      <c r="P4357" s="204">
        <v>0</v>
      </c>
      <c r="Q4357" s="572">
        <v>10</v>
      </c>
      <c r="R4357" s="1209">
        <v>131.69999999999999</v>
      </c>
      <c r="S4357" s="1209">
        <v>1317</v>
      </c>
      <c r="T4357" s="204" t="s">
        <v>14797</v>
      </c>
      <c r="U4357" s="1901" t="s">
        <v>14797</v>
      </c>
      <c r="V4357" s="572" t="s">
        <v>14798</v>
      </c>
      <c r="W4357" s="681" t="s">
        <v>14873</v>
      </c>
      <c r="X4357" s="18"/>
      <c r="Y4357" s="4"/>
      <c r="Z4357" s="4"/>
    </row>
    <row r="4358" spans="1:26" ht="14.1" hidden="1">
      <c r="A4358" s="20">
        <v>4365</v>
      </c>
      <c r="B4358" s="1063">
        <v>44135</v>
      </c>
      <c r="C4358" s="934" t="s">
        <v>14874</v>
      </c>
      <c r="D4358" s="11" t="s">
        <v>6</v>
      </c>
      <c r="E4358" s="204" t="s">
        <v>7498</v>
      </c>
      <c r="F4358" s="934" t="s">
        <v>4980</v>
      </c>
      <c r="G4358" s="204" t="s">
        <v>14875</v>
      </c>
      <c r="H4358" s="204" t="s">
        <v>14876</v>
      </c>
      <c r="I4358" s="204" t="s">
        <v>574</v>
      </c>
      <c r="J4358" s="204" t="s">
        <v>14877</v>
      </c>
      <c r="K4358" s="204" t="s">
        <v>14878</v>
      </c>
      <c r="L4358" s="204"/>
      <c r="M4358" s="204">
        <v>1</v>
      </c>
      <c r="N4358" s="204">
        <v>1</v>
      </c>
      <c r="O4358" s="204">
        <v>1</v>
      </c>
      <c r="P4358" s="204">
        <v>0</v>
      </c>
      <c r="Q4358" s="572">
        <v>1</v>
      </c>
      <c r="R4358" s="1209">
        <v>754</v>
      </c>
      <c r="S4358" s="1209">
        <v>754</v>
      </c>
      <c r="T4358" s="204" t="s">
        <v>14797</v>
      </c>
      <c r="U4358" s="1901" t="s">
        <v>14797</v>
      </c>
      <c r="V4358" s="572" t="s">
        <v>14798</v>
      </c>
      <c r="W4358" s="681" t="s">
        <v>14879</v>
      </c>
      <c r="X4358" s="18"/>
      <c r="Y4358" s="4"/>
      <c r="Z4358" s="4"/>
    </row>
    <row r="4359" spans="1:26" ht="14.1" hidden="1">
      <c r="A4359" s="20">
        <v>4366</v>
      </c>
      <c r="B4359" s="1063">
        <v>44136</v>
      </c>
      <c r="C4359" s="934" t="s">
        <v>14880</v>
      </c>
      <c r="D4359" s="11" t="s">
        <v>6</v>
      </c>
      <c r="E4359" s="204" t="s">
        <v>7498</v>
      </c>
      <c r="F4359" s="934" t="s">
        <v>4980</v>
      </c>
      <c r="G4359" s="204" t="s">
        <v>14881</v>
      </c>
      <c r="H4359" s="204" t="s">
        <v>14282</v>
      </c>
      <c r="I4359" s="204" t="s">
        <v>574</v>
      </c>
      <c r="J4359" s="204" t="s">
        <v>14882</v>
      </c>
      <c r="K4359" s="204" t="s">
        <v>14883</v>
      </c>
      <c r="L4359" s="204"/>
      <c r="M4359" s="204">
        <v>4</v>
      </c>
      <c r="N4359" s="204">
        <v>4</v>
      </c>
      <c r="O4359" s="204">
        <v>4</v>
      </c>
      <c r="P4359" s="204">
        <v>0</v>
      </c>
      <c r="Q4359" s="572">
        <v>4</v>
      </c>
      <c r="R4359" s="1209">
        <v>370</v>
      </c>
      <c r="S4359" s="1209">
        <v>1480</v>
      </c>
      <c r="T4359" s="204" t="s">
        <v>14797</v>
      </c>
      <c r="U4359" s="1901" t="s">
        <v>14797</v>
      </c>
      <c r="V4359" s="572" t="s">
        <v>14798</v>
      </c>
      <c r="W4359" s="681" t="s">
        <v>14884</v>
      </c>
      <c r="X4359" s="18"/>
      <c r="Y4359" s="4"/>
      <c r="Z4359" s="4"/>
    </row>
    <row r="4360" spans="1:26" ht="14.1" hidden="1">
      <c r="A4360" s="20">
        <v>4367</v>
      </c>
      <c r="B4360" s="1063">
        <v>44137</v>
      </c>
      <c r="C4360" s="934" t="s">
        <v>14885</v>
      </c>
      <c r="D4360" s="11" t="s">
        <v>6</v>
      </c>
      <c r="E4360" s="204" t="s">
        <v>7498</v>
      </c>
      <c r="F4360" s="934" t="s">
        <v>4980</v>
      </c>
      <c r="G4360" s="204" t="s">
        <v>14886</v>
      </c>
      <c r="H4360" s="204" t="s">
        <v>1729</v>
      </c>
      <c r="I4360" s="204" t="s">
        <v>574</v>
      </c>
      <c r="J4360" s="204" t="s">
        <v>14887</v>
      </c>
      <c r="K4360" s="204" t="s">
        <v>14888</v>
      </c>
      <c r="L4360" s="204"/>
      <c r="M4360" s="204">
        <v>1</v>
      </c>
      <c r="N4360" s="204">
        <v>1</v>
      </c>
      <c r="O4360" s="204">
        <v>1</v>
      </c>
      <c r="P4360" s="204">
        <v>0</v>
      </c>
      <c r="Q4360" s="572">
        <v>1</v>
      </c>
      <c r="R4360" s="1209">
        <v>4652</v>
      </c>
      <c r="S4360" s="1209">
        <v>4652</v>
      </c>
      <c r="T4360" s="204" t="s">
        <v>14797</v>
      </c>
      <c r="U4360" s="1901" t="s">
        <v>14797</v>
      </c>
      <c r="V4360" s="572" t="s">
        <v>14798</v>
      </c>
      <c r="W4360" s="681" t="s">
        <v>14889</v>
      </c>
      <c r="X4360" s="18"/>
      <c r="Y4360" s="4"/>
      <c r="Z4360" s="4"/>
    </row>
    <row r="4361" spans="1:26" ht="24.75" hidden="1" customHeight="1">
      <c r="A4361" s="20">
        <v>4368</v>
      </c>
      <c r="B4361" s="1063">
        <v>44138</v>
      </c>
      <c r="C4361" s="934" t="s">
        <v>14890</v>
      </c>
      <c r="D4361" s="37" t="s">
        <v>13668</v>
      </c>
      <c r="E4361" s="204" t="s">
        <v>166</v>
      </c>
      <c r="F4361" s="934" t="s">
        <v>2876</v>
      </c>
      <c r="G4361" s="204" t="s">
        <v>14891</v>
      </c>
      <c r="H4361" s="204" t="s">
        <v>3898</v>
      </c>
      <c r="I4361" s="204" t="s">
        <v>39</v>
      </c>
      <c r="J4361" s="570" t="s">
        <v>14892</v>
      </c>
      <c r="K4361" s="570" t="s">
        <v>14893</v>
      </c>
      <c r="L4361" s="204" t="s">
        <v>3636</v>
      </c>
      <c r="M4361" s="204">
        <v>6</v>
      </c>
      <c r="N4361" s="204">
        <v>25</v>
      </c>
      <c r="O4361" s="204">
        <v>25</v>
      </c>
      <c r="P4361" s="204">
        <v>0</v>
      </c>
      <c r="Q4361" s="572">
        <v>19</v>
      </c>
      <c r="R4361" s="1209">
        <v>21.64</v>
      </c>
      <c r="S4361" s="1209">
        <f t="shared" ref="S4361:S4365" si="253">O4361*R4361</f>
        <v>541</v>
      </c>
      <c r="T4361" s="204" t="s">
        <v>12425</v>
      </c>
      <c r="U4361" s="1901" t="s">
        <v>14543</v>
      </c>
      <c r="V4361" s="572" t="s">
        <v>5990</v>
      </c>
      <c r="W4361" s="681" t="s">
        <v>14894</v>
      </c>
      <c r="X4361" s="18"/>
      <c r="Y4361" s="4"/>
      <c r="Z4361" s="4"/>
    </row>
    <row r="4362" spans="1:26" ht="14.1" hidden="1">
      <c r="A4362" s="20">
        <v>4369</v>
      </c>
      <c r="B4362" s="1063">
        <v>44139</v>
      </c>
      <c r="C4362" s="934" t="s">
        <v>14554</v>
      </c>
      <c r="D4362" s="11" t="s">
        <v>6</v>
      </c>
      <c r="E4362" s="204" t="s">
        <v>166</v>
      </c>
      <c r="F4362" s="934" t="s">
        <v>2876</v>
      </c>
      <c r="G4362" s="204" t="s">
        <v>14555</v>
      </c>
      <c r="H4362" s="204" t="s">
        <v>249</v>
      </c>
      <c r="I4362" s="204" t="s">
        <v>281</v>
      </c>
      <c r="J4362" s="204" t="s">
        <v>14556</v>
      </c>
      <c r="K4362" s="204" t="s">
        <v>14557</v>
      </c>
      <c r="L4362" s="204" t="s">
        <v>3636</v>
      </c>
      <c r="M4362" s="204">
        <v>1</v>
      </c>
      <c r="N4362" s="204">
        <v>1</v>
      </c>
      <c r="O4362" s="204">
        <v>2</v>
      </c>
      <c r="P4362" s="204">
        <v>0</v>
      </c>
      <c r="Q4362" s="572">
        <v>1</v>
      </c>
      <c r="R4362" s="1209">
        <v>450</v>
      </c>
      <c r="S4362" s="1209">
        <f t="shared" si="253"/>
        <v>900</v>
      </c>
      <c r="T4362" s="204" t="s">
        <v>12425</v>
      </c>
      <c r="U4362" s="1901" t="s">
        <v>14543</v>
      </c>
      <c r="V4362" s="572" t="s">
        <v>5990</v>
      </c>
      <c r="W4362" s="681" t="s">
        <v>14558</v>
      </c>
      <c r="X4362" s="18"/>
      <c r="Y4362" s="4"/>
      <c r="Z4362" s="4"/>
    </row>
    <row r="4363" spans="1:26" ht="14.1" hidden="1">
      <c r="A4363" s="20">
        <v>4370</v>
      </c>
      <c r="B4363" s="1063">
        <v>44140</v>
      </c>
      <c r="C4363" s="934" t="s">
        <v>14559</v>
      </c>
      <c r="D4363" s="11" t="s">
        <v>6</v>
      </c>
      <c r="E4363" s="204" t="s">
        <v>166</v>
      </c>
      <c r="F4363" s="934" t="s">
        <v>2876</v>
      </c>
      <c r="G4363" s="204" t="s">
        <v>14560</v>
      </c>
      <c r="H4363" s="204" t="s">
        <v>249</v>
      </c>
      <c r="I4363" s="204" t="s">
        <v>281</v>
      </c>
      <c r="J4363" s="204" t="s">
        <v>14561</v>
      </c>
      <c r="K4363" s="204" t="s">
        <v>14562</v>
      </c>
      <c r="L4363" s="204" t="s">
        <v>3636</v>
      </c>
      <c r="M4363" s="204">
        <v>3</v>
      </c>
      <c r="N4363" s="204">
        <v>1</v>
      </c>
      <c r="O4363" s="204">
        <v>5</v>
      </c>
      <c r="P4363" s="204">
        <v>0</v>
      </c>
      <c r="Q4363" s="572">
        <v>2</v>
      </c>
      <c r="R4363" s="1209">
        <v>482</v>
      </c>
      <c r="S4363" s="1209">
        <f t="shared" si="253"/>
        <v>2410</v>
      </c>
      <c r="T4363" s="204" t="s">
        <v>12425</v>
      </c>
      <c r="U4363" s="1901" t="s">
        <v>14543</v>
      </c>
      <c r="V4363" s="572" t="s">
        <v>5990</v>
      </c>
      <c r="W4363" s="681" t="s">
        <v>14563</v>
      </c>
      <c r="X4363" s="18"/>
      <c r="Y4363" s="4"/>
      <c r="Z4363" s="4"/>
    </row>
    <row r="4364" spans="1:26" ht="14.1" hidden="1">
      <c r="A4364" s="20">
        <v>4371</v>
      </c>
      <c r="B4364" s="1063">
        <v>44141</v>
      </c>
      <c r="C4364" s="934" t="s">
        <v>14564</v>
      </c>
      <c r="D4364" s="11" t="s">
        <v>6</v>
      </c>
      <c r="E4364" s="204" t="s">
        <v>166</v>
      </c>
      <c r="F4364" s="934" t="s">
        <v>2876</v>
      </c>
      <c r="G4364" s="204" t="s">
        <v>14565</v>
      </c>
      <c r="H4364" s="204" t="s">
        <v>249</v>
      </c>
      <c r="I4364" s="204" t="s">
        <v>281</v>
      </c>
      <c r="J4364" s="204" t="s">
        <v>14566</v>
      </c>
      <c r="K4364" s="204" t="s">
        <v>14567</v>
      </c>
      <c r="L4364" s="204" t="s">
        <v>3636</v>
      </c>
      <c r="M4364" s="204">
        <v>1</v>
      </c>
      <c r="N4364" s="204">
        <v>1</v>
      </c>
      <c r="O4364" s="204">
        <v>2</v>
      </c>
      <c r="P4364" s="204">
        <v>0</v>
      </c>
      <c r="Q4364" s="572">
        <v>1</v>
      </c>
      <c r="R4364" s="1209">
        <v>330</v>
      </c>
      <c r="S4364" s="1209">
        <f t="shared" si="253"/>
        <v>660</v>
      </c>
      <c r="T4364" s="204" t="s">
        <v>12425</v>
      </c>
      <c r="U4364" s="1901" t="s">
        <v>14543</v>
      </c>
      <c r="V4364" s="572" t="s">
        <v>5990</v>
      </c>
      <c r="W4364" s="681" t="s">
        <v>14568</v>
      </c>
      <c r="X4364" s="18"/>
      <c r="Y4364" s="4"/>
      <c r="Z4364" s="4"/>
    </row>
    <row r="4365" spans="1:26" ht="14.1" hidden="1">
      <c r="A4365" s="20">
        <v>4372</v>
      </c>
      <c r="B4365" s="1063">
        <v>44142</v>
      </c>
      <c r="C4365" s="934" t="s">
        <v>1072</v>
      </c>
      <c r="D4365" s="11" t="s">
        <v>6</v>
      </c>
      <c r="E4365" s="204" t="s">
        <v>166</v>
      </c>
      <c r="F4365" s="934" t="s">
        <v>2876</v>
      </c>
      <c r="G4365" s="204" t="s">
        <v>14895</v>
      </c>
      <c r="H4365" s="204" t="s">
        <v>460</v>
      </c>
      <c r="I4365" s="204" t="s">
        <v>14896</v>
      </c>
      <c r="J4365" s="1092" t="s">
        <v>14897</v>
      </c>
      <c r="K4365" s="204"/>
      <c r="L4365" s="204" t="s">
        <v>5416</v>
      </c>
      <c r="M4365" s="204">
        <v>9</v>
      </c>
      <c r="N4365" s="204">
        <v>1</v>
      </c>
      <c r="O4365" s="204">
        <v>10</v>
      </c>
      <c r="P4365" s="204">
        <v>4</v>
      </c>
      <c r="Q4365" s="572">
        <v>5</v>
      </c>
      <c r="R4365" s="1209">
        <v>149</v>
      </c>
      <c r="S4365" s="1209">
        <f t="shared" si="253"/>
        <v>1490</v>
      </c>
      <c r="T4365" s="204" t="s">
        <v>12425</v>
      </c>
      <c r="U4365" s="1901" t="s">
        <v>14898</v>
      </c>
      <c r="V4365" s="572" t="s">
        <v>5990</v>
      </c>
      <c r="W4365" s="1184" t="s">
        <v>14899</v>
      </c>
      <c r="X4365" s="18"/>
      <c r="Y4365" s="4"/>
      <c r="Z4365" s="4"/>
    </row>
    <row r="4366" spans="1:26" ht="14.1" hidden="1">
      <c r="A4366" s="20">
        <v>4373</v>
      </c>
      <c r="B4366" s="1063">
        <v>44143</v>
      </c>
      <c r="C4366" s="934" t="s">
        <v>14900</v>
      </c>
      <c r="D4366" s="11" t="s">
        <v>6</v>
      </c>
      <c r="E4366" s="204" t="s">
        <v>7498</v>
      </c>
      <c r="F4366" s="934" t="s">
        <v>4980</v>
      </c>
      <c r="G4366" s="204" t="s">
        <v>14901</v>
      </c>
      <c r="H4366" s="204" t="s">
        <v>1762</v>
      </c>
      <c r="I4366" s="204" t="s">
        <v>281</v>
      </c>
      <c r="J4366" s="204" t="s">
        <v>14902</v>
      </c>
      <c r="K4366" s="204" t="s">
        <v>14903</v>
      </c>
      <c r="L4366" s="204"/>
      <c r="M4366" s="204">
        <v>2</v>
      </c>
      <c r="N4366" s="204">
        <v>2</v>
      </c>
      <c r="O4366" s="204">
        <v>2</v>
      </c>
      <c r="P4366" s="204">
        <v>0</v>
      </c>
      <c r="Q4366" s="572">
        <v>2</v>
      </c>
      <c r="R4366" s="1209">
        <v>1286</v>
      </c>
      <c r="S4366" s="1209">
        <v>2572</v>
      </c>
      <c r="T4366" s="204" t="s">
        <v>14797</v>
      </c>
      <c r="U4366" s="1901" t="s">
        <v>14797</v>
      </c>
      <c r="V4366" s="572" t="s">
        <v>14798</v>
      </c>
      <c r="W4366" s="681" t="s">
        <v>14904</v>
      </c>
      <c r="X4366" s="18"/>
      <c r="Y4366" s="4"/>
      <c r="Z4366" s="4"/>
    </row>
    <row r="4367" spans="1:26" ht="14.1" hidden="1">
      <c r="A4367" s="20">
        <v>4374</v>
      </c>
      <c r="B4367" s="1063">
        <v>44144</v>
      </c>
      <c r="C4367" s="934" t="s">
        <v>1282</v>
      </c>
      <c r="D4367" s="11" t="s">
        <v>6</v>
      </c>
      <c r="E4367" s="204" t="s">
        <v>7498</v>
      </c>
      <c r="F4367" s="934" t="s">
        <v>4980</v>
      </c>
      <c r="G4367" s="204" t="s">
        <v>14905</v>
      </c>
      <c r="H4367" s="204" t="s">
        <v>3612</v>
      </c>
      <c r="I4367" s="204" t="s">
        <v>281</v>
      </c>
      <c r="J4367" s="204" t="s">
        <v>14906</v>
      </c>
      <c r="K4367" s="204" t="s">
        <v>14907</v>
      </c>
      <c r="L4367" s="204"/>
      <c r="M4367" s="204">
        <v>5</v>
      </c>
      <c r="N4367" s="204">
        <v>5</v>
      </c>
      <c r="O4367" s="204">
        <v>5</v>
      </c>
      <c r="P4367" s="204">
        <v>0</v>
      </c>
      <c r="Q4367" s="572">
        <v>5</v>
      </c>
      <c r="R4367" s="1209">
        <v>106</v>
      </c>
      <c r="S4367" s="1209">
        <v>530</v>
      </c>
      <c r="T4367" s="204" t="s">
        <v>14797</v>
      </c>
      <c r="U4367" s="1901" t="s">
        <v>14797</v>
      </c>
      <c r="V4367" s="572" t="s">
        <v>14798</v>
      </c>
      <c r="W4367" s="681" t="s">
        <v>14908</v>
      </c>
      <c r="X4367" s="18"/>
      <c r="Y4367" s="4"/>
      <c r="Z4367" s="4"/>
    </row>
    <row r="4368" spans="1:26" ht="14.1" hidden="1">
      <c r="A4368" s="20">
        <v>4375</v>
      </c>
      <c r="B4368" s="1063">
        <v>44145</v>
      </c>
      <c r="C4368" s="934" t="s">
        <v>14909</v>
      </c>
      <c r="D4368" s="11" t="s">
        <v>6</v>
      </c>
      <c r="E4368" s="204" t="s">
        <v>7498</v>
      </c>
      <c r="F4368" s="934" t="s">
        <v>4980</v>
      </c>
      <c r="G4368" s="204" t="s">
        <v>14910</v>
      </c>
      <c r="H4368" s="204" t="s">
        <v>1353</v>
      </c>
      <c r="I4368" s="204" t="s">
        <v>281</v>
      </c>
      <c r="J4368" s="204" t="s">
        <v>14911</v>
      </c>
      <c r="K4368" s="204" t="s">
        <v>14912</v>
      </c>
      <c r="L4368" s="204"/>
      <c r="M4368" s="204">
        <v>1</v>
      </c>
      <c r="N4368" s="204">
        <v>1</v>
      </c>
      <c r="O4368" s="204">
        <v>1</v>
      </c>
      <c r="P4368" s="204">
        <v>0</v>
      </c>
      <c r="Q4368" s="572">
        <v>1</v>
      </c>
      <c r="R4368" s="1209">
        <v>937</v>
      </c>
      <c r="S4368" s="1209">
        <v>937</v>
      </c>
      <c r="T4368" s="204" t="s">
        <v>14797</v>
      </c>
      <c r="U4368" s="1901" t="s">
        <v>14797</v>
      </c>
      <c r="V4368" s="572" t="s">
        <v>14798</v>
      </c>
      <c r="W4368" s="681" t="s">
        <v>14913</v>
      </c>
      <c r="X4368" s="18"/>
      <c r="Y4368" s="4"/>
      <c r="Z4368" s="4"/>
    </row>
    <row r="4369" spans="1:26" ht="14.1" hidden="1">
      <c r="A4369" s="20">
        <v>4376</v>
      </c>
      <c r="B4369" s="1063">
        <v>44146</v>
      </c>
      <c r="C4369" s="934" t="s">
        <v>14914</v>
      </c>
      <c r="D4369" s="11" t="s">
        <v>6</v>
      </c>
      <c r="E4369" s="204" t="s">
        <v>7498</v>
      </c>
      <c r="F4369" s="934" t="s">
        <v>4980</v>
      </c>
      <c r="G4369" s="204" t="s">
        <v>14915</v>
      </c>
      <c r="H4369" s="204" t="s">
        <v>1353</v>
      </c>
      <c r="I4369" s="204" t="s">
        <v>281</v>
      </c>
      <c r="J4369" s="204" t="s">
        <v>14916</v>
      </c>
      <c r="K4369" s="204" t="s">
        <v>14917</v>
      </c>
      <c r="L4369" s="204"/>
      <c r="M4369" s="204">
        <v>4</v>
      </c>
      <c r="N4369" s="204">
        <v>4</v>
      </c>
      <c r="O4369" s="204">
        <v>4</v>
      </c>
      <c r="P4369" s="204">
        <v>0</v>
      </c>
      <c r="Q4369" s="572">
        <v>4</v>
      </c>
      <c r="R4369" s="1209">
        <v>94</v>
      </c>
      <c r="S4369" s="1209">
        <v>376</v>
      </c>
      <c r="T4369" s="204" t="s">
        <v>14797</v>
      </c>
      <c r="U4369" s="1901" t="s">
        <v>14797</v>
      </c>
      <c r="V4369" s="572" t="s">
        <v>14798</v>
      </c>
      <c r="W4369" s="681" t="s">
        <v>14918</v>
      </c>
      <c r="X4369" s="18"/>
      <c r="Y4369" s="4"/>
      <c r="Z4369" s="4"/>
    </row>
    <row r="4370" spans="1:26" ht="14.1" hidden="1">
      <c r="A4370" s="20">
        <v>4377</v>
      </c>
      <c r="B4370" s="1063">
        <v>44147</v>
      </c>
      <c r="C4370" s="934" t="s">
        <v>14919</v>
      </c>
      <c r="D4370" s="11" t="s">
        <v>6</v>
      </c>
      <c r="E4370" s="204" t="s">
        <v>7498</v>
      </c>
      <c r="F4370" s="934" t="s">
        <v>4980</v>
      </c>
      <c r="G4370" s="204" t="s">
        <v>14920</v>
      </c>
      <c r="H4370" s="204" t="s">
        <v>14921</v>
      </c>
      <c r="I4370" s="204" t="s">
        <v>14921</v>
      </c>
      <c r="J4370" s="204" t="s">
        <v>14922</v>
      </c>
      <c r="K4370" s="204" t="s">
        <v>14922</v>
      </c>
      <c r="L4370" s="204"/>
      <c r="M4370" s="204">
        <v>1</v>
      </c>
      <c r="N4370" s="204">
        <v>1</v>
      </c>
      <c r="O4370" s="204">
        <v>1</v>
      </c>
      <c r="P4370" s="204">
        <v>0</v>
      </c>
      <c r="Q4370" s="572">
        <v>1</v>
      </c>
      <c r="R4370" s="1209">
        <v>10551</v>
      </c>
      <c r="S4370" s="1209">
        <v>10551</v>
      </c>
      <c r="T4370" s="204" t="s">
        <v>14797</v>
      </c>
      <c r="U4370" s="1901" t="s">
        <v>14797</v>
      </c>
      <c r="V4370" s="572" t="s">
        <v>14798</v>
      </c>
      <c r="W4370" s="681" t="s">
        <v>14923</v>
      </c>
      <c r="X4370" s="18"/>
      <c r="Y4370" s="4"/>
      <c r="Z4370" s="4"/>
    </row>
    <row r="4371" spans="1:26" ht="14.1" hidden="1">
      <c r="A4371" s="20">
        <v>4378</v>
      </c>
      <c r="B4371" s="1063">
        <v>44148</v>
      </c>
      <c r="C4371" s="934" t="s">
        <v>14924</v>
      </c>
      <c r="D4371" s="11" t="s">
        <v>6</v>
      </c>
      <c r="E4371" s="204" t="s">
        <v>7498</v>
      </c>
      <c r="F4371" s="934" t="s">
        <v>4980</v>
      </c>
      <c r="G4371" s="492" t="s">
        <v>14925</v>
      </c>
      <c r="H4371" s="204" t="s">
        <v>14921</v>
      </c>
      <c r="I4371" s="204" t="s">
        <v>14921</v>
      </c>
      <c r="J4371" s="204" t="s">
        <v>14926</v>
      </c>
      <c r="K4371" s="204" t="s">
        <v>14926</v>
      </c>
      <c r="L4371" s="204"/>
      <c r="M4371" s="204">
        <v>1</v>
      </c>
      <c r="N4371" s="204">
        <v>1</v>
      </c>
      <c r="O4371" s="204">
        <v>1</v>
      </c>
      <c r="P4371" s="204">
        <v>0</v>
      </c>
      <c r="Q4371" s="572">
        <v>1</v>
      </c>
      <c r="R4371" s="1209">
        <v>2040</v>
      </c>
      <c r="S4371" s="1209">
        <v>2040</v>
      </c>
      <c r="T4371" s="204" t="s">
        <v>14797</v>
      </c>
      <c r="U4371" s="1901" t="s">
        <v>14797</v>
      </c>
      <c r="V4371" s="572" t="s">
        <v>14798</v>
      </c>
      <c r="W4371" s="681" t="s">
        <v>14927</v>
      </c>
      <c r="X4371" s="18"/>
      <c r="Y4371" s="4"/>
      <c r="Z4371" s="4"/>
    </row>
    <row r="4372" spans="1:26" ht="14.1" hidden="1">
      <c r="A4372" s="20">
        <v>4379</v>
      </c>
      <c r="B4372" s="1063">
        <v>44149</v>
      </c>
      <c r="C4372" s="934" t="s">
        <v>14928</v>
      </c>
      <c r="D4372" s="11" t="s">
        <v>6</v>
      </c>
      <c r="E4372" s="204" t="s">
        <v>7498</v>
      </c>
      <c r="F4372" s="934" t="s">
        <v>4980</v>
      </c>
      <c r="G4372" s="204" t="s">
        <v>14929</v>
      </c>
      <c r="H4372" s="204" t="s">
        <v>14921</v>
      </c>
      <c r="I4372" s="204" t="s">
        <v>14921</v>
      </c>
      <c r="J4372" s="204" t="s">
        <v>14930</v>
      </c>
      <c r="K4372" s="204" t="s">
        <v>14930</v>
      </c>
      <c r="L4372" s="204"/>
      <c r="M4372" s="204">
        <v>1</v>
      </c>
      <c r="N4372" s="204">
        <v>1</v>
      </c>
      <c r="O4372" s="204">
        <v>1</v>
      </c>
      <c r="P4372" s="204">
        <v>0</v>
      </c>
      <c r="Q4372" s="572">
        <v>1</v>
      </c>
      <c r="R4372" s="1209">
        <v>1686</v>
      </c>
      <c r="S4372" s="1209">
        <v>1686</v>
      </c>
      <c r="T4372" s="204" t="s">
        <v>14797</v>
      </c>
      <c r="U4372" s="1901" t="s">
        <v>14797</v>
      </c>
      <c r="V4372" s="572" t="s">
        <v>14798</v>
      </c>
      <c r="W4372" s="681" t="s">
        <v>14931</v>
      </c>
      <c r="X4372" s="18"/>
      <c r="Y4372" s="4"/>
      <c r="Z4372" s="4"/>
    </row>
    <row r="4373" spans="1:26" ht="14.1" hidden="1">
      <c r="A4373" s="20">
        <v>4380</v>
      </c>
      <c r="B4373" s="1063">
        <v>44150</v>
      </c>
      <c r="C4373" s="934" t="s">
        <v>14932</v>
      </c>
      <c r="D4373" s="11" t="s">
        <v>6</v>
      </c>
      <c r="E4373" s="204" t="s">
        <v>7498</v>
      </c>
      <c r="F4373" s="934" t="s">
        <v>4980</v>
      </c>
      <c r="G4373" s="204" t="s">
        <v>14933</v>
      </c>
      <c r="H4373" s="204" t="s">
        <v>14921</v>
      </c>
      <c r="I4373" s="204" t="s">
        <v>14921</v>
      </c>
      <c r="J4373" s="204" t="s">
        <v>14934</v>
      </c>
      <c r="K4373" s="204" t="s">
        <v>14934</v>
      </c>
      <c r="L4373" s="204"/>
      <c r="M4373" s="204">
        <v>2</v>
      </c>
      <c r="N4373" s="204">
        <v>2</v>
      </c>
      <c r="O4373" s="204">
        <v>2</v>
      </c>
      <c r="P4373" s="204">
        <v>0</v>
      </c>
      <c r="Q4373" s="572">
        <v>2</v>
      </c>
      <c r="R4373" s="1209">
        <v>978</v>
      </c>
      <c r="S4373" s="1209">
        <v>1956</v>
      </c>
      <c r="T4373" s="204" t="s">
        <v>14797</v>
      </c>
      <c r="U4373" s="1901" t="s">
        <v>14797</v>
      </c>
      <c r="V4373" s="572" t="s">
        <v>14798</v>
      </c>
      <c r="W4373" s="681" t="s">
        <v>14935</v>
      </c>
      <c r="X4373" s="18"/>
      <c r="Y4373" s="4"/>
      <c r="Z4373" s="4"/>
    </row>
    <row r="4374" spans="1:26" ht="14.1" hidden="1">
      <c r="A4374" s="20">
        <v>4381</v>
      </c>
      <c r="B4374" s="1063">
        <v>44151</v>
      </c>
      <c r="C4374" s="934" t="s">
        <v>14936</v>
      </c>
      <c r="D4374" s="11" t="s">
        <v>6</v>
      </c>
      <c r="E4374" s="204" t="s">
        <v>7498</v>
      </c>
      <c r="F4374" s="934" t="s">
        <v>4980</v>
      </c>
      <c r="G4374" s="204" t="s">
        <v>14937</v>
      </c>
      <c r="H4374" s="204" t="s">
        <v>14921</v>
      </c>
      <c r="I4374" s="204" t="s">
        <v>14921</v>
      </c>
      <c r="J4374" s="571" t="s">
        <v>14938</v>
      </c>
      <c r="K4374" s="204" t="s">
        <v>14938</v>
      </c>
      <c r="L4374" s="204"/>
      <c r="M4374" s="204">
        <v>2</v>
      </c>
      <c r="N4374" s="204">
        <v>2</v>
      </c>
      <c r="O4374" s="204">
        <v>2</v>
      </c>
      <c r="P4374" s="204">
        <v>0</v>
      </c>
      <c r="Q4374" s="572">
        <v>2</v>
      </c>
      <c r="R4374" s="1209">
        <v>703</v>
      </c>
      <c r="S4374" s="1209">
        <v>1406</v>
      </c>
      <c r="T4374" s="204" t="s">
        <v>14797</v>
      </c>
      <c r="U4374" s="1901" t="s">
        <v>14797</v>
      </c>
      <c r="V4374" s="572" t="s">
        <v>14798</v>
      </c>
      <c r="W4374" s="681" t="s">
        <v>14939</v>
      </c>
      <c r="X4374" s="18"/>
      <c r="Y4374" s="4"/>
      <c r="Z4374" s="4"/>
    </row>
    <row r="4375" spans="1:26" ht="14.1" hidden="1">
      <c r="A4375" s="20">
        <v>4382</v>
      </c>
      <c r="B4375" s="1063">
        <v>44152</v>
      </c>
      <c r="C4375" s="934" t="s">
        <v>14940</v>
      </c>
      <c r="D4375" s="278" t="s">
        <v>6</v>
      </c>
      <c r="E4375" s="204" t="s">
        <v>62</v>
      </c>
      <c r="F4375" s="934" t="s">
        <v>11405</v>
      </c>
      <c r="G4375" s="204" t="s">
        <v>14941</v>
      </c>
      <c r="H4375" s="204" t="s">
        <v>14942</v>
      </c>
      <c r="I4375" s="204" t="s">
        <v>14942</v>
      </c>
      <c r="J4375" s="204"/>
      <c r="K4375" s="204"/>
      <c r="L4375" s="204"/>
      <c r="M4375" s="204">
        <v>1</v>
      </c>
      <c r="N4375" s="204">
        <v>1</v>
      </c>
      <c r="O4375" s="204">
        <v>1</v>
      </c>
      <c r="P4375" s="204"/>
      <c r="Q4375" s="572"/>
      <c r="R4375" s="1209">
        <v>22017.96</v>
      </c>
      <c r="S4375" s="1209">
        <v>22018</v>
      </c>
      <c r="T4375" s="204" t="s">
        <v>14943</v>
      </c>
      <c r="U4375" s="1901" t="s">
        <v>9485</v>
      </c>
      <c r="V4375" s="572"/>
      <c r="W4375" s="681" t="s">
        <v>14944</v>
      </c>
      <c r="X4375" s="18"/>
      <c r="Y4375" s="4"/>
      <c r="Z4375" s="4"/>
    </row>
    <row r="4376" spans="1:26" ht="15.95" hidden="1">
      <c r="A4376" s="20">
        <v>4383</v>
      </c>
      <c r="B4376" s="1063">
        <v>44153</v>
      </c>
      <c r="C4376" s="934" t="s">
        <v>14945</v>
      </c>
      <c r="D4376" s="11" t="s">
        <v>6</v>
      </c>
      <c r="E4376" s="204" t="s">
        <v>166</v>
      </c>
      <c r="F4376" s="934" t="s">
        <v>2693</v>
      </c>
      <c r="G4376" s="204" t="s">
        <v>14946</v>
      </c>
      <c r="H4376" s="180" t="s">
        <v>14947</v>
      </c>
      <c r="I4376" s="204" t="s">
        <v>84</v>
      </c>
      <c r="J4376" s="204">
        <v>17060505</v>
      </c>
      <c r="K4376" s="180" t="s">
        <v>14948</v>
      </c>
      <c r="L4376" s="204"/>
      <c r="M4376" s="204">
        <v>1</v>
      </c>
      <c r="N4376" s="204">
        <v>1</v>
      </c>
      <c r="O4376" s="204">
        <v>1</v>
      </c>
      <c r="P4376" s="204">
        <v>0</v>
      </c>
      <c r="Q4376" s="572">
        <v>1</v>
      </c>
      <c r="R4376" s="1209">
        <v>5000</v>
      </c>
      <c r="S4376" s="1209">
        <v>5000</v>
      </c>
      <c r="T4376" s="204" t="s">
        <v>311</v>
      </c>
      <c r="U4376" s="1901" t="s">
        <v>1</v>
      </c>
      <c r="V4376" s="572" t="s">
        <v>9064</v>
      </c>
      <c r="W4376" s="804" t="s">
        <v>14949</v>
      </c>
      <c r="X4376" s="18"/>
      <c r="Y4376" s="4"/>
      <c r="Z4376" s="4"/>
    </row>
    <row r="4377" spans="1:26" ht="15.95" hidden="1">
      <c r="A4377" s="20">
        <v>4384</v>
      </c>
      <c r="B4377" s="1063">
        <v>44154</v>
      </c>
      <c r="C4377" s="934" t="s">
        <v>14950</v>
      </c>
      <c r="D4377" s="11" t="s">
        <v>6</v>
      </c>
      <c r="E4377" s="204" t="s">
        <v>166</v>
      </c>
      <c r="F4377" s="934" t="s">
        <v>2693</v>
      </c>
      <c r="G4377" s="204" t="s">
        <v>14951</v>
      </c>
      <c r="H4377" s="180" t="s">
        <v>14952</v>
      </c>
      <c r="I4377" s="204" t="s">
        <v>84</v>
      </c>
      <c r="J4377" s="204">
        <v>37610456</v>
      </c>
      <c r="K4377" s="204" t="s">
        <v>14953</v>
      </c>
      <c r="L4377" s="204"/>
      <c r="M4377" s="204">
        <v>2</v>
      </c>
      <c r="N4377" s="204">
        <v>1</v>
      </c>
      <c r="O4377" s="204">
        <v>2</v>
      </c>
      <c r="P4377" s="204">
        <v>0</v>
      </c>
      <c r="Q4377" s="572">
        <v>2</v>
      </c>
      <c r="R4377" s="1209">
        <v>329</v>
      </c>
      <c r="S4377" s="1209">
        <v>658</v>
      </c>
      <c r="T4377" s="204" t="s">
        <v>311</v>
      </c>
      <c r="U4377" s="1901" t="s">
        <v>1</v>
      </c>
      <c r="V4377" s="572" t="s">
        <v>9064</v>
      </c>
      <c r="W4377" s="681" t="s">
        <v>14954</v>
      </c>
      <c r="X4377" s="18"/>
      <c r="Y4377" s="4"/>
      <c r="Z4377" s="4"/>
    </row>
    <row r="4378" spans="1:26" ht="14.1" hidden="1">
      <c r="A4378" s="20">
        <v>4385</v>
      </c>
      <c r="B4378" s="1063">
        <v>44155</v>
      </c>
      <c r="C4378" s="934" t="s">
        <v>14955</v>
      </c>
      <c r="D4378" s="11"/>
      <c r="E4378" s="204" t="s">
        <v>12613</v>
      </c>
      <c r="F4378" s="934" t="s">
        <v>14023</v>
      </c>
      <c r="G4378" s="204" t="s">
        <v>14956</v>
      </c>
      <c r="H4378" s="204" t="s">
        <v>14957</v>
      </c>
      <c r="I4378" s="204" t="s">
        <v>14957</v>
      </c>
      <c r="J4378" s="204"/>
      <c r="K4378" s="204"/>
      <c r="L4378" s="204"/>
      <c r="M4378" s="204">
        <v>4</v>
      </c>
      <c r="N4378" s="204">
        <v>1</v>
      </c>
      <c r="O4378" s="204">
        <v>4</v>
      </c>
      <c r="P4378" s="204">
        <v>0</v>
      </c>
      <c r="Q4378" s="572">
        <v>2</v>
      </c>
      <c r="R4378" s="1209" t="s">
        <v>14958</v>
      </c>
      <c r="S4378" s="1209">
        <v>34075</v>
      </c>
      <c r="T4378" s="204" t="s">
        <v>12425</v>
      </c>
      <c r="U4378" s="1901" t="s">
        <v>1886</v>
      </c>
      <c r="V4378" s="572" t="s">
        <v>5990</v>
      </c>
      <c r="W4378" s="681"/>
      <c r="X4378" s="18"/>
      <c r="Y4378" s="4"/>
      <c r="Z4378" s="4"/>
    </row>
    <row r="4379" spans="1:26" ht="14.45" hidden="1">
      <c r="A4379" s="572">
        <v>4386</v>
      </c>
      <c r="B4379" s="1063">
        <v>44156</v>
      </c>
      <c r="C4379" s="934" t="s">
        <v>2721</v>
      </c>
      <c r="D4379" s="11"/>
      <c r="E4379" s="683" t="s">
        <v>62</v>
      </c>
      <c r="F4379" s="985" t="s">
        <v>10651</v>
      </c>
      <c r="G4379" s="683" t="s">
        <v>12013</v>
      </c>
      <c r="H4379" s="683" t="s">
        <v>12014</v>
      </c>
      <c r="I4379" s="683" t="s">
        <v>11673</v>
      </c>
      <c r="J4379" s="298"/>
      <c r="K4379" s="683" t="s">
        <v>14959</v>
      </c>
      <c r="L4379" s="683"/>
      <c r="M4379" s="683">
        <v>1</v>
      </c>
      <c r="N4379" s="683">
        <v>1</v>
      </c>
      <c r="O4379" s="683">
        <v>1</v>
      </c>
      <c r="P4379" s="683" t="s">
        <v>1</v>
      </c>
      <c r="Q4379" s="683" t="s">
        <v>1</v>
      </c>
      <c r="R4379" s="1282">
        <v>5110</v>
      </c>
      <c r="S4379" s="1282">
        <v>5110</v>
      </c>
      <c r="T4379" s="683" t="s">
        <v>311</v>
      </c>
      <c r="U4379" s="740" t="s">
        <v>311</v>
      </c>
      <c r="V4379" s="204" t="s">
        <v>3187</v>
      </c>
      <c r="W4379" s="789" t="s">
        <v>12016</v>
      </c>
      <c r="X4379" s="58"/>
      <c r="Y4379" s="59"/>
      <c r="Z4379" s="59"/>
    </row>
    <row r="4380" spans="1:26" ht="14.1" hidden="1">
      <c r="A4380" s="20">
        <v>4387</v>
      </c>
      <c r="B4380" s="1063">
        <v>44157</v>
      </c>
      <c r="C4380" s="934" t="s">
        <v>14960</v>
      </c>
      <c r="D4380" s="11" t="s">
        <v>6</v>
      </c>
      <c r="E4380" s="204" t="s">
        <v>7498</v>
      </c>
      <c r="F4380" s="934" t="s">
        <v>4980</v>
      </c>
      <c r="G4380" s="204" t="s">
        <v>14961</v>
      </c>
      <c r="H4380" s="204" t="s">
        <v>6337</v>
      </c>
      <c r="I4380" s="204" t="s">
        <v>281</v>
      </c>
      <c r="J4380" s="204" t="s">
        <v>14962</v>
      </c>
      <c r="K4380" s="204">
        <v>970270321</v>
      </c>
      <c r="L4380" s="204"/>
      <c r="M4380" s="204">
        <v>50</v>
      </c>
      <c r="N4380" s="204">
        <v>50</v>
      </c>
      <c r="O4380" s="204">
        <v>50</v>
      </c>
      <c r="P4380" s="204">
        <v>0</v>
      </c>
      <c r="Q4380" s="572">
        <v>50</v>
      </c>
      <c r="R4380" s="1325">
        <v>63.9</v>
      </c>
      <c r="S4380" s="1209">
        <v>3199</v>
      </c>
      <c r="T4380" s="204" t="s">
        <v>14797</v>
      </c>
      <c r="U4380" s="1901" t="s">
        <v>14797</v>
      </c>
      <c r="V4380" s="572" t="s">
        <v>14798</v>
      </c>
      <c r="W4380" s="681" t="s">
        <v>14963</v>
      </c>
      <c r="X4380" s="18"/>
      <c r="Y4380" s="4"/>
      <c r="Z4380" s="4"/>
    </row>
    <row r="4381" spans="1:26" ht="14.1" hidden="1">
      <c r="A4381" s="20">
        <v>4388</v>
      </c>
      <c r="B4381" s="1063">
        <v>44158</v>
      </c>
      <c r="C4381" s="934" t="s">
        <v>14964</v>
      </c>
      <c r="D4381" s="11" t="s">
        <v>6</v>
      </c>
      <c r="E4381" s="204" t="s">
        <v>7498</v>
      </c>
      <c r="F4381" s="934" t="s">
        <v>4980</v>
      </c>
      <c r="G4381" s="204" t="s">
        <v>14965</v>
      </c>
      <c r="H4381" s="204" t="s">
        <v>14966</v>
      </c>
      <c r="I4381" s="204" t="s">
        <v>281</v>
      </c>
      <c r="J4381" s="204" t="s">
        <v>14967</v>
      </c>
      <c r="K4381" s="204" t="s">
        <v>14968</v>
      </c>
      <c r="L4381" s="204"/>
      <c r="M4381" s="204">
        <v>100</v>
      </c>
      <c r="N4381" s="204">
        <v>100</v>
      </c>
      <c r="O4381" s="204">
        <v>100</v>
      </c>
      <c r="P4381" s="204">
        <v>0</v>
      </c>
      <c r="Q4381" s="572">
        <v>100</v>
      </c>
      <c r="R4381" s="1209">
        <v>9.91</v>
      </c>
      <c r="S4381" s="1209">
        <v>991</v>
      </c>
      <c r="T4381" s="204" t="s">
        <v>14797</v>
      </c>
      <c r="U4381" s="1901" t="s">
        <v>14797</v>
      </c>
      <c r="V4381" s="572" t="s">
        <v>14798</v>
      </c>
      <c r="W4381" s="681" t="s">
        <v>14969</v>
      </c>
      <c r="X4381" s="18"/>
      <c r="Y4381" s="4"/>
      <c r="Z4381" s="4"/>
    </row>
    <row r="4382" spans="1:26" ht="14.1" hidden="1">
      <c r="A4382" s="20">
        <v>4389</v>
      </c>
      <c r="B4382" s="1063">
        <v>44159</v>
      </c>
      <c r="C4382" s="934" t="s">
        <v>14970</v>
      </c>
      <c r="D4382" s="11" t="s">
        <v>6</v>
      </c>
      <c r="E4382" s="204" t="s">
        <v>683</v>
      </c>
      <c r="F4382" s="934" t="s">
        <v>9454</v>
      </c>
      <c r="G4382" s="204" t="s">
        <v>14971</v>
      </c>
      <c r="H4382" s="204" t="s">
        <v>84</v>
      </c>
      <c r="I4382" s="204" t="s">
        <v>84</v>
      </c>
      <c r="J4382" s="204">
        <v>56388508</v>
      </c>
      <c r="K4382" s="204"/>
      <c r="L4382" s="204"/>
      <c r="M4382" s="204">
        <v>1</v>
      </c>
      <c r="N4382" s="204">
        <v>1</v>
      </c>
      <c r="O4382" s="204">
        <v>5</v>
      </c>
      <c r="P4382" s="204"/>
      <c r="Q4382" s="572">
        <v>4</v>
      </c>
      <c r="R4382" s="1209">
        <v>999</v>
      </c>
      <c r="S4382" s="1209">
        <v>4995</v>
      </c>
      <c r="T4382" s="204" t="s">
        <v>14520</v>
      </c>
      <c r="U4382" s="1901"/>
      <c r="V4382" s="572" t="s">
        <v>150</v>
      </c>
      <c r="W4382" s="804" t="s">
        <v>14972</v>
      </c>
      <c r="X4382" s="18"/>
      <c r="Y4382" s="4"/>
      <c r="Z4382" s="4"/>
    </row>
    <row r="4383" spans="1:26" ht="14.1" hidden="1">
      <c r="A4383" s="20">
        <v>4390</v>
      </c>
      <c r="B4383" s="1063">
        <v>44160</v>
      </c>
      <c r="C4383" s="934" t="s">
        <v>14970</v>
      </c>
      <c r="D4383" s="11" t="s">
        <v>6</v>
      </c>
      <c r="E4383" s="204" t="s">
        <v>683</v>
      </c>
      <c r="F4383" s="934" t="s">
        <v>9454</v>
      </c>
      <c r="G4383" s="204" t="s">
        <v>14973</v>
      </c>
      <c r="H4383" s="204" t="s">
        <v>84</v>
      </c>
      <c r="I4383" s="204" t="s">
        <v>84</v>
      </c>
      <c r="J4383" s="204">
        <v>56388544</v>
      </c>
      <c r="K4383" s="204"/>
      <c r="L4383" s="204"/>
      <c r="M4383" s="204">
        <v>1</v>
      </c>
      <c r="N4383" s="204">
        <v>1</v>
      </c>
      <c r="O4383" s="204">
        <v>5</v>
      </c>
      <c r="P4383" s="204"/>
      <c r="Q4383" s="572">
        <v>4</v>
      </c>
      <c r="R4383" s="1209">
        <v>1990</v>
      </c>
      <c r="S4383" s="1209">
        <v>9950</v>
      </c>
      <c r="T4383" s="204" t="s">
        <v>14520</v>
      </c>
      <c r="U4383" s="1901"/>
      <c r="V4383" s="572" t="s">
        <v>150</v>
      </c>
      <c r="W4383" s="804" t="s">
        <v>14972</v>
      </c>
      <c r="X4383" s="18"/>
      <c r="Y4383" s="4"/>
      <c r="Z4383" s="4"/>
    </row>
    <row r="4384" spans="1:26" ht="14.1" hidden="1">
      <c r="A4384" s="20">
        <v>4391</v>
      </c>
      <c r="B4384" s="1063">
        <v>44161</v>
      </c>
      <c r="C4384" s="934" t="s">
        <v>14974</v>
      </c>
      <c r="D4384" s="11" t="s">
        <v>6</v>
      </c>
      <c r="E4384" s="204" t="s">
        <v>683</v>
      </c>
      <c r="F4384" s="934" t="s">
        <v>9454</v>
      </c>
      <c r="G4384" s="204" t="s">
        <v>14975</v>
      </c>
      <c r="H4384" s="204" t="s">
        <v>9456</v>
      </c>
      <c r="I4384" s="204" t="s">
        <v>84</v>
      </c>
      <c r="J4384" s="204">
        <v>21006292</v>
      </c>
      <c r="K4384" s="204"/>
      <c r="L4384" s="204"/>
      <c r="M4384" s="204">
        <v>1</v>
      </c>
      <c r="N4384" s="204">
        <v>1</v>
      </c>
      <c r="O4384" s="204">
        <v>2</v>
      </c>
      <c r="P4384" s="204"/>
      <c r="Q4384" s="572">
        <v>1</v>
      </c>
      <c r="R4384" s="1209">
        <v>4390</v>
      </c>
      <c r="S4384" s="1209">
        <v>8780</v>
      </c>
      <c r="T4384" s="204" t="s">
        <v>14520</v>
      </c>
      <c r="U4384" s="1901"/>
      <c r="V4384" s="572" t="s">
        <v>150</v>
      </c>
      <c r="W4384" s="804" t="s">
        <v>14739</v>
      </c>
      <c r="X4384" s="18"/>
      <c r="Y4384" s="4"/>
      <c r="Z4384" s="4"/>
    </row>
    <row r="4385" spans="1:26" ht="14.1" hidden="1">
      <c r="A4385" s="20">
        <v>4392</v>
      </c>
      <c r="B4385" s="1063">
        <v>44162</v>
      </c>
      <c r="C4385" s="934" t="s">
        <v>14976</v>
      </c>
      <c r="D4385" s="11" t="s">
        <v>6</v>
      </c>
      <c r="E4385" s="204" t="s">
        <v>683</v>
      </c>
      <c r="F4385" s="934" t="s">
        <v>9454</v>
      </c>
      <c r="G4385" s="204" t="s">
        <v>14977</v>
      </c>
      <c r="H4385" s="204" t="s">
        <v>84</v>
      </c>
      <c r="I4385" s="204" t="s">
        <v>84</v>
      </c>
      <c r="J4385" s="204">
        <v>19316745</v>
      </c>
      <c r="K4385" s="204"/>
      <c r="L4385" s="204"/>
      <c r="M4385" s="204">
        <v>1</v>
      </c>
      <c r="N4385" s="204">
        <v>1</v>
      </c>
      <c r="O4385" s="204">
        <v>5</v>
      </c>
      <c r="P4385" s="204"/>
      <c r="Q4385" s="572">
        <v>4</v>
      </c>
      <c r="R4385" s="1209">
        <v>219</v>
      </c>
      <c r="S4385" s="1209">
        <v>1095</v>
      </c>
      <c r="T4385" s="204" t="s">
        <v>14520</v>
      </c>
      <c r="U4385" s="1901"/>
      <c r="V4385" s="572" t="s">
        <v>150</v>
      </c>
      <c r="W4385" s="804" t="s">
        <v>14978</v>
      </c>
      <c r="X4385" s="18"/>
      <c r="Y4385" s="4"/>
      <c r="Z4385" s="4"/>
    </row>
    <row r="4386" spans="1:26" ht="14.1" hidden="1">
      <c r="A4386" s="20">
        <v>4393</v>
      </c>
      <c r="B4386" s="1063">
        <v>44163</v>
      </c>
      <c r="C4386" s="934" t="s">
        <v>14979</v>
      </c>
      <c r="D4386" s="11" t="s">
        <v>6</v>
      </c>
      <c r="E4386" s="204" t="s">
        <v>683</v>
      </c>
      <c r="F4386" s="934" t="s">
        <v>73</v>
      </c>
      <c r="G4386" s="204" t="s">
        <v>14980</v>
      </c>
      <c r="H4386" s="204" t="s">
        <v>366</v>
      </c>
      <c r="I4386" s="204" t="s">
        <v>366</v>
      </c>
      <c r="J4386" s="204" t="s">
        <v>14981</v>
      </c>
      <c r="K4386" s="204" t="s">
        <v>14981</v>
      </c>
      <c r="L4386" s="204"/>
      <c r="M4386" s="204">
        <v>1</v>
      </c>
      <c r="N4386" s="204">
        <v>1</v>
      </c>
      <c r="O4386" s="204">
        <v>3</v>
      </c>
      <c r="P4386" s="204">
        <v>0</v>
      </c>
      <c r="Q4386" s="572">
        <v>3</v>
      </c>
      <c r="R4386" s="1209">
        <v>462</v>
      </c>
      <c r="S4386" s="1209">
        <f t="shared" ref="S4386:S4392" si="254">R4386*O4386</f>
        <v>1386</v>
      </c>
      <c r="T4386" s="204" t="s">
        <v>4220</v>
      </c>
      <c r="U4386" s="1901" t="s">
        <v>1</v>
      </c>
      <c r="V4386" s="572" t="s">
        <v>689</v>
      </c>
      <c r="W4386" s="681" t="s">
        <v>14982</v>
      </c>
      <c r="X4386" s="18"/>
      <c r="Y4386" s="4"/>
      <c r="Z4386" s="4"/>
    </row>
    <row r="4387" spans="1:26" ht="14.1" hidden="1">
      <c r="A4387" s="20">
        <v>4394</v>
      </c>
      <c r="B4387" s="1063">
        <v>44164</v>
      </c>
      <c r="C4387" s="934" t="s">
        <v>14983</v>
      </c>
      <c r="D4387" s="11" t="s">
        <v>6</v>
      </c>
      <c r="E4387" s="204" t="s">
        <v>683</v>
      </c>
      <c r="F4387" s="934" t="s">
        <v>10005</v>
      </c>
      <c r="G4387" s="204" t="s">
        <v>14984</v>
      </c>
      <c r="H4387" s="204" t="s">
        <v>14985</v>
      </c>
      <c r="I4387" s="204" t="s">
        <v>366</v>
      </c>
      <c r="J4387" s="204" t="s">
        <v>14986</v>
      </c>
      <c r="K4387" s="204" t="s">
        <v>1</v>
      </c>
      <c r="L4387" s="204" t="s">
        <v>14987</v>
      </c>
      <c r="M4387" s="204">
        <v>1</v>
      </c>
      <c r="N4387" s="204">
        <v>1</v>
      </c>
      <c r="O4387" s="204">
        <v>1</v>
      </c>
      <c r="P4387" s="204">
        <v>0.1</v>
      </c>
      <c r="Q4387" s="572">
        <v>0.2</v>
      </c>
      <c r="R4387" s="1209">
        <v>22877</v>
      </c>
      <c r="S4387" s="1209">
        <f t="shared" si="254"/>
        <v>22877</v>
      </c>
      <c r="T4387" s="204" t="s">
        <v>14509</v>
      </c>
      <c r="U4387" s="1901" t="s">
        <v>4220</v>
      </c>
      <c r="V4387" s="572" t="s">
        <v>689</v>
      </c>
      <c r="W4387" s="681" t="s">
        <v>14988</v>
      </c>
      <c r="X4387" s="18"/>
      <c r="Y4387" s="4"/>
      <c r="Z4387" s="4"/>
    </row>
    <row r="4388" spans="1:26" ht="14.1" hidden="1">
      <c r="A4388" s="20">
        <v>4395</v>
      </c>
      <c r="B4388" s="1063">
        <v>44165</v>
      </c>
      <c r="C4388" s="934" t="s">
        <v>14983</v>
      </c>
      <c r="D4388" s="11" t="s">
        <v>6</v>
      </c>
      <c r="E4388" s="204" t="s">
        <v>683</v>
      </c>
      <c r="F4388" s="934" t="s">
        <v>10005</v>
      </c>
      <c r="G4388" s="204" t="s">
        <v>14989</v>
      </c>
      <c r="H4388" s="204" t="s">
        <v>14985</v>
      </c>
      <c r="I4388" s="204" t="s">
        <v>366</v>
      </c>
      <c r="J4388" s="204" t="s">
        <v>14990</v>
      </c>
      <c r="K4388" s="204" t="s">
        <v>1</v>
      </c>
      <c r="L4388" s="204" t="s">
        <v>14987</v>
      </c>
      <c r="M4388" s="204">
        <v>1</v>
      </c>
      <c r="N4388" s="204">
        <v>1</v>
      </c>
      <c r="O4388" s="204">
        <v>1</v>
      </c>
      <c r="P4388" s="204">
        <v>0.1</v>
      </c>
      <c r="Q4388" s="572">
        <v>0.2</v>
      </c>
      <c r="R4388" s="1209">
        <v>22877</v>
      </c>
      <c r="S4388" s="1209">
        <f t="shared" si="254"/>
        <v>22877</v>
      </c>
      <c r="T4388" s="204" t="s">
        <v>14509</v>
      </c>
      <c r="U4388" s="1901" t="s">
        <v>4220</v>
      </c>
      <c r="V4388" s="572" t="s">
        <v>689</v>
      </c>
      <c r="W4388" s="681" t="s">
        <v>14991</v>
      </c>
      <c r="X4388" s="18"/>
      <c r="Y4388" s="4"/>
      <c r="Z4388" s="4"/>
    </row>
    <row r="4389" spans="1:26" ht="14.1" hidden="1">
      <c r="A4389" s="20">
        <v>4396</v>
      </c>
      <c r="B4389" s="1063">
        <v>44166</v>
      </c>
      <c r="C4389" s="934" t="s">
        <v>14992</v>
      </c>
      <c r="D4389" s="11" t="s">
        <v>6</v>
      </c>
      <c r="E4389" s="204" t="s">
        <v>683</v>
      </c>
      <c r="F4389" s="934" t="s">
        <v>10005</v>
      </c>
      <c r="G4389" s="204" t="s">
        <v>14993</v>
      </c>
      <c r="H4389" s="204" t="s">
        <v>1928</v>
      </c>
      <c r="I4389" s="204" t="s">
        <v>13153</v>
      </c>
      <c r="J4389" s="204" t="s">
        <v>14994</v>
      </c>
      <c r="K4389" s="204" t="s">
        <v>14994</v>
      </c>
      <c r="L4389" s="204" t="s">
        <v>149</v>
      </c>
      <c r="M4389" s="204">
        <v>4</v>
      </c>
      <c r="N4389" s="204">
        <v>5</v>
      </c>
      <c r="O4389" s="204">
        <v>5</v>
      </c>
      <c r="P4389" s="204">
        <v>2</v>
      </c>
      <c r="Q4389" s="572">
        <v>2</v>
      </c>
      <c r="R4389" s="1209">
        <v>737</v>
      </c>
      <c r="S4389" s="1209">
        <f t="shared" si="254"/>
        <v>3685</v>
      </c>
      <c r="T4389" s="204" t="s">
        <v>14509</v>
      </c>
      <c r="U4389" s="1901" t="s">
        <v>4220</v>
      </c>
      <c r="V4389" s="572" t="s">
        <v>689</v>
      </c>
      <c r="W4389" s="681" t="s">
        <v>14995</v>
      </c>
      <c r="X4389" s="18"/>
      <c r="Y4389" s="4"/>
      <c r="Z4389" s="4"/>
    </row>
    <row r="4390" spans="1:26" ht="14.1" hidden="1">
      <c r="A4390" s="20">
        <v>4397</v>
      </c>
      <c r="B4390" s="1063">
        <v>44167</v>
      </c>
      <c r="C4390" s="934" t="s">
        <v>14996</v>
      </c>
      <c r="D4390" s="11" t="s">
        <v>6</v>
      </c>
      <c r="E4390" s="204" t="s">
        <v>683</v>
      </c>
      <c r="F4390" s="934" t="s">
        <v>10005</v>
      </c>
      <c r="G4390" s="204" t="s">
        <v>14997</v>
      </c>
      <c r="H4390" s="204" t="s">
        <v>1928</v>
      </c>
      <c r="I4390" s="204" t="s">
        <v>13153</v>
      </c>
      <c r="J4390" s="204" t="s">
        <v>14998</v>
      </c>
      <c r="K4390" s="204" t="s">
        <v>14998</v>
      </c>
      <c r="L4390" s="204" t="s">
        <v>149</v>
      </c>
      <c r="M4390" s="204">
        <v>3</v>
      </c>
      <c r="N4390" s="204">
        <v>1</v>
      </c>
      <c r="O4390" s="204">
        <v>3</v>
      </c>
      <c r="P4390" s="204">
        <v>0</v>
      </c>
      <c r="Q4390" s="572">
        <v>0</v>
      </c>
      <c r="R4390" s="1209">
        <v>438</v>
      </c>
      <c r="S4390" s="1209">
        <f t="shared" si="254"/>
        <v>1314</v>
      </c>
      <c r="T4390" s="204" t="s">
        <v>14999</v>
      </c>
      <c r="U4390" s="1901" t="s">
        <v>4220</v>
      </c>
      <c r="V4390" s="572" t="s">
        <v>689</v>
      </c>
      <c r="W4390" s="681" t="s">
        <v>15000</v>
      </c>
      <c r="X4390" s="18"/>
      <c r="Y4390" s="4"/>
      <c r="Z4390" s="4"/>
    </row>
    <row r="4391" spans="1:26" ht="14.1" hidden="1">
      <c r="A4391" s="20">
        <v>4398</v>
      </c>
      <c r="B4391" s="1063">
        <v>44168</v>
      </c>
      <c r="C4391" s="934" t="s">
        <v>15001</v>
      </c>
      <c r="D4391" s="11" t="s">
        <v>6</v>
      </c>
      <c r="E4391" s="204" t="s">
        <v>683</v>
      </c>
      <c r="F4391" s="934" t="s">
        <v>10005</v>
      </c>
      <c r="G4391" s="204" t="s">
        <v>15002</v>
      </c>
      <c r="H4391" s="204" t="s">
        <v>1928</v>
      </c>
      <c r="I4391" s="204" t="s">
        <v>13153</v>
      </c>
      <c r="J4391" s="204" t="s">
        <v>15003</v>
      </c>
      <c r="K4391" s="204" t="s">
        <v>15003</v>
      </c>
      <c r="L4391" s="204" t="s">
        <v>149</v>
      </c>
      <c r="M4391" s="204">
        <v>3</v>
      </c>
      <c r="N4391" s="204">
        <v>1</v>
      </c>
      <c r="O4391" s="204">
        <v>3</v>
      </c>
      <c r="P4391" s="204">
        <v>0</v>
      </c>
      <c r="Q4391" s="572">
        <v>0</v>
      </c>
      <c r="R4391" s="1209">
        <v>448</v>
      </c>
      <c r="S4391" s="1209">
        <f t="shared" si="254"/>
        <v>1344</v>
      </c>
      <c r="T4391" s="204" t="s">
        <v>14999</v>
      </c>
      <c r="U4391" s="1901" t="s">
        <v>4220</v>
      </c>
      <c r="V4391" s="572" t="s">
        <v>689</v>
      </c>
      <c r="W4391" s="681" t="s">
        <v>15004</v>
      </c>
      <c r="X4391" s="18"/>
      <c r="Y4391" s="4"/>
      <c r="Z4391" s="4"/>
    </row>
    <row r="4392" spans="1:26" ht="14.1" hidden="1">
      <c r="A4392" s="20">
        <v>4399</v>
      </c>
      <c r="B4392" s="1063">
        <v>44169</v>
      </c>
      <c r="C4392" s="934" t="s">
        <v>15005</v>
      </c>
      <c r="D4392" s="11" t="s">
        <v>6</v>
      </c>
      <c r="E4392" s="204" t="s">
        <v>683</v>
      </c>
      <c r="F4392" s="934" t="s">
        <v>10005</v>
      </c>
      <c r="G4392" s="204" t="s">
        <v>15006</v>
      </c>
      <c r="H4392" s="204" t="s">
        <v>15007</v>
      </c>
      <c r="I4392" s="204" t="s">
        <v>13153</v>
      </c>
      <c r="J4392" s="204" t="s">
        <v>15008</v>
      </c>
      <c r="K4392" s="204" t="s">
        <v>15009</v>
      </c>
      <c r="L4392" s="204" t="s">
        <v>149</v>
      </c>
      <c r="M4392" s="204">
        <v>3</v>
      </c>
      <c r="N4392" s="204">
        <v>1</v>
      </c>
      <c r="O4392" s="204">
        <v>3</v>
      </c>
      <c r="P4392" s="204">
        <v>2</v>
      </c>
      <c r="Q4392" s="572">
        <v>2</v>
      </c>
      <c r="R4392" s="1209">
        <v>475</v>
      </c>
      <c r="S4392" s="1209">
        <f t="shared" si="254"/>
        <v>1425</v>
      </c>
      <c r="T4392" s="204" t="s">
        <v>14999</v>
      </c>
      <c r="U4392" s="1901" t="s">
        <v>4220</v>
      </c>
      <c r="V4392" s="572" t="s">
        <v>689</v>
      </c>
      <c r="W4392" s="681" t="s">
        <v>15010</v>
      </c>
      <c r="X4392" s="18"/>
      <c r="Y4392" s="4"/>
      <c r="Z4392" s="4"/>
    </row>
    <row r="4393" spans="1:26" ht="14.1" hidden="1">
      <c r="A4393" s="20">
        <v>4400</v>
      </c>
      <c r="B4393" s="1063">
        <v>44170</v>
      </c>
      <c r="C4393" s="934" t="s">
        <v>15011</v>
      </c>
      <c r="D4393" s="11" t="s">
        <v>6</v>
      </c>
      <c r="E4393" s="204" t="s">
        <v>15012</v>
      </c>
      <c r="F4393" s="934" t="s">
        <v>11434</v>
      </c>
      <c r="G4393" s="204" t="s">
        <v>15013</v>
      </c>
      <c r="H4393" s="204" t="s">
        <v>12922</v>
      </c>
      <c r="I4393" s="204" t="s">
        <v>1063</v>
      </c>
      <c r="J4393" s="204" t="s">
        <v>6256</v>
      </c>
      <c r="K4393" s="204" t="s">
        <v>15014</v>
      </c>
      <c r="L4393" s="683"/>
      <c r="M4393" s="204">
        <v>1</v>
      </c>
      <c r="N4393" s="204">
        <v>1</v>
      </c>
      <c r="O4393" s="204">
        <v>2</v>
      </c>
      <c r="P4393" s="204"/>
      <c r="Q4393" s="572"/>
      <c r="R4393" s="1209">
        <v>330</v>
      </c>
      <c r="S4393" s="1209">
        <v>660</v>
      </c>
      <c r="T4393" s="204" t="s">
        <v>3961</v>
      </c>
      <c r="U4393" s="1901" t="s">
        <v>484</v>
      </c>
      <c r="V4393" s="572" t="s">
        <v>352</v>
      </c>
      <c r="W4393" s="681" t="s">
        <v>15015</v>
      </c>
      <c r="X4393" s="18"/>
      <c r="Y4393" s="4"/>
      <c r="Z4393" s="4"/>
    </row>
    <row r="4394" spans="1:26" ht="14.1" hidden="1">
      <c r="A4394" s="20">
        <v>4401</v>
      </c>
      <c r="B4394" s="1063">
        <v>44171</v>
      </c>
      <c r="C4394" s="934" t="s">
        <v>15016</v>
      </c>
      <c r="D4394" s="11" t="s">
        <v>6</v>
      </c>
      <c r="E4394" s="204" t="s">
        <v>15012</v>
      </c>
      <c r="F4394" s="934" t="s">
        <v>11434</v>
      </c>
      <c r="G4394" s="204" t="s">
        <v>15013</v>
      </c>
      <c r="H4394" s="204" t="s">
        <v>12922</v>
      </c>
      <c r="I4394" s="204" t="s">
        <v>1063</v>
      </c>
      <c r="J4394" s="204" t="s">
        <v>6268</v>
      </c>
      <c r="K4394" s="204" t="s">
        <v>6269</v>
      </c>
      <c r="L4394" s="683"/>
      <c r="M4394" s="204">
        <v>1</v>
      </c>
      <c r="N4394" s="204">
        <v>1</v>
      </c>
      <c r="O4394" s="204">
        <v>2</v>
      </c>
      <c r="P4394" s="204"/>
      <c r="Q4394" s="572"/>
      <c r="R4394" s="1209">
        <v>330</v>
      </c>
      <c r="S4394" s="1209">
        <v>660</v>
      </c>
      <c r="T4394" s="204" t="s">
        <v>3961</v>
      </c>
      <c r="U4394" s="1901" t="s">
        <v>484</v>
      </c>
      <c r="V4394" s="572" t="s">
        <v>352</v>
      </c>
      <c r="W4394" s="681" t="s">
        <v>15017</v>
      </c>
      <c r="X4394" s="18"/>
      <c r="Y4394" s="4"/>
      <c r="Z4394" s="4"/>
    </row>
    <row r="4395" spans="1:26" ht="14.1" hidden="1">
      <c r="A4395" s="20">
        <v>4402</v>
      </c>
      <c r="B4395" s="1063">
        <v>44172</v>
      </c>
      <c r="C4395" s="934" t="s">
        <v>15018</v>
      </c>
      <c r="D4395" s="11" t="s">
        <v>6</v>
      </c>
      <c r="E4395" s="204" t="s">
        <v>15012</v>
      </c>
      <c r="F4395" s="934" t="s">
        <v>11434</v>
      </c>
      <c r="G4395" s="204" t="s">
        <v>15013</v>
      </c>
      <c r="H4395" s="204" t="s">
        <v>12922</v>
      </c>
      <c r="I4395" s="204" t="s">
        <v>1063</v>
      </c>
      <c r="J4395" s="204" t="s">
        <v>15019</v>
      </c>
      <c r="K4395" s="204" t="s">
        <v>15020</v>
      </c>
      <c r="L4395" s="204"/>
      <c r="M4395" s="204">
        <v>1</v>
      </c>
      <c r="N4395" s="204">
        <v>1</v>
      </c>
      <c r="O4395" s="204">
        <v>2</v>
      </c>
      <c r="P4395" s="204"/>
      <c r="Q4395" s="572"/>
      <c r="R4395" s="1209">
        <v>330</v>
      </c>
      <c r="S4395" s="1209">
        <v>660</v>
      </c>
      <c r="T4395" s="204" t="s">
        <v>3961</v>
      </c>
      <c r="U4395" s="1901" t="s">
        <v>484</v>
      </c>
      <c r="V4395" s="572" t="s">
        <v>352</v>
      </c>
      <c r="W4395" s="681" t="s">
        <v>15021</v>
      </c>
      <c r="X4395" s="18"/>
      <c r="Y4395" s="4"/>
      <c r="Z4395" s="4"/>
    </row>
    <row r="4396" spans="1:26" ht="14.1" hidden="1">
      <c r="A4396" s="20">
        <v>4403</v>
      </c>
      <c r="B4396" s="1063">
        <v>44173</v>
      </c>
      <c r="C4396" s="934" t="s">
        <v>15022</v>
      </c>
      <c r="D4396" s="11" t="s">
        <v>6</v>
      </c>
      <c r="E4396" s="204" t="s">
        <v>15012</v>
      </c>
      <c r="F4396" s="934" t="s">
        <v>11434</v>
      </c>
      <c r="G4396" s="204"/>
      <c r="H4396" s="204" t="s">
        <v>15023</v>
      </c>
      <c r="I4396" s="204" t="s">
        <v>1022</v>
      </c>
      <c r="J4396" s="204" t="s">
        <v>15024</v>
      </c>
      <c r="K4396" s="204"/>
      <c r="L4396" s="204"/>
      <c r="M4396" s="204">
        <v>1</v>
      </c>
      <c r="N4396" s="204">
        <v>1</v>
      </c>
      <c r="O4396" s="204">
        <v>1</v>
      </c>
      <c r="P4396" s="204">
        <v>0</v>
      </c>
      <c r="Q4396" s="572">
        <v>1</v>
      </c>
      <c r="R4396" s="1209">
        <v>3280</v>
      </c>
      <c r="S4396" s="1209">
        <v>3280</v>
      </c>
      <c r="T4396" s="204" t="s">
        <v>3961</v>
      </c>
      <c r="U4396" s="1901" t="s">
        <v>484</v>
      </c>
      <c r="V4396" s="572" t="s">
        <v>352</v>
      </c>
      <c r="W4396" s="681" t="s">
        <v>15025</v>
      </c>
      <c r="X4396" s="18"/>
      <c r="Y4396" s="4"/>
      <c r="Z4396" s="4"/>
    </row>
    <row r="4397" spans="1:26" ht="14.1" hidden="1">
      <c r="A4397" s="20">
        <v>4404</v>
      </c>
      <c r="B4397" s="1063">
        <v>44174</v>
      </c>
      <c r="C4397" s="934" t="s">
        <v>15026</v>
      </c>
      <c r="D4397" s="11" t="s">
        <v>6</v>
      </c>
      <c r="E4397" s="204" t="s">
        <v>15012</v>
      </c>
      <c r="F4397" s="934" t="s">
        <v>11434</v>
      </c>
      <c r="G4397" s="204" t="s">
        <v>15027</v>
      </c>
      <c r="H4397" s="204" t="s">
        <v>5690</v>
      </c>
      <c r="I4397" s="204" t="s">
        <v>5690</v>
      </c>
      <c r="J4397" s="204">
        <v>19821866</v>
      </c>
      <c r="K4397" s="204">
        <v>19821866</v>
      </c>
      <c r="L4397" s="204"/>
      <c r="M4397" s="204">
        <v>1</v>
      </c>
      <c r="N4397" s="204">
        <v>1</v>
      </c>
      <c r="O4397" s="204">
        <v>1</v>
      </c>
      <c r="P4397" s="204">
        <v>0</v>
      </c>
      <c r="Q4397" s="572">
        <v>1</v>
      </c>
      <c r="R4397" s="1209">
        <v>1090</v>
      </c>
      <c r="S4397" s="1209">
        <v>1090</v>
      </c>
      <c r="T4397" s="204" t="s">
        <v>3961</v>
      </c>
      <c r="U4397" s="1901" t="s">
        <v>484</v>
      </c>
      <c r="V4397" s="572" t="s">
        <v>352</v>
      </c>
      <c r="W4397" s="681" t="s">
        <v>15028</v>
      </c>
      <c r="X4397" s="18"/>
      <c r="Y4397" s="4"/>
      <c r="Z4397" s="4"/>
    </row>
    <row r="4398" spans="1:26" ht="14.1" hidden="1">
      <c r="A4398" s="20">
        <v>4405</v>
      </c>
      <c r="B4398" s="1063">
        <v>44175</v>
      </c>
      <c r="C4398" s="934" t="s">
        <v>15029</v>
      </c>
      <c r="D4398" s="11" t="s">
        <v>6</v>
      </c>
      <c r="E4398" s="204" t="s">
        <v>15012</v>
      </c>
      <c r="F4398" s="934" t="s">
        <v>11434</v>
      </c>
      <c r="G4398" s="204" t="s">
        <v>15030</v>
      </c>
      <c r="H4398" s="204" t="s">
        <v>6970</v>
      </c>
      <c r="I4398" s="204" t="s">
        <v>5690</v>
      </c>
      <c r="J4398" s="204">
        <v>8404855</v>
      </c>
      <c r="K4398" s="204" t="s">
        <v>15031</v>
      </c>
      <c r="L4398" s="204"/>
      <c r="M4398" s="204">
        <v>1</v>
      </c>
      <c r="N4398" s="204">
        <v>1</v>
      </c>
      <c r="O4398" s="204">
        <v>1</v>
      </c>
      <c r="P4398" s="204">
        <v>1</v>
      </c>
      <c r="Q4398" s="572">
        <v>2</v>
      </c>
      <c r="R4398" s="1209">
        <v>989</v>
      </c>
      <c r="S4398" s="1209">
        <v>989</v>
      </c>
      <c r="T4398" s="204" t="s">
        <v>3961</v>
      </c>
      <c r="U4398" s="1901" t="s">
        <v>484</v>
      </c>
      <c r="V4398" s="572" t="s">
        <v>352</v>
      </c>
      <c r="W4398" s="681" t="s">
        <v>15032</v>
      </c>
      <c r="X4398" s="18"/>
      <c r="Y4398" s="4"/>
      <c r="Z4398" s="4"/>
    </row>
    <row r="4399" spans="1:26" ht="14.1" hidden="1">
      <c r="A4399" s="20">
        <v>4406</v>
      </c>
      <c r="B4399" s="1063">
        <v>44176</v>
      </c>
      <c r="C4399" s="934" t="s">
        <v>15033</v>
      </c>
      <c r="D4399" s="11" t="s">
        <v>6</v>
      </c>
      <c r="E4399" s="204" t="s">
        <v>15012</v>
      </c>
      <c r="F4399" s="934" t="s">
        <v>11434</v>
      </c>
      <c r="G4399" s="204" t="s">
        <v>15034</v>
      </c>
      <c r="H4399" s="204" t="s">
        <v>15035</v>
      </c>
      <c r="I4399" s="204" t="s">
        <v>5690</v>
      </c>
      <c r="J4399" s="204">
        <v>36939551</v>
      </c>
      <c r="K4399" s="204" t="s">
        <v>15036</v>
      </c>
      <c r="L4399" s="204"/>
      <c r="M4399" s="204">
        <v>1</v>
      </c>
      <c r="N4399" s="204">
        <v>1</v>
      </c>
      <c r="O4399" s="204">
        <v>1</v>
      </c>
      <c r="P4399" s="204">
        <v>0</v>
      </c>
      <c r="Q4399" s="572">
        <v>1</v>
      </c>
      <c r="R4399" s="1209">
        <v>1254</v>
      </c>
      <c r="S4399" s="1209">
        <v>1254</v>
      </c>
      <c r="T4399" s="204" t="s">
        <v>3961</v>
      </c>
      <c r="U4399" s="1901" t="s">
        <v>484</v>
      </c>
      <c r="V4399" s="572" t="s">
        <v>352</v>
      </c>
      <c r="W4399" s="681" t="s">
        <v>15037</v>
      </c>
      <c r="X4399" s="18"/>
      <c r="Y4399" s="4"/>
      <c r="Z4399" s="4"/>
    </row>
    <row r="4400" spans="1:26" ht="14.1" hidden="1">
      <c r="A4400" s="20">
        <v>4407</v>
      </c>
      <c r="B4400" s="1063">
        <v>44177</v>
      </c>
      <c r="C4400" s="934" t="s">
        <v>15038</v>
      </c>
      <c r="D4400" s="11" t="s">
        <v>6</v>
      </c>
      <c r="E4400" s="204" t="s">
        <v>15012</v>
      </c>
      <c r="F4400" s="934" t="s">
        <v>11434</v>
      </c>
      <c r="G4400" s="204" t="s">
        <v>15039</v>
      </c>
      <c r="H4400" s="204" t="s">
        <v>7210</v>
      </c>
      <c r="I4400" s="204" t="s">
        <v>5690</v>
      </c>
      <c r="J4400" s="204">
        <v>37825925</v>
      </c>
      <c r="K4400" s="204"/>
      <c r="L4400" s="204"/>
      <c r="M4400" s="204">
        <v>1</v>
      </c>
      <c r="N4400" s="204">
        <v>1</v>
      </c>
      <c r="O4400" s="204">
        <v>1</v>
      </c>
      <c r="P4400" s="204">
        <v>0</v>
      </c>
      <c r="Q4400" s="572">
        <v>1</v>
      </c>
      <c r="R4400" s="1209">
        <v>999</v>
      </c>
      <c r="S4400" s="1209">
        <v>999</v>
      </c>
      <c r="T4400" s="204" t="s">
        <v>3961</v>
      </c>
      <c r="U4400" s="1901" t="s">
        <v>484</v>
      </c>
      <c r="V4400" s="572" t="s">
        <v>352</v>
      </c>
      <c r="W4400" s="681" t="s">
        <v>15040</v>
      </c>
      <c r="X4400" s="18"/>
      <c r="Y4400" s="4"/>
      <c r="Z4400" s="4"/>
    </row>
    <row r="4401" spans="1:26" ht="14.1" hidden="1">
      <c r="A4401" s="20">
        <v>4408</v>
      </c>
      <c r="B4401" s="1063">
        <v>44178</v>
      </c>
      <c r="C4401" s="934" t="s">
        <v>15041</v>
      </c>
      <c r="D4401" s="11" t="s">
        <v>6</v>
      </c>
      <c r="E4401" s="204" t="s">
        <v>15012</v>
      </c>
      <c r="F4401" s="934" t="s">
        <v>11434</v>
      </c>
      <c r="G4401" s="204"/>
      <c r="H4401" s="204" t="s">
        <v>15042</v>
      </c>
      <c r="I4401" s="204" t="s">
        <v>5690</v>
      </c>
      <c r="J4401" s="204">
        <v>20917812</v>
      </c>
      <c r="K4401" s="204" t="s">
        <v>15043</v>
      </c>
      <c r="L4401" s="204"/>
      <c r="M4401" s="204">
        <v>1</v>
      </c>
      <c r="N4401" s="204">
        <v>1</v>
      </c>
      <c r="O4401" s="204">
        <v>1</v>
      </c>
      <c r="P4401" s="204">
        <v>2</v>
      </c>
      <c r="Q4401" s="572">
        <v>3</v>
      </c>
      <c r="R4401" s="1209">
        <v>5890</v>
      </c>
      <c r="S4401" s="1209">
        <v>5890</v>
      </c>
      <c r="T4401" s="204" t="s">
        <v>3961</v>
      </c>
      <c r="U4401" s="1901" t="s">
        <v>484</v>
      </c>
      <c r="V4401" s="572" t="s">
        <v>352</v>
      </c>
      <c r="W4401" s="681" t="s">
        <v>15044</v>
      </c>
      <c r="X4401" s="18"/>
      <c r="Y4401" s="4"/>
      <c r="Z4401" s="4"/>
    </row>
    <row r="4402" spans="1:26" ht="14.1" hidden="1">
      <c r="A4402" s="20">
        <v>4409</v>
      </c>
      <c r="B4402" s="1063">
        <v>44179</v>
      </c>
      <c r="C4402" s="934" t="s">
        <v>15045</v>
      </c>
      <c r="D4402" s="11" t="s">
        <v>6</v>
      </c>
      <c r="E4402" s="204" t="s">
        <v>15012</v>
      </c>
      <c r="F4402" s="934" t="s">
        <v>11434</v>
      </c>
      <c r="G4402" s="204" t="s">
        <v>15046</v>
      </c>
      <c r="H4402" s="204" t="s">
        <v>5690</v>
      </c>
      <c r="I4402" s="204" t="s">
        <v>5690</v>
      </c>
      <c r="J4402" s="204">
        <v>53751733</v>
      </c>
      <c r="K4402" s="204">
        <v>53751733</v>
      </c>
      <c r="L4402" s="204"/>
      <c r="M4402" s="204">
        <v>2</v>
      </c>
      <c r="N4402" s="204">
        <v>1</v>
      </c>
      <c r="O4402" s="204">
        <v>2</v>
      </c>
      <c r="P4402" s="204">
        <v>0</v>
      </c>
      <c r="Q4402" s="572">
        <v>2</v>
      </c>
      <c r="R4402" s="1209">
        <v>349</v>
      </c>
      <c r="S4402" s="1209">
        <v>698</v>
      </c>
      <c r="T4402" s="204" t="s">
        <v>3961</v>
      </c>
      <c r="U4402" s="1901" t="s">
        <v>484</v>
      </c>
      <c r="V4402" s="572" t="s">
        <v>352</v>
      </c>
      <c r="W4402" s="681" t="s">
        <v>15047</v>
      </c>
      <c r="X4402" s="18"/>
      <c r="Y4402" s="4"/>
      <c r="Z4402" s="4"/>
    </row>
    <row r="4403" spans="1:26" ht="14.1" hidden="1">
      <c r="A4403" s="20">
        <v>4410</v>
      </c>
      <c r="B4403" s="1063">
        <v>44180</v>
      </c>
      <c r="C4403" s="934" t="s">
        <v>15048</v>
      </c>
      <c r="D4403" s="11" t="s">
        <v>6</v>
      </c>
      <c r="E4403" s="204" t="s">
        <v>15012</v>
      </c>
      <c r="F4403" s="934" t="s">
        <v>11434</v>
      </c>
      <c r="G4403" s="204" t="s">
        <v>15049</v>
      </c>
      <c r="H4403" s="204" t="s">
        <v>5855</v>
      </c>
      <c r="I4403" s="204" t="s">
        <v>5690</v>
      </c>
      <c r="J4403" s="204">
        <v>5697536</v>
      </c>
      <c r="K4403" s="204">
        <v>62015</v>
      </c>
      <c r="L4403" s="204"/>
      <c r="M4403" s="204">
        <v>2</v>
      </c>
      <c r="N4403" s="204">
        <v>1</v>
      </c>
      <c r="O4403" s="204">
        <v>2</v>
      </c>
      <c r="P4403" s="204">
        <v>1</v>
      </c>
      <c r="Q4403" s="572">
        <v>3</v>
      </c>
      <c r="R4403" s="1209">
        <v>149</v>
      </c>
      <c r="S4403" s="1209">
        <v>298</v>
      </c>
      <c r="T4403" s="204" t="s">
        <v>3961</v>
      </c>
      <c r="U4403" s="1901" t="s">
        <v>484</v>
      </c>
      <c r="V4403" s="572" t="s">
        <v>352</v>
      </c>
      <c r="W4403" s="681" t="s">
        <v>15050</v>
      </c>
      <c r="X4403" s="18"/>
      <c r="Y4403" s="4"/>
      <c r="Z4403" s="4"/>
    </row>
    <row r="4404" spans="1:26" ht="14.1" hidden="1">
      <c r="A4404" s="20">
        <v>4411</v>
      </c>
      <c r="B4404" s="1063">
        <v>44181</v>
      </c>
      <c r="C4404" s="934" t="s">
        <v>15051</v>
      </c>
      <c r="D4404" s="11" t="s">
        <v>6</v>
      </c>
      <c r="E4404" s="204" t="s">
        <v>15012</v>
      </c>
      <c r="F4404" s="934" t="s">
        <v>11434</v>
      </c>
      <c r="G4404" s="204" t="s">
        <v>15052</v>
      </c>
      <c r="H4404" s="204" t="s">
        <v>15053</v>
      </c>
      <c r="I4404" s="204" t="s">
        <v>5690</v>
      </c>
      <c r="J4404" s="204">
        <v>6419673</v>
      </c>
      <c r="K4404" s="204" t="s">
        <v>15054</v>
      </c>
      <c r="L4404" s="204"/>
      <c r="M4404" s="204">
        <v>3</v>
      </c>
      <c r="N4404" s="204">
        <v>1</v>
      </c>
      <c r="O4404" s="204">
        <v>2</v>
      </c>
      <c r="P4404" s="204">
        <v>0</v>
      </c>
      <c r="Q4404" s="572">
        <v>2</v>
      </c>
      <c r="R4404" s="1209">
        <v>379</v>
      </c>
      <c r="S4404" s="1209">
        <v>758</v>
      </c>
      <c r="T4404" s="204" t="s">
        <v>3961</v>
      </c>
      <c r="U4404" s="1901" t="s">
        <v>484</v>
      </c>
      <c r="V4404" s="572" t="s">
        <v>352</v>
      </c>
      <c r="W4404" s="681" t="s">
        <v>15055</v>
      </c>
      <c r="X4404" s="18"/>
      <c r="Y4404" s="4"/>
      <c r="Z4404" s="4"/>
    </row>
    <row r="4405" spans="1:26" ht="14.1" hidden="1">
      <c r="A4405" s="20">
        <v>4412</v>
      </c>
      <c r="B4405" s="1063">
        <v>44182</v>
      </c>
      <c r="C4405" s="934" t="s">
        <v>15056</v>
      </c>
      <c r="D4405" s="11" t="s">
        <v>6</v>
      </c>
      <c r="E4405" s="204" t="s">
        <v>15012</v>
      </c>
      <c r="F4405" s="934" t="s">
        <v>11434</v>
      </c>
      <c r="G4405" s="204" t="s">
        <v>15057</v>
      </c>
      <c r="H4405" s="204" t="s">
        <v>5690</v>
      </c>
      <c r="I4405" s="204" t="s">
        <v>5690</v>
      </c>
      <c r="J4405" s="204">
        <v>8071707</v>
      </c>
      <c r="K4405" s="204" t="s">
        <v>15058</v>
      </c>
      <c r="L4405" s="204"/>
      <c r="M4405" s="204">
        <v>3</v>
      </c>
      <c r="N4405" s="204">
        <v>1</v>
      </c>
      <c r="O4405" s="204">
        <v>3</v>
      </c>
      <c r="P4405" s="204">
        <v>0</v>
      </c>
      <c r="Q4405" s="572">
        <v>3</v>
      </c>
      <c r="R4405" s="1209">
        <v>129</v>
      </c>
      <c r="S4405" s="1209">
        <v>387</v>
      </c>
      <c r="T4405" s="204" t="s">
        <v>3961</v>
      </c>
      <c r="U4405" s="1901" t="s">
        <v>484</v>
      </c>
      <c r="V4405" s="572" t="s">
        <v>352</v>
      </c>
      <c r="W4405" s="681" t="s">
        <v>15059</v>
      </c>
      <c r="X4405" s="18"/>
      <c r="Y4405" s="4"/>
      <c r="Z4405" s="4"/>
    </row>
    <row r="4406" spans="1:26" ht="14.1" hidden="1">
      <c r="A4406" s="20">
        <v>4413</v>
      </c>
      <c r="B4406" s="1063">
        <v>44183</v>
      </c>
      <c r="C4406" s="934" t="s">
        <v>15060</v>
      </c>
      <c r="D4406" s="11" t="s">
        <v>6</v>
      </c>
      <c r="E4406" s="204" t="s">
        <v>15012</v>
      </c>
      <c r="F4406" s="934" t="s">
        <v>11434</v>
      </c>
      <c r="G4406" s="204"/>
      <c r="H4406" s="204" t="s">
        <v>5690</v>
      </c>
      <c r="I4406" s="204" t="s">
        <v>5690</v>
      </c>
      <c r="J4406" s="204">
        <v>17067907</v>
      </c>
      <c r="K4406" s="204">
        <v>17067907</v>
      </c>
      <c r="L4406" s="204"/>
      <c r="M4406" s="204">
        <v>2</v>
      </c>
      <c r="N4406" s="204">
        <v>1</v>
      </c>
      <c r="O4406" s="204">
        <v>2</v>
      </c>
      <c r="P4406" s="204">
        <v>0</v>
      </c>
      <c r="Q4406" s="572">
        <v>2</v>
      </c>
      <c r="R4406" s="1209">
        <v>39</v>
      </c>
      <c r="S4406" s="1209">
        <v>78</v>
      </c>
      <c r="T4406" s="204" t="s">
        <v>3961</v>
      </c>
      <c r="U4406" s="1901" t="s">
        <v>484</v>
      </c>
      <c r="V4406" s="572" t="s">
        <v>352</v>
      </c>
      <c r="W4406" s="681" t="s">
        <v>15061</v>
      </c>
      <c r="X4406" s="18"/>
      <c r="Y4406" s="4"/>
      <c r="Z4406" s="4"/>
    </row>
    <row r="4407" spans="1:26" ht="14.1" hidden="1">
      <c r="A4407" s="20">
        <v>4414</v>
      </c>
      <c r="B4407" s="1063">
        <v>44184</v>
      </c>
      <c r="C4407" s="934" t="s">
        <v>15062</v>
      </c>
      <c r="D4407" s="11" t="s">
        <v>6</v>
      </c>
      <c r="E4407" s="204" t="s">
        <v>15012</v>
      </c>
      <c r="F4407" s="934" t="s">
        <v>11434</v>
      </c>
      <c r="G4407" s="204"/>
      <c r="H4407" s="204" t="s">
        <v>5690</v>
      </c>
      <c r="I4407" s="204" t="s">
        <v>5690</v>
      </c>
      <c r="J4407" s="204">
        <v>17067916</v>
      </c>
      <c r="K4407" s="204">
        <v>17067916</v>
      </c>
      <c r="L4407" s="204"/>
      <c r="M4407" s="204">
        <v>2</v>
      </c>
      <c r="N4407" s="204">
        <v>1</v>
      </c>
      <c r="O4407" s="204">
        <v>2</v>
      </c>
      <c r="P4407" s="204">
        <v>0</v>
      </c>
      <c r="Q4407" s="572">
        <v>2</v>
      </c>
      <c r="R4407" s="1209">
        <v>69</v>
      </c>
      <c r="S4407" s="1209">
        <v>138</v>
      </c>
      <c r="T4407" s="204" t="s">
        <v>3961</v>
      </c>
      <c r="U4407" s="1901" t="s">
        <v>484</v>
      </c>
      <c r="V4407" s="572" t="s">
        <v>352</v>
      </c>
      <c r="W4407" s="681" t="s">
        <v>15063</v>
      </c>
      <c r="X4407" s="18"/>
      <c r="Y4407" s="4"/>
      <c r="Z4407" s="4"/>
    </row>
    <row r="4408" spans="1:26" ht="14.1" hidden="1">
      <c r="A4408" s="20">
        <v>4415</v>
      </c>
      <c r="B4408" s="1063">
        <v>44185</v>
      </c>
      <c r="C4408" s="934" t="s">
        <v>15064</v>
      </c>
      <c r="D4408" s="11" t="s">
        <v>6</v>
      </c>
      <c r="E4408" s="204" t="s">
        <v>15012</v>
      </c>
      <c r="F4408" s="934" t="s">
        <v>11434</v>
      </c>
      <c r="G4408" s="204" t="s">
        <v>15065</v>
      </c>
      <c r="H4408" s="204" t="s">
        <v>15066</v>
      </c>
      <c r="I4408" s="204" t="s">
        <v>5690</v>
      </c>
      <c r="J4408" s="204">
        <v>24109033</v>
      </c>
      <c r="K4408" s="204" t="s">
        <v>15067</v>
      </c>
      <c r="L4408" s="204"/>
      <c r="M4408" s="204">
        <v>1</v>
      </c>
      <c r="N4408" s="204">
        <v>1</v>
      </c>
      <c r="O4408" s="204">
        <v>1</v>
      </c>
      <c r="P4408" s="204">
        <v>0</v>
      </c>
      <c r="Q4408" s="572">
        <v>1</v>
      </c>
      <c r="R4408" s="1209">
        <v>699</v>
      </c>
      <c r="S4408" s="1209">
        <v>699</v>
      </c>
      <c r="T4408" s="204" t="s">
        <v>3961</v>
      </c>
      <c r="U4408" s="1901" t="s">
        <v>484</v>
      </c>
      <c r="V4408" s="572" t="s">
        <v>352</v>
      </c>
      <c r="W4408" s="681" t="s">
        <v>15068</v>
      </c>
      <c r="X4408" s="18"/>
      <c r="Y4408" s="4"/>
      <c r="Z4408" s="4"/>
    </row>
    <row r="4409" spans="1:26" ht="14.1" hidden="1">
      <c r="A4409" s="20">
        <v>4416</v>
      </c>
      <c r="B4409" s="1063">
        <v>44186</v>
      </c>
      <c r="C4409" s="934" t="s">
        <v>15069</v>
      </c>
      <c r="D4409" s="11" t="s">
        <v>6</v>
      </c>
      <c r="E4409" s="204" t="s">
        <v>15012</v>
      </c>
      <c r="F4409" s="934" t="s">
        <v>11434</v>
      </c>
      <c r="G4409" s="204"/>
      <c r="H4409" s="204" t="s">
        <v>6242</v>
      </c>
      <c r="I4409" s="204" t="s">
        <v>5690</v>
      </c>
      <c r="J4409" s="204">
        <v>34665565</v>
      </c>
      <c r="K4409" s="204" t="s">
        <v>6244</v>
      </c>
      <c r="L4409" s="204"/>
      <c r="M4409" s="204">
        <v>1</v>
      </c>
      <c r="N4409" s="204">
        <v>1</v>
      </c>
      <c r="O4409" s="204">
        <v>2</v>
      </c>
      <c r="P4409" s="204">
        <v>1</v>
      </c>
      <c r="Q4409" s="572">
        <v>3</v>
      </c>
      <c r="R4409" s="1209">
        <v>699</v>
      </c>
      <c r="S4409" s="1209">
        <v>1398</v>
      </c>
      <c r="T4409" s="204" t="s">
        <v>3961</v>
      </c>
      <c r="U4409" s="1901" t="s">
        <v>484</v>
      </c>
      <c r="V4409" s="572" t="s">
        <v>352</v>
      </c>
      <c r="W4409" s="681" t="s">
        <v>15070</v>
      </c>
      <c r="X4409" s="18"/>
      <c r="Y4409" s="4"/>
      <c r="Z4409" s="4"/>
    </row>
    <row r="4410" spans="1:26" ht="14.1" hidden="1">
      <c r="A4410" s="20">
        <v>4417</v>
      </c>
      <c r="B4410" s="1063">
        <v>44187</v>
      </c>
      <c r="C4410" s="934" t="s">
        <v>15071</v>
      </c>
      <c r="D4410" s="11" t="s">
        <v>6</v>
      </c>
      <c r="E4410" s="204" t="s">
        <v>15012</v>
      </c>
      <c r="F4410" s="934" t="s">
        <v>11434</v>
      </c>
      <c r="G4410" s="204"/>
      <c r="H4410" s="204" t="s">
        <v>5690</v>
      </c>
      <c r="I4410" s="204" t="s">
        <v>5690</v>
      </c>
      <c r="J4410" s="204">
        <v>34845072</v>
      </c>
      <c r="K4410" s="204" t="s">
        <v>15072</v>
      </c>
      <c r="L4410" s="204"/>
      <c r="M4410" s="204">
        <v>5</v>
      </c>
      <c r="N4410" s="204">
        <v>1</v>
      </c>
      <c r="O4410" s="204">
        <v>5</v>
      </c>
      <c r="P4410" s="204"/>
      <c r="Q4410" s="572">
        <v>5</v>
      </c>
      <c r="R4410" s="1209">
        <v>639</v>
      </c>
      <c r="S4410" s="1209">
        <v>3195</v>
      </c>
      <c r="T4410" s="204" t="s">
        <v>3961</v>
      </c>
      <c r="U4410" s="1901" t="s">
        <v>484</v>
      </c>
      <c r="V4410" s="572" t="s">
        <v>352</v>
      </c>
      <c r="W4410" s="681" t="s">
        <v>15073</v>
      </c>
      <c r="X4410" s="18"/>
      <c r="Y4410" s="4"/>
      <c r="Z4410" s="4"/>
    </row>
    <row r="4411" spans="1:26" ht="14.1" hidden="1">
      <c r="A4411" s="20">
        <v>4418</v>
      </c>
      <c r="B4411" s="1063">
        <v>44188</v>
      </c>
      <c r="C4411" s="934" t="s">
        <v>15074</v>
      </c>
      <c r="D4411" s="11" t="s">
        <v>6</v>
      </c>
      <c r="E4411" s="204" t="s">
        <v>15012</v>
      </c>
      <c r="F4411" s="934" t="s">
        <v>11434</v>
      </c>
      <c r="G4411" s="204"/>
      <c r="H4411" s="204" t="s">
        <v>5690</v>
      </c>
      <c r="I4411" s="204" t="s">
        <v>5690</v>
      </c>
      <c r="J4411" s="204">
        <v>34845081</v>
      </c>
      <c r="K4411" s="204" t="s">
        <v>15072</v>
      </c>
      <c r="L4411" s="204"/>
      <c r="M4411" s="204">
        <v>5</v>
      </c>
      <c r="N4411" s="204">
        <v>1</v>
      </c>
      <c r="O4411" s="204">
        <v>5</v>
      </c>
      <c r="P4411" s="204"/>
      <c r="Q4411" s="572">
        <v>5</v>
      </c>
      <c r="R4411" s="1209">
        <v>639</v>
      </c>
      <c r="S4411" s="1209">
        <v>3195</v>
      </c>
      <c r="T4411" s="204" t="s">
        <v>3961</v>
      </c>
      <c r="U4411" s="1901" t="s">
        <v>484</v>
      </c>
      <c r="V4411" s="572" t="s">
        <v>352</v>
      </c>
      <c r="W4411" s="681" t="s">
        <v>15075</v>
      </c>
      <c r="X4411" s="18"/>
      <c r="Y4411" s="4"/>
      <c r="Z4411" s="4"/>
    </row>
    <row r="4412" spans="1:26" ht="14.1" hidden="1">
      <c r="A4412" s="20">
        <v>4419</v>
      </c>
      <c r="B4412" s="1063">
        <v>44189</v>
      </c>
      <c r="C4412" s="934" t="s">
        <v>15076</v>
      </c>
      <c r="D4412" s="11" t="s">
        <v>6</v>
      </c>
      <c r="E4412" s="204" t="s">
        <v>15012</v>
      </c>
      <c r="F4412" s="934" t="s">
        <v>11434</v>
      </c>
      <c r="G4412" s="204" t="s">
        <v>15077</v>
      </c>
      <c r="H4412" s="204" t="s">
        <v>3755</v>
      </c>
      <c r="I4412" s="204" t="s">
        <v>5690</v>
      </c>
      <c r="J4412" s="204">
        <v>34933543</v>
      </c>
      <c r="K4412" s="204" t="s">
        <v>3756</v>
      </c>
      <c r="L4412" s="204"/>
      <c r="M4412" s="204">
        <v>1</v>
      </c>
      <c r="N4412" s="204">
        <v>1</v>
      </c>
      <c r="O4412" s="204">
        <v>1</v>
      </c>
      <c r="P4412" s="204">
        <v>0</v>
      </c>
      <c r="Q4412" s="572">
        <v>1</v>
      </c>
      <c r="R4412" s="1209">
        <v>638</v>
      </c>
      <c r="S4412" s="1209">
        <v>638</v>
      </c>
      <c r="T4412" s="204" t="s">
        <v>3961</v>
      </c>
      <c r="U4412" s="1901" t="s">
        <v>484</v>
      </c>
      <c r="V4412" s="572" t="s">
        <v>352</v>
      </c>
      <c r="W4412" s="681" t="s">
        <v>15078</v>
      </c>
      <c r="X4412" s="18"/>
      <c r="Y4412" s="4"/>
      <c r="Z4412" s="4"/>
    </row>
    <row r="4413" spans="1:26" ht="14.1" hidden="1">
      <c r="A4413" s="20">
        <v>4420</v>
      </c>
      <c r="B4413" s="1063">
        <v>44190</v>
      </c>
      <c r="C4413" s="934" t="s">
        <v>15079</v>
      </c>
      <c r="D4413" s="11" t="s">
        <v>6</v>
      </c>
      <c r="E4413" s="204" t="s">
        <v>15012</v>
      </c>
      <c r="F4413" s="934" t="s">
        <v>11434</v>
      </c>
      <c r="G4413" s="204"/>
      <c r="H4413" s="204" t="s">
        <v>15080</v>
      </c>
      <c r="I4413" s="204" t="s">
        <v>5690</v>
      </c>
      <c r="J4413" s="204">
        <v>75905392</v>
      </c>
      <c r="K4413" s="204" t="s">
        <v>15081</v>
      </c>
      <c r="L4413" s="204"/>
      <c r="M4413" s="204">
        <v>1</v>
      </c>
      <c r="N4413" s="204">
        <v>1</v>
      </c>
      <c r="O4413" s="204">
        <v>1</v>
      </c>
      <c r="P4413" s="204">
        <v>0</v>
      </c>
      <c r="Q4413" s="572">
        <v>1</v>
      </c>
      <c r="R4413" s="1209">
        <v>1490</v>
      </c>
      <c r="S4413" s="1209">
        <v>1490</v>
      </c>
      <c r="T4413" s="204" t="s">
        <v>3961</v>
      </c>
      <c r="U4413" s="1901" t="s">
        <v>484</v>
      </c>
      <c r="V4413" s="572" t="s">
        <v>352</v>
      </c>
      <c r="W4413" s="681" t="s">
        <v>15082</v>
      </c>
      <c r="X4413" s="18"/>
      <c r="Y4413" s="4"/>
      <c r="Z4413" s="4"/>
    </row>
    <row r="4414" spans="1:26" ht="14.1" hidden="1">
      <c r="A4414" s="20">
        <v>4421</v>
      </c>
      <c r="B4414" s="1063">
        <v>44191</v>
      </c>
      <c r="C4414" s="1014" t="s">
        <v>15083</v>
      </c>
      <c r="D4414" s="11" t="s">
        <v>6</v>
      </c>
      <c r="E4414" s="204" t="s">
        <v>15012</v>
      </c>
      <c r="F4414" s="934" t="s">
        <v>11434</v>
      </c>
      <c r="G4414" s="204"/>
      <c r="H4414" s="204" t="s">
        <v>15084</v>
      </c>
      <c r="I4414" s="204" t="s">
        <v>5690</v>
      </c>
      <c r="J4414" s="204">
        <v>20217585</v>
      </c>
      <c r="K4414" s="204" t="s">
        <v>1337</v>
      </c>
      <c r="L4414" s="204"/>
      <c r="M4414" s="204">
        <v>1</v>
      </c>
      <c r="N4414" s="204">
        <v>1</v>
      </c>
      <c r="O4414" s="204">
        <v>1</v>
      </c>
      <c r="P4414" s="204">
        <v>3</v>
      </c>
      <c r="Q4414" s="572">
        <v>4</v>
      </c>
      <c r="R4414" s="1209">
        <v>44900</v>
      </c>
      <c r="S4414" s="1209">
        <v>44900</v>
      </c>
      <c r="T4414" s="204" t="s">
        <v>3961</v>
      </c>
      <c r="U4414" s="1901" t="s">
        <v>484</v>
      </c>
      <c r="V4414" s="572" t="s">
        <v>352</v>
      </c>
      <c r="W4414" s="681" t="s">
        <v>15085</v>
      </c>
      <c r="X4414" s="18"/>
      <c r="Y4414" s="4"/>
      <c r="Z4414" s="4"/>
    </row>
    <row r="4415" spans="1:26" ht="24.75" hidden="1" customHeight="1">
      <c r="A4415" s="20">
        <v>4422</v>
      </c>
      <c r="B4415" s="1063">
        <v>44192</v>
      </c>
      <c r="C4415" s="934" t="s">
        <v>15041</v>
      </c>
      <c r="D4415" s="37" t="s">
        <v>15086</v>
      </c>
      <c r="E4415" s="204"/>
      <c r="F4415" s="934" t="s">
        <v>11434</v>
      </c>
      <c r="G4415" s="204"/>
      <c r="H4415" s="204" t="s">
        <v>15087</v>
      </c>
      <c r="I4415" s="204" t="s">
        <v>1063</v>
      </c>
      <c r="J4415" s="204" t="s">
        <v>15088</v>
      </c>
      <c r="K4415" s="204" t="s">
        <v>15089</v>
      </c>
      <c r="L4415" s="204"/>
      <c r="M4415" s="204">
        <v>1</v>
      </c>
      <c r="N4415" s="204">
        <v>1</v>
      </c>
      <c r="O4415" s="204">
        <v>1</v>
      </c>
      <c r="P4415" s="204">
        <v>4</v>
      </c>
      <c r="Q4415" s="572">
        <v>5</v>
      </c>
      <c r="R4415" s="1209"/>
      <c r="S4415" s="1209"/>
      <c r="T4415" s="204" t="s">
        <v>3961</v>
      </c>
      <c r="U4415" s="1901" t="s">
        <v>484</v>
      </c>
      <c r="V4415" s="572" t="s">
        <v>352</v>
      </c>
      <c r="W4415" s="2145" t="s">
        <v>15085</v>
      </c>
      <c r="X4415" s="18"/>
      <c r="Y4415" s="4"/>
      <c r="Z4415" s="4"/>
    </row>
    <row r="4416" spans="1:26" ht="24.75" hidden="1" customHeight="1">
      <c r="A4416" s="20">
        <v>4423</v>
      </c>
      <c r="B4416" s="1063">
        <v>44193</v>
      </c>
      <c r="C4416" s="934" t="s">
        <v>15083</v>
      </c>
      <c r="D4416" s="37" t="s">
        <v>15086</v>
      </c>
      <c r="E4416" s="204"/>
      <c r="F4416" s="934" t="s">
        <v>11434</v>
      </c>
      <c r="G4416" s="204"/>
      <c r="H4416" s="204"/>
      <c r="I4416" s="204" t="s">
        <v>102</v>
      </c>
      <c r="J4416" s="204"/>
      <c r="K4416" s="204"/>
      <c r="L4416" s="204"/>
      <c r="M4416" s="204"/>
      <c r="N4416" s="204"/>
      <c r="O4416" s="204">
        <v>1</v>
      </c>
      <c r="P4416" s="204"/>
      <c r="Q4416" s="572"/>
      <c r="R4416" s="1209"/>
      <c r="S4416" s="1209"/>
      <c r="T4416" s="204" t="s">
        <v>3961</v>
      </c>
      <c r="U4416" s="1901" t="s">
        <v>484</v>
      </c>
      <c r="V4416" s="572" t="s">
        <v>352</v>
      </c>
      <c r="W4416" s="681" t="s">
        <v>15090</v>
      </c>
      <c r="X4416" s="18"/>
      <c r="Y4416" s="4"/>
      <c r="Z4416" s="4"/>
    </row>
    <row r="4417" spans="1:26" ht="14.1" hidden="1">
      <c r="A4417" s="20">
        <v>4424</v>
      </c>
      <c r="B4417" s="1063">
        <v>44194</v>
      </c>
      <c r="C4417" s="934" t="s">
        <v>15091</v>
      </c>
      <c r="D4417" s="8" t="s">
        <v>6</v>
      </c>
      <c r="E4417" s="204" t="s">
        <v>166</v>
      </c>
      <c r="F4417" s="934" t="s">
        <v>7046</v>
      </c>
      <c r="G4417" s="204" t="s">
        <v>15092</v>
      </c>
      <c r="H4417" s="204" t="s">
        <v>15093</v>
      </c>
      <c r="I4417" s="204" t="s">
        <v>15093</v>
      </c>
      <c r="J4417" s="204">
        <v>100016</v>
      </c>
      <c r="K4417" s="204">
        <v>100016</v>
      </c>
      <c r="L4417" s="204" t="s">
        <v>15094</v>
      </c>
      <c r="M4417" s="204">
        <v>1</v>
      </c>
      <c r="N4417" s="204">
        <v>1</v>
      </c>
      <c r="O4417" s="204">
        <v>1</v>
      </c>
      <c r="P4417" s="204">
        <v>0</v>
      </c>
      <c r="Q4417" s="572">
        <v>0</v>
      </c>
      <c r="R4417" s="1209">
        <v>1035536</v>
      </c>
      <c r="S4417" s="1209">
        <v>1035536</v>
      </c>
      <c r="T4417" s="204" t="s">
        <v>12425</v>
      </c>
      <c r="U4417" s="1901" t="s">
        <v>1886</v>
      </c>
      <c r="V4417" s="572" t="s">
        <v>15095</v>
      </c>
      <c r="W4417" s="804" t="s">
        <v>15096</v>
      </c>
      <c r="X4417" s="18"/>
      <c r="Y4417" s="4"/>
      <c r="Z4417" s="4"/>
    </row>
    <row r="4418" spans="1:26" ht="14.1" hidden="1">
      <c r="A4418" s="20">
        <v>4425</v>
      </c>
      <c r="B4418" s="1063">
        <v>44195</v>
      </c>
      <c r="C4418" s="934" t="s">
        <v>15097</v>
      </c>
      <c r="D4418" s="11" t="s">
        <v>6</v>
      </c>
      <c r="E4418" s="204" t="s">
        <v>62</v>
      </c>
      <c r="F4418" s="934" t="s">
        <v>131</v>
      </c>
      <c r="G4418" s="204" t="s">
        <v>15098</v>
      </c>
      <c r="H4418" s="204" t="s">
        <v>1002</v>
      </c>
      <c r="I4418" s="204" t="s">
        <v>1002</v>
      </c>
      <c r="J4418" s="204"/>
      <c r="K4418" s="204"/>
      <c r="L4418" s="204"/>
      <c r="M4418" s="204">
        <v>1</v>
      </c>
      <c r="N4418" s="204">
        <v>1</v>
      </c>
      <c r="O4418" s="204">
        <v>4</v>
      </c>
      <c r="P4418" s="204">
        <v>0</v>
      </c>
      <c r="Q4418" s="572">
        <v>3</v>
      </c>
      <c r="R4418" s="1209">
        <v>86637</v>
      </c>
      <c r="S4418" s="1209">
        <v>86637</v>
      </c>
      <c r="T4418" s="204" t="s">
        <v>13856</v>
      </c>
      <c r="U4418" s="1901" t="s">
        <v>138</v>
      </c>
      <c r="V4418" s="572" t="s">
        <v>801</v>
      </c>
      <c r="W4418" s="681" t="s">
        <v>15099</v>
      </c>
      <c r="X4418" s="18"/>
      <c r="Y4418" s="4"/>
      <c r="Z4418" s="4"/>
    </row>
    <row r="4419" spans="1:26" ht="14.1" hidden="1">
      <c r="A4419" s="20">
        <v>4426</v>
      </c>
      <c r="B4419" s="1063">
        <v>44196</v>
      </c>
      <c r="C4419" s="934" t="s">
        <v>2517</v>
      </c>
      <c r="D4419" s="11"/>
      <c r="E4419" s="204" t="s">
        <v>62</v>
      </c>
      <c r="F4419" s="934" t="s">
        <v>11323</v>
      </c>
      <c r="G4419" s="204" t="s">
        <v>15100</v>
      </c>
      <c r="H4419" s="204" t="s">
        <v>1751</v>
      </c>
      <c r="I4419" s="204" t="s">
        <v>281</v>
      </c>
      <c r="J4419" s="204" t="s">
        <v>4790</v>
      </c>
      <c r="K4419" s="204" t="s">
        <v>1911</v>
      </c>
      <c r="L4419" s="204" t="s">
        <v>12301</v>
      </c>
      <c r="M4419" s="204"/>
      <c r="N4419" s="204">
        <v>1</v>
      </c>
      <c r="O4419" s="204">
        <v>20</v>
      </c>
      <c r="P4419" s="204">
        <v>35</v>
      </c>
      <c r="Q4419" s="572">
        <v>55</v>
      </c>
      <c r="R4419" s="1209">
        <v>2083</v>
      </c>
      <c r="S4419" s="1209">
        <f>R4419*O4419</f>
        <v>41660</v>
      </c>
      <c r="T4419" s="204" t="s">
        <v>15101</v>
      </c>
      <c r="U4419" s="1901"/>
      <c r="V4419" s="572" t="s">
        <v>931</v>
      </c>
      <c r="W4419" s="804" t="s">
        <v>4792</v>
      </c>
      <c r="X4419" s="18"/>
      <c r="Y4419" s="4"/>
      <c r="Z4419" s="4"/>
    </row>
    <row r="4420" spans="1:26" ht="14.1" hidden="1">
      <c r="A4420" s="20">
        <v>4427</v>
      </c>
      <c r="B4420" s="1063">
        <v>44197</v>
      </c>
      <c r="C4420" s="934" t="s">
        <v>15102</v>
      </c>
      <c r="D4420" s="11"/>
      <c r="E4420" s="204" t="s">
        <v>14758</v>
      </c>
      <c r="F4420" s="934" t="s">
        <v>2143</v>
      </c>
      <c r="G4420" s="204"/>
      <c r="H4420" s="204"/>
      <c r="I4420" s="204" t="s">
        <v>117</v>
      </c>
      <c r="J4420" s="204"/>
      <c r="K4420" s="204"/>
      <c r="L4420" s="204"/>
      <c r="M4420" s="204">
        <v>1</v>
      </c>
      <c r="N4420" s="204">
        <v>1</v>
      </c>
      <c r="O4420" s="204">
        <v>1</v>
      </c>
      <c r="P4420" s="204">
        <v>0</v>
      </c>
      <c r="Q4420" s="572">
        <v>1</v>
      </c>
      <c r="R4420" s="1209">
        <v>6280</v>
      </c>
      <c r="S4420" s="1209">
        <v>6280</v>
      </c>
      <c r="T4420" s="204" t="s">
        <v>118</v>
      </c>
      <c r="U4420" s="1901" t="s">
        <v>118</v>
      </c>
      <c r="V4420" s="572" t="s">
        <v>118</v>
      </c>
      <c r="W4420" s="681"/>
      <c r="X4420" s="18"/>
      <c r="Y4420" s="4"/>
      <c r="Z4420" s="4"/>
    </row>
    <row r="4421" spans="1:26" ht="14.1" hidden="1">
      <c r="A4421" s="20">
        <v>4428</v>
      </c>
      <c r="B4421" s="1063">
        <v>44198</v>
      </c>
      <c r="C4421" s="934" t="s">
        <v>15103</v>
      </c>
      <c r="D4421" s="11"/>
      <c r="E4421" s="204" t="s">
        <v>14758</v>
      </c>
      <c r="F4421" s="934" t="s">
        <v>2143</v>
      </c>
      <c r="G4421" s="204"/>
      <c r="H4421" s="204"/>
      <c r="I4421" s="204" t="s">
        <v>117</v>
      </c>
      <c r="J4421" s="204"/>
      <c r="K4421" s="204"/>
      <c r="L4421" s="204"/>
      <c r="M4421" s="204">
        <v>1</v>
      </c>
      <c r="N4421" s="204">
        <v>1</v>
      </c>
      <c r="O4421" s="204">
        <v>1</v>
      </c>
      <c r="P4421" s="204">
        <v>0</v>
      </c>
      <c r="Q4421" s="572">
        <v>0</v>
      </c>
      <c r="R4421" s="1209">
        <v>157</v>
      </c>
      <c r="S4421" s="1209">
        <v>157</v>
      </c>
      <c r="T4421" s="204" t="s">
        <v>118</v>
      </c>
      <c r="U4421" s="1901" t="s">
        <v>118</v>
      </c>
      <c r="V4421" s="572" t="s">
        <v>118</v>
      </c>
      <c r="W4421" s="681"/>
      <c r="X4421" s="18"/>
      <c r="Y4421" s="4"/>
      <c r="Z4421" s="4"/>
    </row>
    <row r="4422" spans="1:26" ht="14.1" hidden="1">
      <c r="A4422" s="20">
        <v>4429</v>
      </c>
      <c r="B4422" s="1063">
        <v>44199</v>
      </c>
      <c r="C4422" s="934" t="s">
        <v>15104</v>
      </c>
      <c r="D4422" s="11"/>
      <c r="E4422" s="204" t="s">
        <v>14758</v>
      </c>
      <c r="F4422" s="934" t="s">
        <v>2143</v>
      </c>
      <c r="G4422" s="204" t="s">
        <v>15105</v>
      </c>
      <c r="H4422" s="204" t="s">
        <v>7663</v>
      </c>
      <c r="I4422" s="204" t="s">
        <v>1063</v>
      </c>
      <c r="J4422" s="204" t="s">
        <v>15106</v>
      </c>
      <c r="K4422" s="204"/>
      <c r="L4422" s="204"/>
      <c r="M4422" s="204">
        <v>2</v>
      </c>
      <c r="N4422" s="204">
        <v>1</v>
      </c>
      <c r="O4422" s="204">
        <v>2</v>
      </c>
      <c r="P4422" s="204">
        <v>0</v>
      </c>
      <c r="Q4422" s="572">
        <v>0</v>
      </c>
      <c r="R4422" s="1209">
        <v>300</v>
      </c>
      <c r="S4422" s="1209">
        <v>600</v>
      </c>
      <c r="T4422" s="204" t="s">
        <v>118</v>
      </c>
      <c r="U4422" s="1901" t="s">
        <v>118</v>
      </c>
      <c r="V4422" s="572" t="s">
        <v>118</v>
      </c>
      <c r="W4422" s="681" t="s">
        <v>15107</v>
      </c>
      <c r="X4422" s="18"/>
      <c r="Y4422" s="4"/>
      <c r="Z4422" s="4"/>
    </row>
    <row r="4423" spans="1:26" ht="14.1" hidden="1">
      <c r="A4423" s="20">
        <v>4430</v>
      </c>
      <c r="B4423" s="1063">
        <v>44200</v>
      </c>
      <c r="C4423" s="934" t="s">
        <v>9373</v>
      </c>
      <c r="D4423" s="11"/>
      <c r="E4423" s="204" t="s">
        <v>62</v>
      </c>
      <c r="F4423" s="934" t="s">
        <v>15108</v>
      </c>
      <c r="G4423" s="204" t="s">
        <v>2612</v>
      </c>
      <c r="H4423" s="204" t="s">
        <v>382</v>
      </c>
      <c r="I4423" s="204" t="s">
        <v>366</v>
      </c>
      <c r="J4423" s="204" t="s">
        <v>2612</v>
      </c>
      <c r="K4423" s="204" t="s">
        <v>2612</v>
      </c>
      <c r="L4423" s="204"/>
      <c r="M4423" s="204">
        <v>24</v>
      </c>
      <c r="N4423" s="204">
        <v>10</v>
      </c>
      <c r="O4423" s="204">
        <v>30</v>
      </c>
      <c r="P4423" s="204">
        <v>0</v>
      </c>
      <c r="Q4423" s="572">
        <f t="shared" ref="Q4423:Q4450" si="255">O4423-M4423</f>
        <v>6</v>
      </c>
      <c r="R4423" s="1209">
        <v>1480</v>
      </c>
      <c r="S4423" s="1209">
        <v>4440</v>
      </c>
      <c r="T4423" s="204" t="s">
        <v>15109</v>
      </c>
      <c r="U4423" s="1901" t="s">
        <v>15110</v>
      </c>
      <c r="V4423" s="572" t="s">
        <v>931</v>
      </c>
      <c r="W4423" s="2145" t="s">
        <v>5530</v>
      </c>
      <c r="X4423" s="18"/>
      <c r="Y4423" s="4"/>
      <c r="Z4423" s="4"/>
    </row>
    <row r="4424" spans="1:26" ht="14.1" hidden="1">
      <c r="A4424" s="20">
        <v>4431</v>
      </c>
      <c r="B4424" s="1063">
        <v>44201</v>
      </c>
      <c r="C4424" s="934" t="s">
        <v>15111</v>
      </c>
      <c r="D4424" s="11"/>
      <c r="E4424" s="204" t="s">
        <v>62</v>
      </c>
      <c r="F4424" s="934" t="s">
        <v>15108</v>
      </c>
      <c r="G4424" s="204" t="s">
        <v>1148</v>
      </c>
      <c r="H4424" s="204" t="s">
        <v>382</v>
      </c>
      <c r="I4424" s="204" t="s">
        <v>382</v>
      </c>
      <c r="J4424" s="204" t="s">
        <v>1148</v>
      </c>
      <c r="K4424" s="204" t="s">
        <v>1148</v>
      </c>
      <c r="L4424" s="204"/>
      <c r="M4424" s="204">
        <v>18</v>
      </c>
      <c r="N4424" s="204">
        <v>20</v>
      </c>
      <c r="O4424" s="204">
        <v>20</v>
      </c>
      <c r="P4424" s="204">
        <v>0</v>
      </c>
      <c r="Q4424" s="572">
        <f t="shared" si="255"/>
        <v>2</v>
      </c>
      <c r="R4424" s="1209">
        <v>400</v>
      </c>
      <c r="S4424" s="1209">
        <v>400</v>
      </c>
      <c r="T4424" s="204" t="s">
        <v>15109</v>
      </c>
      <c r="U4424" s="1901" t="s">
        <v>15110</v>
      </c>
      <c r="V4424" s="572" t="s">
        <v>931</v>
      </c>
      <c r="W4424" s="681" t="s">
        <v>383</v>
      </c>
      <c r="X4424" s="18"/>
      <c r="Y4424" s="4"/>
      <c r="Z4424" s="4"/>
    </row>
    <row r="4425" spans="1:26" ht="14.1" hidden="1">
      <c r="A4425" s="20">
        <v>4432</v>
      </c>
      <c r="B4425" s="1063">
        <v>44202</v>
      </c>
      <c r="C4425" s="934" t="s">
        <v>9373</v>
      </c>
      <c r="D4425" s="11"/>
      <c r="E4425" s="204" t="s">
        <v>62</v>
      </c>
      <c r="F4425" s="934" t="s">
        <v>15108</v>
      </c>
      <c r="G4425" s="204" t="s">
        <v>2600</v>
      </c>
      <c r="H4425" s="204" t="s">
        <v>382</v>
      </c>
      <c r="I4425" s="204" t="s">
        <v>366</v>
      </c>
      <c r="J4425" s="204" t="s">
        <v>2600</v>
      </c>
      <c r="K4425" s="204" t="s">
        <v>2600</v>
      </c>
      <c r="L4425" s="204"/>
      <c r="M4425" s="204">
        <v>2</v>
      </c>
      <c r="N4425" s="204">
        <v>10</v>
      </c>
      <c r="O4425" s="204">
        <v>10</v>
      </c>
      <c r="P4425" s="204">
        <v>0</v>
      </c>
      <c r="Q4425" s="572">
        <f t="shared" si="255"/>
        <v>8</v>
      </c>
      <c r="R4425" s="1209">
        <v>470</v>
      </c>
      <c r="S4425" s="1209">
        <v>470</v>
      </c>
      <c r="T4425" s="204" t="s">
        <v>15109</v>
      </c>
      <c r="U4425" s="1901" t="s">
        <v>15110</v>
      </c>
      <c r="V4425" s="572" t="s">
        <v>931</v>
      </c>
      <c r="W4425" s="681" t="s">
        <v>15112</v>
      </c>
      <c r="X4425" s="18"/>
      <c r="Y4425" s="4"/>
      <c r="Z4425" s="4"/>
    </row>
    <row r="4426" spans="1:26" ht="14.1" hidden="1">
      <c r="A4426" s="20">
        <v>4433</v>
      </c>
      <c r="B4426" s="1063">
        <v>44203</v>
      </c>
      <c r="C4426" s="934" t="s">
        <v>9373</v>
      </c>
      <c r="D4426" s="11"/>
      <c r="E4426" s="204" t="s">
        <v>62</v>
      </c>
      <c r="F4426" s="934" t="s">
        <v>15108</v>
      </c>
      <c r="G4426" s="204" t="s">
        <v>2597</v>
      </c>
      <c r="H4426" s="204" t="s">
        <v>382</v>
      </c>
      <c r="I4426" s="204" t="s">
        <v>382</v>
      </c>
      <c r="J4426" s="204" t="s">
        <v>2597</v>
      </c>
      <c r="K4426" s="204" t="s">
        <v>2597</v>
      </c>
      <c r="L4426" s="204"/>
      <c r="M4426" s="204">
        <v>15</v>
      </c>
      <c r="N4426" s="204">
        <v>10</v>
      </c>
      <c r="O4426" s="204">
        <v>20</v>
      </c>
      <c r="P4426" s="204">
        <v>0</v>
      </c>
      <c r="Q4426" s="572">
        <f t="shared" si="255"/>
        <v>5</v>
      </c>
      <c r="R4426" s="1209">
        <v>800</v>
      </c>
      <c r="S4426" s="1209">
        <v>1600</v>
      </c>
      <c r="T4426" s="204" t="s">
        <v>15109</v>
      </c>
      <c r="U4426" s="1901" t="s">
        <v>15110</v>
      </c>
      <c r="V4426" s="572" t="s">
        <v>931</v>
      </c>
      <c r="W4426" s="681" t="s">
        <v>2598</v>
      </c>
      <c r="X4426" s="18"/>
      <c r="Y4426" s="4"/>
      <c r="Z4426" s="4"/>
    </row>
    <row r="4427" spans="1:26" ht="14.1" hidden="1">
      <c r="A4427" s="20">
        <v>4434</v>
      </c>
      <c r="B4427" s="1063">
        <v>44204</v>
      </c>
      <c r="C4427" s="934" t="s">
        <v>9373</v>
      </c>
      <c r="D4427" s="11"/>
      <c r="E4427" s="204" t="s">
        <v>62</v>
      </c>
      <c r="F4427" s="934" t="s">
        <v>15108</v>
      </c>
      <c r="G4427" s="204" t="s">
        <v>2595</v>
      </c>
      <c r="H4427" s="204" t="s">
        <v>382</v>
      </c>
      <c r="I4427" s="204" t="s">
        <v>382</v>
      </c>
      <c r="J4427" s="204" t="s">
        <v>2595</v>
      </c>
      <c r="K4427" s="204" t="s">
        <v>2595</v>
      </c>
      <c r="L4427" s="204"/>
      <c r="M4427" s="204">
        <v>8</v>
      </c>
      <c r="N4427" s="204">
        <v>10</v>
      </c>
      <c r="O4427" s="204">
        <v>10</v>
      </c>
      <c r="P4427" s="204">
        <v>0</v>
      </c>
      <c r="Q4427" s="572">
        <f t="shared" si="255"/>
        <v>2</v>
      </c>
      <c r="R4427" s="1209">
        <v>380</v>
      </c>
      <c r="S4427" s="1209">
        <v>380</v>
      </c>
      <c r="T4427" s="204" t="s">
        <v>15109</v>
      </c>
      <c r="U4427" s="1901" t="s">
        <v>15110</v>
      </c>
      <c r="V4427" s="572" t="s">
        <v>931</v>
      </c>
      <c r="W4427" s="681" t="s">
        <v>388</v>
      </c>
      <c r="X4427" s="18"/>
      <c r="Y4427" s="4"/>
      <c r="Z4427" s="4"/>
    </row>
    <row r="4428" spans="1:26" ht="14.1" hidden="1">
      <c r="A4428" s="20">
        <v>4435</v>
      </c>
      <c r="B4428" s="1063">
        <v>44205</v>
      </c>
      <c r="C4428" s="934" t="s">
        <v>9373</v>
      </c>
      <c r="D4428" s="11"/>
      <c r="E4428" s="204" t="s">
        <v>62</v>
      </c>
      <c r="F4428" s="934" t="s">
        <v>15108</v>
      </c>
      <c r="G4428" s="204" t="s">
        <v>372</v>
      </c>
      <c r="H4428" s="204" t="s">
        <v>961</v>
      </c>
      <c r="I4428" s="204" t="s">
        <v>366</v>
      </c>
      <c r="J4428" s="204" t="s">
        <v>372</v>
      </c>
      <c r="K4428" s="204" t="s">
        <v>372</v>
      </c>
      <c r="L4428" s="204"/>
      <c r="M4428" s="204">
        <v>3</v>
      </c>
      <c r="N4428" s="204">
        <v>1</v>
      </c>
      <c r="O4428" s="204">
        <v>3</v>
      </c>
      <c r="P4428" s="204">
        <v>0</v>
      </c>
      <c r="Q4428" s="572">
        <f t="shared" si="255"/>
        <v>0</v>
      </c>
      <c r="R4428" s="1209">
        <v>300</v>
      </c>
      <c r="S4428" s="1209">
        <v>900</v>
      </c>
      <c r="T4428" s="204" t="s">
        <v>15109</v>
      </c>
      <c r="U4428" s="1901" t="s">
        <v>15110</v>
      </c>
      <c r="V4428" s="572" t="s">
        <v>931</v>
      </c>
      <c r="W4428" s="681" t="s">
        <v>15113</v>
      </c>
      <c r="X4428" s="18"/>
      <c r="Y4428" s="4"/>
      <c r="Z4428" s="4"/>
    </row>
    <row r="4429" spans="1:26" ht="14.1" hidden="1">
      <c r="A4429" s="20">
        <v>4436</v>
      </c>
      <c r="B4429" s="1063">
        <v>44206</v>
      </c>
      <c r="C4429" s="934" t="s">
        <v>15111</v>
      </c>
      <c r="D4429" s="11"/>
      <c r="E4429" s="204" t="s">
        <v>62</v>
      </c>
      <c r="F4429" s="934" t="s">
        <v>15108</v>
      </c>
      <c r="G4429" s="204" t="s">
        <v>379</v>
      </c>
      <c r="H4429" s="204" t="s">
        <v>961</v>
      </c>
      <c r="I4429" s="204" t="s">
        <v>366</v>
      </c>
      <c r="J4429" s="204" t="s">
        <v>379</v>
      </c>
      <c r="K4429" s="204" t="s">
        <v>379</v>
      </c>
      <c r="L4429" s="204"/>
      <c r="M4429" s="204">
        <v>11</v>
      </c>
      <c r="N4429" s="204">
        <v>1</v>
      </c>
      <c r="O4429" s="204">
        <v>11</v>
      </c>
      <c r="P4429" s="204">
        <v>0</v>
      </c>
      <c r="Q4429" s="572">
        <f t="shared" si="255"/>
        <v>0</v>
      </c>
      <c r="R4429" s="1209">
        <v>76</v>
      </c>
      <c r="S4429" s="1209">
        <v>836</v>
      </c>
      <c r="T4429" s="204" t="s">
        <v>15109</v>
      </c>
      <c r="U4429" s="1901" t="s">
        <v>15110</v>
      </c>
      <c r="V4429" s="572" t="s">
        <v>931</v>
      </c>
      <c r="W4429" s="681" t="s">
        <v>9495</v>
      </c>
      <c r="X4429" s="18"/>
      <c r="Y4429" s="4"/>
      <c r="Z4429" s="4"/>
    </row>
    <row r="4430" spans="1:26" ht="14.1" hidden="1">
      <c r="A4430" s="20">
        <v>4437</v>
      </c>
      <c r="B4430" s="1063">
        <v>44207</v>
      </c>
      <c r="C4430" s="970" t="s">
        <v>7265</v>
      </c>
      <c r="D4430" s="515" t="s">
        <v>6</v>
      </c>
      <c r="E4430" s="717" t="s">
        <v>62</v>
      </c>
      <c r="F4430" s="970" t="s">
        <v>15108</v>
      </c>
      <c r="G4430" s="717" t="s">
        <v>15114</v>
      </c>
      <c r="H4430" s="717" t="s">
        <v>15115</v>
      </c>
      <c r="I4430" s="717" t="s">
        <v>113</v>
      </c>
      <c r="J4430" s="717">
        <v>34811086</v>
      </c>
      <c r="K4430" s="717" t="s">
        <v>4201</v>
      </c>
      <c r="L4430" s="717"/>
      <c r="M4430" s="717">
        <v>1</v>
      </c>
      <c r="N4430" s="717">
        <v>1</v>
      </c>
      <c r="O4430" s="717">
        <v>1</v>
      </c>
      <c r="P4430" s="717">
        <v>0</v>
      </c>
      <c r="Q4430" s="718">
        <f t="shared" si="255"/>
        <v>0</v>
      </c>
      <c r="R4430" s="1234">
        <v>379</v>
      </c>
      <c r="S4430" s="1234">
        <v>379</v>
      </c>
      <c r="T4430" s="717" t="s">
        <v>15109</v>
      </c>
      <c r="U4430" s="1927" t="s">
        <v>15110</v>
      </c>
      <c r="V4430" s="718" t="s">
        <v>931</v>
      </c>
      <c r="W4430" s="2106" t="s">
        <v>10514</v>
      </c>
      <c r="X4430" s="56"/>
      <c r="Y4430" s="4"/>
      <c r="Z4430" s="4"/>
    </row>
    <row r="4431" spans="1:26" ht="14.1" hidden="1">
      <c r="A4431" s="20">
        <v>4438</v>
      </c>
      <c r="B4431" s="1063">
        <v>44208</v>
      </c>
      <c r="C4431" s="934" t="s">
        <v>15116</v>
      </c>
      <c r="D4431" s="11"/>
      <c r="E4431" s="204" t="s">
        <v>62</v>
      </c>
      <c r="F4431" s="934" t="s">
        <v>15108</v>
      </c>
      <c r="G4431" s="204" t="s">
        <v>989</v>
      </c>
      <c r="H4431" s="204" t="s">
        <v>15117</v>
      </c>
      <c r="I4431" s="658" t="s">
        <v>15118</v>
      </c>
      <c r="J4431" s="204" t="s">
        <v>989</v>
      </c>
      <c r="K4431" s="204" t="s">
        <v>989</v>
      </c>
      <c r="L4431" s="204"/>
      <c r="M4431" s="204">
        <v>3</v>
      </c>
      <c r="N4431" s="204">
        <v>1</v>
      </c>
      <c r="O4431" s="204">
        <v>3</v>
      </c>
      <c r="P4431" s="204">
        <v>0</v>
      </c>
      <c r="Q4431" s="572">
        <f t="shared" si="255"/>
        <v>0</v>
      </c>
      <c r="R4431" s="1209">
        <v>192</v>
      </c>
      <c r="S4431" s="1209">
        <f>R4431*O4431</f>
        <v>576</v>
      </c>
      <c r="T4431" s="204" t="s">
        <v>15109</v>
      </c>
      <c r="U4431" s="1901" t="s">
        <v>15110</v>
      </c>
      <c r="V4431" s="572" t="s">
        <v>931</v>
      </c>
      <c r="W4431" s="681" t="s">
        <v>15119</v>
      </c>
      <c r="X4431" s="18"/>
      <c r="Y4431" s="4"/>
      <c r="Z4431" s="4"/>
    </row>
    <row r="4432" spans="1:26" ht="14.1" hidden="1">
      <c r="A4432" s="20">
        <v>4439</v>
      </c>
      <c r="B4432" s="1063">
        <v>44209</v>
      </c>
      <c r="C4432" s="934" t="s">
        <v>15120</v>
      </c>
      <c r="D4432" s="11"/>
      <c r="E4432" s="204" t="s">
        <v>62</v>
      </c>
      <c r="F4432" s="934" t="s">
        <v>15108</v>
      </c>
      <c r="G4432" s="204" t="s">
        <v>367</v>
      </c>
      <c r="H4432" s="204" t="s">
        <v>961</v>
      </c>
      <c r="I4432" s="204" t="s">
        <v>366</v>
      </c>
      <c r="J4432" s="204" t="s">
        <v>367</v>
      </c>
      <c r="K4432" s="204" t="s">
        <v>367</v>
      </c>
      <c r="L4432" s="204"/>
      <c r="M4432" s="204">
        <v>8</v>
      </c>
      <c r="N4432" s="204">
        <v>1</v>
      </c>
      <c r="O4432" s="204">
        <v>8</v>
      </c>
      <c r="P4432" s="204">
        <v>0</v>
      </c>
      <c r="Q4432" s="572">
        <f t="shared" si="255"/>
        <v>0</v>
      </c>
      <c r="R4432" s="1209">
        <v>260</v>
      </c>
      <c r="S4432" s="1209">
        <v>2080</v>
      </c>
      <c r="T4432" s="204" t="s">
        <v>15109</v>
      </c>
      <c r="U4432" s="1901" t="s">
        <v>15110</v>
      </c>
      <c r="V4432" s="572" t="s">
        <v>931</v>
      </c>
      <c r="W4432" s="681" t="s">
        <v>9149</v>
      </c>
      <c r="X4432" s="18"/>
      <c r="Y4432" s="4"/>
      <c r="Z4432" s="4"/>
    </row>
    <row r="4433" spans="1:26" ht="14.1" hidden="1">
      <c r="A4433" s="20">
        <v>4440</v>
      </c>
      <c r="B4433" s="1063">
        <v>44210</v>
      </c>
      <c r="C4433" s="934" t="s">
        <v>9373</v>
      </c>
      <c r="D4433" s="11"/>
      <c r="E4433" s="204" t="s">
        <v>62</v>
      </c>
      <c r="F4433" s="934" t="s">
        <v>15108</v>
      </c>
      <c r="G4433" s="204" t="s">
        <v>2602</v>
      </c>
      <c r="H4433" s="204" t="s">
        <v>382</v>
      </c>
      <c r="I4433" s="204" t="s">
        <v>366</v>
      </c>
      <c r="J4433" s="204" t="s">
        <v>2602</v>
      </c>
      <c r="K4433" s="204" t="s">
        <v>2602</v>
      </c>
      <c r="L4433" s="204"/>
      <c r="M4433" s="204">
        <v>8</v>
      </c>
      <c r="N4433" s="204">
        <v>10</v>
      </c>
      <c r="O4433" s="204">
        <v>10</v>
      </c>
      <c r="P4433" s="204">
        <v>0</v>
      </c>
      <c r="Q4433" s="572">
        <f t="shared" si="255"/>
        <v>2</v>
      </c>
      <c r="R4433" s="1209">
        <v>380</v>
      </c>
      <c r="S4433" s="1209">
        <v>380</v>
      </c>
      <c r="T4433" s="204" t="s">
        <v>15109</v>
      </c>
      <c r="U4433" s="1901" t="s">
        <v>15110</v>
      </c>
      <c r="V4433" s="572" t="s">
        <v>931</v>
      </c>
      <c r="W4433" s="681" t="s">
        <v>15121</v>
      </c>
      <c r="X4433" s="18"/>
      <c r="Y4433" s="4"/>
      <c r="Z4433" s="4"/>
    </row>
    <row r="4434" spans="1:26" ht="14.1" hidden="1">
      <c r="A4434" s="20">
        <v>4441</v>
      </c>
      <c r="B4434" s="1063">
        <v>44211</v>
      </c>
      <c r="C4434" s="934" t="s">
        <v>9373</v>
      </c>
      <c r="D4434" s="11"/>
      <c r="E4434" s="204" t="s">
        <v>62</v>
      </c>
      <c r="F4434" s="934" t="s">
        <v>15108</v>
      </c>
      <c r="G4434" s="204" t="s">
        <v>2606</v>
      </c>
      <c r="H4434" s="204" t="s">
        <v>382</v>
      </c>
      <c r="I4434" s="204" t="s">
        <v>366</v>
      </c>
      <c r="J4434" s="204" t="s">
        <v>2606</v>
      </c>
      <c r="K4434" s="204" t="s">
        <v>2606</v>
      </c>
      <c r="L4434" s="204"/>
      <c r="M4434" s="204">
        <v>16</v>
      </c>
      <c r="N4434" s="204">
        <v>10</v>
      </c>
      <c r="O4434" s="204">
        <v>20</v>
      </c>
      <c r="P4434" s="204">
        <v>0</v>
      </c>
      <c r="Q4434" s="572">
        <f t="shared" si="255"/>
        <v>4</v>
      </c>
      <c r="R4434" s="1209">
        <v>380</v>
      </c>
      <c r="S4434" s="1209">
        <v>760</v>
      </c>
      <c r="T4434" s="204" t="s">
        <v>15109</v>
      </c>
      <c r="U4434" s="1901" t="s">
        <v>15110</v>
      </c>
      <c r="V4434" s="572" t="s">
        <v>931</v>
      </c>
      <c r="W4434" s="681" t="s">
        <v>15122</v>
      </c>
      <c r="X4434" s="18"/>
      <c r="Y4434" s="4"/>
      <c r="Z4434" s="4"/>
    </row>
    <row r="4435" spans="1:26" ht="14.1" hidden="1">
      <c r="A4435" s="20">
        <v>4442</v>
      </c>
      <c r="B4435" s="1063">
        <v>44212</v>
      </c>
      <c r="C4435" s="934" t="s">
        <v>15123</v>
      </c>
      <c r="D4435" s="11"/>
      <c r="E4435" s="204" t="s">
        <v>62</v>
      </c>
      <c r="F4435" s="934" t="s">
        <v>15108</v>
      </c>
      <c r="G4435" s="204" t="s">
        <v>5532</v>
      </c>
      <c r="H4435" s="204" t="s">
        <v>961</v>
      </c>
      <c r="I4435" s="204" t="s">
        <v>366</v>
      </c>
      <c r="J4435" s="204" t="s">
        <v>5532</v>
      </c>
      <c r="K4435" s="204" t="s">
        <v>5532</v>
      </c>
      <c r="L4435" s="204"/>
      <c r="M4435" s="204">
        <v>4</v>
      </c>
      <c r="N4435" s="204">
        <v>1</v>
      </c>
      <c r="O4435" s="204">
        <v>4</v>
      </c>
      <c r="P4435" s="204">
        <v>0</v>
      </c>
      <c r="Q4435" s="572">
        <f t="shared" si="255"/>
        <v>0</v>
      </c>
      <c r="R4435" s="1209">
        <v>470</v>
      </c>
      <c r="S4435" s="1209">
        <v>1880</v>
      </c>
      <c r="T4435" s="204" t="s">
        <v>15109</v>
      </c>
      <c r="U4435" s="1901" t="s">
        <v>15110</v>
      </c>
      <c r="V4435" s="572" t="s">
        <v>931</v>
      </c>
      <c r="W4435" s="681" t="s">
        <v>15124</v>
      </c>
      <c r="X4435" s="18"/>
      <c r="Y4435" s="4"/>
      <c r="Z4435" s="4"/>
    </row>
    <row r="4436" spans="1:26" ht="14.1" hidden="1">
      <c r="A4436" s="20">
        <v>4444</v>
      </c>
      <c r="B4436" s="1063">
        <v>44213</v>
      </c>
      <c r="C4436" s="934" t="s">
        <v>15116</v>
      </c>
      <c r="D4436" s="11"/>
      <c r="E4436" s="204" t="s">
        <v>62</v>
      </c>
      <c r="F4436" s="934" t="s">
        <v>15108</v>
      </c>
      <c r="G4436" s="204" t="s">
        <v>13599</v>
      </c>
      <c r="H4436" s="204" t="s">
        <v>107</v>
      </c>
      <c r="I4436" s="204" t="s">
        <v>366</v>
      </c>
      <c r="J4436" s="204" t="s">
        <v>13599</v>
      </c>
      <c r="K4436" s="204" t="s">
        <v>13599</v>
      </c>
      <c r="L4436" s="204"/>
      <c r="M4436" s="204">
        <v>4</v>
      </c>
      <c r="N4436" s="204">
        <v>50</v>
      </c>
      <c r="O4436" s="204">
        <v>50</v>
      </c>
      <c r="P4436" s="204">
        <v>0</v>
      </c>
      <c r="Q4436" s="572">
        <f t="shared" si="255"/>
        <v>46</v>
      </c>
      <c r="R4436" s="1209">
        <v>800</v>
      </c>
      <c r="S4436" s="1209">
        <v>800</v>
      </c>
      <c r="T4436" s="204" t="s">
        <v>15109</v>
      </c>
      <c r="U4436" s="1901" t="s">
        <v>15110</v>
      </c>
      <c r="V4436" s="572" t="s">
        <v>931</v>
      </c>
      <c r="W4436" s="681" t="s">
        <v>15125</v>
      </c>
      <c r="X4436" s="18"/>
      <c r="Y4436" s="4"/>
      <c r="Z4436" s="4"/>
    </row>
    <row r="4437" spans="1:26" ht="14.1" hidden="1">
      <c r="A4437" s="20">
        <v>4445</v>
      </c>
      <c r="B4437" s="1063">
        <v>44214</v>
      </c>
      <c r="C4437" s="934" t="s">
        <v>15116</v>
      </c>
      <c r="D4437" s="11"/>
      <c r="E4437" s="204" t="s">
        <v>62</v>
      </c>
      <c r="F4437" s="934" t="s">
        <v>15108</v>
      </c>
      <c r="G4437" s="204" t="s">
        <v>10172</v>
      </c>
      <c r="H4437" s="204" t="s">
        <v>107</v>
      </c>
      <c r="I4437" s="204" t="s">
        <v>366</v>
      </c>
      <c r="J4437" s="204" t="s">
        <v>10172</v>
      </c>
      <c r="K4437" s="204" t="s">
        <v>10172</v>
      </c>
      <c r="L4437" s="204"/>
      <c r="M4437" s="204">
        <v>4</v>
      </c>
      <c r="N4437" s="204">
        <v>50</v>
      </c>
      <c r="O4437" s="204">
        <v>50</v>
      </c>
      <c r="P4437" s="204">
        <v>0</v>
      </c>
      <c r="Q4437" s="572">
        <f t="shared" si="255"/>
        <v>46</v>
      </c>
      <c r="R4437" s="1209">
        <v>600</v>
      </c>
      <c r="S4437" s="1209">
        <v>600</v>
      </c>
      <c r="T4437" s="204" t="s">
        <v>15109</v>
      </c>
      <c r="U4437" s="1901" t="s">
        <v>15110</v>
      </c>
      <c r="V4437" s="572" t="s">
        <v>931</v>
      </c>
      <c r="W4437" s="681" t="s">
        <v>15126</v>
      </c>
      <c r="X4437" s="18"/>
      <c r="Y4437" s="4"/>
      <c r="Z4437" s="4"/>
    </row>
    <row r="4438" spans="1:26" ht="14.1" hidden="1">
      <c r="A4438" s="20">
        <v>4446</v>
      </c>
      <c r="B4438" s="1063">
        <v>44215</v>
      </c>
      <c r="C4438" s="934" t="s">
        <v>15116</v>
      </c>
      <c r="D4438" s="11"/>
      <c r="E4438" s="204" t="s">
        <v>62</v>
      </c>
      <c r="F4438" s="934" t="s">
        <v>15108</v>
      </c>
      <c r="G4438" s="204" t="s">
        <v>15127</v>
      </c>
      <c r="H4438" s="204" t="s">
        <v>107</v>
      </c>
      <c r="I4438" s="204" t="s">
        <v>366</v>
      </c>
      <c r="J4438" s="204" t="s">
        <v>15127</v>
      </c>
      <c r="K4438" s="204" t="s">
        <v>15127</v>
      </c>
      <c r="L4438" s="204"/>
      <c r="M4438" s="204">
        <v>4</v>
      </c>
      <c r="N4438" s="204">
        <v>50</v>
      </c>
      <c r="O4438" s="204">
        <v>50</v>
      </c>
      <c r="P4438" s="204">
        <v>0</v>
      </c>
      <c r="Q4438" s="572">
        <f t="shared" si="255"/>
        <v>46</v>
      </c>
      <c r="R4438" s="1209">
        <v>1200</v>
      </c>
      <c r="S4438" s="1209">
        <v>1200</v>
      </c>
      <c r="T4438" s="204" t="s">
        <v>15109</v>
      </c>
      <c r="U4438" s="1901" t="s">
        <v>15110</v>
      </c>
      <c r="V4438" s="572" t="s">
        <v>931</v>
      </c>
      <c r="W4438" s="681" t="s">
        <v>15128</v>
      </c>
      <c r="X4438" s="18"/>
      <c r="Y4438" s="4"/>
      <c r="Z4438" s="4"/>
    </row>
    <row r="4439" spans="1:26" ht="14.1" hidden="1">
      <c r="A4439" s="20">
        <v>4447</v>
      </c>
      <c r="B4439" s="1063">
        <v>44216</v>
      </c>
      <c r="C4439" s="934" t="s">
        <v>15116</v>
      </c>
      <c r="D4439" s="11"/>
      <c r="E4439" s="204" t="s">
        <v>62</v>
      </c>
      <c r="F4439" s="934" t="s">
        <v>15108</v>
      </c>
      <c r="G4439" s="204" t="s">
        <v>13595</v>
      </c>
      <c r="H4439" s="204" t="s">
        <v>107</v>
      </c>
      <c r="I4439" s="204" t="s">
        <v>366</v>
      </c>
      <c r="J4439" s="204" t="s">
        <v>13595</v>
      </c>
      <c r="K4439" s="204" t="s">
        <v>13595</v>
      </c>
      <c r="L4439" s="204"/>
      <c r="M4439" s="204">
        <v>6</v>
      </c>
      <c r="N4439" s="204">
        <v>50</v>
      </c>
      <c r="O4439" s="204">
        <v>50</v>
      </c>
      <c r="P4439" s="204">
        <v>0</v>
      </c>
      <c r="Q4439" s="572">
        <f t="shared" si="255"/>
        <v>44</v>
      </c>
      <c r="R4439" s="1209">
        <v>650</v>
      </c>
      <c r="S4439" s="1209">
        <v>650</v>
      </c>
      <c r="T4439" s="204" t="s">
        <v>15109</v>
      </c>
      <c r="U4439" s="1901" t="s">
        <v>15110</v>
      </c>
      <c r="V4439" s="572" t="s">
        <v>931</v>
      </c>
      <c r="W4439" s="681" t="s">
        <v>15129</v>
      </c>
      <c r="X4439" s="18"/>
      <c r="Y4439" s="4"/>
      <c r="Z4439" s="4"/>
    </row>
    <row r="4440" spans="1:26" ht="14.1" hidden="1">
      <c r="A4440" s="20">
        <v>4448</v>
      </c>
      <c r="B4440" s="1063">
        <v>44217</v>
      </c>
      <c r="C4440" s="934" t="s">
        <v>9373</v>
      </c>
      <c r="D4440" s="11"/>
      <c r="E4440" s="204" t="s">
        <v>62</v>
      </c>
      <c r="F4440" s="934" t="s">
        <v>15108</v>
      </c>
      <c r="G4440" s="204" t="s">
        <v>15130</v>
      </c>
      <c r="H4440" s="204" t="s">
        <v>382</v>
      </c>
      <c r="I4440" s="204" t="s">
        <v>382</v>
      </c>
      <c r="J4440" s="204" t="s">
        <v>15130</v>
      </c>
      <c r="K4440" s="204" t="s">
        <v>15130</v>
      </c>
      <c r="L4440" s="204"/>
      <c r="M4440" s="204">
        <v>8</v>
      </c>
      <c r="N4440" s="204">
        <v>50</v>
      </c>
      <c r="O4440" s="204">
        <v>50</v>
      </c>
      <c r="P4440" s="204">
        <v>0</v>
      </c>
      <c r="Q4440" s="572">
        <f t="shared" si="255"/>
        <v>42</v>
      </c>
      <c r="R4440" s="1209">
        <v>1650</v>
      </c>
      <c r="S4440" s="1209">
        <v>1650</v>
      </c>
      <c r="T4440" s="204" t="s">
        <v>15109</v>
      </c>
      <c r="U4440" s="1901" t="s">
        <v>15110</v>
      </c>
      <c r="V4440" s="572" t="s">
        <v>931</v>
      </c>
      <c r="W4440" s="681" t="s">
        <v>385</v>
      </c>
      <c r="X4440" s="18"/>
      <c r="Y4440" s="4"/>
      <c r="Z4440" s="4"/>
    </row>
    <row r="4441" spans="1:26" ht="14.1" hidden="1">
      <c r="A4441" s="20">
        <v>4449</v>
      </c>
      <c r="B4441" s="1063">
        <v>44218</v>
      </c>
      <c r="C4441" s="934" t="s">
        <v>15116</v>
      </c>
      <c r="D4441" s="11"/>
      <c r="E4441" s="204" t="s">
        <v>62</v>
      </c>
      <c r="F4441" s="934" t="s">
        <v>15108</v>
      </c>
      <c r="G4441" s="204" t="s">
        <v>15131</v>
      </c>
      <c r="H4441" s="204" t="s">
        <v>107</v>
      </c>
      <c r="I4441" s="204" t="s">
        <v>366</v>
      </c>
      <c r="J4441" s="204" t="s">
        <v>15131</v>
      </c>
      <c r="K4441" s="204" t="s">
        <v>15131</v>
      </c>
      <c r="L4441" s="204"/>
      <c r="M4441" s="204">
        <v>7</v>
      </c>
      <c r="N4441" s="204">
        <v>50</v>
      </c>
      <c r="O4441" s="204">
        <v>50</v>
      </c>
      <c r="P4441" s="204">
        <v>0</v>
      </c>
      <c r="Q4441" s="572">
        <f t="shared" si="255"/>
        <v>43</v>
      </c>
      <c r="R4441" s="1209">
        <v>750</v>
      </c>
      <c r="S4441" s="1209">
        <v>750</v>
      </c>
      <c r="T4441" s="204" t="s">
        <v>15109</v>
      </c>
      <c r="U4441" s="1901" t="s">
        <v>15110</v>
      </c>
      <c r="V4441" s="572" t="s">
        <v>931</v>
      </c>
      <c r="W4441" s="681" t="s">
        <v>15132</v>
      </c>
      <c r="X4441" s="18"/>
      <c r="Y4441" s="4"/>
      <c r="Z4441" s="4"/>
    </row>
    <row r="4442" spans="1:26" ht="18" hidden="1">
      <c r="A4442" s="20">
        <v>4450</v>
      </c>
      <c r="B4442" s="1063">
        <v>44219</v>
      </c>
      <c r="C4442" s="934" t="s">
        <v>9373</v>
      </c>
      <c r="D4442" s="11"/>
      <c r="E4442" s="204" t="s">
        <v>62</v>
      </c>
      <c r="F4442" s="934" t="s">
        <v>15108</v>
      </c>
      <c r="G4442" s="204" t="s">
        <v>13622</v>
      </c>
      <c r="H4442" s="204" t="s">
        <v>382</v>
      </c>
      <c r="I4442" s="204" t="s">
        <v>382</v>
      </c>
      <c r="J4442" s="204" t="s">
        <v>13622</v>
      </c>
      <c r="K4442" s="204" t="s">
        <v>13622</v>
      </c>
      <c r="L4442" s="204"/>
      <c r="M4442" s="204">
        <v>1</v>
      </c>
      <c r="N4442" s="204">
        <v>10</v>
      </c>
      <c r="O4442" s="204">
        <v>10</v>
      </c>
      <c r="P4442" s="204">
        <v>0</v>
      </c>
      <c r="Q4442" s="572">
        <f t="shared" si="255"/>
        <v>9</v>
      </c>
      <c r="R4442" s="1209">
        <v>800</v>
      </c>
      <c r="S4442" s="1209">
        <v>800</v>
      </c>
      <c r="T4442" s="204" t="s">
        <v>15109</v>
      </c>
      <c r="U4442" s="1901" t="s">
        <v>15110</v>
      </c>
      <c r="V4442" s="572" t="s">
        <v>931</v>
      </c>
      <c r="W4442" s="2146" t="s">
        <v>395</v>
      </c>
      <c r="X4442" s="18"/>
      <c r="Y4442" s="4"/>
      <c r="Z4442" s="4"/>
    </row>
    <row r="4443" spans="1:26" ht="18" hidden="1">
      <c r="A4443" s="20">
        <v>4451</v>
      </c>
      <c r="B4443" s="1063">
        <v>44220</v>
      </c>
      <c r="C4443" s="934" t="s">
        <v>9373</v>
      </c>
      <c r="D4443" s="11"/>
      <c r="E4443" s="204" t="s">
        <v>62</v>
      </c>
      <c r="F4443" s="934" t="s">
        <v>15108</v>
      </c>
      <c r="G4443" s="204" t="s">
        <v>13621</v>
      </c>
      <c r="H4443" s="204" t="s">
        <v>382</v>
      </c>
      <c r="I4443" s="204" t="s">
        <v>382</v>
      </c>
      <c r="J4443" s="204" t="s">
        <v>13621</v>
      </c>
      <c r="K4443" s="204" t="s">
        <v>13621</v>
      </c>
      <c r="L4443" s="204"/>
      <c r="M4443" s="204">
        <v>1</v>
      </c>
      <c r="N4443" s="204">
        <v>10</v>
      </c>
      <c r="O4443" s="204">
        <v>10</v>
      </c>
      <c r="P4443" s="204">
        <v>0</v>
      </c>
      <c r="Q4443" s="572">
        <f t="shared" si="255"/>
        <v>9</v>
      </c>
      <c r="R4443" s="1209">
        <v>1580</v>
      </c>
      <c r="S4443" s="1209">
        <v>1580</v>
      </c>
      <c r="T4443" s="204" t="s">
        <v>15109</v>
      </c>
      <c r="U4443" s="1901" t="s">
        <v>15110</v>
      </c>
      <c r="V4443" s="572" t="s">
        <v>931</v>
      </c>
      <c r="W4443" s="2146" t="s">
        <v>395</v>
      </c>
      <c r="X4443" s="18"/>
      <c r="Y4443" s="4"/>
      <c r="Z4443" s="4"/>
    </row>
    <row r="4444" spans="1:26" ht="14.1" hidden="1">
      <c r="A4444" s="20">
        <v>4452</v>
      </c>
      <c r="B4444" s="1063">
        <v>44221</v>
      </c>
      <c r="C4444" s="934" t="s">
        <v>9373</v>
      </c>
      <c r="D4444" s="11"/>
      <c r="E4444" s="204" t="s">
        <v>62</v>
      </c>
      <c r="F4444" s="934" t="s">
        <v>15108</v>
      </c>
      <c r="G4444" s="204" t="s">
        <v>2604</v>
      </c>
      <c r="H4444" s="204" t="s">
        <v>382</v>
      </c>
      <c r="I4444" s="204" t="s">
        <v>366</v>
      </c>
      <c r="J4444" s="204" t="s">
        <v>2604</v>
      </c>
      <c r="K4444" s="204" t="s">
        <v>2604</v>
      </c>
      <c r="L4444" s="204"/>
      <c r="M4444" s="204">
        <v>2</v>
      </c>
      <c r="N4444" s="204">
        <v>10</v>
      </c>
      <c r="O4444" s="204">
        <v>10</v>
      </c>
      <c r="P4444" s="204">
        <v>0</v>
      </c>
      <c r="Q4444" s="572">
        <f t="shared" si="255"/>
        <v>8</v>
      </c>
      <c r="R4444" s="1209">
        <v>1480</v>
      </c>
      <c r="S4444" s="1209">
        <v>1480</v>
      </c>
      <c r="T4444" s="204" t="s">
        <v>15109</v>
      </c>
      <c r="U4444" s="1901" t="s">
        <v>15110</v>
      </c>
      <c r="V4444" s="572" t="s">
        <v>931</v>
      </c>
      <c r="W4444" s="681" t="s">
        <v>15133</v>
      </c>
      <c r="X4444" s="18"/>
      <c r="Y4444" s="4"/>
      <c r="Z4444" s="4"/>
    </row>
    <row r="4445" spans="1:26" ht="14.1" hidden="1">
      <c r="A4445" s="20">
        <v>4453</v>
      </c>
      <c r="B4445" s="1063">
        <v>44222</v>
      </c>
      <c r="C4445" s="934" t="s">
        <v>9373</v>
      </c>
      <c r="D4445" s="11"/>
      <c r="E4445" s="204" t="s">
        <v>62</v>
      </c>
      <c r="F4445" s="934" t="s">
        <v>15108</v>
      </c>
      <c r="G4445" s="204" t="s">
        <v>1524</v>
      </c>
      <c r="H4445" s="204" t="s">
        <v>382</v>
      </c>
      <c r="I4445" s="204" t="s">
        <v>366</v>
      </c>
      <c r="J4445" s="204" t="s">
        <v>1524</v>
      </c>
      <c r="K4445" s="204" t="s">
        <v>1524</v>
      </c>
      <c r="L4445" s="204"/>
      <c r="M4445" s="204">
        <v>3</v>
      </c>
      <c r="N4445" s="204">
        <v>10</v>
      </c>
      <c r="O4445" s="204">
        <v>10</v>
      </c>
      <c r="P4445" s="204">
        <v>0</v>
      </c>
      <c r="Q4445" s="572">
        <f t="shared" si="255"/>
        <v>7</v>
      </c>
      <c r="R4445" s="1209">
        <v>470</v>
      </c>
      <c r="S4445" s="1209">
        <v>470</v>
      </c>
      <c r="T4445" s="204" t="s">
        <v>15109</v>
      </c>
      <c r="U4445" s="1901" t="s">
        <v>15110</v>
      </c>
      <c r="V4445" s="572" t="s">
        <v>931</v>
      </c>
      <c r="W4445" s="681" t="s">
        <v>15134</v>
      </c>
      <c r="X4445" s="18"/>
      <c r="Y4445" s="4"/>
      <c r="Z4445" s="4"/>
    </row>
    <row r="4446" spans="1:26" ht="14.1" hidden="1">
      <c r="A4446" s="20">
        <v>4454</v>
      </c>
      <c r="B4446" s="1063">
        <v>44223</v>
      </c>
      <c r="C4446" s="934" t="s">
        <v>15116</v>
      </c>
      <c r="D4446" s="11"/>
      <c r="E4446" s="204" t="s">
        <v>62</v>
      </c>
      <c r="F4446" s="934" t="s">
        <v>15108</v>
      </c>
      <c r="G4446" s="204" t="s">
        <v>3980</v>
      </c>
      <c r="H4446" s="204" t="s">
        <v>107</v>
      </c>
      <c r="I4446" s="204" t="s">
        <v>366</v>
      </c>
      <c r="J4446" s="204" t="s">
        <v>3980</v>
      </c>
      <c r="K4446" s="204" t="s">
        <v>3980</v>
      </c>
      <c r="L4446" s="204"/>
      <c r="M4446" s="204">
        <v>2</v>
      </c>
      <c r="N4446" s="204">
        <v>50</v>
      </c>
      <c r="O4446" s="204">
        <v>50</v>
      </c>
      <c r="P4446" s="204">
        <v>0</v>
      </c>
      <c r="Q4446" s="572">
        <f t="shared" si="255"/>
        <v>48</v>
      </c>
      <c r="R4446" s="1209">
        <v>400</v>
      </c>
      <c r="S4446" s="1209">
        <v>400</v>
      </c>
      <c r="T4446" s="204" t="s">
        <v>15109</v>
      </c>
      <c r="U4446" s="1901" t="s">
        <v>15110</v>
      </c>
      <c r="V4446" s="572" t="s">
        <v>931</v>
      </c>
      <c r="W4446" s="681" t="s">
        <v>15135</v>
      </c>
      <c r="X4446" s="18"/>
      <c r="Y4446" s="4"/>
      <c r="Z4446" s="4"/>
    </row>
    <row r="4447" spans="1:26" ht="14.1" hidden="1">
      <c r="A4447" s="20">
        <v>4455</v>
      </c>
      <c r="B4447" s="1063">
        <v>44224</v>
      </c>
      <c r="C4447" s="934" t="s">
        <v>15116</v>
      </c>
      <c r="D4447" s="11"/>
      <c r="E4447" s="204" t="s">
        <v>62</v>
      </c>
      <c r="F4447" s="934" t="s">
        <v>15108</v>
      </c>
      <c r="G4447" s="204" t="s">
        <v>15136</v>
      </c>
      <c r="H4447" s="204" t="s">
        <v>107</v>
      </c>
      <c r="I4447" s="204" t="s">
        <v>366</v>
      </c>
      <c r="J4447" s="204" t="s">
        <v>15136</v>
      </c>
      <c r="K4447" s="204" t="s">
        <v>15136</v>
      </c>
      <c r="L4447" s="204"/>
      <c r="M4447" s="204">
        <v>8</v>
      </c>
      <c r="N4447" s="204">
        <v>50</v>
      </c>
      <c r="O4447" s="204">
        <v>50</v>
      </c>
      <c r="P4447" s="204">
        <v>0</v>
      </c>
      <c r="Q4447" s="572">
        <f t="shared" si="255"/>
        <v>42</v>
      </c>
      <c r="R4447" s="1209">
        <v>650</v>
      </c>
      <c r="S4447" s="1209">
        <v>650</v>
      </c>
      <c r="T4447" s="204" t="s">
        <v>15109</v>
      </c>
      <c r="U4447" s="1901" t="s">
        <v>15110</v>
      </c>
      <c r="V4447" s="572" t="s">
        <v>931</v>
      </c>
      <c r="W4447" s="681" t="s">
        <v>15137</v>
      </c>
      <c r="X4447" s="18"/>
      <c r="Y4447" s="4"/>
      <c r="Z4447" s="4"/>
    </row>
    <row r="4448" spans="1:26" ht="14.1" hidden="1">
      <c r="A4448" s="20">
        <v>4456</v>
      </c>
      <c r="B4448" s="1063">
        <v>44225</v>
      </c>
      <c r="C4448" s="934" t="s">
        <v>15116</v>
      </c>
      <c r="D4448" s="11"/>
      <c r="E4448" s="204" t="s">
        <v>62</v>
      </c>
      <c r="F4448" s="934" t="s">
        <v>15108</v>
      </c>
      <c r="G4448" s="204" t="s">
        <v>15138</v>
      </c>
      <c r="H4448" s="204" t="s">
        <v>107</v>
      </c>
      <c r="I4448" s="204" t="s">
        <v>366</v>
      </c>
      <c r="J4448" s="204" t="s">
        <v>15138</v>
      </c>
      <c r="K4448" s="204" t="s">
        <v>15138</v>
      </c>
      <c r="L4448" s="204"/>
      <c r="M4448" s="204">
        <v>4</v>
      </c>
      <c r="N4448" s="204">
        <v>50</v>
      </c>
      <c r="O4448" s="204">
        <v>50</v>
      </c>
      <c r="P4448" s="204">
        <v>0</v>
      </c>
      <c r="Q4448" s="572">
        <f t="shared" si="255"/>
        <v>46</v>
      </c>
      <c r="R4448" s="1209">
        <v>750</v>
      </c>
      <c r="S4448" s="1209">
        <v>750</v>
      </c>
      <c r="T4448" s="204" t="s">
        <v>15109</v>
      </c>
      <c r="U4448" s="1901" t="s">
        <v>15110</v>
      </c>
      <c r="V4448" s="572" t="s">
        <v>931</v>
      </c>
      <c r="W4448" s="681" t="s">
        <v>15139</v>
      </c>
      <c r="X4448" s="18"/>
      <c r="Y4448" s="4"/>
      <c r="Z4448" s="4"/>
    </row>
    <row r="4449" spans="1:26" ht="14.1" hidden="1">
      <c r="A4449" s="20">
        <v>4457</v>
      </c>
      <c r="B4449" s="1063">
        <v>44226</v>
      </c>
      <c r="C4449" s="934" t="s">
        <v>9373</v>
      </c>
      <c r="D4449" s="11"/>
      <c r="E4449" s="204" t="s">
        <v>62</v>
      </c>
      <c r="F4449" s="934" t="s">
        <v>15108</v>
      </c>
      <c r="G4449" s="204" t="s">
        <v>370</v>
      </c>
      <c r="H4449" s="204" t="s">
        <v>961</v>
      </c>
      <c r="I4449" s="204" t="s">
        <v>366</v>
      </c>
      <c r="J4449" s="204" t="s">
        <v>370</v>
      </c>
      <c r="K4449" s="204" t="s">
        <v>370</v>
      </c>
      <c r="L4449" s="204"/>
      <c r="M4449" s="204">
        <v>4</v>
      </c>
      <c r="N4449" s="204">
        <v>1</v>
      </c>
      <c r="O4449" s="204">
        <v>4</v>
      </c>
      <c r="P4449" s="204">
        <v>0</v>
      </c>
      <c r="Q4449" s="572">
        <f t="shared" si="255"/>
        <v>0</v>
      </c>
      <c r="R4449" s="1209">
        <v>260</v>
      </c>
      <c r="S4449" s="1209">
        <v>1040</v>
      </c>
      <c r="T4449" s="204" t="s">
        <v>15109</v>
      </c>
      <c r="U4449" s="1901" t="s">
        <v>15110</v>
      </c>
      <c r="V4449" s="572" t="s">
        <v>931</v>
      </c>
      <c r="W4449" s="681" t="s">
        <v>2615</v>
      </c>
      <c r="X4449" s="18"/>
      <c r="Y4449" s="4"/>
      <c r="Z4449" s="4"/>
    </row>
    <row r="4450" spans="1:26" ht="14.1" hidden="1">
      <c r="A4450" s="20">
        <v>4458</v>
      </c>
      <c r="B4450" s="1063">
        <v>44227</v>
      </c>
      <c r="C4450" s="934" t="s">
        <v>2619</v>
      </c>
      <c r="D4450" s="11"/>
      <c r="E4450" s="204" t="s">
        <v>62</v>
      </c>
      <c r="F4450" s="934" t="s">
        <v>15108</v>
      </c>
      <c r="G4450" s="204" t="s">
        <v>9145</v>
      </c>
      <c r="H4450" s="204" t="s">
        <v>382</v>
      </c>
      <c r="I4450" s="204" t="s">
        <v>366</v>
      </c>
      <c r="J4450" s="204" t="s">
        <v>9145</v>
      </c>
      <c r="K4450" s="204" t="s">
        <v>9145</v>
      </c>
      <c r="L4450" s="204"/>
      <c r="M4450" s="204">
        <v>2</v>
      </c>
      <c r="N4450" s="204">
        <v>20</v>
      </c>
      <c r="O4450" s="204">
        <v>20</v>
      </c>
      <c r="P4450" s="204">
        <v>0</v>
      </c>
      <c r="Q4450" s="572">
        <f t="shared" si="255"/>
        <v>18</v>
      </c>
      <c r="R4450" s="1209">
        <v>675</v>
      </c>
      <c r="S4450" s="1209">
        <v>675</v>
      </c>
      <c r="T4450" s="204" t="s">
        <v>15109</v>
      </c>
      <c r="U4450" s="1901" t="s">
        <v>15110</v>
      </c>
      <c r="V4450" s="572" t="s">
        <v>931</v>
      </c>
      <c r="W4450" s="681" t="s">
        <v>15140</v>
      </c>
      <c r="X4450" s="18"/>
      <c r="Y4450" s="4"/>
      <c r="Z4450" s="4"/>
    </row>
    <row r="4451" spans="1:26" ht="14.1" hidden="1">
      <c r="A4451" s="20">
        <v>4459</v>
      </c>
      <c r="B4451" s="1063">
        <v>44228</v>
      </c>
      <c r="C4451" s="934" t="s">
        <v>2034</v>
      </c>
      <c r="D4451" s="11" t="s">
        <v>6</v>
      </c>
      <c r="E4451" s="204" t="s">
        <v>15141</v>
      </c>
      <c r="F4451" s="934" t="s">
        <v>13447</v>
      </c>
      <c r="G4451" s="513" t="s">
        <v>13669</v>
      </c>
      <c r="H4451" s="204" t="s">
        <v>13670</v>
      </c>
      <c r="I4451" s="204" t="s">
        <v>15142</v>
      </c>
      <c r="J4451" s="204" t="s">
        <v>15143</v>
      </c>
      <c r="K4451" s="204" t="s">
        <v>2034</v>
      </c>
      <c r="L4451" s="204"/>
      <c r="M4451" s="204">
        <v>4</v>
      </c>
      <c r="N4451" s="204">
        <v>1</v>
      </c>
      <c r="O4451" s="204">
        <v>8</v>
      </c>
      <c r="P4451" s="204">
        <v>0</v>
      </c>
      <c r="Q4451" s="572">
        <v>4</v>
      </c>
      <c r="R4451" s="1209" t="s">
        <v>15144</v>
      </c>
      <c r="S4451" s="1209" t="s">
        <v>15145</v>
      </c>
      <c r="T4451" s="204" t="s">
        <v>9485</v>
      </c>
      <c r="U4451" s="1901" t="s">
        <v>1886</v>
      </c>
      <c r="V4451" s="572" t="s">
        <v>15146</v>
      </c>
      <c r="W4451" s="804" t="s">
        <v>15147</v>
      </c>
      <c r="X4451" s="18"/>
      <c r="Y4451" s="4"/>
      <c r="Z4451" s="4"/>
    </row>
    <row r="4452" spans="1:26" ht="14.1" hidden="1">
      <c r="A4452" s="20">
        <f>A4451+1</f>
        <v>4460</v>
      </c>
      <c r="B4452" s="1063">
        <v>44229</v>
      </c>
      <c r="C4452" s="934" t="s">
        <v>13711</v>
      </c>
      <c r="D4452" s="278"/>
      <c r="E4452" s="204" t="s">
        <v>683</v>
      </c>
      <c r="F4452" s="934" t="s">
        <v>9454</v>
      </c>
      <c r="G4452" s="204" t="s">
        <v>13712</v>
      </c>
      <c r="H4452" s="204" t="s">
        <v>1177</v>
      </c>
      <c r="I4452" s="204" t="s">
        <v>76</v>
      </c>
      <c r="J4452" s="204" t="s">
        <v>13713</v>
      </c>
      <c r="K4452" s="204">
        <v>4906554152942</v>
      </c>
      <c r="L4452" s="204"/>
      <c r="M4452" s="204">
        <v>1</v>
      </c>
      <c r="N4452" s="204">
        <v>1</v>
      </c>
      <c r="O4452" s="204">
        <v>1</v>
      </c>
      <c r="P4452" s="204">
        <v>0</v>
      </c>
      <c r="Q4452" s="572">
        <v>0</v>
      </c>
      <c r="R4452" s="1209">
        <v>980</v>
      </c>
      <c r="S4452" s="1209">
        <v>980</v>
      </c>
      <c r="T4452" s="204" t="s">
        <v>3961</v>
      </c>
      <c r="U4452" s="1901" t="s">
        <v>301</v>
      </c>
      <c r="V4452" s="572" t="s">
        <v>3342</v>
      </c>
      <c r="W4452" s="804" t="s">
        <v>9795</v>
      </c>
      <c r="X4452" s="18"/>
      <c r="Y4452" s="4"/>
      <c r="Z4452" s="4"/>
    </row>
    <row r="4453" spans="1:26" ht="14.1" hidden="1">
      <c r="A4453" s="20">
        <v>4461</v>
      </c>
      <c r="B4453" s="1063">
        <v>44230</v>
      </c>
      <c r="C4453" s="934" t="s">
        <v>15148</v>
      </c>
      <c r="D4453" s="278"/>
      <c r="E4453" s="204" t="s">
        <v>683</v>
      </c>
      <c r="F4453" s="934" t="s">
        <v>9454</v>
      </c>
      <c r="G4453" s="204" t="s">
        <v>13707</v>
      </c>
      <c r="H4453" s="204" t="s">
        <v>15149</v>
      </c>
      <c r="I4453" s="204" t="s">
        <v>76</v>
      </c>
      <c r="J4453" s="204" t="s">
        <v>15150</v>
      </c>
      <c r="K4453" s="204" t="s">
        <v>15151</v>
      </c>
      <c r="L4453" s="204"/>
      <c r="M4453" s="204">
        <v>5</v>
      </c>
      <c r="N4453" s="204">
        <v>1</v>
      </c>
      <c r="O4453" s="204">
        <v>5</v>
      </c>
      <c r="P4453" s="204">
        <v>2</v>
      </c>
      <c r="Q4453" s="572">
        <v>7</v>
      </c>
      <c r="R4453" s="1209">
        <v>1180</v>
      </c>
      <c r="S4453" s="1209">
        <v>5900</v>
      </c>
      <c r="T4453" s="204" t="s">
        <v>3961</v>
      </c>
      <c r="U4453" s="1901" t="s">
        <v>301</v>
      </c>
      <c r="V4453" s="572" t="s">
        <v>3342</v>
      </c>
      <c r="W4453" s="804" t="s">
        <v>15152</v>
      </c>
      <c r="X4453" s="18"/>
      <c r="Y4453" s="4"/>
      <c r="Z4453" s="4"/>
    </row>
    <row r="4454" spans="1:26" ht="14.1" hidden="1">
      <c r="A4454" s="20">
        <v>4462</v>
      </c>
      <c r="B4454" s="1063">
        <v>44231</v>
      </c>
      <c r="C4454" s="934" t="s">
        <v>15153</v>
      </c>
      <c r="D4454" s="278"/>
      <c r="E4454" s="204" t="s">
        <v>62</v>
      </c>
      <c r="F4454" s="934" t="s">
        <v>2693</v>
      </c>
      <c r="G4454" s="204" t="s">
        <v>15154</v>
      </c>
      <c r="H4454" s="204" t="s">
        <v>15155</v>
      </c>
      <c r="I4454" s="204" t="s">
        <v>1022</v>
      </c>
      <c r="J4454" s="204"/>
      <c r="K4454" s="450" t="s">
        <v>15156</v>
      </c>
      <c r="L4454" s="204"/>
      <c r="M4454" s="204">
        <v>1</v>
      </c>
      <c r="N4454" s="204">
        <v>1</v>
      </c>
      <c r="O4454" s="204">
        <v>1</v>
      </c>
      <c r="P4454" s="204">
        <v>0</v>
      </c>
      <c r="Q4454" s="572">
        <v>1</v>
      </c>
      <c r="R4454" s="1209">
        <v>1190</v>
      </c>
      <c r="S4454" s="1209">
        <v>1190</v>
      </c>
      <c r="T4454" s="204" t="s">
        <v>311</v>
      </c>
      <c r="U4454" s="1901" t="s">
        <v>311</v>
      </c>
      <c r="V4454" s="572" t="s">
        <v>9064</v>
      </c>
      <c r="W4454" s="1184" t="s">
        <v>15157</v>
      </c>
      <c r="X4454" s="18"/>
      <c r="Y4454" s="4"/>
      <c r="Z4454" s="4"/>
    </row>
    <row r="4455" spans="1:26" ht="14.1" hidden="1">
      <c r="A4455" s="20">
        <v>4463</v>
      </c>
      <c r="B4455" s="1063">
        <v>44232</v>
      </c>
      <c r="C4455" s="934" t="s">
        <v>15158</v>
      </c>
      <c r="D4455" s="278"/>
      <c r="E4455" s="204" t="s">
        <v>572</v>
      </c>
      <c r="F4455" s="934" t="s">
        <v>784</v>
      </c>
      <c r="G4455" s="204" t="s">
        <v>15159</v>
      </c>
      <c r="H4455" s="204" t="s">
        <v>287</v>
      </c>
      <c r="I4455" s="204" t="s">
        <v>4480</v>
      </c>
      <c r="J4455" s="204" t="s">
        <v>149</v>
      </c>
      <c r="K4455" s="204" t="s">
        <v>149</v>
      </c>
      <c r="L4455" s="204"/>
      <c r="M4455" s="204">
        <v>1</v>
      </c>
      <c r="N4455" s="204">
        <v>1</v>
      </c>
      <c r="O4455" s="204">
        <v>1</v>
      </c>
      <c r="P4455" s="204">
        <v>0</v>
      </c>
      <c r="Q4455" s="572">
        <v>0</v>
      </c>
      <c r="R4455" s="1209">
        <v>125757</v>
      </c>
      <c r="S4455" s="1209">
        <f>R4455*O4455</f>
        <v>125757</v>
      </c>
      <c r="T4455" s="204" t="s">
        <v>10016</v>
      </c>
      <c r="U4455" s="1901" t="s">
        <v>10016</v>
      </c>
      <c r="V4455" s="572" t="s">
        <v>7705</v>
      </c>
      <c r="W4455" s="681"/>
      <c r="X4455" s="18"/>
      <c r="Y4455" s="4"/>
      <c r="Z4455" s="4"/>
    </row>
    <row r="4456" spans="1:26" ht="14.1" hidden="1">
      <c r="A4456" s="20">
        <v>4464</v>
      </c>
      <c r="B4456" s="1063">
        <v>44233</v>
      </c>
      <c r="C4456" s="924" t="s">
        <v>152</v>
      </c>
      <c r="D4456" s="278"/>
      <c r="E4456" s="20" t="s">
        <v>12613</v>
      </c>
      <c r="F4456" s="960" t="s">
        <v>14023</v>
      </c>
      <c r="G4456" s="760" t="s">
        <v>15160</v>
      </c>
      <c r="H4456" s="678" t="s">
        <v>166</v>
      </c>
      <c r="I4456" s="678" t="s">
        <v>4634</v>
      </c>
      <c r="J4456" s="780" t="s">
        <v>15161</v>
      </c>
      <c r="K4456" s="786" t="s">
        <v>15162</v>
      </c>
      <c r="L4456" s="678" t="s">
        <v>8980</v>
      </c>
      <c r="M4456" s="678">
        <v>6</v>
      </c>
      <c r="N4456" s="678">
        <v>10</v>
      </c>
      <c r="O4456" s="678">
        <v>10</v>
      </c>
      <c r="P4456" s="678">
        <v>0</v>
      </c>
      <c r="Q4456" s="678">
        <v>4</v>
      </c>
      <c r="R4456" s="1285">
        <v>8.9</v>
      </c>
      <c r="S4456" s="1285">
        <v>89</v>
      </c>
      <c r="T4456" s="678" t="s">
        <v>12330</v>
      </c>
      <c r="U4456" s="1933" t="s">
        <v>14027</v>
      </c>
      <c r="V4456" s="183" t="s">
        <v>5990</v>
      </c>
      <c r="W4456" s="790" t="s">
        <v>15163</v>
      </c>
      <c r="X4456" s="734"/>
      <c r="Y4456" s="4"/>
      <c r="Z4456" s="4"/>
    </row>
    <row r="4457" spans="1:26" ht="14.45" hidden="1">
      <c r="A4457" s="20">
        <v>4465</v>
      </c>
      <c r="B4457" s="1063">
        <v>44234</v>
      </c>
      <c r="C4457" s="987" t="s">
        <v>152</v>
      </c>
      <c r="D4457" s="278"/>
      <c r="E4457" s="20" t="s">
        <v>12613</v>
      </c>
      <c r="F4457" s="986" t="s">
        <v>14023</v>
      </c>
      <c r="G4457" s="532" t="s">
        <v>14091</v>
      </c>
      <c r="H4457" s="298" t="s">
        <v>166</v>
      </c>
      <c r="I4457" s="298" t="s">
        <v>4634</v>
      </c>
      <c r="J4457" s="532" t="s">
        <v>14092</v>
      </c>
      <c r="K4457" s="533" t="s">
        <v>14093</v>
      </c>
      <c r="L4457" s="298" t="s">
        <v>8980</v>
      </c>
      <c r="M4457" s="298">
        <v>6</v>
      </c>
      <c r="N4457" s="282">
        <v>10</v>
      </c>
      <c r="O4457" s="282">
        <v>10</v>
      </c>
      <c r="P4457" s="298">
        <v>0</v>
      </c>
      <c r="Q4457" s="298">
        <v>4</v>
      </c>
      <c r="R4457" s="1283">
        <v>6.7</v>
      </c>
      <c r="S4457" s="1283">
        <v>67</v>
      </c>
      <c r="T4457" s="298" t="s">
        <v>12330</v>
      </c>
      <c r="U4457" s="1537" t="s">
        <v>14027</v>
      </c>
      <c r="V4457" s="204" t="s">
        <v>5990</v>
      </c>
      <c r="W4457" s="785" t="s">
        <v>14094</v>
      </c>
      <c r="X4457" s="330"/>
      <c r="Y4457" s="4"/>
      <c r="Z4457" s="4"/>
    </row>
    <row r="4458" spans="1:26" ht="14.45" hidden="1">
      <c r="A4458" s="20">
        <v>4466</v>
      </c>
      <c r="B4458" s="1063">
        <v>44235</v>
      </c>
      <c r="C4458" s="987" t="s">
        <v>329</v>
      </c>
      <c r="D4458" s="278"/>
      <c r="E4458" s="20" t="s">
        <v>12613</v>
      </c>
      <c r="F4458" s="986" t="s">
        <v>14023</v>
      </c>
      <c r="G4458" s="532" t="s">
        <v>15164</v>
      </c>
      <c r="H4458" s="298" t="s">
        <v>332</v>
      </c>
      <c r="I4458" s="298" t="s">
        <v>4634</v>
      </c>
      <c r="J4458" s="532" t="s">
        <v>15165</v>
      </c>
      <c r="K4458" s="452" t="s">
        <v>15166</v>
      </c>
      <c r="L4458" s="298" t="s">
        <v>8980</v>
      </c>
      <c r="M4458" s="298">
        <v>6</v>
      </c>
      <c r="N4458" s="282">
        <v>10</v>
      </c>
      <c r="O4458" s="282">
        <v>10</v>
      </c>
      <c r="P4458" s="298">
        <v>0</v>
      </c>
      <c r="Q4458" s="298">
        <v>4</v>
      </c>
      <c r="R4458" s="1342">
        <v>16.899999999999999</v>
      </c>
      <c r="S4458" s="1283">
        <v>169</v>
      </c>
      <c r="T4458" s="298" t="s">
        <v>12330</v>
      </c>
      <c r="U4458" s="1537" t="s">
        <v>14027</v>
      </c>
      <c r="V4458" s="204" t="s">
        <v>5990</v>
      </c>
      <c r="W4458" s="785" t="s">
        <v>15167</v>
      </c>
      <c r="X4458" s="282"/>
      <c r="Y4458" s="4"/>
      <c r="Z4458" s="4"/>
    </row>
    <row r="4459" spans="1:26" ht="14.45" hidden="1">
      <c r="A4459" s="20">
        <v>4467</v>
      </c>
      <c r="B4459" s="1063">
        <v>44236</v>
      </c>
      <c r="C4459" s="987" t="s">
        <v>329</v>
      </c>
      <c r="D4459" s="278"/>
      <c r="E4459" s="20" t="s">
        <v>12613</v>
      </c>
      <c r="F4459" s="986" t="s">
        <v>14023</v>
      </c>
      <c r="G4459" s="532" t="s">
        <v>15168</v>
      </c>
      <c r="H4459" s="298" t="s">
        <v>332</v>
      </c>
      <c r="I4459" s="298" t="s">
        <v>4634</v>
      </c>
      <c r="J4459" s="532" t="s">
        <v>15169</v>
      </c>
      <c r="K4459" s="452" t="s">
        <v>15170</v>
      </c>
      <c r="L4459" s="298" t="s">
        <v>8980</v>
      </c>
      <c r="M4459" s="298">
        <v>6</v>
      </c>
      <c r="N4459" s="282">
        <v>10</v>
      </c>
      <c r="O4459" s="282">
        <v>10</v>
      </c>
      <c r="P4459" s="298">
        <v>0</v>
      </c>
      <c r="Q4459" s="298">
        <v>4</v>
      </c>
      <c r="R4459" s="1342">
        <v>10.7</v>
      </c>
      <c r="S4459" s="1283">
        <v>107</v>
      </c>
      <c r="T4459" s="298" t="s">
        <v>12330</v>
      </c>
      <c r="U4459" s="1537" t="s">
        <v>14027</v>
      </c>
      <c r="V4459" s="204" t="s">
        <v>5990</v>
      </c>
      <c r="W4459" s="785" t="s">
        <v>15171</v>
      </c>
      <c r="X4459" s="282"/>
      <c r="Y4459" s="4"/>
      <c r="Z4459" s="4"/>
    </row>
    <row r="4460" spans="1:26" ht="14.45" hidden="1">
      <c r="A4460" s="20">
        <v>4468</v>
      </c>
      <c r="B4460" s="1063">
        <v>44237</v>
      </c>
      <c r="C4460" s="987" t="s">
        <v>15172</v>
      </c>
      <c r="D4460" s="278"/>
      <c r="E4460" s="20" t="s">
        <v>12613</v>
      </c>
      <c r="F4460" s="986" t="s">
        <v>14023</v>
      </c>
      <c r="G4460" s="532" t="s">
        <v>15173</v>
      </c>
      <c r="H4460" s="298" t="s">
        <v>15174</v>
      </c>
      <c r="I4460" s="298" t="s">
        <v>4634</v>
      </c>
      <c r="J4460" s="532" t="s">
        <v>15175</v>
      </c>
      <c r="K4460" s="452" t="s">
        <v>15176</v>
      </c>
      <c r="L4460" s="298" t="s">
        <v>14120</v>
      </c>
      <c r="M4460" s="298">
        <v>1</v>
      </c>
      <c r="N4460" s="282">
        <v>1</v>
      </c>
      <c r="O4460" s="282">
        <v>2</v>
      </c>
      <c r="P4460" s="298">
        <v>0</v>
      </c>
      <c r="Q4460" s="298">
        <v>1</v>
      </c>
      <c r="R4460" s="1342">
        <v>442.5</v>
      </c>
      <c r="S4460" s="1283">
        <v>885</v>
      </c>
      <c r="T4460" s="298" t="s">
        <v>12330</v>
      </c>
      <c r="U4460" s="1537" t="s">
        <v>14027</v>
      </c>
      <c r="V4460" s="204" t="s">
        <v>5990</v>
      </c>
      <c r="W4460" s="785" t="s">
        <v>15177</v>
      </c>
      <c r="X4460" s="282"/>
      <c r="Y4460" s="4"/>
      <c r="Z4460" s="4"/>
    </row>
    <row r="4461" spans="1:26" ht="14.45" hidden="1">
      <c r="A4461" s="20">
        <v>4469</v>
      </c>
      <c r="B4461" s="1063">
        <v>44238</v>
      </c>
      <c r="C4461" s="987" t="s">
        <v>15178</v>
      </c>
      <c r="D4461" s="278"/>
      <c r="E4461" s="20" t="s">
        <v>12613</v>
      </c>
      <c r="F4461" s="961" t="s">
        <v>14023</v>
      </c>
      <c r="G4461" s="299" t="s">
        <v>15179</v>
      </c>
      <c r="H4461" s="282" t="s">
        <v>249</v>
      </c>
      <c r="I4461" s="282" t="s">
        <v>4634</v>
      </c>
      <c r="J4461" s="282" t="s">
        <v>15180</v>
      </c>
      <c r="K4461" s="573" t="s">
        <v>15181</v>
      </c>
      <c r="L4461" s="298" t="s">
        <v>14120</v>
      </c>
      <c r="M4461" s="282">
        <v>4</v>
      </c>
      <c r="N4461" s="282">
        <v>10</v>
      </c>
      <c r="O4461" s="282">
        <v>10</v>
      </c>
      <c r="P4461" s="282">
        <v>0</v>
      </c>
      <c r="Q4461" s="282">
        <v>6</v>
      </c>
      <c r="R4461" s="1286">
        <v>144</v>
      </c>
      <c r="S4461" s="1263">
        <v>1440</v>
      </c>
      <c r="T4461" s="282" t="s">
        <v>12330</v>
      </c>
      <c r="U4461" s="765" t="s">
        <v>14027</v>
      </c>
      <c r="V4461" s="183" t="s">
        <v>5990</v>
      </c>
      <c r="W4461" s="690" t="s">
        <v>15182</v>
      </c>
      <c r="X4461" s="328"/>
      <c r="Y4461" s="4"/>
      <c r="Z4461" s="4"/>
    </row>
    <row r="4462" spans="1:26" ht="14.45" hidden="1">
      <c r="A4462" s="20">
        <v>4470</v>
      </c>
      <c r="B4462" s="1063">
        <v>44239</v>
      </c>
      <c r="C4462" s="987" t="s">
        <v>15183</v>
      </c>
      <c r="D4462" s="278"/>
      <c r="E4462" s="20" t="s">
        <v>12613</v>
      </c>
      <c r="F4462" s="961" t="s">
        <v>14023</v>
      </c>
      <c r="G4462" s="282" t="s">
        <v>15184</v>
      </c>
      <c r="H4462" s="282" t="s">
        <v>15185</v>
      </c>
      <c r="I4462" s="282" t="s">
        <v>4634</v>
      </c>
      <c r="J4462" s="282" t="s">
        <v>15186</v>
      </c>
      <c r="K4462" s="573" t="s">
        <v>15187</v>
      </c>
      <c r="L4462" s="298" t="s">
        <v>14120</v>
      </c>
      <c r="M4462" s="282">
        <v>3</v>
      </c>
      <c r="N4462" s="282">
        <v>5</v>
      </c>
      <c r="O4462" s="282">
        <v>6</v>
      </c>
      <c r="P4462" s="282">
        <v>0</v>
      </c>
      <c r="Q4462" s="282">
        <v>2</v>
      </c>
      <c r="R4462" s="1286">
        <v>2448.5</v>
      </c>
      <c r="S4462" s="1263">
        <v>14691</v>
      </c>
      <c r="T4462" s="282" t="s">
        <v>12330</v>
      </c>
      <c r="U4462" s="765" t="s">
        <v>14027</v>
      </c>
      <c r="V4462" s="183" t="s">
        <v>5990</v>
      </c>
      <c r="W4462" s="690" t="s">
        <v>15188</v>
      </c>
      <c r="X4462" s="328"/>
      <c r="Y4462" s="4"/>
      <c r="Z4462" s="4"/>
    </row>
    <row r="4463" spans="1:26" ht="14.45" hidden="1">
      <c r="A4463" s="20">
        <v>4471</v>
      </c>
      <c r="B4463" s="1063">
        <v>44240</v>
      </c>
      <c r="C4463" s="1009" t="s">
        <v>14145</v>
      </c>
      <c r="D4463" s="278"/>
      <c r="E4463" s="20" t="s">
        <v>12613</v>
      </c>
      <c r="F4463" s="986" t="s">
        <v>14023</v>
      </c>
      <c r="G4463" s="532" t="s">
        <v>14146</v>
      </c>
      <c r="H4463" s="298" t="s">
        <v>6984</v>
      </c>
      <c r="I4463" s="298" t="s">
        <v>4634</v>
      </c>
      <c r="J4463" s="532" t="s">
        <v>14147</v>
      </c>
      <c r="K4463" s="452" t="s">
        <v>14148</v>
      </c>
      <c r="L4463" s="298" t="s">
        <v>14120</v>
      </c>
      <c r="M4463" s="298">
        <v>2</v>
      </c>
      <c r="N4463" s="282">
        <v>1</v>
      </c>
      <c r="O4463" s="282">
        <v>2</v>
      </c>
      <c r="P4463" s="298">
        <v>0</v>
      </c>
      <c r="Q4463" s="298">
        <v>0</v>
      </c>
      <c r="R4463" s="1283">
        <v>3062</v>
      </c>
      <c r="S4463" s="1283">
        <v>6124</v>
      </c>
      <c r="T4463" s="298" t="s">
        <v>12330</v>
      </c>
      <c r="U4463" s="1537" t="s">
        <v>14027</v>
      </c>
      <c r="V4463" s="204" t="s">
        <v>5990</v>
      </c>
      <c r="W4463" s="785" t="s">
        <v>14149</v>
      </c>
      <c r="X4463" s="330"/>
      <c r="Y4463" s="4"/>
      <c r="Z4463" s="4"/>
    </row>
    <row r="4464" spans="1:26" ht="14.45" hidden="1">
      <c r="A4464" s="20">
        <v>4472</v>
      </c>
      <c r="B4464" s="1063">
        <v>44241</v>
      </c>
      <c r="C4464" s="987" t="s">
        <v>15189</v>
      </c>
      <c r="D4464" s="278"/>
      <c r="E4464" s="20" t="s">
        <v>12613</v>
      </c>
      <c r="F4464" s="961" t="s">
        <v>14023</v>
      </c>
      <c r="G4464" s="282" t="s">
        <v>15190</v>
      </c>
      <c r="H4464" s="282" t="s">
        <v>460</v>
      </c>
      <c r="I4464" s="282" t="s">
        <v>4634</v>
      </c>
      <c r="J4464" s="532" t="s">
        <v>15191</v>
      </c>
      <c r="K4464" s="452" t="s">
        <v>15192</v>
      </c>
      <c r="L4464" s="574" t="s">
        <v>15193</v>
      </c>
      <c r="M4464" s="282">
        <v>2</v>
      </c>
      <c r="N4464" s="282">
        <v>1</v>
      </c>
      <c r="O4464" s="282">
        <v>3</v>
      </c>
      <c r="P4464" s="282">
        <v>0</v>
      </c>
      <c r="Q4464" s="282">
        <v>1</v>
      </c>
      <c r="R4464" s="1286">
        <v>625.4</v>
      </c>
      <c r="S4464" s="1263">
        <v>1876.2</v>
      </c>
      <c r="T4464" s="298" t="s">
        <v>12330</v>
      </c>
      <c r="U4464" s="1537" t="s">
        <v>14027</v>
      </c>
      <c r="V4464" s="204" t="s">
        <v>5990</v>
      </c>
      <c r="W4464" s="690" t="s">
        <v>15194</v>
      </c>
      <c r="X4464" s="328"/>
      <c r="Y4464" s="4"/>
      <c r="Z4464" s="4"/>
    </row>
    <row r="4465" spans="1:26" ht="14.45" hidden="1">
      <c r="A4465" s="20">
        <v>4473</v>
      </c>
      <c r="B4465" s="1063">
        <v>44242</v>
      </c>
      <c r="C4465" s="987" t="s">
        <v>15195</v>
      </c>
      <c r="D4465" s="278"/>
      <c r="E4465" s="20" t="s">
        <v>12613</v>
      </c>
      <c r="F4465" s="961" t="s">
        <v>14023</v>
      </c>
      <c r="G4465" s="282" t="s">
        <v>15196</v>
      </c>
      <c r="H4465" s="282" t="s">
        <v>460</v>
      </c>
      <c r="I4465" s="282" t="s">
        <v>4634</v>
      </c>
      <c r="J4465" s="1092" t="s">
        <v>15197</v>
      </c>
      <c r="K4465" s="575" t="s">
        <v>15198</v>
      </c>
      <c r="L4465" s="574" t="s">
        <v>15193</v>
      </c>
      <c r="M4465" s="282">
        <v>6</v>
      </c>
      <c r="N4465" s="282">
        <v>10</v>
      </c>
      <c r="O4465" s="282">
        <v>10</v>
      </c>
      <c r="P4465" s="282">
        <v>0</v>
      </c>
      <c r="Q4465" s="282">
        <v>4</v>
      </c>
      <c r="R4465" s="1286">
        <v>40.6</v>
      </c>
      <c r="S4465" s="1263">
        <v>406</v>
      </c>
      <c r="T4465" s="298" t="s">
        <v>12330</v>
      </c>
      <c r="U4465" s="1537" t="s">
        <v>14027</v>
      </c>
      <c r="V4465" s="204" t="s">
        <v>5990</v>
      </c>
      <c r="W4465" s="690" t="s">
        <v>15199</v>
      </c>
      <c r="X4465" s="328"/>
      <c r="Y4465" s="4"/>
      <c r="Z4465" s="4"/>
    </row>
    <row r="4466" spans="1:26" ht="14.45" hidden="1">
      <c r="A4466" s="20">
        <v>4474</v>
      </c>
      <c r="B4466" s="1063">
        <v>44243</v>
      </c>
      <c r="C4466" s="958" t="s">
        <v>15200</v>
      </c>
      <c r="D4466" s="278"/>
      <c r="E4466" s="20" t="s">
        <v>12613</v>
      </c>
      <c r="F4466" s="961" t="s">
        <v>14023</v>
      </c>
      <c r="G4466" s="282" t="s">
        <v>15201</v>
      </c>
      <c r="H4466" s="282" t="s">
        <v>511</v>
      </c>
      <c r="I4466" s="282" t="s">
        <v>4634</v>
      </c>
      <c r="J4466" s="780" t="s">
        <v>15202</v>
      </c>
      <c r="K4466" s="452" t="s">
        <v>15203</v>
      </c>
      <c r="L4466" s="574" t="s">
        <v>15204</v>
      </c>
      <c r="M4466" s="282">
        <v>8</v>
      </c>
      <c r="N4466" s="282">
        <v>10</v>
      </c>
      <c r="O4466" s="282">
        <v>20</v>
      </c>
      <c r="P4466" s="282">
        <v>0</v>
      </c>
      <c r="Q4466" s="282">
        <v>12</v>
      </c>
      <c r="R4466" s="1286">
        <v>48.9</v>
      </c>
      <c r="S4466" s="1263">
        <v>978</v>
      </c>
      <c r="T4466" s="298" t="s">
        <v>12330</v>
      </c>
      <c r="U4466" s="1537" t="s">
        <v>14027</v>
      </c>
      <c r="V4466" s="204" t="s">
        <v>5990</v>
      </c>
      <c r="W4466" s="690" t="s">
        <v>15205</v>
      </c>
      <c r="X4466" s="328"/>
      <c r="Y4466" s="4"/>
      <c r="Z4466" s="4"/>
    </row>
    <row r="4467" spans="1:26" ht="14.45" hidden="1">
      <c r="A4467" s="20">
        <v>4475</v>
      </c>
      <c r="B4467" s="1063">
        <v>44244</v>
      </c>
      <c r="C4467" s="987" t="s">
        <v>15206</v>
      </c>
      <c r="D4467" s="278"/>
      <c r="E4467" s="20" t="s">
        <v>12613</v>
      </c>
      <c r="F4467" s="961" t="s">
        <v>14023</v>
      </c>
      <c r="G4467" s="282" t="s">
        <v>15207</v>
      </c>
      <c r="H4467" s="298" t="s">
        <v>752</v>
      </c>
      <c r="I4467" s="282" t="s">
        <v>15208</v>
      </c>
      <c r="J4467" s="532" t="s">
        <v>15209</v>
      </c>
      <c r="K4467" s="452" t="s">
        <v>13053</v>
      </c>
      <c r="L4467" s="282" t="s">
        <v>15210</v>
      </c>
      <c r="M4467" s="282">
        <v>4</v>
      </c>
      <c r="N4467" s="282">
        <v>1</v>
      </c>
      <c r="O4467" s="282">
        <v>6</v>
      </c>
      <c r="P4467" s="282">
        <v>0</v>
      </c>
      <c r="Q4467" s="282">
        <v>2</v>
      </c>
      <c r="R4467" s="1286">
        <v>3089.1</v>
      </c>
      <c r="S4467" s="1263">
        <v>18534.599999999999</v>
      </c>
      <c r="T4467" s="298" t="s">
        <v>12330</v>
      </c>
      <c r="U4467" s="1537" t="s">
        <v>14027</v>
      </c>
      <c r="V4467" s="204" t="s">
        <v>5990</v>
      </c>
      <c r="W4467" s="690" t="s">
        <v>15211</v>
      </c>
      <c r="X4467" s="328"/>
      <c r="Y4467" s="4"/>
      <c r="Z4467" s="4"/>
    </row>
    <row r="4468" spans="1:26" ht="14.45" hidden="1">
      <c r="A4468" s="20">
        <v>4476</v>
      </c>
      <c r="B4468" s="1063">
        <v>44245</v>
      </c>
      <c r="C4468" s="987" t="s">
        <v>15212</v>
      </c>
      <c r="D4468" s="278"/>
      <c r="E4468" s="20" t="s">
        <v>12613</v>
      </c>
      <c r="F4468" s="986" t="s">
        <v>14023</v>
      </c>
      <c r="G4468" s="282" t="s">
        <v>15213</v>
      </c>
      <c r="H4468" s="298" t="s">
        <v>14111</v>
      </c>
      <c r="I4468" s="298" t="s">
        <v>4634</v>
      </c>
      <c r="J4468" s="532" t="s">
        <v>15214</v>
      </c>
      <c r="K4468" s="452" t="s">
        <v>15215</v>
      </c>
      <c r="L4468" s="298" t="s">
        <v>14114</v>
      </c>
      <c r="M4468" s="298">
        <v>2</v>
      </c>
      <c r="N4468" s="282">
        <v>1</v>
      </c>
      <c r="O4468" s="282">
        <v>4</v>
      </c>
      <c r="P4468" s="298">
        <v>0</v>
      </c>
      <c r="Q4468" s="298">
        <v>2</v>
      </c>
      <c r="R4468" s="1283">
        <v>71</v>
      </c>
      <c r="S4468" s="1263">
        <v>284</v>
      </c>
      <c r="T4468" s="298" t="s">
        <v>12330</v>
      </c>
      <c r="U4468" s="1537" t="s">
        <v>14027</v>
      </c>
      <c r="V4468" s="204" t="s">
        <v>5990</v>
      </c>
      <c r="W4468" s="785" t="s">
        <v>15216</v>
      </c>
      <c r="X4468" s="330"/>
      <c r="Y4468" s="4"/>
      <c r="Z4468" s="4"/>
    </row>
    <row r="4469" spans="1:26" ht="14.45" hidden="1">
      <c r="A4469" s="20">
        <v>4477</v>
      </c>
      <c r="B4469" s="1063">
        <v>44246</v>
      </c>
      <c r="C4469" s="987" t="s">
        <v>15217</v>
      </c>
      <c r="D4469" s="278"/>
      <c r="E4469" s="20" t="s">
        <v>12613</v>
      </c>
      <c r="F4469" s="961" t="s">
        <v>14023</v>
      </c>
      <c r="G4469" s="282" t="s">
        <v>15218</v>
      </c>
      <c r="H4469" s="282" t="s">
        <v>249</v>
      </c>
      <c r="I4469" s="282" t="s">
        <v>4634</v>
      </c>
      <c r="J4469" s="532" t="s">
        <v>15219</v>
      </c>
      <c r="K4469" s="452" t="s">
        <v>15220</v>
      </c>
      <c r="L4469" s="298" t="s">
        <v>14120</v>
      </c>
      <c r="M4469" s="282">
        <v>5</v>
      </c>
      <c r="N4469" s="282">
        <v>10</v>
      </c>
      <c r="O4469" s="282">
        <v>10</v>
      </c>
      <c r="P4469" s="282">
        <v>0</v>
      </c>
      <c r="Q4469" s="282">
        <v>5</v>
      </c>
      <c r="R4469" s="1286">
        <v>24.8</v>
      </c>
      <c r="S4469" s="1263">
        <v>248</v>
      </c>
      <c r="T4469" s="298" t="s">
        <v>12330</v>
      </c>
      <c r="U4469" s="1537" t="s">
        <v>14027</v>
      </c>
      <c r="V4469" s="204" t="s">
        <v>5990</v>
      </c>
      <c r="W4469" s="690" t="s">
        <v>15221</v>
      </c>
      <c r="X4469" s="328"/>
      <c r="Y4469" s="4"/>
      <c r="Z4469" s="4"/>
    </row>
    <row r="4470" spans="1:26" ht="14.45" hidden="1">
      <c r="A4470" s="20">
        <v>4478</v>
      </c>
      <c r="B4470" s="1063">
        <v>44247</v>
      </c>
      <c r="C4470" s="987" t="s">
        <v>15222</v>
      </c>
      <c r="D4470" s="278"/>
      <c r="E4470" s="20" t="s">
        <v>12613</v>
      </c>
      <c r="F4470" s="961" t="s">
        <v>15223</v>
      </c>
      <c r="G4470" s="282" t="s">
        <v>15224</v>
      </c>
      <c r="H4470" s="282" t="s">
        <v>249</v>
      </c>
      <c r="I4470" s="282" t="s">
        <v>4634</v>
      </c>
      <c r="J4470" s="532" t="s">
        <v>15225</v>
      </c>
      <c r="K4470" s="452" t="s">
        <v>15226</v>
      </c>
      <c r="L4470" s="298" t="s">
        <v>14120</v>
      </c>
      <c r="M4470" s="282">
        <v>1</v>
      </c>
      <c r="N4470" s="282">
        <v>1</v>
      </c>
      <c r="O4470" s="282">
        <v>2</v>
      </c>
      <c r="P4470" s="282">
        <v>0</v>
      </c>
      <c r="Q4470" s="282">
        <v>1</v>
      </c>
      <c r="R4470" s="1286">
        <v>293</v>
      </c>
      <c r="S4470" s="1263">
        <v>586</v>
      </c>
      <c r="T4470" s="298" t="s">
        <v>12330</v>
      </c>
      <c r="U4470" s="1537" t="s">
        <v>14027</v>
      </c>
      <c r="V4470" s="204" t="s">
        <v>5990</v>
      </c>
      <c r="W4470" s="690" t="s">
        <v>15227</v>
      </c>
      <c r="X4470" s="328"/>
      <c r="Y4470" s="4"/>
      <c r="Z4470" s="4"/>
    </row>
    <row r="4471" spans="1:26" ht="14.45" hidden="1">
      <c r="A4471" s="20">
        <v>4479</v>
      </c>
      <c r="B4471" s="1063">
        <v>44248</v>
      </c>
      <c r="C4471" s="987" t="s">
        <v>15228</v>
      </c>
      <c r="D4471" s="278"/>
      <c r="E4471" s="20" t="s">
        <v>12613</v>
      </c>
      <c r="F4471" s="961" t="s">
        <v>15223</v>
      </c>
      <c r="G4471" s="282" t="s">
        <v>15229</v>
      </c>
      <c r="H4471" s="282" t="s">
        <v>4110</v>
      </c>
      <c r="I4471" s="282" t="s">
        <v>4634</v>
      </c>
      <c r="J4471" s="532" t="s">
        <v>15230</v>
      </c>
      <c r="K4471" s="452" t="s">
        <v>15231</v>
      </c>
      <c r="L4471" s="298" t="s">
        <v>14120</v>
      </c>
      <c r="M4471" s="282">
        <v>1</v>
      </c>
      <c r="N4471" s="282">
        <v>1</v>
      </c>
      <c r="O4471" s="282">
        <v>3</v>
      </c>
      <c r="P4471" s="282">
        <v>0</v>
      </c>
      <c r="Q4471" s="282">
        <v>2</v>
      </c>
      <c r="R4471" s="1286">
        <v>96</v>
      </c>
      <c r="S4471" s="1263">
        <v>288</v>
      </c>
      <c r="T4471" s="298" t="s">
        <v>12330</v>
      </c>
      <c r="U4471" s="1537" t="s">
        <v>14027</v>
      </c>
      <c r="V4471" s="204" t="s">
        <v>5990</v>
      </c>
      <c r="W4471" s="690" t="s">
        <v>15232</v>
      </c>
      <c r="X4471" s="328"/>
      <c r="Y4471" s="4"/>
      <c r="Z4471" s="4"/>
    </row>
    <row r="4472" spans="1:26" ht="14.45" hidden="1">
      <c r="A4472" s="20">
        <v>4480</v>
      </c>
      <c r="B4472" s="1063">
        <v>44249</v>
      </c>
      <c r="C4472" s="987" t="s">
        <v>15233</v>
      </c>
      <c r="D4472" s="278"/>
      <c r="E4472" s="20" t="s">
        <v>12613</v>
      </c>
      <c r="F4472" s="961" t="s">
        <v>15223</v>
      </c>
      <c r="G4472" s="282" t="s">
        <v>15234</v>
      </c>
      <c r="H4472" s="282" t="s">
        <v>5480</v>
      </c>
      <c r="I4472" s="282" t="s">
        <v>4634</v>
      </c>
      <c r="J4472" s="532" t="s">
        <v>15235</v>
      </c>
      <c r="K4472" s="330" t="s">
        <v>15236</v>
      </c>
      <c r="L4472" s="298" t="s">
        <v>14120</v>
      </c>
      <c r="M4472" s="282">
        <v>6</v>
      </c>
      <c r="N4472" s="282">
        <v>10</v>
      </c>
      <c r="O4472" s="282">
        <v>10</v>
      </c>
      <c r="P4472" s="282">
        <v>0</v>
      </c>
      <c r="Q4472" s="282">
        <v>4</v>
      </c>
      <c r="R4472" s="1286">
        <v>30.3</v>
      </c>
      <c r="S4472" s="1263">
        <v>303</v>
      </c>
      <c r="T4472" s="298" t="s">
        <v>12330</v>
      </c>
      <c r="U4472" s="1537" t="s">
        <v>14027</v>
      </c>
      <c r="V4472" s="204" t="s">
        <v>5990</v>
      </c>
      <c r="W4472" s="690" t="s">
        <v>15237</v>
      </c>
      <c r="X4472" s="328"/>
      <c r="Y4472" s="4"/>
      <c r="Z4472" s="4"/>
    </row>
    <row r="4473" spans="1:26" ht="14.45" hidden="1">
      <c r="A4473" s="20">
        <v>4481</v>
      </c>
      <c r="B4473" s="1063">
        <v>44250</v>
      </c>
      <c r="C4473" s="987" t="s">
        <v>15238</v>
      </c>
      <c r="D4473" s="278"/>
      <c r="E4473" s="20" t="s">
        <v>12613</v>
      </c>
      <c r="F4473" s="961" t="s">
        <v>15223</v>
      </c>
      <c r="G4473" s="282" t="s">
        <v>15239</v>
      </c>
      <c r="H4473" s="282" t="s">
        <v>166</v>
      </c>
      <c r="I4473" s="282" t="s">
        <v>4634</v>
      </c>
      <c r="J4473" s="532" t="s">
        <v>15240</v>
      </c>
      <c r="K4473" s="452" t="s">
        <v>15241</v>
      </c>
      <c r="L4473" s="298" t="s">
        <v>14120</v>
      </c>
      <c r="M4473" s="282">
        <v>3</v>
      </c>
      <c r="N4473" s="282">
        <v>1</v>
      </c>
      <c r="O4473" s="282">
        <v>6</v>
      </c>
      <c r="P4473" s="282">
        <v>0</v>
      </c>
      <c r="Q4473" s="282">
        <v>3</v>
      </c>
      <c r="R4473" s="1286">
        <v>368.2</v>
      </c>
      <c r="S4473" s="1263">
        <v>2209.1999999999998</v>
      </c>
      <c r="T4473" s="298" t="s">
        <v>12330</v>
      </c>
      <c r="U4473" s="1537" t="s">
        <v>14027</v>
      </c>
      <c r="V4473" s="204" t="s">
        <v>5990</v>
      </c>
      <c r="W4473" s="690" t="s">
        <v>15242</v>
      </c>
      <c r="X4473" s="328"/>
      <c r="Y4473" s="4"/>
      <c r="Z4473" s="4"/>
    </row>
    <row r="4474" spans="1:26" ht="14.45" hidden="1">
      <c r="A4474" s="20">
        <v>4482</v>
      </c>
      <c r="B4474" s="1063">
        <v>44251</v>
      </c>
      <c r="C4474" s="987" t="s">
        <v>15243</v>
      </c>
      <c r="D4474" s="278"/>
      <c r="E4474" s="20" t="s">
        <v>12613</v>
      </c>
      <c r="F4474" s="961" t="s">
        <v>15223</v>
      </c>
      <c r="G4474" s="282" t="s">
        <v>15244</v>
      </c>
      <c r="H4474" s="282" t="s">
        <v>15245</v>
      </c>
      <c r="I4474" s="282" t="s">
        <v>4634</v>
      </c>
      <c r="J4474" s="532" t="s">
        <v>15246</v>
      </c>
      <c r="K4474" s="533">
        <v>4482</v>
      </c>
      <c r="L4474" s="298" t="s">
        <v>14120</v>
      </c>
      <c r="M4474" s="282">
        <v>1</v>
      </c>
      <c r="N4474" s="282">
        <v>1</v>
      </c>
      <c r="O4474" s="282">
        <v>1</v>
      </c>
      <c r="P4474" s="282">
        <v>0</v>
      </c>
      <c r="Q4474" s="282">
        <v>0</v>
      </c>
      <c r="R4474" s="1286">
        <v>1174</v>
      </c>
      <c r="S4474" s="1263">
        <v>1174</v>
      </c>
      <c r="T4474" s="298" t="s">
        <v>12330</v>
      </c>
      <c r="U4474" s="1537" t="s">
        <v>14027</v>
      </c>
      <c r="V4474" s="204" t="s">
        <v>5990</v>
      </c>
      <c r="W4474" s="690" t="s">
        <v>15247</v>
      </c>
      <c r="X4474" s="328"/>
      <c r="Y4474" s="4"/>
      <c r="Z4474" s="4"/>
    </row>
    <row r="4475" spans="1:26" ht="14.1" hidden="1">
      <c r="A4475" s="20">
        <v>4483</v>
      </c>
      <c r="B4475" s="1063">
        <v>44252</v>
      </c>
      <c r="C4475" s="26" t="s">
        <v>15248</v>
      </c>
      <c r="D4475" s="10"/>
      <c r="E4475" s="204" t="s">
        <v>62</v>
      </c>
      <c r="F4475" s="26" t="s">
        <v>7046</v>
      </c>
      <c r="G4475" s="26" t="s">
        <v>15249</v>
      </c>
      <c r="H4475" s="26" t="s">
        <v>5132</v>
      </c>
      <c r="I4475" s="26" t="s">
        <v>5132</v>
      </c>
      <c r="J4475" s="26" t="s">
        <v>149</v>
      </c>
      <c r="K4475" s="26" t="s">
        <v>149</v>
      </c>
      <c r="L4475" s="26" t="s">
        <v>5123</v>
      </c>
      <c r="M4475" s="26">
        <v>1</v>
      </c>
      <c r="N4475" s="26">
        <v>1</v>
      </c>
      <c r="O4475" s="26">
        <v>1</v>
      </c>
      <c r="P4475" s="26">
        <v>0</v>
      </c>
      <c r="Q4475" s="26">
        <v>0</v>
      </c>
      <c r="R4475" s="1209">
        <v>799000</v>
      </c>
      <c r="S4475" s="1209">
        <f>R4475*O4475</f>
        <v>799000</v>
      </c>
      <c r="T4475" s="26" t="s">
        <v>14752</v>
      </c>
      <c r="U4475" s="1871" t="s">
        <v>1896</v>
      </c>
      <c r="V4475" s="572" t="s">
        <v>3140</v>
      </c>
      <c r="W4475" s="2015"/>
      <c r="X4475" s="18"/>
      <c r="Y4475" s="4"/>
      <c r="Z4475" s="4"/>
    </row>
    <row r="4476" spans="1:26" ht="14.45" hidden="1">
      <c r="A4476" s="20">
        <v>4484</v>
      </c>
      <c r="B4476" s="1063">
        <v>44253</v>
      </c>
      <c r="C4476" s="26" t="s">
        <v>15250</v>
      </c>
      <c r="D4476" s="278"/>
      <c r="E4476" s="20" t="s">
        <v>12613</v>
      </c>
      <c r="F4476" s="961" t="s">
        <v>14023</v>
      </c>
      <c r="G4476" s="183" t="s">
        <v>15251</v>
      </c>
      <c r="H4476" s="678" t="s">
        <v>511</v>
      </c>
      <c r="I4476" s="678" t="s">
        <v>39</v>
      </c>
      <c r="J4476" s="780" t="s">
        <v>15252</v>
      </c>
      <c r="K4476" s="780" t="s">
        <v>15253</v>
      </c>
      <c r="L4476" s="780" t="s">
        <v>15254</v>
      </c>
      <c r="M4476" s="720">
        <v>4</v>
      </c>
      <c r="N4476" s="720">
        <v>10</v>
      </c>
      <c r="O4476" s="720">
        <v>10</v>
      </c>
      <c r="P4476" s="720">
        <v>0</v>
      </c>
      <c r="Q4476" s="720">
        <v>8</v>
      </c>
      <c r="R4476" s="1343">
        <v>224</v>
      </c>
      <c r="S4476" s="1343">
        <v>2240</v>
      </c>
      <c r="T4476" s="683" t="s">
        <v>12330</v>
      </c>
      <c r="U4476" s="740" t="s">
        <v>14027</v>
      </c>
      <c r="V4476" s="204" t="s">
        <v>5990</v>
      </c>
      <c r="W4476" s="791" t="s">
        <v>15255</v>
      </c>
      <c r="X4476" s="576"/>
      <c r="Y4476" s="4"/>
      <c r="Z4476" s="4"/>
    </row>
    <row r="4477" spans="1:26" ht="14.1" hidden="1">
      <c r="A4477" s="20">
        <v>4485</v>
      </c>
      <c r="B4477" s="1063">
        <v>44254</v>
      </c>
      <c r="C4477" s="934" t="s">
        <v>15256</v>
      </c>
      <c r="D4477" s="577" t="s">
        <v>6</v>
      </c>
      <c r="E4477" s="204" t="s">
        <v>15257</v>
      </c>
      <c r="F4477" s="934" t="s">
        <v>9454</v>
      </c>
      <c r="G4477" s="204" t="s">
        <v>15258</v>
      </c>
      <c r="H4477" s="204" t="s">
        <v>15259</v>
      </c>
      <c r="I4477" s="204" t="s">
        <v>113</v>
      </c>
      <c r="J4477" s="204">
        <v>63838925</v>
      </c>
      <c r="K4477" s="204"/>
      <c r="L4477" s="204"/>
      <c r="M4477" s="204">
        <v>1</v>
      </c>
      <c r="N4477" s="204">
        <v>1</v>
      </c>
      <c r="O4477" s="204">
        <v>1</v>
      </c>
      <c r="P4477" s="204">
        <v>0</v>
      </c>
      <c r="Q4477" s="572">
        <v>0</v>
      </c>
      <c r="R4477" s="1209">
        <v>7890</v>
      </c>
      <c r="S4477" s="1209">
        <v>7890</v>
      </c>
      <c r="T4477" s="204" t="s">
        <v>3961</v>
      </c>
      <c r="U4477" s="1901" t="s">
        <v>301</v>
      </c>
      <c r="V4477" s="572" t="s">
        <v>3342</v>
      </c>
      <c r="W4477" s="804" t="s">
        <v>15260</v>
      </c>
      <c r="X4477" s="18"/>
      <c r="Y4477" s="4"/>
      <c r="Z4477" s="4"/>
    </row>
    <row r="4478" spans="1:26" ht="14.1" hidden="1">
      <c r="A4478" s="20">
        <v>4486</v>
      </c>
      <c r="B4478" s="1063">
        <v>44255</v>
      </c>
      <c r="C4478" s="934" t="s">
        <v>15261</v>
      </c>
      <c r="D4478" s="577" t="s">
        <v>6</v>
      </c>
      <c r="E4478" s="204" t="s">
        <v>15257</v>
      </c>
      <c r="F4478" s="934" t="s">
        <v>9454</v>
      </c>
      <c r="G4478" s="204" t="s">
        <v>15262</v>
      </c>
      <c r="H4478" s="204" t="s">
        <v>113</v>
      </c>
      <c r="I4478" s="204" t="s">
        <v>113</v>
      </c>
      <c r="J4478" s="204">
        <v>7319916</v>
      </c>
      <c r="K4478" s="204"/>
      <c r="L4478" s="204"/>
      <c r="M4478" s="204">
        <v>1</v>
      </c>
      <c r="N4478" s="204">
        <v>1</v>
      </c>
      <c r="O4478" s="204">
        <v>1</v>
      </c>
      <c r="P4478" s="204">
        <v>0</v>
      </c>
      <c r="Q4478" s="572">
        <v>0</v>
      </c>
      <c r="R4478" s="1209">
        <v>469</v>
      </c>
      <c r="S4478" s="1209">
        <v>469</v>
      </c>
      <c r="T4478" s="204" t="s">
        <v>3961</v>
      </c>
      <c r="U4478" s="1901" t="s">
        <v>301</v>
      </c>
      <c r="V4478" s="572" t="s">
        <v>3342</v>
      </c>
      <c r="W4478" s="804" t="s">
        <v>15263</v>
      </c>
      <c r="X4478" s="18"/>
      <c r="Y4478" s="4"/>
      <c r="Z4478" s="4"/>
    </row>
    <row r="4479" spans="1:26" ht="14.1" hidden="1">
      <c r="A4479" s="20">
        <v>4487</v>
      </c>
      <c r="B4479" s="1063">
        <v>44256</v>
      </c>
      <c r="C4479" s="934" t="s">
        <v>15264</v>
      </c>
      <c r="D4479" s="577" t="s">
        <v>6</v>
      </c>
      <c r="E4479" s="204" t="s">
        <v>15257</v>
      </c>
      <c r="F4479" s="934" t="s">
        <v>9454</v>
      </c>
      <c r="G4479" s="204" t="s">
        <v>15265</v>
      </c>
      <c r="H4479" s="204" t="s">
        <v>113</v>
      </c>
      <c r="I4479" s="204" t="s">
        <v>113</v>
      </c>
      <c r="J4479" s="204">
        <v>8744741</v>
      </c>
      <c r="K4479" s="204"/>
      <c r="L4479" s="204"/>
      <c r="M4479" s="204">
        <v>1</v>
      </c>
      <c r="N4479" s="204">
        <v>1</v>
      </c>
      <c r="O4479" s="204">
        <v>1</v>
      </c>
      <c r="P4479" s="204">
        <v>0</v>
      </c>
      <c r="Q4479" s="572">
        <v>0</v>
      </c>
      <c r="R4479" s="1209">
        <v>1090</v>
      </c>
      <c r="S4479" s="1209">
        <v>1090</v>
      </c>
      <c r="T4479" s="204" t="s">
        <v>3961</v>
      </c>
      <c r="U4479" s="1901" t="s">
        <v>301</v>
      </c>
      <c r="V4479" s="572" t="s">
        <v>3342</v>
      </c>
      <c r="W4479" s="804" t="s">
        <v>15266</v>
      </c>
      <c r="X4479" s="18"/>
      <c r="Y4479" s="4"/>
      <c r="Z4479" s="4"/>
    </row>
    <row r="4480" spans="1:26" ht="42" hidden="1">
      <c r="A4480" s="20">
        <v>4488</v>
      </c>
      <c r="B4480" s="1063">
        <v>44257</v>
      </c>
      <c r="C4480" s="22" t="s">
        <v>329</v>
      </c>
      <c r="D4480" s="11" t="s">
        <v>6</v>
      </c>
      <c r="E4480" s="204" t="s">
        <v>62</v>
      </c>
      <c r="F4480" s="620" t="s">
        <v>131</v>
      </c>
      <c r="G4480" s="699" t="s">
        <v>1091</v>
      </c>
      <c r="H4480" s="699" t="s">
        <v>1092</v>
      </c>
      <c r="I4480" s="699" t="s">
        <v>281</v>
      </c>
      <c r="J4480" s="699" t="s">
        <v>1093</v>
      </c>
      <c r="K4480" s="699" t="s">
        <v>1094</v>
      </c>
      <c r="L4480" s="699" t="s">
        <v>1095</v>
      </c>
      <c r="M4480" s="699">
        <v>16</v>
      </c>
      <c r="N4480" s="699">
        <v>1</v>
      </c>
      <c r="O4480" s="699">
        <v>20</v>
      </c>
      <c r="P4480" s="699">
        <v>0</v>
      </c>
      <c r="Q4480" s="699">
        <v>8</v>
      </c>
      <c r="R4480" s="1291">
        <v>27.2</v>
      </c>
      <c r="S4480" s="1291">
        <f>272*2</f>
        <v>544</v>
      </c>
      <c r="T4480" s="699" t="s">
        <v>13856</v>
      </c>
      <c r="U4480" s="1922" t="s">
        <v>1089</v>
      </c>
      <c r="V4480" s="1547" t="s">
        <v>1003</v>
      </c>
      <c r="W4480" s="792" t="s">
        <v>1096</v>
      </c>
      <c r="X4480" s="18"/>
      <c r="Y4480" s="4"/>
      <c r="Z4480" s="4"/>
    </row>
    <row r="4481" spans="1:26" ht="14.1" hidden="1">
      <c r="A4481" s="793">
        <v>4489</v>
      </c>
      <c r="B4481" s="1063">
        <v>44258</v>
      </c>
      <c r="C4481" s="1015" t="s">
        <v>15267</v>
      </c>
      <c r="D4481" s="578" t="s">
        <v>6</v>
      </c>
      <c r="E4481" s="794" t="s">
        <v>62</v>
      </c>
      <c r="F4481" s="1015" t="s">
        <v>131</v>
      </c>
      <c r="G4481" s="794" t="s">
        <v>15268</v>
      </c>
      <c r="H4481" s="794" t="s">
        <v>2668</v>
      </c>
      <c r="I4481" s="794" t="s">
        <v>15269</v>
      </c>
      <c r="J4481" s="794" t="s">
        <v>15270</v>
      </c>
      <c r="K4481" s="794" t="s">
        <v>15270</v>
      </c>
      <c r="L4481" s="794"/>
      <c r="M4481" s="794"/>
      <c r="N4481" s="794"/>
      <c r="O4481" s="794"/>
      <c r="P4481" s="794"/>
      <c r="Q4481" s="793"/>
      <c r="R4481" s="1344">
        <v>17821</v>
      </c>
      <c r="S4481" s="1344"/>
      <c r="T4481" s="794" t="s">
        <v>10016</v>
      </c>
      <c r="U4481" s="1942" t="s">
        <v>5484</v>
      </c>
      <c r="V4481" s="793" t="s">
        <v>3140</v>
      </c>
      <c r="W4481" s="2147" t="s">
        <v>15271</v>
      </c>
      <c r="X4481" s="579"/>
      <c r="Y4481" s="795"/>
      <c r="Z4481" s="795"/>
    </row>
    <row r="4482" spans="1:26" ht="14.1" hidden="1">
      <c r="A4482" s="20">
        <v>4490</v>
      </c>
      <c r="B4482" s="1063">
        <v>44259</v>
      </c>
      <c r="C4482" s="934" t="s">
        <v>15267</v>
      </c>
      <c r="D4482" s="10"/>
      <c r="E4482" s="204" t="s">
        <v>62</v>
      </c>
      <c r="F4482" s="934" t="s">
        <v>131</v>
      </c>
      <c r="G4482" s="204" t="s">
        <v>15272</v>
      </c>
      <c r="H4482" s="204" t="s">
        <v>2668</v>
      </c>
      <c r="I4482" s="204" t="s">
        <v>15273</v>
      </c>
      <c r="J4482" s="20" t="s">
        <v>15274</v>
      </c>
      <c r="K4482" s="204" t="s">
        <v>15275</v>
      </c>
      <c r="L4482" s="204"/>
      <c r="M4482" s="204">
        <v>4</v>
      </c>
      <c r="N4482" s="204">
        <v>1</v>
      </c>
      <c r="O4482" s="204">
        <v>5</v>
      </c>
      <c r="P4482" s="204">
        <v>0</v>
      </c>
      <c r="Q4482" s="572">
        <v>1</v>
      </c>
      <c r="R4482" s="1209">
        <v>9700</v>
      </c>
      <c r="S4482" s="1209">
        <f t="shared" ref="S4482:S4483" si="256">R4482*O4482</f>
        <v>48500</v>
      </c>
      <c r="T4482" s="204" t="s">
        <v>10016</v>
      </c>
      <c r="U4482" s="1901" t="s">
        <v>5484</v>
      </c>
      <c r="V4482" s="572" t="s">
        <v>3140</v>
      </c>
      <c r="W4482" s="681" t="s">
        <v>15276</v>
      </c>
      <c r="X4482" s="18"/>
      <c r="Y4482" s="4"/>
      <c r="Z4482" s="4"/>
    </row>
    <row r="4483" spans="1:26" ht="14.1" hidden="1">
      <c r="A4483" s="20">
        <v>4491</v>
      </c>
      <c r="B4483" s="1063">
        <v>44260</v>
      </c>
      <c r="C4483" s="934" t="s">
        <v>15277</v>
      </c>
      <c r="D4483" s="278"/>
      <c r="E4483" s="204" t="s">
        <v>62</v>
      </c>
      <c r="F4483" s="934" t="s">
        <v>131</v>
      </c>
      <c r="G4483" s="204" t="s">
        <v>15278</v>
      </c>
      <c r="H4483" s="204" t="s">
        <v>2668</v>
      </c>
      <c r="I4483" s="204" t="s">
        <v>39</v>
      </c>
      <c r="J4483" s="20" t="s">
        <v>15279</v>
      </c>
      <c r="K4483" s="204" t="s">
        <v>15280</v>
      </c>
      <c r="L4483" s="204"/>
      <c r="M4483" s="204">
        <v>1</v>
      </c>
      <c r="N4483" s="204">
        <v>1</v>
      </c>
      <c r="O4483" s="204">
        <v>2</v>
      </c>
      <c r="P4483" s="204">
        <v>0</v>
      </c>
      <c r="Q4483" s="572">
        <v>1</v>
      </c>
      <c r="R4483" s="1209">
        <v>3995</v>
      </c>
      <c r="S4483" s="1209">
        <f t="shared" si="256"/>
        <v>7990</v>
      </c>
      <c r="T4483" s="204" t="s">
        <v>10016</v>
      </c>
      <c r="U4483" s="1901" t="s">
        <v>5484</v>
      </c>
      <c r="V4483" s="572" t="s">
        <v>3140</v>
      </c>
      <c r="W4483" s="681" t="s">
        <v>15281</v>
      </c>
      <c r="X4483" s="18"/>
      <c r="Y4483" s="4"/>
      <c r="Z4483" s="4"/>
    </row>
    <row r="4484" spans="1:26" ht="14.1" hidden="1">
      <c r="A4484" s="20">
        <v>4492</v>
      </c>
      <c r="B4484" s="1063">
        <v>44261</v>
      </c>
      <c r="C4484" s="934" t="s">
        <v>15282</v>
      </c>
      <c r="D4484" s="278"/>
      <c r="E4484" s="204" t="s">
        <v>15283</v>
      </c>
      <c r="F4484" s="934" t="s">
        <v>73</v>
      </c>
      <c r="G4484" s="204" t="s">
        <v>15284</v>
      </c>
      <c r="H4484" s="204" t="s">
        <v>569</v>
      </c>
      <c r="I4484" s="204" t="s">
        <v>569</v>
      </c>
      <c r="J4484" s="204"/>
      <c r="K4484" s="204"/>
      <c r="L4484" s="204"/>
      <c r="M4484" s="204">
        <v>1</v>
      </c>
      <c r="N4484" s="204"/>
      <c r="O4484" s="204">
        <v>1</v>
      </c>
      <c r="P4484" s="204"/>
      <c r="Q4484" s="572"/>
      <c r="R4484" s="1209">
        <v>27500</v>
      </c>
      <c r="S4484" s="1209">
        <v>27500</v>
      </c>
      <c r="T4484" s="204"/>
      <c r="U4484" s="1901" t="s">
        <v>4220</v>
      </c>
      <c r="V4484" s="572" t="s">
        <v>15285</v>
      </c>
      <c r="W4484" s="681"/>
      <c r="X4484" s="18"/>
      <c r="Y4484" s="4"/>
      <c r="Z4484" s="4"/>
    </row>
    <row r="4485" spans="1:26" ht="15.95" hidden="1">
      <c r="A4485" s="20">
        <v>4493</v>
      </c>
      <c r="B4485" s="1063">
        <v>44262</v>
      </c>
      <c r="C4485" s="934" t="s">
        <v>15286</v>
      </c>
      <c r="D4485" s="278"/>
      <c r="E4485" s="204" t="s">
        <v>62</v>
      </c>
      <c r="F4485" s="934" t="s">
        <v>15108</v>
      </c>
      <c r="G4485" s="204" t="s">
        <v>15287</v>
      </c>
      <c r="H4485" s="204" t="s">
        <v>14429</v>
      </c>
      <c r="I4485" s="204" t="s">
        <v>15288</v>
      </c>
      <c r="J4485" s="204"/>
      <c r="K4485" s="180" t="s">
        <v>15289</v>
      </c>
      <c r="L4485" s="204"/>
      <c r="M4485" s="204">
        <v>1</v>
      </c>
      <c r="N4485" s="204">
        <v>1</v>
      </c>
      <c r="O4485" s="204">
        <v>1</v>
      </c>
      <c r="P4485" s="204">
        <v>0</v>
      </c>
      <c r="Q4485" s="572">
        <v>0</v>
      </c>
      <c r="R4485" s="1209">
        <v>3532</v>
      </c>
      <c r="S4485" s="1209">
        <f>R4485*O4485</f>
        <v>3532</v>
      </c>
      <c r="T4485" s="204" t="s">
        <v>15109</v>
      </c>
      <c r="U4485" s="1901" t="s">
        <v>15290</v>
      </c>
      <c r="V4485" s="572" t="s">
        <v>931</v>
      </c>
      <c r="W4485" s="681" t="s">
        <v>15291</v>
      </c>
      <c r="X4485" s="18"/>
      <c r="Y4485" s="4"/>
      <c r="Z4485" s="4"/>
    </row>
    <row r="4486" spans="1:26" ht="15.95" hidden="1">
      <c r="A4486" s="20">
        <v>4494</v>
      </c>
      <c r="B4486" s="1063">
        <v>44263</v>
      </c>
      <c r="C4486" s="934" t="s">
        <v>15292</v>
      </c>
      <c r="D4486" s="278"/>
      <c r="E4486" s="204" t="s">
        <v>62</v>
      </c>
      <c r="F4486" s="934" t="s">
        <v>15108</v>
      </c>
      <c r="G4486" s="580" t="s">
        <v>15293</v>
      </c>
      <c r="H4486" s="204" t="s">
        <v>113</v>
      </c>
      <c r="I4486" s="204" t="s">
        <v>113</v>
      </c>
      <c r="J4486" s="642">
        <v>50958328</v>
      </c>
      <c r="K4486" s="204"/>
      <c r="L4486" s="204"/>
      <c r="M4486" s="204">
        <v>1</v>
      </c>
      <c r="N4486" s="204">
        <v>1</v>
      </c>
      <c r="O4486" s="204">
        <v>1</v>
      </c>
      <c r="P4486" s="204">
        <v>0</v>
      </c>
      <c r="Q4486" s="572">
        <v>0</v>
      </c>
      <c r="R4486" s="1209">
        <v>1390</v>
      </c>
      <c r="S4486" s="1209">
        <v>1390</v>
      </c>
      <c r="T4486" s="204" t="s">
        <v>15109</v>
      </c>
      <c r="U4486" s="1901" t="s">
        <v>15290</v>
      </c>
      <c r="V4486" s="572" t="s">
        <v>931</v>
      </c>
      <c r="W4486" s="681" t="s">
        <v>15294</v>
      </c>
      <c r="X4486" s="18"/>
      <c r="Y4486" s="4"/>
      <c r="Z4486" s="4"/>
    </row>
    <row r="4487" spans="1:26" ht="14.1" hidden="1">
      <c r="A4487" s="20">
        <v>4495</v>
      </c>
      <c r="B4487" s="1063">
        <v>44264</v>
      </c>
      <c r="C4487" s="934" t="s">
        <v>15295</v>
      </c>
      <c r="D4487" s="278"/>
      <c r="E4487" s="204" t="s">
        <v>62</v>
      </c>
      <c r="F4487" s="934" t="s">
        <v>15108</v>
      </c>
      <c r="G4487" s="204" t="s">
        <v>15296</v>
      </c>
      <c r="H4487" s="581" t="s">
        <v>4540</v>
      </c>
      <c r="I4487" s="204" t="s">
        <v>15297</v>
      </c>
      <c r="J4487" s="204" t="s">
        <v>10204</v>
      </c>
      <c r="K4487" s="582" t="s">
        <v>4542</v>
      </c>
      <c r="L4487" s="204"/>
      <c r="M4487" s="204">
        <v>1</v>
      </c>
      <c r="N4487" s="204">
        <v>1</v>
      </c>
      <c r="O4487" s="204">
        <v>1</v>
      </c>
      <c r="P4487" s="204">
        <v>0</v>
      </c>
      <c r="Q4487" s="572">
        <v>0</v>
      </c>
      <c r="R4487" s="1209">
        <v>965</v>
      </c>
      <c r="S4487" s="1209">
        <v>965</v>
      </c>
      <c r="T4487" s="204" t="s">
        <v>15109</v>
      </c>
      <c r="U4487" s="1901" t="s">
        <v>15290</v>
      </c>
      <c r="V4487" s="572" t="s">
        <v>931</v>
      </c>
      <c r="W4487" s="681" t="s">
        <v>15298</v>
      </c>
      <c r="X4487" s="18"/>
      <c r="Y4487" s="4"/>
      <c r="Z4487" s="4"/>
    </row>
    <row r="4488" spans="1:26" ht="14.1" hidden="1">
      <c r="A4488" s="20">
        <v>4496</v>
      </c>
      <c r="B4488" s="1063">
        <v>44265</v>
      </c>
      <c r="C4488" s="934" t="s">
        <v>7265</v>
      </c>
      <c r="D4488" s="278"/>
      <c r="E4488" s="204" t="s">
        <v>62</v>
      </c>
      <c r="F4488" s="934" t="s">
        <v>15108</v>
      </c>
      <c r="G4488" s="485" t="s">
        <v>15299</v>
      </c>
      <c r="H4488" s="204" t="s">
        <v>107</v>
      </c>
      <c r="I4488" s="204" t="s">
        <v>107</v>
      </c>
      <c r="J4488" s="583" t="s">
        <v>11522</v>
      </c>
      <c r="K4488" s="583" t="s">
        <v>11522</v>
      </c>
      <c r="L4488" s="204"/>
      <c r="M4488" s="204">
        <v>2</v>
      </c>
      <c r="N4488" s="204">
        <v>50</v>
      </c>
      <c r="O4488" s="204">
        <v>50</v>
      </c>
      <c r="P4488" s="204">
        <v>0</v>
      </c>
      <c r="Q4488" s="572">
        <v>48</v>
      </c>
      <c r="R4488" s="1209">
        <v>19</v>
      </c>
      <c r="S4488" s="1209">
        <v>950</v>
      </c>
      <c r="T4488" s="204" t="s">
        <v>15109</v>
      </c>
      <c r="U4488" s="1901" t="s">
        <v>15290</v>
      </c>
      <c r="V4488" s="572" t="s">
        <v>931</v>
      </c>
      <c r="W4488" s="681" t="s">
        <v>11525</v>
      </c>
      <c r="X4488" s="18"/>
      <c r="Y4488" s="4"/>
      <c r="Z4488" s="4"/>
    </row>
    <row r="4489" spans="1:26" ht="15.95" hidden="1">
      <c r="A4489" s="20">
        <v>4497</v>
      </c>
      <c r="B4489" s="1063">
        <v>44266</v>
      </c>
      <c r="C4489" s="934" t="s">
        <v>3466</v>
      </c>
      <c r="D4489" s="278"/>
      <c r="E4489" s="204" t="s">
        <v>62</v>
      </c>
      <c r="F4489" s="934" t="s">
        <v>15108</v>
      </c>
      <c r="G4489" s="204" t="s">
        <v>15300</v>
      </c>
      <c r="H4489" s="204" t="s">
        <v>12842</v>
      </c>
      <c r="I4489" s="204" t="s">
        <v>113</v>
      </c>
      <c r="J4489" s="642">
        <v>6393624</v>
      </c>
      <c r="K4489" s="180" t="s">
        <v>12843</v>
      </c>
      <c r="L4489" s="204"/>
      <c r="M4489" s="204">
        <v>1</v>
      </c>
      <c r="N4489" s="204">
        <v>1</v>
      </c>
      <c r="O4489" s="204">
        <v>1</v>
      </c>
      <c r="P4489" s="204">
        <v>0</v>
      </c>
      <c r="Q4489" s="572">
        <v>0</v>
      </c>
      <c r="R4489" s="1209">
        <v>2990</v>
      </c>
      <c r="S4489" s="1209">
        <v>2990</v>
      </c>
      <c r="T4489" s="204" t="s">
        <v>15109</v>
      </c>
      <c r="U4489" s="1901" t="s">
        <v>15290</v>
      </c>
      <c r="V4489" s="572" t="s">
        <v>931</v>
      </c>
      <c r="W4489" s="681" t="s">
        <v>15301</v>
      </c>
      <c r="X4489" s="18"/>
      <c r="Y4489" s="4"/>
      <c r="Z4489" s="4"/>
    </row>
    <row r="4490" spans="1:26" ht="14.1" hidden="1">
      <c r="A4490" s="20">
        <v>4498</v>
      </c>
      <c r="B4490" s="1063">
        <v>44267</v>
      </c>
      <c r="C4490" s="934" t="s">
        <v>15302</v>
      </c>
      <c r="D4490" s="577" t="s">
        <v>6</v>
      </c>
      <c r="E4490" s="204" t="s">
        <v>15257</v>
      </c>
      <c r="F4490" s="934" t="s">
        <v>9454</v>
      </c>
      <c r="G4490" s="204" t="s">
        <v>15303</v>
      </c>
      <c r="H4490" s="204" t="s">
        <v>5690</v>
      </c>
      <c r="I4490" s="204" t="s">
        <v>5690</v>
      </c>
      <c r="J4490" s="204">
        <v>31465754</v>
      </c>
      <c r="K4490" s="204" t="s">
        <v>15304</v>
      </c>
      <c r="L4490" s="204"/>
      <c r="M4490" s="204">
        <v>1</v>
      </c>
      <c r="N4490" s="204">
        <v>1</v>
      </c>
      <c r="O4490" s="204">
        <v>1</v>
      </c>
      <c r="P4490" s="204">
        <v>0</v>
      </c>
      <c r="Q4490" s="572">
        <v>0</v>
      </c>
      <c r="R4490" s="1209">
        <v>209</v>
      </c>
      <c r="S4490" s="1209">
        <v>209</v>
      </c>
      <c r="T4490" s="204" t="s">
        <v>3961</v>
      </c>
      <c r="U4490" s="1901" t="s">
        <v>301</v>
      </c>
      <c r="V4490" s="572" t="s">
        <v>931</v>
      </c>
      <c r="W4490" s="681" t="s">
        <v>15305</v>
      </c>
      <c r="X4490" s="18"/>
      <c r="Y4490" s="4"/>
      <c r="Z4490" s="4"/>
    </row>
    <row r="4491" spans="1:26" ht="14.1" hidden="1">
      <c r="A4491" s="20">
        <v>4499</v>
      </c>
      <c r="B4491" s="1063">
        <v>44268</v>
      </c>
      <c r="C4491" s="934" t="s">
        <v>15306</v>
      </c>
      <c r="D4491" s="577" t="s">
        <v>6</v>
      </c>
      <c r="E4491" s="183" t="s">
        <v>15012</v>
      </c>
      <c r="F4491" s="934" t="s">
        <v>9454</v>
      </c>
      <c r="G4491" s="204" t="s">
        <v>15307</v>
      </c>
      <c r="H4491" s="204" t="s">
        <v>14687</v>
      </c>
      <c r="I4491" s="204" t="s">
        <v>14687</v>
      </c>
      <c r="J4491" s="204" t="s">
        <v>15308</v>
      </c>
      <c r="K4491" s="204"/>
      <c r="L4491" s="204"/>
      <c r="M4491" s="204">
        <v>12</v>
      </c>
      <c r="N4491" s="204">
        <v>10</v>
      </c>
      <c r="O4491" s="204">
        <v>20</v>
      </c>
      <c r="P4491" s="204">
        <v>0</v>
      </c>
      <c r="Q4491" s="572">
        <v>8</v>
      </c>
      <c r="R4491" s="1209">
        <v>66</v>
      </c>
      <c r="S4491" s="1209">
        <v>1320</v>
      </c>
      <c r="T4491" s="204" t="s">
        <v>3961</v>
      </c>
      <c r="U4491" s="1901" t="s">
        <v>301</v>
      </c>
      <c r="V4491" s="572" t="s">
        <v>931</v>
      </c>
      <c r="W4491" s="804" t="s">
        <v>15309</v>
      </c>
      <c r="X4491" s="18"/>
      <c r="Y4491" s="4"/>
      <c r="Z4491" s="4"/>
    </row>
    <row r="4492" spans="1:26" ht="14.1" hidden="1">
      <c r="A4492" s="20">
        <v>4500</v>
      </c>
      <c r="B4492" s="1063">
        <v>44269</v>
      </c>
      <c r="C4492" s="934" t="s">
        <v>15310</v>
      </c>
      <c r="D4492" s="577" t="s">
        <v>6</v>
      </c>
      <c r="E4492" s="183" t="s">
        <v>15012</v>
      </c>
      <c r="F4492" s="934" t="s">
        <v>9454</v>
      </c>
      <c r="G4492" s="204" t="s">
        <v>15311</v>
      </c>
      <c r="H4492" s="204" t="s">
        <v>14687</v>
      </c>
      <c r="I4492" s="204" t="s">
        <v>14687</v>
      </c>
      <c r="J4492" s="204" t="s">
        <v>15312</v>
      </c>
      <c r="K4492" s="204"/>
      <c r="L4492" s="204"/>
      <c r="M4492" s="204">
        <v>1</v>
      </c>
      <c r="N4492" s="204">
        <v>1</v>
      </c>
      <c r="O4492" s="204">
        <v>1</v>
      </c>
      <c r="P4492" s="204">
        <v>0</v>
      </c>
      <c r="Q4492" s="572">
        <v>0</v>
      </c>
      <c r="R4492" s="1209">
        <v>8000</v>
      </c>
      <c r="S4492" s="1209">
        <v>8000</v>
      </c>
      <c r="T4492" s="204" t="s">
        <v>3961</v>
      </c>
      <c r="U4492" s="1901" t="s">
        <v>301</v>
      </c>
      <c r="V4492" s="572" t="s">
        <v>931</v>
      </c>
      <c r="W4492" s="681" t="s">
        <v>15313</v>
      </c>
      <c r="X4492" s="18"/>
      <c r="Y4492" s="4"/>
      <c r="Z4492" s="4"/>
    </row>
    <row r="4493" spans="1:26" ht="14.1" hidden="1">
      <c r="A4493" s="20">
        <v>4501</v>
      </c>
      <c r="B4493" s="1063">
        <v>44270</v>
      </c>
      <c r="C4493" s="934" t="s">
        <v>15314</v>
      </c>
      <c r="D4493" s="577" t="s">
        <v>6</v>
      </c>
      <c r="E4493" s="204" t="s">
        <v>15257</v>
      </c>
      <c r="F4493" s="934" t="s">
        <v>9454</v>
      </c>
      <c r="G4493" s="204" t="s">
        <v>15315</v>
      </c>
      <c r="H4493" s="204" t="s">
        <v>9429</v>
      </c>
      <c r="I4493" s="204" t="s">
        <v>5690</v>
      </c>
      <c r="J4493" s="204">
        <v>64606195</v>
      </c>
      <c r="K4493" s="204" t="s">
        <v>15316</v>
      </c>
      <c r="L4493" s="204"/>
      <c r="M4493" s="204">
        <v>1</v>
      </c>
      <c r="N4493" s="204">
        <v>1</v>
      </c>
      <c r="O4493" s="204">
        <v>1</v>
      </c>
      <c r="P4493" s="204">
        <v>0</v>
      </c>
      <c r="Q4493" s="572">
        <v>0</v>
      </c>
      <c r="R4493" s="1209">
        <v>970</v>
      </c>
      <c r="S4493" s="1209">
        <v>970</v>
      </c>
      <c r="T4493" s="204" t="s">
        <v>3961</v>
      </c>
      <c r="U4493" s="1901" t="s">
        <v>301</v>
      </c>
      <c r="V4493" s="572" t="s">
        <v>931</v>
      </c>
      <c r="W4493" s="681" t="s">
        <v>15317</v>
      </c>
      <c r="X4493" s="18"/>
      <c r="Y4493" s="4"/>
      <c r="Z4493" s="4"/>
    </row>
    <row r="4494" spans="1:26" ht="14.1" hidden="1">
      <c r="A4494" s="20">
        <v>4502</v>
      </c>
      <c r="B4494" s="1063">
        <v>44271</v>
      </c>
      <c r="C4494" s="934" t="s">
        <v>14890</v>
      </c>
      <c r="D4494" s="577" t="s">
        <v>6</v>
      </c>
      <c r="E4494" s="204" t="s">
        <v>166</v>
      </c>
      <c r="F4494" s="934" t="s">
        <v>2876</v>
      </c>
      <c r="G4494" s="204" t="s">
        <v>14891</v>
      </c>
      <c r="H4494" s="204" t="s">
        <v>3898</v>
      </c>
      <c r="I4494" s="204" t="s">
        <v>574</v>
      </c>
      <c r="J4494" s="570" t="s">
        <v>14892</v>
      </c>
      <c r="K4494" s="584" t="s">
        <v>14893</v>
      </c>
      <c r="L4494" s="204" t="s">
        <v>3636</v>
      </c>
      <c r="M4494" s="204">
        <v>6</v>
      </c>
      <c r="N4494" s="204">
        <v>1</v>
      </c>
      <c r="O4494" s="204">
        <v>10</v>
      </c>
      <c r="P4494" s="204">
        <v>0</v>
      </c>
      <c r="Q4494" s="572">
        <v>4</v>
      </c>
      <c r="R4494" s="1209">
        <v>32</v>
      </c>
      <c r="S4494" s="1209">
        <f t="shared" ref="S4494:S4495" si="257">O4494*R4494</f>
        <v>320</v>
      </c>
      <c r="T4494" s="204" t="s">
        <v>12330</v>
      </c>
      <c r="U4494" s="1901" t="s">
        <v>15318</v>
      </c>
      <c r="V4494" s="572" t="s">
        <v>1963</v>
      </c>
      <c r="W4494" s="681" t="s">
        <v>15319</v>
      </c>
      <c r="X4494" s="18"/>
      <c r="Y4494" s="4"/>
      <c r="Z4494" s="4"/>
    </row>
    <row r="4495" spans="1:26" ht="14.1" hidden="1">
      <c r="A4495" s="20">
        <v>4503</v>
      </c>
      <c r="B4495" s="1063">
        <v>44272</v>
      </c>
      <c r="C4495" s="934" t="s">
        <v>15320</v>
      </c>
      <c r="D4495" s="577" t="s">
        <v>6</v>
      </c>
      <c r="E4495" s="204" t="s">
        <v>166</v>
      </c>
      <c r="F4495" s="934" t="s">
        <v>2876</v>
      </c>
      <c r="G4495" s="585" t="s">
        <v>15321</v>
      </c>
      <c r="H4495" s="204" t="s">
        <v>3898</v>
      </c>
      <c r="I4495" s="204" t="s">
        <v>574</v>
      </c>
      <c r="J4495" s="204" t="s">
        <v>15322</v>
      </c>
      <c r="K4495" s="584" t="s">
        <v>15323</v>
      </c>
      <c r="L4495" s="204" t="s">
        <v>4179</v>
      </c>
      <c r="M4495" s="204">
        <v>108</v>
      </c>
      <c r="N4495" s="204">
        <v>1</v>
      </c>
      <c r="O4495" s="204">
        <v>130</v>
      </c>
      <c r="P4495" s="204">
        <v>0</v>
      </c>
      <c r="Q4495" s="572">
        <v>22</v>
      </c>
      <c r="R4495" s="1209">
        <v>9.68</v>
      </c>
      <c r="S4495" s="1209">
        <f t="shared" si="257"/>
        <v>1258.3999999999999</v>
      </c>
      <c r="T4495" s="204" t="s">
        <v>12330</v>
      </c>
      <c r="U4495" s="1901" t="s">
        <v>15318</v>
      </c>
      <c r="V4495" s="572" t="s">
        <v>1963</v>
      </c>
      <c r="W4495" s="681" t="s">
        <v>15324</v>
      </c>
      <c r="X4495" s="18"/>
      <c r="Y4495" s="4"/>
      <c r="Z4495" s="4"/>
    </row>
    <row r="4496" spans="1:26" ht="14.1" hidden="1">
      <c r="A4496" s="20">
        <v>4504</v>
      </c>
      <c r="B4496" s="1063">
        <v>44273</v>
      </c>
      <c r="C4496" s="934" t="s">
        <v>15325</v>
      </c>
      <c r="D4496" s="577" t="s">
        <v>6</v>
      </c>
      <c r="E4496" s="204" t="s">
        <v>62</v>
      </c>
      <c r="F4496" s="934" t="s">
        <v>2143</v>
      </c>
      <c r="G4496" s="204" t="s">
        <v>15326</v>
      </c>
      <c r="H4496" s="204"/>
      <c r="I4496" s="204" t="s">
        <v>4066</v>
      </c>
      <c r="J4496" s="204"/>
      <c r="K4496" s="204"/>
      <c r="L4496" s="204"/>
      <c r="M4496" s="204">
        <v>1</v>
      </c>
      <c r="N4496" s="204">
        <v>1</v>
      </c>
      <c r="O4496" s="204">
        <v>1</v>
      </c>
      <c r="P4496" s="204">
        <v>0</v>
      </c>
      <c r="Q4496" s="572">
        <v>0</v>
      </c>
      <c r="R4496" s="1209">
        <v>300</v>
      </c>
      <c r="S4496" s="1209">
        <v>300</v>
      </c>
      <c r="T4496" s="204" t="s">
        <v>118</v>
      </c>
      <c r="U4496" s="1901" t="s">
        <v>118</v>
      </c>
      <c r="V4496" s="572" t="s">
        <v>118</v>
      </c>
      <c r="W4496" s="681"/>
      <c r="X4496" s="18"/>
      <c r="Y4496" s="4"/>
      <c r="Z4496" s="4"/>
    </row>
    <row r="4497" spans="1:26" ht="14.1" hidden="1">
      <c r="A4497" s="20">
        <v>4505</v>
      </c>
      <c r="B4497" s="1063">
        <v>44274</v>
      </c>
      <c r="C4497" s="934" t="s">
        <v>15327</v>
      </c>
      <c r="D4497" s="586" t="s">
        <v>6</v>
      </c>
      <c r="E4497" s="204" t="s">
        <v>62</v>
      </c>
      <c r="F4497" s="934" t="s">
        <v>2143</v>
      </c>
      <c r="G4497" s="204" t="s">
        <v>15328</v>
      </c>
      <c r="H4497" s="204"/>
      <c r="I4497" s="204" t="s">
        <v>4066</v>
      </c>
      <c r="J4497" s="204"/>
      <c r="K4497" s="204"/>
      <c r="L4497" s="204"/>
      <c r="M4497" s="204">
        <v>1</v>
      </c>
      <c r="N4497" s="204">
        <v>1</v>
      </c>
      <c r="O4497" s="204">
        <v>1</v>
      </c>
      <c r="P4497" s="204">
        <v>0</v>
      </c>
      <c r="Q4497" s="572">
        <v>0</v>
      </c>
      <c r="R4497" s="1209">
        <v>3050</v>
      </c>
      <c r="S4497" s="1209">
        <v>3050</v>
      </c>
      <c r="T4497" s="204" t="s">
        <v>118</v>
      </c>
      <c r="U4497" s="1901" t="s">
        <v>118</v>
      </c>
      <c r="V4497" s="572" t="s">
        <v>118</v>
      </c>
      <c r="W4497" s="681"/>
      <c r="X4497" s="18"/>
      <c r="Y4497" s="4"/>
      <c r="Z4497" s="4"/>
    </row>
    <row r="4498" spans="1:26" ht="14.1" hidden="1">
      <c r="A4498" s="20">
        <v>4506</v>
      </c>
      <c r="B4498" s="1063">
        <v>44275</v>
      </c>
      <c r="C4498" s="934" t="s">
        <v>15329</v>
      </c>
      <c r="D4498" s="10" t="s">
        <v>6</v>
      </c>
      <c r="E4498" s="204" t="s">
        <v>15330</v>
      </c>
      <c r="F4498" s="934" t="s">
        <v>404</v>
      </c>
      <c r="G4498" s="204" t="s">
        <v>15331</v>
      </c>
      <c r="H4498" s="204" t="s">
        <v>10882</v>
      </c>
      <c r="I4498" s="204" t="s">
        <v>39</v>
      </c>
      <c r="J4498" s="305" t="s">
        <v>10883</v>
      </c>
      <c r="K4498" s="587" t="s">
        <v>9918</v>
      </c>
      <c r="L4498" s="204" t="s">
        <v>1088</v>
      </c>
      <c r="M4498" s="204">
        <v>15</v>
      </c>
      <c r="N4498" s="204">
        <v>5</v>
      </c>
      <c r="O4498" s="204">
        <v>15</v>
      </c>
      <c r="P4498" s="204">
        <v>0</v>
      </c>
      <c r="Q4498" s="572">
        <v>0</v>
      </c>
      <c r="R4498" s="1209">
        <v>101.6</v>
      </c>
      <c r="S4498" s="1209">
        <f>R4498*O4498</f>
        <v>1524</v>
      </c>
      <c r="T4498" s="204" t="s">
        <v>15332</v>
      </c>
      <c r="U4498" s="1901" t="s">
        <v>15333</v>
      </c>
      <c r="V4498" s="572" t="s">
        <v>3187</v>
      </c>
      <c r="W4498" s="681" t="s">
        <v>10885</v>
      </c>
      <c r="X4498" s="18"/>
      <c r="Y4498" s="4"/>
      <c r="Z4498" s="4"/>
    </row>
    <row r="4499" spans="1:26" ht="14.1" hidden="1">
      <c r="A4499" s="20">
        <v>4507</v>
      </c>
      <c r="B4499" s="1063">
        <v>44276</v>
      </c>
      <c r="C4499" s="934" t="s">
        <v>15334</v>
      </c>
      <c r="D4499" s="577" t="s">
        <v>6</v>
      </c>
      <c r="E4499" s="204" t="s">
        <v>683</v>
      </c>
      <c r="F4499" s="934" t="s">
        <v>10005</v>
      </c>
      <c r="G4499" s="204" t="s">
        <v>15335</v>
      </c>
      <c r="H4499" s="204" t="s">
        <v>686</v>
      </c>
      <c r="I4499" s="204" t="s">
        <v>366</v>
      </c>
      <c r="J4499" s="204" t="s">
        <v>15336</v>
      </c>
      <c r="K4499" s="204" t="s">
        <v>15336</v>
      </c>
      <c r="L4499" s="204" t="s">
        <v>149</v>
      </c>
      <c r="M4499" s="204">
        <v>16</v>
      </c>
      <c r="N4499" s="204">
        <v>1</v>
      </c>
      <c r="O4499" s="204">
        <v>50</v>
      </c>
      <c r="P4499" s="204">
        <v>0</v>
      </c>
      <c r="Q4499" s="572">
        <v>34</v>
      </c>
      <c r="R4499" s="1209">
        <v>9</v>
      </c>
      <c r="S4499" s="1209">
        <v>450</v>
      </c>
      <c r="T4499" s="204" t="s">
        <v>14509</v>
      </c>
      <c r="U4499" s="1901" t="s">
        <v>4220</v>
      </c>
      <c r="V4499" s="572" t="s">
        <v>689</v>
      </c>
      <c r="W4499" s="681" t="s">
        <v>15337</v>
      </c>
      <c r="X4499" s="18"/>
      <c r="Y4499" s="4"/>
      <c r="Z4499" s="4"/>
    </row>
    <row r="4500" spans="1:26" ht="14.1" hidden="1">
      <c r="A4500" s="20">
        <v>4508</v>
      </c>
      <c r="B4500" s="1063">
        <v>44277</v>
      </c>
      <c r="C4500" s="934" t="s">
        <v>15334</v>
      </c>
      <c r="D4500" s="577" t="s">
        <v>6</v>
      </c>
      <c r="E4500" s="204" t="s">
        <v>683</v>
      </c>
      <c r="F4500" s="934" t="s">
        <v>10005</v>
      </c>
      <c r="G4500" s="204" t="s">
        <v>15338</v>
      </c>
      <c r="H4500" s="204" t="s">
        <v>686</v>
      </c>
      <c r="I4500" s="204" t="s">
        <v>366</v>
      </c>
      <c r="J4500" s="204" t="s">
        <v>15339</v>
      </c>
      <c r="K4500" s="204" t="s">
        <v>15339</v>
      </c>
      <c r="L4500" s="204" t="s">
        <v>149</v>
      </c>
      <c r="M4500" s="204">
        <v>72</v>
      </c>
      <c r="N4500" s="204">
        <v>1</v>
      </c>
      <c r="O4500" s="204">
        <v>150</v>
      </c>
      <c r="P4500" s="204">
        <v>6</v>
      </c>
      <c r="Q4500" s="572">
        <v>72</v>
      </c>
      <c r="R4500" s="1209">
        <v>2</v>
      </c>
      <c r="S4500" s="1209">
        <v>300</v>
      </c>
      <c r="T4500" s="204" t="s">
        <v>14509</v>
      </c>
      <c r="U4500" s="1901" t="s">
        <v>4220</v>
      </c>
      <c r="V4500" s="572" t="s">
        <v>689</v>
      </c>
      <c r="W4500" s="681" t="s">
        <v>15340</v>
      </c>
      <c r="X4500" s="18"/>
      <c r="Y4500" s="4"/>
      <c r="Z4500" s="4"/>
    </row>
    <row r="4501" spans="1:26" ht="14.1" hidden="1">
      <c r="A4501" s="20">
        <v>4509</v>
      </c>
      <c r="B4501" s="1063">
        <v>44278</v>
      </c>
      <c r="C4501" s="934" t="s">
        <v>15334</v>
      </c>
      <c r="D4501" s="577" t="s">
        <v>6</v>
      </c>
      <c r="E4501" s="204" t="s">
        <v>683</v>
      </c>
      <c r="F4501" s="934" t="s">
        <v>10005</v>
      </c>
      <c r="G4501" s="204" t="s">
        <v>15341</v>
      </c>
      <c r="H4501" s="204" t="s">
        <v>686</v>
      </c>
      <c r="I4501" s="204" t="s">
        <v>366</v>
      </c>
      <c r="J4501" s="204" t="s">
        <v>15342</v>
      </c>
      <c r="K4501" s="204" t="s">
        <v>15342</v>
      </c>
      <c r="L4501" s="204" t="s">
        <v>149</v>
      </c>
      <c r="M4501" s="204">
        <v>12</v>
      </c>
      <c r="N4501" s="204">
        <v>1</v>
      </c>
      <c r="O4501" s="204">
        <v>50</v>
      </c>
      <c r="P4501" s="204">
        <v>3</v>
      </c>
      <c r="Q4501" s="572">
        <v>35</v>
      </c>
      <c r="R4501" s="1209">
        <v>5</v>
      </c>
      <c r="S4501" s="1209">
        <v>250</v>
      </c>
      <c r="T4501" s="204" t="s">
        <v>14509</v>
      </c>
      <c r="U4501" s="1901" t="s">
        <v>4220</v>
      </c>
      <c r="V4501" s="572" t="s">
        <v>689</v>
      </c>
      <c r="W4501" s="681" t="s">
        <v>15343</v>
      </c>
      <c r="X4501" s="18"/>
      <c r="Y4501" s="4"/>
      <c r="Z4501" s="4"/>
    </row>
    <row r="4502" spans="1:26" ht="14.1" hidden="1">
      <c r="A4502" s="20">
        <v>4510</v>
      </c>
      <c r="B4502" s="1063">
        <v>44279</v>
      </c>
      <c r="C4502" s="934" t="s">
        <v>15344</v>
      </c>
      <c r="D4502" s="577" t="s">
        <v>6</v>
      </c>
      <c r="E4502" s="204" t="s">
        <v>683</v>
      </c>
      <c r="F4502" s="934" t="s">
        <v>10005</v>
      </c>
      <c r="G4502" s="204" t="s">
        <v>15345</v>
      </c>
      <c r="H4502" s="204" t="s">
        <v>686</v>
      </c>
      <c r="I4502" s="204" t="s">
        <v>366</v>
      </c>
      <c r="J4502" s="204" t="s">
        <v>15346</v>
      </c>
      <c r="K4502" s="204" t="s">
        <v>15346</v>
      </c>
      <c r="L4502" s="204" t="s">
        <v>149</v>
      </c>
      <c r="M4502" s="204">
        <v>10</v>
      </c>
      <c r="N4502" s="204">
        <v>1</v>
      </c>
      <c r="O4502" s="204">
        <v>40</v>
      </c>
      <c r="P4502" s="204">
        <v>0</v>
      </c>
      <c r="Q4502" s="572">
        <v>30</v>
      </c>
      <c r="R4502" s="1209">
        <v>8</v>
      </c>
      <c r="S4502" s="1209">
        <v>320</v>
      </c>
      <c r="T4502" s="204" t="s">
        <v>14509</v>
      </c>
      <c r="U4502" s="1901" t="s">
        <v>4220</v>
      </c>
      <c r="V4502" s="572" t="s">
        <v>689</v>
      </c>
      <c r="W4502" s="681" t="s">
        <v>15347</v>
      </c>
      <c r="X4502" s="18"/>
      <c r="Y4502" s="4"/>
      <c r="Z4502" s="4"/>
    </row>
    <row r="4503" spans="1:26" ht="14.1" hidden="1">
      <c r="A4503" s="20">
        <v>4511</v>
      </c>
      <c r="B4503" s="1063">
        <v>44280</v>
      </c>
      <c r="C4503" s="934" t="s">
        <v>15344</v>
      </c>
      <c r="D4503" s="577" t="s">
        <v>6</v>
      </c>
      <c r="E4503" s="204" t="s">
        <v>683</v>
      </c>
      <c r="F4503" s="934" t="s">
        <v>10005</v>
      </c>
      <c r="G4503" s="204" t="s">
        <v>15348</v>
      </c>
      <c r="H4503" s="204" t="s">
        <v>686</v>
      </c>
      <c r="I4503" s="204" t="s">
        <v>366</v>
      </c>
      <c r="J4503" s="204" t="s">
        <v>15349</v>
      </c>
      <c r="K4503" s="204" t="s">
        <v>15349</v>
      </c>
      <c r="L4503" s="204" t="s">
        <v>149</v>
      </c>
      <c r="M4503" s="204">
        <v>36</v>
      </c>
      <c r="N4503" s="204">
        <v>1</v>
      </c>
      <c r="O4503" s="204">
        <v>70</v>
      </c>
      <c r="P4503" s="204">
        <v>0</v>
      </c>
      <c r="Q4503" s="572">
        <v>34</v>
      </c>
      <c r="R4503" s="1209">
        <v>8</v>
      </c>
      <c r="S4503" s="1209">
        <v>560</v>
      </c>
      <c r="T4503" s="204" t="s">
        <v>14509</v>
      </c>
      <c r="U4503" s="1901" t="s">
        <v>4220</v>
      </c>
      <c r="V4503" s="572" t="s">
        <v>689</v>
      </c>
      <c r="W4503" s="681" t="s">
        <v>15350</v>
      </c>
      <c r="X4503" s="18"/>
      <c r="Y4503" s="4"/>
      <c r="Z4503" s="4"/>
    </row>
    <row r="4504" spans="1:26" ht="14.1" hidden="1">
      <c r="A4504" s="20">
        <v>4512</v>
      </c>
      <c r="B4504" s="1063">
        <v>44281</v>
      </c>
      <c r="C4504" s="934" t="s">
        <v>15344</v>
      </c>
      <c r="D4504" s="577" t="s">
        <v>6</v>
      </c>
      <c r="E4504" s="204" t="s">
        <v>683</v>
      </c>
      <c r="F4504" s="934" t="s">
        <v>10005</v>
      </c>
      <c r="G4504" s="204" t="s">
        <v>15351</v>
      </c>
      <c r="H4504" s="204" t="s">
        <v>686</v>
      </c>
      <c r="I4504" s="204" t="s">
        <v>366</v>
      </c>
      <c r="J4504" s="204" t="s">
        <v>15352</v>
      </c>
      <c r="K4504" s="204" t="s">
        <v>15352</v>
      </c>
      <c r="L4504" s="204" t="s">
        <v>149</v>
      </c>
      <c r="M4504" s="204">
        <v>12</v>
      </c>
      <c r="N4504" s="204">
        <v>1</v>
      </c>
      <c r="O4504" s="204">
        <v>30</v>
      </c>
      <c r="P4504" s="204">
        <v>0</v>
      </c>
      <c r="Q4504" s="572">
        <v>20</v>
      </c>
      <c r="R4504" s="1209">
        <v>10</v>
      </c>
      <c r="S4504" s="1209">
        <v>300</v>
      </c>
      <c r="T4504" s="204" t="s">
        <v>14509</v>
      </c>
      <c r="U4504" s="1901" t="s">
        <v>4220</v>
      </c>
      <c r="V4504" s="572" t="s">
        <v>689</v>
      </c>
      <c r="W4504" s="681" t="s">
        <v>15353</v>
      </c>
      <c r="X4504" s="18"/>
      <c r="Y4504" s="4"/>
      <c r="Z4504" s="4"/>
    </row>
    <row r="4505" spans="1:26" ht="14.1" hidden="1">
      <c r="A4505" s="20">
        <v>4513</v>
      </c>
      <c r="B4505" s="1063">
        <v>44282</v>
      </c>
      <c r="C4505" s="934" t="s">
        <v>11481</v>
      </c>
      <c r="D4505" s="577" t="s">
        <v>6</v>
      </c>
      <c r="E4505" s="204" t="s">
        <v>683</v>
      </c>
      <c r="F4505" s="934" t="s">
        <v>10005</v>
      </c>
      <c r="G4505" s="204" t="s">
        <v>15354</v>
      </c>
      <c r="H4505" s="204" t="s">
        <v>686</v>
      </c>
      <c r="I4505" s="204" t="s">
        <v>366</v>
      </c>
      <c r="J4505" s="204" t="s">
        <v>15355</v>
      </c>
      <c r="K4505" s="204" t="s">
        <v>15355</v>
      </c>
      <c r="L4505" s="204" t="s">
        <v>149</v>
      </c>
      <c r="M4505" s="204">
        <v>6</v>
      </c>
      <c r="N4505" s="204">
        <v>1</v>
      </c>
      <c r="O4505" s="204">
        <v>20</v>
      </c>
      <c r="P4505" s="204">
        <v>0</v>
      </c>
      <c r="Q4505" s="572">
        <v>12</v>
      </c>
      <c r="R4505" s="1209">
        <v>37</v>
      </c>
      <c r="S4505" s="1209">
        <v>740</v>
      </c>
      <c r="T4505" s="204" t="s">
        <v>14509</v>
      </c>
      <c r="U4505" s="1901" t="s">
        <v>4220</v>
      </c>
      <c r="V4505" s="572" t="s">
        <v>689</v>
      </c>
      <c r="W4505" s="681" t="s">
        <v>15356</v>
      </c>
      <c r="X4505" s="18"/>
      <c r="Y4505" s="4"/>
      <c r="Z4505" s="4"/>
    </row>
    <row r="4506" spans="1:26" ht="14.1" hidden="1">
      <c r="A4506" s="20">
        <v>4514</v>
      </c>
      <c r="B4506" s="1063">
        <v>44283</v>
      </c>
      <c r="C4506" s="934" t="s">
        <v>15357</v>
      </c>
      <c r="D4506" s="577" t="s">
        <v>6</v>
      </c>
      <c r="E4506" s="204" t="s">
        <v>683</v>
      </c>
      <c r="F4506" s="934" t="s">
        <v>10005</v>
      </c>
      <c r="G4506" s="204" t="s">
        <v>15358</v>
      </c>
      <c r="H4506" s="204" t="s">
        <v>686</v>
      </c>
      <c r="I4506" s="204" t="s">
        <v>366</v>
      </c>
      <c r="J4506" s="204" t="s">
        <v>15359</v>
      </c>
      <c r="K4506" s="204" t="s">
        <v>15359</v>
      </c>
      <c r="L4506" s="204" t="s">
        <v>149</v>
      </c>
      <c r="M4506" s="204">
        <v>36</v>
      </c>
      <c r="N4506" s="204">
        <v>1</v>
      </c>
      <c r="O4506" s="204">
        <v>50</v>
      </c>
      <c r="P4506" s="204">
        <v>0</v>
      </c>
      <c r="Q4506" s="572">
        <v>14</v>
      </c>
      <c r="R4506" s="1209">
        <v>22</v>
      </c>
      <c r="S4506" s="1209">
        <v>1100</v>
      </c>
      <c r="T4506" s="204" t="s">
        <v>14509</v>
      </c>
      <c r="U4506" s="1901" t="s">
        <v>4220</v>
      </c>
      <c r="V4506" s="572" t="s">
        <v>689</v>
      </c>
      <c r="W4506" s="681" t="s">
        <v>15360</v>
      </c>
      <c r="X4506" s="18"/>
      <c r="Y4506" s="4"/>
      <c r="Z4506" s="4"/>
    </row>
    <row r="4507" spans="1:26" ht="14.1" hidden="1">
      <c r="A4507" s="20">
        <v>4515</v>
      </c>
      <c r="B4507" s="1063">
        <v>44284</v>
      </c>
      <c r="C4507" s="934" t="s">
        <v>15357</v>
      </c>
      <c r="D4507" s="577" t="s">
        <v>6</v>
      </c>
      <c r="E4507" s="204" t="s">
        <v>683</v>
      </c>
      <c r="F4507" s="934" t="s">
        <v>10005</v>
      </c>
      <c r="G4507" s="204" t="s">
        <v>15361</v>
      </c>
      <c r="H4507" s="204" t="s">
        <v>686</v>
      </c>
      <c r="I4507" s="204" t="s">
        <v>366</v>
      </c>
      <c r="J4507" s="204" t="s">
        <v>15362</v>
      </c>
      <c r="K4507" s="204" t="s">
        <v>15362</v>
      </c>
      <c r="L4507" s="204" t="s">
        <v>149</v>
      </c>
      <c r="M4507" s="204">
        <v>8</v>
      </c>
      <c r="N4507" s="204">
        <v>1</v>
      </c>
      <c r="O4507" s="204">
        <v>16</v>
      </c>
      <c r="P4507" s="204">
        <v>0</v>
      </c>
      <c r="Q4507" s="572">
        <v>8</v>
      </c>
      <c r="R4507" s="1209">
        <v>52</v>
      </c>
      <c r="S4507" s="1209">
        <v>832</v>
      </c>
      <c r="T4507" s="204" t="s">
        <v>14509</v>
      </c>
      <c r="U4507" s="1901" t="s">
        <v>4220</v>
      </c>
      <c r="V4507" s="572" t="s">
        <v>689</v>
      </c>
      <c r="W4507" s="681" t="s">
        <v>15363</v>
      </c>
      <c r="X4507" s="18"/>
      <c r="Y4507" s="4"/>
      <c r="Z4507" s="4"/>
    </row>
    <row r="4508" spans="1:26" ht="14.1" hidden="1">
      <c r="A4508" s="20">
        <v>4516</v>
      </c>
      <c r="B4508" s="1063">
        <v>44285</v>
      </c>
      <c r="C4508" s="934" t="s">
        <v>15364</v>
      </c>
      <c r="D4508" s="577" t="s">
        <v>6</v>
      </c>
      <c r="E4508" s="204" t="s">
        <v>683</v>
      </c>
      <c r="F4508" s="934" t="s">
        <v>10005</v>
      </c>
      <c r="G4508" s="204" t="s">
        <v>15365</v>
      </c>
      <c r="H4508" s="204" t="s">
        <v>686</v>
      </c>
      <c r="I4508" s="204" t="s">
        <v>366</v>
      </c>
      <c r="J4508" s="204" t="s">
        <v>15366</v>
      </c>
      <c r="K4508" s="204" t="s">
        <v>15366</v>
      </c>
      <c r="L4508" s="204" t="s">
        <v>149</v>
      </c>
      <c r="M4508" s="204">
        <v>36</v>
      </c>
      <c r="N4508" s="204">
        <v>1</v>
      </c>
      <c r="O4508" s="204">
        <v>50</v>
      </c>
      <c r="P4508" s="204">
        <v>4</v>
      </c>
      <c r="Q4508" s="572">
        <v>28</v>
      </c>
      <c r="R4508" s="1209">
        <v>11</v>
      </c>
      <c r="S4508" s="1209">
        <v>550</v>
      </c>
      <c r="T4508" s="204" t="s">
        <v>14509</v>
      </c>
      <c r="U4508" s="1901" t="s">
        <v>4220</v>
      </c>
      <c r="V4508" s="572" t="s">
        <v>689</v>
      </c>
      <c r="W4508" s="681" t="s">
        <v>15367</v>
      </c>
      <c r="X4508" s="18"/>
      <c r="Y4508" s="4"/>
      <c r="Z4508" s="4"/>
    </row>
    <row r="4509" spans="1:26" ht="14.1" hidden="1">
      <c r="A4509" s="20">
        <v>4517</v>
      </c>
      <c r="B4509" s="1063">
        <v>44286</v>
      </c>
      <c r="C4509" s="934" t="s">
        <v>15364</v>
      </c>
      <c r="D4509" s="577" t="s">
        <v>6</v>
      </c>
      <c r="E4509" s="204" t="s">
        <v>683</v>
      </c>
      <c r="F4509" s="934" t="s">
        <v>10005</v>
      </c>
      <c r="G4509" s="204" t="s">
        <v>15365</v>
      </c>
      <c r="H4509" s="204" t="s">
        <v>686</v>
      </c>
      <c r="I4509" s="204" t="s">
        <v>366</v>
      </c>
      <c r="J4509" s="204" t="s">
        <v>15368</v>
      </c>
      <c r="K4509" s="204" t="s">
        <v>15368</v>
      </c>
      <c r="L4509" s="204" t="s">
        <v>149</v>
      </c>
      <c r="M4509" s="204">
        <v>8</v>
      </c>
      <c r="N4509" s="204">
        <v>1</v>
      </c>
      <c r="O4509" s="204">
        <v>16</v>
      </c>
      <c r="P4509" s="204">
        <v>0</v>
      </c>
      <c r="Q4509" s="572">
        <v>8</v>
      </c>
      <c r="R4509" s="1209">
        <v>30</v>
      </c>
      <c r="S4509" s="1209">
        <v>480</v>
      </c>
      <c r="T4509" s="204" t="s">
        <v>14509</v>
      </c>
      <c r="U4509" s="1901" t="s">
        <v>4220</v>
      </c>
      <c r="V4509" s="572" t="s">
        <v>689</v>
      </c>
      <c r="W4509" s="681" t="s">
        <v>15369</v>
      </c>
      <c r="X4509" s="18"/>
      <c r="Y4509" s="4"/>
      <c r="Z4509" s="4"/>
    </row>
    <row r="4510" spans="1:26" ht="14.1" hidden="1">
      <c r="A4510" s="20">
        <v>4518</v>
      </c>
      <c r="B4510" s="1063">
        <v>44287</v>
      </c>
      <c r="C4510" s="934" t="s">
        <v>15370</v>
      </c>
      <c r="D4510" s="577" t="s">
        <v>6</v>
      </c>
      <c r="E4510" s="204" t="s">
        <v>683</v>
      </c>
      <c r="F4510" s="934" t="s">
        <v>10005</v>
      </c>
      <c r="G4510" s="204" t="s">
        <v>15371</v>
      </c>
      <c r="H4510" s="204" t="s">
        <v>11662</v>
      </c>
      <c r="I4510" s="204" t="s">
        <v>366</v>
      </c>
      <c r="J4510" s="204" t="s">
        <v>15372</v>
      </c>
      <c r="K4510" s="204" t="s">
        <v>15372</v>
      </c>
      <c r="L4510" s="204" t="s">
        <v>149</v>
      </c>
      <c r="M4510" s="204">
        <v>2</v>
      </c>
      <c r="N4510" s="204">
        <v>1</v>
      </c>
      <c r="O4510" s="204">
        <v>2</v>
      </c>
      <c r="P4510" s="204">
        <v>0</v>
      </c>
      <c r="Q4510" s="572">
        <v>0</v>
      </c>
      <c r="R4510" s="1209">
        <v>1459</v>
      </c>
      <c r="S4510" s="1209">
        <v>2918</v>
      </c>
      <c r="T4510" s="204" t="s">
        <v>15373</v>
      </c>
      <c r="U4510" s="1901" t="s">
        <v>4220</v>
      </c>
      <c r="V4510" s="572" t="s">
        <v>689</v>
      </c>
      <c r="W4510" s="681" t="s">
        <v>15374</v>
      </c>
      <c r="X4510" s="18"/>
      <c r="Y4510" s="4"/>
      <c r="Z4510" s="4"/>
    </row>
    <row r="4511" spans="1:26" ht="14.1" hidden="1">
      <c r="A4511" s="20">
        <v>4519</v>
      </c>
      <c r="B4511" s="1063">
        <v>44288</v>
      </c>
      <c r="C4511" s="934" t="s">
        <v>15375</v>
      </c>
      <c r="D4511" s="577" t="s">
        <v>6</v>
      </c>
      <c r="E4511" s="204" t="s">
        <v>683</v>
      </c>
      <c r="F4511" s="934" t="s">
        <v>10005</v>
      </c>
      <c r="G4511" s="204" t="s">
        <v>15376</v>
      </c>
      <c r="H4511" s="204" t="s">
        <v>11662</v>
      </c>
      <c r="I4511" s="204" t="s">
        <v>366</v>
      </c>
      <c r="J4511" s="204" t="s">
        <v>15377</v>
      </c>
      <c r="K4511" s="204" t="s">
        <v>15377</v>
      </c>
      <c r="L4511" s="204" t="s">
        <v>149</v>
      </c>
      <c r="M4511" s="204">
        <v>1</v>
      </c>
      <c r="N4511" s="204">
        <v>1</v>
      </c>
      <c r="O4511" s="204">
        <v>1</v>
      </c>
      <c r="P4511" s="204">
        <v>0</v>
      </c>
      <c r="Q4511" s="572">
        <v>0</v>
      </c>
      <c r="R4511" s="1209">
        <v>2485</v>
      </c>
      <c r="S4511" s="1209">
        <v>2485</v>
      </c>
      <c r="T4511" s="204" t="s">
        <v>14509</v>
      </c>
      <c r="U4511" s="1901" t="s">
        <v>4220</v>
      </c>
      <c r="V4511" s="572" t="s">
        <v>689</v>
      </c>
      <c r="W4511" s="681" t="s">
        <v>15378</v>
      </c>
      <c r="X4511" s="18"/>
      <c r="Y4511" s="4"/>
      <c r="Z4511" s="4"/>
    </row>
    <row r="4512" spans="1:26" ht="14.1" hidden="1">
      <c r="A4512" s="20">
        <v>4520</v>
      </c>
      <c r="B4512" s="1063">
        <v>44289</v>
      </c>
      <c r="C4512" s="934" t="s">
        <v>15379</v>
      </c>
      <c r="D4512" s="577" t="s">
        <v>6</v>
      </c>
      <c r="E4512" s="204" t="s">
        <v>683</v>
      </c>
      <c r="F4512" s="934" t="s">
        <v>10005</v>
      </c>
      <c r="G4512" s="204" t="s">
        <v>15380</v>
      </c>
      <c r="H4512" s="204" t="s">
        <v>15381</v>
      </c>
      <c r="I4512" s="204" t="s">
        <v>366</v>
      </c>
      <c r="J4512" s="204">
        <v>1173040</v>
      </c>
      <c r="K4512" s="204">
        <v>1173040</v>
      </c>
      <c r="L4512" s="204" t="s">
        <v>149</v>
      </c>
      <c r="M4512" s="204">
        <v>1</v>
      </c>
      <c r="N4512" s="204">
        <v>1</v>
      </c>
      <c r="O4512" s="204">
        <v>1</v>
      </c>
      <c r="P4512" s="204">
        <v>0</v>
      </c>
      <c r="Q4512" s="572">
        <v>0</v>
      </c>
      <c r="R4512" s="1209">
        <v>1101</v>
      </c>
      <c r="S4512" s="1209">
        <v>1101</v>
      </c>
      <c r="T4512" s="204" t="s">
        <v>14509</v>
      </c>
      <c r="U4512" s="1901" t="s">
        <v>4220</v>
      </c>
      <c r="V4512" s="572" t="s">
        <v>689</v>
      </c>
      <c r="W4512" s="681" t="s">
        <v>15382</v>
      </c>
      <c r="X4512" s="18"/>
      <c r="Y4512" s="4"/>
      <c r="Z4512" s="4"/>
    </row>
    <row r="4513" spans="1:26" ht="14.1" hidden="1">
      <c r="A4513" s="20">
        <v>4521</v>
      </c>
      <c r="B4513" s="1063">
        <v>44290</v>
      </c>
      <c r="C4513" s="934" t="s">
        <v>15383</v>
      </c>
      <c r="D4513" s="37"/>
      <c r="E4513" s="204"/>
      <c r="F4513" s="934" t="s">
        <v>2143</v>
      </c>
      <c r="G4513" s="204" t="s">
        <v>15384</v>
      </c>
      <c r="H4513" s="204" t="s">
        <v>15385</v>
      </c>
      <c r="I4513" s="204" t="s">
        <v>1063</v>
      </c>
      <c r="J4513" s="204" t="s">
        <v>15386</v>
      </c>
      <c r="K4513" s="204" t="s">
        <v>15387</v>
      </c>
      <c r="L4513" s="204"/>
      <c r="M4513" s="204">
        <v>1</v>
      </c>
      <c r="N4513" s="204">
        <v>1</v>
      </c>
      <c r="O4513" s="204">
        <v>1</v>
      </c>
      <c r="P4513" s="204">
        <v>0</v>
      </c>
      <c r="Q4513" s="572">
        <v>0</v>
      </c>
      <c r="R4513" s="1209">
        <v>100</v>
      </c>
      <c r="S4513" s="1209">
        <v>100</v>
      </c>
      <c r="T4513" s="204" t="s">
        <v>15388</v>
      </c>
      <c r="U4513" s="1901" t="s">
        <v>1896</v>
      </c>
      <c r="V4513" s="572" t="s">
        <v>118</v>
      </c>
      <c r="W4513" s="681" t="s">
        <v>15389</v>
      </c>
      <c r="X4513" s="18"/>
      <c r="Y4513" s="4"/>
      <c r="Z4513" s="4"/>
    </row>
    <row r="4514" spans="1:26" ht="14.1" hidden="1">
      <c r="A4514" s="20">
        <v>4522</v>
      </c>
      <c r="B4514" s="1063">
        <v>44291</v>
      </c>
      <c r="C4514" s="934" t="s">
        <v>15390</v>
      </c>
      <c r="D4514" s="37"/>
      <c r="E4514" s="204"/>
      <c r="F4514" s="934" t="s">
        <v>2143</v>
      </c>
      <c r="G4514" s="204" t="s">
        <v>15391</v>
      </c>
      <c r="H4514" s="204" t="s">
        <v>15392</v>
      </c>
      <c r="I4514" s="204" t="s">
        <v>1063</v>
      </c>
      <c r="J4514" s="204" t="s">
        <v>15393</v>
      </c>
      <c r="K4514" s="204" t="s">
        <v>15394</v>
      </c>
      <c r="L4514" s="204"/>
      <c r="M4514" s="204">
        <v>1</v>
      </c>
      <c r="N4514" s="204">
        <v>1</v>
      </c>
      <c r="O4514" s="204">
        <v>1</v>
      </c>
      <c r="P4514" s="204">
        <v>0</v>
      </c>
      <c r="Q4514" s="572">
        <v>0</v>
      </c>
      <c r="R4514" s="1209">
        <v>700</v>
      </c>
      <c r="S4514" s="1209">
        <v>700</v>
      </c>
      <c r="T4514" s="204" t="s">
        <v>15388</v>
      </c>
      <c r="U4514" s="1901" t="s">
        <v>1896</v>
      </c>
      <c r="V4514" s="572" t="s">
        <v>118</v>
      </c>
      <c r="W4514" s="681" t="s">
        <v>15395</v>
      </c>
      <c r="X4514" s="18"/>
      <c r="Y4514" s="4"/>
      <c r="Z4514" s="4"/>
    </row>
    <row r="4515" spans="1:26" ht="14.1" hidden="1">
      <c r="A4515" s="20">
        <v>4523</v>
      </c>
      <c r="B4515" s="1063">
        <v>44292</v>
      </c>
      <c r="C4515" s="934" t="s">
        <v>10076</v>
      </c>
      <c r="D4515" s="37"/>
      <c r="E4515" s="204"/>
      <c r="F4515" s="934" t="s">
        <v>2143</v>
      </c>
      <c r="G4515" s="204" t="s">
        <v>15396</v>
      </c>
      <c r="H4515" s="204" t="s">
        <v>15397</v>
      </c>
      <c r="I4515" s="204" t="s">
        <v>1063</v>
      </c>
      <c r="J4515" s="204" t="s">
        <v>15398</v>
      </c>
      <c r="K4515" s="204" t="s">
        <v>15399</v>
      </c>
      <c r="L4515" s="204"/>
      <c r="M4515" s="204">
        <v>3</v>
      </c>
      <c r="N4515" s="204">
        <v>1</v>
      </c>
      <c r="O4515" s="204">
        <v>3</v>
      </c>
      <c r="P4515" s="204">
        <v>0</v>
      </c>
      <c r="Q4515" s="572">
        <v>0</v>
      </c>
      <c r="R4515" s="1209">
        <v>80</v>
      </c>
      <c r="S4515" s="1209">
        <v>240</v>
      </c>
      <c r="T4515" s="204" t="s">
        <v>15388</v>
      </c>
      <c r="U4515" s="1901" t="s">
        <v>1896</v>
      </c>
      <c r="V4515" s="572" t="s">
        <v>118</v>
      </c>
      <c r="W4515" s="681" t="s">
        <v>15400</v>
      </c>
      <c r="X4515" s="18"/>
      <c r="Y4515" s="4"/>
      <c r="Z4515" s="4"/>
    </row>
    <row r="4516" spans="1:26" ht="14.1" hidden="1">
      <c r="A4516" s="20">
        <v>4524</v>
      </c>
      <c r="B4516" s="1063">
        <v>44293</v>
      </c>
      <c r="C4516" s="934" t="s">
        <v>15401</v>
      </c>
      <c r="D4516" s="37"/>
      <c r="E4516" s="204"/>
      <c r="F4516" s="934" t="s">
        <v>2143</v>
      </c>
      <c r="G4516" s="204" t="s">
        <v>15402</v>
      </c>
      <c r="H4516" s="204" t="s">
        <v>15403</v>
      </c>
      <c r="I4516" s="204" t="s">
        <v>1063</v>
      </c>
      <c r="J4516" s="204" t="s">
        <v>15404</v>
      </c>
      <c r="K4516" s="204" t="s">
        <v>15405</v>
      </c>
      <c r="L4516" s="204"/>
      <c r="M4516" s="204">
        <v>1</v>
      </c>
      <c r="N4516" s="204">
        <v>1</v>
      </c>
      <c r="O4516" s="204">
        <v>1</v>
      </c>
      <c r="P4516" s="204">
        <v>0</v>
      </c>
      <c r="Q4516" s="572">
        <v>0</v>
      </c>
      <c r="R4516" s="1209">
        <v>30</v>
      </c>
      <c r="S4516" s="1209">
        <v>30</v>
      </c>
      <c r="T4516" s="204" t="s">
        <v>15388</v>
      </c>
      <c r="U4516" s="1901" t="s">
        <v>1896</v>
      </c>
      <c r="V4516" s="572" t="s">
        <v>118</v>
      </c>
      <c r="W4516" s="681" t="s">
        <v>15406</v>
      </c>
      <c r="X4516" s="18"/>
      <c r="Y4516" s="4"/>
      <c r="Z4516" s="4"/>
    </row>
    <row r="4517" spans="1:26" ht="14.1" hidden="1">
      <c r="A4517" s="20">
        <v>4525</v>
      </c>
      <c r="B4517" s="1063">
        <v>44294</v>
      </c>
      <c r="C4517" s="934" t="s">
        <v>15407</v>
      </c>
      <c r="D4517" s="37"/>
      <c r="E4517" s="204"/>
      <c r="F4517" s="934" t="s">
        <v>2143</v>
      </c>
      <c r="G4517" s="204" t="s">
        <v>15408</v>
      </c>
      <c r="H4517" s="204" t="s">
        <v>1478</v>
      </c>
      <c r="I4517" s="204" t="s">
        <v>1063</v>
      </c>
      <c r="J4517" s="204" t="s">
        <v>15409</v>
      </c>
      <c r="K4517" s="204" t="s">
        <v>15410</v>
      </c>
      <c r="L4517" s="204"/>
      <c r="M4517" s="204">
        <v>2</v>
      </c>
      <c r="N4517" s="204">
        <v>1</v>
      </c>
      <c r="O4517" s="204">
        <v>2</v>
      </c>
      <c r="P4517" s="204">
        <v>0</v>
      </c>
      <c r="Q4517" s="572">
        <v>0</v>
      </c>
      <c r="R4517" s="1209">
        <v>10</v>
      </c>
      <c r="S4517" s="1209">
        <v>20</v>
      </c>
      <c r="T4517" s="204" t="s">
        <v>15388</v>
      </c>
      <c r="U4517" s="1901" t="s">
        <v>1896</v>
      </c>
      <c r="V4517" s="572" t="s">
        <v>118</v>
      </c>
      <c r="W4517" s="681" t="s">
        <v>15411</v>
      </c>
      <c r="X4517" s="18"/>
      <c r="Y4517" s="4"/>
      <c r="Z4517" s="4"/>
    </row>
    <row r="4518" spans="1:26" ht="14.1" hidden="1">
      <c r="A4518" s="20">
        <v>4526</v>
      </c>
      <c r="B4518" s="1063">
        <v>44295</v>
      </c>
      <c r="C4518" s="934" t="s">
        <v>15412</v>
      </c>
      <c r="D4518" s="37"/>
      <c r="E4518" s="204"/>
      <c r="F4518" s="934" t="s">
        <v>2143</v>
      </c>
      <c r="G4518" s="204" t="s">
        <v>15413</v>
      </c>
      <c r="H4518" s="204" t="s">
        <v>14528</v>
      </c>
      <c r="I4518" s="204" t="s">
        <v>1063</v>
      </c>
      <c r="J4518" s="204" t="s">
        <v>15414</v>
      </c>
      <c r="K4518" s="204" t="s">
        <v>5471</v>
      </c>
      <c r="L4518" s="204"/>
      <c r="M4518" s="204">
        <v>1</v>
      </c>
      <c r="N4518" s="204">
        <v>1</v>
      </c>
      <c r="O4518" s="204">
        <v>1</v>
      </c>
      <c r="P4518" s="204">
        <v>0</v>
      </c>
      <c r="Q4518" s="572">
        <v>0</v>
      </c>
      <c r="R4518" s="1209">
        <v>1950</v>
      </c>
      <c r="S4518" s="1209">
        <v>1950</v>
      </c>
      <c r="T4518" s="204" t="s">
        <v>15388</v>
      </c>
      <c r="U4518" s="1901" t="s">
        <v>1896</v>
      </c>
      <c r="V4518" s="572" t="s">
        <v>118</v>
      </c>
      <c r="W4518" s="2300" t="s">
        <v>15415</v>
      </c>
      <c r="X4518" s="18"/>
      <c r="Y4518" s="4"/>
      <c r="Z4518" s="4"/>
    </row>
    <row r="4519" spans="1:26" ht="14.1" hidden="1">
      <c r="A4519" s="20">
        <v>4527</v>
      </c>
      <c r="B4519" s="1063">
        <v>44296</v>
      </c>
      <c r="C4519" s="934" t="s">
        <v>15416</v>
      </c>
      <c r="D4519" s="37"/>
      <c r="E4519" s="204"/>
      <c r="F4519" s="934" t="s">
        <v>2143</v>
      </c>
      <c r="G4519" s="204" t="s">
        <v>15417</v>
      </c>
      <c r="H4519" s="204" t="s">
        <v>15418</v>
      </c>
      <c r="I4519" s="204" t="s">
        <v>1063</v>
      </c>
      <c r="J4519" s="204" t="s">
        <v>15419</v>
      </c>
      <c r="K4519" s="204">
        <v>18742</v>
      </c>
      <c r="L4519" s="204"/>
      <c r="M4519" s="204">
        <v>1</v>
      </c>
      <c r="N4519" s="204">
        <v>1</v>
      </c>
      <c r="O4519" s="204">
        <v>1</v>
      </c>
      <c r="P4519" s="204">
        <v>0</v>
      </c>
      <c r="Q4519" s="572">
        <v>0</v>
      </c>
      <c r="R4519" s="1209">
        <v>30</v>
      </c>
      <c r="S4519" s="1209">
        <v>30</v>
      </c>
      <c r="T4519" s="204" t="s">
        <v>15388</v>
      </c>
      <c r="U4519" s="1901" t="s">
        <v>1896</v>
      </c>
      <c r="V4519" s="572" t="s">
        <v>118</v>
      </c>
      <c r="W4519" s="681" t="s">
        <v>15420</v>
      </c>
      <c r="X4519" s="18"/>
      <c r="Y4519" s="4"/>
      <c r="Z4519" s="4"/>
    </row>
    <row r="4520" spans="1:26" ht="14.1" hidden="1">
      <c r="A4520" s="20">
        <v>4528</v>
      </c>
      <c r="B4520" s="1063">
        <v>44297</v>
      </c>
      <c r="C4520" s="934" t="s">
        <v>15421</v>
      </c>
      <c r="D4520" s="37"/>
      <c r="E4520" s="204"/>
      <c r="F4520" s="934" t="s">
        <v>2143</v>
      </c>
      <c r="G4520" s="204"/>
      <c r="H4520" s="204" t="s">
        <v>1063</v>
      </c>
      <c r="I4520" s="204" t="s">
        <v>1063</v>
      </c>
      <c r="J4520" s="204" t="s">
        <v>15422</v>
      </c>
      <c r="K4520" s="204" t="s">
        <v>12377</v>
      </c>
      <c r="L4520" s="204"/>
      <c r="M4520" s="204">
        <v>1</v>
      </c>
      <c r="N4520" s="204">
        <v>1</v>
      </c>
      <c r="O4520" s="204">
        <v>1</v>
      </c>
      <c r="P4520" s="204">
        <v>0</v>
      </c>
      <c r="Q4520" s="572">
        <v>0</v>
      </c>
      <c r="R4520" s="1209">
        <v>20</v>
      </c>
      <c r="S4520" s="1209">
        <v>20</v>
      </c>
      <c r="T4520" s="204" t="s">
        <v>15388</v>
      </c>
      <c r="U4520" s="1901" t="s">
        <v>1896</v>
      </c>
      <c r="V4520" s="572" t="s">
        <v>118</v>
      </c>
      <c r="W4520" s="681" t="s">
        <v>15423</v>
      </c>
      <c r="X4520" s="18"/>
      <c r="Y4520" s="4"/>
      <c r="Z4520" s="4"/>
    </row>
    <row r="4521" spans="1:26" ht="14.1" hidden="1">
      <c r="A4521" s="20">
        <v>4529</v>
      </c>
      <c r="B4521" s="1063">
        <v>44298</v>
      </c>
      <c r="C4521" s="934" t="s">
        <v>15424</v>
      </c>
      <c r="D4521" s="37"/>
      <c r="E4521" s="204"/>
      <c r="F4521" s="934" t="s">
        <v>2143</v>
      </c>
      <c r="G4521" s="204"/>
      <c r="H4521" s="204" t="s">
        <v>1478</v>
      </c>
      <c r="I4521" s="204" t="s">
        <v>1063</v>
      </c>
      <c r="J4521" s="204" t="s">
        <v>15425</v>
      </c>
      <c r="K4521" s="204" t="s">
        <v>15426</v>
      </c>
      <c r="L4521" s="204"/>
      <c r="M4521" s="204">
        <v>2</v>
      </c>
      <c r="N4521" s="204">
        <v>1</v>
      </c>
      <c r="O4521" s="204">
        <v>2</v>
      </c>
      <c r="P4521" s="204">
        <v>0</v>
      </c>
      <c r="Q4521" s="572">
        <v>0</v>
      </c>
      <c r="R4521" s="1209">
        <v>5</v>
      </c>
      <c r="S4521" s="1209">
        <v>10</v>
      </c>
      <c r="T4521" s="204" t="s">
        <v>15388</v>
      </c>
      <c r="U4521" s="1901" t="s">
        <v>1896</v>
      </c>
      <c r="V4521" s="572" t="s">
        <v>118</v>
      </c>
      <c r="W4521" s="681" t="s">
        <v>15427</v>
      </c>
      <c r="X4521" s="18"/>
      <c r="Y4521" s="4"/>
      <c r="Z4521" s="4"/>
    </row>
    <row r="4522" spans="1:26" ht="14.1" hidden="1">
      <c r="A4522" s="20">
        <v>4530</v>
      </c>
      <c r="B4522" s="1063">
        <v>44299</v>
      </c>
      <c r="C4522" s="934" t="s">
        <v>15428</v>
      </c>
      <c r="D4522" s="37"/>
      <c r="E4522" s="204"/>
      <c r="F4522" s="934" t="s">
        <v>2143</v>
      </c>
      <c r="G4522" s="204" t="s">
        <v>15429</v>
      </c>
      <c r="H4522" s="204" t="s">
        <v>6194</v>
      </c>
      <c r="I4522" s="204" t="s">
        <v>1063</v>
      </c>
      <c r="J4522" s="204" t="s">
        <v>15430</v>
      </c>
      <c r="K4522" s="204" t="s">
        <v>15430</v>
      </c>
      <c r="L4522" s="204"/>
      <c r="M4522" s="204">
        <v>1</v>
      </c>
      <c r="N4522" s="204">
        <v>1</v>
      </c>
      <c r="O4522" s="204">
        <v>1</v>
      </c>
      <c r="P4522" s="204">
        <v>0</v>
      </c>
      <c r="Q4522" s="572">
        <v>0</v>
      </c>
      <c r="R4522" s="1209">
        <v>580</v>
      </c>
      <c r="S4522" s="1209">
        <v>580</v>
      </c>
      <c r="T4522" s="204" t="s">
        <v>15388</v>
      </c>
      <c r="U4522" s="1901" t="s">
        <v>1896</v>
      </c>
      <c r="V4522" s="572" t="s">
        <v>118</v>
      </c>
      <c r="W4522" s="681" t="s">
        <v>15431</v>
      </c>
      <c r="X4522" s="18"/>
      <c r="Y4522" s="4"/>
      <c r="Z4522" s="4"/>
    </row>
    <row r="4523" spans="1:26" ht="14.1" hidden="1">
      <c r="A4523" s="20">
        <v>4531</v>
      </c>
      <c r="B4523" s="1063">
        <v>44300</v>
      </c>
      <c r="C4523" s="934" t="s">
        <v>15432</v>
      </c>
      <c r="D4523" s="37"/>
      <c r="E4523" s="204"/>
      <c r="F4523" s="934" t="s">
        <v>2143</v>
      </c>
      <c r="G4523" s="204" t="s">
        <v>15432</v>
      </c>
      <c r="H4523" s="204" t="s">
        <v>4817</v>
      </c>
      <c r="I4523" s="204" t="s">
        <v>1063</v>
      </c>
      <c r="J4523" s="204" t="s">
        <v>4818</v>
      </c>
      <c r="K4523" s="204" t="s">
        <v>4819</v>
      </c>
      <c r="L4523" s="204"/>
      <c r="M4523" s="204">
        <v>1</v>
      </c>
      <c r="N4523" s="204">
        <v>1</v>
      </c>
      <c r="O4523" s="204">
        <v>1</v>
      </c>
      <c r="P4523" s="204">
        <v>0</v>
      </c>
      <c r="Q4523" s="572">
        <v>0</v>
      </c>
      <c r="R4523" s="1209">
        <v>20</v>
      </c>
      <c r="S4523" s="1209">
        <v>20</v>
      </c>
      <c r="T4523" s="204" t="s">
        <v>15388</v>
      </c>
      <c r="U4523" s="1901" t="s">
        <v>1896</v>
      </c>
      <c r="V4523" s="572" t="s">
        <v>118</v>
      </c>
      <c r="W4523" s="681" t="s">
        <v>15433</v>
      </c>
      <c r="X4523" s="18"/>
      <c r="Y4523" s="4"/>
      <c r="Z4523" s="4"/>
    </row>
    <row r="4524" spans="1:26" ht="14.1" hidden="1">
      <c r="A4524" s="20">
        <v>4532</v>
      </c>
      <c r="B4524" s="1063">
        <v>44301</v>
      </c>
      <c r="C4524" s="934" t="s">
        <v>15434</v>
      </c>
      <c r="D4524" s="37"/>
      <c r="E4524" s="204"/>
      <c r="F4524" s="934" t="s">
        <v>2143</v>
      </c>
      <c r="G4524" s="204" t="s">
        <v>15435</v>
      </c>
      <c r="H4524" s="204" t="s">
        <v>4823</v>
      </c>
      <c r="I4524" s="204" t="s">
        <v>1063</v>
      </c>
      <c r="J4524" s="204" t="s">
        <v>15436</v>
      </c>
      <c r="K4524" s="204"/>
      <c r="L4524" s="204"/>
      <c r="M4524" s="204">
        <v>1</v>
      </c>
      <c r="N4524" s="204">
        <v>1</v>
      </c>
      <c r="O4524" s="204">
        <v>1</v>
      </c>
      <c r="P4524" s="204">
        <v>0</v>
      </c>
      <c r="Q4524" s="572">
        <v>0</v>
      </c>
      <c r="R4524" s="1209">
        <v>50</v>
      </c>
      <c r="S4524" s="1209">
        <v>50</v>
      </c>
      <c r="T4524" s="204" t="s">
        <v>15388</v>
      </c>
      <c r="U4524" s="1901" t="s">
        <v>1896</v>
      </c>
      <c r="V4524" s="572" t="s">
        <v>118</v>
      </c>
      <c r="W4524" s="681" t="s">
        <v>15437</v>
      </c>
      <c r="X4524" s="18"/>
      <c r="Y4524" s="4"/>
      <c r="Z4524" s="4"/>
    </row>
    <row r="4525" spans="1:26" ht="14.1" hidden="1">
      <c r="A4525" s="20">
        <v>4533</v>
      </c>
      <c r="B4525" s="1063">
        <v>44302</v>
      </c>
      <c r="C4525" s="934" t="s">
        <v>15438</v>
      </c>
      <c r="D4525" s="37"/>
      <c r="E4525" s="204"/>
      <c r="F4525" s="934" t="s">
        <v>2143</v>
      </c>
      <c r="G4525" s="204" t="s">
        <v>15438</v>
      </c>
      <c r="H4525" s="204" t="s">
        <v>15439</v>
      </c>
      <c r="I4525" s="204" t="s">
        <v>1063</v>
      </c>
      <c r="J4525" s="204" t="s">
        <v>15440</v>
      </c>
      <c r="K4525" s="204" t="s">
        <v>15441</v>
      </c>
      <c r="L4525" s="204"/>
      <c r="M4525" s="204">
        <v>4</v>
      </c>
      <c r="N4525" s="204">
        <v>1</v>
      </c>
      <c r="O4525" s="204">
        <v>4</v>
      </c>
      <c r="P4525" s="204">
        <v>0</v>
      </c>
      <c r="Q4525" s="572">
        <v>0</v>
      </c>
      <c r="R4525" s="1209">
        <v>15</v>
      </c>
      <c r="S4525" s="1209">
        <v>60</v>
      </c>
      <c r="T4525" s="204" t="s">
        <v>15388</v>
      </c>
      <c r="U4525" s="1901" t="s">
        <v>1896</v>
      </c>
      <c r="V4525" s="572" t="s">
        <v>118</v>
      </c>
      <c r="W4525" s="681" t="s">
        <v>15442</v>
      </c>
      <c r="X4525" s="18"/>
      <c r="Y4525" s="4"/>
      <c r="Z4525" s="4"/>
    </row>
    <row r="4526" spans="1:26" ht="14.1" hidden="1">
      <c r="A4526" s="20">
        <v>4534</v>
      </c>
      <c r="B4526" s="1063">
        <v>44303</v>
      </c>
      <c r="C4526" s="1016" t="s">
        <v>15443</v>
      </c>
      <c r="D4526" s="577" t="s">
        <v>6</v>
      </c>
      <c r="E4526" s="204" t="s">
        <v>572</v>
      </c>
      <c r="F4526" s="934" t="s">
        <v>15444</v>
      </c>
      <c r="G4526" s="588" t="s">
        <v>15445</v>
      </c>
      <c r="H4526" s="410" t="s">
        <v>15446</v>
      </c>
      <c r="I4526" s="204" t="s">
        <v>39</v>
      </c>
      <c r="J4526" s="204" t="s">
        <v>15447</v>
      </c>
      <c r="K4526" s="204" t="s">
        <v>15448</v>
      </c>
      <c r="L4526" s="204"/>
      <c r="M4526" s="204">
        <v>3</v>
      </c>
      <c r="N4526" s="204">
        <v>3</v>
      </c>
      <c r="O4526" s="204">
        <v>5</v>
      </c>
      <c r="P4526" s="204">
        <v>0</v>
      </c>
      <c r="Q4526" s="572">
        <v>0</v>
      </c>
      <c r="R4526" s="1209">
        <v>771</v>
      </c>
      <c r="S4526" s="1209">
        <v>3855</v>
      </c>
      <c r="T4526" s="204"/>
      <c r="U4526" s="1901"/>
      <c r="V4526" s="572"/>
      <c r="W4526" s="681"/>
      <c r="X4526" s="18"/>
      <c r="Y4526" s="4"/>
      <c r="Z4526" s="4"/>
    </row>
    <row r="4527" spans="1:26" ht="14.1" hidden="1">
      <c r="A4527" s="20">
        <v>4535</v>
      </c>
      <c r="B4527" s="1063">
        <v>44304</v>
      </c>
      <c r="C4527" s="1017" t="s">
        <v>15449</v>
      </c>
      <c r="D4527" s="577" t="s">
        <v>6</v>
      </c>
      <c r="E4527" s="204" t="s">
        <v>572</v>
      </c>
      <c r="F4527" s="934" t="s">
        <v>15444</v>
      </c>
      <c r="G4527" s="588" t="s">
        <v>15449</v>
      </c>
      <c r="H4527" s="588" t="s">
        <v>15450</v>
      </c>
      <c r="I4527" s="204" t="s">
        <v>39</v>
      </c>
      <c r="J4527" s="204" t="s">
        <v>15451</v>
      </c>
      <c r="K4527" s="204" t="s">
        <v>15452</v>
      </c>
      <c r="L4527" s="204"/>
      <c r="M4527" s="204">
        <v>8</v>
      </c>
      <c r="N4527" s="204">
        <v>8</v>
      </c>
      <c r="O4527" s="204">
        <v>8</v>
      </c>
      <c r="P4527" s="204">
        <v>0</v>
      </c>
      <c r="Q4527" s="572">
        <v>0</v>
      </c>
      <c r="R4527" s="1209">
        <v>963</v>
      </c>
      <c r="S4527" s="1209">
        <v>7708</v>
      </c>
      <c r="T4527" s="204"/>
      <c r="U4527" s="1901"/>
      <c r="V4527" s="572"/>
      <c r="W4527" s="681"/>
      <c r="X4527" s="18"/>
      <c r="Y4527" s="4"/>
      <c r="Z4527" s="4"/>
    </row>
    <row r="4528" spans="1:26" ht="14.1" hidden="1">
      <c r="A4528" s="20">
        <v>4536</v>
      </c>
      <c r="B4528" s="1063">
        <v>44305</v>
      </c>
      <c r="C4528" s="934" t="s">
        <v>152</v>
      </c>
      <c r="D4528" s="577" t="s">
        <v>6</v>
      </c>
      <c r="E4528" s="683" t="s">
        <v>15012</v>
      </c>
      <c r="F4528" s="985" t="s">
        <v>11441</v>
      </c>
      <c r="G4528" s="683" t="s">
        <v>492</v>
      </c>
      <c r="H4528" s="683" t="s">
        <v>4915</v>
      </c>
      <c r="I4528" s="683" t="s">
        <v>1144</v>
      </c>
      <c r="J4528" s="683" t="s">
        <v>15453</v>
      </c>
      <c r="K4528" s="683" t="s">
        <v>15454</v>
      </c>
      <c r="L4528" s="683" t="s">
        <v>15455</v>
      </c>
      <c r="M4528" s="683">
        <v>12</v>
      </c>
      <c r="N4528" s="683">
        <v>1</v>
      </c>
      <c r="O4528" s="683">
        <v>25</v>
      </c>
      <c r="P4528" s="683">
        <v>2</v>
      </c>
      <c r="Q4528" s="669">
        <v>27</v>
      </c>
      <c r="R4528" s="1318">
        <v>32</v>
      </c>
      <c r="S4528" s="1318">
        <v>780</v>
      </c>
      <c r="T4528" s="683" t="s">
        <v>9485</v>
      </c>
      <c r="U4528" s="1909" t="s">
        <v>15456</v>
      </c>
      <c r="V4528" s="572" t="s">
        <v>12095</v>
      </c>
      <c r="W4528" s="681" t="s">
        <v>15457</v>
      </c>
      <c r="X4528" s="796"/>
      <c r="Y4528" s="4"/>
      <c r="Z4528" s="4"/>
    </row>
    <row r="4529" spans="1:26" ht="14.1" hidden="1">
      <c r="A4529" s="20">
        <v>4537</v>
      </c>
      <c r="B4529" s="1063">
        <v>44306</v>
      </c>
      <c r="C4529" s="958" t="s">
        <v>329</v>
      </c>
      <c r="D4529" s="577" t="s">
        <v>6</v>
      </c>
      <c r="E4529" s="683" t="s">
        <v>15012</v>
      </c>
      <c r="F4529" s="986" t="s">
        <v>11441</v>
      </c>
      <c r="G4529" s="298" t="s">
        <v>15458</v>
      </c>
      <c r="H4529" s="272" t="s">
        <v>184</v>
      </c>
      <c r="I4529" s="297" t="s">
        <v>1144</v>
      </c>
      <c r="J4529" s="298" t="s">
        <v>15459</v>
      </c>
      <c r="K4529" s="298" t="s">
        <v>15460</v>
      </c>
      <c r="L4529" s="298">
        <v>1</v>
      </c>
      <c r="M4529" s="298">
        <v>44</v>
      </c>
      <c r="N4529" s="298">
        <v>1</v>
      </c>
      <c r="O4529" s="298">
        <v>100</v>
      </c>
      <c r="P4529" s="298">
        <v>7</v>
      </c>
      <c r="Q4529" s="670">
        <v>107</v>
      </c>
      <c r="R4529" s="1319">
        <v>4</v>
      </c>
      <c r="S4529" s="1319">
        <v>437</v>
      </c>
      <c r="T4529" s="298" t="s">
        <v>9485</v>
      </c>
      <c r="U4529" s="1542" t="s">
        <v>15456</v>
      </c>
      <c r="V4529" s="572" t="s">
        <v>12095</v>
      </c>
      <c r="W4529" s="682" t="s">
        <v>15461</v>
      </c>
      <c r="X4529" s="333"/>
      <c r="Y4529" s="4"/>
      <c r="Z4529" s="4"/>
    </row>
    <row r="4530" spans="1:26" ht="14.1" hidden="1">
      <c r="A4530" s="20">
        <v>4538</v>
      </c>
      <c r="B4530" s="1063">
        <v>44307</v>
      </c>
      <c r="C4530" s="958" t="s">
        <v>329</v>
      </c>
      <c r="D4530" s="577" t="s">
        <v>6</v>
      </c>
      <c r="E4530" s="683" t="s">
        <v>15012</v>
      </c>
      <c r="F4530" s="986" t="s">
        <v>11441</v>
      </c>
      <c r="G4530" s="298" t="s">
        <v>15462</v>
      </c>
      <c r="H4530" s="683" t="s">
        <v>144</v>
      </c>
      <c r="I4530" s="298" t="s">
        <v>4634</v>
      </c>
      <c r="J4530" s="298" t="s">
        <v>15463</v>
      </c>
      <c r="K4530" s="298" t="s">
        <v>648</v>
      </c>
      <c r="L4530" s="298">
        <v>1</v>
      </c>
      <c r="M4530" s="298">
        <v>16</v>
      </c>
      <c r="N4530" s="298">
        <v>1</v>
      </c>
      <c r="O4530" s="298">
        <v>20</v>
      </c>
      <c r="P4530" s="298">
        <v>0</v>
      </c>
      <c r="Q4530" s="670">
        <v>20</v>
      </c>
      <c r="R4530" s="1319">
        <v>101</v>
      </c>
      <c r="S4530" s="1319">
        <v>2020</v>
      </c>
      <c r="T4530" s="298" t="s">
        <v>9485</v>
      </c>
      <c r="U4530" s="1542" t="s">
        <v>15456</v>
      </c>
      <c r="V4530" s="572" t="s">
        <v>12095</v>
      </c>
      <c r="W4530" s="682" t="s">
        <v>15464</v>
      </c>
      <c r="X4530" s="333"/>
      <c r="Y4530" s="4"/>
      <c r="Z4530" s="4"/>
    </row>
    <row r="4531" spans="1:26" ht="14.1" hidden="1">
      <c r="A4531" s="20">
        <v>4539</v>
      </c>
      <c r="B4531" s="1063">
        <v>44308</v>
      </c>
      <c r="C4531" s="958" t="s">
        <v>329</v>
      </c>
      <c r="D4531" s="577" t="s">
        <v>6</v>
      </c>
      <c r="E4531" s="683" t="s">
        <v>15012</v>
      </c>
      <c r="F4531" s="986" t="s">
        <v>11441</v>
      </c>
      <c r="G4531" s="298" t="s">
        <v>15465</v>
      </c>
      <c r="H4531" s="298" t="s">
        <v>15466</v>
      </c>
      <c r="I4531" s="298" t="s">
        <v>1144</v>
      </c>
      <c r="J4531" s="298" t="s">
        <v>15467</v>
      </c>
      <c r="K4531" s="298" t="s">
        <v>15468</v>
      </c>
      <c r="L4531" s="298">
        <v>1</v>
      </c>
      <c r="M4531" s="298">
        <v>20</v>
      </c>
      <c r="N4531" s="298">
        <v>1</v>
      </c>
      <c r="O4531" s="298">
        <v>20</v>
      </c>
      <c r="P4531" s="298">
        <v>0</v>
      </c>
      <c r="Q4531" s="670">
        <v>20</v>
      </c>
      <c r="R4531" s="1319">
        <v>12</v>
      </c>
      <c r="S4531" s="1319">
        <v>240</v>
      </c>
      <c r="T4531" s="298" t="s">
        <v>9485</v>
      </c>
      <c r="U4531" s="1542" t="s">
        <v>15456</v>
      </c>
      <c r="V4531" s="572" t="s">
        <v>12095</v>
      </c>
      <c r="W4531" s="682" t="s">
        <v>13174</v>
      </c>
      <c r="X4531" s="333"/>
      <c r="Y4531" s="4"/>
      <c r="Z4531" s="4"/>
    </row>
    <row r="4532" spans="1:26" ht="14.1" hidden="1">
      <c r="A4532" s="20">
        <v>4540</v>
      </c>
      <c r="B4532" s="1063">
        <v>44309</v>
      </c>
      <c r="C4532" s="958" t="s">
        <v>329</v>
      </c>
      <c r="D4532" s="577" t="s">
        <v>6</v>
      </c>
      <c r="E4532" s="683" t="s">
        <v>15012</v>
      </c>
      <c r="F4532" s="986" t="s">
        <v>11441</v>
      </c>
      <c r="G4532" s="298" t="s">
        <v>15469</v>
      </c>
      <c r="H4532" s="298" t="s">
        <v>184</v>
      </c>
      <c r="I4532" s="298" t="s">
        <v>4634</v>
      </c>
      <c r="J4532" s="298" t="s">
        <v>15470</v>
      </c>
      <c r="K4532" s="298" t="s">
        <v>15471</v>
      </c>
      <c r="L4532" s="298">
        <v>1</v>
      </c>
      <c r="M4532" s="298">
        <v>4</v>
      </c>
      <c r="N4532" s="298">
        <v>1</v>
      </c>
      <c r="O4532" s="298">
        <v>10</v>
      </c>
      <c r="P4532" s="298">
        <v>2</v>
      </c>
      <c r="Q4532" s="670">
        <v>12</v>
      </c>
      <c r="R4532" s="1319">
        <v>34</v>
      </c>
      <c r="S4532" s="1319">
        <v>340</v>
      </c>
      <c r="T4532" s="298" t="s">
        <v>9485</v>
      </c>
      <c r="U4532" s="1542" t="s">
        <v>15456</v>
      </c>
      <c r="V4532" s="572" t="s">
        <v>12095</v>
      </c>
      <c r="W4532" s="682" t="s">
        <v>15472</v>
      </c>
      <c r="X4532" s="333"/>
      <c r="Y4532" s="4"/>
      <c r="Z4532" s="4"/>
    </row>
    <row r="4533" spans="1:26" ht="14.1">
      <c r="A4533" s="20"/>
      <c r="B4533" s="1063">
        <v>44960</v>
      </c>
      <c r="C4533" s="958" t="s">
        <v>15473</v>
      </c>
      <c r="D4533" s="1547"/>
      <c r="E4533" s="683"/>
      <c r="F4533" s="1568" t="s">
        <v>15474</v>
      </c>
      <c r="G4533" s="298" t="s">
        <v>13700</v>
      </c>
      <c r="H4533" s="298" t="s">
        <v>15475</v>
      </c>
      <c r="I4533" s="298" t="s">
        <v>5690</v>
      </c>
      <c r="J4533" s="298"/>
      <c r="K4533" s="298" t="s">
        <v>15476</v>
      </c>
      <c r="L4533" s="298"/>
      <c r="M4533" s="298">
        <v>20</v>
      </c>
      <c r="N4533" s="298">
        <v>50</v>
      </c>
      <c r="O4533" s="298">
        <v>50</v>
      </c>
      <c r="P4533" s="298">
        <v>0</v>
      </c>
      <c r="Q4533" s="670">
        <v>30</v>
      </c>
      <c r="R4533" s="1319">
        <v>1490</v>
      </c>
      <c r="S4533" s="1319">
        <v>1490</v>
      </c>
      <c r="T4533" s="298" t="s">
        <v>15477</v>
      </c>
      <c r="U4533" s="1871" t="s">
        <v>3637</v>
      </c>
      <c r="V4533" s="572" t="s">
        <v>15478</v>
      </c>
      <c r="W4533" s="2331" t="s">
        <v>14417</v>
      </c>
      <c r="X4533" s="333"/>
      <c r="Y4533" s="4"/>
      <c r="Z4533" s="4"/>
    </row>
    <row r="4534" spans="1:26" ht="14.1" hidden="1">
      <c r="A4534" s="20">
        <v>4542</v>
      </c>
      <c r="B4534" s="1063">
        <v>44311</v>
      </c>
      <c r="C4534" s="958" t="s">
        <v>1988</v>
      </c>
      <c r="D4534" s="577" t="s">
        <v>6</v>
      </c>
      <c r="E4534" s="683" t="s">
        <v>15012</v>
      </c>
      <c r="F4534" s="986" t="s">
        <v>11441</v>
      </c>
      <c r="G4534" s="298" t="s">
        <v>15479</v>
      </c>
      <c r="H4534" s="298" t="s">
        <v>5413</v>
      </c>
      <c r="I4534" s="298" t="s">
        <v>4634</v>
      </c>
      <c r="J4534" s="298" t="s">
        <v>8647</v>
      </c>
      <c r="K4534" s="298" t="s">
        <v>1991</v>
      </c>
      <c r="L4534" s="298">
        <v>1</v>
      </c>
      <c r="M4534" s="298">
        <v>16</v>
      </c>
      <c r="N4534" s="298">
        <v>1</v>
      </c>
      <c r="O4534" s="298">
        <v>30</v>
      </c>
      <c r="P4534" s="298">
        <v>4</v>
      </c>
      <c r="Q4534" s="670">
        <v>34</v>
      </c>
      <c r="R4534" s="1319">
        <v>16</v>
      </c>
      <c r="S4534" s="1319">
        <v>480</v>
      </c>
      <c r="T4534" s="298" t="s">
        <v>9485</v>
      </c>
      <c r="U4534" s="1542" t="s">
        <v>15456</v>
      </c>
      <c r="V4534" s="572" t="s">
        <v>12095</v>
      </c>
      <c r="W4534" s="682" t="s">
        <v>15480</v>
      </c>
      <c r="X4534" s="333"/>
      <c r="Y4534" s="4"/>
      <c r="Z4534" s="4"/>
    </row>
    <row r="4535" spans="1:26" ht="14.1" hidden="1">
      <c r="A4535" s="20">
        <v>4543</v>
      </c>
      <c r="B4535" s="1063">
        <v>44312</v>
      </c>
      <c r="C4535" s="958" t="s">
        <v>152</v>
      </c>
      <c r="D4535" s="577" t="s">
        <v>6</v>
      </c>
      <c r="E4535" s="683" t="s">
        <v>15012</v>
      </c>
      <c r="F4535" s="986" t="s">
        <v>11441</v>
      </c>
      <c r="G4535" s="298" t="s">
        <v>15481</v>
      </c>
      <c r="H4535" s="298" t="s">
        <v>2008</v>
      </c>
      <c r="I4535" s="298" t="s">
        <v>1144</v>
      </c>
      <c r="J4535" s="298" t="s">
        <v>13166</v>
      </c>
      <c r="K4535" s="298" t="s">
        <v>13167</v>
      </c>
      <c r="L4535" s="298">
        <v>1</v>
      </c>
      <c r="M4535" s="298">
        <v>3</v>
      </c>
      <c r="N4535" s="298">
        <v>1</v>
      </c>
      <c r="O4535" s="298">
        <v>5</v>
      </c>
      <c r="P4535" s="298">
        <v>3</v>
      </c>
      <c r="Q4535" s="670">
        <v>8</v>
      </c>
      <c r="R4535" s="1319">
        <v>148</v>
      </c>
      <c r="S4535" s="1319">
        <v>740</v>
      </c>
      <c r="T4535" s="298" t="s">
        <v>9485</v>
      </c>
      <c r="U4535" s="1542" t="s">
        <v>15456</v>
      </c>
      <c r="V4535" s="572" t="s">
        <v>12095</v>
      </c>
      <c r="W4535" s="682" t="s">
        <v>15482</v>
      </c>
      <c r="X4535" s="333"/>
      <c r="Y4535" s="4"/>
      <c r="Z4535" s="4"/>
    </row>
    <row r="4536" spans="1:26" ht="14.45" hidden="1">
      <c r="A4536" s="20">
        <v>4544</v>
      </c>
      <c r="B4536" s="1063">
        <v>44313</v>
      </c>
      <c r="C4536" s="1018" t="s">
        <v>13226</v>
      </c>
      <c r="D4536" s="577" t="s">
        <v>6</v>
      </c>
      <c r="E4536" s="683" t="s">
        <v>15012</v>
      </c>
      <c r="F4536" s="1053" t="s">
        <v>10696</v>
      </c>
      <c r="G4536" s="797" t="s">
        <v>10701</v>
      </c>
      <c r="H4536" s="770" t="s">
        <v>713</v>
      </c>
      <c r="I4536" s="770" t="s">
        <v>10702</v>
      </c>
      <c r="J4536" s="770" t="s">
        <v>13190</v>
      </c>
      <c r="K4536" s="770" t="s">
        <v>1</v>
      </c>
      <c r="L4536" s="770" t="s">
        <v>13227</v>
      </c>
      <c r="M4536" s="770">
        <v>8</v>
      </c>
      <c r="N4536" s="770">
        <v>1</v>
      </c>
      <c r="O4536" s="770">
        <v>10</v>
      </c>
      <c r="P4536" s="770">
        <v>0</v>
      </c>
      <c r="Q4536" s="770">
        <f t="shared" ref="Q4536:Q4545" si="258">P4536+O4536</f>
        <v>10</v>
      </c>
      <c r="R4536" s="1343">
        <v>11011</v>
      </c>
      <c r="S4536" s="1345">
        <f t="shared" ref="S4536:S4544" si="259">R4536*O4536</f>
        <v>110110</v>
      </c>
      <c r="T4536" s="485" t="s">
        <v>9485</v>
      </c>
      <c r="U4536" s="1943" t="s">
        <v>3646</v>
      </c>
      <c r="V4536" s="485" t="s">
        <v>352</v>
      </c>
      <c r="W4536" s="798" t="s">
        <v>10703</v>
      </c>
      <c r="X4536" s="18"/>
      <c r="Y4536" s="4"/>
      <c r="Z4536" s="4"/>
    </row>
    <row r="4537" spans="1:26" ht="14.45" hidden="1">
      <c r="A4537" s="20">
        <v>4545</v>
      </c>
      <c r="B4537" s="1063">
        <v>44314</v>
      </c>
      <c r="C4537" s="958" t="s">
        <v>10704</v>
      </c>
      <c r="D4537" s="577" t="s">
        <v>6</v>
      </c>
      <c r="E4537" s="683" t="s">
        <v>15012</v>
      </c>
      <c r="F4537" s="986" t="s">
        <v>10696</v>
      </c>
      <c r="G4537" s="298" t="s">
        <v>15483</v>
      </c>
      <c r="H4537" s="298" t="s">
        <v>713</v>
      </c>
      <c r="I4537" s="298" t="s">
        <v>6651</v>
      </c>
      <c r="J4537" s="484" t="s">
        <v>11798</v>
      </c>
      <c r="K4537" s="799" t="s">
        <v>11799</v>
      </c>
      <c r="L4537" s="484" t="s">
        <v>13227</v>
      </c>
      <c r="M4537" s="298">
        <v>8</v>
      </c>
      <c r="N4537" s="298">
        <v>1</v>
      </c>
      <c r="O4537" s="298">
        <v>4</v>
      </c>
      <c r="P4537" s="298">
        <v>8</v>
      </c>
      <c r="Q4537" s="770">
        <f t="shared" si="258"/>
        <v>12</v>
      </c>
      <c r="R4537" s="1286">
        <v>1100</v>
      </c>
      <c r="S4537" s="1345">
        <f t="shared" si="259"/>
        <v>4400</v>
      </c>
      <c r="T4537" s="485" t="s">
        <v>9485</v>
      </c>
      <c r="U4537" s="1943" t="s">
        <v>3646</v>
      </c>
      <c r="V4537" s="485" t="s">
        <v>11783</v>
      </c>
      <c r="W4537" s="729" t="s">
        <v>11800</v>
      </c>
      <c r="X4537" s="18"/>
      <c r="Y4537" s="4"/>
      <c r="Z4537" s="4"/>
    </row>
    <row r="4538" spans="1:26" ht="14.45" hidden="1">
      <c r="A4538" s="20">
        <v>4546</v>
      </c>
      <c r="B4538" s="1063">
        <v>44315</v>
      </c>
      <c r="C4538" s="958" t="s">
        <v>10704</v>
      </c>
      <c r="D4538" s="577" t="s">
        <v>6</v>
      </c>
      <c r="E4538" s="683" t="s">
        <v>15012</v>
      </c>
      <c r="F4538" s="986" t="s">
        <v>10696</v>
      </c>
      <c r="G4538" s="298" t="s">
        <v>15484</v>
      </c>
      <c r="H4538" s="298" t="s">
        <v>713</v>
      </c>
      <c r="I4538" s="298" t="s">
        <v>6651</v>
      </c>
      <c r="J4538" s="484" t="s">
        <v>11798</v>
      </c>
      <c r="K4538" s="799" t="s">
        <v>11799</v>
      </c>
      <c r="L4538" s="484" t="s">
        <v>13227</v>
      </c>
      <c r="M4538" s="298">
        <v>2</v>
      </c>
      <c r="N4538" s="298">
        <v>1</v>
      </c>
      <c r="O4538" s="298">
        <v>2</v>
      </c>
      <c r="P4538" s="298">
        <v>0</v>
      </c>
      <c r="Q4538" s="770">
        <f t="shared" si="258"/>
        <v>2</v>
      </c>
      <c r="R4538" s="1286">
        <v>1413</v>
      </c>
      <c r="S4538" s="1345">
        <f t="shared" si="259"/>
        <v>2826</v>
      </c>
      <c r="T4538" s="590" t="s">
        <v>9485</v>
      </c>
      <c r="U4538" s="1944" t="s">
        <v>3646</v>
      </c>
      <c r="V4538" s="485" t="s">
        <v>11783</v>
      </c>
      <c r="W4538" s="735" t="s">
        <v>15485</v>
      </c>
      <c r="X4538" s="18"/>
      <c r="Y4538" s="4"/>
      <c r="Z4538" s="4"/>
    </row>
    <row r="4539" spans="1:26" ht="14.45" hidden="1">
      <c r="A4539" s="20">
        <v>4547</v>
      </c>
      <c r="B4539" s="1063">
        <v>44316</v>
      </c>
      <c r="C4539" s="1019" t="s">
        <v>12142</v>
      </c>
      <c r="D4539" s="577" t="s">
        <v>6</v>
      </c>
      <c r="E4539" s="683" t="s">
        <v>15012</v>
      </c>
      <c r="F4539" s="1056" t="s">
        <v>10696</v>
      </c>
      <c r="G4539" s="591" t="s">
        <v>12143</v>
      </c>
      <c r="H4539" s="484" t="s">
        <v>10706</v>
      </c>
      <c r="I4539" s="484" t="s">
        <v>10706</v>
      </c>
      <c r="J4539" s="592" t="s">
        <v>12144</v>
      </c>
      <c r="K4539" s="484" t="s">
        <v>1</v>
      </c>
      <c r="L4539" s="484" t="s">
        <v>13227</v>
      </c>
      <c r="M4539" s="484">
        <v>2</v>
      </c>
      <c r="N4539" s="484">
        <v>1</v>
      </c>
      <c r="O4539" s="484">
        <v>2</v>
      </c>
      <c r="P4539" s="484">
        <v>0</v>
      </c>
      <c r="Q4539" s="770">
        <f t="shared" si="258"/>
        <v>2</v>
      </c>
      <c r="R4539" s="1346">
        <v>15417</v>
      </c>
      <c r="S4539" s="1345">
        <f t="shared" si="259"/>
        <v>30834</v>
      </c>
      <c r="T4539" s="770" t="s">
        <v>3961</v>
      </c>
      <c r="U4539" s="1943" t="s">
        <v>3646</v>
      </c>
      <c r="V4539" s="485" t="s">
        <v>12095</v>
      </c>
      <c r="W4539" s="729" t="s">
        <v>12145</v>
      </c>
      <c r="X4539" s="18"/>
      <c r="Y4539" s="4"/>
      <c r="Z4539" s="4"/>
    </row>
    <row r="4540" spans="1:26" ht="14.45" hidden="1">
      <c r="A4540" s="20">
        <v>4548</v>
      </c>
      <c r="B4540" s="1063">
        <v>44317</v>
      </c>
      <c r="C4540" s="1020" t="s">
        <v>12142</v>
      </c>
      <c r="D4540" s="577" t="s">
        <v>6</v>
      </c>
      <c r="E4540" s="683" t="s">
        <v>15012</v>
      </c>
      <c r="F4540" s="1056" t="s">
        <v>10696</v>
      </c>
      <c r="G4540" s="593" t="s">
        <v>10709</v>
      </c>
      <c r="H4540" s="484" t="s">
        <v>10706</v>
      </c>
      <c r="I4540" s="484" t="s">
        <v>10706</v>
      </c>
      <c r="J4540" s="484" t="s">
        <v>13228</v>
      </c>
      <c r="K4540" s="471" t="s">
        <v>1</v>
      </c>
      <c r="L4540" s="484" t="s">
        <v>13227</v>
      </c>
      <c r="M4540" s="484">
        <v>2</v>
      </c>
      <c r="N4540" s="484">
        <v>1</v>
      </c>
      <c r="O4540" s="484">
        <v>2</v>
      </c>
      <c r="P4540" s="484">
        <v>0</v>
      </c>
      <c r="Q4540" s="770">
        <f t="shared" si="258"/>
        <v>2</v>
      </c>
      <c r="R4540" s="1346">
        <v>10462</v>
      </c>
      <c r="S4540" s="1345">
        <f t="shared" si="259"/>
        <v>20924</v>
      </c>
      <c r="T4540" s="484" t="s">
        <v>9485</v>
      </c>
      <c r="U4540" s="1944" t="s">
        <v>3646</v>
      </c>
      <c r="V4540" s="485" t="s">
        <v>352</v>
      </c>
      <c r="W4540" s="735" t="s">
        <v>15486</v>
      </c>
      <c r="X4540" s="18"/>
      <c r="Y4540" s="4"/>
      <c r="Z4540" s="4"/>
    </row>
    <row r="4541" spans="1:26" ht="14.45" hidden="1">
      <c r="A4541" s="20">
        <v>4549</v>
      </c>
      <c r="B4541" s="1063">
        <v>44318</v>
      </c>
      <c r="C4541" s="1020" t="s">
        <v>12142</v>
      </c>
      <c r="D4541" s="577" t="s">
        <v>6</v>
      </c>
      <c r="E4541" s="683" t="s">
        <v>15012</v>
      </c>
      <c r="F4541" s="1056" t="s">
        <v>10696</v>
      </c>
      <c r="G4541" s="593" t="s">
        <v>10712</v>
      </c>
      <c r="H4541" s="484" t="s">
        <v>10706</v>
      </c>
      <c r="I4541" s="484" t="s">
        <v>10706</v>
      </c>
      <c r="J4541" s="484" t="s">
        <v>13229</v>
      </c>
      <c r="K4541" s="471" t="s">
        <v>1</v>
      </c>
      <c r="L4541" s="484" t="s">
        <v>13227</v>
      </c>
      <c r="M4541" s="484">
        <v>2</v>
      </c>
      <c r="N4541" s="484">
        <v>1</v>
      </c>
      <c r="O4541" s="484">
        <v>2</v>
      </c>
      <c r="P4541" s="484">
        <v>0</v>
      </c>
      <c r="Q4541" s="770">
        <f t="shared" si="258"/>
        <v>2</v>
      </c>
      <c r="R4541" s="1346">
        <v>10462</v>
      </c>
      <c r="S4541" s="1345">
        <f t="shared" si="259"/>
        <v>20924</v>
      </c>
      <c r="T4541" s="484" t="s">
        <v>9485</v>
      </c>
      <c r="U4541" s="1944" t="s">
        <v>3646</v>
      </c>
      <c r="V4541" s="485" t="s">
        <v>352</v>
      </c>
      <c r="W4541" s="735" t="s">
        <v>15487</v>
      </c>
      <c r="X4541" s="18"/>
      <c r="Y4541" s="4"/>
      <c r="Z4541" s="4"/>
    </row>
    <row r="4542" spans="1:26" ht="14.45" hidden="1">
      <c r="A4542" s="20">
        <v>4550</v>
      </c>
      <c r="B4542" s="1063">
        <v>44319</v>
      </c>
      <c r="C4542" s="1020" t="s">
        <v>12142</v>
      </c>
      <c r="D4542" s="577" t="s">
        <v>6</v>
      </c>
      <c r="E4542" s="683" t="s">
        <v>15012</v>
      </c>
      <c r="F4542" s="1056" t="s">
        <v>10696</v>
      </c>
      <c r="G4542" s="591" t="s">
        <v>12146</v>
      </c>
      <c r="H4542" s="484" t="s">
        <v>10706</v>
      </c>
      <c r="I4542" s="484" t="s">
        <v>10706</v>
      </c>
      <c r="J4542" s="592" t="s">
        <v>12147</v>
      </c>
      <c r="K4542" s="484" t="s">
        <v>1</v>
      </c>
      <c r="L4542" s="484" t="s">
        <v>13227</v>
      </c>
      <c r="M4542" s="484">
        <v>2</v>
      </c>
      <c r="N4542" s="484">
        <v>1</v>
      </c>
      <c r="O4542" s="484">
        <v>2</v>
      </c>
      <c r="P4542" s="484">
        <v>0</v>
      </c>
      <c r="Q4542" s="770">
        <f t="shared" si="258"/>
        <v>2</v>
      </c>
      <c r="R4542" s="1346">
        <v>15417</v>
      </c>
      <c r="S4542" s="1345">
        <f t="shared" si="259"/>
        <v>30834</v>
      </c>
      <c r="T4542" s="484" t="s">
        <v>3961</v>
      </c>
      <c r="U4542" s="1944" t="s">
        <v>3646</v>
      </c>
      <c r="V4542" s="485" t="s">
        <v>12095</v>
      </c>
      <c r="W4542" s="735" t="s">
        <v>12148</v>
      </c>
      <c r="X4542" s="18"/>
      <c r="Y4542" s="4"/>
      <c r="Z4542" s="4"/>
    </row>
    <row r="4543" spans="1:26" ht="14.45" hidden="1">
      <c r="A4543" s="20">
        <v>4551</v>
      </c>
      <c r="B4543" s="1063">
        <v>44320</v>
      </c>
      <c r="C4543" s="1020" t="s">
        <v>13234</v>
      </c>
      <c r="D4543" s="577" t="s">
        <v>6</v>
      </c>
      <c r="E4543" s="683" t="s">
        <v>15012</v>
      </c>
      <c r="F4543" s="1056" t="s">
        <v>10696</v>
      </c>
      <c r="G4543" s="589" t="s">
        <v>15488</v>
      </c>
      <c r="H4543" s="484" t="s">
        <v>2668</v>
      </c>
      <c r="I4543" s="484" t="s">
        <v>11803</v>
      </c>
      <c r="J4543" s="592" t="s">
        <v>13235</v>
      </c>
      <c r="K4543" s="484"/>
      <c r="L4543" s="484" t="s">
        <v>13227</v>
      </c>
      <c r="M4543" s="484">
        <v>12</v>
      </c>
      <c r="N4543" s="484">
        <v>1</v>
      </c>
      <c r="O4543" s="484">
        <v>12</v>
      </c>
      <c r="P4543" s="484">
        <v>6</v>
      </c>
      <c r="Q4543" s="770">
        <f t="shared" si="258"/>
        <v>18</v>
      </c>
      <c r="R4543" s="1346">
        <v>4400</v>
      </c>
      <c r="S4543" s="1345">
        <f t="shared" si="259"/>
        <v>52800</v>
      </c>
      <c r="T4543" s="484" t="s">
        <v>9485</v>
      </c>
      <c r="U4543" s="1944" t="s">
        <v>3646</v>
      </c>
      <c r="V4543" s="485" t="s">
        <v>11783</v>
      </c>
      <c r="W4543" s="800" t="s">
        <v>15489</v>
      </c>
      <c r="X4543" s="18"/>
      <c r="Y4543" s="4"/>
      <c r="Z4543" s="4"/>
    </row>
    <row r="4544" spans="1:26" ht="14.1" hidden="1">
      <c r="A4544" s="20">
        <v>4552</v>
      </c>
      <c r="B4544" s="1063">
        <v>44321</v>
      </c>
      <c r="C4544" s="1020" t="s">
        <v>13237</v>
      </c>
      <c r="D4544" s="577" t="s">
        <v>6</v>
      </c>
      <c r="E4544" s="683" t="s">
        <v>15012</v>
      </c>
      <c r="F4544" s="1056" t="s">
        <v>10696</v>
      </c>
      <c r="G4544" s="591" t="s">
        <v>15490</v>
      </c>
      <c r="H4544" s="592" t="s">
        <v>2513</v>
      </c>
      <c r="I4544" s="592" t="s">
        <v>15491</v>
      </c>
      <c r="J4544" s="592" t="s">
        <v>13028</v>
      </c>
      <c r="K4544" s="592" t="s">
        <v>13029</v>
      </c>
      <c r="L4544" s="484" t="s">
        <v>13227</v>
      </c>
      <c r="M4544" s="484">
        <v>12</v>
      </c>
      <c r="N4544" s="484">
        <v>1</v>
      </c>
      <c r="O4544" s="484">
        <v>10</v>
      </c>
      <c r="P4544" s="484">
        <v>2</v>
      </c>
      <c r="Q4544" s="770">
        <f t="shared" si="258"/>
        <v>12</v>
      </c>
      <c r="R4544" s="1346">
        <v>6991.5</v>
      </c>
      <c r="S4544" s="1345">
        <f t="shared" si="259"/>
        <v>69915</v>
      </c>
      <c r="T4544" s="484" t="s">
        <v>3961</v>
      </c>
      <c r="U4544" s="1944" t="s">
        <v>3646</v>
      </c>
      <c r="V4544" s="485" t="s">
        <v>352</v>
      </c>
      <c r="W4544" s="1181" t="s">
        <v>15492</v>
      </c>
      <c r="X4544" s="18"/>
      <c r="Y4544" s="4"/>
      <c r="Z4544" s="4"/>
    </row>
    <row r="4545" spans="1:26" ht="14.45" hidden="1">
      <c r="A4545" s="20">
        <v>4553</v>
      </c>
      <c r="B4545" s="1063">
        <v>44322</v>
      </c>
      <c r="C4545" s="1020" t="s">
        <v>10972</v>
      </c>
      <c r="D4545" s="577" t="s">
        <v>6</v>
      </c>
      <c r="E4545" s="683" t="s">
        <v>15012</v>
      </c>
      <c r="F4545" s="1056" t="s">
        <v>10696</v>
      </c>
      <c r="G4545" s="589" t="s">
        <v>10973</v>
      </c>
      <c r="H4545" s="484" t="s">
        <v>15493</v>
      </c>
      <c r="I4545" s="484" t="s">
        <v>6651</v>
      </c>
      <c r="J4545" s="484" t="s">
        <v>10975</v>
      </c>
      <c r="K4545" s="484" t="s">
        <v>10975</v>
      </c>
      <c r="L4545" s="484" t="s">
        <v>13227</v>
      </c>
      <c r="M4545" s="484">
        <v>4</v>
      </c>
      <c r="N4545" s="484">
        <v>1</v>
      </c>
      <c r="O4545" s="484">
        <v>6</v>
      </c>
      <c r="P4545" s="484">
        <v>0</v>
      </c>
      <c r="Q4545" s="770">
        <f t="shared" si="258"/>
        <v>6</v>
      </c>
      <c r="R4545" s="1346">
        <v>2201.7600000000002</v>
      </c>
      <c r="S4545" s="1346">
        <v>13212</v>
      </c>
      <c r="T4545" s="484" t="s">
        <v>9485</v>
      </c>
      <c r="U4545" s="1944" t="s">
        <v>10970</v>
      </c>
      <c r="V4545" s="485" t="s">
        <v>931</v>
      </c>
      <c r="W4545" s="800" t="s">
        <v>15494</v>
      </c>
      <c r="X4545" s="18"/>
      <c r="Y4545" s="4"/>
      <c r="Z4545" s="4"/>
    </row>
    <row r="4546" spans="1:26" ht="14.1" hidden="1">
      <c r="A4546" s="20">
        <v>4554</v>
      </c>
      <c r="B4546" s="1063">
        <v>44323</v>
      </c>
      <c r="C4546" s="934" t="s">
        <v>15495</v>
      </c>
      <c r="D4546" s="577" t="s">
        <v>6</v>
      </c>
      <c r="E4546" s="204" t="s">
        <v>15012</v>
      </c>
      <c r="F4546" s="934" t="s">
        <v>13447</v>
      </c>
      <c r="G4546" s="204" t="s">
        <v>15496</v>
      </c>
      <c r="H4546" s="204" t="s">
        <v>184</v>
      </c>
      <c r="I4546" s="204" t="s">
        <v>53</v>
      </c>
      <c r="J4546" s="204" t="s">
        <v>15497</v>
      </c>
      <c r="K4546" s="582" t="s">
        <v>15498</v>
      </c>
      <c r="L4546" s="204" t="s">
        <v>15499</v>
      </c>
      <c r="M4546" s="204">
        <v>4</v>
      </c>
      <c r="N4546" s="204">
        <v>1</v>
      </c>
      <c r="O4546" s="204">
        <v>7</v>
      </c>
      <c r="P4546" s="204">
        <v>1</v>
      </c>
      <c r="Q4546" s="572">
        <v>8</v>
      </c>
      <c r="R4546" s="1209">
        <v>53</v>
      </c>
      <c r="S4546" s="1209">
        <f>R4546*O4546</f>
        <v>371</v>
      </c>
      <c r="T4546" s="204" t="s">
        <v>9485</v>
      </c>
      <c r="U4546" s="1901" t="s">
        <v>1886</v>
      </c>
      <c r="V4546" s="572" t="s">
        <v>931</v>
      </c>
      <c r="W4546" s="804" t="s">
        <v>15500</v>
      </c>
      <c r="X4546" s="18"/>
      <c r="Y4546" s="4"/>
      <c r="Z4546" s="4"/>
    </row>
    <row r="4547" spans="1:26" ht="14.1" hidden="1">
      <c r="A4547" s="20">
        <v>4555</v>
      </c>
      <c r="B4547" s="1063">
        <v>44324</v>
      </c>
      <c r="C4547" s="934" t="s">
        <v>15501</v>
      </c>
      <c r="D4547" s="577" t="s">
        <v>6</v>
      </c>
      <c r="E4547" s="204" t="s">
        <v>15012</v>
      </c>
      <c r="F4547" s="934" t="s">
        <v>13447</v>
      </c>
      <c r="G4547" s="204" t="s">
        <v>492</v>
      </c>
      <c r="H4547" s="204" t="s">
        <v>15502</v>
      </c>
      <c r="I4547" s="204" t="s">
        <v>53</v>
      </c>
      <c r="J4547" s="204" t="s">
        <v>15503</v>
      </c>
      <c r="K4547" s="204" t="s">
        <v>15504</v>
      </c>
      <c r="L4547" s="204" t="s">
        <v>15499</v>
      </c>
      <c r="M4547" s="204">
        <v>8</v>
      </c>
      <c r="N4547" s="204">
        <v>1</v>
      </c>
      <c r="O4547" s="189">
        <v>10</v>
      </c>
      <c r="P4547" s="204">
        <v>0</v>
      </c>
      <c r="Q4547" s="572">
        <v>10</v>
      </c>
      <c r="R4547" s="1209">
        <v>113</v>
      </c>
      <c r="S4547" s="1209">
        <f>R4547*O4546</f>
        <v>791</v>
      </c>
      <c r="T4547" s="204" t="s">
        <v>9485</v>
      </c>
      <c r="U4547" s="1901" t="s">
        <v>1886</v>
      </c>
      <c r="V4547" s="572" t="s">
        <v>931</v>
      </c>
      <c r="W4547" s="804" t="s">
        <v>13195</v>
      </c>
      <c r="X4547" s="18"/>
      <c r="Y4547" s="4"/>
      <c r="Z4547" s="4"/>
    </row>
    <row r="4548" spans="1:26" ht="14.1" hidden="1">
      <c r="A4548" s="20">
        <v>4556</v>
      </c>
      <c r="B4548" s="1063">
        <v>44325</v>
      </c>
      <c r="C4548" s="934" t="s">
        <v>15505</v>
      </c>
      <c r="D4548" s="577" t="s">
        <v>6</v>
      </c>
      <c r="E4548" s="204" t="s">
        <v>15012</v>
      </c>
      <c r="F4548" s="934" t="s">
        <v>13447</v>
      </c>
      <c r="G4548" s="204" t="s">
        <v>15506</v>
      </c>
      <c r="H4548" s="204" t="s">
        <v>15507</v>
      </c>
      <c r="I4548" s="204" t="s">
        <v>53</v>
      </c>
      <c r="J4548" s="204" t="s">
        <v>15508</v>
      </c>
      <c r="K4548" s="204" t="s">
        <v>15509</v>
      </c>
      <c r="L4548" s="204" t="s">
        <v>15499</v>
      </c>
      <c r="M4548" s="204">
        <v>8</v>
      </c>
      <c r="N4548" s="204">
        <v>1</v>
      </c>
      <c r="O4548" s="204">
        <v>10</v>
      </c>
      <c r="P4548" s="204">
        <v>0</v>
      </c>
      <c r="Q4548" s="572">
        <v>10</v>
      </c>
      <c r="R4548" s="1209">
        <v>224</v>
      </c>
      <c r="S4548" s="1209">
        <f t="shared" ref="S4548:S4550" si="260">R4548*O4548</f>
        <v>2240</v>
      </c>
      <c r="T4548" s="204" t="s">
        <v>9485</v>
      </c>
      <c r="U4548" s="1901" t="s">
        <v>1886</v>
      </c>
      <c r="V4548" s="572" t="s">
        <v>931</v>
      </c>
      <c r="W4548" s="804" t="s">
        <v>15510</v>
      </c>
      <c r="X4548" s="18"/>
      <c r="Y4548" s="4"/>
      <c r="Z4548" s="4"/>
    </row>
    <row r="4549" spans="1:26" ht="14.1" hidden="1">
      <c r="A4549" s="20">
        <v>4557</v>
      </c>
      <c r="B4549" s="1063">
        <v>44326</v>
      </c>
      <c r="C4549" s="934" t="s">
        <v>15511</v>
      </c>
      <c r="D4549" s="577" t="s">
        <v>6</v>
      </c>
      <c r="E4549" s="204" t="s">
        <v>15012</v>
      </c>
      <c r="F4549" s="934" t="s">
        <v>13447</v>
      </c>
      <c r="G4549" s="204" t="s">
        <v>15512</v>
      </c>
      <c r="H4549" s="204" t="s">
        <v>5428</v>
      </c>
      <c r="I4549" s="204" t="s">
        <v>53</v>
      </c>
      <c r="J4549" s="204" t="s">
        <v>15513</v>
      </c>
      <c r="K4549" s="204" t="s">
        <v>15514</v>
      </c>
      <c r="L4549" s="204" t="s">
        <v>15499</v>
      </c>
      <c r="M4549" s="204">
        <v>12</v>
      </c>
      <c r="N4549" s="204">
        <v>1</v>
      </c>
      <c r="O4549" s="204">
        <v>15</v>
      </c>
      <c r="P4549" s="204">
        <v>0</v>
      </c>
      <c r="Q4549" s="572">
        <v>15</v>
      </c>
      <c r="R4549" s="1209">
        <v>48</v>
      </c>
      <c r="S4549" s="1209">
        <f t="shared" si="260"/>
        <v>720</v>
      </c>
      <c r="T4549" s="204" t="s">
        <v>9485</v>
      </c>
      <c r="U4549" s="1901" t="s">
        <v>1886</v>
      </c>
      <c r="V4549" s="572" t="s">
        <v>931</v>
      </c>
      <c r="W4549" s="804" t="s">
        <v>15515</v>
      </c>
      <c r="X4549" s="18"/>
      <c r="Y4549" s="4"/>
      <c r="Z4549" s="4"/>
    </row>
    <row r="4550" spans="1:26" ht="14.1" hidden="1">
      <c r="A4550" s="20">
        <v>4558</v>
      </c>
      <c r="B4550" s="1063">
        <v>44327</v>
      </c>
      <c r="C4550" s="934" t="s">
        <v>15516</v>
      </c>
      <c r="D4550" s="577" t="s">
        <v>6</v>
      </c>
      <c r="E4550" s="204" t="s">
        <v>15012</v>
      </c>
      <c r="F4550" s="934" t="s">
        <v>13447</v>
      </c>
      <c r="G4550" s="204" t="s">
        <v>15517</v>
      </c>
      <c r="H4550" s="204" t="s">
        <v>15518</v>
      </c>
      <c r="I4550" s="204" t="s">
        <v>53</v>
      </c>
      <c r="J4550" s="204" t="s">
        <v>15519</v>
      </c>
      <c r="K4550" s="204" t="s">
        <v>15520</v>
      </c>
      <c r="L4550" s="204" t="s">
        <v>15499</v>
      </c>
      <c r="M4550" s="204">
        <v>8</v>
      </c>
      <c r="N4550" s="204">
        <v>1</v>
      </c>
      <c r="O4550" s="204">
        <v>12</v>
      </c>
      <c r="P4550" s="204">
        <v>0</v>
      </c>
      <c r="Q4550" s="572">
        <v>12</v>
      </c>
      <c r="R4550" s="1209">
        <v>13</v>
      </c>
      <c r="S4550" s="1209">
        <f t="shared" si="260"/>
        <v>156</v>
      </c>
      <c r="T4550" s="204" t="s">
        <v>9485</v>
      </c>
      <c r="U4550" s="1901" t="s">
        <v>1886</v>
      </c>
      <c r="V4550" s="572" t="s">
        <v>931</v>
      </c>
      <c r="W4550" s="804" t="s">
        <v>1656</v>
      </c>
      <c r="X4550" s="18"/>
      <c r="Y4550" s="4"/>
      <c r="Z4550" s="4"/>
    </row>
    <row r="4551" spans="1:26" ht="15.6" hidden="1">
      <c r="A4551" s="594">
        <v>4559</v>
      </c>
      <c r="B4551" s="1063">
        <v>44328</v>
      </c>
      <c r="C4551" s="1021" t="s">
        <v>2612</v>
      </c>
      <c r="D4551" s="596"/>
      <c r="E4551" s="801"/>
      <c r="F4551" s="1057" t="s">
        <v>9454</v>
      </c>
      <c r="G4551" s="801" t="s">
        <v>15521</v>
      </c>
      <c r="H4551" s="595" t="s">
        <v>382</v>
      </c>
      <c r="I4551" s="801" t="s">
        <v>366</v>
      </c>
      <c r="J4551" s="801" t="s">
        <v>2612</v>
      </c>
      <c r="K4551" s="801"/>
      <c r="L4551" s="801"/>
      <c r="M4551" s="801">
        <v>104</v>
      </c>
      <c r="N4551" s="801">
        <v>1</v>
      </c>
      <c r="O4551" s="801">
        <v>100</v>
      </c>
      <c r="P4551" s="801" t="s">
        <v>1</v>
      </c>
      <c r="Q4551" s="801" t="s">
        <v>1</v>
      </c>
      <c r="R4551" s="1347">
        <v>1441</v>
      </c>
      <c r="S4551" s="1347">
        <v>14410</v>
      </c>
      <c r="T4551" s="801" t="s">
        <v>9485</v>
      </c>
      <c r="U4551" s="1945" t="s">
        <v>301</v>
      </c>
      <c r="V4551" s="594" t="s">
        <v>3342</v>
      </c>
      <c r="W4551" s="2148" t="s">
        <v>15522</v>
      </c>
      <c r="X4551" s="597"/>
      <c r="Y4551" s="598"/>
      <c r="Z4551" s="598"/>
    </row>
    <row r="4552" spans="1:26" ht="15.6" hidden="1">
      <c r="A4552" s="594">
        <v>4560</v>
      </c>
      <c r="B4552" s="1063">
        <v>44329</v>
      </c>
      <c r="C4552" s="1021" t="s">
        <v>1148</v>
      </c>
      <c r="D4552" s="596"/>
      <c r="E4552" s="801"/>
      <c r="F4552" s="1057" t="s">
        <v>9454</v>
      </c>
      <c r="G4552" s="801" t="s">
        <v>15523</v>
      </c>
      <c r="H4552" s="595" t="s">
        <v>382</v>
      </c>
      <c r="I4552" s="801" t="s">
        <v>366</v>
      </c>
      <c r="J4552" s="801" t="s">
        <v>1148</v>
      </c>
      <c r="K4552" s="801"/>
      <c r="L4552" s="801"/>
      <c r="M4552" s="801">
        <v>132</v>
      </c>
      <c r="N4552" s="801">
        <v>1</v>
      </c>
      <c r="O4552" s="801">
        <v>132</v>
      </c>
      <c r="P4552" s="801" t="s">
        <v>1</v>
      </c>
      <c r="Q4552" s="801" t="s">
        <v>1</v>
      </c>
      <c r="R4552" s="1348">
        <v>19</v>
      </c>
      <c r="S4552" s="1347">
        <v>2508</v>
      </c>
      <c r="T4552" s="801" t="s">
        <v>9485</v>
      </c>
      <c r="U4552" s="1945" t="s">
        <v>301</v>
      </c>
      <c r="V4552" s="594" t="s">
        <v>3342</v>
      </c>
      <c r="W4552" s="2148"/>
      <c r="X4552" s="597"/>
      <c r="Y4552" s="598"/>
      <c r="Z4552" s="598"/>
    </row>
    <row r="4553" spans="1:26" ht="15.6" hidden="1">
      <c r="A4553" s="20">
        <v>4561</v>
      </c>
      <c r="B4553" s="1063">
        <v>44330</v>
      </c>
      <c r="C4553" s="1022" t="s">
        <v>2600</v>
      </c>
      <c r="D4553" s="11" t="s">
        <v>6</v>
      </c>
      <c r="E4553" s="204" t="s">
        <v>15012</v>
      </c>
      <c r="F4553" s="934" t="s">
        <v>9454</v>
      </c>
      <c r="G4553" s="204" t="s">
        <v>15524</v>
      </c>
      <c r="H4553" s="256" t="s">
        <v>382</v>
      </c>
      <c r="I4553" s="204" t="s">
        <v>366</v>
      </c>
      <c r="J4553" s="204" t="s">
        <v>15525</v>
      </c>
      <c r="K4553" s="204"/>
      <c r="L4553" s="204"/>
      <c r="M4553" s="204">
        <v>8</v>
      </c>
      <c r="N4553" s="204">
        <v>1</v>
      </c>
      <c r="O4553" s="204">
        <v>10</v>
      </c>
      <c r="P4553" s="204">
        <v>0</v>
      </c>
      <c r="Q4553" s="572">
        <v>2</v>
      </c>
      <c r="R4553" s="1209">
        <v>448</v>
      </c>
      <c r="S4553" s="1209">
        <v>448</v>
      </c>
      <c r="T4553" s="204" t="s">
        <v>9485</v>
      </c>
      <c r="U4553" s="1901" t="s">
        <v>301</v>
      </c>
      <c r="V4553" s="572" t="s">
        <v>3342</v>
      </c>
      <c r="W4553" s="804" t="s">
        <v>15526</v>
      </c>
      <c r="X4553" s="18"/>
      <c r="Y4553" s="4"/>
      <c r="Z4553" s="4"/>
    </row>
    <row r="4554" spans="1:26" ht="15.6" hidden="1">
      <c r="A4554" s="594">
        <v>4562</v>
      </c>
      <c r="B4554" s="1063">
        <v>44331</v>
      </c>
      <c r="C4554" s="1021" t="s">
        <v>2597</v>
      </c>
      <c r="D4554" s="596"/>
      <c r="E4554" s="801"/>
      <c r="F4554" s="1057" t="s">
        <v>9454</v>
      </c>
      <c r="G4554" s="801" t="s">
        <v>15527</v>
      </c>
      <c r="H4554" s="595" t="s">
        <v>382</v>
      </c>
      <c r="I4554" s="801" t="s">
        <v>366</v>
      </c>
      <c r="J4554" s="801" t="s">
        <v>15528</v>
      </c>
      <c r="K4554" s="801"/>
      <c r="L4554" s="801"/>
      <c r="M4554" s="801">
        <v>44</v>
      </c>
      <c r="N4554" s="801">
        <v>1</v>
      </c>
      <c r="O4554" s="801">
        <v>44</v>
      </c>
      <c r="P4554" s="801" t="s">
        <v>1</v>
      </c>
      <c r="Q4554" s="801" t="s">
        <v>1</v>
      </c>
      <c r="R4554" s="1347">
        <v>80</v>
      </c>
      <c r="S4554" s="1347">
        <v>3520</v>
      </c>
      <c r="T4554" s="801" t="s">
        <v>9485</v>
      </c>
      <c r="U4554" s="1945" t="s">
        <v>301</v>
      </c>
      <c r="V4554" s="594" t="s">
        <v>3342</v>
      </c>
      <c r="W4554" s="2148"/>
      <c r="X4554" s="597"/>
      <c r="Y4554" s="598"/>
      <c r="Z4554" s="598"/>
    </row>
    <row r="4555" spans="1:26" ht="15.6" hidden="1">
      <c r="A4555" s="594">
        <v>4563</v>
      </c>
      <c r="B4555" s="1063">
        <v>44332</v>
      </c>
      <c r="C4555" s="1021" t="s">
        <v>2595</v>
      </c>
      <c r="D4555" s="596"/>
      <c r="E4555" s="801"/>
      <c r="F4555" s="1057" t="s">
        <v>9454</v>
      </c>
      <c r="G4555" s="801" t="s">
        <v>15521</v>
      </c>
      <c r="H4555" s="595" t="s">
        <v>382</v>
      </c>
      <c r="I4555" s="801" t="s">
        <v>366</v>
      </c>
      <c r="J4555" s="801" t="s">
        <v>15529</v>
      </c>
      <c r="K4555" s="801"/>
      <c r="L4555" s="801"/>
      <c r="M4555" s="801">
        <v>32</v>
      </c>
      <c r="N4555" s="801">
        <v>1</v>
      </c>
      <c r="O4555" s="801">
        <v>32</v>
      </c>
      <c r="P4555" s="801" t="s">
        <v>1</v>
      </c>
      <c r="Q4555" s="801" t="s">
        <v>1</v>
      </c>
      <c r="R4555" s="1347">
        <v>82</v>
      </c>
      <c r="S4555" s="1347">
        <v>2624</v>
      </c>
      <c r="T4555" s="801" t="s">
        <v>9485</v>
      </c>
      <c r="U4555" s="1945" t="s">
        <v>301</v>
      </c>
      <c r="V4555" s="594" t="s">
        <v>3342</v>
      </c>
      <c r="W4555" s="2148"/>
      <c r="X4555" s="597"/>
      <c r="Y4555" s="598"/>
      <c r="Z4555" s="598"/>
    </row>
    <row r="4556" spans="1:26" ht="15.6" hidden="1">
      <c r="A4556" s="594">
        <v>4564</v>
      </c>
      <c r="B4556" s="1063">
        <v>44333</v>
      </c>
      <c r="C4556" s="1021" t="s">
        <v>379</v>
      </c>
      <c r="D4556" s="596"/>
      <c r="E4556" s="801"/>
      <c r="F4556" s="1057" t="s">
        <v>9454</v>
      </c>
      <c r="G4556" s="801" t="s">
        <v>13524</v>
      </c>
      <c r="H4556" s="595" t="s">
        <v>366</v>
      </c>
      <c r="I4556" s="801" t="s">
        <v>366</v>
      </c>
      <c r="J4556" s="801" t="s">
        <v>379</v>
      </c>
      <c r="K4556" s="801"/>
      <c r="L4556" s="801"/>
      <c r="M4556" s="801">
        <v>50</v>
      </c>
      <c r="N4556" s="801">
        <v>1</v>
      </c>
      <c r="O4556" s="801">
        <v>50</v>
      </c>
      <c r="P4556" s="801" t="s">
        <v>1</v>
      </c>
      <c r="Q4556" s="801" t="s">
        <v>1</v>
      </c>
      <c r="R4556" s="1347">
        <v>18</v>
      </c>
      <c r="S4556" s="1347">
        <v>900</v>
      </c>
      <c r="T4556" s="801" t="s">
        <v>9485</v>
      </c>
      <c r="U4556" s="1945" t="s">
        <v>301</v>
      </c>
      <c r="V4556" s="594" t="s">
        <v>3342</v>
      </c>
      <c r="W4556" s="2149" t="s">
        <v>15530</v>
      </c>
      <c r="X4556" s="597"/>
      <c r="Y4556" s="598"/>
      <c r="Z4556" s="598"/>
    </row>
    <row r="4557" spans="1:26" ht="15.6" hidden="1">
      <c r="A4557" s="20">
        <v>4565</v>
      </c>
      <c r="B4557" s="1063">
        <v>44334</v>
      </c>
      <c r="C4557" s="1022" t="s">
        <v>367</v>
      </c>
      <c r="D4557" s="11" t="s">
        <v>6</v>
      </c>
      <c r="E4557" s="204" t="s">
        <v>15012</v>
      </c>
      <c r="F4557" s="924" t="s">
        <v>9454</v>
      </c>
      <c r="G4557" s="183" t="s">
        <v>15531</v>
      </c>
      <c r="H4557" s="183" t="s">
        <v>366</v>
      </c>
      <c r="I4557" s="183" t="s">
        <v>366</v>
      </c>
      <c r="J4557" s="183" t="s">
        <v>367</v>
      </c>
      <c r="K4557" s="183"/>
      <c r="L4557" s="183"/>
      <c r="M4557" s="183">
        <v>32</v>
      </c>
      <c r="N4557" s="183">
        <v>1</v>
      </c>
      <c r="O4557" s="183">
        <v>32</v>
      </c>
      <c r="P4557" s="183">
        <v>0</v>
      </c>
      <c r="Q4557" s="20">
        <v>0</v>
      </c>
      <c r="R4557" s="1209">
        <v>180</v>
      </c>
      <c r="S4557" s="1209">
        <v>5760</v>
      </c>
      <c r="T4557" s="183" t="s">
        <v>9485</v>
      </c>
      <c r="U4557" s="852" t="s">
        <v>301</v>
      </c>
      <c r="V4557" s="20" t="s">
        <v>3342</v>
      </c>
      <c r="W4557" s="649" t="s">
        <v>15532</v>
      </c>
      <c r="X4557" s="18" t="s">
        <v>15533</v>
      </c>
      <c r="Y4557" s="4"/>
      <c r="Z4557" s="4"/>
    </row>
    <row r="4558" spans="1:26" ht="15.6" hidden="1">
      <c r="A4558" s="20">
        <v>4566</v>
      </c>
      <c r="B4558" s="1063">
        <v>44335</v>
      </c>
      <c r="C4558" s="1022" t="s">
        <v>2602</v>
      </c>
      <c r="D4558" s="11" t="s">
        <v>6</v>
      </c>
      <c r="E4558" s="204" t="s">
        <v>15012</v>
      </c>
      <c r="F4558" s="934" t="s">
        <v>9454</v>
      </c>
      <c r="G4558" s="204" t="s">
        <v>15534</v>
      </c>
      <c r="H4558" s="256" t="s">
        <v>382</v>
      </c>
      <c r="I4558" s="204" t="s">
        <v>366</v>
      </c>
      <c r="J4558" s="204" t="s">
        <v>15535</v>
      </c>
      <c r="K4558" s="204"/>
      <c r="L4558" s="204"/>
      <c r="M4558" s="204">
        <v>32</v>
      </c>
      <c r="N4558" s="204">
        <v>10</v>
      </c>
      <c r="O4558" s="204">
        <v>30</v>
      </c>
      <c r="P4558" s="204">
        <v>8</v>
      </c>
      <c r="Q4558" s="572">
        <v>6</v>
      </c>
      <c r="R4558" s="1209">
        <v>362</v>
      </c>
      <c r="S4558" s="1209">
        <v>1086</v>
      </c>
      <c r="T4558" s="204" t="s">
        <v>9485</v>
      </c>
      <c r="U4558" s="1901" t="s">
        <v>301</v>
      </c>
      <c r="V4558" s="572" t="s">
        <v>3342</v>
      </c>
      <c r="W4558" s="804" t="s">
        <v>15536</v>
      </c>
      <c r="X4558" s="18"/>
      <c r="Y4558" s="4"/>
      <c r="Z4558" s="4"/>
    </row>
    <row r="4559" spans="1:26" ht="15.6" hidden="1">
      <c r="A4559" s="594">
        <v>4567</v>
      </c>
      <c r="B4559" s="1063">
        <v>44336</v>
      </c>
      <c r="C4559" s="1021" t="s">
        <v>2606</v>
      </c>
      <c r="D4559" s="596"/>
      <c r="E4559" s="801"/>
      <c r="F4559" s="1057" t="s">
        <v>9454</v>
      </c>
      <c r="G4559" s="801" t="s">
        <v>15537</v>
      </c>
      <c r="H4559" s="595" t="s">
        <v>382</v>
      </c>
      <c r="I4559" s="801" t="s">
        <v>366</v>
      </c>
      <c r="J4559" s="801" t="s">
        <v>15538</v>
      </c>
      <c r="K4559" s="801"/>
      <c r="L4559" s="801"/>
      <c r="M4559" s="801">
        <v>64</v>
      </c>
      <c r="N4559" s="801">
        <v>10</v>
      </c>
      <c r="O4559" s="801">
        <v>70</v>
      </c>
      <c r="P4559" s="801" t="s">
        <v>1</v>
      </c>
      <c r="Q4559" s="801" t="s">
        <v>1</v>
      </c>
      <c r="R4559" s="1347">
        <v>362</v>
      </c>
      <c r="S4559" s="1347">
        <v>2534</v>
      </c>
      <c r="T4559" s="801" t="s">
        <v>9485</v>
      </c>
      <c r="U4559" s="1945" t="s">
        <v>301</v>
      </c>
      <c r="V4559" s="594" t="s">
        <v>3342</v>
      </c>
      <c r="W4559" s="2149" t="s">
        <v>15539</v>
      </c>
      <c r="X4559" s="597"/>
      <c r="Y4559" s="598"/>
      <c r="Z4559" s="598"/>
    </row>
    <row r="4560" spans="1:26" ht="15.6" hidden="1">
      <c r="A4560" s="594">
        <v>4568</v>
      </c>
      <c r="B4560" s="1063">
        <v>44337</v>
      </c>
      <c r="C4560" s="1021" t="s">
        <v>5532</v>
      </c>
      <c r="D4560" s="596"/>
      <c r="E4560" s="801"/>
      <c r="F4560" s="1057" t="s">
        <v>9454</v>
      </c>
      <c r="G4560" s="801" t="s">
        <v>15540</v>
      </c>
      <c r="H4560" s="595" t="s">
        <v>366</v>
      </c>
      <c r="I4560" s="801" t="s">
        <v>366</v>
      </c>
      <c r="J4560" s="801" t="s">
        <v>2617</v>
      </c>
      <c r="K4560" s="801"/>
      <c r="L4560" s="801"/>
      <c r="M4560" s="801">
        <v>16</v>
      </c>
      <c r="N4560" s="801">
        <v>1</v>
      </c>
      <c r="O4560" s="801">
        <v>16</v>
      </c>
      <c r="P4560" s="801" t="s">
        <v>1</v>
      </c>
      <c r="Q4560" s="801" t="s">
        <v>1</v>
      </c>
      <c r="R4560" s="1347">
        <v>470</v>
      </c>
      <c r="S4560" s="1347">
        <v>7520</v>
      </c>
      <c r="T4560" s="801" t="s">
        <v>9485</v>
      </c>
      <c r="U4560" s="1945" t="s">
        <v>301</v>
      </c>
      <c r="V4560" s="594" t="s">
        <v>3342</v>
      </c>
      <c r="W4560" s="2149" t="s">
        <v>15541</v>
      </c>
      <c r="X4560" s="597"/>
      <c r="Y4560" s="598"/>
      <c r="Z4560" s="598"/>
    </row>
    <row r="4561" spans="1:26" ht="15.6" hidden="1">
      <c r="A4561" s="594">
        <v>4569</v>
      </c>
      <c r="B4561" s="1063">
        <v>44338</v>
      </c>
      <c r="C4561" s="1021" t="s">
        <v>13599</v>
      </c>
      <c r="D4561" s="596"/>
      <c r="E4561" s="801"/>
      <c r="F4561" s="1057" t="s">
        <v>9454</v>
      </c>
      <c r="G4561" s="801" t="s">
        <v>15542</v>
      </c>
      <c r="H4561" s="595" t="s">
        <v>3979</v>
      </c>
      <c r="I4561" s="801" t="s">
        <v>366</v>
      </c>
      <c r="J4561" s="801" t="s">
        <v>13599</v>
      </c>
      <c r="K4561" s="801"/>
      <c r="L4561" s="801"/>
      <c r="M4561" s="801">
        <v>16</v>
      </c>
      <c r="N4561" s="801">
        <v>50</v>
      </c>
      <c r="O4561" s="801">
        <v>50</v>
      </c>
      <c r="P4561" s="801" t="s">
        <v>1</v>
      </c>
      <c r="Q4561" s="801" t="s">
        <v>1</v>
      </c>
      <c r="R4561" s="1347">
        <v>16</v>
      </c>
      <c r="S4561" s="1347">
        <v>800</v>
      </c>
      <c r="T4561" s="801" t="s">
        <v>9485</v>
      </c>
      <c r="U4561" s="1945" t="s">
        <v>301</v>
      </c>
      <c r="V4561" s="594" t="s">
        <v>3342</v>
      </c>
      <c r="W4561" s="2149" t="s">
        <v>15543</v>
      </c>
      <c r="X4561" s="597"/>
      <c r="Y4561" s="598"/>
      <c r="Z4561" s="598"/>
    </row>
    <row r="4562" spans="1:26" ht="15.6" hidden="1">
      <c r="A4562" s="594">
        <v>4570</v>
      </c>
      <c r="B4562" s="1063">
        <v>44339</v>
      </c>
      <c r="C4562" s="1021" t="s">
        <v>12523</v>
      </c>
      <c r="D4562" s="596"/>
      <c r="E4562" s="801"/>
      <c r="F4562" s="1057" t="s">
        <v>9454</v>
      </c>
      <c r="G4562" s="801" t="s">
        <v>15544</v>
      </c>
      <c r="H4562" s="595" t="s">
        <v>3979</v>
      </c>
      <c r="I4562" s="801" t="s">
        <v>366</v>
      </c>
      <c r="J4562" s="801" t="s">
        <v>3985</v>
      </c>
      <c r="K4562" s="801"/>
      <c r="L4562" s="801"/>
      <c r="M4562" s="801">
        <v>16</v>
      </c>
      <c r="N4562" s="801">
        <v>50</v>
      </c>
      <c r="O4562" s="801">
        <v>50</v>
      </c>
      <c r="P4562" s="801" t="s">
        <v>1</v>
      </c>
      <c r="Q4562" s="801" t="s">
        <v>1</v>
      </c>
      <c r="R4562" s="1347">
        <v>23</v>
      </c>
      <c r="S4562" s="1347">
        <v>1150</v>
      </c>
      <c r="T4562" s="801" t="s">
        <v>9485</v>
      </c>
      <c r="U4562" s="1945" t="s">
        <v>301</v>
      </c>
      <c r="V4562" s="594" t="s">
        <v>3342</v>
      </c>
      <c r="W4562" s="2149" t="s">
        <v>15545</v>
      </c>
      <c r="X4562" s="597"/>
      <c r="Y4562" s="598"/>
      <c r="Z4562" s="598"/>
    </row>
    <row r="4563" spans="1:26" ht="15.6" hidden="1">
      <c r="A4563" s="594">
        <v>4571</v>
      </c>
      <c r="B4563" s="1063">
        <v>44340</v>
      </c>
      <c r="C4563" s="1021" t="s">
        <v>13595</v>
      </c>
      <c r="D4563" s="596"/>
      <c r="E4563" s="801"/>
      <c r="F4563" s="1057" t="s">
        <v>9454</v>
      </c>
      <c r="G4563" s="801" t="s">
        <v>15546</v>
      </c>
      <c r="H4563" s="595" t="s">
        <v>3979</v>
      </c>
      <c r="I4563" s="801" t="s">
        <v>366</v>
      </c>
      <c r="J4563" s="801" t="s">
        <v>13595</v>
      </c>
      <c r="K4563" s="801"/>
      <c r="L4563" s="801"/>
      <c r="M4563" s="801">
        <v>40</v>
      </c>
      <c r="N4563" s="801">
        <v>10</v>
      </c>
      <c r="O4563" s="801">
        <v>50</v>
      </c>
      <c r="P4563" s="801" t="s">
        <v>1</v>
      </c>
      <c r="Q4563" s="801" t="s">
        <v>1</v>
      </c>
      <c r="R4563" s="1347">
        <v>13</v>
      </c>
      <c r="S4563" s="1347">
        <v>650</v>
      </c>
      <c r="T4563" s="801" t="s">
        <v>9485</v>
      </c>
      <c r="U4563" s="1945" t="s">
        <v>301</v>
      </c>
      <c r="V4563" s="594" t="s">
        <v>3342</v>
      </c>
      <c r="W4563" s="2148" t="s">
        <v>15547</v>
      </c>
      <c r="X4563" s="597"/>
      <c r="Y4563" s="598"/>
      <c r="Z4563" s="598"/>
    </row>
    <row r="4564" spans="1:26" ht="15.6" hidden="1">
      <c r="A4564" s="594">
        <v>4572</v>
      </c>
      <c r="B4564" s="1063">
        <v>44341</v>
      </c>
      <c r="C4564" s="1021" t="s">
        <v>15130</v>
      </c>
      <c r="D4564" s="596"/>
      <c r="E4564" s="801"/>
      <c r="F4564" s="1057" t="s">
        <v>9454</v>
      </c>
      <c r="G4564" s="801" t="s">
        <v>15548</v>
      </c>
      <c r="H4564" s="595" t="s">
        <v>382</v>
      </c>
      <c r="I4564" s="801" t="s">
        <v>366</v>
      </c>
      <c r="J4564" s="801" t="s">
        <v>15549</v>
      </c>
      <c r="K4564" s="801"/>
      <c r="L4564" s="801"/>
      <c r="M4564" s="801">
        <v>32</v>
      </c>
      <c r="N4564" s="801">
        <v>1</v>
      </c>
      <c r="O4564" s="801">
        <v>32</v>
      </c>
      <c r="P4564" s="801" t="s">
        <v>1</v>
      </c>
      <c r="Q4564" s="801" t="s">
        <v>1</v>
      </c>
      <c r="R4564" s="1347">
        <v>37</v>
      </c>
      <c r="S4564" s="1347">
        <v>1184</v>
      </c>
      <c r="T4564" s="801" t="s">
        <v>9485</v>
      </c>
      <c r="U4564" s="1945" t="s">
        <v>301</v>
      </c>
      <c r="V4564" s="594" t="s">
        <v>3342</v>
      </c>
      <c r="W4564" s="2148"/>
      <c r="X4564" s="597"/>
      <c r="Y4564" s="598"/>
      <c r="Z4564" s="598"/>
    </row>
    <row r="4565" spans="1:26" ht="15.6" hidden="1">
      <c r="A4565" s="20">
        <v>4573</v>
      </c>
      <c r="B4565" s="1063">
        <v>44342</v>
      </c>
      <c r="C4565" s="1022" t="s">
        <v>15550</v>
      </c>
      <c r="D4565" s="278" t="s">
        <v>6</v>
      </c>
      <c r="E4565" s="204" t="s">
        <v>15012</v>
      </c>
      <c r="F4565" s="934" t="s">
        <v>9454</v>
      </c>
      <c r="G4565" s="204" t="s">
        <v>15551</v>
      </c>
      <c r="H4565" s="256" t="s">
        <v>3979</v>
      </c>
      <c r="I4565" s="204" t="s">
        <v>366</v>
      </c>
      <c r="J4565" s="204" t="s">
        <v>15131</v>
      </c>
      <c r="K4565" s="204"/>
      <c r="L4565" s="204"/>
      <c r="M4565" s="204">
        <v>76</v>
      </c>
      <c r="N4565" s="204">
        <v>50</v>
      </c>
      <c r="O4565" s="204">
        <v>100</v>
      </c>
      <c r="P4565" s="204">
        <v>0</v>
      </c>
      <c r="Q4565" s="572">
        <v>24</v>
      </c>
      <c r="R4565" s="1209">
        <v>15</v>
      </c>
      <c r="S4565" s="1209">
        <v>1500</v>
      </c>
      <c r="T4565" s="204" t="s">
        <v>9485</v>
      </c>
      <c r="U4565" s="1901" t="s">
        <v>301</v>
      </c>
      <c r="V4565" s="572" t="s">
        <v>3342</v>
      </c>
      <c r="W4565" s="804" t="s">
        <v>15552</v>
      </c>
      <c r="X4565" s="18"/>
      <c r="Y4565" s="4"/>
      <c r="Z4565" s="4"/>
    </row>
    <row r="4566" spans="1:26" ht="15.6" hidden="1">
      <c r="A4566" s="594">
        <v>4574</v>
      </c>
      <c r="B4566" s="1063">
        <v>44343</v>
      </c>
      <c r="C4566" s="1021" t="s">
        <v>13622</v>
      </c>
      <c r="D4566" s="596"/>
      <c r="E4566" s="801"/>
      <c r="F4566" s="1057" t="s">
        <v>9454</v>
      </c>
      <c r="G4566" s="801" t="s">
        <v>15537</v>
      </c>
      <c r="H4566" s="595" t="s">
        <v>382</v>
      </c>
      <c r="I4566" s="801" t="s">
        <v>366</v>
      </c>
      <c r="J4566" s="801" t="s">
        <v>15553</v>
      </c>
      <c r="K4566" s="801"/>
      <c r="L4566" s="801"/>
      <c r="M4566" s="801">
        <v>4</v>
      </c>
      <c r="N4566" s="801">
        <v>10</v>
      </c>
      <c r="O4566" s="801">
        <v>10</v>
      </c>
      <c r="P4566" s="801" t="s">
        <v>1</v>
      </c>
      <c r="Q4566" s="801" t="s">
        <v>1</v>
      </c>
      <c r="R4566" s="1347">
        <v>786</v>
      </c>
      <c r="S4566" s="1347">
        <v>786</v>
      </c>
      <c r="T4566" s="801" t="s">
        <v>9485</v>
      </c>
      <c r="U4566" s="1945" t="s">
        <v>301</v>
      </c>
      <c r="V4566" s="594" t="s">
        <v>3342</v>
      </c>
      <c r="W4566" s="2148"/>
      <c r="X4566" s="597"/>
      <c r="Y4566" s="598"/>
      <c r="Z4566" s="598"/>
    </row>
    <row r="4567" spans="1:26" ht="15.6" hidden="1">
      <c r="A4567" s="594">
        <v>4575</v>
      </c>
      <c r="B4567" s="1063">
        <v>44344</v>
      </c>
      <c r="C4567" s="1021" t="s">
        <v>13621</v>
      </c>
      <c r="D4567" s="596"/>
      <c r="E4567" s="801"/>
      <c r="F4567" s="1057" t="s">
        <v>9454</v>
      </c>
      <c r="G4567" s="801" t="s">
        <v>15534</v>
      </c>
      <c r="H4567" s="595" t="s">
        <v>382</v>
      </c>
      <c r="I4567" s="801" t="s">
        <v>366</v>
      </c>
      <c r="J4567" s="801" t="s">
        <v>15554</v>
      </c>
      <c r="K4567" s="801"/>
      <c r="L4567" s="801"/>
      <c r="M4567" s="801">
        <v>4</v>
      </c>
      <c r="N4567" s="801">
        <v>10</v>
      </c>
      <c r="O4567" s="801">
        <v>10</v>
      </c>
      <c r="P4567" s="801" t="s">
        <v>1</v>
      </c>
      <c r="Q4567" s="801" t="s">
        <v>1</v>
      </c>
      <c r="R4567" s="1347">
        <v>1646</v>
      </c>
      <c r="S4567" s="1348">
        <v>1646</v>
      </c>
      <c r="T4567" s="801" t="s">
        <v>9485</v>
      </c>
      <c r="U4567" s="1945" t="s">
        <v>301</v>
      </c>
      <c r="V4567" s="594" t="s">
        <v>3342</v>
      </c>
      <c r="W4567" s="2148"/>
      <c r="X4567" s="597"/>
      <c r="Y4567" s="598"/>
      <c r="Z4567" s="598"/>
    </row>
    <row r="4568" spans="1:26" ht="15.6" hidden="1">
      <c r="A4568" s="20">
        <v>4576</v>
      </c>
      <c r="B4568" s="1063">
        <v>44345</v>
      </c>
      <c r="C4568" s="1022" t="s">
        <v>2604</v>
      </c>
      <c r="D4568" s="11" t="s">
        <v>6</v>
      </c>
      <c r="E4568" s="204" t="s">
        <v>15012</v>
      </c>
      <c r="F4568" s="934" t="s">
        <v>9454</v>
      </c>
      <c r="G4568" s="204" t="s">
        <v>15534</v>
      </c>
      <c r="H4568" s="256" t="s">
        <v>382</v>
      </c>
      <c r="I4568" s="204" t="s">
        <v>366</v>
      </c>
      <c r="J4568" s="204" t="s">
        <v>2604</v>
      </c>
      <c r="K4568" s="204"/>
      <c r="L4568" s="204"/>
      <c r="M4568" s="204">
        <v>12</v>
      </c>
      <c r="N4568" s="204">
        <v>1</v>
      </c>
      <c r="O4568" s="204">
        <v>12</v>
      </c>
      <c r="P4568" s="204">
        <v>0</v>
      </c>
      <c r="Q4568" s="572">
        <v>0</v>
      </c>
      <c r="R4568" s="1209">
        <v>144</v>
      </c>
      <c r="S4568" s="1209">
        <v>1728</v>
      </c>
      <c r="T4568" s="204" t="s">
        <v>9485</v>
      </c>
      <c r="U4568" s="1901" t="s">
        <v>301</v>
      </c>
      <c r="V4568" s="572" t="s">
        <v>3342</v>
      </c>
      <c r="W4568" s="804" t="s">
        <v>15555</v>
      </c>
      <c r="X4568" s="18"/>
      <c r="Y4568" s="4"/>
      <c r="Z4568" s="4"/>
    </row>
    <row r="4569" spans="1:26" ht="15.6" hidden="1">
      <c r="A4569" s="20">
        <v>4577</v>
      </c>
      <c r="B4569" s="1063">
        <v>44346</v>
      </c>
      <c r="C4569" s="1022" t="s">
        <v>1524</v>
      </c>
      <c r="D4569" s="11" t="s">
        <v>6</v>
      </c>
      <c r="E4569" s="204" t="s">
        <v>15012</v>
      </c>
      <c r="F4569" s="934" t="s">
        <v>9454</v>
      </c>
      <c r="G4569" s="204" t="s">
        <v>15556</v>
      </c>
      <c r="H4569" s="256" t="s">
        <v>382</v>
      </c>
      <c r="I4569" s="204" t="s">
        <v>366</v>
      </c>
      <c r="J4569" s="204" t="s">
        <v>15557</v>
      </c>
      <c r="K4569" s="204"/>
      <c r="L4569" s="204"/>
      <c r="M4569" s="204">
        <v>5</v>
      </c>
      <c r="N4569" s="204">
        <v>10</v>
      </c>
      <c r="O4569" s="204">
        <v>10</v>
      </c>
      <c r="P4569" s="204">
        <v>7</v>
      </c>
      <c r="Q4569" s="572">
        <v>5</v>
      </c>
      <c r="R4569" s="1209">
        <v>448</v>
      </c>
      <c r="S4569" s="1209">
        <v>448</v>
      </c>
      <c r="T4569" s="204" t="s">
        <v>9485</v>
      </c>
      <c r="U4569" s="1901" t="s">
        <v>301</v>
      </c>
      <c r="V4569" s="572" t="s">
        <v>3342</v>
      </c>
      <c r="W4569" s="804" t="s">
        <v>15558</v>
      </c>
      <c r="X4569" s="18"/>
      <c r="Y4569" s="4"/>
      <c r="Z4569" s="4"/>
    </row>
    <row r="4570" spans="1:26" ht="15.6" hidden="1">
      <c r="A4570" s="594">
        <v>4578</v>
      </c>
      <c r="B4570" s="1063">
        <v>44347</v>
      </c>
      <c r="C4570" s="1021" t="s">
        <v>3980</v>
      </c>
      <c r="D4570" s="596"/>
      <c r="E4570" s="801"/>
      <c r="F4570" s="1057" t="s">
        <v>9454</v>
      </c>
      <c r="G4570" s="801" t="s">
        <v>15559</v>
      </c>
      <c r="H4570" s="595" t="s">
        <v>3979</v>
      </c>
      <c r="I4570" s="801" t="s">
        <v>366</v>
      </c>
      <c r="J4570" s="801" t="s">
        <v>3980</v>
      </c>
      <c r="K4570" s="801"/>
      <c r="L4570" s="801"/>
      <c r="M4570" s="801">
        <v>8</v>
      </c>
      <c r="N4570" s="801">
        <v>1</v>
      </c>
      <c r="O4570" s="801">
        <v>10</v>
      </c>
      <c r="P4570" s="801" t="s">
        <v>1</v>
      </c>
      <c r="Q4570" s="801" t="s">
        <v>1</v>
      </c>
      <c r="R4570" s="1347">
        <v>8</v>
      </c>
      <c r="S4570" s="1347">
        <v>80</v>
      </c>
      <c r="T4570" s="801" t="s">
        <v>9485</v>
      </c>
      <c r="U4570" s="1945" t="s">
        <v>301</v>
      </c>
      <c r="V4570" s="594" t="s">
        <v>3342</v>
      </c>
      <c r="W4570" s="2149" t="s">
        <v>15560</v>
      </c>
      <c r="X4570" s="597"/>
      <c r="Y4570" s="598"/>
      <c r="Z4570" s="598"/>
    </row>
    <row r="4571" spans="1:26" ht="15.6" hidden="1">
      <c r="A4571" s="20">
        <v>4579</v>
      </c>
      <c r="B4571" s="1063">
        <v>44348</v>
      </c>
      <c r="C4571" s="1022" t="s">
        <v>15136</v>
      </c>
      <c r="D4571" s="11" t="s">
        <v>6</v>
      </c>
      <c r="E4571" s="204" t="s">
        <v>15012</v>
      </c>
      <c r="F4571" s="934" t="s">
        <v>9454</v>
      </c>
      <c r="G4571" s="204" t="s">
        <v>15561</v>
      </c>
      <c r="H4571" s="256" t="s">
        <v>3979</v>
      </c>
      <c r="I4571" s="204" t="s">
        <v>84</v>
      </c>
      <c r="J4571" s="204" t="s">
        <v>15136</v>
      </c>
      <c r="K4571" s="204"/>
      <c r="L4571" s="204"/>
      <c r="M4571" s="204">
        <v>32</v>
      </c>
      <c r="N4571" s="204">
        <v>50</v>
      </c>
      <c r="O4571" s="204">
        <v>50</v>
      </c>
      <c r="P4571" s="204">
        <v>0</v>
      </c>
      <c r="Q4571" s="572">
        <v>18</v>
      </c>
      <c r="R4571" s="1209">
        <v>72.900000000000006</v>
      </c>
      <c r="S4571" s="1209">
        <v>729</v>
      </c>
      <c r="T4571" s="204" t="s">
        <v>9485</v>
      </c>
      <c r="U4571" s="1901" t="s">
        <v>301</v>
      </c>
      <c r="V4571" s="572" t="s">
        <v>3342</v>
      </c>
      <c r="W4571" s="2127" t="s">
        <v>15562</v>
      </c>
      <c r="X4571" s="18"/>
      <c r="Y4571" s="4"/>
      <c r="Z4571" s="4"/>
    </row>
    <row r="4572" spans="1:26" ht="15.6" hidden="1">
      <c r="A4572" s="20">
        <v>4580</v>
      </c>
      <c r="B4572" s="1063">
        <v>44349</v>
      </c>
      <c r="C4572" s="1022" t="s">
        <v>15138</v>
      </c>
      <c r="D4572" s="11" t="s">
        <v>6</v>
      </c>
      <c r="E4572" s="204" t="s">
        <v>15012</v>
      </c>
      <c r="F4572" s="934" t="s">
        <v>9454</v>
      </c>
      <c r="G4572" s="204" t="s">
        <v>15563</v>
      </c>
      <c r="H4572" s="256" t="s">
        <v>3979</v>
      </c>
      <c r="I4572" s="204" t="s">
        <v>366</v>
      </c>
      <c r="J4572" s="256" t="s">
        <v>15138</v>
      </c>
      <c r="K4572" s="204"/>
      <c r="L4572" s="204"/>
      <c r="M4572" s="204">
        <v>16</v>
      </c>
      <c r="N4572" s="204">
        <v>50</v>
      </c>
      <c r="O4572" s="204">
        <v>50</v>
      </c>
      <c r="P4572" s="204">
        <v>0</v>
      </c>
      <c r="Q4572" s="572">
        <v>34</v>
      </c>
      <c r="R4572" s="1209">
        <v>15</v>
      </c>
      <c r="S4572" s="1209">
        <v>750</v>
      </c>
      <c r="T4572" s="204" t="s">
        <v>9485</v>
      </c>
      <c r="U4572" s="1901" t="s">
        <v>301</v>
      </c>
      <c r="V4572" s="572" t="s">
        <v>3342</v>
      </c>
      <c r="W4572" s="804" t="s">
        <v>15564</v>
      </c>
      <c r="X4572" s="18"/>
      <c r="Y4572" s="4"/>
      <c r="Z4572" s="4"/>
    </row>
    <row r="4573" spans="1:26" ht="15.6" hidden="1">
      <c r="A4573" s="20">
        <v>4581</v>
      </c>
      <c r="B4573" s="1063">
        <v>44350</v>
      </c>
      <c r="C4573" s="1022" t="s">
        <v>370</v>
      </c>
      <c r="D4573" s="11" t="s">
        <v>6</v>
      </c>
      <c r="E4573" s="204" t="s">
        <v>15012</v>
      </c>
      <c r="F4573" s="934" t="s">
        <v>9454</v>
      </c>
      <c r="G4573" s="204" t="s">
        <v>15521</v>
      </c>
      <c r="H4573" s="256" t="s">
        <v>366</v>
      </c>
      <c r="I4573" s="204" t="s">
        <v>366</v>
      </c>
      <c r="J4573" s="256" t="s">
        <v>370</v>
      </c>
      <c r="K4573" s="204"/>
      <c r="L4573" s="204"/>
      <c r="M4573" s="204">
        <v>24</v>
      </c>
      <c r="N4573" s="204">
        <v>1</v>
      </c>
      <c r="O4573" s="204">
        <v>24</v>
      </c>
      <c r="P4573" s="204">
        <v>0</v>
      </c>
      <c r="Q4573" s="572">
        <v>0</v>
      </c>
      <c r="R4573" s="1209">
        <v>180</v>
      </c>
      <c r="S4573" s="1209">
        <v>4320</v>
      </c>
      <c r="T4573" s="204" t="s">
        <v>9485</v>
      </c>
      <c r="U4573" s="1901" t="s">
        <v>301</v>
      </c>
      <c r="V4573" s="572" t="s">
        <v>3342</v>
      </c>
      <c r="W4573" s="804" t="s">
        <v>15565</v>
      </c>
      <c r="X4573" s="18"/>
      <c r="Y4573" s="4"/>
      <c r="Z4573" s="4"/>
    </row>
    <row r="4574" spans="1:26" ht="15.6" hidden="1">
      <c r="A4574" s="20">
        <v>4582</v>
      </c>
      <c r="B4574" s="1063">
        <v>44351</v>
      </c>
      <c r="C4574" s="1022" t="s">
        <v>9145</v>
      </c>
      <c r="D4574" s="11" t="s">
        <v>6</v>
      </c>
      <c r="E4574" s="204" t="s">
        <v>15012</v>
      </c>
      <c r="F4574" s="934" t="s">
        <v>9454</v>
      </c>
      <c r="G4574" s="204" t="s">
        <v>15566</v>
      </c>
      <c r="H4574" s="256" t="s">
        <v>382</v>
      </c>
      <c r="I4574" s="204" t="s">
        <v>366</v>
      </c>
      <c r="J4574" s="256" t="s">
        <v>9145</v>
      </c>
      <c r="K4574" s="204"/>
      <c r="L4574" s="204"/>
      <c r="M4574" s="204">
        <v>8</v>
      </c>
      <c r="N4574" s="204">
        <v>1</v>
      </c>
      <c r="O4574" s="204">
        <v>10</v>
      </c>
      <c r="P4574" s="204">
        <v>0</v>
      </c>
      <c r="Q4574" s="572">
        <v>0</v>
      </c>
      <c r="R4574" s="1209">
        <v>32</v>
      </c>
      <c r="S4574" s="1209">
        <v>320</v>
      </c>
      <c r="T4574" s="204" t="s">
        <v>9485</v>
      </c>
      <c r="U4574" s="1901" t="s">
        <v>301</v>
      </c>
      <c r="V4574" s="572" t="s">
        <v>3342</v>
      </c>
      <c r="W4574" s="681"/>
      <c r="X4574" s="18"/>
      <c r="Y4574" s="4"/>
      <c r="Z4574" s="4"/>
    </row>
    <row r="4575" spans="1:26" ht="15.6" hidden="1">
      <c r="A4575" s="594">
        <v>4583</v>
      </c>
      <c r="B4575" s="1063">
        <v>44352</v>
      </c>
      <c r="C4575" s="1023" t="s">
        <v>2608</v>
      </c>
      <c r="D4575" s="596"/>
      <c r="E4575" s="801"/>
      <c r="F4575" s="1057" t="s">
        <v>9454</v>
      </c>
      <c r="G4575" s="801" t="s">
        <v>15527</v>
      </c>
      <c r="H4575" s="599" t="s">
        <v>382</v>
      </c>
      <c r="I4575" s="801" t="s">
        <v>366</v>
      </c>
      <c r="J4575" s="802" t="s">
        <v>15567</v>
      </c>
      <c r="K4575" s="801"/>
      <c r="L4575" s="801"/>
      <c r="M4575" s="801">
        <v>12</v>
      </c>
      <c r="N4575" s="801">
        <v>1</v>
      </c>
      <c r="O4575" s="801">
        <v>12</v>
      </c>
      <c r="P4575" s="801" t="s">
        <v>1</v>
      </c>
      <c r="Q4575" s="801" t="s">
        <v>1</v>
      </c>
      <c r="R4575" s="1347">
        <v>47</v>
      </c>
      <c r="S4575" s="1347">
        <v>564</v>
      </c>
      <c r="T4575" s="801" t="s">
        <v>9485</v>
      </c>
      <c r="U4575" s="1945" t="s">
        <v>301</v>
      </c>
      <c r="V4575" s="594" t="s">
        <v>3342</v>
      </c>
      <c r="W4575" s="2148"/>
      <c r="X4575" s="597"/>
      <c r="Y4575" s="598"/>
      <c r="Z4575" s="598"/>
    </row>
    <row r="4576" spans="1:26" ht="15.6" hidden="1">
      <c r="A4576" s="594">
        <v>4584</v>
      </c>
      <c r="B4576" s="1063">
        <v>44353</v>
      </c>
      <c r="C4576" s="1023" t="s">
        <v>12502</v>
      </c>
      <c r="D4576" s="596"/>
      <c r="E4576" s="801"/>
      <c r="F4576" s="1057" t="s">
        <v>9454</v>
      </c>
      <c r="G4576" s="801" t="s">
        <v>15568</v>
      </c>
      <c r="H4576" s="599" t="s">
        <v>366</v>
      </c>
      <c r="I4576" s="801" t="s">
        <v>366</v>
      </c>
      <c r="J4576" s="802" t="s">
        <v>12502</v>
      </c>
      <c r="K4576" s="801"/>
      <c r="L4576" s="801"/>
      <c r="M4576" s="801">
        <v>32</v>
      </c>
      <c r="N4576" s="801">
        <v>1</v>
      </c>
      <c r="O4576" s="801">
        <v>32</v>
      </c>
      <c r="P4576" s="801" t="s">
        <v>1</v>
      </c>
      <c r="Q4576" s="801" t="s">
        <v>1</v>
      </c>
      <c r="R4576" s="1347">
        <v>180</v>
      </c>
      <c r="S4576" s="1347">
        <v>5760</v>
      </c>
      <c r="T4576" s="801" t="s">
        <v>9485</v>
      </c>
      <c r="U4576" s="1945" t="s">
        <v>301</v>
      </c>
      <c r="V4576" s="594" t="s">
        <v>3342</v>
      </c>
      <c r="W4576" s="2149" t="s">
        <v>15569</v>
      </c>
      <c r="X4576" s="597"/>
      <c r="Y4576" s="598"/>
      <c r="Z4576" s="598"/>
    </row>
    <row r="4577" spans="1:26" ht="15.6" hidden="1">
      <c r="A4577" s="594">
        <v>4585</v>
      </c>
      <c r="B4577" s="1063">
        <v>44354</v>
      </c>
      <c r="C4577" s="1021" t="s">
        <v>12514</v>
      </c>
      <c r="D4577" s="596"/>
      <c r="E4577" s="801"/>
      <c r="F4577" s="1057" t="s">
        <v>9454</v>
      </c>
      <c r="G4577" s="801" t="s">
        <v>15570</v>
      </c>
      <c r="H4577" s="600" t="s">
        <v>3979</v>
      </c>
      <c r="I4577" s="801" t="s">
        <v>366</v>
      </c>
      <c r="J4577" s="595" t="s">
        <v>12514</v>
      </c>
      <c r="K4577" s="801"/>
      <c r="L4577" s="801"/>
      <c r="M4577" s="801">
        <v>8</v>
      </c>
      <c r="N4577" s="801">
        <v>50</v>
      </c>
      <c r="O4577" s="801">
        <v>50</v>
      </c>
      <c r="P4577" s="801" t="s">
        <v>1</v>
      </c>
      <c r="Q4577" s="801" t="s">
        <v>1</v>
      </c>
      <c r="R4577" s="1347">
        <v>12</v>
      </c>
      <c r="S4577" s="1347">
        <v>600</v>
      </c>
      <c r="T4577" s="801" t="s">
        <v>9485</v>
      </c>
      <c r="U4577" s="1945" t="s">
        <v>301</v>
      </c>
      <c r="V4577" s="594" t="s">
        <v>3342</v>
      </c>
      <c r="W4577" s="2149" t="s">
        <v>15571</v>
      </c>
      <c r="X4577" s="597"/>
      <c r="Y4577" s="598"/>
      <c r="Z4577" s="598"/>
    </row>
    <row r="4578" spans="1:26" ht="15.6" hidden="1">
      <c r="A4578" s="20">
        <v>4586</v>
      </c>
      <c r="B4578" s="1063">
        <v>44355</v>
      </c>
      <c r="C4578" s="1022" t="s">
        <v>2610</v>
      </c>
      <c r="D4578" s="278" t="s">
        <v>6</v>
      </c>
      <c r="E4578" s="204" t="s">
        <v>15012</v>
      </c>
      <c r="F4578" s="934" t="s">
        <v>9454</v>
      </c>
      <c r="G4578" s="204" t="s">
        <v>15572</v>
      </c>
      <c r="H4578" s="255" t="s">
        <v>382</v>
      </c>
      <c r="I4578" s="204" t="s">
        <v>366</v>
      </c>
      <c r="J4578" s="256" t="s">
        <v>15573</v>
      </c>
      <c r="K4578" s="204"/>
      <c r="L4578" s="204"/>
      <c r="M4578" s="204">
        <v>8</v>
      </c>
      <c r="N4578" s="204">
        <v>1</v>
      </c>
      <c r="O4578" s="204">
        <v>8</v>
      </c>
      <c r="P4578" s="204">
        <v>0</v>
      </c>
      <c r="Q4578" s="572">
        <v>0</v>
      </c>
      <c r="R4578" s="1209">
        <v>56</v>
      </c>
      <c r="S4578" s="1209">
        <v>448</v>
      </c>
      <c r="T4578" s="204" t="s">
        <v>9485</v>
      </c>
      <c r="U4578" s="1901" t="s">
        <v>301</v>
      </c>
      <c r="V4578" s="572" t="s">
        <v>3342</v>
      </c>
      <c r="W4578" s="681"/>
      <c r="X4578" s="18"/>
      <c r="Y4578" s="4"/>
      <c r="Z4578" s="4"/>
    </row>
    <row r="4579" spans="1:26" ht="15.6" hidden="1">
      <c r="A4579" s="20">
        <v>4587</v>
      </c>
      <c r="B4579" s="1063">
        <v>44356</v>
      </c>
      <c r="C4579" s="943" t="s">
        <v>12516</v>
      </c>
      <c r="D4579" s="11" t="s">
        <v>6</v>
      </c>
      <c r="E4579" s="204" t="s">
        <v>15012</v>
      </c>
      <c r="F4579" s="934" t="s">
        <v>9454</v>
      </c>
      <c r="G4579" s="204" t="s">
        <v>15574</v>
      </c>
      <c r="H4579" s="207" t="s">
        <v>3979</v>
      </c>
      <c r="I4579" s="204" t="s">
        <v>366</v>
      </c>
      <c r="J4579" s="207" t="s">
        <v>12516</v>
      </c>
      <c r="K4579" s="204"/>
      <c r="L4579" s="204"/>
      <c r="M4579" s="204">
        <v>8</v>
      </c>
      <c r="N4579" s="204">
        <v>50</v>
      </c>
      <c r="O4579" s="204">
        <v>50</v>
      </c>
      <c r="P4579" s="204">
        <v>0</v>
      </c>
      <c r="Q4579" s="572">
        <v>42</v>
      </c>
      <c r="R4579" s="1209">
        <v>12</v>
      </c>
      <c r="S4579" s="1209">
        <v>600</v>
      </c>
      <c r="T4579" s="204" t="s">
        <v>9485</v>
      </c>
      <c r="U4579" s="1901" t="s">
        <v>301</v>
      </c>
      <c r="V4579" s="572" t="s">
        <v>3342</v>
      </c>
      <c r="W4579" s="804" t="s">
        <v>15575</v>
      </c>
      <c r="X4579" s="18"/>
      <c r="Y4579" s="4"/>
      <c r="Z4579" s="4"/>
    </row>
    <row r="4580" spans="1:26" ht="15.6" hidden="1">
      <c r="A4580" s="20">
        <v>4588</v>
      </c>
      <c r="B4580" s="1063">
        <v>44357</v>
      </c>
      <c r="C4580" s="944" t="s">
        <v>15576</v>
      </c>
      <c r="D4580" s="11" t="s">
        <v>6</v>
      </c>
      <c r="E4580" s="204" t="s">
        <v>15012</v>
      </c>
      <c r="F4580" s="934" t="s">
        <v>9454</v>
      </c>
      <c r="G4580" s="204" t="s">
        <v>15577</v>
      </c>
      <c r="H4580" s="509" t="s">
        <v>686</v>
      </c>
      <c r="I4580" s="204" t="s">
        <v>366</v>
      </c>
      <c r="J4580" s="255" t="s">
        <v>15576</v>
      </c>
      <c r="K4580" s="204"/>
      <c r="L4580" s="204"/>
      <c r="M4580" s="204">
        <v>4</v>
      </c>
      <c r="N4580" s="204">
        <v>1</v>
      </c>
      <c r="O4580" s="204">
        <v>10</v>
      </c>
      <c r="P4580" s="204">
        <v>0</v>
      </c>
      <c r="Q4580" s="572">
        <v>6</v>
      </c>
      <c r="R4580" s="1209">
        <v>44</v>
      </c>
      <c r="S4580" s="1209">
        <v>440</v>
      </c>
      <c r="T4580" s="204" t="s">
        <v>9485</v>
      </c>
      <c r="U4580" s="1901" t="s">
        <v>301</v>
      </c>
      <c r="V4580" s="572" t="s">
        <v>3342</v>
      </c>
      <c r="W4580" s="804" t="s">
        <v>15578</v>
      </c>
      <c r="X4580" s="18"/>
      <c r="Y4580" s="4"/>
      <c r="Z4580" s="4"/>
    </row>
    <row r="4581" spans="1:26" ht="15.6" hidden="1">
      <c r="A4581" s="20">
        <v>4589</v>
      </c>
      <c r="B4581" s="1063">
        <v>44358</v>
      </c>
      <c r="C4581" s="944" t="s">
        <v>15579</v>
      </c>
      <c r="D4581" s="11" t="s">
        <v>6</v>
      </c>
      <c r="E4581" s="204" t="s">
        <v>15012</v>
      </c>
      <c r="F4581" s="934" t="s">
        <v>9454</v>
      </c>
      <c r="G4581" s="204" t="s">
        <v>15580</v>
      </c>
      <c r="H4581" s="255" t="s">
        <v>3979</v>
      </c>
      <c r="I4581" s="204" t="s">
        <v>366</v>
      </c>
      <c r="J4581" s="255" t="s">
        <v>15579</v>
      </c>
      <c r="K4581" s="204"/>
      <c r="L4581" s="204"/>
      <c r="M4581" s="204">
        <v>8</v>
      </c>
      <c r="N4581" s="204">
        <v>50</v>
      </c>
      <c r="O4581" s="204">
        <v>50</v>
      </c>
      <c r="P4581" s="204">
        <v>0</v>
      </c>
      <c r="Q4581" s="572">
        <v>42</v>
      </c>
      <c r="R4581" s="1209">
        <v>300</v>
      </c>
      <c r="S4581" s="1209">
        <v>300</v>
      </c>
      <c r="T4581" s="204" t="s">
        <v>9485</v>
      </c>
      <c r="U4581" s="1901" t="s">
        <v>301</v>
      </c>
      <c r="V4581" s="572" t="s">
        <v>3342</v>
      </c>
      <c r="W4581" s="804" t="s">
        <v>15581</v>
      </c>
      <c r="X4581" s="18"/>
      <c r="Y4581" s="4"/>
      <c r="Z4581" s="4"/>
    </row>
    <row r="4582" spans="1:26" ht="14.1" hidden="1">
      <c r="A4582" s="20">
        <v>4590</v>
      </c>
      <c r="B4582" s="1063">
        <v>44359</v>
      </c>
      <c r="C4582" s="934" t="s">
        <v>9151</v>
      </c>
      <c r="D4582" s="8" t="s">
        <v>6</v>
      </c>
      <c r="E4582" s="204" t="s">
        <v>15012</v>
      </c>
      <c r="F4582" s="934" t="s">
        <v>9454</v>
      </c>
      <c r="G4582" s="204" t="s">
        <v>15582</v>
      </c>
      <c r="H4582" s="204" t="s">
        <v>366</v>
      </c>
      <c r="I4582" s="204" t="s">
        <v>366</v>
      </c>
      <c r="J4582" s="204" t="s">
        <v>9151</v>
      </c>
      <c r="K4582" s="204"/>
      <c r="L4582" s="204"/>
      <c r="M4582" s="204">
        <v>20</v>
      </c>
      <c r="N4582" s="204">
        <v>1</v>
      </c>
      <c r="O4582" s="204">
        <v>20</v>
      </c>
      <c r="P4582" s="204">
        <v>0</v>
      </c>
      <c r="Q4582" s="572">
        <v>0</v>
      </c>
      <c r="R4582" s="1209">
        <v>180</v>
      </c>
      <c r="S4582" s="1209">
        <v>3600</v>
      </c>
      <c r="T4582" s="204" t="s">
        <v>3961</v>
      </c>
      <c r="U4582" s="1901" t="s">
        <v>301</v>
      </c>
      <c r="V4582" s="572" t="s">
        <v>3342</v>
      </c>
      <c r="W4582" s="681" t="s">
        <v>15583</v>
      </c>
      <c r="X4582" s="18"/>
      <c r="Y4582" s="4"/>
      <c r="Z4582" s="4"/>
    </row>
    <row r="4583" spans="1:26" ht="14.1" hidden="1">
      <c r="A4583" s="20">
        <v>4591</v>
      </c>
      <c r="B4583" s="1063">
        <v>44360</v>
      </c>
      <c r="C4583" s="985" t="s">
        <v>11440</v>
      </c>
      <c r="D4583" s="11" t="s">
        <v>6</v>
      </c>
      <c r="E4583" s="683" t="s">
        <v>15012</v>
      </c>
      <c r="F4583" s="985" t="s">
        <v>11438</v>
      </c>
      <c r="G4583" s="683" t="s">
        <v>3184</v>
      </c>
      <c r="H4583" s="683" t="s">
        <v>3185</v>
      </c>
      <c r="I4583" s="683" t="s">
        <v>2644</v>
      </c>
      <c r="J4583" s="683" t="s">
        <v>3186</v>
      </c>
      <c r="K4583" s="683" t="s">
        <v>3186</v>
      </c>
      <c r="L4583" s="683"/>
      <c r="M4583" s="683">
        <v>4</v>
      </c>
      <c r="N4583" s="683">
        <v>1</v>
      </c>
      <c r="O4583" s="683">
        <v>4</v>
      </c>
      <c r="P4583" s="683">
        <v>0</v>
      </c>
      <c r="Q4583" s="669">
        <v>0</v>
      </c>
      <c r="R4583" s="1318">
        <v>9360</v>
      </c>
      <c r="S4583" s="1318">
        <v>37440</v>
      </c>
      <c r="T4583" s="683" t="s">
        <v>3961</v>
      </c>
      <c r="U4583" s="1909" t="s">
        <v>448</v>
      </c>
      <c r="V4583" s="572" t="s">
        <v>352</v>
      </c>
      <c r="W4583" s="681" t="s">
        <v>3188</v>
      </c>
      <c r="X4583" s="18"/>
      <c r="Y4583" s="4"/>
      <c r="Z4583" s="4"/>
    </row>
    <row r="4584" spans="1:26" ht="14.1" hidden="1">
      <c r="A4584" s="20">
        <v>4592</v>
      </c>
      <c r="B4584" s="1063">
        <v>44361</v>
      </c>
      <c r="C4584" s="985" t="s">
        <v>11439</v>
      </c>
      <c r="D4584" s="11" t="s">
        <v>6</v>
      </c>
      <c r="E4584" s="683" t="s">
        <v>15012</v>
      </c>
      <c r="F4584" s="985" t="s">
        <v>11438</v>
      </c>
      <c r="G4584" s="683" t="s">
        <v>4547</v>
      </c>
      <c r="H4584" s="683" t="s">
        <v>7942</v>
      </c>
      <c r="I4584" s="683" t="s">
        <v>574</v>
      </c>
      <c r="J4584" s="683" t="s">
        <v>4548</v>
      </c>
      <c r="K4584" s="683" t="s">
        <v>4549</v>
      </c>
      <c r="L4584" s="683"/>
      <c r="M4584" s="683">
        <v>50</v>
      </c>
      <c r="N4584" s="683">
        <v>100</v>
      </c>
      <c r="O4584" s="683">
        <v>100</v>
      </c>
      <c r="P4584" s="683">
        <v>15</v>
      </c>
      <c r="Q4584" s="669">
        <v>65</v>
      </c>
      <c r="R4584" s="1318">
        <v>3.77</v>
      </c>
      <c r="S4584" s="1318">
        <v>377</v>
      </c>
      <c r="T4584" s="683" t="s">
        <v>3961</v>
      </c>
      <c r="U4584" s="1909" t="s">
        <v>448</v>
      </c>
      <c r="V4584" s="572" t="s">
        <v>352</v>
      </c>
      <c r="W4584" s="1184" t="s">
        <v>15584</v>
      </c>
      <c r="X4584" s="796"/>
      <c r="Y4584" s="4"/>
      <c r="Z4584" s="4"/>
    </row>
    <row r="4585" spans="1:26" ht="14.1" hidden="1">
      <c r="A4585" s="20">
        <v>4593</v>
      </c>
      <c r="B4585" s="1063">
        <v>44362</v>
      </c>
      <c r="C4585" s="985" t="s">
        <v>1915</v>
      </c>
      <c r="D4585" s="11" t="s">
        <v>6</v>
      </c>
      <c r="E4585" s="683" t="s">
        <v>15012</v>
      </c>
      <c r="F4585" s="985" t="s">
        <v>11438</v>
      </c>
      <c r="G4585" s="683" t="s">
        <v>4539</v>
      </c>
      <c r="H4585" s="683" t="s">
        <v>4540</v>
      </c>
      <c r="I4585" s="683" t="s">
        <v>281</v>
      </c>
      <c r="J4585" s="683" t="s">
        <v>10204</v>
      </c>
      <c r="K4585" s="683" t="s">
        <v>4542</v>
      </c>
      <c r="L4585" s="683"/>
      <c r="M4585" s="683">
        <v>4</v>
      </c>
      <c r="N4585" s="683">
        <v>1</v>
      </c>
      <c r="O4585" s="683">
        <v>4</v>
      </c>
      <c r="P4585" s="683">
        <v>1</v>
      </c>
      <c r="Q4585" s="669">
        <v>1</v>
      </c>
      <c r="R4585" s="1318">
        <v>800</v>
      </c>
      <c r="S4585" s="1318">
        <v>3200</v>
      </c>
      <c r="T4585" s="683" t="s">
        <v>3961</v>
      </c>
      <c r="U4585" s="1909" t="s">
        <v>448</v>
      </c>
      <c r="V4585" s="572" t="s">
        <v>352</v>
      </c>
      <c r="W4585" s="681" t="s">
        <v>4543</v>
      </c>
      <c r="X4585" s="796"/>
      <c r="Y4585" s="4"/>
      <c r="Z4585" s="4"/>
    </row>
    <row r="4586" spans="1:26" ht="14.1" hidden="1">
      <c r="A4586" s="20">
        <v>4594</v>
      </c>
      <c r="B4586" s="1063">
        <v>44363</v>
      </c>
      <c r="C4586" s="985" t="s">
        <v>14267</v>
      </c>
      <c r="D4586" s="11" t="s">
        <v>6</v>
      </c>
      <c r="E4586" s="683" t="s">
        <v>15012</v>
      </c>
      <c r="F4586" s="985" t="s">
        <v>11438</v>
      </c>
      <c r="G4586" s="683" t="s">
        <v>15585</v>
      </c>
      <c r="H4586" s="683" t="s">
        <v>839</v>
      </c>
      <c r="I4586" s="683" t="s">
        <v>574</v>
      </c>
      <c r="J4586" s="683" t="s">
        <v>15586</v>
      </c>
      <c r="K4586" s="683" t="s">
        <v>15587</v>
      </c>
      <c r="L4586" s="683" t="s">
        <v>11647</v>
      </c>
      <c r="M4586" s="683" t="s">
        <v>10390</v>
      </c>
      <c r="N4586" s="683">
        <v>30.5</v>
      </c>
      <c r="O4586" s="683">
        <v>30.5</v>
      </c>
      <c r="P4586" s="683">
        <v>0</v>
      </c>
      <c r="Q4586" s="669">
        <v>28.5</v>
      </c>
      <c r="R4586" s="1318">
        <v>11</v>
      </c>
      <c r="S4586" s="1318">
        <v>10630</v>
      </c>
      <c r="T4586" s="683" t="s">
        <v>3961</v>
      </c>
      <c r="U4586" s="1909" t="s">
        <v>448</v>
      </c>
      <c r="V4586" s="572" t="s">
        <v>352</v>
      </c>
      <c r="W4586" s="681" t="s">
        <v>15588</v>
      </c>
      <c r="X4586" s="796"/>
      <c r="Y4586" s="4"/>
      <c r="Z4586" s="4"/>
    </row>
    <row r="4587" spans="1:26" ht="14.1" hidden="1">
      <c r="A4587" s="20">
        <v>4595</v>
      </c>
      <c r="B4587" s="1063">
        <v>44364</v>
      </c>
      <c r="C4587" s="191" t="s">
        <v>15589</v>
      </c>
      <c r="D4587" s="8" t="s">
        <v>6</v>
      </c>
      <c r="E4587" s="683" t="s">
        <v>166</v>
      </c>
      <c r="F4587" s="934" t="s">
        <v>11405</v>
      </c>
      <c r="G4587" s="601" t="s">
        <v>15590</v>
      </c>
      <c r="H4587" s="602" t="s">
        <v>15591</v>
      </c>
      <c r="I4587" s="204" t="s">
        <v>574</v>
      </c>
      <c r="J4587" s="204" t="s">
        <v>15592</v>
      </c>
      <c r="K4587" s="204" t="s">
        <v>15187</v>
      </c>
      <c r="L4587" s="204"/>
      <c r="M4587" s="204">
        <v>2</v>
      </c>
      <c r="N4587" s="204">
        <v>2</v>
      </c>
      <c r="O4587" s="204">
        <v>2</v>
      </c>
      <c r="P4587" s="204">
        <v>0</v>
      </c>
      <c r="Q4587" s="572"/>
      <c r="R4587" s="1318">
        <v>2740</v>
      </c>
      <c r="S4587" s="1209">
        <v>5480</v>
      </c>
      <c r="T4587" s="204" t="s">
        <v>11411</v>
      </c>
      <c r="U4587" s="1901" t="s">
        <v>1886</v>
      </c>
      <c r="V4587" s="572" t="s">
        <v>352</v>
      </c>
      <c r="W4587" s="681" t="s">
        <v>15593</v>
      </c>
      <c r="X4587" s="18"/>
      <c r="Y4587" s="4"/>
      <c r="Z4587" s="4"/>
    </row>
    <row r="4588" spans="1:26" ht="14.1" hidden="1">
      <c r="A4588" s="20">
        <v>4596</v>
      </c>
      <c r="B4588" s="1063">
        <v>44365</v>
      </c>
      <c r="C4588" s="934" t="s">
        <v>7168</v>
      </c>
      <c r="D4588" s="11" t="s">
        <v>6</v>
      </c>
      <c r="E4588" s="204" t="s">
        <v>5946</v>
      </c>
      <c r="F4588" s="934" t="s">
        <v>2693</v>
      </c>
      <c r="G4588" s="204" t="s">
        <v>15594</v>
      </c>
      <c r="H4588" s="204" t="s">
        <v>366</v>
      </c>
      <c r="I4588" s="204" t="s">
        <v>366</v>
      </c>
      <c r="J4588" s="204" t="s">
        <v>9514</v>
      </c>
      <c r="K4588" s="204" t="s">
        <v>9514</v>
      </c>
      <c r="L4588" s="204"/>
      <c r="M4588" s="204">
        <v>16</v>
      </c>
      <c r="N4588" s="204">
        <v>1</v>
      </c>
      <c r="O4588" s="204">
        <v>16</v>
      </c>
      <c r="P4588" s="204">
        <v>0</v>
      </c>
      <c r="Q4588" s="572">
        <v>0</v>
      </c>
      <c r="R4588" s="1209">
        <v>310</v>
      </c>
      <c r="S4588" s="1209">
        <v>4960</v>
      </c>
      <c r="T4588" s="204" t="s">
        <v>311</v>
      </c>
      <c r="U4588" s="1" t="s">
        <v>311</v>
      </c>
      <c r="V4588" s="572" t="s">
        <v>352</v>
      </c>
      <c r="W4588" s="681" t="s">
        <v>15595</v>
      </c>
      <c r="X4588" s="18"/>
      <c r="Y4588" s="4"/>
      <c r="Z4588" s="4"/>
    </row>
    <row r="4589" spans="1:26" ht="14.1" hidden="1">
      <c r="A4589" s="20">
        <v>4597</v>
      </c>
      <c r="B4589" s="1063">
        <v>44366</v>
      </c>
      <c r="C4589" s="934" t="s">
        <v>15596</v>
      </c>
      <c r="D4589" s="11" t="s">
        <v>6</v>
      </c>
      <c r="E4589" s="204" t="s">
        <v>5946</v>
      </c>
      <c r="F4589" s="934" t="s">
        <v>2693</v>
      </c>
      <c r="G4589" s="204" t="s">
        <v>15597</v>
      </c>
      <c r="H4589" s="204" t="s">
        <v>366</v>
      </c>
      <c r="I4589" s="204" t="s">
        <v>366</v>
      </c>
      <c r="J4589" s="204" t="s">
        <v>15598</v>
      </c>
      <c r="K4589" s="204" t="s">
        <v>15598</v>
      </c>
      <c r="L4589" s="204"/>
      <c r="M4589" s="204">
        <v>16</v>
      </c>
      <c r="N4589" s="204">
        <v>1</v>
      </c>
      <c r="O4589" s="204">
        <v>16</v>
      </c>
      <c r="P4589" s="204">
        <v>0</v>
      </c>
      <c r="Q4589" s="572">
        <v>0</v>
      </c>
      <c r="R4589" s="1209">
        <v>68</v>
      </c>
      <c r="S4589" s="1209">
        <v>1088</v>
      </c>
      <c r="T4589" s="204" t="s">
        <v>311</v>
      </c>
      <c r="U4589" s="1" t="s">
        <v>311</v>
      </c>
      <c r="V4589" s="572" t="s">
        <v>352</v>
      </c>
      <c r="W4589" s="804" t="s">
        <v>15599</v>
      </c>
      <c r="X4589" s="18"/>
      <c r="Y4589" s="4"/>
      <c r="Z4589" s="4"/>
    </row>
    <row r="4590" spans="1:26" ht="14.1" hidden="1">
      <c r="A4590" s="20">
        <v>4598</v>
      </c>
      <c r="B4590" s="1063">
        <v>44367</v>
      </c>
      <c r="C4590" s="934" t="s">
        <v>15600</v>
      </c>
      <c r="D4590" s="11" t="s">
        <v>6</v>
      </c>
      <c r="E4590" s="204" t="s">
        <v>5946</v>
      </c>
      <c r="F4590" s="934" t="s">
        <v>2693</v>
      </c>
      <c r="G4590" s="204" t="s">
        <v>15601</v>
      </c>
      <c r="H4590" s="204" t="s">
        <v>366</v>
      </c>
      <c r="I4590" s="204" t="s">
        <v>366</v>
      </c>
      <c r="J4590" s="204" t="s">
        <v>15602</v>
      </c>
      <c r="K4590" s="204" t="s">
        <v>15602</v>
      </c>
      <c r="L4590" s="204"/>
      <c r="M4590" s="204">
        <v>1</v>
      </c>
      <c r="N4590" s="204">
        <v>1</v>
      </c>
      <c r="O4590" s="204">
        <v>1</v>
      </c>
      <c r="P4590" s="204">
        <v>0</v>
      </c>
      <c r="Q4590" s="572">
        <v>0</v>
      </c>
      <c r="R4590" s="1209">
        <v>2890</v>
      </c>
      <c r="S4590" s="1209">
        <v>2890</v>
      </c>
      <c r="T4590" s="204" t="s">
        <v>311</v>
      </c>
      <c r="U4590" s="1" t="s">
        <v>311</v>
      </c>
      <c r="V4590" s="572" t="s">
        <v>352</v>
      </c>
      <c r="W4590" s="804" t="s">
        <v>15603</v>
      </c>
      <c r="X4590" s="18"/>
      <c r="Y4590" s="4"/>
      <c r="Z4590" s="4"/>
    </row>
    <row r="4591" spans="1:26" ht="14.1" hidden="1">
      <c r="A4591" s="20">
        <v>4599</v>
      </c>
      <c r="B4591" s="1063">
        <v>44368</v>
      </c>
      <c r="C4591" s="934" t="s">
        <v>15604</v>
      </c>
      <c r="D4591" s="11" t="s">
        <v>6</v>
      </c>
      <c r="E4591" s="204" t="s">
        <v>5946</v>
      </c>
      <c r="F4591" s="934" t="s">
        <v>2693</v>
      </c>
      <c r="G4591" s="204" t="s">
        <v>15605</v>
      </c>
      <c r="H4591" s="204" t="s">
        <v>366</v>
      </c>
      <c r="I4591" s="204" t="s">
        <v>366</v>
      </c>
      <c r="J4591" s="204" t="s">
        <v>15606</v>
      </c>
      <c r="K4591" s="204" t="s">
        <v>15606</v>
      </c>
      <c r="L4591" s="204"/>
      <c r="M4591" s="204">
        <v>52</v>
      </c>
      <c r="N4591" s="204">
        <v>1</v>
      </c>
      <c r="O4591" s="204">
        <v>60</v>
      </c>
      <c r="P4591" s="204">
        <v>0</v>
      </c>
      <c r="Q4591" s="572">
        <v>8</v>
      </c>
      <c r="R4591" s="1209">
        <v>15</v>
      </c>
      <c r="S4591" s="1209">
        <v>900</v>
      </c>
      <c r="T4591" s="204" t="s">
        <v>311</v>
      </c>
      <c r="U4591" s="1" t="s">
        <v>311</v>
      </c>
      <c r="V4591" s="572" t="s">
        <v>352</v>
      </c>
      <c r="W4591" s="681" t="s">
        <v>15607</v>
      </c>
      <c r="X4591" s="18"/>
      <c r="Y4591" s="4"/>
      <c r="Z4591" s="4"/>
    </row>
    <row r="4592" spans="1:26" ht="14.45" hidden="1">
      <c r="A4592" s="20">
        <v>4600</v>
      </c>
      <c r="B4592" s="1063">
        <v>44369</v>
      </c>
      <c r="C4592" s="934" t="s">
        <v>15608</v>
      </c>
      <c r="D4592" s="11" t="s">
        <v>6</v>
      </c>
      <c r="E4592" s="204" t="s">
        <v>14758</v>
      </c>
      <c r="F4592" s="934" t="s">
        <v>13364</v>
      </c>
      <c r="G4592" s="204" t="s">
        <v>15609</v>
      </c>
      <c r="H4592" s="204" t="s">
        <v>287</v>
      </c>
      <c r="I4592" s="204" t="s">
        <v>287</v>
      </c>
      <c r="J4592" s="603">
        <v>21091300163</v>
      </c>
      <c r="K4592" s="603">
        <v>21091300163</v>
      </c>
      <c r="L4592" s="204"/>
      <c r="M4592" s="204">
        <v>1</v>
      </c>
      <c r="N4592" s="204">
        <v>1</v>
      </c>
      <c r="O4592" s="204">
        <v>5</v>
      </c>
      <c r="P4592" s="204">
        <v>0</v>
      </c>
      <c r="Q4592" s="572">
        <v>4</v>
      </c>
      <c r="R4592" s="1209">
        <v>122547</v>
      </c>
      <c r="S4592" s="1209">
        <v>122547</v>
      </c>
      <c r="T4592" s="204" t="s">
        <v>14362</v>
      </c>
      <c r="U4592" s="1901" t="s">
        <v>14498</v>
      </c>
      <c r="V4592" s="572"/>
      <c r="W4592" s="804" t="s">
        <v>5265</v>
      </c>
      <c r="X4592" s="18"/>
      <c r="Y4592" s="4"/>
      <c r="Z4592" s="4"/>
    </row>
    <row r="4593" spans="1:26" ht="14.1" hidden="1">
      <c r="A4593" s="20">
        <v>4601</v>
      </c>
      <c r="B4593" s="1063">
        <v>44370</v>
      </c>
      <c r="C4593" s="934" t="s">
        <v>15610</v>
      </c>
      <c r="D4593" s="37"/>
      <c r="E4593" s="204"/>
      <c r="F4593" s="934" t="s">
        <v>15611</v>
      </c>
      <c r="G4593" s="204" t="s">
        <v>15612</v>
      </c>
      <c r="H4593" s="204" t="s">
        <v>366</v>
      </c>
      <c r="I4593" s="204" t="s">
        <v>366</v>
      </c>
      <c r="J4593" s="1095" t="s">
        <v>15613</v>
      </c>
      <c r="K4593" s="604" t="s">
        <v>15613</v>
      </c>
      <c r="L4593" s="204"/>
      <c r="M4593" s="204">
        <v>4</v>
      </c>
      <c r="N4593" s="204">
        <v>4</v>
      </c>
      <c r="O4593" s="204">
        <v>4</v>
      </c>
      <c r="P4593" s="204">
        <v>0</v>
      </c>
      <c r="Q4593" s="572">
        <v>4</v>
      </c>
      <c r="R4593" s="1209">
        <v>8712</v>
      </c>
      <c r="S4593" s="1209">
        <v>9583</v>
      </c>
      <c r="T4593" s="204" t="s">
        <v>15614</v>
      </c>
      <c r="U4593" s="1901"/>
      <c r="V4593" s="572" t="s">
        <v>15615</v>
      </c>
      <c r="W4593" s="804" t="s">
        <v>15616</v>
      </c>
      <c r="X4593" s="18"/>
      <c r="Y4593" s="4"/>
      <c r="Z4593" s="4"/>
    </row>
    <row r="4594" spans="1:26" ht="14.1" hidden="1">
      <c r="A4594" s="20">
        <v>4602</v>
      </c>
      <c r="B4594" s="1063">
        <v>44371</v>
      </c>
      <c r="C4594" s="934" t="s">
        <v>15617</v>
      </c>
      <c r="D4594" s="10" t="s">
        <v>6</v>
      </c>
      <c r="E4594" s="204" t="s">
        <v>4951</v>
      </c>
      <c r="F4594" s="934" t="s">
        <v>11323</v>
      </c>
      <c r="G4594" s="204" t="s">
        <v>13263</v>
      </c>
      <c r="H4594" s="204" t="s">
        <v>2262</v>
      </c>
      <c r="I4594" s="204" t="s">
        <v>39</v>
      </c>
      <c r="J4594" s="204" t="s">
        <v>13264</v>
      </c>
      <c r="K4594" s="204" t="s">
        <v>15618</v>
      </c>
      <c r="L4594" s="204" t="s">
        <v>1088</v>
      </c>
      <c r="M4594" s="204">
        <v>7</v>
      </c>
      <c r="N4594" s="204">
        <v>5</v>
      </c>
      <c r="O4594" s="204">
        <v>5</v>
      </c>
      <c r="P4594" s="204">
        <v>4</v>
      </c>
      <c r="Q4594" s="572">
        <v>9</v>
      </c>
      <c r="R4594" s="1209">
        <v>89</v>
      </c>
      <c r="S4594" s="1209">
        <f t="shared" ref="S4594:S4601" si="261">R4594*O4594</f>
        <v>445</v>
      </c>
      <c r="T4594" s="204" t="s">
        <v>9485</v>
      </c>
      <c r="U4594" s="1901" t="s">
        <v>3637</v>
      </c>
      <c r="V4594" s="572" t="s">
        <v>352</v>
      </c>
      <c r="W4594" s="804" t="s">
        <v>13266</v>
      </c>
      <c r="X4594" s="18"/>
      <c r="Y4594" s="4"/>
      <c r="Z4594" s="4"/>
    </row>
    <row r="4595" spans="1:26" ht="14.1" hidden="1">
      <c r="A4595" s="20">
        <v>4603</v>
      </c>
      <c r="B4595" s="1063">
        <v>44372</v>
      </c>
      <c r="C4595" s="190" t="s">
        <v>15619</v>
      </c>
      <c r="D4595" s="11" t="s">
        <v>6</v>
      </c>
      <c r="E4595" s="204" t="s">
        <v>4951</v>
      </c>
      <c r="F4595" s="934" t="s">
        <v>11323</v>
      </c>
      <c r="G4595" s="204" t="s">
        <v>14410</v>
      </c>
      <c r="H4595" s="204" t="s">
        <v>5550</v>
      </c>
      <c r="I4595" s="204" t="s">
        <v>281</v>
      </c>
      <c r="J4595" s="204" t="s">
        <v>14411</v>
      </c>
      <c r="K4595" s="204" t="s">
        <v>14412</v>
      </c>
      <c r="L4595" s="204">
        <v>402</v>
      </c>
      <c r="M4595" s="204">
        <v>7</v>
      </c>
      <c r="N4595" s="204">
        <v>1</v>
      </c>
      <c r="O4595" s="204">
        <v>10</v>
      </c>
      <c r="P4595" s="204">
        <v>6</v>
      </c>
      <c r="Q4595" s="572">
        <v>16</v>
      </c>
      <c r="R4595" s="1209">
        <v>53</v>
      </c>
      <c r="S4595" s="1209">
        <f t="shared" si="261"/>
        <v>530</v>
      </c>
      <c r="T4595" s="204" t="s">
        <v>9485</v>
      </c>
      <c r="U4595" s="1901" t="s">
        <v>3637</v>
      </c>
      <c r="V4595" s="572" t="s">
        <v>352</v>
      </c>
      <c r="W4595" s="804" t="s">
        <v>14413</v>
      </c>
      <c r="X4595" s="18"/>
      <c r="Y4595" s="4"/>
      <c r="Z4595" s="4"/>
    </row>
    <row r="4596" spans="1:26" ht="14.1" hidden="1">
      <c r="A4596" s="20">
        <v>4604</v>
      </c>
      <c r="B4596" s="1063">
        <v>44373</v>
      </c>
      <c r="C4596" s="934" t="s">
        <v>15620</v>
      </c>
      <c r="D4596" s="11" t="s">
        <v>6</v>
      </c>
      <c r="E4596" s="204" t="s">
        <v>4951</v>
      </c>
      <c r="F4596" s="934" t="s">
        <v>11323</v>
      </c>
      <c r="G4596" s="204" t="s">
        <v>15621</v>
      </c>
      <c r="H4596" s="204" t="s">
        <v>641</v>
      </c>
      <c r="I4596" s="204" t="s">
        <v>281</v>
      </c>
      <c r="J4596" s="204" t="s">
        <v>15622</v>
      </c>
      <c r="K4596" s="204" t="s">
        <v>15623</v>
      </c>
      <c r="L4596" s="204">
        <v>402</v>
      </c>
      <c r="M4596" s="204">
        <v>7</v>
      </c>
      <c r="N4596" s="204">
        <v>1</v>
      </c>
      <c r="O4596" s="204">
        <v>10</v>
      </c>
      <c r="P4596" s="204">
        <v>1</v>
      </c>
      <c r="Q4596" s="572">
        <v>11</v>
      </c>
      <c r="R4596" s="1209">
        <v>21</v>
      </c>
      <c r="S4596" s="1209">
        <f t="shared" si="261"/>
        <v>210</v>
      </c>
      <c r="T4596" s="204" t="s">
        <v>9485</v>
      </c>
      <c r="U4596" s="1901" t="s">
        <v>3637</v>
      </c>
      <c r="V4596" s="572" t="s">
        <v>352</v>
      </c>
      <c r="W4596" s="804" t="s">
        <v>15624</v>
      </c>
      <c r="X4596" s="18"/>
      <c r="Y4596" s="4"/>
      <c r="Z4596" s="4"/>
    </row>
    <row r="4597" spans="1:26" ht="14.1" hidden="1">
      <c r="A4597" s="20">
        <v>4605</v>
      </c>
      <c r="B4597" s="1063">
        <v>44374</v>
      </c>
      <c r="C4597" s="934" t="s">
        <v>15625</v>
      </c>
      <c r="D4597" s="11" t="s">
        <v>6</v>
      </c>
      <c r="E4597" s="204" t="s">
        <v>4951</v>
      </c>
      <c r="F4597" s="934" t="s">
        <v>11323</v>
      </c>
      <c r="G4597" s="204" t="s">
        <v>12399</v>
      </c>
      <c r="H4597" s="204" t="s">
        <v>641</v>
      </c>
      <c r="I4597" s="204" t="s">
        <v>281</v>
      </c>
      <c r="J4597" s="204" t="s">
        <v>12401</v>
      </c>
      <c r="K4597" s="204" t="s">
        <v>12402</v>
      </c>
      <c r="L4597" s="204">
        <v>805</v>
      </c>
      <c r="M4597" s="204">
        <v>7</v>
      </c>
      <c r="N4597" s="204">
        <v>1</v>
      </c>
      <c r="O4597" s="204">
        <v>10</v>
      </c>
      <c r="P4597" s="204">
        <v>6</v>
      </c>
      <c r="Q4597" s="572">
        <v>16</v>
      </c>
      <c r="R4597" s="1209">
        <v>23</v>
      </c>
      <c r="S4597" s="1209">
        <f t="shared" si="261"/>
        <v>230</v>
      </c>
      <c r="T4597" s="204" t="s">
        <v>9485</v>
      </c>
      <c r="U4597" s="1901" t="s">
        <v>3637</v>
      </c>
      <c r="V4597" s="572" t="s">
        <v>352</v>
      </c>
      <c r="W4597" s="804" t="s">
        <v>12403</v>
      </c>
      <c r="X4597" s="18"/>
      <c r="Y4597" s="4"/>
      <c r="Z4597" s="4"/>
    </row>
    <row r="4598" spans="1:26" ht="16.5" hidden="1" customHeight="1">
      <c r="A4598" s="20">
        <v>4606</v>
      </c>
      <c r="B4598" s="1063">
        <v>44375</v>
      </c>
      <c r="C4598" s="934" t="s">
        <v>15626</v>
      </c>
      <c r="D4598" s="11" t="s">
        <v>6</v>
      </c>
      <c r="E4598" s="204" t="s">
        <v>14698</v>
      </c>
      <c r="F4598" s="934" t="s">
        <v>11323</v>
      </c>
      <c r="G4598" s="204" t="s">
        <v>15626</v>
      </c>
      <c r="H4598" s="204" t="s">
        <v>817</v>
      </c>
      <c r="I4598" s="204" t="s">
        <v>15627</v>
      </c>
      <c r="J4598" s="204" t="s">
        <v>15628</v>
      </c>
      <c r="K4598" s="204" t="s">
        <v>8112</v>
      </c>
      <c r="L4598" s="204"/>
      <c r="M4598" s="204">
        <v>50</v>
      </c>
      <c r="N4598" s="204">
        <v>1</v>
      </c>
      <c r="O4598" s="204">
        <v>100</v>
      </c>
      <c r="P4598" s="204">
        <v>6</v>
      </c>
      <c r="Q4598" s="572">
        <v>106</v>
      </c>
      <c r="R4598" s="1209">
        <v>300</v>
      </c>
      <c r="S4598" s="1209">
        <f t="shared" si="261"/>
        <v>30000</v>
      </c>
      <c r="T4598" s="204" t="s">
        <v>9485</v>
      </c>
      <c r="U4598" s="1901" t="s">
        <v>3637</v>
      </c>
      <c r="V4598" s="572" t="s">
        <v>352</v>
      </c>
      <c r="W4598" s="804" t="s">
        <v>15629</v>
      </c>
      <c r="X4598" s="18"/>
      <c r="Y4598" s="4"/>
      <c r="Z4598" s="4"/>
    </row>
    <row r="4599" spans="1:26" ht="14.1" hidden="1">
      <c r="A4599" s="20">
        <v>4607</v>
      </c>
      <c r="B4599" s="1063">
        <v>44376</v>
      </c>
      <c r="C4599" s="934" t="s">
        <v>6556</v>
      </c>
      <c r="D4599" s="11" t="s">
        <v>6</v>
      </c>
      <c r="E4599" s="204" t="s">
        <v>4951</v>
      </c>
      <c r="F4599" s="934" t="s">
        <v>11323</v>
      </c>
      <c r="G4599" s="204" t="s">
        <v>3909</v>
      </c>
      <c r="H4599" s="204" t="s">
        <v>1073</v>
      </c>
      <c r="I4599" s="204" t="s">
        <v>281</v>
      </c>
      <c r="J4599" s="204" t="s">
        <v>3910</v>
      </c>
      <c r="K4599" s="204" t="s">
        <v>3908</v>
      </c>
      <c r="L4599" s="204"/>
      <c r="M4599" s="204">
        <v>7</v>
      </c>
      <c r="N4599" s="204">
        <v>1</v>
      </c>
      <c r="O4599" s="204">
        <v>10</v>
      </c>
      <c r="P4599" s="204">
        <v>2</v>
      </c>
      <c r="Q4599" s="572">
        <v>12</v>
      </c>
      <c r="R4599" s="1209">
        <v>448</v>
      </c>
      <c r="S4599" s="1209">
        <f t="shared" si="261"/>
        <v>4480</v>
      </c>
      <c r="T4599" s="204" t="s">
        <v>9485</v>
      </c>
      <c r="U4599" s="1901" t="s">
        <v>3637</v>
      </c>
      <c r="V4599" s="572" t="s">
        <v>352</v>
      </c>
      <c r="W4599" s="804" t="s">
        <v>15630</v>
      </c>
      <c r="X4599" s="18"/>
      <c r="Y4599" s="4"/>
      <c r="Z4599" s="4"/>
    </row>
    <row r="4600" spans="1:26" ht="14.1" hidden="1">
      <c r="A4600" s="20">
        <v>4608</v>
      </c>
      <c r="B4600" s="1063">
        <v>44377</v>
      </c>
      <c r="C4600" s="934" t="s">
        <v>15631</v>
      </c>
      <c r="D4600" s="11" t="s">
        <v>6</v>
      </c>
      <c r="E4600" s="204" t="s">
        <v>4951</v>
      </c>
      <c r="F4600" s="934" t="s">
        <v>11323</v>
      </c>
      <c r="G4600" s="204" t="s">
        <v>13257</v>
      </c>
      <c r="H4600" s="204" t="s">
        <v>15632</v>
      </c>
      <c r="I4600" s="204" t="s">
        <v>281</v>
      </c>
      <c r="J4600" s="204" t="s">
        <v>6012</v>
      </c>
      <c r="K4600" s="204" t="s">
        <v>6013</v>
      </c>
      <c r="L4600" s="204"/>
      <c r="M4600" s="204">
        <v>7</v>
      </c>
      <c r="N4600" s="204">
        <v>1</v>
      </c>
      <c r="O4600" s="204">
        <v>5</v>
      </c>
      <c r="P4600" s="204">
        <v>5</v>
      </c>
      <c r="Q4600" s="572">
        <v>10</v>
      </c>
      <c r="R4600" s="1209">
        <v>104</v>
      </c>
      <c r="S4600" s="1209">
        <f t="shared" si="261"/>
        <v>520</v>
      </c>
      <c r="T4600" s="204" t="s">
        <v>9485</v>
      </c>
      <c r="U4600" s="1901" t="s">
        <v>3637</v>
      </c>
      <c r="V4600" s="572" t="s">
        <v>352</v>
      </c>
      <c r="W4600" s="804" t="s">
        <v>15633</v>
      </c>
      <c r="X4600" s="18"/>
      <c r="Y4600" s="4"/>
      <c r="Z4600" s="4"/>
    </row>
    <row r="4601" spans="1:26" ht="14.1" hidden="1">
      <c r="A4601" s="20">
        <v>4609</v>
      </c>
      <c r="B4601" s="1063">
        <v>44378</v>
      </c>
      <c r="C4601" s="934" t="s">
        <v>1455</v>
      </c>
      <c r="D4601" s="11" t="s">
        <v>6</v>
      </c>
      <c r="E4601" s="204" t="s">
        <v>14698</v>
      </c>
      <c r="F4601" s="934" t="s">
        <v>11323</v>
      </c>
      <c r="G4601" s="204" t="s">
        <v>15634</v>
      </c>
      <c r="H4601" s="204" t="s">
        <v>1715</v>
      </c>
      <c r="I4601" s="204" t="s">
        <v>15627</v>
      </c>
      <c r="J4601" s="204" t="s">
        <v>15635</v>
      </c>
      <c r="K4601" s="204" t="s">
        <v>1455</v>
      </c>
      <c r="L4601" s="204"/>
      <c r="M4601" s="204">
        <v>19</v>
      </c>
      <c r="N4601" s="204">
        <v>5</v>
      </c>
      <c r="O4601" s="204">
        <v>35</v>
      </c>
      <c r="P4601" s="204">
        <v>0</v>
      </c>
      <c r="Q4601" s="572">
        <v>35</v>
      </c>
      <c r="R4601" s="1209">
        <v>878</v>
      </c>
      <c r="S4601" s="1209">
        <f t="shared" si="261"/>
        <v>30730</v>
      </c>
      <c r="T4601" s="204" t="s">
        <v>9485</v>
      </c>
      <c r="U4601" s="1901" t="s">
        <v>3637</v>
      </c>
      <c r="V4601" s="572" t="s">
        <v>352</v>
      </c>
      <c r="W4601" s="804" t="s">
        <v>15636</v>
      </c>
      <c r="X4601" s="18"/>
      <c r="Y4601" s="4"/>
      <c r="Z4601" s="4"/>
    </row>
    <row r="4602" spans="1:26" ht="14.1" hidden="1">
      <c r="A4602" s="20">
        <v>4610</v>
      </c>
      <c r="B4602" s="1063">
        <v>44379</v>
      </c>
      <c r="C4602" s="934" t="s">
        <v>15637</v>
      </c>
      <c r="D4602" s="10" t="s">
        <v>6</v>
      </c>
      <c r="E4602" s="204" t="s">
        <v>14758</v>
      </c>
      <c r="F4602" s="934" t="s">
        <v>13364</v>
      </c>
      <c r="G4602" s="204" t="s">
        <v>15638</v>
      </c>
      <c r="H4602" s="204" t="s">
        <v>15639</v>
      </c>
      <c r="I4602" s="204" t="s">
        <v>15640</v>
      </c>
      <c r="J4602" s="204" t="s">
        <v>15641</v>
      </c>
      <c r="K4602" s="204" t="s">
        <v>15635</v>
      </c>
      <c r="L4602" s="204"/>
      <c r="M4602" s="204">
        <v>1</v>
      </c>
      <c r="N4602" s="204">
        <v>1</v>
      </c>
      <c r="O4602" s="204">
        <v>3</v>
      </c>
      <c r="P4602" s="204">
        <v>0</v>
      </c>
      <c r="Q4602" s="572">
        <v>2</v>
      </c>
      <c r="R4602" s="1209">
        <v>1344</v>
      </c>
      <c r="S4602" s="1209">
        <v>4032</v>
      </c>
      <c r="T4602" s="204" t="s">
        <v>14362</v>
      </c>
      <c r="U4602" s="1901" t="s">
        <v>10628</v>
      </c>
      <c r="V4602" s="572"/>
      <c r="W4602" s="681" t="s">
        <v>15642</v>
      </c>
      <c r="X4602" s="18"/>
      <c r="Y4602" s="4"/>
      <c r="Z4602" s="4"/>
    </row>
    <row r="4603" spans="1:26" ht="14.1" hidden="1">
      <c r="A4603" s="20">
        <v>4611</v>
      </c>
      <c r="B4603" s="1063">
        <v>44380</v>
      </c>
      <c r="C4603" s="934" t="s">
        <v>12356</v>
      </c>
      <c r="D4603" s="11" t="s">
        <v>6</v>
      </c>
      <c r="E4603" s="204" t="s">
        <v>4951</v>
      </c>
      <c r="F4603" s="934" t="s">
        <v>11323</v>
      </c>
      <c r="G4603" s="204" t="s">
        <v>13258</v>
      </c>
      <c r="H4603" s="204" t="s">
        <v>5730</v>
      </c>
      <c r="I4603" s="204" t="s">
        <v>281</v>
      </c>
      <c r="J4603" s="204" t="s">
        <v>6025</v>
      </c>
      <c r="K4603" s="204" t="s">
        <v>6026</v>
      </c>
      <c r="L4603" s="204"/>
      <c r="M4603" s="204">
        <v>7</v>
      </c>
      <c r="N4603" s="204">
        <v>1</v>
      </c>
      <c r="O4603" s="204">
        <v>5</v>
      </c>
      <c r="P4603" s="204">
        <v>4</v>
      </c>
      <c r="Q4603" s="572">
        <v>9</v>
      </c>
      <c r="R4603" s="1209">
        <v>12</v>
      </c>
      <c r="S4603" s="1209">
        <f t="shared" ref="S4603:S4605" si="262">R4603*O4603</f>
        <v>60</v>
      </c>
      <c r="T4603" s="204" t="s">
        <v>9485</v>
      </c>
      <c r="U4603" s="1901" t="s">
        <v>3637</v>
      </c>
      <c r="V4603" s="572" t="s">
        <v>352</v>
      </c>
      <c r="W4603" s="804" t="s">
        <v>14406</v>
      </c>
      <c r="X4603" s="18"/>
      <c r="Y4603" s="4"/>
      <c r="Z4603" s="4"/>
    </row>
    <row r="4604" spans="1:26" ht="14.1" hidden="1">
      <c r="A4604" s="20">
        <v>4612</v>
      </c>
      <c r="B4604" s="1063">
        <v>44381</v>
      </c>
      <c r="C4604" s="934" t="s">
        <v>15643</v>
      </c>
      <c r="D4604" s="11" t="s">
        <v>6</v>
      </c>
      <c r="E4604" s="204" t="s">
        <v>4951</v>
      </c>
      <c r="F4604" s="934" t="s">
        <v>11323</v>
      </c>
      <c r="G4604" s="204" t="s">
        <v>13696</v>
      </c>
      <c r="H4604" s="204" t="s">
        <v>641</v>
      </c>
      <c r="I4604" s="204" t="s">
        <v>281</v>
      </c>
      <c r="J4604" s="204" t="s">
        <v>13697</v>
      </c>
      <c r="K4604" s="204" t="s">
        <v>13695</v>
      </c>
      <c r="L4604" s="204"/>
      <c r="M4604" s="204">
        <v>4</v>
      </c>
      <c r="N4604" s="204">
        <v>1</v>
      </c>
      <c r="O4604" s="204">
        <v>5</v>
      </c>
      <c r="P4604" s="204">
        <v>4</v>
      </c>
      <c r="Q4604" s="572">
        <v>9</v>
      </c>
      <c r="R4604" s="1209">
        <v>18</v>
      </c>
      <c r="S4604" s="1209">
        <f t="shared" si="262"/>
        <v>90</v>
      </c>
      <c r="T4604" s="204" t="s">
        <v>9485</v>
      </c>
      <c r="U4604" s="1901" t="s">
        <v>3637</v>
      </c>
      <c r="V4604" s="572" t="s">
        <v>352</v>
      </c>
      <c r="W4604" s="804" t="s">
        <v>13698</v>
      </c>
      <c r="X4604" s="18"/>
      <c r="Y4604" s="4"/>
      <c r="Z4604" s="4"/>
    </row>
    <row r="4605" spans="1:26" ht="14.1" hidden="1">
      <c r="A4605" s="20">
        <v>4613</v>
      </c>
      <c r="B4605" s="1063">
        <v>44382</v>
      </c>
      <c r="C4605" s="934" t="s">
        <v>12360</v>
      </c>
      <c r="D4605" s="11" t="s">
        <v>6</v>
      </c>
      <c r="E4605" s="204" t="s">
        <v>4951</v>
      </c>
      <c r="F4605" s="934" t="s">
        <v>11323</v>
      </c>
      <c r="G4605" s="204" t="s">
        <v>13256</v>
      </c>
      <c r="H4605" s="204" t="s">
        <v>2957</v>
      </c>
      <c r="I4605" s="204" t="s">
        <v>281</v>
      </c>
      <c r="J4605" s="204" t="s">
        <v>15644</v>
      </c>
      <c r="K4605" s="204" t="s">
        <v>15645</v>
      </c>
      <c r="L4605" s="204"/>
      <c r="M4605" s="204">
        <v>7</v>
      </c>
      <c r="N4605" s="204">
        <v>1</v>
      </c>
      <c r="O4605" s="204">
        <v>10</v>
      </c>
      <c r="P4605" s="204">
        <v>2</v>
      </c>
      <c r="Q4605" s="572">
        <v>12</v>
      </c>
      <c r="R4605" s="1209">
        <v>63</v>
      </c>
      <c r="S4605" s="1209">
        <f t="shared" si="262"/>
        <v>630</v>
      </c>
      <c r="T4605" s="204" t="s">
        <v>9485</v>
      </c>
      <c r="U4605" s="1901" t="s">
        <v>3637</v>
      </c>
      <c r="V4605" s="572" t="s">
        <v>352</v>
      </c>
      <c r="W4605" s="804" t="s">
        <v>15646</v>
      </c>
      <c r="X4605" s="18"/>
      <c r="Y4605" s="4"/>
      <c r="Z4605" s="4"/>
    </row>
    <row r="4606" spans="1:26" ht="14.1" hidden="1">
      <c r="A4606" s="20">
        <v>4614</v>
      </c>
      <c r="B4606" s="1063">
        <v>44383</v>
      </c>
      <c r="C4606" s="934" t="s">
        <v>15647</v>
      </c>
      <c r="D4606" s="11" t="s">
        <v>6</v>
      </c>
      <c r="E4606" s="204" t="s">
        <v>683</v>
      </c>
      <c r="F4606" s="934" t="s">
        <v>10005</v>
      </c>
      <c r="G4606" s="204" t="s">
        <v>15648</v>
      </c>
      <c r="H4606" s="204" t="s">
        <v>15649</v>
      </c>
      <c r="I4606" s="204" t="s">
        <v>366</v>
      </c>
      <c r="J4606" s="204" t="s">
        <v>15650</v>
      </c>
      <c r="K4606" s="204" t="s">
        <v>15650</v>
      </c>
      <c r="L4606" s="204" t="s">
        <v>15651</v>
      </c>
      <c r="M4606" s="204">
        <v>1</v>
      </c>
      <c r="N4606" s="204">
        <v>1</v>
      </c>
      <c r="O4606" s="204">
        <v>1</v>
      </c>
      <c r="P4606" s="204">
        <v>0</v>
      </c>
      <c r="Q4606" s="572">
        <v>1</v>
      </c>
      <c r="R4606" s="1209">
        <v>596</v>
      </c>
      <c r="S4606" s="1209">
        <v>596</v>
      </c>
      <c r="T4606" s="204" t="s">
        <v>4220</v>
      </c>
      <c r="U4606" s="1901" t="s">
        <v>4220</v>
      </c>
      <c r="V4606" s="572" t="s">
        <v>689</v>
      </c>
      <c r="W4606" s="804" t="s">
        <v>15652</v>
      </c>
      <c r="X4606" s="18"/>
      <c r="Y4606" s="4"/>
      <c r="Z4606" s="4"/>
    </row>
    <row r="4607" spans="1:26" ht="14.1" hidden="1">
      <c r="A4607" s="20">
        <v>4615</v>
      </c>
      <c r="B4607" s="1063">
        <v>44384</v>
      </c>
      <c r="C4607" s="934" t="s">
        <v>1797</v>
      </c>
      <c r="D4607" s="11" t="s">
        <v>6</v>
      </c>
      <c r="E4607" s="204" t="s">
        <v>62</v>
      </c>
      <c r="F4607" s="1001" t="s">
        <v>15653</v>
      </c>
      <c r="G4607" s="204" t="s">
        <v>15654</v>
      </c>
      <c r="H4607" s="204" t="s">
        <v>15655</v>
      </c>
      <c r="I4607" s="204" t="s">
        <v>281</v>
      </c>
      <c r="J4607" s="204" t="s">
        <v>15656</v>
      </c>
      <c r="K4607" s="204" t="s">
        <v>15657</v>
      </c>
      <c r="L4607" s="204"/>
      <c r="M4607" s="204">
        <v>2</v>
      </c>
      <c r="N4607" s="204">
        <v>1</v>
      </c>
      <c r="O4607" s="204">
        <v>10</v>
      </c>
      <c r="P4607" s="204">
        <v>0</v>
      </c>
      <c r="Q4607" s="572">
        <v>10</v>
      </c>
      <c r="R4607" s="1209">
        <v>1111</v>
      </c>
      <c r="S4607" s="1209">
        <v>11118</v>
      </c>
      <c r="T4607" s="485" t="s">
        <v>311</v>
      </c>
      <c r="U4607" s="1901"/>
      <c r="V4607" s="526" t="s">
        <v>6120</v>
      </c>
      <c r="W4607" s="2126" t="s">
        <v>15658</v>
      </c>
      <c r="X4607" s="18"/>
      <c r="Y4607" s="4"/>
      <c r="Z4607" s="4"/>
    </row>
    <row r="4608" spans="1:26" ht="14.1" hidden="1">
      <c r="A4608" s="20">
        <v>4616</v>
      </c>
      <c r="B4608" s="1063">
        <v>44385</v>
      </c>
      <c r="C4608" s="934" t="s">
        <v>15659</v>
      </c>
      <c r="D4608" s="11" t="s">
        <v>6</v>
      </c>
      <c r="E4608" s="204" t="s">
        <v>572</v>
      </c>
      <c r="F4608" s="1001" t="s">
        <v>15653</v>
      </c>
      <c r="G4608" s="204" t="s">
        <v>15660</v>
      </c>
      <c r="H4608" s="204" t="s">
        <v>15661</v>
      </c>
      <c r="I4608" s="204" t="s">
        <v>281</v>
      </c>
      <c r="J4608" s="204" t="s">
        <v>15662</v>
      </c>
      <c r="K4608" s="204" t="s">
        <v>15663</v>
      </c>
      <c r="L4608" s="204"/>
      <c r="M4608" s="204">
        <v>14</v>
      </c>
      <c r="N4608" s="204">
        <v>1</v>
      </c>
      <c r="O4608" s="204">
        <v>30</v>
      </c>
      <c r="P4608" s="204">
        <v>0</v>
      </c>
      <c r="Q4608" s="572">
        <v>30</v>
      </c>
      <c r="R4608" s="1209">
        <v>94.2</v>
      </c>
      <c r="S4608" s="1209">
        <v>2826</v>
      </c>
      <c r="T4608" s="485" t="s">
        <v>311</v>
      </c>
      <c r="U4608" s="1901"/>
      <c r="V4608" s="526" t="s">
        <v>6120</v>
      </c>
      <c r="W4608" s="2127" t="s">
        <v>15664</v>
      </c>
      <c r="X4608" s="18"/>
      <c r="Y4608" s="4"/>
      <c r="Z4608" s="4"/>
    </row>
    <row r="4609" spans="1:26" ht="14.1" hidden="1">
      <c r="A4609" s="20">
        <v>4617</v>
      </c>
      <c r="B4609" s="1063">
        <v>44386</v>
      </c>
      <c r="C4609" s="934" t="s">
        <v>15659</v>
      </c>
      <c r="D4609" s="11" t="s">
        <v>6</v>
      </c>
      <c r="E4609" s="204" t="s">
        <v>572</v>
      </c>
      <c r="F4609" s="1001" t="s">
        <v>15653</v>
      </c>
      <c r="G4609" s="204" t="s">
        <v>15665</v>
      </c>
      <c r="H4609" s="204" t="s">
        <v>15661</v>
      </c>
      <c r="I4609" s="204" t="s">
        <v>281</v>
      </c>
      <c r="J4609" s="204" t="s">
        <v>15666</v>
      </c>
      <c r="K4609" s="204" t="s">
        <v>15667</v>
      </c>
      <c r="L4609" s="204"/>
      <c r="M4609" s="204">
        <v>10</v>
      </c>
      <c r="N4609" s="204">
        <v>1</v>
      </c>
      <c r="O4609" s="204">
        <v>20</v>
      </c>
      <c r="P4609" s="204">
        <v>0</v>
      </c>
      <c r="Q4609" s="572">
        <v>20</v>
      </c>
      <c r="R4609" s="1209">
        <v>32</v>
      </c>
      <c r="S4609" s="1209">
        <v>640</v>
      </c>
      <c r="T4609" s="485" t="s">
        <v>311</v>
      </c>
      <c r="U4609" s="1901"/>
      <c r="V4609" s="526" t="s">
        <v>6120</v>
      </c>
      <c r="W4609" s="2127" t="s">
        <v>15668</v>
      </c>
      <c r="X4609" s="18"/>
      <c r="Y4609" s="4"/>
      <c r="Z4609" s="4"/>
    </row>
    <row r="4610" spans="1:26" ht="14.1" hidden="1">
      <c r="A4610" s="20">
        <v>4618</v>
      </c>
      <c r="B4610" s="1063">
        <v>44387</v>
      </c>
      <c r="C4610" s="934" t="s">
        <v>1455</v>
      </c>
      <c r="D4610" s="11" t="s">
        <v>6</v>
      </c>
      <c r="E4610" s="204" t="s">
        <v>62</v>
      </c>
      <c r="F4610" s="1001" t="s">
        <v>15653</v>
      </c>
      <c r="G4610" s="204" t="s">
        <v>15634</v>
      </c>
      <c r="H4610" s="204" t="s">
        <v>1715</v>
      </c>
      <c r="I4610" s="204" t="s">
        <v>39</v>
      </c>
      <c r="J4610" s="204" t="s">
        <v>1454</v>
      </c>
      <c r="K4610" s="204" t="s">
        <v>1455</v>
      </c>
      <c r="L4610" s="204"/>
      <c r="M4610" s="204">
        <v>2</v>
      </c>
      <c r="N4610" s="204">
        <v>2</v>
      </c>
      <c r="O4610" s="204">
        <v>4</v>
      </c>
      <c r="P4610" s="204">
        <v>0</v>
      </c>
      <c r="Q4610" s="572">
        <v>4</v>
      </c>
      <c r="R4610" s="1209">
        <v>574</v>
      </c>
      <c r="S4610" s="1209">
        <v>2296</v>
      </c>
      <c r="T4610" s="485" t="s">
        <v>311</v>
      </c>
      <c r="U4610" s="1901"/>
      <c r="V4610" s="526" t="s">
        <v>6120</v>
      </c>
      <c r="W4610" s="2127" t="s">
        <v>15669</v>
      </c>
      <c r="X4610" s="18"/>
      <c r="Y4610" s="4"/>
      <c r="Z4610" s="4"/>
    </row>
    <row r="4611" spans="1:26" ht="14.1" hidden="1">
      <c r="A4611" s="20">
        <v>4619</v>
      </c>
      <c r="B4611" s="1063">
        <v>44388</v>
      </c>
      <c r="C4611" s="934" t="s">
        <v>15670</v>
      </c>
      <c r="D4611" s="11" t="s">
        <v>6</v>
      </c>
      <c r="E4611" s="204" t="s">
        <v>572</v>
      </c>
      <c r="F4611" s="1001" t="s">
        <v>15653</v>
      </c>
      <c r="G4611" s="204" t="s">
        <v>15671</v>
      </c>
      <c r="H4611" s="204" t="s">
        <v>166</v>
      </c>
      <c r="I4611" s="204" t="s">
        <v>39</v>
      </c>
      <c r="J4611" s="189" t="s">
        <v>15672</v>
      </c>
      <c r="K4611" s="204" t="s">
        <v>15673</v>
      </c>
      <c r="L4611" s="204"/>
      <c r="M4611" s="204">
        <v>5</v>
      </c>
      <c r="N4611" s="204">
        <v>1</v>
      </c>
      <c r="O4611" s="204">
        <v>10</v>
      </c>
      <c r="P4611" s="204">
        <v>0</v>
      </c>
      <c r="Q4611" s="572">
        <v>10</v>
      </c>
      <c r="R4611" s="1209">
        <v>74</v>
      </c>
      <c r="S4611" s="1209">
        <v>741</v>
      </c>
      <c r="T4611" s="485" t="s">
        <v>311</v>
      </c>
      <c r="U4611" s="1901"/>
      <c r="V4611" s="526" t="s">
        <v>6120</v>
      </c>
      <c r="W4611" s="2127" t="s">
        <v>15674</v>
      </c>
      <c r="X4611" s="18"/>
      <c r="Y4611" s="4"/>
      <c r="Z4611" s="4"/>
    </row>
    <row r="4612" spans="1:26" ht="16.5" hidden="1">
      <c r="A4612" s="20">
        <v>4620</v>
      </c>
      <c r="B4612" s="1063">
        <v>44389</v>
      </c>
      <c r="C4612" s="926" t="s">
        <v>15675</v>
      </c>
      <c r="D4612" s="11" t="s">
        <v>6</v>
      </c>
      <c r="E4612" s="204" t="s">
        <v>15012</v>
      </c>
      <c r="F4612" s="934" t="s">
        <v>11544</v>
      </c>
      <c r="G4612" s="204" t="s">
        <v>13477</v>
      </c>
      <c r="H4612" s="204" t="s">
        <v>3898</v>
      </c>
      <c r="I4612" s="204" t="s">
        <v>574</v>
      </c>
      <c r="J4612" s="204" t="s">
        <v>13478</v>
      </c>
      <c r="K4612" s="365" t="s">
        <v>13479</v>
      </c>
      <c r="L4612" s="204"/>
      <c r="M4612" s="204">
        <v>4</v>
      </c>
      <c r="N4612" s="204">
        <v>10</v>
      </c>
      <c r="O4612" s="204">
        <v>10</v>
      </c>
      <c r="P4612" s="204">
        <v>4</v>
      </c>
      <c r="Q4612" s="572">
        <f t="shared" ref="Q4612:Q4620" si="263">(O4612+P4612)-M4612</f>
        <v>10</v>
      </c>
      <c r="R4612" s="1209">
        <v>42.9</v>
      </c>
      <c r="S4612" s="1209">
        <v>429</v>
      </c>
      <c r="T4612" s="204" t="s">
        <v>3961</v>
      </c>
      <c r="U4612" s="1901" t="s">
        <v>9486</v>
      </c>
      <c r="V4612" s="572" t="s">
        <v>352</v>
      </c>
      <c r="W4612" s="681" t="s">
        <v>15676</v>
      </c>
      <c r="X4612" s="18"/>
      <c r="Y4612" s="4"/>
      <c r="Z4612" s="4"/>
    </row>
    <row r="4613" spans="1:26" ht="21" hidden="1" customHeight="1">
      <c r="A4613" s="20">
        <v>4621</v>
      </c>
      <c r="B4613" s="1063">
        <v>44390</v>
      </c>
      <c r="C4613" s="926" t="s">
        <v>15677</v>
      </c>
      <c r="D4613" s="11" t="s">
        <v>6</v>
      </c>
      <c r="E4613" s="204" t="s">
        <v>15012</v>
      </c>
      <c r="F4613" s="934" t="s">
        <v>11544</v>
      </c>
      <c r="G4613" s="204" t="s">
        <v>12222</v>
      </c>
      <c r="H4613" s="204" t="s">
        <v>1216</v>
      </c>
      <c r="I4613" s="204" t="s">
        <v>574</v>
      </c>
      <c r="J4613" s="204" t="s">
        <v>12224</v>
      </c>
      <c r="K4613" s="204" t="s">
        <v>12225</v>
      </c>
      <c r="L4613" s="204"/>
      <c r="M4613" s="204">
        <v>5</v>
      </c>
      <c r="N4613" s="204">
        <v>10</v>
      </c>
      <c r="O4613" s="204">
        <v>10</v>
      </c>
      <c r="P4613" s="204">
        <v>4</v>
      </c>
      <c r="Q4613" s="572">
        <f t="shared" si="263"/>
        <v>9</v>
      </c>
      <c r="R4613" s="1209">
        <v>204.8</v>
      </c>
      <c r="S4613" s="1209">
        <v>2048</v>
      </c>
      <c r="T4613" s="204" t="s">
        <v>3961</v>
      </c>
      <c r="U4613" s="1901" t="s">
        <v>9486</v>
      </c>
      <c r="V4613" s="572" t="s">
        <v>352</v>
      </c>
      <c r="W4613" s="681" t="s">
        <v>15678</v>
      </c>
      <c r="X4613" s="18"/>
      <c r="Y4613" s="4"/>
      <c r="Z4613" s="4"/>
    </row>
    <row r="4614" spans="1:26" ht="16.5" hidden="1">
      <c r="A4614" s="20">
        <v>4622</v>
      </c>
      <c r="B4614" s="1063">
        <v>44391</v>
      </c>
      <c r="C4614" s="926" t="s">
        <v>495</v>
      </c>
      <c r="D4614" s="11" t="s">
        <v>6</v>
      </c>
      <c r="E4614" s="204" t="s">
        <v>15012</v>
      </c>
      <c r="F4614" s="934" t="s">
        <v>11544</v>
      </c>
      <c r="G4614" s="204" t="s">
        <v>5792</v>
      </c>
      <c r="H4614" s="176" t="s">
        <v>154</v>
      </c>
      <c r="I4614" s="204" t="s">
        <v>39</v>
      </c>
      <c r="J4614" s="588" t="s">
        <v>15679</v>
      </c>
      <c r="K4614" s="204" t="s">
        <v>495</v>
      </c>
      <c r="L4614" s="204"/>
      <c r="M4614" s="204">
        <v>5</v>
      </c>
      <c r="N4614" s="204">
        <v>5</v>
      </c>
      <c r="O4614" s="204">
        <v>5</v>
      </c>
      <c r="P4614" s="204">
        <v>7</v>
      </c>
      <c r="Q4614" s="572">
        <f t="shared" si="263"/>
        <v>7</v>
      </c>
      <c r="R4614" s="1209">
        <v>135.6</v>
      </c>
      <c r="S4614" s="1209">
        <v>678</v>
      </c>
      <c r="T4614" s="204" t="s">
        <v>3961</v>
      </c>
      <c r="U4614" s="1901" t="s">
        <v>9486</v>
      </c>
      <c r="V4614" s="572" t="s">
        <v>352</v>
      </c>
      <c r="W4614" s="681" t="s">
        <v>15680</v>
      </c>
      <c r="X4614" s="18"/>
      <c r="Y4614" s="4"/>
      <c r="Z4614" s="4"/>
    </row>
    <row r="4615" spans="1:26" ht="18" hidden="1">
      <c r="A4615" s="20">
        <v>4623</v>
      </c>
      <c r="B4615" s="1063">
        <v>44392</v>
      </c>
      <c r="C4615" s="926" t="s">
        <v>12203</v>
      </c>
      <c r="D4615" s="11" t="s">
        <v>6</v>
      </c>
      <c r="E4615" s="204" t="s">
        <v>15012</v>
      </c>
      <c r="F4615" s="934" t="s">
        <v>11544</v>
      </c>
      <c r="G4615" s="204" t="s">
        <v>12200</v>
      </c>
      <c r="H4615" s="204" t="s">
        <v>184</v>
      </c>
      <c r="I4615" s="204" t="s">
        <v>39</v>
      </c>
      <c r="J4615" s="588" t="s">
        <v>15681</v>
      </c>
      <c r="K4615" s="588" t="s">
        <v>12203</v>
      </c>
      <c r="L4615" s="204"/>
      <c r="M4615" s="605">
        <v>15</v>
      </c>
      <c r="N4615" s="204">
        <v>25</v>
      </c>
      <c r="O4615" s="204">
        <v>25</v>
      </c>
      <c r="P4615" s="204">
        <v>3</v>
      </c>
      <c r="Q4615" s="572">
        <f t="shared" si="263"/>
        <v>13</v>
      </c>
      <c r="R4615" s="1209">
        <v>8.1999999999999993</v>
      </c>
      <c r="S4615" s="1209">
        <f t="shared" ref="S4615:S4622" si="264">O4615*R4615</f>
        <v>204.99999999999997</v>
      </c>
      <c r="T4615" s="204" t="s">
        <v>3961</v>
      </c>
      <c r="U4615" s="1901" t="s">
        <v>9486</v>
      </c>
      <c r="V4615" s="572" t="s">
        <v>352</v>
      </c>
      <c r="W4615" s="681" t="s">
        <v>15682</v>
      </c>
      <c r="X4615" s="18"/>
      <c r="Y4615" s="4"/>
      <c r="Z4615" s="4"/>
    </row>
    <row r="4616" spans="1:26" ht="16.5" hidden="1">
      <c r="A4616" s="20">
        <v>4624</v>
      </c>
      <c r="B4616" s="1063">
        <v>44393</v>
      </c>
      <c r="C4616" s="926" t="s">
        <v>13950</v>
      </c>
      <c r="D4616" s="11" t="s">
        <v>6</v>
      </c>
      <c r="E4616" s="204" t="s">
        <v>15012</v>
      </c>
      <c r="F4616" s="934" t="s">
        <v>11544</v>
      </c>
      <c r="G4616" s="204" t="s">
        <v>12179</v>
      </c>
      <c r="H4616" s="204" t="s">
        <v>1422</v>
      </c>
      <c r="I4616" s="204" t="s">
        <v>39</v>
      </c>
      <c r="J4616" s="204" t="s">
        <v>13949</v>
      </c>
      <c r="K4616" s="606" t="s">
        <v>13950</v>
      </c>
      <c r="L4616" s="204"/>
      <c r="M4616" s="20">
        <v>11</v>
      </c>
      <c r="N4616" s="204">
        <v>25</v>
      </c>
      <c r="O4616" s="204">
        <v>25</v>
      </c>
      <c r="P4616" s="204">
        <v>31</v>
      </c>
      <c r="Q4616" s="572">
        <f t="shared" si="263"/>
        <v>45</v>
      </c>
      <c r="R4616" s="1209">
        <v>25.52</v>
      </c>
      <c r="S4616" s="1209">
        <f t="shared" si="264"/>
        <v>638</v>
      </c>
      <c r="T4616" s="204" t="s">
        <v>3961</v>
      </c>
      <c r="U4616" s="1901" t="s">
        <v>9486</v>
      </c>
      <c r="V4616" s="572" t="s">
        <v>352</v>
      </c>
      <c r="W4616" s="681" t="s">
        <v>15683</v>
      </c>
      <c r="X4616" s="18"/>
      <c r="Y4616" s="4"/>
      <c r="Z4616" s="4"/>
    </row>
    <row r="4617" spans="1:26" ht="16.5" hidden="1">
      <c r="A4617" s="20">
        <v>4625</v>
      </c>
      <c r="B4617" s="1063">
        <v>44394</v>
      </c>
      <c r="C4617" s="926" t="s">
        <v>15684</v>
      </c>
      <c r="D4617" s="11" t="s">
        <v>6</v>
      </c>
      <c r="E4617" s="204" t="s">
        <v>15012</v>
      </c>
      <c r="F4617" s="934" t="s">
        <v>11544</v>
      </c>
      <c r="G4617" s="204" t="s">
        <v>12186</v>
      </c>
      <c r="H4617" s="204" t="s">
        <v>184</v>
      </c>
      <c r="I4617" s="204" t="s">
        <v>39</v>
      </c>
      <c r="J4617" s="204" t="s">
        <v>15685</v>
      </c>
      <c r="K4617" s="204" t="s">
        <v>15684</v>
      </c>
      <c r="L4617" s="204"/>
      <c r="M4617" s="20">
        <v>30</v>
      </c>
      <c r="N4617" s="204">
        <v>25</v>
      </c>
      <c r="O4617" s="204">
        <v>25</v>
      </c>
      <c r="P4617" s="204">
        <v>36</v>
      </c>
      <c r="Q4617" s="572">
        <f t="shared" si="263"/>
        <v>31</v>
      </c>
      <c r="R4617" s="1209">
        <v>38.72</v>
      </c>
      <c r="S4617" s="1209">
        <f t="shared" si="264"/>
        <v>968</v>
      </c>
      <c r="T4617" s="204" t="s">
        <v>3961</v>
      </c>
      <c r="U4617" s="1901" t="s">
        <v>9486</v>
      </c>
      <c r="V4617" s="572" t="s">
        <v>352</v>
      </c>
      <c r="W4617" s="1184" t="s">
        <v>15686</v>
      </c>
      <c r="X4617" s="18"/>
      <c r="Y4617" s="4"/>
      <c r="Z4617" s="4"/>
    </row>
    <row r="4618" spans="1:26" ht="16.5" hidden="1">
      <c r="A4618" s="20">
        <v>4626</v>
      </c>
      <c r="B4618" s="1063">
        <v>44395</v>
      </c>
      <c r="C4618" s="926" t="s">
        <v>12211</v>
      </c>
      <c r="D4618" s="11" t="s">
        <v>6</v>
      </c>
      <c r="E4618" s="204" t="s">
        <v>15012</v>
      </c>
      <c r="F4618" s="934" t="s">
        <v>11544</v>
      </c>
      <c r="G4618" s="204" t="s">
        <v>12208</v>
      </c>
      <c r="H4618" s="204" t="s">
        <v>184</v>
      </c>
      <c r="I4618" s="204" t="s">
        <v>39</v>
      </c>
      <c r="J4618" s="204" t="s">
        <v>15687</v>
      </c>
      <c r="K4618" s="204" t="s">
        <v>12211</v>
      </c>
      <c r="L4618" s="204"/>
      <c r="M4618" s="20">
        <v>4</v>
      </c>
      <c r="N4618" s="204">
        <v>50</v>
      </c>
      <c r="O4618" s="204">
        <v>50</v>
      </c>
      <c r="P4618" s="204">
        <v>8</v>
      </c>
      <c r="Q4618" s="572">
        <f t="shared" si="263"/>
        <v>54</v>
      </c>
      <c r="R4618" s="1209">
        <v>28.12</v>
      </c>
      <c r="S4618" s="1209">
        <f t="shared" si="264"/>
        <v>1406</v>
      </c>
      <c r="T4618" s="204" t="s">
        <v>3961</v>
      </c>
      <c r="U4618" s="1901" t="s">
        <v>9486</v>
      </c>
      <c r="V4618" s="572" t="s">
        <v>352</v>
      </c>
      <c r="W4618" s="681" t="s">
        <v>15688</v>
      </c>
      <c r="X4618" s="18"/>
      <c r="Y4618" s="4"/>
      <c r="Z4618" s="4"/>
    </row>
    <row r="4619" spans="1:26" ht="16.5" hidden="1">
      <c r="A4619" s="20">
        <v>4627</v>
      </c>
      <c r="B4619" s="1063">
        <v>44396</v>
      </c>
      <c r="C4619" s="926" t="s">
        <v>3583</v>
      </c>
      <c r="D4619" s="11" t="s">
        <v>6</v>
      </c>
      <c r="E4619" s="204" t="s">
        <v>15012</v>
      </c>
      <c r="F4619" s="934" t="s">
        <v>11544</v>
      </c>
      <c r="G4619" s="204" t="s">
        <v>12205</v>
      </c>
      <c r="H4619" s="204" t="s">
        <v>201</v>
      </c>
      <c r="I4619" s="204" t="s">
        <v>39</v>
      </c>
      <c r="J4619" s="204" t="s">
        <v>15689</v>
      </c>
      <c r="K4619" s="204" t="s">
        <v>3583</v>
      </c>
      <c r="L4619" s="204"/>
      <c r="M4619" s="20">
        <v>20</v>
      </c>
      <c r="N4619" s="204">
        <v>20</v>
      </c>
      <c r="O4619" s="204">
        <v>20</v>
      </c>
      <c r="P4619" s="204">
        <v>16</v>
      </c>
      <c r="Q4619" s="572">
        <f t="shared" si="263"/>
        <v>16</v>
      </c>
      <c r="R4619" s="1209">
        <v>80.650000000000006</v>
      </c>
      <c r="S4619" s="1209">
        <f t="shared" si="264"/>
        <v>1613</v>
      </c>
      <c r="T4619" s="204" t="s">
        <v>3961</v>
      </c>
      <c r="U4619" s="1901" t="s">
        <v>9486</v>
      </c>
      <c r="V4619" s="572" t="s">
        <v>352</v>
      </c>
      <c r="W4619" s="681" t="s">
        <v>15690</v>
      </c>
      <c r="X4619" s="18"/>
      <c r="Y4619" s="4"/>
      <c r="Z4619" s="4"/>
    </row>
    <row r="4620" spans="1:26" ht="14.1" hidden="1">
      <c r="A4620" s="20">
        <v>4628</v>
      </c>
      <c r="B4620" s="1063">
        <v>44397</v>
      </c>
      <c r="C4620" s="190" t="s">
        <v>15691</v>
      </c>
      <c r="D4620" s="11" t="s">
        <v>6</v>
      </c>
      <c r="E4620" s="204" t="s">
        <v>15012</v>
      </c>
      <c r="F4620" s="934" t="s">
        <v>11544</v>
      </c>
      <c r="G4620" s="204" t="s">
        <v>15692</v>
      </c>
      <c r="H4620" s="204" t="s">
        <v>1098</v>
      </c>
      <c r="I4620" s="204" t="s">
        <v>574</v>
      </c>
      <c r="J4620" s="204" t="s">
        <v>15693</v>
      </c>
      <c r="K4620" s="204" t="s">
        <v>15691</v>
      </c>
      <c r="L4620" s="204"/>
      <c r="M4620" s="20">
        <v>6</v>
      </c>
      <c r="N4620" s="204">
        <v>10</v>
      </c>
      <c r="O4620" s="204">
        <v>10</v>
      </c>
      <c r="P4620" s="204">
        <v>0</v>
      </c>
      <c r="Q4620" s="572">
        <f t="shared" si="263"/>
        <v>4</v>
      </c>
      <c r="R4620" s="1209">
        <v>35.299999999999997</v>
      </c>
      <c r="S4620" s="1209">
        <f t="shared" si="264"/>
        <v>353</v>
      </c>
      <c r="T4620" s="204" t="s">
        <v>3961</v>
      </c>
      <c r="U4620" s="1901" t="s">
        <v>9486</v>
      </c>
      <c r="V4620" s="572" t="s">
        <v>352</v>
      </c>
      <c r="W4620" s="804" t="s">
        <v>15694</v>
      </c>
      <c r="X4620" s="18"/>
      <c r="Y4620" s="4"/>
      <c r="Z4620" s="4"/>
    </row>
    <row r="4621" spans="1:26" ht="18" hidden="1">
      <c r="A4621" s="20">
        <v>4629</v>
      </c>
      <c r="B4621" s="1063">
        <v>44398</v>
      </c>
      <c r="C4621" s="1024" t="s">
        <v>15695</v>
      </c>
      <c r="D4621" s="11" t="s">
        <v>6</v>
      </c>
      <c r="E4621" s="204" t="s">
        <v>15012</v>
      </c>
      <c r="F4621" s="934" t="s">
        <v>11544</v>
      </c>
      <c r="G4621" s="605" t="s">
        <v>12258</v>
      </c>
      <c r="H4621" s="204" t="s">
        <v>641</v>
      </c>
      <c r="I4621" s="204" t="s">
        <v>574</v>
      </c>
      <c r="J4621" s="204" t="s">
        <v>15696</v>
      </c>
      <c r="K4621" s="204" t="s">
        <v>15695</v>
      </c>
      <c r="L4621" s="204"/>
      <c r="M4621" s="20">
        <v>12</v>
      </c>
      <c r="N4621" s="189">
        <v>10</v>
      </c>
      <c r="O4621" s="204">
        <v>20</v>
      </c>
      <c r="P4621" s="204" t="s">
        <v>11057</v>
      </c>
      <c r="Q4621" s="572">
        <v>9</v>
      </c>
      <c r="R4621" s="1209">
        <v>152.4</v>
      </c>
      <c r="S4621" s="1209">
        <f t="shared" si="264"/>
        <v>3048</v>
      </c>
      <c r="T4621" s="204" t="s">
        <v>3961</v>
      </c>
      <c r="U4621" s="1901" t="s">
        <v>9486</v>
      </c>
      <c r="V4621" s="572" t="s">
        <v>352</v>
      </c>
      <c r="W4621" s="681" t="s">
        <v>15697</v>
      </c>
      <c r="X4621" s="18"/>
      <c r="Y4621" s="4"/>
      <c r="Z4621" s="4"/>
    </row>
    <row r="4622" spans="1:26" ht="14.1" hidden="1">
      <c r="A4622" s="20">
        <v>4630</v>
      </c>
      <c r="B4622" s="1063">
        <v>44399</v>
      </c>
      <c r="C4622" s="1024" t="s">
        <v>15698</v>
      </c>
      <c r="D4622" s="11" t="s">
        <v>6</v>
      </c>
      <c r="E4622" s="204" t="s">
        <v>15012</v>
      </c>
      <c r="F4622" s="934" t="s">
        <v>11544</v>
      </c>
      <c r="G4622" s="204" t="s">
        <v>15699</v>
      </c>
      <c r="H4622" s="204" t="s">
        <v>15700</v>
      </c>
      <c r="I4622" s="204" t="s">
        <v>574</v>
      </c>
      <c r="J4622" s="204" t="s">
        <v>15700</v>
      </c>
      <c r="K4622" s="204" t="s">
        <v>15698</v>
      </c>
      <c r="L4622" s="204"/>
      <c r="M4622" s="20">
        <v>6</v>
      </c>
      <c r="N4622" s="204">
        <v>10</v>
      </c>
      <c r="O4622" s="204">
        <v>10</v>
      </c>
      <c r="P4622" s="204">
        <v>2</v>
      </c>
      <c r="Q4622" s="572">
        <f>(O4622+P4622)-M4622</f>
        <v>6</v>
      </c>
      <c r="R4622" s="1209">
        <v>443.6</v>
      </c>
      <c r="S4622" s="1209">
        <f t="shared" si="264"/>
        <v>4436</v>
      </c>
      <c r="T4622" s="204" t="s">
        <v>3961</v>
      </c>
      <c r="U4622" s="1901" t="s">
        <v>9486</v>
      </c>
      <c r="V4622" s="572" t="s">
        <v>352</v>
      </c>
      <c r="W4622" s="804" t="s">
        <v>15701</v>
      </c>
      <c r="X4622" s="18"/>
      <c r="Y4622" s="4"/>
      <c r="Z4622" s="4"/>
    </row>
    <row r="4623" spans="1:26" ht="14.1" hidden="1">
      <c r="A4623" s="20">
        <v>4631</v>
      </c>
      <c r="B4623" s="1063">
        <v>44400</v>
      </c>
      <c r="C4623" s="934" t="s">
        <v>15702</v>
      </c>
      <c r="D4623" s="11"/>
      <c r="E4623" s="204" t="s">
        <v>4951</v>
      </c>
      <c r="F4623" s="934" t="s">
        <v>11323</v>
      </c>
      <c r="G4623" s="204" t="s">
        <v>15702</v>
      </c>
      <c r="H4623" s="204" t="s">
        <v>287</v>
      </c>
      <c r="I4623" s="204" t="s">
        <v>287</v>
      </c>
      <c r="J4623" s="204"/>
      <c r="K4623" s="204"/>
      <c r="L4623" s="204"/>
      <c r="M4623" s="204">
        <v>2</v>
      </c>
      <c r="N4623" s="204">
        <v>1</v>
      </c>
      <c r="O4623" s="204">
        <v>3</v>
      </c>
      <c r="P4623" s="204">
        <v>0</v>
      </c>
      <c r="Q4623" s="572">
        <v>0</v>
      </c>
      <c r="R4623" s="1209">
        <v>0</v>
      </c>
      <c r="S4623" s="1209">
        <v>38044</v>
      </c>
      <c r="T4623" s="204" t="s">
        <v>3961</v>
      </c>
      <c r="U4623" s="1901" t="s">
        <v>3637</v>
      </c>
      <c r="V4623" s="572" t="s">
        <v>352</v>
      </c>
      <c r="W4623" s="681"/>
      <c r="X4623" s="18"/>
      <c r="Y4623" s="4"/>
      <c r="Z4623" s="4"/>
    </row>
    <row r="4624" spans="1:26" ht="14.1" hidden="1">
      <c r="A4624" s="20">
        <v>4632</v>
      </c>
      <c r="B4624" s="1063">
        <v>44401</v>
      </c>
      <c r="C4624" s="934" t="s">
        <v>15703</v>
      </c>
      <c r="D4624" s="11" t="s">
        <v>6</v>
      </c>
      <c r="E4624" s="204" t="s">
        <v>62</v>
      </c>
      <c r="F4624" s="934" t="s">
        <v>11323</v>
      </c>
      <c r="G4624" s="204" t="s">
        <v>15704</v>
      </c>
      <c r="H4624" s="204" t="s">
        <v>1729</v>
      </c>
      <c r="I4624" s="204" t="s">
        <v>1063</v>
      </c>
      <c r="J4624" s="204" t="s">
        <v>15705</v>
      </c>
      <c r="K4624" s="204" t="s">
        <v>15706</v>
      </c>
      <c r="L4624" s="204"/>
      <c r="M4624" s="204">
        <v>8</v>
      </c>
      <c r="N4624" s="204">
        <v>1</v>
      </c>
      <c r="O4624" s="204">
        <v>8</v>
      </c>
      <c r="P4624" s="204">
        <v>3</v>
      </c>
      <c r="Q4624" s="572">
        <v>11</v>
      </c>
      <c r="R4624" s="1209">
        <v>2940</v>
      </c>
      <c r="S4624" s="1209">
        <f>R4624*O4624</f>
        <v>23520</v>
      </c>
      <c r="T4624" s="204" t="s">
        <v>15707</v>
      </c>
      <c r="U4624" s="1901"/>
      <c r="V4624" s="572" t="s">
        <v>6170</v>
      </c>
      <c r="W4624" s="804" t="s">
        <v>15708</v>
      </c>
      <c r="X4624" s="18"/>
      <c r="Y4624" s="4"/>
      <c r="Z4624" s="4"/>
    </row>
    <row r="4625" spans="1:26" ht="14.1" hidden="1">
      <c r="A4625" s="20">
        <v>4633</v>
      </c>
      <c r="B4625" s="1063">
        <v>44402</v>
      </c>
      <c r="C4625" s="934" t="s">
        <v>11199</v>
      </c>
      <c r="D4625" s="11" t="s">
        <v>6</v>
      </c>
      <c r="E4625" s="204" t="s">
        <v>62</v>
      </c>
      <c r="F4625" s="934" t="s">
        <v>11323</v>
      </c>
      <c r="G4625" s="204" t="s">
        <v>15709</v>
      </c>
      <c r="H4625" s="204" t="s">
        <v>15710</v>
      </c>
      <c r="I4625" s="204" t="s">
        <v>1063</v>
      </c>
      <c r="J4625" s="204" t="s">
        <v>15711</v>
      </c>
      <c r="K4625" s="204" t="s">
        <v>15712</v>
      </c>
      <c r="L4625" s="204"/>
      <c r="M4625" s="204">
        <v>8</v>
      </c>
      <c r="N4625" s="204">
        <v>1</v>
      </c>
      <c r="O4625" s="204">
        <v>8</v>
      </c>
      <c r="P4625" s="204">
        <v>0</v>
      </c>
      <c r="Q4625" s="572">
        <v>8</v>
      </c>
      <c r="R4625" s="1209">
        <v>300</v>
      </c>
      <c r="S4625" s="1209">
        <f>R4625*M4625</f>
        <v>2400</v>
      </c>
      <c r="T4625" s="204" t="s">
        <v>15707</v>
      </c>
      <c r="U4625" s="1901"/>
      <c r="V4625" s="572" t="s">
        <v>6170</v>
      </c>
      <c r="W4625" s="804" t="s">
        <v>15713</v>
      </c>
      <c r="X4625" s="18"/>
      <c r="Y4625" s="4"/>
      <c r="Z4625" s="4"/>
    </row>
    <row r="4626" spans="1:26" ht="14.1" hidden="1">
      <c r="A4626" s="20">
        <v>4634</v>
      </c>
      <c r="B4626" s="1063">
        <v>44403</v>
      </c>
      <c r="C4626" s="934" t="s">
        <v>15714</v>
      </c>
      <c r="D4626" s="11" t="s">
        <v>6</v>
      </c>
      <c r="E4626" s="204" t="s">
        <v>62</v>
      </c>
      <c r="F4626" s="934" t="s">
        <v>11323</v>
      </c>
      <c r="G4626" s="204" t="s">
        <v>15715</v>
      </c>
      <c r="H4626" s="204" t="s">
        <v>15710</v>
      </c>
      <c r="I4626" s="204" t="s">
        <v>1063</v>
      </c>
      <c r="J4626" s="204" t="s">
        <v>6181</v>
      </c>
      <c r="K4626" s="204" t="s">
        <v>6182</v>
      </c>
      <c r="L4626" s="204"/>
      <c r="M4626" s="204">
        <v>1</v>
      </c>
      <c r="N4626" s="204">
        <v>1</v>
      </c>
      <c r="O4626" s="204">
        <v>1</v>
      </c>
      <c r="P4626" s="204"/>
      <c r="Q4626" s="572">
        <v>1</v>
      </c>
      <c r="R4626" s="1209">
        <v>220</v>
      </c>
      <c r="S4626" s="1209">
        <f t="shared" ref="S4626:S4629" si="265">R4626*O4626</f>
        <v>220</v>
      </c>
      <c r="T4626" s="204" t="s">
        <v>15707</v>
      </c>
      <c r="U4626" s="1901"/>
      <c r="V4626" s="572" t="s">
        <v>6170</v>
      </c>
      <c r="W4626" s="804" t="s">
        <v>13445</v>
      </c>
      <c r="X4626" s="18"/>
      <c r="Y4626" s="4"/>
      <c r="Z4626" s="4"/>
    </row>
    <row r="4627" spans="1:26" ht="18.75" hidden="1" customHeight="1">
      <c r="A4627" s="20">
        <v>4635</v>
      </c>
      <c r="B4627" s="1063">
        <v>44404</v>
      </c>
      <c r="C4627" s="934" t="s">
        <v>15716</v>
      </c>
      <c r="D4627" s="11" t="s">
        <v>6</v>
      </c>
      <c r="E4627" s="204" t="s">
        <v>62</v>
      </c>
      <c r="F4627" s="934" t="s">
        <v>11323</v>
      </c>
      <c r="G4627" s="204" t="s">
        <v>15717</v>
      </c>
      <c r="H4627" s="204" t="s">
        <v>1063</v>
      </c>
      <c r="I4627" s="204" t="s">
        <v>1063</v>
      </c>
      <c r="J4627" s="204" t="s">
        <v>6186</v>
      </c>
      <c r="K4627" s="204" t="s">
        <v>5602</v>
      </c>
      <c r="L4627" s="204"/>
      <c r="M4627" s="204">
        <v>2</v>
      </c>
      <c r="N4627" s="204">
        <v>1</v>
      </c>
      <c r="O4627" s="204">
        <v>3</v>
      </c>
      <c r="P4627" s="204">
        <v>0</v>
      </c>
      <c r="Q4627" s="572">
        <v>3</v>
      </c>
      <c r="R4627" s="1209">
        <v>1080</v>
      </c>
      <c r="S4627" s="1209">
        <f t="shared" si="265"/>
        <v>3240</v>
      </c>
      <c r="T4627" s="204" t="s">
        <v>15707</v>
      </c>
      <c r="U4627" s="1901"/>
      <c r="V4627" s="572" t="s">
        <v>6170</v>
      </c>
      <c r="W4627" s="804" t="s">
        <v>15718</v>
      </c>
      <c r="X4627" s="18"/>
      <c r="Y4627" s="4"/>
      <c r="Z4627" s="4"/>
    </row>
    <row r="4628" spans="1:26" ht="14.1" hidden="1">
      <c r="A4628" s="20">
        <v>4636</v>
      </c>
      <c r="B4628" s="1063">
        <v>44405</v>
      </c>
      <c r="C4628" s="970" t="s">
        <v>15719</v>
      </c>
      <c r="D4628" s="231" t="s">
        <v>6</v>
      </c>
      <c r="E4628" s="717" t="s">
        <v>62</v>
      </c>
      <c r="F4628" s="970" t="s">
        <v>11323</v>
      </c>
      <c r="G4628" s="717" t="s">
        <v>12728</v>
      </c>
      <c r="H4628" s="717" t="s">
        <v>1063</v>
      </c>
      <c r="I4628" s="717" t="s">
        <v>1063</v>
      </c>
      <c r="J4628" s="717" t="s">
        <v>15720</v>
      </c>
      <c r="K4628" s="717" t="s">
        <v>12730</v>
      </c>
      <c r="L4628" s="717"/>
      <c r="M4628" s="717">
        <v>4</v>
      </c>
      <c r="N4628" s="717">
        <v>1</v>
      </c>
      <c r="O4628" s="717">
        <v>5</v>
      </c>
      <c r="P4628" s="717">
        <v>0</v>
      </c>
      <c r="Q4628" s="718">
        <v>5</v>
      </c>
      <c r="R4628" s="1234">
        <v>1280</v>
      </c>
      <c r="S4628" s="1234">
        <f t="shared" si="265"/>
        <v>6400</v>
      </c>
      <c r="T4628" s="717" t="s">
        <v>15707</v>
      </c>
      <c r="U4628" s="1927"/>
      <c r="V4628" s="718" t="s">
        <v>6170</v>
      </c>
      <c r="W4628" s="2133" t="s">
        <v>12731</v>
      </c>
      <c r="X4628" s="18"/>
      <c r="Y4628" s="4"/>
      <c r="Z4628" s="4"/>
    </row>
    <row r="4629" spans="1:26" ht="14.1" hidden="1">
      <c r="A4629" s="20">
        <v>4637</v>
      </c>
      <c r="B4629" s="1063">
        <v>44406</v>
      </c>
      <c r="C4629" s="934" t="s">
        <v>15721</v>
      </c>
      <c r="D4629" s="11" t="s">
        <v>6</v>
      </c>
      <c r="E4629" s="204" t="s">
        <v>62</v>
      </c>
      <c r="F4629" s="934" t="s">
        <v>11323</v>
      </c>
      <c r="G4629" s="204" t="s">
        <v>15722</v>
      </c>
      <c r="H4629" s="204" t="s">
        <v>1063</v>
      </c>
      <c r="I4629" s="204" t="s">
        <v>1063</v>
      </c>
      <c r="J4629" s="204" t="s">
        <v>15723</v>
      </c>
      <c r="K4629" s="204" t="s">
        <v>15724</v>
      </c>
      <c r="L4629" s="204"/>
      <c r="M4629" s="204">
        <v>2</v>
      </c>
      <c r="N4629" s="204">
        <v>1</v>
      </c>
      <c r="O4629" s="204">
        <v>3</v>
      </c>
      <c r="P4629" s="204">
        <v>0</v>
      </c>
      <c r="Q4629" s="572">
        <v>3</v>
      </c>
      <c r="R4629" s="1209">
        <v>2100</v>
      </c>
      <c r="S4629" s="1209">
        <f t="shared" si="265"/>
        <v>6300</v>
      </c>
      <c r="T4629" s="204" t="s">
        <v>15707</v>
      </c>
      <c r="U4629" s="1901"/>
      <c r="V4629" s="572" t="s">
        <v>6170</v>
      </c>
      <c r="W4629" s="804" t="s">
        <v>15725</v>
      </c>
      <c r="X4629" s="18"/>
      <c r="Y4629" s="4"/>
      <c r="Z4629" s="4"/>
    </row>
    <row r="4630" spans="1:26" ht="14.1" hidden="1">
      <c r="A4630" s="20">
        <v>4638</v>
      </c>
      <c r="B4630" s="1063">
        <v>44407</v>
      </c>
      <c r="C4630" s="934" t="s">
        <v>15726</v>
      </c>
      <c r="D4630" s="11" t="s">
        <v>6</v>
      </c>
      <c r="E4630" s="204" t="s">
        <v>15012</v>
      </c>
      <c r="F4630" s="934" t="s">
        <v>13447</v>
      </c>
      <c r="G4630" s="204" t="s">
        <v>15727</v>
      </c>
      <c r="H4630" s="204" t="s">
        <v>14096</v>
      </c>
      <c r="I4630" s="204" t="s">
        <v>4634</v>
      </c>
      <c r="J4630" s="204" t="s">
        <v>15728</v>
      </c>
      <c r="K4630" s="204" t="s">
        <v>15729</v>
      </c>
      <c r="L4630" s="204"/>
      <c r="M4630" s="204">
        <v>8</v>
      </c>
      <c r="N4630" s="204">
        <v>1</v>
      </c>
      <c r="O4630" s="204">
        <v>20</v>
      </c>
      <c r="P4630" s="204">
        <v>0</v>
      </c>
      <c r="Q4630" s="572">
        <v>20</v>
      </c>
      <c r="R4630" s="1209">
        <v>39.6</v>
      </c>
      <c r="S4630" s="1209">
        <f t="shared" ref="S4630:S4631" si="266">O4630*R4630</f>
        <v>792</v>
      </c>
      <c r="T4630" s="204" t="s">
        <v>3961</v>
      </c>
      <c r="U4630" s="1901" t="s">
        <v>1886</v>
      </c>
      <c r="V4630" s="572" t="s">
        <v>10339</v>
      </c>
      <c r="W4630" s="804" t="s">
        <v>15730</v>
      </c>
      <c r="X4630" s="18"/>
      <c r="Y4630" s="4"/>
      <c r="Z4630" s="4"/>
    </row>
    <row r="4631" spans="1:26" ht="14.1" hidden="1">
      <c r="A4631" s="20">
        <v>4639</v>
      </c>
      <c r="B4631" s="1063">
        <v>44408</v>
      </c>
      <c r="C4631" s="934" t="s">
        <v>339</v>
      </c>
      <c r="D4631" s="11" t="s">
        <v>6</v>
      </c>
      <c r="E4631" s="204" t="s">
        <v>15012</v>
      </c>
      <c r="F4631" s="934" t="s">
        <v>13447</v>
      </c>
      <c r="G4631" s="204" t="s">
        <v>586</v>
      </c>
      <c r="H4631" s="204" t="s">
        <v>15731</v>
      </c>
      <c r="I4631" s="204" t="s">
        <v>4634</v>
      </c>
      <c r="J4631" s="204" t="s">
        <v>15732</v>
      </c>
      <c r="K4631" s="204" t="s">
        <v>586</v>
      </c>
      <c r="L4631" s="204"/>
      <c r="M4631" s="204">
        <v>8</v>
      </c>
      <c r="N4631" s="204">
        <v>1</v>
      </c>
      <c r="O4631" s="204">
        <v>20</v>
      </c>
      <c r="P4631" s="204">
        <v>0</v>
      </c>
      <c r="Q4631" s="572">
        <v>20</v>
      </c>
      <c r="R4631" s="1209">
        <v>43.7</v>
      </c>
      <c r="S4631" s="1209">
        <f t="shared" si="266"/>
        <v>874</v>
      </c>
      <c r="T4631" s="204" t="s">
        <v>3961</v>
      </c>
      <c r="U4631" s="1901" t="s">
        <v>1886</v>
      </c>
      <c r="V4631" s="572" t="s">
        <v>10339</v>
      </c>
      <c r="W4631" s="681" t="s">
        <v>15733</v>
      </c>
      <c r="X4631" s="18"/>
      <c r="Y4631" s="4"/>
      <c r="Z4631" s="4"/>
    </row>
    <row r="4632" spans="1:26" ht="14.1" hidden="1">
      <c r="A4632" s="20">
        <v>4640</v>
      </c>
      <c r="B4632" s="1063">
        <v>44409</v>
      </c>
      <c r="C4632" s="26" t="s">
        <v>9074</v>
      </c>
      <c r="D4632" s="11" t="s">
        <v>6</v>
      </c>
      <c r="E4632" s="204" t="s">
        <v>15012</v>
      </c>
      <c r="F4632" s="26" t="s">
        <v>9454</v>
      </c>
      <c r="G4632" s="26" t="s">
        <v>9075</v>
      </c>
      <c r="H4632" s="189" t="s">
        <v>366</v>
      </c>
      <c r="I4632" s="26" t="s">
        <v>366</v>
      </c>
      <c r="J4632" s="26" t="s">
        <v>15734</v>
      </c>
      <c r="K4632" s="26"/>
      <c r="L4632" s="26"/>
      <c r="M4632" s="26">
        <v>1</v>
      </c>
      <c r="N4632" s="26">
        <v>1</v>
      </c>
      <c r="O4632" s="26">
        <v>1</v>
      </c>
      <c r="P4632" s="26">
        <v>0</v>
      </c>
      <c r="Q4632" s="26">
        <v>0</v>
      </c>
      <c r="R4632" s="1209">
        <v>10980</v>
      </c>
      <c r="S4632" s="1209">
        <v>10980</v>
      </c>
      <c r="T4632" s="26" t="s">
        <v>3961</v>
      </c>
      <c r="U4632" s="1859" t="s">
        <v>9486</v>
      </c>
      <c r="V4632" s="26" t="s">
        <v>352</v>
      </c>
      <c r="W4632" s="701" t="s">
        <v>9077</v>
      </c>
      <c r="X4632" s="18"/>
      <c r="Y4632" s="4"/>
      <c r="Z4632" s="4"/>
    </row>
    <row r="4633" spans="1:26" ht="14.1" hidden="1">
      <c r="A4633" s="20">
        <v>4641</v>
      </c>
      <c r="B4633" s="1063">
        <v>44410</v>
      </c>
      <c r="C4633" s="26" t="s">
        <v>9346</v>
      </c>
      <c r="D4633" s="11" t="s">
        <v>6</v>
      </c>
      <c r="E4633" s="204" t="s">
        <v>15012</v>
      </c>
      <c r="F4633" s="26" t="s">
        <v>9454</v>
      </c>
      <c r="G4633" s="26" t="s">
        <v>9347</v>
      </c>
      <c r="H4633" s="237" t="s">
        <v>9348</v>
      </c>
      <c r="I4633" s="26" t="s">
        <v>84</v>
      </c>
      <c r="J4633" s="26">
        <v>38805313</v>
      </c>
      <c r="K4633" s="26">
        <v>38805313</v>
      </c>
      <c r="L4633" s="26"/>
      <c r="M4633" s="26">
        <v>1</v>
      </c>
      <c r="N4633" s="26">
        <v>1</v>
      </c>
      <c r="O4633" s="26">
        <v>1</v>
      </c>
      <c r="P4633" s="26">
        <v>0</v>
      </c>
      <c r="Q4633" s="26">
        <v>0</v>
      </c>
      <c r="R4633" s="1209">
        <v>289</v>
      </c>
      <c r="S4633" s="1209">
        <v>289</v>
      </c>
      <c r="T4633" s="26" t="s">
        <v>3961</v>
      </c>
      <c r="U4633" s="1859" t="s">
        <v>5441</v>
      </c>
      <c r="V4633" s="26" t="s">
        <v>352</v>
      </c>
      <c r="W4633" s="701" t="s">
        <v>9350</v>
      </c>
      <c r="X4633" s="18"/>
      <c r="Y4633" s="4"/>
      <c r="Z4633" s="4"/>
    </row>
    <row r="4634" spans="1:26" ht="14.1" hidden="1">
      <c r="A4634" s="20">
        <v>4642</v>
      </c>
      <c r="B4634" s="1063">
        <v>44411</v>
      </c>
      <c r="C4634" s="934" t="s">
        <v>15735</v>
      </c>
      <c r="D4634" s="11" t="s">
        <v>6</v>
      </c>
      <c r="E4634" s="26" t="s">
        <v>62</v>
      </c>
      <c r="F4634" s="934" t="s">
        <v>11323</v>
      </c>
      <c r="G4634" s="365" t="s">
        <v>15736</v>
      </c>
      <c r="H4634" s="204" t="s">
        <v>11764</v>
      </c>
      <c r="I4634" s="204" t="s">
        <v>11764</v>
      </c>
      <c r="J4634" s="204" t="s">
        <v>15737</v>
      </c>
      <c r="K4634" s="204" t="s">
        <v>15738</v>
      </c>
      <c r="L4634" s="204"/>
      <c r="M4634" s="204">
        <v>2</v>
      </c>
      <c r="N4634" s="204">
        <v>1</v>
      </c>
      <c r="O4634" s="204">
        <v>3</v>
      </c>
      <c r="P4634" s="204">
        <v>0</v>
      </c>
      <c r="Q4634" s="572">
        <v>3</v>
      </c>
      <c r="R4634" s="1209">
        <v>2368</v>
      </c>
      <c r="S4634" s="1209">
        <f t="shared" ref="S4634:S4635" si="267">R4634*O4634</f>
        <v>7104</v>
      </c>
      <c r="T4634" s="204" t="s">
        <v>15707</v>
      </c>
      <c r="U4634" s="1901"/>
      <c r="V4634" s="572" t="s">
        <v>6170</v>
      </c>
      <c r="W4634" s="804" t="s">
        <v>15739</v>
      </c>
      <c r="X4634" s="18"/>
      <c r="Y4634" s="4"/>
      <c r="Z4634" s="4"/>
    </row>
    <row r="4635" spans="1:26" ht="14.1" hidden="1">
      <c r="A4635" s="20">
        <v>4643</v>
      </c>
      <c r="B4635" s="1063">
        <v>44412</v>
      </c>
      <c r="C4635" s="934" t="s">
        <v>15740</v>
      </c>
      <c r="D4635" s="11" t="s">
        <v>6</v>
      </c>
      <c r="E4635" s="189" t="s">
        <v>62</v>
      </c>
      <c r="F4635" s="934" t="s">
        <v>11323</v>
      </c>
      <c r="G4635" s="204" t="s">
        <v>15741</v>
      </c>
      <c r="H4635" s="204" t="s">
        <v>11764</v>
      </c>
      <c r="I4635" s="204" t="s">
        <v>11764</v>
      </c>
      <c r="J4635" s="204" t="s">
        <v>15742</v>
      </c>
      <c r="K4635" s="204" t="s">
        <v>15742</v>
      </c>
      <c r="L4635" s="204"/>
      <c r="M4635" s="204">
        <v>2</v>
      </c>
      <c r="N4635" s="204">
        <v>1</v>
      </c>
      <c r="O4635" s="204">
        <v>3</v>
      </c>
      <c r="P4635" s="204">
        <v>0</v>
      </c>
      <c r="Q4635" s="572">
        <v>3</v>
      </c>
      <c r="R4635" s="1209">
        <v>649</v>
      </c>
      <c r="S4635" s="1209">
        <f t="shared" si="267"/>
        <v>1947</v>
      </c>
      <c r="T4635" s="204" t="s">
        <v>15707</v>
      </c>
      <c r="U4635" s="1901"/>
      <c r="V4635" s="572" t="s">
        <v>6170</v>
      </c>
      <c r="W4635" s="804" t="s">
        <v>15743</v>
      </c>
      <c r="X4635" s="18"/>
      <c r="Y4635" s="4"/>
      <c r="Z4635" s="4"/>
    </row>
    <row r="4636" spans="1:26" ht="14.1" hidden="1">
      <c r="A4636" s="20">
        <v>4644</v>
      </c>
      <c r="B4636" s="1063">
        <v>44413</v>
      </c>
      <c r="C4636" s="934" t="s">
        <v>15744</v>
      </c>
      <c r="D4636" s="11" t="s">
        <v>6</v>
      </c>
      <c r="E4636" s="204" t="s">
        <v>15012</v>
      </c>
      <c r="F4636" s="934" t="s">
        <v>11544</v>
      </c>
      <c r="G4636" s="204" t="s">
        <v>15745</v>
      </c>
      <c r="H4636" s="204" t="s">
        <v>1379</v>
      </c>
      <c r="I4636" s="204" t="s">
        <v>1379</v>
      </c>
      <c r="J4636" s="204"/>
      <c r="K4636" s="204"/>
      <c r="L4636" s="204"/>
      <c r="M4636" s="204">
        <v>1</v>
      </c>
      <c r="N4636" s="204">
        <v>1</v>
      </c>
      <c r="O4636" s="204">
        <v>2</v>
      </c>
      <c r="P4636" s="204">
        <v>0</v>
      </c>
      <c r="Q4636" s="572">
        <v>1</v>
      </c>
      <c r="R4636" s="1209"/>
      <c r="S4636" s="1209">
        <v>109673</v>
      </c>
      <c r="T4636" s="204" t="s">
        <v>3961</v>
      </c>
      <c r="U4636" s="1901" t="s">
        <v>9486</v>
      </c>
      <c r="V4636" s="572" t="s">
        <v>352</v>
      </c>
      <c r="W4636" s="681"/>
      <c r="X4636" s="18"/>
      <c r="Y4636" s="4"/>
      <c r="Z4636" s="4"/>
    </row>
    <row r="4637" spans="1:26" ht="14.1" hidden="1">
      <c r="A4637" s="200">
        <v>4645</v>
      </c>
      <c r="B4637" s="1063">
        <v>44414</v>
      </c>
      <c r="C4637" s="970" t="s">
        <v>15746</v>
      </c>
      <c r="D4637" s="231" t="s">
        <v>6</v>
      </c>
      <c r="E4637" s="717" t="s">
        <v>15012</v>
      </c>
      <c r="F4637" s="970" t="s">
        <v>9454</v>
      </c>
      <c r="G4637" s="717" t="s">
        <v>15537</v>
      </c>
      <c r="H4637" s="717" t="s">
        <v>366</v>
      </c>
      <c r="I4637" s="717" t="s">
        <v>366</v>
      </c>
      <c r="J4637" s="717" t="s">
        <v>15746</v>
      </c>
      <c r="K4637" s="717"/>
      <c r="L4637" s="717"/>
      <c r="M4637" s="717">
        <v>32</v>
      </c>
      <c r="N4637" s="717">
        <v>1</v>
      </c>
      <c r="O4637" s="717">
        <v>100</v>
      </c>
      <c r="P4637" s="717">
        <v>0</v>
      </c>
      <c r="Q4637" s="718">
        <v>76</v>
      </c>
      <c r="R4637" s="1234">
        <v>50</v>
      </c>
      <c r="S4637" s="1234">
        <v>5000</v>
      </c>
      <c r="T4637" s="717" t="s">
        <v>3961</v>
      </c>
      <c r="U4637" s="1927" t="s">
        <v>5441</v>
      </c>
      <c r="V4637" s="718" t="s">
        <v>3342</v>
      </c>
      <c r="W4637" s="2133" t="s">
        <v>15747</v>
      </c>
      <c r="X4637" s="56"/>
      <c r="Y4637" s="57"/>
      <c r="Z4637" s="57"/>
    </row>
    <row r="4638" spans="1:26" ht="14.1" hidden="1">
      <c r="A4638" s="200">
        <v>4646</v>
      </c>
      <c r="B4638" s="1063">
        <v>44415</v>
      </c>
      <c r="C4638" s="970" t="s">
        <v>15748</v>
      </c>
      <c r="D4638" s="231" t="s">
        <v>6</v>
      </c>
      <c r="E4638" s="717" t="s">
        <v>15012</v>
      </c>
      <c r="F4638" s="970" t="s">
        <v>9454</v>
      </c>
      <c r="G4638" s="717" t="s">
        <v>15521</v>
      </c>
      <c r="H4638" s="717" t="s">
        <v>366</v>
      </c>
      <c r="I4638" s="717" t="s">
        <v>366</v>
      </c>
      <c r="J4638" s="717" t="s">
        <v>15748</v>
      </c>
      <c r="K4638" s="717"/>
      <c r="L4638" s="717"/>
      <c r="M4638" s="717">
        <v>20</v>
      </c>
      <c r="N4638" s="717">
        <v>1</v>
      </c>
      <c r="O4638" s="717">
        <v>100</v>
      </c>
      <c r="P4638" s="717">
        <v>0</v>
      </c>
      <c r="Q4638" s="718">
        <v>86</v>
      </c>
      <c r="R4638" s="1234">
        <v>50</v>
      </c>
      <c r="S4638" s="1234">
        <v>5000</v>
      </c>
      <c r="T4638" s="717" t="s">
        <v>3961</v>
      </c>
      <c r="U4638" s="1927" t="s">
        <v>5441</v>
      </c>
      <c r="V4638" s="718" t="s">
        <v>3342</v>
      </c>
      <c r="W4638" s="2106" t="s">
        <v>15749</v>
      </c>
      <c r="X4638" s="56"/>
      <c r="Y4638" s="57"/>
      <c r="Z4638" s="57"/>
    </row>
    <row r="4639" spans="1:26" ht="14.1" hidden="1">
      <c r="A4639" s="20">
        <v>4647</v>
      </c>
      <c r="B4639" s="1063">
        <v>44416</v>
      </c>
      <c r="C4639" s="934" t="s">
        <v>15750</v>
      </c>
      <c r="D4639" s="8" t="s">
        <v>6</v>
      </c>
      <c r="E4639" s="204" t="s">
        <v>15012</v>
      </c>
      <c r="F4639" s="934" t="s">
        <v>9454</v>
      </c>
      <c r="G4639" s="204" t="s">
        <v>15548</v>
      </c>
      <c r="H4639" s="204" t="s">
        <v>366</v>
      </c>
      <c r="I4639" s="204" t="s">
        <v>366</v>
      </c>
      <c r="J4639" s="204" t="s">
        <v>15750</v>
      </c>
      <c r="K4639" s="204"/>
      <c r="L4639" s="204"/>
      <c r="M4639" s="204">
        <v>24</v>
      </c>
      <c r="N4639" s="204">
        <v>1</v>
      </c>
      <c r="O4639" s="204">
        <v>100</v>
      </c>
      <c r="P4639" s="204">
        <v>0</v>
      </c>
      <c r="Q4639" s="572">
        <v>84</v>
      </c>
      <c r="R4639" s="1209">
        <v>50</v>
      </c>
      <c r="S4639" s="1209">
        <v>5000</v>
      </c>
      <c r="T4639" s="204" t="s">
        <v>3961</v>
      </c>
      <c r="U4639" s="1901" t="s">
        <v>5441</v>
      </c>
      <c r="V4639" s="572" t="s">
        <v>3342</v>
      </c>
      <c r="W4639" s="681" t="s">
        <v>15747</v>
      </c>
      <c r="X4639" s="18"/>
      <c r="Y4639" s="4"/>
      <c r="Z4639" s="4"/>
    </row>
    <row r="4640" spans="1:26" ht="14.1" hidden="1">
      <c r="A4640" s="20">
        <v>4648</v>
      </c>
      <c r="B4640" s="1063">
        <v>44417</v>
      </c>
      <c r="C4640" s="934">
        <v>554600272</v>
      </c>
      <c r="D4640" s="11"/>
      <c r="E4640" s="204" t="s">
        <v>4951</v>
      </c>
      <c r="F4640" s="934" t="s">
        <v>11323</v>
      </c>
      <c r="G4640" s="204" t="s">
        <v>15751</v>
      </c>
      <c r="H4640" s="204" t="s">
        <v>1143</v>
      </c>
      <c r="I4640" s="204" t="s">
        <v>574</v>
      </c>
      <c r="J4640" s="204" t="s">
        <v>3640</v>
      </c>
      <c r="K4640" s="204">
        <v>554600272</v>
      </c>
      <c r="L4640" s="204"/>
      <c r="M4640" s="204">
        <v>32</v>
      </c>
      <c r="N4640" s="204">
        <v>1</v>
      </c>
      <c r="O4640" s="204">
        <v>40</v>
      </c>
      <c r="P4640" s="204">
        <v>0</v>
      </c>
      <c r="Q4640" s="572">
        <v>8</v>
      </c>
      <c r="R4640" s="1209">
        <v>130</v>
      </c>
      <c r="S4640" s="1209">
        <f>R4640*O4640</f>
        <v>5200</v>
      </c>
      <c r="T4640" s="204" t="s">
        <v>3961</v>
      </c>
      <c r="U4640" s="1901" t="s">
        <v>3637</v>
      </c>
      <c r="V4640" s="572" t="s">
        <v>352</v>
      </c>
      <c r="W4640" s="804" t="s">
        <v>15752</v>
      </c>
      <c r="X4640" s="18"/>
      <c r="Y4640" s="4"/>
      <c r="Z4640" s="4"/>
    </row>
    <row r="4641" spans="1:26" ht="14.1" hidden="1">
      <c r="A4641" s="20">
        <v>4649</v>
      </c>
      <c r="B4641" s="1063">
        <v>44418</v>
      </c>
      <c r="C4641" s="934" t="s">
        <v>2281</v>
      </c>
      <c r="D4641" s="8" t="s">
        <v>6</v>
      </c>
      <c r="E4641" s="204" t="s">
        <v>4951</v>
      </c>
      <c r="F4641" s="831" t="s">
        <v>11323</v>
      </c>
      <c r="G4641" s="832" t="s">
        <v>6493</v>
      </c>
      <c r="H4641" s="832" t="s">
        <v>12014</v>
      </c>
      <c r="I4641" s="832" t="s">
        <v>15753</v>
      </c>
      <c r="J4641" s="832" t="s">
        <v>2281</v>
      </c>
      <c r="K4641" s="815" t="s">
        <v>2281</v>
      </c>
      <c r="L4641" s="832"/>
      <c r="M4641" s="832">
        <v>5</v>
      </c>
      <c r="N4641" s="832">
        <v>1</v>
      </c>
      <c r="O4641" s="832">
        <v>30</v>
      </c>
      <c r="P4641" s="832">
        <v>8</v>
      </c>
      <c r="Q4641" s="832">
        <v>38</v>
      </c>
      <c r="R4641" s="1349">
        <v>57</v>
      </c>
      <c r="S4641" s="1349">
        <v>1715</v>
      </c>
      <c r="T4641" s="832" t="s">
        <v>3961</v>
      </c>
      <c r="U4641" s="1946" t="s">
        <v>3637</v>
      </c>
      <c r="V4641" s="831" t="s">
        <v>352</v>
      </c>
      <c r="W4641" s="681"/>
      <c r="X4641" s="18"/>
      <c r="Y4641" s="4"/>
      <c r="Z4641" s="4"/>
    </row>
    <row r="4642" spans="1:26" ht="14.1" hidden="1">
      <c r="A4642" s="20">
        <v>4650</v>
      </c>
      <c r="B4642" s="1063">
        <v>44419</v>
      </c>
      <c r="C4642" s="18" t="s">
        <v>1183</v>
      </c>
      <c r="D4642" s="11" t="s">
        <v>6</v>
      </c>
      <c r="E4642" s="18" t="s">
        <v>683</v>
      </c>
      <c r="F4642" s="18" t="s">
        <v>73</v>
      </c>
      <c r="G4642" s="18" t="s">
        <v>3206</v>
      </c>
      <c r="H4642" s="18" t="s">
        <v>3207</v>
      </c>
      <c r="I4642" s="18" t="s">
        <v>310</v>
      </c>
      <c r="J4642" s="58" t="s">
        <v>3208</v>
      </c>
      <c r="K4642" s="58" t="s">
        <v>3208</v>
      </c>
      <c r="L4642" s="18" t="s">
        <v>1</v>
      </c>
      <c r="M4642" s="18">
        <v>2</v>
      </c>
      <c r="N4642" s="18">
        <v>1</v>
      </c>
      <c r="O4642" s="18">
        <v>2</v>
      </c>
      <c r="P4642" s="18">
        <v>0</v>
      </c>
      <c r="Q4642" s="18">
        <v>0</v>
      </c>
      <c r="R4642" s="1215">
        <v>1540</v>
      </c>
      <c r="S4642" s="1215">
        <v>3080</v>
      </c>
      <c r="T4642" s="18" t="s">
        <v>1</v>
      </c>
      <c r="U4642" s="1859" t="s">
        <v>1</v>
      </c>
      <c r="V4642" s="18" t="s">
        <v>689</v>
      </c>
      <c r="W4642" s="681" t="s">
        <v>15754</v>
      </c>
      <c r="X4642" s="18"/>
      <c r="Y4642" s="4"/>
      <c r="Z4642" s="4"/>
    </row>
    <row r="4643" spans="1:26" ht="14.1" hidden="1">
      <c r="A4643" s="20">
        <v>4651</v>
      </c>
      <c r="B4643" s="1063">
        <v>44420</v>
      </c>
      <c r="C4643" s="18" t="s">
        <v>1183</v>
      </c>
      <c r="D4643" s="11" t="s">
        <v>6</v>
      </c>
      <c r="E4643" s="18" t="s">
        <v>683</v>
      </c>
      <c r="F4643" s="18" t="s">
        <v>73</v>
      </c>
      <c r="G4643" s="18" t="s">
        <v>15755</v>
      </c>
      <c r="H4643" s="18" t="s">
        <v>12892</v>
      </c>
      <c r="I4643" s="18" t="s">
        <v>310</v>
      </c>
      <c r="J4643" s="58" t="s">
        <v>15756</v>
      </c>
      <c r="K4643" s="58" t="s">
        <v>15756</v>
      </c>
      <c r="L4643" s="18" t="s">
        <v>1</v>
      </c>
      <c r="M4643" s="18">
        <v>3</v>
      </c>
      <c r="N4643" s="18">
        <v>1</v>
      </c>
      <c r="O4643" s="18">
        <v>3</v>
      </c>
      <c r="P4643" s="18">
        <v>0</v>
      </c>
      <c r="Q4643" s="18">
        <v>0</v>
      </c>
      <c r="R4643" s="1215">
        <v>1265</v>
      </c>
      <c r="S4643" s="1215">
        <v>3795</v>
      </c>
      <c r="T4643" s="18" t="s">
        <v>1</v>
      </c>
      <c r="U4643" s="1859" t="s">
        <v>1</v>
      </c>
      <c r="V4643" s="18" t="s">
        <v>689</v>
      </c>
      <c r="W4643" s="681"/>
      <c r="X4643" s="18"/>
      <c r="Y4643" s="4"/>
      <c r="Z4643" s="4"/>
    </row>
    <row r="4644" spans="1:26" ht="14.45" hidden="1">
      <c r="A4644" s="20">
        <v>4652</v>
      </c>
      <c r="B4644" s="1063">
        <v>44421</v>
      </c>
      <c r="C4644" s="924" t="s">
        <v>14992</v>
      </c>
      <c r="D4644" s="803"/>
      <c r="E4644" s="18" t="s">
        <v>683</v>
      </c>
      <c r="F4644" s="985" t="s">
        <v>10005</v>
      </c>
      <c r="G4644" s="683" t="s">
        <v>15757</v>
      </c>
      <c r="H4644" s="683" t="s">
        <v>1928</v>
      </c>
      <c r="I4644" s="683" t="s">
        <v>13153</v>
      </c>
      <c r="J4644" s="683" t="s">
        <v>14994</v>
      </c>
      <c r="K4644" s="683" t="s">
        <v>14994</v>
      </c>
      <c r="L4644" s="683" t="s">
        <v>149</v>
      </c>
      <c r="M4644" s="683">
        <v>3</v>
      </c>
      <c r="N4644" s="683">
        <v>0</v>
      </c>
      <c r="O4644" s="683">
        <v>5</v>
      </c>
      <c r="P4644" s="683">
        <v>3</v>
      </c>
      <c r="Q4644" s="683">
        <v>2</v>
      </c>
      <c r="R4644" s="1282">
        <v>737</v>
      </c>
      <c r="S4644" s="1285">
        <v>3685</v>
      </c>
      <c r="T4644" s="678" t="s">
        <v>14509</v>
      </c>
      <c r="U4644" s="740" t="s">
        <v>4220</v>
      </c>
      <c r="V4644" s="204" t="s">
        <v>689</v>
      </c>
      <c r="W4644" s="804" t="s">
        <v>14995</v>
      </c>
      <c r="X4644" s="689"/>
      <c r="Y4644" s="4"/>
      <c r="Z4644" s="4"/>
    </row>
    <row r="4645" spans="1:26" ht="14.45" hidden="1">
      <c r="A4645" s="20">
        <v>4653</v>
      </c>
      <c r="B4645" s="1063">
        <v>44422</v>
      </c>
      <c r="C4645" s="987" t="s">
        <v>15758</v>
      </c>
      <c r="D4645" s="607"/>
      <c r="E4645" s="18" t="s">
        <v>683</v>
      </c>
      <c r="F4645" s="986" t="s">
        <v>10005</v>
      </c>
      <c r="G4645" s="298" t="s">
        <v>15757</v>
      </c>
      <c r="H4645" s="298" t="s">
        <v>1928</v>
      </c>
      <c r="I4645" s="298" t="s">
        <v>13153</v>
      </c>
      <c r="J4645" s="298" t="s">
        <v>15759</v>
      </c>
      <c r="K4645" s="670" t="s">
        <v>15759</v>
      </c>
      <c r="L4645" s="670" t="s">
        <v>149</v>
      </c>
      <c r="M4645" s="298">
        <v>3</v>
      </c>
      <c r="N4645" s="298">
        <v>0</v>
      </c>
      <c r="O4645" s="298">
        <v>5</v>
      </c>
      <c r="P4645" s="298">
        <v>3</v>
      </c>
      <c r="Q4645" s="298">
        <v>2</v>
      </c>
      <c r="R4645" s="1283">
        <v>598.4</v>
      </c>
      <c r="S4645" s="1286">
        <v>2992</v>
      </c>
      <c r="T4645" s="282" t="s">
        <v>14509</v>
      </c>
      <c r="U4645" s="1537" t="s">
        <v>4220</v>
      </c>
      <c r="V4645" s="204" t="s">
        <v>689</v>
      </c>
      <c r="W4645" s="697" t="s">
        <v>15760</v>
      </c>
      <c r="X4645" s="690"/>
      <c r="Y4645" s="4"/>
      <c r="Z4645" s="4"/>
    </row>
    <row r="4646" spans="1:26" ht="14.45" hidden="1">
      <c r="A4646" s="20">
        <v>4654</v>
      </c>
      <c r="B4646" s="1063">
        <v>44423</v>
      </c>
      <c r="C4646" s="987" t="s">
        <v>15761</v>
      </c>
      <c r="D4646" s="607"/>
      <c r="E4646" s="18" t="s">
        <v>683</v>
      </c>
      <c r="F4646" s="986" t="s">
        <v>10005</v>
      </c>
      <c r="G4646" s="298" t="s">
        <v>15762</v>
      </c>
      <c r="H4646" s="298" t="s">
        <v>15763</v>
      </c>
      <c r="I4646" s="282" t="s">
        <v>805</v>
      </c>
      <c r="J4646" s="282" t="s">
        <v>15764</v>
      </c>
      <c r="K4646" s="217" t="s">
        <v>15765</v>
      </c>
      <c r="L4646" s="217" t="s">
        <v>149</v>
      </c>
      <c r="M4646" s="298">
        <v>1</v>
      </c>
      <c r="N4646" s="282">
        <v>1</v>
      </c>
      <c r="O4646" s="282">
        <v>1</v>
      </c>
      <c r="P4646" s="282">
        <v>0</v>
      </c>
      <c r="Q4646" s="282">
        <v>0</v>
      </c>
      <c r="R4646" s="1286">
        <v>17000</v>
      </c>
      <c r="S4646" s="1286">
        <v>17000</v>
      </c>
      <c r="T4646" s="282" t="s">
        <v>4220</v>
      </c>
      <c r="U4646" s="765" t="s">
        <v>4220</v>
      </c>
      <c r="V4646" s="183" t="s">
        <v>689</v>
      </c>
      <c r="W4646" s="650" t="s">
        <v>15766</v>
      </c>
      <c r="X4646" s="690"/>
      <c r="Y4646" s="4"/>
      <c r="Z4646" s="4"/>
    </row>
    <row r="4647" spans="1:26" ht="14.45" hidden="1">
      <c r="A4647" s="20">
        <v>4655</v>
      </c>
      <c r="B4647" s="1063">
        <v>44424</v>
      </c>
      <c r="C4647" s="987" t="s">
        <v>15767</v>
      </c>
      <c r="D4647" s="607"/>
      <c r="E4647" s="18" t="s">
        <v>683</v>
      </c>
      <c r="F4647" s="986" t="s">
        <v>10005</v>
      </c>
      <c r="G4647" s="298" t="s">
        <v>15768</v>
      </c>
      <c r="H4647" s="282" t="s">
        <v>15763</v>
      </c>
      <c r="I4647" s="282" t="s">
        <v>1022</v>
      </c>
      <c r="J4647" s="282" t="s">
        <v>15769</v>
      </c>
      <c r="K4647" s="282" t="s">
        <v>15769</v>
      </c>
      <c r="L4647" s="282" t="s">
        <v>149</v>
      </c>
      <c r="M4647" s="298">
        <v>1</v>
      </c>
      <c r="N4647" s="282">
        <v>1</v>
      </c>
      <c r="O4647" s="282">
        <v>1</v>
      </c>
      <c r="P4647" s="282">
        <v>0</v>
      </c>
      <c r="Q4647" s="282">
        <v>0</v>
      </c>
      <c r="R4647" s="1286">
        <v>1161.9000000000001</v>
      </c>
      <c r="S4647" s="1286">
        <v>1161.9000000000001</v>
      </c>
      <c r="T4647" s="282" t="s">
        <v>4220</v>
      </c>
      <c r="U4647" s="765" t="s">
        <v>4220</v>
      </c>
      <c r="V4647" s="183" t="s">
        <v>689</v>
      </c>
      <c r="W4647" s="650" t="s">
        <v>15770</v>
      </c>
      <c r="X4647" s="690"/>
      <c r="Y4647" s="4"/>
      <c r="Z4647" s="4"/>
    </row>
    <row r="4648" spans="1:26" ht="14.1" hidden="1">
      <c r="A4648" s="20">
        <v>4656</v>
      </c>
      <c r="B4648" s="1063">
        <v>44425</v>
      </c>
      <c r="C4648" s="934" t="s">
        <v>15771</v>
      </c>
      <c r="D4648" s="10" t="s">
        <v>6</v>
      </c>
      <c r="E4648" s="204" t="s">
        <v>14758</v>
      </c>
      <c r="F4648" s="986" t="s">
        <v>13364</v>
      </c>
      <c r="G4648" s="298" t="s">
        <v>15772</v>
      </c>
      <c r="H4648" s="204" t="s">
        <v>2128</v>
      </c>
      <c r="I4648" s="204" t="s">
        <v>281</v>
      </c>
      <c r="J4648" s="204" t="s">
        <v>15773</v>
      </c>
      <c r="K4648" s="204" t="s">
        <v>15774</v>
      </c>
      <c r="L4648" s="204" t="s">
        <v>1</v>
      </c>
      <c r="M4648" s="204">
        <v>3</v>
      </c>
      <c r="N4648" s="204">
        <v>1</v>
      </c>
      <c r="O4648" s="204">
        <v>3</v>
      </c>
      <c r="P4648" s="204">
        <v>0</v>
      </c>
      <c r="Q4648" s="572">
        <v>0</v>
      </c>
      <c r="R4648" s="1286">
        <v>4103</v>
      </c>
      <c r="S4648" s="1209">
        <v>12309</v>
      </c>
      <c r="T4648" s="204" t="s">
        <v>14362</v>
      </c>
      <c r="U4648" s="1901"/>
      <c r="V4648" s="572"/>
      <c r="W4648" s="681" t="s">
        <v>15775</v>
      </c>
      <c r="X4648" s="18"/>
      <c r="Y4648" s="4"/>
      <c r="Z4648" s="4"/>
    </row>
    <row r="4649" spans="1:26" ht="14.1" hidden="1">
      <c r="A4649" s="20">
        <v>4657</v>
      </c>
      <c r="B4649" s="1063">
        <v>44426</v>
      </c>
      <c r="C4649" s="963" t="s">
        <v>10343</v>
      </c>
      <c r="D4649" s="11"/>
      <c r="E4649" s="204" t="s">
        <v>62</v>
      </c>
      <c r="F4649" s="985" t="s">
        <v>10096</v>
      </c>
      <c r="G4649" s="298" t="s">
        <v>10344</v>
      </c>
      <c r="H4649" s="298" t="s">
        <v>6005</v>
      </c>
      <c r="I4649" s="298" t="s">
        <v>6005</v>
      </c>
      <c r="J4649" s="298" t="s">
        <v>10345</v>
      </c>
      <c r="K4649" s="298" t="s">
        <v>10345</v>
      </c>
      <c r="L4649" s="298"/>
      <c r="M4649" s="298">
        <v>1</v>
      </c>
      <c r="N4649" s="298">
        <v>1</v>
      </c>
      <c r="O4649" s="298">
        <v>1</v>
      </c>
      <c r="P4649" s="298">
        <v>0</v>
      </c>
      <c r="Q4649" s="669">
        <f>(O4649+P4649)-M4649</f>
        <v>0</v>
      </c>
      <c r="R4649" s="1209">
        <v>63017</v>
      </c>
      <c r="S4649" s="1209">
        <f t="shared" ref="S4649:S4652" si="268">R4649*O4649</f>
        <v>63017</v>
      </c>
      <c r="T4649" s="204" t="s">
        <v>3961</v>
      </c>
      <c r="U4649" s="1901" t="s">
        <v>3637</v>
      </c>
      <c r="V4649" s="572" t="s">
        <v>15776</v>
      </c>
      <c r="W4649" s="681" t="s">
        <v>15777</v>
      </c>
      <c r="X4649" s="18"/>
      <c r="Y4649" s="4"/>
      <c r="Z4649" s="4"/>
    </row>
    <row r="4650" spans="1:26" ht="14.1" hidden="1">
      <c r="A4650" s="200">
        <v>4658</v>
      </c>
      <c r="B4650" s="1063">
        <v>44427</v>
      </c>
      <c r="C4650" s="970" t="s">
        <v>15778</v>
      </c>
      <c r="D4650" s="374"/>
      <c r="E4650" s="717"/>
      <c r="F4650" s="970" t="s">
        <v>10347</v>
      </c>
      <c r="G4650" s="717" t="s">
        <v>15779</v>
      </c>
      <c r="H4650" s="717" t="s">
        <v>15780</v>
      </c>
      <c r="I4650" s="717" t="s">
        <v>84</v>
      </c>
      <c r="J4650" s="608">
        <v>7181781</v>
      </c>
      <c r="K4650" s="608" t="s">
        <v>12888</v>
      </c>
      <c r="L4650" s="717"/>
      <c r="M4650" s="717">
        <v>4</v>
      </c>
      <c r="N4650" s="717">
        <v>1</v>
      </c>
      <c r="O4650" s="717">
        <v>12</v>
      </c>
      <c r="P4650" s="717">
        <v>0</v>
      </c>
      <c r="Q4650" s="718">
        <v>8</v>
      </c>
      <c r="R4650" s="1234">
        <v>119</v>
      </c>
      <c r="S4650" s="1234">
        <f t="shared" si="268"/>
        <v>1428</v>
      </c>
      <c r="T4650" s="717" t="s">
        <v>3961</v>
      </c>
      <c r="U4650" s="1927" t="s">
        <v>9486</v>
      </c>
      <c r="V4650" s="718" t="s">
        <v>352</v>
      </c>
      <c r="W4650" s="2106" t="s">
        <v>15781</v>
      </c>
      <c r="X4650" s="56"/>
      <c r="Y4650" s="57"/>
      <c r="Z4650" s="57"/>
    </row>
    <row r="4651" spans="1:26" ht="15.95" hidden="1">
      <c r="A4651" s="200">
        <v>4659</v>
      </c>
      <c r="B4651" s="1063">
        <v>44428</v>
      </c>
      <c r="C4651" s="970" t="s">
        <v>15782</v>
      </c>
      <c r="D4651" s="374"/>
      <c r="E4651" s="717"/>
      <c r="F4651" s="970" t="s">
        <v>10347</v>
      </c>
      <c r="G4651" s="717" t="s">
        <v>15783</v>
      </c>
      <c r="H4651" s="717" t="s">
        <v>101</v>
      </c>
      <c r="I4651" s="717" t="s">
        <v>84</v>
      </c>
      <c r="J4651" s="717">
        <v>70791605</v>
      </c>
      <c r="K4651" s="609" t="s">
        <v>15784</v>
      </c>
      <c r="L4651" s="717"/>
      <c r="M4651" s="717">
        <v>1</v>
      </c>
      <c r="N4651" s="717">
        <v>1</v>
      </c>
      <c r="O4651" s="717">
        <v>1</v>
      </c>
      <c r="P4651" s="717">
        <v>0</v>
      </c>
      <c r="Q4651" s="718">
        <v>0</v>
      </c>
      <c r="R4651" s="1234">
        <v>529</v>
      </c>
      <c r="S4651" s="1234">
        <f t="shared" si="268"/>
        <v>529</v>
      </c>
      <c r="T4651" s="717" t="s">
        <v>3961</v>
      </c>
      <c r="U4651" s="1927" t="s">
        <v>9486</v>
      </c>
      <c r="V4651" s="718" t="s">
        <v>352</v>
      </c>
      <c r="W4651" s="2106" t="s">
        <v>15785</v>
      </c>
      <c r="X4651" s="56"/>
      <c r="Y4651" s="57"/>
      <c r="Z4651" s="57"/>
    </row>
    <row r="4652" spans="1:26" ht="14.1" hidden="1">
      <c r="A4652" s="200">
        <v>4660</v>
      </c>
      <c r="B4652" s="1063">
        <v>44429</v>
      </c>
      <c r="C4652" s="970" t="s">
        <v>15786</v>
      </c>
      <c r="D4652" s="374"/>
      <c r="E4652" s="717"/>
      <c r="F4652" s="970" t="s">
        <v>10347</v>
      </c>
      <c r="G4652" s="717" t="s">
        <v>15787</v>
      </c>
      <c r="H4652" s="717" t="s">
        <v>2786</v>
      </c>
      <c r="I4652" s="717" t="s">
        <v>39</v>
      </c>
      <c r="J4652" s="717" t="s">
        <v>15788</v>
      </c>
      <c r="K4652" s="717" t="s">
        <v>15789</v>
      </c>
      <c r="L4652" s="717"/>
      <c r="M4652" s="717">
        <v>2</v>
      </c>
      <c r="N4652" s="717">
        <v>100</v>
      </c>
      <c r="O4652" s="717">
        <v>100</v>
      </c>
      <c r="P4652" s="717">
        <v>0</v>
      </c>
      <c r="Q4652" s="718">
        <v>98</v>
      </c>
      <c r="R4652" s="1234">
        <v>6.17</v>
      </c>
      <c r="S4652" s="1234">
        <f t="shared" si="268"/>
        <v>617</v>
      </c>
      <c r="T4652" s="717" t="s">
        <v>3961</v>
      </c>
      <c r="U4652" s="1927" t="s">
        <v>9486</v>
      </c>
      <c r="V4652" s="718" t="s">
        <v>352</v>
      </c>
      <c r="W4652" s="2106" t="s">
        <v>15790</v>
      </c>
      <c r="X4652" s="56"/>
      <c r="Y4652" s="57"/>
      <c r="Z4652" s="57"/>
    </row>
    <row r="4653" spans="1:26" ht="14.1" hidden="1">
      <c r="A4653" s="20">
        <v>4661</v>
      </c>
      <c r="B4653" s="1063">
        <v>44430</v>
      </c>
      <c r="C4653" s="934" t="s">
        <v>15791</v>
      </c>
      <c r="D4653" s="11" t="s">
        <v>6</v>
      </c>
      <c r="E4653" s="204" t="s">
        <v>15792</v>
      </c>
      <c r="F4653" s="934" t="s">
        <v>73</v>
      </c>
      <c r="G4653" s="204" t="s">
        <v>15793</v>
      </c>
      <c r="H4653" s="204" t="s">
        <v>15794</v>
      </c>
      <c r="I4653" s="204" t="s">
        <v>15794</v>
      </c>
      <c r="J4653" s="204" t="s">
        <v>1</v>
      </c>
      <c r="K4653" s="204" t="s">
        <v>1</v>
      </c>
      <c r="L4653" s="204" t="s">
        <v>1</v>
      </c>
      <c r="M4653" s="204">
        <v>1</v>
      </c>
      <c r="N4653" s="204">
        <v>1</v>
      </c>
      <c r="O4653" s="204">
        <v>1</v>
      </c>
      <c r="P4653" s="204">
        <v>0</v>
      </c>
      <c r="Q4653" s="572">
        <v>0</v>
      </c>
      <c r="R4653" s="1209">
        <v>367300</v>
      </c>
      <c r="S4653" s="1209">
        <v>367300</v>
      </c>
      <c r="T4653" s="204" t="s">
        <v>15795</v>
      </c>
      <c r="U4653" s="1901" t="s">
        <v>1</v>
      </c>
      <c r="V4653" s="572" t="s">
        <v>150</v>
      </c>
      <c r="W4653" s="681"/>
      <c r="X4653" s="18"/>
      <c r="Y4653" s="4"/>
      <c r="Z4653" s="4"/>
    </row>
    <row r="4654" spans="1:26" ht="14.45" hidden="1">
      <c r="A4654" s="20">
        <v>4663</v>
      </c>
      <c r="B4654" s="1063">
        <v>44431</v>
      </c>
      <c r="C4654" s="300" t="s">
        <v>15796</v>
      </c>
      <c r="D4654" s="10" t="s">
        <v>6</v>
      </c>
      <c r="E4654" s="678" t="s">
        <v>683</v>
      </c>
      <c r="F4654" s="985" t="s">
        <v>10005</v>
      </c>
      <c r="G4654" s="678" t="s">
        <v>15797</v>
      </c>
      <c r="H4654" s="678" t="s">
        <v>15798</v>
      </c>
      <c r="I4654" s="678" t="s">
        <v>15798</v>
      </c>
      <c r="J4654" s="678" t="s">
        <v>15799</v>
      </c>
      <c r="K4654" s="678" t="s">
        <v>15799</v>
      </c>
      <c r="L4654" s="683" t="s">
        <v>149</v>
      </c>
      <c r="M4654" s="678">
        <v>2</v>
      </c>
      <c r="N4654" s="678">
        <v>1</v>
      </c>
      <c r="O4654" s="678">
        <v>2</v>
      </c>
      <c r="P4654" s="678">
        <v>1</v>
      </c>
      <c r="Q4654" s="678">
        <v>1</v>
      </c>
      <c r="R4654" s="1285">
        <v>6864</v>
      </c>
      <c r="S4654" s="1285">
        <v>13728</v>
      </c>
      <c r="T4654" s="683" t="s">
        <v>14509</v>
      </c>
      <c r="U4654" s="740" t="s">
        <v>4220</v>
      </c>
      <c r="V4654" s="204" t="s">
        <v>689</v>
      </c>
      <c r="W4654" s="689" t="s">
        <v>15800</v>
      </c>
      <c r="X4654" s="18"/>
      <c r="Y4654" s="4"/>
      <c r="Z4654" s="4"/>
    </row>
    <row r="4655" spans="1:26" ht="14.45" hidden="1">
      <c r="A4655" s="20">
        <v>4664</v>
      </c>
      <c r="B4655" s="1063">
        <v>44432</v>
      </c>
      <c r="C4655" s="987" t="s">
        <v>15801</v>
      </c>
      <c r="D4655" s="11" t="s">
        <v>6</v>
      </c>
      <c r="E4655" s="678" t="s">
        <v>683</v>
      </c>
      <c r="F4655" s="986" t="s">
        <v>10005</v>
      </c>
      <c r="G4655" s="282" t="s">
        <v>15802</v>
      </c>
      <c r="H4655" s="282" t="s">
        <v>366</v>
      </c>
      <c r="I4655" s="282" t="s">
        <v>366</v>
      </c>
      <c r="J4655" s="282" t="s">
        <v>15803</v>
      </c>
      <c r="K4655" s="282" t="s">
        <v>15803</v>
      </c>
      <c r="L4655" s="298" t="s">
        <v>149</v>
      </c>
      <c r="M4655" s="282">
        <v>2</v>
      </c>
      <c r="N4655" s="282">
        <v>1</v>
      </c>
      <c r="O4655" s="282">
        <v>2</v>
      </c>
      <c r="P4655" s="282">
        <v>0</v>
      </c>
      <c r="Q4655" s="282">
        <v>0</v>
      </c>
      <c r="R4655" s="1286">
        <v>1752</v>
      </c>
      <c r="S4655" s="1286">
        <v>3504</v>
      </c>
      <c r="T4655" s="298" t="s">
        <v>14509</v>
      </c>
      <c r="U4655" s="1537" t="s">
        <v>4220</v>
      </c>
      <c r="V4655" s="204" t="s">
        <v>689</v>
      </c>
      <c r="W4655" s="690" t="s">
        <v>15804</v>
      </c>
      <c r="X4655" s="18"/>
      <c r="Y4655" s="4"/>
      <c r="Z4655" s="4"/>
    </row>
    <row r="4656" spans="1:26" ht="14.45" hidden="1">
      <c r="A4656" s="20">
        <v>4665</v>
      </c>
      <c r="B4656" s="1063">
        <v>44433</v>
      </c>
      <c r="C4656" s="987" t="s">
        <v>15801</v>
      </c>
      <c r="D4656" s="11" t="s">
        <v>6</v>
      </c>
      <c r="E4656" s="678" t="s">
        <v>683</v>
      </c>
      <c r="F4656" s="986" t="s">
        <v>10005</v>
      </c>
      <c r="G4656" s="282" t="s">
        <v>15805</v>
      </c>
      <c r="H4656" s="282" t="s">
        <v>366</v>
      </c>
      <c r="I4656" s="282" t="s">
        <v>366</v>
      </c>
      <c r="J4656" s="282" t="s">
        <v>15806</v>
      </c>
      <c r="K4656" s="282" t="s">
        <v>15806</v>
      </c>
      <c r="L4656" s="298" t="s">
        <v>149</v>
      </c>
      <c r="M4656" s="282">
        <v>2</v>
      </c>
      <c r="N4656" s="282">
        <v>1</v>
      </c>
      <c r="O4656" s="282">
        <v>2</v>
      </c>
      <c r="P4656" s="282">
        <v>0</v>
      </c>
      <c r="Q4656" s="282">
        <v>0</v>
      </c>
      <c r="R4656" s="1286">
        <v>1875</v>
      </c>
      <c r="S4656" s="1286">
        <v>3750</v>
      </c>
      <c r="T4656" s="298" t="s">
        <v>14509</v>
      </c>
      <c r="U4656" s="1537" t="s">
        <v>4220</v>
      </c>
      <c r="V4656" s="204" t="s">
        <v>689</v>
      </c>
      <c r="W4656" s="690" t="s">
        <v>15807</v>
      </c>
      <c r="X4656" s="18"/>
      <c r="Y4656" s="4"/>
      <c r="Z4656" s="4"/>
    </row>
    <row r="4657" spans="1:26" ht="14.45" hidden="1">
      <c r="A4657" s="20">
        <v>4666</v>
      </c>
      <c r="B4657" s="1063">
        <v>44434</v>
      </c>
      <c r="C4657" s="987" t="s">
        <v>15808</v>
      </c>
      <c r="D4657" s="11" t="s">
        <v>6</v>
      </c>
      <c r="E4657" s="678" t="s">
        <v>683</v>
      </c>
      <c r="F4657" s="961" t="s">
        <v>10005</v>
      </c>
      <c r="G4657" s="282" t="s">
        <v>15809</v>
      </c>
      <c r="H4657" s="282" t="s">
        <v>15810</v>
      </c>
      <c r="I4657" s="282" t="s">
        <v>1022</v>
      </c>
      <c r="J4657" s="282" t="s">
        <v>15811</v>
      </c>
      <c r="K4657" s="282" t="s">
        <v>15811</v>
      </c>
      <c r="L4657" s="282" t="s">
        <v>149</v>
      </c>
      <c r="M4657" s="282">
        <v>2</v>
      </c>
      <c r="N4657" s="282">
        <v>1</v>
      </c>
      <c r="O4657" s="282">
        <v>2</v>
      </c>
      <c r="P4657" s="282">
        <v>2</v>
      </c>
      <c r="Q4657" s="282">
        <v>2</v>
      </c>
      <c r="R4657" s="1286">
        <v>450</v>
      </c>
      <c r="S4657" s="1286">
        <v>900</v>
      </c>
      <c r="T4657" s="282" t="s">
        <v>4220</v>
      </c>
      <c r="U4657" s="765" t="s">
        <v>4220</v>
      </c>
      <c r="V4657" s="183" t="s">
        <v>689</v>
      </c>
      <c r="W4657" s="690" t="s">
        <v>15812</v>
      </c>
      <c r="X4657" s="18"/>
      <c r="Y4657" s="4"/>
      <c r="Z4657" s="4"/>
    </row>
    <row r="4658" spans="1:26" ht="14.1" hidden="1">
      <c r="A4658" s="20">
        <v>4667</v>
      </c>
      <c r="B4658" s="1063">
        <v>44435</v>
      </c>
      <c r="C4658" s="934" t="s">
        <v>15813</v>
      </c>
      <c r="D4658" s="278" t="s">
        <v>6</v>
      </c>
      <c r="E4658" s="683" t="s">
        <v>14758</v>
      </c>
      <c r="F4658" s="985" t="s">
        <v>11441</v>
      </c>
      <c r="G4658" s="683" t="s">
        <v>15814</v>
      </c>
      <c r="H4658" s="683" t="s">
        <v>15815</v>
      </c>
      <c r="I4658" s="683" t="s">
        <v>84</v>
      </c>
      <c r="J4658" s="683">
        <v>38641504</v>
      </c>
      <c r="K4658" s="683">
        <v>38641504</v>
      </c>
      <c r="L4658" s="683"/>
      <c r="M4658" s="683">
        <v>1</v>
      </c>
      <c r="N4658" s="683">
        <v>1</v>
      </c>
      <c r="O4658" s="683">
        <v>2</v>
      </c>
      <c r="P4658" s="683">
        <v>0</v>
      </c>
      <c r="Q4658" s="669">
        <v>1</v>
      </c>
      <c r="R4658" s="1318">
        <v>2990</v>
      </c>
      <c r="S4658" s="1318">
        <v>5980</v>
      </c>
      <c r="T4658" s="683" t="s">
        <v>1009</v>
      </c>
      <c r="U4658" s="1909" t="s">
        <v>15816</v>
      </c>
      <c r="V4658" s="572" t="s">
        <v>15817</v>
      </c>
      <c r="W4658" s="681" t="s">
        <v>15818</v>
      </c>
      <c r="X4658" s="18"/>
      <c r="Y4658" s="4"/>
      <c r="Z4658" s="4"/>
    </row>
    <row r="4659" spans="1:26" ht="14.1" hidden="1">
      <c r="A4659" s="20">
        <v>4668</v>
      </c>
      <c r="B4659" s="1063">
        <v>44436</v>
      </c>
      <c r="C4659" s="958" t="s">
        <v>15819</v>
      </c>
      <c r="D4659" s="278" t="s">
        <v>6</v>
      </c>
      <c r="E4659" s="683" t="s">
        <v>14758</v>
      </c>
      <c r="F4659" s="986" t="s">
        <v>11441</v>
      </c>
      <c r="G4659" s="298" t="s">
        <v>15820</v>
      </c>
      <c r="H4659" s="298" t="s">
        <v>15821</v>
      </c>
      <c r="I4659" s="298" t="s">
        <v>84</v>
      </c>
      <c r="J4659" s="298" t="s">
        <v>15822</v>
      </c>
      <c r="K4659" s="298" t="s">
        <v>15822</v>
      </c>
      <c r="L4659" s="298"/>
      <c r="M4659" s="298">
        <v>1</v>
      </c>
      <c r="N4659" s="298">
        <v>1</v>
      </c>
      <c r="O4659" s="298">
        <v>2</v>
      </c>
      <c r="P4659" s="298">
        <v>0</v>
      </c>
      <c r="Q4659" s="670">
        <v>1</v>
      </c>
      <c r="R4659" s="1319">
        <v>1790</v>
      </c>
      <c r="S4659" s="1319">
        <v>3580</v>
      </c>
      <c r="T4659" s="298" t="s">
        <v>1009</v>
      </c>
      <c r="U4659" s="1542" t="s">
        <v>15816</v>
      </c>
      <c r="V4659" s="572" t="s">
        <v>15817</v>
      </c>
      <c r="W4659" s="682" t="s">
        <v>15823</v>
      </c>
      <c r="X4659" s="18"/>
      <c r="Y4659" s="4"/>
      <c r="Z4659" s="4"/>
    </row>
    <row r="4660" spans="1:26" ht="14.1" hidden="1">
      <c r="A4660" s="20">
        <v>4669</v>
      </c>
      <c r="B4660" s="1063">
        <v>44437</v>
      </c>
      <c r="C4660" s="934" t="s">
        <v>15771</v>
      </c>
      <c r="D4660" s="10" t="s">
        <v>6</v>
      </c>
      <c r="E4660" s="204" t="s">
        <v>14758</v>
      </c>
      <c r="F4660" s="934" t="s">
        <v>13364</v>
      </c>
      <c r="G4660" s="204" t="s">
        <v>15824</v>
      </c>
      <c r="H4660" s="204" t="s">
        <v>2128</v>
      </c>
      <c r="I4660" s="204" t="s">
        <v>281</v>
      </c>
      <c r="J4660" s="204" t="s">
        <v>15825</v>
      </c>
      <c r="K4660" s="204" t="s">
        <v>15826</v>
      </c>
      <c r="L4660" s="204" t="s">
        <v>1</v>
      </c>
      <c r="M4660" s="204">
        <v>1</v>
      </c>
      <c r="N4660" s="204">
        <v>1</v>
      </c>
      <c r="O4660" s="204">
        <v>1</v>
      </c>
      <c r="P4660" s="204">
        <v>0</v>
      </c>
      <c r="Q4660" s="572">
        <v>0</v>
      </c>
      <c r="R4660" s="1319">
        <v>3992</v>
      </c>
      <c r="S4660" s="1319">
        <v>3992</v>
      </c>
      <c r="T4660" s="204" t="s">
        <v>14362</v>
      </c>
      <c r="U4660" s="1901" t="s">
        <v>10628</v>
      </c>
      <c r="V4660" s="572"/>
      <c r="W4660" s="681" t="s">
        <v>15827</v>
      </c>
      <c r="X4660" s="18"/>
      <c r="Y4660" s="4"/>
      <c r="Z4660" s="4"/>
    </row>
    <row r="4661" spans="1:26" ht="14.1" hidden="1">
      <c r="A4661" s="20">
        <v>4670</v>
      </c>
      <c r="B4661" s="1063">
        <v>44438</v>
      </c>
      <c r="C4661" s="934" t="s">
        <v>15828</v>
      </c>
      <c r="D4661" s="10" t="s">
        <v>6</v>
      </c>
      <c r="E4661" s="204" t="s">
        <v>14758</v>
      </c>
      <c r="F4661" s="934" t="s">
        <v>2143</v>
      </c>
      <c r="G4661" s="204" t="s">
        <v>15829</v>
      </c>
      <c r="H4661" s="204" t="s">
        <v>15830</v>
      </c>
      <c r="I4661" s="204" t="s">
        <v>84</v>
      </c>
      <c r="J4661" s="204">
        <v>68383455</v>
      </c>
      <c r="K4661" s="204" t="s">
        <v>15831</v>
      </c>
      <c r="L4661" s="204"/>
      <c r="M4661" s="204">
        <v>2</v>
      </c>
      <c r="N4661" s="204">
        <v>1</v>
      </c>
      <c r="O4661" s="204">
        <v>2</v>
      </c>
      <c r="P4661" s="204">
        <v>0</v>
      </c>
      <c r="Q4661" s="572">
        <v>0</v>
      </c>
      <c r="R4661" s="1209">
        <v>2090</v>
      </c>
      <c r="S4661" s="1209">
        <f t="shared" ref="S4661:S4662" si="269">R4661*O4661</f>
        <v>4180</v>
      </c>
      <c r="T4661" s="204" t="s">
        <v>118</v>
      </c>
      <c r="U4661" s="1901" t="s">
        <v>118</v>
      </c>
      <c r="V4661" s="572" t="s">
        <v>118</v>
      </c>
      <c r="W4661" s="681" t="s">
        <v>15832</v>
      </c>
      <c r="X4661" s="18"/>
      <c r="Y4661" s="4"/>
      <c r="Z4661" s="4"/>
    </row>
    <row r="4662" spans="1:26" ht="14.1" hidden="1">
      <c r="A4662" s="20">
        <v>4671</v>
      </c>
      <c r="B4662" s="1063">
        <v>44439</v>
      </c>
      <c r="C4662" s="934" t="s">
        <v>15833</v>
      </c>
      <c r="D4662" s="10" t="s">
        <v>6</v>
      </c>
      <c r="E4662" s="204" t="s">
        <v>14758</v>
      </c>
      <c r="F4662" s="934" t="s">
        <v>2143</v>
      </c>
      <c r="G4662" s="204" t="s">
        <v>15834</v>
      </c>
      <c r="H4662" s="204" t="s">
        <v>8535</v>
      </c>
      <c r="I4662" s="204" t="s">
        <v>84</v>
      </c>
      <c r="J4662" s="204">
        <v>37597244</v>
      </c>
      <c r="K4662" s="204" t="s">
        <v>15835</v>
      </c>
      <c r="L4662" s="204"/>
      <c r="M4662" s="204">
        <v>1</v>
      </c>
      <c r="N4662" s="204">
        <v>1</v>
      </c>
      <c r="O4662" s="204">
        <v>1</v>
      </c>
      <c r="P4662" s="204">
        <v>0</v>
      </c>
      <c r="Q4662" s="572">
        <v>0</v>
      </c>
      <c r="R4662" s="1209">
        <v>769</v>
      </c>
      <c r="S4662" s="1209">
        <f t="shared" si="269"/>
        <v>769</v>
      </c>
      <c r="T4662" s="204" t="s">
        <v>118</v>
      </c>
      <c r="U4662" s="1901" t="s">
        <v>118</v>
      </c>
      <c r="V4662" s="572" t="s">
        <v>118</v>
      </c>
      <c r="W4662" s="681" t="s">
        <v>15836</v>
      </c>
      <c r="X4662" s="18"/>
      <c r="Y4662" s="4"/>
      <c r="Z4662" s="4"/>
    </row>
    <row r="4663" spans="1:26" ht="14.1" hidden="1">
      <c r="A4663" s="20">
        <v>4672</v>
      </c>
      <c r="B4663" s="1063">
        <v>44440</v>
      </c>
      <c r="C4663" s="934" t="s">
        <v>4133</v>
      </c>
      <c r="D4663" s="10" t="s">
        <v>6</v>
      </c>
      <c r="E4663" s="204" t="s">
        <v>15012</v>
      </c>
      <c r="F4663" s="934" t="s">
        <v>9454</v>
      </c>
      <c r="G4663" s="204" t="s">
        <v>15837</v>
      </c>
      <c r="H4663" s="204" t="s">
        <v>3979</v>
      </c>
      <c r="I4663" s="204" t="s">
        <v>366</v>
      </c>
      <c r="J4663" s="204" t="s">
        <v>15838</v>
      </c>
      <c r="K4663" s="204"/>
      <c r="L4663" s="204"/>
      <c r="M4663" s="204">
        <v>12</v>
      </c>
      <c r="N4663" s="204">
        <v>50</v>
      </c>
      <c r="O4663" s="204">
        <v>50</v>
      </c>
      <c r="P4663" s="204">
        <v>0</v>
      </c>
      <c r="Q4663" s="572">
        <v>38</v>
      </c>
      <c r="R4663" s="1209">
        <v>7</v>
      </c>
      <c r="S4663" s="1209">
        <v>350</v>
      </c>
      <c r="T4663" s="204" t="s">
        <v>3961</v>
      </c>
      <c r="U4663" s="1901" t="s">
        <v>9486</v>
      </c>
      <c r="V4663" s="572" t="s">
        <v>352</v>
      </c>
      <c r="W4663" s="804" t="s">
        <v>15839</v>
      </c>
      <c r="X4663" s="18"/>
      <c r="Y4663" s="4"/>
      <c r="Z4663" s="4"/>
    </row>
    <row r="4664" spans="1:26" ht="14.1" hidden="1">
      <c r="A4664" s="20">
        <v>4673</v>
      </c>
      <c r="B4664" s="1063">
        <v>44441</v>
      </c>
      <c r="C4664" s="934" t="s">
        <v>15840</v>
      </c>
      <c r="D4664" s="278" t="s">
        <v>6</v>
      </c>
      <c r="E4664" s="204" t="s">
        <v>15012</v>
      </c>
      <c r="F4664" s="934" t="s">
        <v>9454</v>
      </c>
      <c r="G4664" s="204" t="s">
        <v>15840</v>
      </c>
      <c r="H4664" s="204" t="s">
        <v>3979</v>
      </c>
      <c r="I4664" s="204" t="s">
        <v>366</v>
      </c>
      <c r="J4664" s="204" t="s">
        <v>15841</v>
      </c>
      <c r="K4664" s="204"/>
      <c r="L4664" s="204"/>
      <c r="M4664" s="204">
        <v>12</v>
      </c>
      <c r="N4664" s="204">
        <v>1</v>
      </c>
      <c r="O4664" s="204">
        <v>50</v>
      </c>
      <c r="P4664" s="204">
        <v>0</v>
      </c>
      <c r="Q4664" s="572">
        <v>38</v>
      </c>
      <c r="R4664" s="1209">
        <v>12</v>
      </c>
      <c r="S4664" s="1209">
        <v>600</v>
      </c>
      <c r="T4664" s="204" t="s">
        <v>3961</v>
      </c>
      <c r="U4664" s="1901" t="s">
        <v>9486</v>
      </c>
      <c r="V4664" s="572" t="s">
        <v>352</v>
      </c>
      <c r="W4664" s="804" t="s">
        <v>15842</v>
      </c>
      <c r="X4664" s="18"/>
      <c r="Y4664" s="4"/>
      <c r="Z4664" s="4"/>
    </row>
    <row r="4665" spans="1:26" ht="14.1" hidden="1">
      <c r="A4665" s="20">
        <v>4674</v>
      </c>
      <c r="B4665" s="1063">
        <v>44442</v>
      </c>
      <c r="C4665" s="934" t="s">
        <v>15843</v>
      </c>
      <c r="D4665" s="278" t="s">
        <v>6</v>
      </c>
      <c r="E4665" s="204" t="s">
        <v>15012</v>
      </c>
      <c r="F4665" s="934" t="s">
        <v>9454</v>
      </c>
      <c r="G4665" s="204" t="s">
        <v>15843</v>
      </c>
      <c r="H4665" s="204" t="s">
        <v>3979</v>
      </c>
      <c r="I4665" s="204" t="s">
        <v>366</v>
      </c>
      <c r="J4665" s="204" t="s">
        <v>15844</v>
      </c>
      <c r="K4665" s="204"/>
      <c r="L4665" s="204"/>
      <c r="M4665" s="204">
        <v>12</v>
      </c>
      <c r="N4665" s="204">
        <v>1</v>
      </c>
      <c r="O4665" s="204">
        <v>50</v>
      </c>
      <c r="P4665" s="204">
        <v>0</v>
      </c>
      <c r="Q4665" s="572">
        <v>38</v>
      </c>
      <c r="R4665" s="1209">
        <v>12</v>
      </c>
      <c r="S4665" s="1209">
        <v>600</v>
      </c>
      <c r="T4665" s="204" t="s">
        <v>3961</v>
      </c>
      <c r="U4665" s="1901" t="s">
        <v>9486</v>
      </c>
      <c r="V4665" s="572" t="s">
        <v>352</v>
      </c>
      <c r="W4665" s="681" t="s">
        <v>15845</v>
      </c>
      <c r="X4665" s="18"/>
      <c r="Y4665" s="4"/>
      <c r="Z4665" s="4"/>
    </row>
    <row r="4666" spans="1:26" ht="14.1" hidden="1">
      <c r="A4666" s="20">
        <v>4675</v>
      </c>
      <c r="B4666" s="1063">
        <v>44443</v>
      </c>
      <c r="C4666" s="960" t="s">
        <v>329</v>
      </c>
      <c r="D4666" s="278" t="s">
        <v>6</v>
      </c>
      <c r="E4666" s="678" t="s">
        <v>12613</v>
      </c>
      <c r="F4666" s="960" t="s">
        <v>14023</v>
      </c>
      <c r="G4666" s="786" t="s">
        <v>15846</v>
      </c>
      <c r="H4666" s="678" t="s">
        <v>1422</v>
      </c>
      <c r="I4666" s="678" t="s">
        <v>4634</v>
      </c>
      <c r="J4666" s="780" t="s">
        <v>15847</v>
      </c>
      <c r="K4666" s="786" t="s">
        <v>15848</v>
      </c>
      <c r="L4666" s="678" t="s">
        <v>8980</v>
      </c>
      <c r="M4666" s="678">
        <v>6</v>
      </c>
      <c r="N4666" s="678">
        <v>10</v>
      </c>
      <c r="O4666" s="678">
        <v>10</v>
      </c>
      <c r="P4666" s="678">
        <v>0</v>
      </c>
      <c r="Q4666" s="678">
        <v>4</v>
      </c>
      <c r="R4666" s="1285" t="s">
        <v>15849</v>
      </c>
      <c r="S4666" s="1285">
        <v>224</v>
      </c>
      <c r="T4666" s="683" t="s">
        <v>12330</v>
      </c>
      <c r="U4666" s="740" t="s">
        <v>14027</v>
      </c>
      <c r="V4666" s="204" t="s">
        <v>5990</v>
      </c>
      <c r="W4666" s="790" t="s">
        <v>15850</v>
      </c>
      <c r="X4666" s="734"/>
      <c r="Y4666" s="4"/>
      <c r="Z4666" s="4"/>
    </row>
    <row r="4667" spans="1:26" ht="14.1" hidden="1">
      <c r="A4667" s="20">
        <v>4676</v>
      </c>
      <c r="B4667" s="1063">
        <v>44444</v>
      </c>
      <c r="C4667" s="961" t="s">
        <v>329</v>
      </c>
      <c r="D4667" s="278" t="s">
        <v>6</v>
      </c>
      <c r="E4667" s="678" t="s">
        <v>12613</v>
      </c>
      <c r="F4667" s="1025" t="s">
        <v>14023</v>
      </c>
      <c r="G4667" s="452" t="s">
        <v>15851</v>
      </c>
      <c r="H4667" s="610" t="s">
        <v>1422</v>
      </c>
      <c r="I4667" s="610" t="s">
        <v>4634</v>
      </c>
      <c r="J4667" s="532" t="s">
        <v>15852</v>
      </c>
      <c r="K4667" s="452" t="s">
        <v>15853</v>
      </c>
      <c r="L4667" s="298" t="s">
        <v>8980</v>
      </c>
      <c r="M4667" s="610">
        <v>6</v>
      </c>
      <c r="N4667" s="610">
        <v>10</v>
      </c>
      <c r="O4667" s="610">
        <v>10</v>
      </c>
      <c r="P4667" s="610">
        <v>0</v>
      </c>
      <c r="Q4667" s="610">
        <v>4</v>
      </c>
      <c r="R4667" s="1350" t="s">
        <v>15854</v>
      </c>
      <c r="S4667" s="1350">
        <v>234</v>
      </c>
      <c r="T4667" s="298" t="s">
        <v>12330</v>
      </c>
      <c r="U4667" s="1537" t="s">
        <v>14027</v>
      </c>
      <c r="V4667" s="204" t="s">
        <v>5990</v>
      </c>
      <c r="W4667" s="611" t="s">
        <v>15855</v>
      </c>
      <c r="X4667" s="612"/>
      <c r="Y4667" s="4"/>
      <c r="Z4667" s="4"/>
    </row>
    <row r="4668" spans="1:26" ht="14.1" hidden="1">
      <c r="A4668" s="20">
        <v>4677</v>
      </c>
      <c r="B4668" s="1063">
        <v>44445</v>
      </c>
      <c r="C4668" s="961" t="s">
        <v>329</v>
      </c>
      <c r="D4668" s="278" t="s">
        <v>6</v>
      </c>
      <c r="E4668" s="678" t="s">
        <v>12613</v>
      </c>
      <c r="F4668" s="1025" t="s">
        <v>14023</v>
      </c>
      <c r="G4668" s="452" t="s">
        <v>15856</v>
      </c>
      <c r="H4668" s="610" t="s">
        <v>1422</v>
      </c>
      <c r="I4668" s="610" t="s">
        <v>4634</v>
      </c>
      <c r="J4668" s="532" t="s">
        <v>15857</v>
      </c>
      <c r="K4668" s="452" t="s">
        <v>15858</v>
      </c>
      <c r="L4668" s="610" t="s">
        <v>8980</v>
      </c>
      <c r="M4668" s="610">
        <v>6</v>
      </c>
      <c r="N4668" s="610">
        <v>10</v>
      </c>
      <c r="O4668" s="610">
        <v>10</v>
      </c>
      <c r="P4668" s="610">
        <v>0</v>
      </c>
      <c r="Q4668" s="610">
        <v>4</v>
      </c>
      <c r="R4668" s="1350" t="s">
        <v>15854</v>
      </c>
      <c r="S4668" s="1350">
        <v>234</v>
      </c>
      <c r="T4668" s="298" t="s">
        <v>12330</v>
      </c>
      <c r="U4668" s="1537" t="s">
        <v>14027</v>
      </c>
      <c r="V4668" s="204" t="s">
        <v>5990</v>
      </c>
      <c r="W4668" s="611" t="s">
        <v>15859</v>
      </c>
      <c r="X4668" s="612"/>
      <c r="Y4668" s="4"/>
      <c r="Z4668" s="4"/>
    </row>
    <row r="4669" spans="1:26" ht="14.1" hidden="1">
      <c r="A4669" s="20">
        <v>4678</v>
      </c>
      <c r="B4669" s="1063">
        <v>44446</v>
      </c>
      <c r="C4669" s="1025" t="s">
        <v>329</v>
      </c>
      <c r="D4669" s="278" t="s">
        <v>6</v>
      </c>
      <c r="E4669" s="678" t="s">
        <v>12613</v>
      </c>
      <c r="F4669" s="1025" t="s">
        <v>14023</v>
      </c>
      <c r="G4669" s="452" t="s">
        <v>15860</v>
      </c>
      <c r="H4669" s="610" t="s">
        <v>1422</v>
      </c>
      <c r="I4669" s="610" t="s">
        <v>4634</v>
      </c>
      <c r="J4669" s="532" t="s">
        <v>15861</v>
      </c>
      <c r="K4669" s="452" t="s">
        <v>15862</v>
      </c>
      <c r="L4669" s="610" t="s">
        <v>8980</v>
      </c>
      <c r="M4669" s="610">
        <v>6</v>
      </c>
      <c r="N4669" s="610">
        <v>10</v>
      </c>
      <c r="O4669" s="610">
        <v>10</v>
      </c>
      <c r="P4669" s="610">
        <v>0</v>
      </c>
      <c r="Q4669" s="610">
        <v>4</v>
      </c>
      <c r="R4669" s="1350" t="s">
        <v>15863</v>
      </c>
      <c r="S4669" s="1350">
        <v>235</v>
      </c>
      <c r="T4669" s="298" t="s">
        <v>12330</v>
      </c>
      <c r="U4669" s="1537" t="s">
        <v>14027</v>
      </c>
      <c r="V4669" s="204" t="s">
        <v>5990</v>
      </c>
      <c r="W4669" s="611" t="s">
        <v>15864</v>
      </c>
      <c r="X4669" s="612"/>
      <c r="Y4669" s="4"/>
      <c r="Z4669" s="4"/>
    </row>
    <row r="4670" spans="1:26" ht="14.1" hidden="1">
      <c r="A4670" s="20">
        <v>4679</v>
      </c>
      <c r="B4670" s="1063">
        <v>44447</v>
      </c>
      <c r="C4670" s="1025" t="s">
        <v>15865</v>
      </c>
      <c r="D4670" s="278" t="s">
        <v>6</v>
      </c>
      <c r="E4670" s="678" t="s">
        <v>12613</v>
      </c>
      <c r="F4670" s="1025" t="s">
        <v>14023</v>
      </c>
      <c r="G4670" s="452" t="s">
        <v>15866</v>
      </c>
      <c r="H4670" s="610" t="s">
        <v>166</v>
      </c>
      <c r="I4670" s="610" t="s">
        <v>4634</v>
      </c>
      <c r="J4670" s="532" t="s">
        <v>15867</v>
      </c>
      <c r="K4670" s="452" t="s">
        <v>15868</v>
      </c>
      <c r="L4670" s="610" t="s">
        <v>8980</v>
      </c>
      <c r="M4670" s="610">
        <v>6</v>
      </c>
      <c r="N4670" s="610">
        <v>10</v>
      </c>
      <c r="O4670" s="610">
        <v>10</v>
      </c>
      <c r="P4670" s="610">
        <v>0</v>
      </c>
      <c r="Q4670" s="610">
        <v>4</v>
      </c>
      <c r="R4670" s="1350" t="s">
        <v>15869</v>
      </c>
      <c r="S4670" s="1350">
        <v>215</v>
      </c>
      <c r="T4670" s="298" t="s">
        <v>12330</v>
      </c>
      <c r="U4670" s="1537" t="s">
        <v>14027</v>
      </c>
      <c r="V4670" s="204" t="s">
        <v>5990</v>
      </c>
      <c r="W4670" s="817" t="s">
        <v>15870</v>
      </c>
      <c r="X4670" s="612"/>
      <c r="Y4670" s="4"/>
      <c r="Z4670" s="4"/>
    </row>
    <row r="4671" spans="1:26" ht="14.45" hidden="1">
      <c r="A4671" s="20">
        <v>4680</v>
      </c>
      <c r="B4671" s="1063">
        <v>44448</v>
      </c>
      <c r="C4671" s="961" t="s">
        <v>15217</v>
      </c>
      <c r="D4671" s="278" t="s">
        <v>6</v>
      </c>
      <c r="E4671" s="678" t="s">
        <v>12613</v>
      </c>
      <c r="F4671" s="961" t="s">
        <v>14023</v>
      </c>
      <c r="G4671" s="330" t="s">
        <v>15218</v>
      </c>
      <c r="H4671" s="282" t="s">
        <v>249</v>
      </c>
      <c r="I4671" s="282" t="s">
        <v>4634</v>
      </c>
      <c r="J4671" s="532" t="s">
        <v>15219</v>
      </c>
      <c r="K4671" s="452" t="s">
        <v>15220</v>
      </c>
      <c r="L4671" s="298" t="s">
        <v>14120</v>
      </c>
      <c r="M4671" s="282">
        <v>10</v>
      </c>
      <c r="N4671" s="282">
        <v>20</v>
      </c>
      <c r="O4671" s="282">
        <v>20</v>
      </c>
      <c r="P4671" s="282">
        <v>0</v>
      </c>
      <c r="Q4671" s="282">
        <v>5</v>
      </c>
      <c r="R4671" s="1286" t="s">
        <v>15871</v>
      </c>
      <c r="S4671" s="1263">
        <v>496</v>
      </c>
      <c r="T4671" s="298" t="s">
        <v>12330</v>
      </c>
      <c r="U4671" s="1537" t="s">
        <v>14027</v>
      </c>
      <c r="V4671" s="204" t="s">
        <v>5990</v>
      </c>
      <c r="W4671" s="690" t="s">
        <v>15221</v>
      </c>
      <c r="X4671" s="328"/>
      <c r="Y4671" s="4"/>
      <c r="Z4671" s="4"/>
    </row>
    <row r="4672" spans="1:26" ht="14.45" hidden="1">
      <c r="A4672" s="20">
        <v>4681</v>
      </c>
      <c r="B4672" s="1063">
        <v>44449</v>
      </c>
      <c r="C4672" s="961" t="s">
        <v>15172</v>
      </c>
      <c r="D4672" s="278" t="s">
        <v>6</v>
      </c>
      <c r="E4672" s="678" t="s">
        <v>12613</v>
      </c>
      <c r="F4672" s="986" t="s">
        <v>14023</v>
      </c>
      <c r="G4672" s="533" t="s">
        <v>15173</v>
      </c>
      <c r="H4672" s="298" t="s">
        <v>15174</v>
      </c>
      <c r="I4672" s="298" t="s">
        <v>4634</v>
      </c>
      <c r="J4672" s="532" t="s">
        <v>15175</v>
      </c>
      <c r="K4672" s="452" t="s">
        <v>15176</v>
      </c>
      <c r="L4672" s="298" t="s">
        <v>14120</v>
      </c>
      <c r="M4672" s="298">
        <v>1</v>
      </c>
      <c r="N4672" s="282">
        <v>1</v>
      </c>
      <c r="O4672" s="282">
        <v>2</v>
      </c>
      <c r="P4672" s="298">
        <v>0</v>
      </c>
      <c r="Q4672" s="298">
        <v>1</v>
      </c>
      <c r="R4672" s="1342" t="s">
        <v>15872</v>
      </c>
      <c r="S4672" s="1283">
        <v>885</v>
      </c>
      <c r="T4672" s="298" t="s">
        <v>12330</v>
      </c>
      <c r="U4672" s="1537" t="s">
        <v>14027</v>
      </c>
      <c r="V4672" s="204" t="s">
        <v>5990</v>
      </c>
      <c r="W4672" s="785" t="s">
        <v>15177</v>
      </c>
      <c r="X4672" s="282"/>
      <c r="Y4672" s="4"/>
      <c r="Z4672" s="4"/>
    </row>
    <row r="4673" spans="1:26" ht="14.45" hidden="1">
      <c r="A4673" s="20">
        <v>4682</v>
      </c>
      <c r="B4673" s="1063">
        <v>44450</v>
      </c>
      <c r="C4673" s="961" t="s">
        <v>15873</v>
      </c>
      <c r="D4673" s="278" t="s">
        <v>6</v>
      </c>
      <c r="E4673" s="678" t="s">
        <v>12613</v>
      </c>
      <c r="F4673" s="961" t="s">
        <v>15223</v>
      </c>
      <c r="G4673" s="452" t="s">
        <v>15874</v>
      </c>
      <c r="H4673" s="298" t="s">
        <v>14528</v>
      </c>
      <c r="I4673" s="298" t="s">
        <v>4634</v>
      </c>
      <c r="J4673" s="532" t="s">
        <v>15875</v>
      </c>
      <c r="K4673" s="452" t="s">
        <v>15876</v>
      </c>
      <c r="L4673" s="298" t="s">
        <v>14120</v>
      </c>
      <c r="M4673" s="298">
        <v>1</v>
      </c>
      <c r="N4673" s="282">
        <v>1</v>
      </c>
      <c r="O4673" s="282">
        <v>1</v>
      </c>
      <c r="P4673" s="298">
        <v>1</v>
      </c>
      <c r="Q4673" s="298">
        <v>2</v>
      </c>
      <c r="R4673" s="1342">
        <v>2478</v>
      </c>
      <c r="S4673" s="1283">
        <v>2478</v>
      </c>
      <c r="T4673" s="298" t="s">
        <v>12330</v>
      </c>
      <c r="U4673" s="1537" t="s">
        <v>14027</v>
      </c>
      <c r="V4673" s="204" t="s">
        <v>15877</v>
      </c>
      <c r="W4673" s="2134" t="s">
        <v>15878</v>
      </c>
      <c r="X4673" s="225"/>
      <c r="Y4673" s="4"/>
      <c r="Z4673" s="4"/>
    </row>
    <row r="4674" spans="1:26" ht="14.1" hidden="1">
      <c r="A4674" s="20">
        <v>4683</v>
      </c>
      <c r="B4674" s="1063">
        <v>44451</v>
      </c>
      <c r="C4674" s="961" t="s">
        <v>15879</v>
      </c>
      <c r="D4674" s="278" t="s">
        <v>6</v>
      </c>
      <c r="E4674" s="678" t="s">
        <v>12613</v>
      </c>
      <c r="F4674" s="961" t="s">
        <v>15223</v>
      </c>
      <c r="G4674" s="452" t="s">
        <v>15880</v>
      </c>
      <c r="H4674" s="282" t="s">
        <v>15881</v>
      </c>
      <c r="I4674" s="282" t="s">
        <v>4634</v>
      </c>
      <c r="J4674" s="532" t="s">
        <v>15882</v>
      </c>
      <c r="K4674" s="533" t="s">
        <v>15883</v>
      </c>
      <c r="L4674" s="298" t="s">
        <v>14120</v>
      </c>
      <c r="M4674" s="282">
        <v>1</v>
      </c>
      <c r="N4674" s="282">
        <v>1</v>
      </c>
      <c r="O4674" s="282">
        <v>1</v>
      </c>
      <c r="P4674" s="282">
        <v>0</v>
      </c>
      <c r="Q4674" s="282">
        <v>1</v>
      </c>
      <c r="R4674" s="1286" t="s">
        <v>15884</v>
      </c>
      <c r="S4674" s="1286" t="s">
        <v>15884</v>
      </c>
      <c r="T4674" s="298" t="s">
        <v>12330</v>
      </c>
      <c r="U4674" s="1537" t="s">
        <v>14027</v>
      </c>
      <c r="V4674" s="204" t="s">
        <v>15885</v>
      </c>
      <c r="W4674" s="790" t="s">
        <v>15886</v>
      </c>
      <c r="X4674" s="330"/>
      <c r="Y4674" s="4"/>
      <c r="Z4674" s="4"/>
    </row>
    <row r="4675" spans="1:26" ht="14.45" hidden="1">
      <c r="A4675" s="20">
        <v>4684</v>
      </c>
      <c r="B4675" s="1063">
        <v>44452</v>
      </c>
      <c r="C4675" s="995" t="s">
        <v>15887</v>
      </c>
      <c r="D4675" s="278" t="s">
        <v>6</v>
      </c>
      <c r="E4675" s="678" t="s">
        <v>12613</v>
      </c>
      <c r="F4675" s="995" t="s">
        <v>15223</v>
      </c>
      <c r="G4675" s="452" t="s">
        <v>15888</v>
      </c>
      <c r="H4675" s="243" t="s">
        <v>13682</v>
      </c>
      <c r="I4675" s="243" t="s">
        <v>1022</v>
      </c>
      <c r="J4675" s="298" t="s">
        <v>14120</v>
      </c>
      <c r="K4675" s="298" t="s">
        <v>14120</v>
      </c>
      <c r="L4675" s="298" t="s">
        <v>14120</v>
      </c>
      <c r="M4675" s="243">
        <v>1</v>
      </c>
      <c r="N4675" s="243">
        <v>1</v>
      </c>
      <c r="O4675" s="243">
        <v>1</v>
      </c>
      <c r="P4675" s="243">
        <v>0</v>
      </c>
      <c r="Q4675" s="243">
        <v>1</v>
      </c>
      <c r="R4675" s="1263">
        <v>1126</v>
      </c>
      <c r="S4675" s="1263">
        <v>1126</v>
      </c>
      <c r="T4675" s="298" t="s">
        <v>12330</v>
      </c>
      <c r="U4675" s="1537" t="s">
        <v>14027</v>
      </c>
      <c r="V4675" s="204" t="s">
        <v>5990</v>
      </c>
      <c r="W4675" s="756" t="s">
        <v>15889</v>
      </c>
      <c r="X4675" s="328"/>
      <c r="Y4675" s="4"/>
      <c r="Z4675" s="4"/>
    </row>
    <row r="4676" spans="1:26" ht="14.1" hidden="1">
      <c r="A4676" s="20">
        <v>4685</v>
      </c>
      <c r="B4676" s="1063">
        <v>44453</v>
      </c>
      <c r="C4676" s="961" t="s">
        <v>15890</v>
      </c>
      <c r="D4676" s="278" t="s">
        <v>6</v>
      </c>
      <c r="E4676" s="678" t="s">
        <v>12613</v>
      </c>
      <c r="F4676" s="961" t="s">
        <v>15223</v>
      </c>
      <c r="G4676" s="805" t="s">
        <v>15891</v>
      </c>
      <c r="H4676" s="282" t="s">
        <v>15892</v>
      </c>
      <c r="I4676" s="282" t="s">
        <v>1022</v>
      </c>
      <c r="J4676" s="298" t="s">
        <v>14120</v>
      </c>
      <c r="K4676" s="298" t="s">
        <v>14120</v>
      </c>
      <c r="L4676" s="298" t="s">
        <v>14120</v>
      </c>
      <c r="M4676" s="282">
        <v>1</v>
      </c>
      <c r="N4676" s="282">
        <v>1</v>
      </c>
      <c r="O4676" s="282">
        <v>1</v>
      </c>
      <c r="P4676" s="282">
        <v>0</v>
      </c>
      <c r="Q4676" s="282">
        <v>1</v>
      </c>
      <c r="R4676" s="1286">
        <v>1208</v>
      </c>
      <c r="S4676" s="1286">
        <v>1208</v>
      </c>
      <c r="T4676" s="298" t="s">
        <v>12330</v>
      </c>
      <c r="U4676" s="1537" t="s">
        <v>14027</v>
      </c>
      <c r="V4676" s="204" t="s">
        <v>5990</v>
      </c>
      <c r="W4676" s="806" t="s">
        <v>15893</v>
      </c>
      <c r="X4676" s="330"/>
      <c r="Y4676" s="4"/>
      <c r="Z4676" s="4"/>
    </row>
    <row r="4677" spans="1:26" ht="14.1" hidden="1">
      <c r="A4677" s="20">
        <v>4686</v>
      </c>
      <c r="B4677" s="1063">
        <v>44454</v>
      </c>
      <c r="C4677" s="961" t="s">
        <v>15894</v>
      </c>
      <c r="D4677" s="278" t="s">
        <v>6</v>
      </c>
      <c r="E4677" s="678" t="s">
        <v>12613</v>
      </c>
      <c r="F4677" s="961" t="s">
        <v>15223</v>
      </c>
      <c r="G4677" s="807" t="s">
        <v>15895</v>
      </c>
      <c r="H4677" s="282" t="s">
        <v>15896</v>
      </c>
      <c r="I4677" s="282" t="s">
        <v>1022</v>
      </c>
      <c r="J4677" s="298" t="s">
        <v>14120</v>
      </c>
      <c r="K4677" s="298" t="s">
        <v>14120</v>
      </c>
      <c r="L4677" s="298" t="s">
        <v>14120</v>
      </c>
      <c r="M4677" s="282">
        <v>1</v>
      </c>
      <c r="N4677" s="282">
        <v>1</v>
      </c>
      <c r="O4677" s="282">
        <v>1</v>
      </c>
      <c r="P4677" s="282">
        <v>0</v>
      </c>
      <c r="Q4677" s="282">
        <v>1</v>
      </c>
      <c r="R4677" s="1286">
        <v>2680</v>
      </c>
      <c r="S4677" s="1286">
        <v>2680</v>
      </c>
      <c r="T4677" s="282" t="s">
        <v>12330</v>
      </c>
      <c r="U4677" s="765" t="s">
        <v>14027</v>
      </c>
      <c r="V4677" s="183" t="s">
        <v>5990</v>
      </c>
      <c r="W4677" s="806" t="s">
        <v>15897</v>
      </c>
      <c r="X4677" s="573"/>
      <c r="Y4677" s="4"/>
      <c r="Z4677" s="4"/>
    </row>
    <row r="4678" spans="1:26" ht="14.1" hidden="1">
      <c r="A4678" s="20">
        <v>4687</v>
      </c>
      <c r="B4678" s="1063">
        <v>44455</v>
      </c>
      <c r="C4678" s="934" t="s">
        <v>15778</v>
      </c>
      <c r="D4678" s="278" t="s">
        <v>6</v>
      </c>
      <c r="E4678" s="204" t="s">
        <v>15012</v>
      </c>
      <c r="F4678" s="934" t="s">
        <v>10347</v>
      </c>
      <c r="G4678" s="204" t="s">
        <v>15779</v>
      </c>
      <c r="H4678" s="204" t="s">
        <v>15780</v>
      </c>
      <c r="I4678" s="204" t="s">
        <v>84</v>
      </c>
      <c r="J4678" s="613">
        <v>7181781</v>
      </c>
      <c r="K4678" s="613" t="s">
        <v>12888</v>
      </c>
      <c r="L4678" s="204"/>
      <c r="M4678" s="204">
        <v>4</v>
      </c>
      <c r="N4678" s="204">
        <v>1</v>
      </c>
      <c r="O4678" s="204">
        <v>12</v>
      </c>
      <c r="P4678" s="204">
        <v>0</v>
      </c>
      <c r="Q4678" s="572">
        <v>8</v>
      </c>
      <c r="R4678" s="1209">
        <v>119</v>
      </c>
      <c r="S4678" s="1209">
        <f t="shared" ref="S4678:S4697" si="270">R4678*O4678</f>
        <v>1428</v>
      </c>
      <c r="T4678" s="204" t="s">
        <v>3961</v>
      </c>
      <c r="U4678" s="1901" t="s">
        <v>9486</v>
      </c>
      <c r="V4678" s="572" t="s">
        <v>352</v>
      </c>
      <c r="W4678" s="681" t="s">
        <v>15781</v>
      </c>
      <c r="X4678" s="18"/>
      <c r="Y4678" s="4"/>
      <c r="Z4678" s="4"/>
    </row>
    <row r="4679" spans="1:26" ht="15.95" hidden="1">
      <c r="A4679" s="20">
        <v>4688</v>
      </c>
      <c r="B4679" s="1063">
        <v>44456</v>
      </c>
      <c r="C4679" s="934" t="s">
        <v>15782</v>
      </c>
      <c r="D4679" s="278" t="s">
        <v>6</v>
      </c>
      <c r="E4679" s="204" t="s">
        <v>15012</v>
      </c>
      <c r="F4679" s="934" t="s">
        <v>10347</v>
      </c>
      <c r="G4679" s="204" t="s">
        <v>15783</v>
      </c>
      <c r="H4679" s="204" t="s">
        <v>101</v>
      </c>
      <c r="I4679" s="204" t="s">
        <v>84</v>
      </c>
      <c r="J4679" s="204">
        <v>70791605</v>
      </c>
      <c r="K4679" s="180" t="s">
        <v>15784</v>
      </c>
      <c r="L4679" s="204"/>
      <c r="M4679" s="204">
        <v>1</v>
      </c>
      <c r="N4679" s="204">
        <v>1</v>
      </c>
      <c r="O4679" s="204">
        <v>1</v>
      </c>
      <c r="P4679" s="204">
        <v>0</v>
      </c>
      <c r="Q4679" s="572">
        <v>0</v>
      </c>
      <c r="R4679" s="1209">
        <v>529</v>
      </c>
      <c r="S4679" s="1209">
        <f t="shared" si="270"/>
        <v>529</v>
      </c>
      <c r="T4679" s="204" t="s">
        <v>3961</v>
      </c>
      <c r="U4679" s="1901" t="s">
        <v>9486</v>
      </c>
      <c r="V4679" s="572" t="s">
        <v>352</v>
      </c>
      <c r="W4679" s="681" t="s">
        <v>15785</v>
      </c>
      <c r="X4679" s="18"/>
      <c r="Y4679" s="4"/>
      <c r="Z4679" s="4"/>
    </row>
    <row r="4680" spans="1:26" ht="14.1" hidden="1">
      <c r="A4680" s="20">
        <v>4689</v>
      </c>
      <c r="B4680" s="1063">
        <v>44457</v>
      </c>
      <c r="C4680" s="934" t="s">
        <v>15786</v>
      </c>
      <c r="D4680" s="278" t="s">
        <v>6</v>
      </c>
      <c r="E4680" s="204" t="s">
        <v>15012</v>
      </c>
      <c r="F4680" s="934" t="s">
        <v>10347</v>
      </c>
      <c r="G4680" s="204" t="s">
        <v>15787</v>
      </c>
      <c r="H4680" s="204" t="s">
        <v>2786</v>
      </c>
      <c r="I4680" s="204" t="s">
        <v>39</v>
      </c>
      <c r="J4680" s="204" t="s">
        <v>15788</v>
      </c>
      <c r="K4680" s="204" t="s">
        <v>15789</v>
      </c>
      <c r="L4680" s="204"/>
      <c r="M4680" s="204">
        <v>2</v>
      </c>
      <c r="N4680" s="204">
        <v>100</v>
      </c>
      <c r="O4680" s="204">
        <v>100</v>
      </c>
      <c r="P4680" s="204">
        <v>0</v>
      </c>
      <c r="Q4680" s="572">
        <v>98</v>
      </c>
      <c r="R4680" s="1209">
        <v>6.17</v>
      </c>
      <c r="S4680" s="1209">
        <f t="shared" si="270"/>
        <v>617</v>
      </c>
      <c r="T4680" s="204" t="s">
        <v>3961</v>
      </c>
      <c r="U4680" s="1901" t="s">
        <v>9486</v>
      </c>
      <c r="V4680" s="572" t="s">
        <v>352</v>
      </c>
      <c r="W4680" s="681" t="s">
        <v>15790</v>
      </c>
      <c r="X4680" s="18"/>
      <c r="Y4680" s="4"/>
      <c r="Z4680" s="4"/>
    </row>
    <row r="4681" spans="1:26" ht="15.95" hidden="1">
      <c r="A4681" s="20">
        <v>4690</v>
      </c>
      <c r="B4681" s="1063">
        <v>44458</v>
      </c>
      <c r="C4681" s="934" t="s">
        <v>12890</v>
      </c>
      <c r="D4681" s="278" t="s">
        <v>6</v>
      </c>
      <c r="E4681" s="204" t="s">
        <v>15012</v>
      </c>
      <c r="F4681" s="934" t="s">
        <v>10347</v>
      </c>
      <c r="G4681" s="204" t="s">
        <v>15898</v>
      </c>
      <c r="H4681" s="204" t="s">
        <v>15899</v>
      </c>
      <c r="I4681" s="204" t="s">
        <v>84</v>
      </c>
      <c r="J4681" s="614">
        <v>69532953</v>
      </c>
      <c r="K4681" s="614">
        <v>60454</v>
      </c>
      <c r="L4681" s="204"/>
      <c r="M4681" s="204">
        <v>2</v>
      </c>
      <c r="N4681" s="204">
        <v>1</v>
      </c>
      <c r="O4681" s="204">
        <v>4</v>
      </c>
      <c r="P4681" s="204">
        <v>0</v>
      </c>
      <c r="Q4681" s="572">
        <v>2</v>
      </c>
      <c r="R4681" s="1209">
        <v>3990</v>
      </c>
      <c r="S4681" s="1209">
        <f t="shared" si="270"/>
        <v>15960</v>
      </c>
      <c r="T4681" s="204" t="s">
        <v>3961</v>
      </c>
      <c r="U4681" s="1901" t="s">
        <v>9486</v>
      </c>
      <c r="V4681" s="572" t="s">
        <v>352</v>
      </c>
      <c r="W4681" s="681" t="s">
        <v>15900</v>
      </c>
      <c r="X4681" s="18"/>
      <c r="Y4681" s="4"/>
      <c r="Z4681" s="4"/>
    </row>
    <row r="4682" spans="1:26" ht="18" hidden="1">
      <c r="A4682" s="20">
        <v>4691</v>
      </c>
      <c r="B4682" s="1063">
        <v>44459</v>
      </c>
      <c r="C4682" s="934" t="s">
        <v>15901</v>
      </c>
      <c r="D4682" s="278" t="s">
        <v>6</v>
      </c>
      <c r="E4682" s="204" t="s">
        <v>15902</v>
      </c>
      <c r="F4682" s="934" t="s">
        <v>131</v>
      </c>
      <c r="G4682" s="615" t="s">
        <v>15903</v>
      </c>
      <c r="H4682" s="204" t="s">
        <v>15904</v>
      </c>
      <c r="I4682" s="204" t="s">
        <v>15905</v>
      </c>
      <c r="J4682" s="605" t="s">
        <v>15906</v>
      </c>
      <c r="K4682" s="615" t="s">
        <v>15906</v>
      </c>
      <c r="L4682" s="204"/>
      <c r="M4682" s="204">
        <v>1</v>
      </c>
      <c r="N4682" s="204">
        <v>1</v>
      </c>
      <c r="O4682" s="204">
        <v>1</v>
      </c>
      <c r="P4682" s="204">
        <v>0</v>
      </c>
      <c r="Q4682" s="572">
        <v>0</v>
      </c>
      <c r="R4682" s="1209">
        <v>337000</v>
      </c>
      <c r="S4682" s="1209">
        <f t="shared" si="270"/>
        <v>337000</v>
      </c>
      <c r="T4682" s="204" t="s">
        <v>5448</v>
      </c>
      <c r="U4682" s="1901" t="s">
        <v>5939</v>
      </c>
      <c r="V4682" s="572" t="s">
        <v>118</v>
      </c>
      <c r="W4682" s="804" t="s">
        <v>15907</v>
      </c>
      <c r="X4682" s="18"/>
      <c r="Y4682" s="4"/>
      <c r="Z4682" s="4"/>
    </row>
    <row r="4683" spans="1:26" ht="14.1" hidden="1">
      <c r="A4683" s="20">
        <v>4692</v>
      </c>
      <c r="B4683" s="1063">
        <v>44460</v>
      </c>
      <c r="C4683" s="1026" t="s">
        <v>8112</v>
      </c>
      <c r="D4683" s="278" t="s">
        <v>6</v>
      </c>
      <c r="E4683" s="204" t="s">
        <v>62</v>
      </c>
      <c r="F4683" s="934" t="s">
        <v>11323</v>
      </c>
      <c r="G4683" s="204" t="s">
        <v>13253</v>
      </c>
      <c r="H4683" s="204" t="s">
        <v>3898</v>
      </c>
      <c r="I4683" s="204" t="s">
        <v>15627</v>
      </c>
      <c r="J4683" s="204" t="s">
        <v>15628</v>
      </c>
      <c r="K4683" s="204" t="s">
        <v>8112</v>
      </c>
      <c r="L4683" s="204"/>
      <c r="M4683" s="204">
        <v>60</v>
      </c>
      <c r="N4683" s="204">
        <v>50</v>
      </c>
      <c r="O4683" s="204">
        <v>70</v>
      </c>
      <c r="P4683" s="204">
        <v>100</v>
      </c>
      <c r="Q4683" s="572">
        <v>170</v>
      </c>
      <c r="R4683" s="1209">
        <v>519</v>
      </c>
      <c r="S4683" s="1209">
        <f t="shared" si="270"/>
        <v>36330</v>
      </c>
      <c r="T4683" s="204" t="s">
        <v>15908</v>
      </c>
      <c r="U4683" s="1901"/>
      <c r="V4683" s="572" t="s">
        <v>352</v>
      </c>
      <c r="W4683" s="804" t="s">
        <v>15909</v>
      </c>
      <c r="X4683" s="18"/>
      <c r="Y4683" s="4"/>
      <c r="Z4683" s="4"/>
    </row>
    <row r="4684" spans="1:26" ht="14.1" hidden="1">
      <c r="A4684" s="20">
        <v>4693</v>
      </c>
      <c r="B4684" s="1063">
        <v>44461</v>
      </c>
      <c r="C4684" s="934" t="s">
        <v>15910</v>
      </c>
      <c r="D4684" s="278" t="s">
        <v>6</v>
      </c>
      <c r="E4684" s="204" t="s">
        <v>62</v>
      </c>
      <c r="F4684" s="934" t="s">
        <v>11323</v>
      </c>
      <c r="G4684" s="204" t="s">
        <v>15911</v>
      </c>
      <c r="H4684" s="204" t="s">
        <v>1104</v>
      </c>
      <c r="I4684" s="204" t="s">
        <v>574</v>
      </c>
      <c r="J4684" s="204" t="s">
        <v>11361</v>
      </c>
      <c r="K4684" s="204" t="s">
        <v>11362</v>
      </c>
      <c r="L4684" s="204"/>
      <c r="M4684" s="204">
        <v>30</v>
      </c>
      <c r="N4684" s="204">
        <v>1</v>
      </c>
      <c r="O4684" s="204">
        <v>35</v>
      </c>
      <c r="P4684" s="204">
        <v>0</v>
      </c>
      <c r="Q4684" s="572">
        <v>35</v>
      </c>
      <c r="R4684" s="1209">
        <v>15.7</v>
      </c>
      <c r="S4684" s="1209">
        <f t="shared" si="270"/>
        <v>549.5</v>
      </c>
      <c r="T4684" s="204" t="s">
        <v>15908</v>
      </c>
      <c r="U4684" s="1901"/>
      <c r="V4684" s="572" t="s">
        <v>352</v>
      </c>
      <c r="W4684" s="804" t="s">
        <v>11363</v>
      </c>
      <c r="X4684" s="18"/>
      <c r="Y4684" s="4"/>
      <c r="Z4684" s="4"/>
    </row>
    <row r="4685" spans="1:26" ht="14.1" hidden="1">
      <c r="A4685" s="20">
        <v>4694</v>
      </c>
      <c r="B4685" s="1063">
        <v>44462</v>
      </c>
      <c r="C4685" s="934" t="s">
        <v>15912</v>
      </c>
      <c r="D4685" s="278" t="s">
        <v>6</v>
      </c>
      <c r="E4685" s="204" t="s">
        <v>62</v>
      </c>
      <c r="F4685" s="934" t="s">
        <v>11323</v>
      </c>
      <c r="G4685" s="204" t="s">
        <v>15913</v>
      </c>
      <c r="H4685" s="204" t="s">
        <v>1111</v>
      </c>
      <c r="I4685" s="204" t="s">
        <v>574</v>
      </c>
      <c r="J4685" s="204" t="s">
        <v>15914</v>
      </c>
      <c r="K4685" s="204" t="s">
        <v>15912</v>
      </c>
      <c r="L4685" s="204"/>
      <c r="M4685" s="204">
        <v>20</v>
      </c>
      <c r="N4685" s="204">
        <v>1</v>
      </c>
      <c r="O4685" s="204">
        <v>25</v>
      </c>
      <c r="P4685" s="204">
        <v>0</v>
      </c>
      <c r="Q4685" s="572">
        <v>25</v>
      </c>
      <c r="R4685" s="1209">
        <v>150</v>
      </c>
      <c r="S4685" s="1209">
        <f t="shared" si="270"/>
        <v>3750</v>
      </c>
      <c r="T4685" s="204" t="s">
        <v>15908</v>
      </c>
      <c r="U4685" s="1901"/>
      <c r="V4685" s="572" t="s">
        <v>352</v>
      </c>
      <c r="W4685" s="804" t="s">
        <v>15915</v>
      </c>
      <c r="X4685" s="18"/>
      <c r="Y4685" s="4"/>
      <c r="Z4685" s="4"/>
    </row>
    <row r="4686" spans="1:26" ht="14.1" hidden="1">
      <c r="A4686" s="20">
        <v>4695</v>
      </c>
      <c r="B4686" s="1063">
        <v>44463</v>
      </c>
      <c r="C4686" s="934" t="s">
        <v>15916</v>
      </c>
      <c r="D4686" s="278" t="s">
        <v>6</v>
      </c>
      <c r="E4686" s="204" t="s">
        <v>62</v>
      </c>
      <c r="F4686" s="934" t="s">
        <v>11323</v>
      </c>
      <c r="G4686" s="204" t="s">
        <v>15917</v>
      </c>
      <c r="H4686" s="204" t="s">
        <v>1111</v>
      </c>
      <c r="I4686" s="204" t="s">
        <v>574</v>
      </c>
      <c r="J4686" s="204" t="s">
        <v>15918</v>
      </c>
      <c r="K4686" s="204" t="s">
        <v>15916</v>
      </c>
      <c r="L4686" s="204"/>
      <c r="M4686" s="204">
        <v>20</v>
      </c>
      <c r="N4686" s="204">
        <v>1</v>
      </c>
      <c r="O4686" s="204">
        <v>25</v>
      </c>
      <c r="P4686" s="204">
        <v>0</v>
      </c>
      <c r="Q4686" s="572">
        <v>25</v>
      </c>
      <c r="R4686" s="1209">
        <v>212</v>
      </c>
      <c r="S4686" s="1209">
        <f t="shared" si="270"/>
        <v>5300</v>
      </c>
      <c r="T4686" s="204" t="s">
        <v>15908</v>
      </c>
      <c r="U4686" s="1901"/>
      <c r="V4686" s="572" t="s">
        <v>352</v>
      </c>
      <c r="W4686" s="804" t="s">
        <v>15919</v>
      </c>
      <c r="X4686" s="18"/>
      <c r="Y4686" s="4"/>
      <c r="Z4686" s="4"/>
    </row>
    <row r="4687" spans="1:26" ht="14.1" hidden="1">
      <c r="A4687" s="20">
        <v>4696</v>
      </c>
      <c r="B4687" s="1063">
        <v>44464</v>
      </c>
      <c r="C4687" s="934" t="s">
        <v>15920</v>
      </c>
      <c r="D4687" s="278" t="s">
        <v>6</v>
      </c>
      <c r="E4687" s="204" t="s">
        <v>62</v>
      </c>
      <c r="F4687" s="934" t="s">
        <v>11323</v>
      </c>
      <c r="G4687" s="204" t="s">
        <v>15921</v>
      </c>
      <c r="H4687" s="204" t="s">
        <v>1111</v>
      </c>
      <c r="I4687" s="204" t="s">
        <v>574</v>
      </c>
      <c r="J4687" s="204" t="s">
        <v>15922</v>
      </c>
      <c r="K4687" s="204" t="s">
        <v>15920</v>
      </c>
      <c r="L4687" s="204"/>
      <c r="M4687" s="204">
        <v>50</v>
      </c>
      <c r="N4687" s="204">
        <v>1</v>
      </c>
      <c r="O4687" s="204" t="s">
        <v>15923</v>
      </c>
      <c r="P4687" s="204">
        <v>0</v>
      </c>
      <c r="Q4687" s="572">
        <v>55</v>
      </c>
      <c r="R4687" s="1209">
        <v>154</v>
      </c>
      <c r="S4687" s="1209" t="e">
        <f t="shared" si="270"/>
        <v>#VALUE!</v>
      </c>
      <c r="T4687" s="204" t="s">
        <v>15908</v>
      </c>
      <c r="U4687" s="1901"/>
      <c r="V4687" s="572" t="s">
        <v>352</v>
      </c>
      <c r="W4687" s="804" t="s">
        <v>15924</v>
      </c>
      <c r="X4687" s="18"/>
      <c r="Y4687" s="4"/>
      <c r="Z4687" s="4"/>
    </row>
    <row r="4688" spans="1:26" ht="14.1" hidden="1">
      <c r="A4688" s="20">
        <v>4697</v>
      </c>
      <c r="B4688" s="1063">
        <v>44465</v>
      </c>
      <c r="C4688" s="934" t="s">
        <v>15925</v>
      </c>
      <c r="D4688" s="278" t="s">
        <v>6</v>
      </c>
      <c r="E4688" s="204" t="s">
        <v>62</v>
      </c>
      <c r="F4688" s="934" t="s">
        <v>11323</v>
      </c>
      <c r="G4688" s="204" t="s">
        <v>15926</v>
      </c>
      <c r="H4688" s="204" t="s">
        <v>15927</v>
      </c>
      <c r="I4688" s="204" t="s">
        <v>574</v>
      </c>
      <c r="J4688" s="204" t="s">
        <v>15928</v>
      </c>
      <c r="K4688" s="204" t="s">
        <v>15925</v>
      </c>
      <c r="L4688" s="204"/>
      <c r="M4688" s="204">
        <v>12</v>
      </c>
      <c r="N4688" s="204">
        <v>1</v>
      </c>
      <c r="O4688" s="204">
        <v>12</v>
      </c>
      <c r="P4688" s="204">
        <v>0</v>
      </c>
      <c r="Q4688" s="572">
        <v>12</v>
      </c>
      <c r="R4688" s="1209">
        <v>36.299999999999997</v>
      </c>
      <c r="S4688" s="1209">
        <f t="shared" si="270"/>
        <v>435.59999999999997</v>
      </c>
      <c r="T4688" s="204" t="s">
        <v>15908</v>
      </c>
      <c r="U4688" s="1901"/>
      <c r="V4688" s="572" t="s">
        <v>352</v>
      </c>
      <c r="W4688" s="804" t="s">
        <v>15929</v>
      </c>
      <c r="X4688" s="18"/>
      <c r="Y4688" s="4"/>
      <c r="Z4688" s="4"/>
    </row>
    <row r="4689" spans="1:26" ht="14.1" hidden="1">
      <c r="A4689" s="20">
        <v>4698</v>
      </c>
      <c r="B4689" s="1063">
        <v>44466</v>
      </c>
      <c r="C4689" s="934" t="s">
        <v>15930</v>
      </c>
      <c r="D4689" s="278" t="s">
        <v>6</v>
      </c>
      <c r="E4689" s="204" t="s">
        <v>62</v>
      </c>
      <c r="F4689" s="934" t="s">
        <v>11323</v>
      </c>
      <c r="G4689" s="204" t="s">
        <v>15930</v>
      </c>
      <c r="H4689" s="204" t="s">
        <v>1928</v>
      </c>
      <c r="I4689" s="204" t="s">
        <v>39</v>
      </c>
      <c r="J4689" s="204" t="s">
        <v>938</v>
      </c>
      <c r="K4689" s="204" t="s">
        <v>938</v>
      </c>
      <c r="L4689" s="204"/>
      <c r="M4689" s="204">
        <v>10</v>
      </c>
      <c r="N4689" s="204">
        <v>1</v>
      </c>
      <c r="O4689" s="204">
        <v>12</v>
      </c>
      <c r="P4689" s="204">
        <v>2</v>
      </c>
      <c r="Q4689" s="572">
        <v>14</v>
      </c>
      <c r="R4689" s="1209">
        <v>263</v>
      </c>
      <c r="S4689" s="1209">
        <f t="shared" si="270"/>
        <v>3156</v>
      </c>
      <c r="T4689" s="204" t="s">
        <v>15908</v>
      </c>
      <c r="U4689" s="1901"/>
      <c r="V4689" s="572" t="s">
        <v>352</v>
      </c>
      <c r="W4689" s="804" t="s">
        <v>15931</v>
      </c>
      <c r="X4689" s="18"/>
      <c r="Y4689" s="4"/>
      <c r="Z4689" s="4"/>
    </row>
    <row r="4690" spans="1:26" ht="14.1" hidden="1">
      <c r="A4690" s="20">
        <v>4699</v>
      </c>
      <c r="B4690" s="1063">
        <v>44467</v>
      </c>
      <c r="C4690" s="934" t="s">
        <v>15932</v>
      </c>
      <c r="D4690" s="11" t="s">
        <v>6</v>
      </c>
      <c r="E4690" s="204" t="s">
        <v>14758</v>
      </c>
      <c r="F4690" s="934" t="s">
        <v>13277</v>
      </c>
      <c r="G4690" s="204" t="s">
        <v>15933</v>
      </c>
      <c r="H4690" s="204" t="s">
        <v>15934</v>
      </c>
      <c r="I4690" s="204" t="s">
        <v>574</v>
      </c>
      <c r="J4690" s="204" t="s">
        <v>15935</v>
      </c>
      <c r="K4690" s="204" t="s">
        <v>15936</v>
      </c>
      <c r="L4690" s="204" t="s">
        <v>7002</v>
      </c>
      <c r="M4690" s="204">
        <v>1</v>
      </c>
      <c r="N4690" s="204">
        <v>1</v>
      </c>
      <c r="O4690" s="204">
        <v>1</v>
      </c>
      <c r="P4690" s="204">
        <v>0</v>
      </c>
      <c r="Q4690" s="572">
        <v>0</v>
      </c>
      <c r="R4690" s="1209">
        <v>7681</v>
      </c>
      <c r="S4690" s="1209">
        <f t="shared" si="270"/>
        <v>7681</v>
      </c>
      <c r="T4690" s="204" t="s">
        <v>14752</v>
      </c>
      <c r="U4690" s="1901" t="s">
        <v>15937</v>
      </c>
      <c r="V4690" s="183" t="s">
        <v>5990</v>
      </c>
      <c r="W4690" s="681" t="s">
        <v>15938</v>
      </c>
      <c r="X4690" s="18"/>
      <c r="Y4690" s="4"/>
      <c r="Z4690" s="4"/>
    </row>
    <row r="4691" spans="1:26" ht="14.1" hidden="1">
      <c r="A4691" s="20">
        <v>4700</v>
      </c>
      <c r="B4691" s="1063">
        <v>44468</v>
      </c>
      <c r="C4691" s="934" t="s">
        <v>15939</v>
      </c>
      <c r="D4691" s="11" t="s">
        <v>6</v>
      </c>
      <c r="E4691" s="204" t="s">
        <v>14758</v>
      </c>
      <c r="F4691" s="934" t="s">
        <v>13277</v>
      </c>
      <c r="G4691" s="204" t="s">
        <v>15940</v>
      </c>
      <c r="H4691" s="204" t="s">
        <v>15941</v>
      </c>
      <c r="I4691" s="204" t="s">
        <v>574</v>
      </c>
      <c r="J4691" s="204" t="s">
        <v>15942</v>
      </c>
      <c r="K4691" s="204" t="s">
        <v>15943</v>
      </c>
      <c r="L4691" s="204" t="s">
        <v>13281</v>
      </c>
      <c r="M4691" s="204">
        <v>1</v>
      </c>
      <c r="N4691" s="204">
        <v>1</v>
      </c>
      <c r="O4691" s="204">
        <v>1</v>
      </c>
      <c r="P4691" s="204">
        <v>0</v>
      </c>
      <c r="Q4691" s="572">
        <v>0</v>
      </c>
      <c r="R4691" s="1209">
        <v>4740</v>
      </c>
      <c r="S4691" s="1209">
        <f t="shared" si="270"/>
        <v>4740</v>
      </c>
      <c r="T4691" s="204" t="s">
        <v>14752</v>
      </c>
      <c r="U4691" s="1901" t="s">
        <v>15937</v>
      </c>
      <c r="V4691" s="183" t="s">
        <v>5990</v>
      </c>
      <c r="W4691" s="681" t="s">
        <v>15944</v>
      </c>
      <c r="X4691" s="18"/>
      <c r="Y4691" s="4"/>
      <c r="Z4691" s="4"/>
    </row>
    <row r="4692" spans="1:26" ht="14.1" hidden="1">
      <c r="A4692" s="20">
        <v>4701</v>
      </c>
      <c r="B4692" s="1063">
        <v>44469</v>
      </c>
      <c r="C4692" s="934" t="s">
        <v>15945</v>
      </c>
      <c r="D4692" s="10"/>
      <c r="E4692" s="204" t="s">
        <v>166</v>
      </c>
      <c r="F4692" s="934" t="s">
        <v>7046</v>
      </c>
      <c r="G4692" s="204" t="s">
        <v>15946</v>
      </c>
      <c r="H4692" s="204" t="s">
        <v>4915</v>
      </c>
      <c r="I4692" s="204" t="s">
        <v>574</v>
      </c>
      <c r="J4692" s="204" t="s">
        <v>15947</v>
      </c>
      <c r="K4692" s="204" t="s">
        <v>15948</v>
      </c>
      <c r="L4692" s="204" t="s">
        <v>8776</v>
      </c>
      <c r="M4692" s="204">
        <v>4</v>
      </c>
      <c r="N4692" s="204">
        <v>10</v>
      </c>
      <c r="O4692" s="204">
        <v>10</v>
      </c>
      <c r="P4692" s="204">
        <v>0</v>
      </c>
      <c r="Q4692" s="572">
        <v>6</v>
      </c>
      <c r="R4692" s="1209">
        <v>18</v>
      </c>
      <c r="S4692" s="1209">
        <f t="shared" si="270"/>
        <v>180</v>
      </c>
      <c r="T4692" s="204" t="s">
        <v>12425</v>
      </c>
      <c r="U4692" s="1901" t="s">
        <v>15949</v>
      </c>
      <c r="V4692" s="183" t="s">
        <v>5990</v>
      </c>
      <c r="W4692" s="804" t="s">
        <v>15950</v>
      </c>
      <c r="X4692" s="18" t="s">
        <v>15951</v>
      </c>
      <c r="Y4692" s="4"/>
      <c r="Z4692" s="4"/>
    </row>
    <row r="4693" spans="1:26" ht="14.1" hidden="1">
      <c r="A4693" s="20">
        <v>4702</v>
      </c>
      <c r="B4693" s="1063">
        <v>44470</v>
      </c>
      <c r="C4693" s="934" t="s">
        <v>15945</v>
      </c>
      <c r="D4693" s="10"/>
      <c r="E4693" s="204" t="s">
        <v>166</v>
      </c>
      <c r="F4693" s="934" t="s">
        <v>7046</v>
      </c>
      <c r="G4693" s="204" t="s">
        <v>15952</v>
      </c>
      <c r="H4693" s="204" t="s">
        <v>5550</v>
      </c>
      <c r="I4693" s="204" t="s">
        <v>574</v>
      </c>
      <c r="J4693" s="204" t="s">
        <v>15953</v>
      </c>
      <c r="K4693" s="204" t="s">
        <v>15954</v>
      </c>
      <c r="L4693" s="204" t="s">
        <v>8776</v>
      </c>
      <c r="M4693" s="204">
        <v>4</v>
      </c>
      <c r="N4693" s="204">
        <v>10</v>
      </c>
      <c r="O4693" s="204">
        <v>10</v>
      </c>
      <c r="P4693" s="204">
        <v>0</v>
      </c>
      <c r="Q4693" s="572">
        <v>6</v>
      </c>
      <c r="R4693" s="1209">
        <v>4.4000000000000004</v>
      </c>
      <c r="S4693" s="1209">
        <f t="shared" si="270"/>
        <v>44</v>
      </c>
      <c r="T4693" s="204" t="s">
        <v>12425</v>
      </c>
      <c r="U4693" s="1901" t="s">
        <v>15949</v>
      </c>
      <c r="V4693" s="183" t="s">
        <v>5990</v>
      </c>
      <c r="W4693" s="804" t="s">
        <v>15955</v>
      </c>
      <c r="X4693" s="18" t="s">
        <v>15951</v>
      </c>
      <c r="Y4693" s="4"/>
      <c r="Z4693" s="4"/>
    </row>
    <row r="4694" spans="1:26" ht="14.1" hidden="1">
      <c r="A4694" s="20">
        <v>4703</v>
      </c>
      <c r="B4694" s="1063">
        <v>44471</v>
      </c>
      <c r="C4694" s="934" t="s">
        <v>15945</v>
      </c>
      <c r="D4694" s="10"/>
      <c r="E4694" s="204" t="s">
        <v>166</v>
      </c>
      <c r="F4694" s="934" t="s">
        <v>7046</v>
      </c>
      <c r="G4694" s="204" t="s">
        <v>15956</v>
      </c>
      <c r="H4694" s="204" t="s">
        <v>5174</v>
      </c>
      <c r="I4694" s="204" t="s">
        <v>574</v>
      </c>
      <c r="J4694" s="204" t="s">
        <v>8361</v>
      </c>
      <c r="K4694" s="204" t="s">
        <v>8362</v>
      </c>
      <c r="L4694" s="204" t="s">
        <v>8776</v>
      </c>
      <c r="M4694" s="204">
        <v>4</v>
      </c>
      <c r="N4694" s="204">
        <v>10</v>
      </c>
      <c r="O4694" s="204">
        <v>10</v>
      </c>
      <c r="P4694" s="204">
        <v>0</v>
      </c>
      <c r="Q4694" s="572">
        <v>6</v>
      </c>
      <c r="R4694" s="1209">
        <v>3.4</v>
      </c>
      <c r="S4694" s="1209">
        <f t="shared" si="270"/>
        <v>34</v>
      </c>
      <c r="T4694" s="204" t="s">
        <v>12425</v>
      </c>
      <c r="U4694" s="1901" t="s">
        <v>15949</v>
      </c>
      <c r="V4694" s="183" t="s">
        <v>5990</v>
      </c>
      <c r="W4694" s="681" t="s">
        <v>8363</v>
      </c>
      <c r="X4694" s="18" t="s">
        <v>15951</v>
      </c>
      <c r="Y4694" s="4"/>
      <c r="Z4694" s="4"/>
    </row>
    <row r="4695" spans="1:26" ht="14.1" hidden="1">
      <c r="A4695" s="20">
        <v>4704</v>
      </c>
      <c r="B4695" s="1063">
        <v>44472</v>
      </c>
      <c r="C4695" s="934" t="s">
        <v>15945</v>
      </c>
      <c r="D4695" s="10"/>
      <c r="E4695" s="204" t="s">
        <v>166</v>
      </c>
      <c r="F4695" s="934" t="s">
        <v>7046</v>
      </c>
      <c r="G4695" s="204" t="s">
        <v>15957</v>
      </c>
      <c r="H4695" s="204" t="s">
        <v>15466</v>
      </c>
      <c r="I4695" s="204" t="s">
        <v>574</v>
      </c>
      <c r="J4695" s="204" t="s">
        <v>15958</v>
      </c>
      <c r="K4695" s="204" t="s">
        <v>15959</v>
      </c>
      <c r="L4695" s="204" t="s">
        <v>8776</v>
      </c>
      <c r="M4695" s="204">
        <v>12</v>
      </c>
      <c r="N4695" s="204">
        <v>10</v>
      </c>
      <c r="O4695" s="204">
        <v>20</v>
      </c>
      <c r="P4695" s="204">
        <v>0</v>
      </c>
      <c r="Q4695" s="572">
        <v>8</v>
      </c>
      <c r="R4695" s="1209">
        <v>18.100000000000001</v>
      </c>
      <c r="S4695" s="1209">
        <f t="shared" si="270"/>
        <v>362</v>
      </c>
      <c r="T4695" s="204" t="s">
        <v>12425</v>
      </c>
      <c r="U4695" s="1901" t="s">
        <v>15949</v>
      </c>
      <c r="V4695" s="183" t="s">
        <v>5990</v>
      </c>
      <c r="W4695" s="804" t="s">
        <v>15960</v>
      </c>
      <c r="X4695" s="18" t="s">
        <v>15951</v>
      </c>
      <c r="Y4695" s="4"/>
      <c r="Z4695" s="4"/>
    </row>
    <row r="4696" spans="1:26" ht="14.1" hidden="1">
      <c r="A4696" s="20">
        <v>4705</v>
      </c>
      <c r="B4696" s="1063">
        <v>44473</v>
      </c>
      <c r="C4696" s="934" t="s">
        <v>15961</v>
      </c>
      <c r="D4696" s="8" t="s">
        <v>6</v>
      </c>
      <c r="E4696" s="204" t="s">
        <v>166</v>
      </c>
      <c r="F4696" s="934" t="s">
        <v>7046</v>
      </c>
      <c r="G4696" s="204" t="s">
        <v>15962</v>
      </c>
      <c r="H4696" s="204" t="s">
        <v>15794</v>
      </c>
      <c r="I4696" s="204" t="s">
        <v>15794</v>
      </c>
      <c r="J4696" s="204" t="s">
        <v>15963</v>
      </c>
      <c r="K4696" s="204" t="s">
        <v>15963</v>
      </c>
      <c r="L4696" s="204"/>
      <c r="M4696" s="204">
        <v>1</v>
      </c>
      <c r="N4696" s="204">
        <v>1</v>
      </c>
      <c r="O4696" s="204">
        <v>1</v>
      </c>
      <c r="P4696" s="204">
        <v>0</v>
      </c>
      <c r="Q4696" s="572">
        <v>0</v>
      </c>
      <c r="R4696" s="1209">
        <v>49300</v>
      </c>
      <c r="S4696" s="1209">
        <f t="shared" si="270"/>
        <v>49300</v>
      </c>
      <c r="T4696" s="204" t="s">
        <v>12425</v>
      </c>
      <c r="U4696" s="1901" t="s">
        <v>15949</v>
      </c>
      <c r="V4696" s="183" t="s">
        <v>5990</v>
      </c>
      <c r="W4696" s="681" t="s">
        <v>15964</v>
      </c>
      <c r="X4696" s="18"/>
      <c r="Y4696" s="4"/>
      <c r="Z4696" s="4"/>
    </row>
    <row r="4697" spans="1:26" ht="14.1" hidden="1">
      <c r="A4697" s="20">
        <v>4706</v>
      </c>
      <c r="B4697" s="1063">
        <v>44474</v>
      </c>
      <c r="C4697" s="934" t="s">
        <v>15965</v>
      </c>
      <c r="D4697" s="8" t="s">
        <v>6</v>
      </c>
      <c r="E4697" s="204" t="s">
        <v>12777</v>
      </c>
      <c r="F4697" s="934" t="s">
        <v>784</v>
      </c>
      <c r="G4697" s="204" t="s">
        <v>15966</v>
      </c>
      <c r="H4697" s="204" t="s">
        <v>149</v>
      </c>
      <c r="I4697" s="204" t="s">
        <v>5723</v>
      </c>
      <c r="J4697" s="204" t="s">
        <v>15967</v>
      </c>
      <c r="K4697" s="204" t="s">
        <v>149</v>
      </c>
      <c r="L4697" s="204" t="s">
        <v>149</v>
      </c>
      <c r="M4697" s="204">
        <v>1</v>
      </c>
      <c r="N4697" s="204">
        <v>1</v>
      </c>
      <c r="O4697" s="204">
        <v>1</v>
      </c>
      <c r="P4697" s="204">
        <v>0</v>
      </c>
      <c r="Q4697" s="572">
        <v>0</v>
      </c>
      <c r="R4697" s="1209">
        <v>113866</v>
      </c>
      <c r="S4697" s="1209">
        <f t="shared" si="270"/>
        <v>113866</v>
      </c>
      <c r="T4697" s="204" t="s">
        <v>10016</v>
      </c>
      <c r="U4697" s="1901" t="s">
        <v>7934</v>
      </c>
      <c r="V4697" s="572" t="s">
        <v>7705</v>
      </c>
      <c r="W4697" s="681"/>
      <c r="X4697" s="18"/>
      <c r="Y4697" s="4"/>
      <c r="Z4697" s="4"/>
    </row>
    <row r="4698" spans="1:26" ht="15.6" hidden="1">
      <c r="A4698" s="20">
        <v>4707</v>
      </c>
      <c r="B4698" s="1063">
        <v>44475</v>
      </c>
      <c r="C4698" s="934" t="s">
        <v>10704</v>
      </c>
      <c r="D4698" s="10" t="s">
        <v>6</v>
      </c>
      <c r="E4698" s="204" t="s">
        <v>15012</v>
      </c>
      <c r="F4698" s="986" t="s">
        <v>10696</v>
      </c>
      <c r="G4698" s="298" t="s">
        <v>15968</v>
      </c>
      <c r="H4698" s="298" t="s">
        <v>713</v>
      </c>
      <c r="I4698" s="298" t="s">
        <v>6651</v>
      </c>
      <c r="J4698" s="1096" t="s">
        <v>15969</v>
      </c>
      <c r="K4698" s="799" t="s">
        <v>15970</v>
      </c>
      <c r="L4698" s="484" t="s">
        <v>13227</v>
      </c>
      <c r="M4698" s="298">
        <v>2</v>
      </c>
      <c r="N4698" s="298">
        <v>1</v>
      </c>
      <c r="O4698" s="298">
        <v>2</v>
      </c>
      <c r="P4698" s="298">
        <v>0</v>
      </c>
      <c r="Q4698" s="770">
        <f>P4698+O4698</f>
        <v>2</v>
      </c>
      <c r="R4698" s="1209">
        <v>839</v>
      </c>
      <c r="S4698" s="1209">
        <v>1678</v>
      </c>
      <c r="T4698" s="204" t="s">
        <v>9485</v>
      </c>
      <c r="U4698" s="1901" t="s">
        <v>3646</v>
      </c>
      <c r="V4698" s="572" t="s">
        <v>352</v>
      </c>
      <c r="W4698" s="804" t="s">
        <v>15971</v>
      </c>
      <c r="X4698" s="18"/>
      <c r="Y4698" s="4"/>
      <c r="Z4698" s="4"/>
    </row>
    <row r="4699" spans="1:26" ht="14.1" hidden="1">
      <c r="A4699" s="20">
        <v>4708</v>
      </c>
      <c r="B4699" s="1063">
        <v>44476</v>
      </c>
      <c r="C4699" s="934" t="s">
        <v>15972</v>
      </c>
      <c r="D4699" s="11"/>
      <c r="E4699" s="204" t="s">
        <v>62</v>
      </c>
      <c r="F4699" s="934" t="s">
        <v>11323</v>
      </c>
      <c r="G4699" s="204" t="s">
        <v>15972</v>
      </c>
      <c r="H4699" s="204" t="s">
        <v>287</v>
      </c>
      <c r="I4699" s="204" t="s">
        <v>287</v>
      </c>
      <c r="J4699" s="204"/>
      <c r="K4699" s="204"/>
      <c r="L4699" s="204"/>
      <c r="M4699" s="204">
        <v>10</v>
      </c>
      <c r="N4699" s="204">
        <v>1</v>
      </c>
      <c r="O4699" s="204">
        <v>10</v>
      </c>
      <c r="P4699" s="204">
        <v>0</v>
      </c>
      <c r="Q4699" s="572">
        <v>10</v>
      </c>
      <c r="R4699" s="1209"/>
      <c r="S4699" s="1209">
        <v>107957</v>
      </c>
      <c r="T4699" s="204" t="s">
        <v>15908</v>
      </c>
      <c r="U4699" s="1901"/>
      <c r="V4699" s="572" t="s">
        <v>352</v>
      </c>
      <c r="W4699" s="681"/>
      <c r="X4699" s="18"/>
      <c r="Y4699" s="4"/>
      <c r="Z4699" s="4"/>
    </row>
    <row r="4700" spans="1:26" s="850" customFormat="1" ht="14.1" hidden="1">
      <c r="A4700" s="200">
        <v>4709</v>
      </c>
      <c r="B4700" s="1064">
        <v>44477</v>
      </c>
      <c r="C4700" s="39" t="s">
        <v>205</v>
      </c>
      <c r="D4700" s="231" t="s">
        <v>6</v>
      </c>
      <c r="E4700" s="39" t="s">
        <v>166</v>
      </c>
      <c r="F4700" s="39" t="s">
        <v>2876</v>
      </c>
      <c r="G4700" s="39" t="s">
        <v>15973</v>
      </c>
      <c r="H4700" s="39" t="s">
        <v>207</v>
      </c>
      <c r="I4700" s="39" t="s">
        <v>574</v>
      </c>
      <c r="J4700" s="39" t="s">
        <v>208</v>
      </c>
      <c r="K4700" s="39" t="s">
        <v>209</v>
      </c>
      <c r="L4700" s="39" t="s">
        <v>210</v>
      </c>
      <c r="M4700" s="39">
        <v>3</v>
      </c>
      <c r="N4700" s="39">
        <v>1</v>
      </c>
      <c r="O4700" s="39">
        <v>4</v>
      </c>
      <c r="P4700" s="39">
        <v>0</v>
      </c>
      <c r="Q4700" s="39">
        <v>4</v>
      </c>
      <c r="R4700" s="1207">
        <v>534</v>
      </c>
      <c r="S4700" s="1207">
        <f>O4700*R4700</f>
        <v>2136</v>
      </c>
      <c r="T4700" s="39" t="s">
        <v>1009</v>
      </c>
      <c r="U4700" s="1857" t="s">
        <v>15974</v>
      </c>
      <c r="V4700" s="39" t="s">
        <v>10617</v>
      </c>
      <c r="W4700" s="2105" t="s">
        <v>15975</v>
      </c>
      <c r="X4700" s="56"/>
      <c r="Y4700" s="57"/>
      <c r="Z4700" s="57"/>
    </row>
    <row r="4701" spans="1:26" ht="14.1" hidden="1">
      <c r="A4701" s="20">
        <v>4710</v>
      </c>
      <c r="B4701" s="1063">
        <v>44478</v>
      </c>
      <c r="C4701" s="985" t="s">
        <v>3633</v>
      </c>
      <c r="D4701" s="10" t="s">
        <v>6</v>
      </c>
      <c r="E4701" s="22" t="s">
        <v>166</v>
      </c>
      <c r="F4701" s="985" t="s">
        <v>1989</v>
      </c>
      <c r="G4701" s="683" t="s">
        <v>15976</v>
      </c>
      <c r="H4701" s="683" t="s">
        <v>468</v>
      </c>
      <c r="I4701" s="683" t="s">
        <v>84</v>
      </c>
      <c r="J4701" s="683">
        <v>26340378</v>
      </c>
      <c r="K4701" s="683" t="s">
        <v>13701</v>
      </c>
      <c r="L4701" s="683" t="s">
        <v>3636</v>
      </c>
      <c r="M4701" s="683">
        <v>3</v>
      </c>
      <c r="N4701" s="683">
        <v>50</v>
      </c>
      <c r="O4701" s="683">
        <v>50</v>
      </c>
      <c r="P4701" s="683">
        <v>0</v>
      </c>
      <c r="Q4701" s="683">
        <v>47</v>
      </c>
      <c r="R4701" s="1318">
        <v>1390</v>
      </c>
      <c r="S4701" s="1318">
        <v>1390</v>
      </c>
      <c r="T4701" s="683" t="s">
        <v>14752</v>
      </c>
      <c r="U4701" s="740" t="s">
        <v>15977</v>
      </c>
      <c r="V4701" s="204" t="s">
        <v>104</v>
      </c>
      <c r="W4701" s="681" t="s">
        <v>14417</v>
      </c>
      <c r="X4701" s="18"/>
      <c r="Y4701" s="4"/>
      <c r="Z4701" s="4"/>
    </row>
    <row r="4702" spans="1:26" ht="14.1" hidden="1">
      <c r="A4702" s="20">
        <v>4711</v>
      </c>
      <c r="B4702" s="1063">
        <v>44479</v>
      </c>
      <c r="C4702" s="986" t="s">
        <v>15978</v>
      </c>
      <c r="D4702" s="10" t="s">
        <v>6</v>
      </c>
      <c r="E4702" s="22" t="s">
        <v>166</v>
      </c>
      <c r="F4702" s="986" t="s">
        <v>1989</v>
      </c>
      <c r="G4702" s="298" t="s">
        <v>3634</v>
      </c>
      <c r="H4702" s="298" t="s">
        <v>468</v>
      </c>
      <c r="I4702" s="298" t="s">
        <v>84</v>
      </c>
      <c r="J4702" s="298">
        <v>26344578</v>
      </c>
      <c r="K4702" s="298" t="s">
        <v>3635</v>
      </c>
      <c r="L4702" s="298" t="s">
        <v>3636</v>
      </c>
      <c r="M4702" s="298">
        <v>12</v>
      </c>
      <c r="N4702" s="298">
        <v>50</v>
      </c>
      <c r="O4702" s="298">
        <v>50</v>
      </c>
      <c r="P4702" s="298">
        <v>0</v>
      </c>
      <c r="Q4702" s="298">
        <v>38</v>
      </c>
      <c r="R4702" s="1319">
        <v>1590</v>
      </c>
      <c r="S4702" s="1319">
        <v>1590</v>
      </c>
      <c r="T4702" s="298" t="s">
        <v>14752</v>
      </c>
      <c r="U4702" s="1537" t="s">
        <v>15977</v>
      </c>
      <c r="V4702" s="204" t="s">
        <v>104</v>
      </c>
      <c r="W4702" s="808" t="s">
        <v>3638</v>
      </c>
      <c r="X4702" s="18"/>
      <c r="Y4702" s="4"/>
      <c r="Z4702" s="4"/>
    </row>
    <row r="4703" spans="1:26" ht="14.1" hidden="1">
      <c r="A4703" s="20">
        <v>4712</v>
      </c>
      <c r="B4703" s="1063">
        <v>44480</v>
      </c>
      <c r="C4703" s="986" t="s">
        <v>2058</v>
      </c>
      <c r="D4703" s="11" t="s">
        <v>6</v>
      </c>
      <c r="E4703" s="22" t="s">
        <v>166</v>
      </c>
      <c r="F4703" s="986" t="s">
        <v>1989</v>
      </c>
      <c r="G4703" s="298" t="s">
        <v>3639</v>
      </c>
      <c r="H4703" s="298" t="s">
        <v>1143</v>
      </c>
      <c r="I4703" s="298" t="s">
        <v>574</v>
      </c>
      <c r="J4703" s="298" t="s">
        <v>3640</v>
      </c>
      <c r="K4703" s="298">
        <v>554600272</v>
      </c>
      <c r="L4703" s="298" t="s">
        <v>2011</v>
      </c>
      <c r="M4703" s="298">
        <v>12</v>
      </c>
      <c r="N4703" s="298">
        <v>1</v>
      </c>
      <c r="O4703" s="298">
        <v>36</v>
      </c>
      <c r="P4703" s="298">
        <v>0</v>
      </c>
      <c r="Q4703" s="298">
        <v>24</v>
      </c>
      <c r="R4703" s="1319">
        <v>159</v>
      </c>
      <c r="S4703" s="1319">
        <v>3816</v>
      </c>
      <c r="T4703" s="298" t="s">
        <v>14752</v>
      </c>
      <c r="U4703" s="1537" t="s">
        <v>15977</v>
      </c>
      <c r="V4703" s="204" t="s">
        <v>104</v>
      </c>
      <c r="W4703" s="682" t="s">
        <v>3641</v>
      </c>
      <c r="X4703" s="18"/>
      <c r="Y4703" s="4"/>
      <c r="Z4703" s="4"/>
    </row>
    <row r="4704" spans="1:26" ht="14.1" hidden="1">
      <c r="A4704" s="20">
        <v>4713</v>
      </c>
      <c r="B4704" s="1063">
        <v>44481</v>
      </c>
      <c r="C4704" s="986" t="s">
        <v>1072</v>
      </c>
      <c r="D4704" s="11" t="s">
        <v>6</v>
      </c>
      <c r="E4704" s="22" t="s">
        <v>166</v>
      </c>
      <c r="F4704" s="986" t="s">
        <v>1989</v>
      </c>
      <c r="G4704" s="298" t="s">
        <v>5188</v>
      </c>
      <c r="H4704" s="298" t="s">
        <v>460</v>
      </c>
      <c r="I4704" s="298" t="s">
        <v>281</v>
      </c>
      <c r="J4704" s="298" t="s">
        <v>461</v>
      </c>
      <c r="K4704" s="298" t="s">
        <v>462</v>
      </c>
      <c r="L4704" s="298" t="s">
        <v>587</v>
      </c>
      <c r="M4704" s="298">
        <v>3</v>
      </c>
      <c r="N4704" s="298">
        <v>1</v>
      </c>
      <c r="O4704" s="298">
        <v>9</v>
      </c>
      <c r="P4704" s="298">
        <v>0</v>
      </c>
      <c r="Q4704" s="298">
        <v>9</v>
      </c>
      <c r="R4704" s="1319">
        <v>149</v>
      </c>
      <c r="S4704" s="1319">
        <f>O4704*R4704</f>
        <v>1341</v>
      </c>
      <c r="T4704" s="298" t="s">
        <v>14752</v>
      </c>
      <c r="U4704" s="1537" t="s">
        <v>15977</v>
      </c>
      <c r="V4704" s="204" t="s">
        <v>5990</v>
      </c>
      <c r="W4704" s="830" t="s">
        <v>14899</v>
      </c>
      <c r="X4704" s="18"/>
      <c r="Y4704" s="4"/>
      <c r="Z4704" s="4"/>
    </row>
    <row r="4705" spans="1:26" ht="14.1" hidden="1">
      <c r="A4705" s="20">
        <v>4714</v>
      </c>
      <c r="B4705" s="1063">
        <v>44482</v>
      </c>
      <c r="C4705" s="986" t="s">
        <v>5270</v>
      </c>
      <c r="D4705" s="10" t="s">
        <v>6</v>
      </c>
      <c r="E4705" s="22" t="s">
        <v>166</v>
      </c>
      <c r="F4705" s="986" t="s">
        <v>1989</v>
      </c>
      <c r="G4705" s="298" t="s">
        <v>5271</v>
      </c>
      <c r="H4705" s="298" t="s">
        <v>3898</v>
      </c>
      <c r="I4705" s="298" t="s">
        <v>281</v>
      </c>
      <c r="J4705" s="298" t="s">
        <v>933</v>
      </c>
      <c r="K4705" s="298" t="s">
        <v>5991</v>
      </c>
      <c r="L4705" s="298" t="s">
        <v>3636</v>
      </c>
      <c r="M4705" s="298">
        <v>18</v>
      </c>
      <c r="N4705" s="298">
        <v>1</v>
      </c>
      <c r="O4705" s="298">
        <v>50</v>
      </c>
      <c r="P4705" s="298">
        <v>0</v>
      </c>
      <c r="Q4705" s="298">
        <v>32</v>
      </c>
      <c r="R4705" s="1319">
        <v>448</v>
      </c>
      <c r="S4705" s="1319">
        <v>22400</v>
      </c>
      <c r="T4705" s="298" t="s">
        <v>14752</v>
      </c>
      <c r="U4705" s="1537" t="s">
        <v>15977</v>
      </c>
      <c r="V4705" s="204" t="s">
        <v>5990</v>
      </c>
      <c r="W4705" s="682" t="s">
        <v>15979</v>
      </c>
      <c r="X4705" s="18"/>
      <c r="Y4705" s="4"/>
      <c r="Z4705" s="4"/>
    </row>
    <row r="4706" spans="1:26" ht="14.1" hidden="1">
      <c r="A4706" s="20">
        <v>4715</v>
      </c>
      <c r="B4706" s="1063">
        <v>44483</v>
      </c>
      <c r="C4706" s="934" t="s">
        <v>15980</v>
      </c>
      <c r="D4706" s="8" t="s">
        <v>6</v>
      </c>
      <c r="E4706" s="22" t="s">
        <v>166</v>
      </c>
      <c r="F4706" s="934" t="s">
        <v>13854</v>
      </c>
      <c r="G4706" s="204" t="s">
        <v>15981</v>
      </c>
      <c r="H4706" s="204" t="s">
        <v>133</v>
      </c>
      <c r="I4706" s="204" t="s">
        <v>133</v>
      </c>
      <c r="J4706" s="204" t="s">
        <v>1140</v>
      </c>
      <c r="K4706" s="204" t="s">
        <v>1140</v>
      </c>
      <c r="L4706" s="204" t="s">
        <v>1140</v>
      </c>
      <c r="M4706" s="204">
        <v>1</v>
      </c>
      <c r="N4706" s="204">
        <v>1</v>
      </c>
      <c r="O4706" s="204">
        <v>1</v>
      </c>
      <c r="P4706" s="204">
        <v>0</v>
      </c>
      <c r="Q4706" s="572">
        <v>1</v>
      </c>
      <c r="R4706" s="1209">
        <v>7000</v>
      </c>
      <c r="S4706" s="1209">
        <v>7000</v>
      </c>
      <c r="T4706" s="204" t="s">
        <v>12425</v>
      </c>
      <c r="U4706" s="1901" t="s">
        <v>1896</v>
      </c>
      <c r="V4706" s="204" t="s">
        <v>5990</v>
      </c>
      <c r="W4706" s="681" t="s">
        <v>15982</v>
      </c>
      <c r="X4706" s="18"/>
      <c r="Y4706" s="4"/>
      <c r="Z4706" s="4"/>
    </row>
    <row r="4707" spans="1:26" ht="14.1" hidden="1">
      <c r="A4707" s="20">
        <v>4716</v>
      </c>
      <c r="B4707" s="1063">
        <v>44484</v>
      </c>
      <c r="C4707" s="934" t="s">
        <v>15983</v>
      </c>
      <c r="D4707" s="278" t="s">
        <v>6</v>
      </c>
      <c r="E4707" s="204" t="s">
        <v>12777</v>
      </c>
      <c r="F4707" s="934" t="s">
        <v>784</v>
      </c>
      <c r="G4707" s="204" t="s">
        <v>15984</v>
      </c>
      <c r="H4707" s="204" t="s">
        <v>287</v>
      </c>
      <c r="I4707" s="204" t="s">
        <v>287</v>
      </c>
      <c r="J4707" s="204">
        <v>21101500111</v>
      </c>
      <c r="K4707" s="204">
        <v>21101500111</v>
      </c>
      <c r="L4707" s="204" t="s">
        <v>149</v>
      </c>
      <c r="M4707" s="204">
        <v>1</v>
      </c>
      <c r="N4707" s="204">
        <v>1</v>
      </c>
      <c r="O4707" s="204">
        <v>1</v>
      </c>
      <c r="P4707" s="204">
        <v>0</v>
      </c>
      <c r="Q4707" s="572">
        <v>0</v>
      </c>
      <c r="R4707" s="1209">
        <v>120549</v>
      </c>
      <c r="S4707" s="1209">
        <f>R4707*O4707</f>
        <v>120549</v>
      </c>
      <c r="T4707" s="204" t="s">
        <v>10016</v>
      </c>
      <c r="U4707" s="1901" t="s">
        <v>10016</v>
      </c>
      <c r="V4707" s="572" t="s">
        <v>13251</v>
      </c>
      <c r="W4707" s="681"/>
      <c r="X4707" s="18"/>
      <c r="Y4707" s="4"/>
      <c r="Z4707" s="4"/>
    </row>
    <row r="4708" spans="1:26" ht="14.1" hidden="1">
      <c r="A4708" s="20">
        <v>4717</v>
      </c>
      <c r="B4708" s="1063">
        <v>44485</v>
      </c>
      <c r="C4708" s="934" t="s">
        <v>15985</v>
      </c>
      <c r="D4708" s="8" t="s">
        <v>6</v>
      </c>
      <c r="E4708" s="204" t="s">
        <v>14758</v>
      </c>
      <c r="F4708" s="934" t="s">
        <v>11441</v>
      </c>
      <c r="G4708" s="585" t="s">
        <v>15986</v>
      </c>
      <c r="H4708" s="204" t="s">
        <v>2151</v>
      </c>
      <c r="I4708" s="204" t="s">
        <v>3098</v>
      </c>
      <c r="J4708" s="204" t="s">
        <v>15987</v>
      </c>
      <c r="K4708" s="204">
        <v>109990166</v>
      </c>
      <c r="L4708" s="204" t="s">
        <v>149</v>
      </c>
      <c r="M4708" s="204">
        <v>4</v>
      </c>
      <c r="N4708" s="204">
        <v>1</v>
      </c>
      <c r="O4708" s="204">
        <v>4</v>
      </c>
      <c r="P4708" s="204">
        <v>0</v>
      </c>
      <c r="Q4708" s="572">
        <v>0</v>
      </c>
      <c r="R4708" s="1209">
        <v>846</v>
      </c>
      <c r="S4708" s="1209">
        <v>3384</v>
      </c>
      <c r="T4708" s="204" t="s">
        <v>3961</v>
      </c>
      <c r="U4708" s="1901" t="s">
        <v>12081</v>
      </c>
      <c r="V4708" s="572" t="s">
        <v>11783</v>
      </c>
      <c r="W4708" s="681" t="s">
        <v>15988</v>
      </c>
      <c r="X4708" s="18"/>
      <c r="Y4708" s="4"/>
      <c r="Z4708" s="4"/>
    </row>
    <row r="4709" spans="1:26" ht="14.45" hidden="1">
      <c r="A4709" s="20">
        <v>4718</v>
      </c>
      <c r="B4709" s="1063">
        <v>44486</v>
      </c>
      <c r="C4709" s="1027" t="s">
        <v>12487</v>
      </c>
      <c r="D4709" s="11" t="s">
        <v>6</v>
      </c>
      <c r="E4709" s="243" t="s">
        <v>166</v>
      </c>
      <c r="F4709" s="993" t="s">
        <v>15989</v>
      </c>
      <c r="G4709" s="706" t="s">
        <v>12490</v>
      </c>
      <c r="H4709" s="706" t="s">
        <v>7319</v>
      </c>
      <c r="I4709" s="1076" t="s">
        <v>322</v>
      </c>
      <c r="J4709" s="1097" t="s">
        <v>990</v>
      </c>
      <c r="K4709" s="786" t="s">
        <v>990</v>
      </c>
      <c r="L4709" s="659" t="s">
        <v>12491</v>
      </c>
      <c r="M4709" s="659">
        <v>8</v>
      </c>
      <c r="N4709" s="659">
        <v>50</v>
      </c>
      <c r="O4709" s="659">
        <v>50</v>
      </c>
      <c r="P4709" s="659">
        <v>0</v>
      </c>
      <c r="Q4709" s="659">
        <v>42</v>
      </c>
      <c r="R4709" s="1262">
        <v>1990</v>
      </c>
      <c r="S4709" s="1262">
        <v>1990</v>
      </c>
      <c r="T4709" s="1076" t="s">
        <v>14752</v>
      </c>
      <c r="U4709" s="1932" t="s">
        <v>9101</v>
      </c>
      <c r="V4709" s="195" t="s">
        <v>7780</v>
      </c>
      <c r="W4709" s="809" t="s">
        <v>15990</v>
      </c>
      <c r="X4709" s="734"/>
      <c r="Y4709" s="4"/>
      <c r="Z4709" s="4"/>
    </row>
    <row r="4710" spans="1:26" ht="14.45" hidden="1">
      <c r="A4710" s="20">
        <v>4719</v>
      </c>
      <c r="B4710" s="1063">
        <v>44486</v>
      </c>
      <c r="C4710" s="1028" t="s">
        <v>12493</v>
      </c>
      <c r="D4710" s="11" t="s">
        <v>6</v>
      </c>
      <c r="E4710" s="243" t="s">
        <v>166</v>
      </c>
      <c r="F4710" s="998" t="s">
        <v>15989</v>
      </c>
      <c r="G4710" s="451" t="s">
        <v>12494</v>
      </c>
      <c r="H4710" s="451" t="s">
        <v>12495</v>
      </c>
      <c r="I4710" s="470" t="s">
        <v>322</v>
      </c>
      <c r="J4710" s="470" t="s">
        <v>12496</v>
      </c>
      <c r="K4710" s="451" t="s">
        <v>12497</v>
      </c>
      <c r="L4710" s="470" t="s">
        <v>12498</v>
      </c>
      <c r="M4710" s="470">
        <v>1</v>
      </c>
      <c r="N4710" s="470">
        <v>1</v>
      </c>
      <c r="O4710" s="470">
        <v>1</v>
      </c>
      <c r="P4710" s="470">
        <v>0</v>
      </c>
      <c r="Q4710" s="243">
        <v>0</v>
      </c>
      <c r="R4710" s="1351">
        <v>1690</v>
      </c>
      <c r="S4710" s="1351">
        <v>1690</v>
      </c>
      <c r="T4710" s="470" t="s">
        <v>14752</v>
      </c>
      <c r="U4710" s="1931" t="s">
        <v>9101</v>
      </c>
      <c r="V4710" s="195" t="s">
        <v>7780</v>
      </c>
      <c r="W4710" s="810" t="s">
        <v>15991</v>
      </c>
      <c r="X4710" s="330"/>
      <c r="Y4710" s="4"/>
      <c r="Z4710" s="4"/>
    </row>
    <row r="4711" spans="1:26" ht="15.6" hidden="1">
      <c r="A4711" s="20">
        <v>4720</v>
      </c>
      <c r="B4711" s="1065">
        <v>44490</v>
      </c>
      <c r="C4711" s="995" t="s">
        <v>12500</v>
      </c>
      <c r="D4711" s="11" t="s">
        <v>6</v>
      </c>
      <c r="E4711" s="243" t="s">
        <v>166</v>
      </c>
      <c r="F4711" s="998" t="s">
        <v>15989</v>
      </c>
      <c r="G4711" s="328" t="s">
        <v>12505</v>
      </c>
      <c r="H4711" s="451" t="s">
        <v>366</v>
      </c>
      <c r="I4711" s="470" t="s">
        <v>366</v>
      </c>
      <c r="J4711" s="470" t="s">
        <v>367</v>
      </c>
      <c r="K4711" s="451" t="s">
        <v>367</v>
      </c>
      <c r="L4711" s="1111" t="s">
        <v>12503</v>
      </c>
      <c r="M4711" s="1116">
        <v>16</v>
      </c>
      <c r="N4711" s="243">
        <v>1</v>
      </c>
      <c r="O4711" s="243">
        <v>20</v>
      </c>
      <c r="P4711" s="243">
        <v>0</v>
      </c>
      <c r="Q4711" s="243">
        <v>4</v>
      </c>
      <c r="R4711" s="1263">
        <v>180</v>
      </c>
      <c r="S4711" s="1263">
        <v>3960</v>
      </c>
      <c r="T4711" s="470" t="s">
        <v>14752</v>
      </c>
      <c r="U4711" s="1931" t="s">
        <v>9101</v>
      </c>
      <c r="V4711" s="195" t="s">
        <v>7780</v>
      </c>
      <c r="W4711" s="810" t="s">
        <v>12506</v>
      </c>
      <c r="X4711" s="330"/>
      <c r="Y4711" s="4"/>
      <c r="Z4711" s="4"/>
    </row>
    <row r="4712" spans="1:26" ht="15.6" hidden="1">
      <c r="A4712" s="20">
        <v>4721</v>
      </c>
      <c r="B4712" s="1066">
        <v>44490</v>
      </c>
      <c r="C4712" s="995" t="s">
        <v>12500</v>
      </c>
      <c r="D4712" s="11" t="s">
        <v>6</v>
      </c>
      <c r="E4712" s="243" t="s">
        <v>166</v>
      </c>
      <c r="F4712" s="998" t="s">
        <v>15989</v>
      </c>
      <c r="G4712" s="328" t="s">
        <v>12507</v>
      </c>
      <c r="H4712" s="451" t="s">
        <v>366</v>
      </c>
      <c r="I4712" s="470" t="s">
        <v>366</v>
      </c>
      <c r="J4712" s="470" t="s">
        <v>370</v>
      </c>
      <c r="K4712" s="451" t="s">
        <v>370</v>
      </c>
      <c r="L4712" s="1111" t="s">
        <v>12503</v>
      </c>
      <c r="M4712" s="1116">
        <v>8</v>
      </c>
      <c r="N4712" s="243">
        <v>1</v>
      </c>
      <c r="O4712" s="243">
        <v>8</v>
      </c>
      <c r="P4712" s="243">
        <v>0</v>
      </c>
      <c r="Q4712" s="243">
        <v>0</v>
      </c>
      <c r="R4712" s="1263">
        <v>260</v>
      </c>
      <c r="S4712" s="1263">
        <v>2288</v>
      </c>
      <c r="T4712" s="470" t="s">
        <v>14752</v>
      </c>
      <c r="U4712" s="1931" t="s">
        <v>9101</v>
      </c>
      <c r="V4712" s="195" t="s">
        <v>7780</v>
      </c>
      <c r="W4712" s="810" t="s">
        <v>13592</v>
      </c>
      <c r="X4712" s="330"/>
      <c r="Y4712" s="4"/>
      <c r="Z4712" s="4"/>
    </row>
    <row r="4713" spans="1:26" ht="15.6" hidden="1">
      <c r="A4713" s="20">
        <v>4722</v>
      </c>
      <c r="B4713" s="1066">
        <v>44490</v>
      </c>
      <c r="C4713" s="1029" t="s">
        <v>15992</v>
      </c>
      <c r="D4713" s="11" t="s">
        <v>6</v>
      </c>
      <c r="E4713" s="243" t="s">
        <v>166</v>
      </c>
      <c r="F4713" s="998" t="s">
        <v>11434</v>
      </c>
      <c r="G4713" s="328" t="s">
        <v>12540</v>
      </c>
      <c r="H4713" s="451" t="s">
        <v>366</v>
      </c>
      <c r="I4713" s="470" t="s">
        <v>366</v>
      </c>
      <c r="J4713" s="470" t="s">
        <v>15750</v>
      </c>
      <c r="K4713" s="451" t="s">
        <v>15750</v>
      </c>
      <c r="L4713" s="1111" t="s">
        <v>12503</v>
      </c>
      <c r="M4713" s="1116">
        <v>16</v>
      </c>
      <c r="N4713" s="243">
        <v>1</v>
      </c>
      <c r="O4713" s="243">
        <v>50</v>
      </c>
      <c r="P4713" s="243">
        <v>0</v>
      </c>
      <c r="Q4713" s="243">
        <v>4</v>
      </c>
      <c r="R4713" s="1263">
        <v>100</v>
      </c>
      <c r="S4713" s="1263">
        <v>5500</v>
      </c>
      <c r="T4713" s="470" t="s">
        <v>14752</v>
      </c>
      <c r="U4713" s="1931" t="s">
        <v>9101</v>
      </c>
      <c r="V4713" s="195" t="s">
        <v>7780</v>
      </c>
      <c r="W4713" s="811" t="s">
        <v>15993</v>
      </c>
      <c r="X4713" s="330"/>
      <c r="Y4713" s="4"/>
      <c r="Z4713" s="4"/>
    </row>
    <row r="4714" spans="1:26" ht="15.6" hidden="1">
      <c r="A4714" s="20">
        <v>4723</v>
      </c>
      <c r="B4714" s="1066">
        <v>44490</v>
      </c>
      <c r="C4714" s="995" t="s">
        <v>12500</v>
      </c>
      <c r="D4714" s="11" t="s">
        <v>6</v>
      </c>
      <c r="E4714" s="243" t="s">
        <v>166</v>
      </c>
      <c r="F4714" s="998" t="s">
        <v>15989</v>
      </c>
      <c r="G4714" s="328" t="s">
        <v>12508</v>
      </c>
      <c r="H4714" s="451" t="s">
        <v>366</v>
      </c>
      <c r="I4714" s="470" t="s">
        <v>366</v>
      </c>
      <c r="J4714" s="470" t="s">
        <v>372</v>
      </c>
      <c r="K4714" s="451" t="s">
        <v>372</v>
      </c>
      <c r="L4714" s="1111" t="s">
        <v>12503</v>
      </c>
      <c r="M4714" s="1116">
        <v>8</v>
      </c>
      <c r="N4714" s="243">
        <v>1</v>
      </c>
      <c r="O4714" s="243">
        <v>8</v>
      </c>
      <c r="P4714" s="243">
        <v>0</v>
      </c>
      <c r="Q4714" s="243">
        <v>0</v>
      </c>
      <c r="R4714" s="1263">
        <v>300</v>
      </c>
      <c r="S4714" s="1263">
        <v>2640</v>
      </c>
      <c r="T4714" s="470" t="s">
        <v>14752</v>
      </c>
      <c r="U4714" s="1931" t="s">
        <v>9101</v>
      </c>
      <c r="V4714" s="195" t="s">
        <v>7780</v>
      </c>
      <c r="W4714" s="810" t="s">
        <v>12509</v>
      </c>
      <c r="X4714" s="330"/>
      <c r="Y4714" s="4"/>
      <c r="Z4714" s="4"/>
    </row>
    <row r="4715" spans="1:26" ht="15.6" hidden="1">
      <c r="A4715" s="20">
        <v>4724</v>
      </c>
      <c r="B4715" s="1066">
        <v>44490</v>
      </c>
      <c r="C4715" s="995" t="s">
        <v>12510</v>
      </c>
      <c r="D4715" s="11" t="s">
        <v>6</v>
      </c>
      <c r="E4715" s="243" t="s">
        <v>166</v>
      </c>
      <c r="F4715" s="998" t="s">
        <v>15989</v>
      </c>
      <c r="G4715" s="328" t="s">
        <v>12517</v>
      </c>
      <c r="H4715" s="328" t="s">
        <v>7319</v>
      </c>
      <c r="I4715" s="470" t="s">
        <v>366</v>
      </c>
      <c r="J4715" s="470" t="s">
        <v>10172</v>
      </c>
      <c r="K4715" s="451" t="s">
        <v>10172</v>
      </c>
      <c r="L4715" s="1111" t="s">
        <v>12503</v>
      </c>
      <c r="M4715" s="1116">
        <v>4</v>
      </c>
      <c r="N4715" s="243">
        <v>1</v>
      </c>
      <c r="O4715" s="243">
        <v>50</v>
      </c>
      <c r="P4715" s="243">
        <v>0</v>
      </c>
      <c r="Q4715" s="243">
        <v>46</v>
      </c>
      <c r="R4715" s="1263">
        <v>12</v>
      </c>
      <c r="S4715" s="1263">
        <v>660</v>
      </c>
      <c r="T4715" s="470" t="s">
        <v>14752</v>
      </c>
      <c r="U4715" s="1931" t="s">
        <v>9101</v>
      </c>
      <c r="V4715" s="195" t="s">
        <v>7780</v>
      </c>
      <c r="W4715" s="810" t="s">
        <v>15994</v>
      </c>
      <c r="X4715" s="330"/>
      <c r="Y4715" s="4"/>
      <c r="Z4715" s="4"/>
    </row>
    <row r="4716" spans="1:26" ht="15.6" hidden="1">
      <c r="A4716" s="20">
        <v>4725</v>
      </c>
      <c r="B4716" s="1066">
        <v>44490</v>
      </c>
      <c r="C4716" s="995" t="s">
        <v>12510</v>
      </c>
      <c r="D4716" s="11" t="s">
        <v>6</v>
      </c>
      <c r="E4716" s="243" t="s">
        <v>166</v>
      </c>
      <c r="F4716" s="998" t="s">
        <v>15989</v>
      </c>
      <c r="G4716" s="328" t="s">
        <v>13594</v>
      </c>
      <c r="H4716" s="328" t="s">
        <v>7319</v>
      </c>
      <c r="I4716" s="470" t="s">
        <v>322</v>
      </c>
      <c r="J4716" s="470" t="s">
        <v>13595</v>
      </c>
      <c r="K4716" s="451" t="s">
        <v>13595</v>
      </c>
      <c r="L4716" s="1111" t="s">
        <v>12503</v>
      </c>
      <c r="M4716" s="1116">
        <v>16</v>
      </c>
      <c r="N4716" s="243">
        <v>1</v>
      </c>
      <c r="O4716" s="243">
        <v>50</v>
      </c>
      <c r="P4716" s="243">
        <v>0</v>
      </c>
      <c r="Q4716" s="243">
        <v>34</v>
      </c>
      <c r="R4716" s="1263">
        <v>13</v>
      </c>
      <c r="S4716" s="1263">
        <v>729</v>
      </c>
      <c r="T4716" s="470" t="s">
        <v>14752</v>
      </c>
      <c r="U4716" s="1931" t="s">
        <v>9101</v>
      </c>
      <c r="V4716" s="195" t="s">
        <v>7780</v>
      </c>
      <c r="W4716" s="811" t="s">
        <v>15995</v>
      </c>
      <c r="X4716" s="330"/>
      <c r="Y4716" s="4"/>
      <c r="Z4716" s="4"/>
    </row>
    <row r="4717" spans="1:26" ht="15.6" hidden="1">
      <c r="A4717" s="20">
        <v>4726</v>
      </c>
      <c r="B4717" s="1066">
        <v>44490</v>
      </c>
      <c r="C4717" s="995" t="s">
        <v>12510</v>
      </c>
      <c r="D4717" s="11" t="s">
        <v>6</v>
      </c>
      <c r="E4717" s="243" t="s">
        <v>166</v>
      </c>
      <c r="F4717" s="998" t="s">
        <v>15989</v>
      </c>
      <c r="G4717" s="328" t="s">
        <v>15996</v>
      </c>
      <c r="H4717" s="328" t="s">
        <v>7319</v>
      </c>
      <c r="I4717" s="470" t="s">
        <v>322</v>
      </c>
      <c r="J4717" s="470" t="s">
        <v>2626</v>
      </c>
      <c r="K4717" s="451" t="s">
        <v>2626</v>
      </c>
      <c r="L4717" s="243" t="s">
        <v>12491</v>
      </c>
      <c r="M4717" s="1116">
        <v>4</v>
      </c>
      <c r="N4717" s="243">
        <v>50</v>
      </c>
      <c r="O4717" s="243">
        <v>50</v>
      </c>
      <c r="P4717" s="243">
        <v>0</v>
      </c>
      <c r="Q4717" s="243">
        <v>46</v>
      </c>
      <c r="R4717" s="1263">
        <v>15</v>
      </c>
      <c r="S4717" s="1263">
        <v>729</v>
      </c>
      <c r="T4717" s="470" t="s">
        <v>14752</v>
      </c>
      <c r="U4717" s="1931" t="s">
        <v>9101</v>
      </c>
      <c r="V4717" s="195" t="s">
        <v>7780</v>
      </c>
      <c r="W4717" s="886" t="s">
        <v>15997</v>
      </c>
      <c r="X4717" s="330"/>
      <c r="Y4717" s="4"/>
      <c r="Z4717" s="4"/>
    </row>
    <row r="4718" spans="1:26" ht="15.6" hidden="1">
      <c r="A4718" s="20">
        <v>4727</v>
      </c>
      <c r="B4718" s="1066">
        <v>44490</v>
      </c>
      <c r="C4718" s="995" t="s">
        <v>12510</v>
      </c>
      <c r="D4718" s="11" t="s">
        <v>6</v>
      </c>
      <c r="E4718" s="243" t="s">
        <v>166</v>
      </c>
      <c r="F4718" s="998" t="s">
        <v>15989</v>
      </c>
      <c r="G4718" s="328" t="s">
        <v>15998</v>
      </c>
      <c r="H4718" s="328" t="s">
        <v>7319</v>
      </c>
      <c r="I4718" s="470" t="s">
        <v>322</v>
      </c>
      <c r="J4718" s="470" t="s">
        <v>15138</v>
      </c>
      <c r="K4718" s="451" t="s">
        <v>15138</v>
      </c>
      <c r="L4718" s="243" t="s">
        <v>12491</v>
      </c>
      <c r="M4718" s="1116">
        <v>8</v>
      </c>
      <c r="N4718" s="243">
        <v>50</v>
      </c>
      <c r="O4718" s="243">
        <v>50</v>
      </c>
      <c r="P4718" s="243">
        <v>0</v>
      </c>
      <c r="Q4718" s="243">
        <v>42</v>
      </c>
      <c r="R4718" s="1263">
        <v>15</v>
      </c>
      <c r="S4718" s="1263">
        <v>729</v>
      </c>
      <c r="T4718" s="470" t="s">
        <v>14752</v>
      </c>
      <c r="U4718" s="1931" t="s">
        <v>9101</v>
      </c>
      <c r="V4718" s="195" t="s">
        <v>7780</v>
      </c>
      <c r="W4718" s="886" t="s">
        <v>15999</v>
      </c>
      <c r="X4718" s="330"/>
      <c r="Y4718" s="4"/>
      <c r="Z4718" s="4"/>
    </row>
    <row r="4719" spans="1:26" ht="15.6" hidden="1">
      <c r="A4719" s="20">
        <v>4728</v>
      </c>
      <c r="B4719" s="1066">
        <v>44490</v>
      </c>
      <c r="C4719" s="995" t="s">
        <v>12510</v>
      </c>
      <c r="D4719" s="11" t="s">
        <v>6</v>
      </c>
      <c r="E4719" s="243" t="s">
        <v>166</v>
      </c>
      <c r="F4719" s="998" t="s">
        <v>15989</v>
      </c>
      <c r="G4719" s="328" t="s">
        <v>16000</v>
      </c>
      <c r="H4719" s="328" t="s">
        <v>7319</v>
      </c>
      <c r="I4719" s="470" t="s">
        <v>322</v>
      </c>
      <c r="J4719" s="470" t="s">
        <v>2628</v>
      </c>
      <c r="K4719" s="451" t="s">
        <v>2628</v>
      </c>
      <c r="L4719" s="243" t="s">
        <v>12491</v>
      </c>
      <c r="M4719" s="1116">
        <v>16</v>
      </c>
      <c r="N4719" s="243">
        <v>50</v>
      </c>
      <c r="O4719" s="243">
        <v>50</v>
      </c>
      <c r="P4719" s="243">
        <v>0</v>
      </c>
      <c r="Q4719" s="243">
        <v>34</v>
      </c>
      <c r="R4719" s="1263">
        <v>16</v>
      </c>
      <c r="S4719" s="1263">
        <v>729</v>
      </c>
      <c r="T4719" s="470" t="s">
        <v>14752</v>
      </c>
      <c r="U4719" s="1931" t="s">
        <v>9101</v>
      </c>
      <c r="V4719" s="195" t="s">
        <v>7780</v>
      </c>
      <c r="W4719" s="886" t="s">
        <v>16001</v>
      </c>
      <c r="X4719" s="330"/>
      <c r="Y4719" s="4"/>
      <c r="Z4719" s="4"/>
    </row>
    <row r="4720" spans="1:26" ht="15.6" hidden="1">
      <c r="A4720" s="20">
        <v>4729</v>
      </c>
      <c r="B4720" s="1066">
        <v>44490</v>
      </c>
      <c r="C4720" s="995" t="s">
        <v>12510</v>
      </c>
      <c r="D4720" s="11" t="s">
        <v>6</v>
      </c>
      <c r="E4720" s="243" t="s">
        <v>166</v>
      </c>
      <c r="F4720" s="998" t="s">
        <v>15989</v>
      </c>
      <c r="G4720" s="328" t="s">
        <v>16002</v>
      </c>
      <c r="H4720" s="328" t="s">
        <v>7319</v>
      </c>
      <c r="I4720" s="470" t="s">
        <v>366</v>
      </c>
      <c r="J4720" s="470" t="s">
        <v>16003</v>
      </c>
      <c r="K4720" s="451" t="s">
        <v>16003</v>
      </c>
      <c r="L4720" s="243" t="s">
        <v>12491</v>
      </c>
      <c r="M4720" s="1116">
        <v>8</v>
      </c>
      <c r="N4720" s="243">
        <v>50</v>
      </c>
      <c r="O4720" s="243">
        <v>50</v>
      </c>
      <c r="P4720" s="243">
        <v>0</v>
      </c>
      <c r="Q4720" s="243">
        <v>42</v>
      </c>
      <c r="R4720" s="1263">
        <v>18</v>
      </c>
      <c r="S4720" s="1263">
        <v>990</v>
      </c>
      <c r="T4720" s="470" t="s">
        <v>14752</v>
      </c>
      <c r="U4720" s="1931" t="s">
        <v>9101</v>
      </c>
      <c r="V4720" s="195" t="s">
        <v>7780</v>
      </c>
      <c r="W4720" s="810" t="s">
        <v>16004</v>
      </c>
      <c r="X4720" s="330"/>
      <c r="Y4720" s="4"/>
      <c r="Z4720" s="4"/>
    </row>
    <row r="4721" spans="1:26" ht="15.6" hidden="1">
      <c r="A4721" s="20">
        <v>4730</v>
      </c>
      <c r="B4721" s="1066">
        <v>44490</v>
      </c>
      <c r="C4721" s="995" t="s">
        <v>12510</v>
      </c>
      <c r="D4721" s="11" t="s">
        <v>6</v>
      </c>
      <c r="E4721" s="243" t="s">
        <v>166</v>
      </c>
      <c r="F4721" s="998" t="s">
        <v>15989</v>
      </c>
      <c r="G4721" s="328" t="s">
        <v>12522</v>
      </c>
      <c r="H4721" s="328" t="s">
        <v>7319</v>
      </c>
      <c r="I4721" s="470" t="s">
        <v>366</v>
      </c>
      <c r="J4721" s="470" t="s">
        <v>12523</v>
      </c>
      <c r="K4721" s="451" t="s">
        <v>12523</v>
      </c>
      <c r="L4721" s="243" t="s">
        <v>12491</v>
      </c>
      <c r="M4721" s="1116">
        <v>8</v>
      </c>
      <c r="N4721" s="243">
        <v>50</v>
      </c>
      <c r="O4721" s="243">
        <v>50</v>
      </c>
      <c r="P4721" s="243">
        <v>0</v>
      </c>
      <c r="Q4721" s="243">
        <v>42</v>
      </c>
      <c r="R4721" s="1263">
        <v>23</v>
      </c>
      <c r="S4721" s="1263">
        <v>1265</v>
      </c>
      <c r="T4721" s="470" t="s">
        <v>14752</v>
      </c>
      <c r="U4721" s="1931" t="s">
        <v>9101</v>
      </c>
      <c r="V4721" s="195" t="s">
        <v>7780</v>
      </c>
      <c r="W4721" s="810" t="s">
        <v>16005</v>
      </c>
      <c r="X4721" s="330"/>
      <c r="Y4721" s="4"/>
      <c r="Z4721" s="4"/>
    </row>
    <row r="4722" spans="1:26" ht="15.6" hidden="1">
      <c r="A4722" s="20">
        <v>4731</v>
      </c>
      <c r="B4722" s="1066">
        <v>44490</v>
      </c>
      <c r="C4722" s="995" t="s">
        <v>12524</v>
      </c>
      <c r="D4722" s="11" t="s">
        <v>6</v>
      </c>
      <c r="E4722" s="243" t="s">
        <v>166</v>
      </c>
      <c r="F4722" s="998" t="s">
        <v>15989</v>
      </c>
      <c r="G4722" s="328" t="s">
        <v>12525</v>
      </c>
      <c r="H4722" s="328" t="s">
        <v>7319</v>
      </c>
      <c r="I4722" s="470" t="s">
        <v>366</v>
      </c>
      <c r="J4722" s="470" t="s">
        <v>3980</v>
      </c>
      <c r="K4722" s="451" t="s">
        <v>3980</v>
      </c>
      <c r="L4722" s="1111" t="s">
        <v>12503</v>
      </c>
      <c r="M4722" s="1116">
        <v>4</v>
      </c>
      <c r="N4722" s="243">
        <v>1</v>
      </c>
      <c r="O4722" s="243">
        <v>4</v>
      </c>
      <c r="P4722" s="243">
        <v>0</v>
      </c>
      <c r="Q4722" s="243">
        <v>0</v>
      </c>
      <c r="R4722" s="1263">
        <v>69</v>
      </c>
      <c r="S4722" s="1263">
        <v>304</v>
      </c>
      <c r="T4722" s="470" t="s">
        <v>14752</v>
      </c>
      <c r="U4722" s="1931" t="s">
        <v>9101</v>
      </c>
      <c r="V4722" s="195" t="s">
        <v>7780</v>
      </c>
      <c r="W4722" s="810" t="s">
        <v>16006</v>
      </c>
      <c r="X4722" s="330"/>
      <c r="Y4722" s="4"/>
      <c r="Z4722" s="4"/>
    </row>
    <row r="4723" spans="1:26" ht="15.6" hidden="1">
      <c r="A4723" s="20">
        <v>4732</v>
      </c>
      <c r="B4723" s="1066">
        <v>44490</v>
      </c>
      <c r="C4723" s="995" t="s">
        <v>12527</v>
      </c>
      <c r="D4723" s="11" t="s">
        <v>6</v>
      </c>
      <c r="E4723" s="243" t="s">
        <v>166</v>
      </c>
      <c r="F4723" s="998" t="s">
        <v>15989</v>
      </c>
      <c r="G4723" s="328" t="s">
        <v>12528</v>
      </c>
      <c r="H4723" s="451" t="s">
        <v>366</v>
      </c>
      <c r="I4723" s="470" t="s">
        <v>366</v>
      </c>
      <c r="J4723" s="470" t="s">
        <v>5532</v>
      </c>
      <c r="K4723" s="451" t="s">
        <v>5532</v>
      </c>
      <c r="L4723" s="1111" t="s">
        <v>12503</v>
      </c>
      <c r="M4723" s="1116">
        <v>4</v>
      </c>
      <c r="N4723" s="243">
        <v>1</v>
      </c>
      <c r="O4723" s="243">
        <v>4</v>
      </c>
      <c r="P4723" s="243">
        <v>0</v>
      </c>
      <c r="Q4723" s="243">
        <v>0</v>
      </c>
      <c r="R4723" s="1263">
        <v>470</v>
      </c>
      <c r="S4723" s="1263">
        <v>2068</v>
      </c>
      <c r="T4723" s="470" t="s">
        <v>14752</v>
      </c>
      <c r="U4723" s="1931" t="s">
        <v>9101</v>
      </c>
      <c r="V4723" s="195" t="s">
        <v>7780</v>
      </c>
      <c r="W4723" s="810" t="s">
        <v>13602</v>
      </c>
      <c r="X4723" s="330"/>
      <c r="Y4723" s="4"/>
      <c r="Z4723" s="4"/>
    </row>
    <row r="4724" spans="1:26" ht="15.6" hidden="1">
      <c r="A4724" s="20">
        <v>4733</v>
      </c>
      <c r="B4724" s="1066">
        <v>44490</v>
      </c>
      <c r="C4724" s="995" t="s">
        <v>12530</v>
      </c>
      <c r="D4724" s="11" t="s">
        <v>6</v>
      </c>
      <c r="E4724" s="243" t="s">
        <v>166</v>
      </c>
      <c r="F4724" s="998" t="s">
        <v>15989</v>
      </c>
      <c r="G4724" s="328" t="s">
        <v>12532</v>
      </c>
      <c r="H4724" s="328" t="s">
        <v>12533</v>
      </c>
      <c r="I4724" s="470" t="s">
        <v>366</v>
      </c>
      <c r="J4724" s="470" t="s">
        <v>12534</v>
      </c>
      <c r="K4724" s="451" t="s">
        <v>12534</v>
      </c>
      <c r="L4724" s="1111" t="s">
        <v>12503</v>
      </c>
      <c r="M4724" s="1116">
        <v>20</v>
      </c>
      <c r="N4724" s="243">
        <v>1</v>
      </c>
      <c r="O4724" s="243">
        <v>28</v>
      </c>
      <c r="P4724" s="243">
        <v>0</v>
      </c>
      <c r="Q4724" s="243">
        <v>8</v>
      </c>
      <c r="R4724" s="1263">
        <v>36</v>
      </c>
      <c r="S4724" s="1263">
        <v>1109</v>
      </c>
      <c r="T4724" s="470" t="s">
        <v>14752</v>
      </c>
      <c r="U4724" s="1931" t="s">
        <v>9101</v>
      </c>
      <c r="V4724" s="195" t="s">
        <v>7780</v>
      </c>
      <c r="W4724" s="810" t="s">
        <v>16007</v>
      </c>
      <c r="X4724" s="330"/>
      <c r="Y4724" s="4"/>
      <c r="Z4724" s="4"/>
    </row>
    <row r="4725" spans="1:26" ht="15.6" hidden="1">
      <c r="A4725" s="20">
        <v>4734</v>
      </c>
      <c r="B4725" s="1066">
        <v>44490</v>
      </c>
      <c r="C4725" s="995" t="s">
        <v>9370</v>
      </c>
      <c r="D4725" s="11" t="s">
        <v>6</v>
      </c>
      <c r="E4725" s="243" t="s">
        <v>166</v>
      </c>
      <c r="F4725" s="998" t="s">
        <v>15989</v>
      </c>
      <c r="G4725" s="328" t="s">
        <v>1521</v>
      </c>
      <c r="H4725" s="451" t="s">
        <v>366</v>
      </c>
      <c r="I4725" s="470" t="s">
        <v>366</v>
      </c>
      <c r="J4725" s="470" t="s">
        <v>379</v>
      </c>
      <c r="K4725" s="451" t="s">
        <v>379</v>
      </c>
      <c r="L4725" s="1111" t="s">
        <v>12503</v>
      </c>
      <c r="M4725" s="1116">
        <v>24</v>
      </c>
      <c r="N4725" s="243">
        <v>1</v>
      </c>
      <c r="O4725" s="243">
        <v>100</v>
      </c>
      <c r="P4725" s="243">
        <v>0</v>
      </c>
      <c r="Q4725" s="243">
        <v>76</v>
      </c>
      <c r="R4725" s="1263">
        <v>4</v>
      </c>
      <c r="S4725" s="1263">
        <v>440</v>
      </c>
      <c r="T4725" s="470" t="s">
        <v>14752</v>
      </c>
      <c r="U4725" s="1931" t="s">
        <v>9101</v>
      </c>
      <c r="V4725" s="195" t="s">
        <v>7780</v>
      </c>
      <c r="W4725" s="810" t="s">
        <v>11480</v>
      </c>
      <c r="X4725" s="330"/>
      <c r="Y4725" s="4"/>
      <c r="Z4725" s="4"/>
    </row>
    <row r="4726" spans="1:26" ht="15.6" hidden="1">
      <c r="A4726" s="20">
        <v>4735</v>
      </c>
      <c r="B4726" s="1063">
        <v>44486</v>
      </c>
      <c r="C4726" s="995" t="s">
        <v>12539</v>
      </c>
      <c r="D4726" s="11" t="s">
        <v>6</v>
      </c>
      <c r="E4726" s="243" t="s">
        <v>166</v>
      </c>
      <c r="F4726" s="998" t="s">
        <v>15989</v>
      </c>
      <c r="G4726" s="328" t="s">
        <v>12559</v>
      </c>
      <c r="H4726" s="328" t="s">
        <v>12533</v>
      </c>
      <c r="I4726" s="470" t="s">
        <v>322</v>
      </c>
      <c r="J4726" s="470" t="s">
        <v>16008</v>
      </c>
      <c r="K4726" s="451" t="s">
        <v>2608</v>
      </c>
      <c r="L4726" s="1111" t="s">
        <v>12503</v>
      </c>
      <c r="M4726" s="1116">
        <v>8</v>
      </c>
      <c r="N4726" s="243">
        <v>1</v>
      </c>
      <c r="O4726" s="243">
        <v>50</v>
      </c>
      <c r="P4726" s="243">
        <v>0</v>
      </c>
      <c r="Q4726" s="243">
        <v>42</v>
      </c>
      <c r="R4726" s="1263">
        <v>1690</v>
      </c>
      <c r="S4726" s="1263">
        <v>1690</v>
      </c>
      <c r="T4726" s="470" t="s">
        <v>14752</v>
      </c>
      <c r="U4726" s="1931" t="s">
        <v>9101</v>
      </c>
      <c r="V4726" s="195" t="s">
        <v>7780</v>
      </c>
      <c r="W4726" s="810" t="s">
        <v>16009</v>
      </c>
      <c r="X4726" s="330"/>
      <c r="Y4726" s="4"/>
      <c r="Z4726" s="4"/>
    </row>
    <row r="4727" spans="1:26" ht="15.6" hidden="1">
      <c r="A4727" s="20">
        <v>4736</v>
      </c>
      <c r="B4727" s="1063">
        <v>44486</v>
      </c>
      <c r="C4727" s="995" t="s">
        <v>12539</v>
      </c>
      <c r="D4727" s="11" t="s">
        <v>6</v>
      </c>
      <c r="E4727" s="243" t="s">
        <v>166</v>
      </c>
      <c r="F4727" s="998" t="s">
        <v>15989</v>
      </c>
      <c r="G4727" s="328" t="s">
        <v>12540</v>
      </c>
      <c r="H4727" s="328" t="s">
        <v>12533</v>
      </c>
      <c r="I4727" s="470" t="s">
        <v>322</v>
      </c>
      <c r="J4727" s="470" t="s">
        <v>12541</v>
      </c>
      <c r="K4727" s="451" t="s">
        <v>15130</v>
      </c>
      <c r="L4727" s="1111" t="s">
        <v>12503</v>
      </c>
      <c r="M4727" s="1116">
        <v>8</v>
      </c>
      <c r="N4727" s="243">
        <v>1</v>
      </c>
      <c r="O4727" s="243">
        <v>8</v>
      </c>
      <c r="P4727" s="243">
        <v>0</v>
      </c>
      <c r="Q4727" s="243">
        <v>0</v>
      </c>
      <c r="R4727" s="1263">
        <v>1690</v>
      </c>
      <c r="S4727" s="1263">
        <v>1690</v>
      </c>
      <c r="T4727" s="470" t="s">
        <v>14752</v>
      </c>
      <c r="U4727" s="1931" t="s">
        <v>9101</v>
      </c>
      <c r="V4727" s="195" t="s">
        <v>7780</v>
      </c>
      <c r="W4727" s="810" t="s">
        <v>16010</v>
      </c>
      <c r="X4727" s="330"/>
      <c r="Y4727" s="4"/>
      <c r="Z4727" s="4"/>
    </row>
    <row r="4728" spans="1:26" ht="15.6" hidden="1">
      <c r="A4728" s="20">
        <v>4737</v>
      </c>
      <c r="B4728" s="1065">
        <v>44490</v>
      </c>
      <c r="C4728" s="1030" t="s">
        <v>12546</v>
      </c>
      <c r="D4728" s="11" t="s">
        <v>6</v>
      </c>
      <c r="E4728" s="243" t="s">
        <v>166</v>
      </c>
      <c r="F4728" s="998" t="s">
        <v>15989</v>
      </c>
      <c r="G4728" s="328" t="s">
        <v>12547</v>
      </c>
      <c r="H4728" s="328" t="s">
        <v>12533</v>
      </c>
      <c r="I4728" s="470" t="s">
        <v>366</v>
      </c>
      <c r="J4728" s="470" t="s">
        <v>12548</v>
      </c>
      <c r="K4728" s="451" t="s">
        <v>2604</v>
      </c>
      <c r="L4728" s="1111" t="s">
        <v>12503</v>
      </c>
      <c r="M4728" s="1116">
        <v>20</v>
      </c>
      <c r="N4728" s="282">
        <v>1</v>
      </c>
      <c r="O4728" s="243">
        <v>20</v>
      </c>
      <c r="P4728" s="243">
        <v>0</v>
      </c>
      <c r="Q4728" s="243">
        <v>0</v>
      </c>
      <c r="R4728" s="1263">
        <v>1520</v>
      </c>
      <c r="S4728" s="1263">
        <v>3040</v>
      </c>
      <c r="T4728" s="470" t="s">
        <v>14752</v>
      </c>
      <c r="U4728" s="1931" t="s">
        <v>9101</v>
      </c>
      <c r="V4728" s="195" t="s">
        <v>7780</v>
      </c>
      <c r="W4728" s="810" t="s">
        <v>4583</v>
      </c>
      <c r="X4728" s="330"/>
      <c r="Y4728" s="4"/>
      <c r="Z4728" s="4"/>
    </row>
    <row r="4729" spans="1:26" ht="15.6" hidden="1">
      <c r="A4729" s="20">
        <v>4738</v>
      </c>
      <c r="B4729" s="1066">
        <v>44490</v>
      </c>
      <c r="C4729" s="1030" t="s">
        <v>12546</v>
      </c>
      <c r="D4729" s="11" t="s">
        <v>6</v>
      </c>
      <c r="E4729" s="243" t="s">
        <v>166</v>
      </c>
      <c r="F4729" s="998" t="s">
        <v>15989</v>
      </c>
      <c r="G4729" s="328" t="s">
        <v>12505</v>
      </c>
      <c r="H4729" s="328" t="s">
        <v>12533</v>
      </c>
      <c r="I4729" s="470" t="s">
        <v>366</v>
      </c>
      <c r="J4729" s="470" t="s">
        <v>12554</v>
      </c>
      <c r="K4729" s="451" t="s">
        <v>12554</v>
      </c>
      <c r="L4729" s="1111" t="s">
        <v>12503</v>
      </c>
      <c r="M4729" s="1116">
        <v>32</v>
      </c>
      <c r="N4729" s="282">
        <v>1</v>
      </c>
      <c r="O4729" s="243">
        <v>32</v>
      </c>
      <c r="P4729" s="243">
        <v>0</v>
      </c>
      <c r="Q4729" s="243">
        <v>0</v>
      </c>
      <c r="R4729" s="1263">
        <v>214</v>
      </c>
      <c r="S4729" s="1263">
        <v>7533</v>
      </c>
      <c r="T4729" s="470" t="s">
        <v>14752</v>
      </c>
      <c r="U4729" s="1931" t="s">
        <v>9101</v>
      </c>
      <c r="V4729" s="195" t="s">
        <v>7780</v>
      </c>
      <c r="W4729" s="810" t="s">
        <v>16011</v>
      </c>
      <c r="X4729" s="330"/>
      <c r="Y4729" s="4"/>
      <c r="Z4729" s="4"/>
    </row>
    <row r="4730" spans="1:26" ht="15.6" hidden="1">
      <c r="A4730" s="20">
        <v>4739</v>
      </c>
      <c r="B4730" s="1066">
        <v>44490</v>
      </c>
      <c r="C4730" s="1030" t="s">
        <v>12546</v>
      </c>
      <c r="D4730" s="11" t="s">
        <v>6</v>
      </c>
      <c r="E4730" s="243" t="s">
        <v>166</v>
      </c>
      <c r="F4730" s="998" t="s">
        <v>15989</v>
      </c>
      <c r="G4730" s="328" t="s">
        <v>12550</v>
      </c>
      <c r="H4730" s="328" t="s">
        <v>12533</v>
      </c>
      <c r="I4730" s="470" t="s">
        <v>366</v>
      </c>
      <c r="J4730" s="470" t="s">
        <v>15525</v>
      </c>
      <c r="K4730" s="451" t="s">
        <v>15525</v>
      </c>
      <c r="L4730" s="1111" t="s">
        <v>12503</v>
      </c>
      <c r="M4730" s="1116">
        <v>6</v>
      </c>
      <c r="N4730" s="243">
        <v>1</v>
      </c>
      <c r="O4730" s="243">
        <v>6</v>
      </c>
      <c r="P4730" s="243">
        <v>0</v>
      </c>
      <c r="Q4730" s="243">
        <v>0</v>
      </c>
      <c r="R4730" s="1263">
        <v>637</v>
      </c>
      <c r="S4730" s="1263">
        <v>637</v>
      </c>
      <c r="T4730" s="470" t="s">
        <v>14752</v>
      </c>
      <c r="U4730" s="1931" t="s">
        <v>9101</v>
      </c>
      <c r="V4730" s="195" t="s">
        <v>7780</v>
      </c>
      <c r="W4730" s="810" t="s">
        <v>13615</v>
      </c>
      <c r="X4730" s="330"/>
      <c r="Y4730" s="4"/>
      <c r="Z4730" s="4"/>
    </row>
    <row r="4731" spans="1:26" ht="15.6" hidden="1">
      <c r="A4731" s="20">
        <v>4740</v>
      </c>
      <c r="B4731" s="1066">
        <v>44490</v>
      </c>
      <c r="C4731" s="995" t="s">
        <v>12543</v>
      </c>
      <c r="D4731" s="11" t="s">
        <v>6</v>
      </c>
      <c r="E4731" s="243" t="s">
        <v>166</v>
      </c>
      <c r="F4731" s="998" t="s">
        <v>15989</v>
      </c>
      <c r="G4731" s="328" t="s">
        <v>12507</v>
      </c>
      <c r="H4731" s="328" t="s">
        <v>12533</v>
      </c>
      <c r="I4731" s="470" t="s">
        <v>366</v>
      </c>
      <c r="J4731" s="470" t="s">
        <v>12555</v>
      </c>
      <c r="K4731" s="451" t="s">
        <v>12555</v>
      </c>
      <c r="L4731" s="1111" t="s">
        <v>12503</v>
      </c>
      <c r="M4731" s="1116">
        <v>52</v>
      </c>
      <c r="N4731" s="243">
        <v>1</v>
      </c>
      <c r="O4731" s="243">
        <v>52</v>
      </c>
      <c r="P4731" s="243">
        <v>0</v>
      </c>
      <c r="Q4731" s="243">
        <v>0</v>
      </c>
      <c r="R4731" s="1263">
        <v>214</v>
      </c>
      <c r="S4731" s="1263">
        <v>12241</v>
      </c>
      <c r="T4731" s="470" t="s">
        <v>14752</v>
      </c>
      <c r="U4731" s="1931" t="s">
        <v>9101</v>
      </c>
      <c r="V4731" s="195" t="s">
        <v>7780</v>
      </c>
      <c r="W4731" s="810" t="s">
        <v>16012</v>
      </c>
      <c r="X4731" s="330"/>
      <c r="Y4731" s="4"/>
      <c r="Z4731" s="4"/>
    </row>
    <row r="4732" spans="1:26" ht="15.6" hidden="1">
      <c r="A4732" s="20">
        <v>4741</v>
      </c>
      <c r="B4732" s="1066">
        <v>44490</v>
      </c>
      <c r="C4732" s="995" t="s">
        <v>12556</v>
      </c>
      <c r="D4732" s="11" t="s">
        <v>6</v>
      </c>
      <c r="E4732" s="243" t="s">
        <v>166</v>
      </c>
      <c r="F4732" s="998" t="s">
        <v>15989</v>
      </c>
      <c r="G4732" s="328" t="s">
        <v>12507</v>
      </c>
      <c r="H4732" s="328" t="s">
        <v>12533</v>
      </c>
      <c r="I4732" s="470" t="s">
        <v>366</v>
      </c>
      <c r="J4732" s="470" t="s">
        <v>12557</v>
      </c>
      <c r="K4732" s="451" t="s">
        <v>12557</v>
      </c>
      <c r="L4732" s="1111" t="s">
        <v>12503</v>
      </c>
      <c r="M4732" s="1116">
        <v>16</v>
      </c>
      <c r="N4732" s="243">
        <v>1</v>
      </c>
      <c r="O4732" s="243">
        <v>16</v>
      </c>
      <c r="P4732" s="243">
        <v>0</v>
      </c>
      <c r="Q4732" s="243">
        <v>0</v>
      </c>
      <c r="R4732" s="1263">
        <v>276</v>
      </c>
      <c r="S4732" s="1263">
        <v>4416</v>
      </c>
      <c r="T4732" s="470" t="s">
        <v>14752</v>
      </c>
      <c r="U4732" s="1931" t="s">
        <v>9101</v>
      </c>
      <c r="V4732" s="195" t="s">
        <v>7780</v>
      </c>
      <c r="W4732" s="810" t="s">
        <v>16013</v>
      </c>
      <c r="X4732" s="330"/>
      <c r="Y4732" s="4"/>
      <c r="Z4732" s="4"/>
    </row>
    <row r="4733" spans="1:26" ht="15.6" hidden="1">
      <c r="A4733" s="20">
        <v>4742</v>
      </c>
      <c r="B4733" s="1066">
        <v>44490</v>
      </c>
      <c r="C4733" s="995" t="s">
        <v>12556</v>
      </c>
      <c r="D4733" s="11" t="s">
        <v>6</v>
      </c>
      <c r="E4733" s="243" t="s">
        <v>166</v>
      </c>
      <c r="F4733" s="998" t="s">
        <v>15989</v>
      </c>
      <c r="G4733" s="328" t="s">
        <v>12559</v>
      </c>
      <c r="H4733" s="328" t="s">
        <v>12533</v>
      </c>
      <c r="I4733" s="470" t="s">
        <v>366</v>
      </c>
      <c r="J4733" s="470" t="s">
        <v>12560</v>
      </c>
      <c r="K4733" s="451" t="s">
        <v>12560</v>
      </c>
      <c r="L4733" s="1111" t="s">
        <v>12503</v>
      </c>
      <c r="M4733" s="1116">
        <v>32</v>
      </c>
      <c r="N4733" s="243">
        <v>1</v>
      </c>
      <c r="O4733" s="243">
        <v>32</v>
      </c>
      <c r="P4733" s="243">
        <v>0</v>
      </c>
      <c r="Q4733" s="243">
        <v>0</v>
      </c>
      <c r="R4733" s="1263">
        <v>258</v>
      </c>
      <c r="S4733" s="1263">
        <v>9082</v>
      </c>
      <c r="T4733" s="470" t="s">
        <v>14752</v>
      </c>
      <c r="U4733" s="1931" t="s">
        <v>9101</v>
      </c>
      <c r="V4733" s="195" t="s">
        <v>7780</v>
      </c>
      <c r="W4733" s="810" t="s">
        <v>16013</v>
      </c>
      <c r="X4733" s="330"/>
      <c r="Y4733" s="4"/>
      <c r="Z4733" s="4"/>
    </row>
    <row r="4734" spans="1:26" ht="24.95" hidden="1">
      <c r="A4734" s="20">
        <v>4743</v>
      </c>
      <c r="B4734" s="937">
        <v>44487</v>
      </c>
      <c r="C4734" s="934" t="s">
        <v>16014</v>
      </c>
      <c r="D4734" s="11"/>
      <c r="E4734" s="243" t="s">
        <v>166</v>
      </c>
      <c r="F4734" s="22" t="s">
        <v>2876</v>
      </c>
      <c r="G4734" s="26" t="s">
        <v>16015</v>
      </c>
      <c r="H4734" s="237" t="s">
        <v>8711</v>
      </c>
      <c r="I4734" s="274" t="s">
        <v>16016</v>
      </c>
      <c r="J4734" s="26" t="s">
        <v>16017</v>
      </c>
      <c r="K4734" s="26"/>
      <c r="L4734" s="26" t="s">
        <v>16018</v>
      </c>
      <c r="M4734" s="26">
        <v>4</v>
      </c>
      <c r="N4734" s="26">
        <v>1</v>
      </c>
      <c r="O4734" s="26">
        <v>4</v>
      </c>
      <c r="P4734" s="26">
        <v>0</v>
      </c>
      <c r="Q4734" s="26">
        <v>2</v>
      </c>
      <c r="R4734" s="1209">
        <v>18312.5</v>
      </c>
      <c r="S4734" s="1209">
        <f t="shared" ref="S4734:S4735" si="271">M4734*R4734</f>
        <v>73250</v>
      </c>
      <c r="T4734" s="26" t="s">
        <v>14752</v>
      </c>
      <c r="U4734" s="1859" t="s">
        <v>16019</v>
      </c>
      <c r="V4734" s="195" t="s">
        <v>7780</v>
      </c>
      <c r="W4734" s="2084" t="s">
        <v>8716</v>
      </c>
      <c r="X4734" s="18"/>
      <c r="Y4734" s="4"/>
      <c r="Z4734" s="4"/>
    </row>
    <row r="4735" spans="1:26" ht="26.1" hidden="1">
      <c r="A4735" s="20">
        <v>4744</v>
      </c>
      <c r="B4735" s="937">
        <v>44487</v>
      </c>
      <c r="C4735" s="934" t="s">
        <v>16020</v>
      </c>
      <c r="D4735" s="11" t="s">
        <v>6</v>
      </c>
      <c r="E4735" s="204" t="s">
        <v>14758</v>
      </c>
      <c r="F4735" s="191" t="s">
        <v>2143</v>
      </c>
      <c r="G4735" s="26" t="s">
        <v>16021</v>
      </c>
      <c r="H4735" s="274" t="s">
        <v>16022</v>
      </c>
      <c r="I4735" s="26" t="s">
        <v>16023</v>
      </c>
      <c r="J4735" s="26"/>
      <c r="K4735" s="26"/>
      <c r="L4735" s="26"/>
      <c r="M4735" s="26">
        <v>1</v>
      </c>
      <c r="N4735" s="26">
        <v>1</v>
      </c>
      <c r="O4735" s="26">
        <v>1</v>
      </c>
      <c r="P4735" s="26">
        <v>0</v>
      </c>
      <c r="Q4735" s="26">
        <v>0</v>
      </c>
      <c r="R4735" s="1209">
        <v>21450</v>
      </c>
      <c r="S4735" s="1209">
        <f t="shared" si="271"/>
        <v>21450</v>
      </c>
      <c r="T4735" s="18" t="s">
        <v>118</v>
      </c>
      <c r="U4735" s="1871" t="s">
        <v>118</v>
      </c>
      <c r="V4735" s="20" t="s">
        <v>118</v>
      </c>
      <c r="W4735" s="681" t="s">
        <v>16024</v>
      </c>
      <c r="X4735" s="18" t="s">
        <v>16025</v>
      </c>
      <c r="Y4735" s="4"/>
      <c r="Z4735" s="4"/>
    </row>
    <row r="4736" spans="1:26" ht="14.1" hidden="1">
      <c r="A4736" s="20">
        <v>4745</v>
      </c>
      <c r="B4736" s="937">
        <v>44488</v>
      </c>
      <c r="C4736" s="937" t="s">
        <v>16026</v>
      </c>
      <c r="D4736" s="10"/>
      <c r="E4736" s="204" t="s">
        <v>16027</v>
      </c>
      <c r="F4736" s="934" t="s">
        <v>784</v>
      </c>
      <c r="G4736" s="204"/>
      <c r="H4736" s="204"/>
      <c r="I4736" s="204" t="s">
        <v>366</v>
      </c>
      <c r="J4736" s="204"/>
      <c r="K4736" s="204"/>
      <c r="L4736" s="204"/>
      <c r="M4736" s="204"/>
      <c r="N4736" s="204"/>
      <c r="O4736" s="204"/>
      <c r="P4736" s="204"/>
      <c r="Q4736" s="572"/>
      <c r="R4736" s="1209"/>
      <c r="S4736" s="1209"/>
      <c r="T4736" s="204"/>
      <c r="U4736" s="1901"/>
      <c r="V4736" s="572"/>
      <c r="W4736" s="681"/>
      <c r="X4736" s="18"/>
      <c r="Y4736" s="4"/>
      <c r="Z4736" s="4"/>
    </row>
    <row r="4737" spans="1:26" ht="14.1" hidden="1">
      <c r="A4737" s="20">
        <v>4746</v>
      </c>
      <c r="B4737" s="937">
        <v>44490</v>
      </c>
      <c r="C4737" s="934" t="s">
        <v>16028</v>
      </c>
      <c r="D4737" s="11" t="s">
        <v>6</v>
      </c>
      <c r="E4737" s="204" t="s">
        <v>572</v>
      </c>
      <c r="F4737" s="934" t="s">
        <v>131</v>
      </c>
      <c r="G4737" s="204" t="s">
        <v>16029</v>
      </c>
      <c r="H4737" s="204" t="s">
        <v>2668</v>
      </c>
      <c r="I4737" s="204" t="s">
        <v>16030</v>
      </c>
      <c r="J4737" s="204"/>
      <c r="K4737" s="204"/>
      <c r="L4737" s="204"/>
      <c r="M4737" s="204">
        <v>1</v>
      </c>
      <c r="N4737" s="204">
        <v>1</v>
      </c>
      <c r="O4737" s="204">
        <v>1</v>
      </c>
      <c r="P4737" s="204">
        <v>0</v>
      </c>
      <c r="Q4737" s="572">
        <v>0</v>
      </c>
      <c r="R4737" s="1209">
        <v>7480</v>
      </c>
      <c r="S4737" s="1209">
        <v>7480</v>
      </c>
      <c r="T4737" s="204" t="s">
        <v>10016</v>
      </c>
      <c r="U4737" s="1901" t="s">
        <v>10016</v>
      </c>
      <c r="V4737" s="572" t="s">
        <v>16031</v>
      </c>
      <c r="W4737" s="681"/>
      <c r="X4737" s="18"/>
      <c r="Y4737" s="4"/>
      <c r="Z4737" s="4"/>
    </row>
    <row r="4738" spans="1:26" ht="15.75" hidden="1" customHeight="1">
      <c r="A4738" s="20">
        <v>4747</v>
      </c>
      <c r="B4738" s="937">
        <v>44490</v>
      </c>
      <c r="C4738" s="934" t="s">
        <v>16032</v>
      </c>
      <c r="D4738" s="11" t="s">
        <v>6</v>
      </c>
      <c r="E4738" s="204" t="s">
        <v>572</v>
      </c>
      <c r="F4738" s="934" t="s">
        <v>131</v>
      </c>
      <c r="G4738" s="204" t="s">
        <v>16033</v>
      </c>
      <c r="H4738" s="204" t="s">
        <v>2668</v>
      </c>
      <c r="I4738" s="204" t="s">
        <v>16030</v>
      </c>
      <c r="J4738" s="204"/>
      <c r="K4738" s="204"/>
      <c r="L4738" s="204"/>
      <c r="M4738" s="204">
        <v>1</v>
      </c>
      <c r="N4738" s="204">
        <v>1</v>
      </c>
      <c r="O4738" s="204">
        <v>1</v>
      </c>
      <c r="P4738" s="204">
        <v>0</v>
      </c>
      <c r="Q4738" s="572">
        <v>0</v>
      </c>
      <c r="R4738" s="1209">
        <v>880</v>
      </c>
      <c r="S4738" s="1209">
        <v>880</v>
      </c>
      <c r="T4738" s="204" t="s">
        <v>10016</v>
      </c>
      <c r="U4738" s="1901" t="s">
        <v>10016</v>
      </c>
      <c r="V4738" s="572"/>
      <c r="W4738" s="681"/>
      <c r="X4738" s="18"/>
      <c r="Y4738" s="4"/>
      <c r="Z4738" s="4"/>
    </row>
    <row r="4739" spans="1:26" ht="14.1" hidden="1">
      <c r="A4739" s="20">
        <v>4748</v>
      </c>
      <c r="B4739" s="937">
        <v>44493</v>
      </c>
      <c r="C4739" s="831" t="s">
        <v>15930</v>
      </c>
      <c r="D4739" s="11"/>
      <c r="E4739" s="833" t="s">
        <v>62</v>
      </c>
      <c r="F4739" s="832" t="s">
        <v>11323</v>
      </c>
      <c r="G4739" s="833" t="s">
        <v>15930</v>
      </c>
      <c r="H4739" s="833" t="s">
        <v>1928</v>
      </c>
      <c r="I4739" s="833" t="s">
        <v>39</v>
      </c>
      <c r="J4739" s="833" t="s">
        <v>938</v>
      </c>
      <c r="K4739" s="833" t="s">
        <v>938</v>
      </c>
      <c r="L4739" s="833"/>
      <c r="M4739" s="833">
        <v>50</v>
      </c>
      <c r="N4739" s="833">
        <v>1</v>
      </c>
      <c r="O4739" s="833">
        <v>40</v>
      </c>
      <c r="P4739" s="833">
        <v>14</v>
      </c>
      <c r="Q4739" s="833">
        <v>54</v>
      </c>
      <c r="R4739" s="1352">
        <v>263</v>
      </c>
      <c r="S4739" s="1352">
        <v>10520</v>
      </c>
      <c r="T4739" s="833" t="s">
        <v>15908</v>
      </c>
      <c r="U4739" s="1947"/>
      <c r="V4739" s="1837" t="s">
        <v>352</v>
      </c>
      <c r="W4739" s="812" t="s">
        <v>15931</v>
      </c>
      <c r="X4739" s="18"/>
      <c r="Y4739" s="4"/>
      <c r="Z4739" s="4"/>
    </row>
    <row r="4740" spans="1:26" ht="14.1" hidden="1">
      <c r="A4740" s="20">
        <v>4749</v>
      </c>
      <c r="B4740" s="937">
        <v>44493</v>
      </c>
      <c r="C4740" s="1031" t="s">
        <v>16034</v>
      </c>
      <c r="D4740" s="11"/>
      <c r="E4740" s="816" t="s">
        <v>4951</v>
      </c>
      <c r="F4740" s="1058" t="s">
        <v>11323</v>
      </c>
      <c r="G4740" s="834" t="s">
        <v>16035</v>
      </c>
      <c r="H4740" s="834" t="s">
        <v>5469</v>
      </c>
      <c r="I4740" s="834" t="s">
        <v>574</v>
      </c>
      <c r="J4740" s="834" t="s">
        <v>16036</v>
      </c>
      <c r="K4740" s="834" t="s">
        <v>16034</v>
      </c>
      <c r="L4740" s="834"/>
      <c r="M4740" s="834">
        <v>3</v>
      </c>
      <c r="N4740" s="834">
        <v>1</v>
      </c>
      <c r="O4740" s="834">
        <v>3</v>
      </c>
      <c r="P4740" s="834">
        <v>1</v>
      </c>
      <c r="Q4740" s="834">
        <v>4</v>
      </c>
      <c r="R4740" s="1353">
        <v>3456</v>
      </c>
      <c r="S4740" s="1353">
        <v>10368</v>
      </c>
      <c r="T4740" s="834" t="s">
        <v>3961</v>
      </c>
      <c r="U4740" s="1948" t="s">
        <v>4615</v>
      </c>
      <c r="V4740" s="1837" t="s">
        <v>352</v>
      </c>
      <c r="W4740" s="813" t="s">
        <v>16037</v>
      </c>
      <c r="X4740" s="18"/>
      <c r="Y4740" s="4"/>
      <c r="Z4740" s="4"/>
    </row>
    <row r="4741" spans="1:26" ht="14.1" hidden="1">
      <c r="A4741" s="20">
        <v>4750</v>
      </c>
      <c r="B4741" s="937">
        <v>44493</v>
      </c>
      <c r="C4741" s="1031" t="s">
        <v>16038</v>
      </c>
      <c r="D4741" s="11"/>
      <c r="E4741" s="816" t="s">
        <v>4951</v>
      </c>
      <c r="F4741" s="1058" t="s">
        <v>11323</v>
      </c>
      <c r="G4741" s="834" t="s">
        <v>12399</v>
      </c>
      <c r="H4741" s="834" t="s">
        <v>641</v>
      </c>
      <c r="I4741" s="834" t="s">
        <v>574</v>
      </c>
      <c r="J4741" s="834" t="s">
        <v>12401</v>
      </c>
      <c r="K4741" s="834" t="s">
        <v>12402</v>
      </c>
      <c r="L4741" s="834"/>
      <c r="M4741" s="834">
        <v>4</v>
      </c>
      <c r="N4741" s="834">
        <v>1</v>
      </c>
      <c r="O4741" s="834">
        <v>10</v>
      </c>
      <c r="P4741" s="834">
        <v>3</v>
      </c>
      <c r="Q4741" s="834">
        <v>13</v>
      </c>
      <c r="R4741" s="1353">
        <v>24</v>
      </c>
      <c r="S4741" s="1353">
        <v>240</v>
      </c>
      <c r="T4741" s="834" t="s">
        <v>3961</v>
      </c>
      <c r="U4741" s="1948" t="s">
        <v>3637</v>
      </c>
      <c r="V4741" s="1837" t="s">
        <v>352</v>
      </c>
      <c r="W4741" s="814" t="s">
        <v>12403</v>
      </c>
      <c r="X4741" s="18"/>
      <c r="Y4741" s="4"/>
      <c r="Z4741" s="4"/>
    </row>
    <row r="4742" spans="1:26" ht="14.1" hidden="1">
      <c r="A4742" s="20">
        <v>4751</v>
      </c>
      <c r="B4742" s="937">
        <v>44493</v>
      </c>
      <c r="C4742" s="1031" t="s">
        <v>16039</v>
      </c>
      <c r="D4742" s="11"/>
      <c r="E4742" s="816" t="s">
        <v>4951</v>
      </c>
      <c r="F4742" s="1058" t="s">
        <v>11323</v>
      </c>
      <c r="G4742" s="834" t="s">
        <v>14395</v>
      </c>
      <c r="H4742" s="834" t="s">
        <v>641</v>
      </c>
      <c r="I4742" s="834" t="s">
        <v>574</v>
      </c>
      <c r="J4742" s="834" t="s">
        <v>14396</v>
      </c>
      <c r="K4742" s="834" t="s">
        <v>16040</v>
      </c>
      <c r="L4742" s="834"/>
      <c r="M4742" s="834">
        <v>5</v>
      </c>
      <c r="N4742" s="834">
        <v>1</v>
      </c>
      <c r="O4742" s="834">
        <v>10</v>
      </c>
      <c r="P4742" s="834">
        <v>5</v>
      </c>
      <c r="Q4742" s="834">
        <v>15</v>
      </c>
      <c r="R4742" s="1353">
        <v>20</v>
      </c>
      <c r="S4742" s="1353">
        <v>196</v>
      </c>
      <c r="T4742" s="834" t="s">
        <v>3961</v>
      </c>
      <c r="U4742" s="1948" t="s">
        <v>3637</v>
      </c>
      <c r="V4742" s="1837" t="s">
        <v>352</v>
      </c>
      <c r="W4742" s="814" t="s">
        <v>16041</v>
      </c>
      <c r="X4742" s="18"/>
      <c r="Y4742" s="4"/>
      <c r="Z4742" s="4"/>
    </row>
    <row r="4743" spans="1:26" ht="14.1" hidden="1">
      <c r="A4743" s="20">
        <v>4752</v>
      </c>
      <c r="B4743" s="937">
        <v>44493</v>
      </c>
      <c r="C4743" s="1031" t="s">
        <v>16042</v>
      </c>
      <c r="D4743" s="11"/>
      <c r="E4743" s="816" t="s">
        <v>4951</v>
      </c>
      <c r="F4743" s="1058" t="s">
        <v>11323</v>
      </c>
      <c r="G4743" s="834" t="s">
        <v>16043</v>
      </c>
      <c r="H4743" s="834" t="s">
        <v>6567</v>
      </c>
      <c r="I4743" s="834" t="s">
        <v>574</v>
      </c>
      <c r="J4743" s="834" t="s">
        <v>16044</v>
      </c>
      <c r="K4743" s="834" t="s">
        <v>16042</v>
      </c>
      <c r="L4743" s="834"/>
      <c r="M4743" s="834">
        <v>3</v>
      </c>
      <c r="N4743" s="834">
        <v>1</v>
      </c>
      <c r="O4743" s="834">
        <v>10</v>
      </c>
      <c r="P4743" s="834">
        <v>0</v>
      </c>
      <c r="Q4743" s="834">
        <v>10</v>
      </c>
      <c r="R4743" s="1353">
        <v>206</v>
      </c>
      <c r="S4743" s="1353">
        <v>2055</v>
      </c>
      <c r="T4743" s="834" t="s">
        <v>3961</v>
      </c>
      <c r="U4743" s="1948" t="s">
        <v>4615</v>
      </c>
      <c r="V4743" s="1837" t="s">
        <v>352</v>
      </c>
      <c r="W4743" s="814" t="s">
        <v>16045</v>
      </c>
      <c r="X4743" s="18"/>
      <c r="Y4743" s="4"/>
      <c r="Z4743" s="4"/>
    </row>
    <row r="4744" spans="1:26" ht="14.1" hidden="1">
      <c r="A4744" s="20">
        <v>4753</v>
      </c>
      <c r="B4744" s="937">
        <v>44493</v>
      </c>
      <c r="C4744" s="1031" t="s">
        <v>16046</v>
      </c>
      <c r="D4744" s="11"/>
      <c r="E4744" s="816" t="s">
        <v>4951</v>
      </c>
      <c r="F4744" s="1058" t="s">
        <v>11323</v>
      </c>
      <c r="G4744" s="834" t="s">
        <v>16047</v>
      </c>
      <c r="H4744" s="834" t="s">
        <v>6567</v>
      </c>
      <c r="I4744" s="834" t="s">
        <v>574</v>
      </c>
      <c r="J4744" s="834" t="s">
        <v>16048</v>
      </c>
      <c r="K4744" s="834" t="s">
        <v>16046</v>
      </c>
      <c r="L4744" s="834"/>
      <c r="M4744" s="834">
        <v>6</v>
      </c>
      <c r="N4744" s="834">
        <v>1</v>
      </c>
      <c r="O4744" s="834">
        <v>10</v>
      </c>
      <c r="P4744" s="834">
        <v>0</v>
      </c>
      <c r="Q4744" s="834">
        <v>10</v>
      </c>
      <c r="R4744" s="1353">
        <v>148</v>
      </c>
      <c r="S4744" s="1353">
        <v>1481</v>
      </c>
      <c r="T4744" s="834" t="s">
        <v>3961</v>
      </c>
      <c r="U4744" s="1948" t="s">
        <v>4615</v>
      </c>
      <c r="V4744" s="1837" t="s">
        <v>352</v>
      </c>
      <c r="W4744" s="814" t="s">
        <v>16049</v>
      </c>
      <c r="X4744" s="18"/>
      <c r="Y4744" s="4"/>
      <c r="Z4744" s="4"/>
    </row>
    <row r="4745" spans="1:26" ht="14.1" hidden="1">
      <c r="A4745" s="20">
        <v>4754</v>
      </c>
      <c r="B4745" s="937">
        <v>44493</v>
      </c>
      <c r="C4745" s="1031" t="s">
        <v>16050</v>
      </c>
      <c r="D4745" s="11"/>
      <c r="E4745" s="816" t="s">
        <v>4951</v>
      </c>
      <c r="F4745" s="1058" t="s">
        <v>11323</v>
      </c>
      <c r="G4745" s="834" t="s">
        <v>16051</v>
      </c>
      <c r="H4745" s="834" t="s">
        <v>6567</v>
      </c>
      <c r="I4745" s="834" t="s">
        <v>574</v>
      </c>
      <c r="J4745" s="834" t="s">
        <v>16052</v>
      </c>
      <c r="K4745" s="834" t="s">
        <v>16050</v>
      </c>
      <c r="L4745" s="834"/>
      <c r="M4745" s="834">
        <v>3</v>
      </c>
      <c r="N4745" s="834">
        <v>1</v>
      </c>
      <c r="O4745" s="834">
        <v>10</v>
      </c>
      <c r="P4745" s="834">
        <v>0</v>
      </c>
      <c r="Q4745" s="834">
        <v>10</v>
      </c>
      <c r="R4745" s="1353">
        <v>220</v>
      </c>
      <c r="S4745" s="1353">
        <v>2200</v>
      </c>
      <c r="T4745" s="834" t="s">
        <v>3961</v>
      </c>
      <c r="U4745" s="1948" t="s">
        <v>4615</v>
      </c>
      <c r="V4745" s="1837" t="s">
        <v>352</v>
      </c>
      <c r="W4745" s="814" t="s">
        <v>16053</v>
      </c>
      <c r="X4745" s="18"/>
      <c r="Y4745" s="4"/>
      <c r="Z4745" s="4"/>
    </row>
    <row r="4746" spans="1:26" ht="14.1" hidden="1">
      <c r="A4746" s="20">
        <v>4755</v>
      </c>
      <c r="B4746" s="937">
        <v>44493</v>
      </c>
      <c r="C4746" s="1031" t="s">
        <v>16054</v>
      </c>
      <c r="D4746" s="11"/>
      <c r="E4746" s="816" t="s">
        <v>4951</v>
      </c>
      <c r="F4746" s="1058" t="s">
        <v>11323</v>
      </c>
      <c r="G4746" s="834" t="s">
        <v>16055</v>
      </c>
      <c r="H4746" s="834" t="s">
        <v>6567</v>
      </c>
      <c r="I4746" s="834" t="s">
        <v>574</v>
      </c>
      <c r="J4746" s="834" t="s">
        <v>16056</v>
      </c>
      <c r="K4746" s="834" t="s">
        <v>16054</v>
      </c>
      <c r="L4746" s="834"/>
      <c r="M4746" s="834">
        <v>3</v>
      </c>
      <c r="N4746" s="834">
        <v>1</v>
      </c>
      <c r="O4746" s="834">
        <v>10</v>
      </c>
      <c r="P4746" s="834">
        <v>0</v>
      </c>
      <c r="Q4746" s="834">
        <v>10</v>
      </c>
      <c r="R4746" s="1353">
        <v>95</v>
      </c>
      <c r="S4746" s="1353">
        <v>953</v>
      </c>
      <c r="T4746" s="834" t="s">
        <v>3961</v>
      </c>
      <c r="U4746" s="1948" t="s">
        <v>4615</v>
      </c>
      <c r="V4746" s="1837" t="s">
        <v>352</v>
      </c>
      <c r="W4746" s="814" t="s">
        <v>16057</v>
      </c>
      <c r="X4746" s="18"/>
      <c r="Y4746" s="4"/>
      <c r="Z4746" s="4"/>
    </row>
    <row r="4747" spans="1:26" ht="14.1" hidden="1">
      <c r="A4747" s="20">
        <v>4756</v>
      </c>
      <c r="B4747" s="937">
        <v>44493</v>
      </c>
      <c r="C4747" s="1031" t="s">
        <v>16058</v>
      </c>
      <c r="D4747" s="11"/>
      <c r="E4747" s="816" t="s">
        <v>4951</v>
      </c>
      <c r="F4747" s="1058" t="s">
        <v>11323</v>
      </c>
      <c r="G4747" s="834" t="s">
        <v>16059</v>
      </c>
      <c r="H4747" s="834" t="s">
        <v>6567</v>
      </c>
      <c r="I4747" s="834" t="s">
        <v>574</v>
      </c>
      <c r="J4747" s="834" t="s">
        <v>16060</v>
      </c>
      <c r="K4747" s="834" t="s">
        <v>16058</v>
      </c>
      <c r="L4747" s="834"/>
      <c r="M4747" s="834">
        <v>3</v>
      </c>
      <c r="N4747" s="835">
        <v>1</v>
      </c>
      <c r="O4747" s="834">
        <v>10</v>
      </c>
      <c r="P4747" s="834">
        <v>0</v>
      </c>
      <c r="Q4747" s="834">
        <v>10</v>
      </c>
      <c r="R4747" s="1353">
        <v>120</v>
      </c>
      <c r="S4747" s="1353">
        <v>1198</v>
      </c>
      <c r="T4747" s="834" t="s">
        <v>3961</v>
      </c>
      <c r="U4747" s="1948" t="s">
        <v>4615</v>
      </c>
      <c r="V4747" s="1837" t="s">
        <v>352</v>
      </c>
      <c r="W4747" s="814" t="s">
        <v>16061</v>
      </c>
      <c r="X4747" s="18"/>
      <c r="Y4747" s="4"/>
      <c r="Z4747" s="4"/>
    </row>
    <row r="4748" spans="1:26" ht="14.1" hidden="1">
      <c r="A4748" s="20">
        <v>4757</v>
      </c>
      <c r="B4748" s="937">
        <v>44495</v>
      </c>
      <c r="C4748" s="1032" t="s">
        <v>16062</v>
      </c>
      <c r="D4748" s="11" t="s">
        <v>6</v>
      </c>
      <c r="E4748" s="204" t="s">
        <v>62</v>
      </c>
      <c r="F4748" s="934" t="s">
        <v>13447</v>
      </c>
      <c r="G4748" s="204" t="s">
        <v>16063</v>
      </c>
      <c r="H4748" s="204" t="s">
        <v>16064</v>
      </c>
      <c r="I4748" s="204" t="s">
        <v>14253</v>
      </c>
      <c r="J4748" s="1098">
        <v>1609523</v>
      </c>
      <c r="K4748" s="204" t="s">
        <v>16065</v>
      </c>
      <c r="L4748" s="204"/>
      <c r="M4748" s="1077">
        <v>4</v>
      </c>
      <c r="N4748" s="1119">
        <v>1</v>
      </c>
      <c r="O4748" s="1121">
        <v>4</v>
      </c>
      <c r="P4748" s="204">
        <v>0</v>
      </c>
      <c r="Q4748" s="572">
        <v>4</v>
      </c>
      <c r="R4748" s="1354">
        <v>3824</v>
      </c>
      <c r="S4748" s="1354">
        <v>15296</v>
      </c>
      <c r="T4748" s="204" t="s">
        <v>1395</v>
      </c>
      <c r="U4748" s="1077" t="s">
        <v>16066</v>
      </c>
      <c r="V4748" s="572"/>
      <c r="W4748" s="2150" t="s">
        <v>16067</v>
      </c>
      <c r="X4748" s="18"/>
      <c r="Y4748" s="4"/>
      <c r="Z4748" s="4"/>
    </row>
    <row r="4749" spans="1:26" ht="14.1" hidden="1">
      <c r="A4749" s="20">
        <v>4758</v>
      </c>
      <c r="B4749" s="937">
        <v>44495</v>
      </c>
      <c r="C4749" s="1033" t="s">
        <v>16068</v>
      </c>
      <c r="D4749" s="11" t="s">
        <v>6</v>
      </c>
      <c r="E4749" s="204" t="s">
        <v>62</v>
      </c>
      <c r="F4749" s="934" t="s">
        <v>13447</v>
      </c>
      <c r="G4749" s="204" t="s">
        <v>16069</v>
      </c>
      <c r="H4749" s="204" t="s">
        <v>16070</v>
      </c>
      <c r="I4749" s="457" t="s">
        <v>1063</v>
      </c>
      <c r="J4749" s="457" t="s">
        <v>16071</v>
      </c>
      <c r="K4749" s="457" t="s">
        <v>16069</v>
      </c>
      <c r="L4749" s="457"/>
      <c r="M4749" s="1077">
        <v>1</v>
      </c>
      <c r="N4749" s="1120">
        <v>1</v>
      </c>
      <c r="O4749" s="1122">
        <v>4</v>
      </c>
      <c r="P4749" s="683">
        <v>0</v>
      </c>
      <c r="Q4749" s="572">
        <v>1</v>
      </c>
      <c r="R4749" s="1354">
        <v>1480</v>
      </c>
      <c r="S4749" s="1354">
        <v>1480</v>
      </c>
      <c r="T4749" s="204" t="s">
        <v>1395</v>
      </c>
      <c r="U4749" s="1949" t="s">
        <v>16072</v>
      </c>
      <c r="V4749" s="572"/>
      <c r="W4749" s="2151" t="s">
        <v>16073</v>
      </c>
      <c r="X4749" s="18"/>
      <c r="Y4749" s="4"/>
      <c r="Z4749" s="4"/>
    </row>
    <row r="4750" spans="1:26" ht="18.95" hidden="1">
      <c r="A4750" s="20">
        <v>4759</v>
      </c>
      <c r="B4750" s="937">
        <v>44495</v>
      </c>
      <c r="C4750" s="1034" t="s">
        <v>16074</v>
      </c>
      <c r="D4750" s="11" t="s">
        <v>6</v>
      </c>
      <c r="E4750" s="204" t="s">
        <v>62</v>
      </c>
      <c r="F4750" s="934" t="s">
        <v>13447</v>
      </c>
      <c r="G4750" s="838" t="s">
        <v>16074</v>
      </c>
      <c r="H4750" s="836" t="s">
        <v>16075</v>
      </c>
      <c r="I4750" s="1077" t="s">
        <v>322</v>
      </c>
      <c r="J4750" s="1099" t="s">
        <v>16076</v>
      </c>
      <c r="K4750" s="819" t="s">
        <v>16077</v>
      </c>
      <c r="L4750" s="222"/>
      <c r="M4750" s="1117">
        <v>4</v>
      </c>
      <c r="N4750" s="222">
        <v>1</v>
      </c>
      <c r="O4750" s="1122">
        <v>4</v>
      </c>
      <c r="P4750" s="204">
        <v>0</v>
      </c>
      <c r="Q4750" s="572">
        <v>4</v>
      </c>
      <c r="R4750" s="1209">
        <v>1529</v>
      </c>
      <c r="S4750" s="1209">
        <f>R4750*4</f>
        <v>6116</v>
      </c>
      <c r="T4750" s="204" t="s">
        <v>1395</v>
      </c>
      <c r="U4750" s="1949" t="s">
        <v>16066</v>
      </c>
      <c r="V4750" s="572"/>
      <c r="W4750" s="2151" t="s">
        <v>16078</v>
      </c>
      <c r="X4750" s="18"/>
      <c r="Y4750" s="4"/>
      <c r="Z4750" s="4"/>
    </row>
    <row r="4751" spans="1:26" ht="14.1" hidden="1">
      <c r="A4751" s="20">
        <v>4760</v>
      </c>
      <c r="B4751" s="937">
        <v>44495</v>
      </c>
      <c r="C4751" s="1033" t="s">
        <v>16079</v>
      </c>
      <c r="D4751" s="11" t="s">
        <v>6</v>
      </c>
      <c r="E4751" s="204" t="s">
        <v>62</v>
      </c>
      <c r="F4751" s="934" t="s">
        <v>13447</v>
      </c>
      <c r="G4751" s="837" t="s">
        <v>16079</v>
      </c>
      <c r="H4751" s="839" t="s">
        <v>16080</v>
      </c>
      <c r="I4751" s="843" t="s">
        <v>322</v>
      </c>
      <c r="J4751" s="1100" t="s">
        <v>322</v>
      </c>
      <c r="K4751" s="818"/>
      <c r="L4751" s="222"/>
      <c r="M4751" s="1118">
        <v>2</v>
      </c>
      <c r="N4751" s="222">
        <v>1</v>
      </c>
      <c r="O4751" s="1122">
        <v>2</v>
      </c>
      <c r="P4751" s="204">
        <v>0</v>
      </c>
      <c r="Q4751" s="572">
        <v>2</v>
      </c>
      <c r="R4751" s="1209">
        <v>1529</v>
      </c>
      <c r="S4751" s="1209">
        <f>R4751*2</f>
        <v>3058</v>
      </c>
      <c r="T4751" s="204" t="s">
        <v>1395</v>
      </c>
      <c r="U4751" s="1949" t="s">
        <v>16066</v>
      </c>
      <c r="V4751" s="572"/>
      <c r="W4751" s="2151" t="s">
        <v>16081</v>
      </c>
      <c r="X4751" s="18"/>
      <c r="Y4751" s="4"/>
      <c r="Z4751" s="4"/>
    </row>
    <row r="4752" spans="1:26" ht="14.1" hidden="1">
      <c r="A4752" s="20">
        <v>4761</v>
      </c>
      <c r="B4752" s="937">
        <v>44497</v>
      </c>
      <c r="C4752" s="934" t="s">
        <v>16082</v>
      </c>
      <c r="D4752" s="10"/>
      <c r="E4752" s="204" t="s">
        <v>16083</v>
      </c>
      <c r="F4752" s="934" t="s">
        <v>11441</v>
      </c>
      <c r="G4752" s="204" t="s">
        <v>16084</v>
      </c>
      <c r="H4752" s="204" t="s">
        <v>14957</v>
      </c>
      <c r="I4752" s="297" t="s">
        <v>14957</v>
      </c>
      <c r="J4752" s="204"/>
      <c r="K4752" s="297"/>
      <c r="L4752" s="297"/>
      <c r="M4752" s="204">
        <v>5</v>
      </c>
      <c r="N4752" s="204">
        <v>1</v>
      </c>
      <c r="O4752" s="204"/>
      <c r="P4752" s="204"/>
      <c r="Q4752" s="204"/>
      <c r="R4752" s="1332"/>
      <c r="S4752" s="1209">
        <v>127325</v>
      </c>
      <c r="T4752" s="204" t="s">
        <v>3961</v>
      </c>
      <c r="U4752" s="1901" t="s">
        <v>16085</v>
      </c>
      <c r="V4752" s="572" t="s">
        <v>11783</v>
      </c>
      <c r="W4752" s="681"/>
      <c r="X4752" s="18"/>
      <c r="Y4752" s="4"/>
      <c r="Z4752" s="4"/>
    </row>
    <row r="4753" spans="1:26" ht="14.1" hidden="1">
      <c r="A4753" s="20">
        <v>4762</v>
      </c>
      <c r="B4753" s="937">
        <v>44497</v>
      </c>
      <c r="C4753" s="934" t="s">
        <v>16086</v>
      </c>
      <c r="D4753" s="10"/>
      <c r="E4753" s="204" t="s">
        <v>16083</v>
      </c>
      <c r="F4753" s="934" t="s">
        <v>13447</v>
      </c>
      <c r="G4753" s="204" t="s">
        <v>16087</v>
      </c>
      <c r="H4753" s="204" t="s">
        <v>1379</v>
      </c>
      <c r="I4753" s="204" t="s">
        <v>1379</v>
      </c>
      <c r="J4753" s="204"/>
      <c r="K4753" s="204"/>
      <c r="L4753" s="204"/>
      <c r="M4753" s="204">
        <v>5</v>
      </c>
      <c r="N4753" s="204">
        <v>1</v>
      </c>
      <c r="O4753" s="204"/>
      <c r="P4753" s="204"/>
      <c r="Q4753" s="572"/>
      <c r="R4753" s="1209"/>
      <c r="S4753" s="1209">
        <v>116609</v>
      </c>
      <c r="T4753" s="204" t="s">
        <v>3961</v>
      </c>
      <c r="U4753" s="1901" t="s">
        <v>16088</v>
      </c>
      <c r="V4753" s="572" t="s">
        <v>11783</v>
      </c>
      <c r="W4753" s="681"/>
      <c r="X4753" s="18"/>
      <c r="Y4753" s="4"/>
      <c r="Z4753" s="4"/>
    </row>
    <row r="4754" spans="1:26" ht="14.1" hidden="1">
      <c r="A4754" s="20">
        <v>4763</v>
      </c>
      <c r="B4754" s="937">
        <v>44497</v>
      </c>
      <c r="C4754" s="934" t="s">
        <v>10327</v>
      </c>
      <c r="D4754" s="821" t="s">
        <v>6</v>
      </c>
      <c r="E4754" s="204" t="s">
        <v>572</v>
      </c>
      <c r="F4754" s="934" t="s">
        <v>11344</v>
      </c>
      <c r="G4754" s="204" t="s">
        <v>16089</v>
      </c>
      <c r="H4754" s="204" t="s">
        <v>16090</v>
      </c>
      <c r="I4754" s="204" t="s">
        <v>281</v>
      </c>
      <c r="J4754" s="204" t="s">
        <v>16091</v>
      </c>
      <c r="K4754" s="204" t="s">
        <v>16092</v>
      </c>
      <c r="L4754" s="204"/>
      <c r="M4754" s="204">
        <v>1</v>
      </c>
      <c r="N4754" s="204">
        <v>1</v>
      </c>
      <c r="O4754" s="204">
        <v>1</v>
      </c>
      <c r="P4754" s="204">
        <v>0</v>
      </c>
      <c r="Q4754" s="572">
        <v>0</v>
      </c>
      <c r="R4754" s="1325">
        <v>116583</v>
      </c>
      <c r="S4754" s="1209">
        <v>116583</v>
      </c>
      <c r="T4754" s="204" t="s">
        <v>311</v>
      </c>
      <c r="U4754" s="1901"/>
      <c r="V4754" s="572" t="s">
        <v>11783</v>
      </c>
      <c r="W4754" s="1184" t="s">
        <v>16093</v>
      </c>
      <c r="X4754" s="18"/>
      <c r="Y4754" s="4"/>
      <c r="Z4754" s="4"/>
    </row>
    <row r="4755" spans="1:26" ht="25.5" hidden="1">
      <c r="A4755" s="20">
        <v>4764</v>
      </c>
      <c r="B4755" s="1070">
        <v>44497</v>
      </c>
      <c r="C4755" s="832" t="s">
        <v>16094</v>
      </c>
      <c r="D4755" s="829" t="s">
        <v>6</v>
      </c>
      <c r="E4755" s="840" t="s">
        <v>166</v>
      </c>
      <c r="F4755" s="832" t="s">
        <v>10696</v>
      </c>
      <c r="G4755" s="841" t="s">
        <v>16095</v>
      </c>
      <c r="H4755" s="840" t="s">
        <v>713</v>
      </c>
      <c r="I4755" s="833" t="s">
        <v>6651</v>
      </c>
      <c r="J4755" s="1101" t="s">
        <v>11798</v>
      </c>
      <c r="K4755" s="842" t="s">
        <v>11799</v>
      </c>
      <c r="L4755" s="1101" t="s">
        <v>13227</v>
      </c>
      <c r="M4755" s="833">
        <v>8</v>
      </c>
      <c r="N4755" s="833">
        <v>1</v>
      </c>
      <c r="O4755" s="833">
        <v>13</v>
      </c>
      <c r="P4755" s="833">
        <v>0</v>
      </c>
      <c r="Q4755" s="1101">
        <v>13</v>
      </c>
      <c r="R4755" s="1355" t="s">
        <v>16096</v>
      </c>
      <c r="S4755" s="1356" t="s">
        <v>16097</v>
      </c>
      <c r="T4755" s="1101" t="s">
        <v>9485</v>
      </c>
      <c r="U4755" s="1950" t="s">
        <v>3646</v>
      </c>
      <c r="V4755" s="1838" t="s">
        <v>11783</v>
      </c>
      <c r="W4755" s="820" t="s">
        <v>15485</v>
      </c>
      <c r="X4755" s="18"/>
      <c r="Y4755" s="4"/>
      <c r="Z4755" s="4"/>
    </row>
    <row r="4756" spans="1:26" ht="14.1" hidden="1">
      <c r="A4756" s="20">
        <v>4765</v>
      </c>
      <c r="B4756" s="937">
        <v>44501</v>
      </c>
      <c r="C4756" s="1032" t="s">
        <v>16098</v>
      </c>
      <c r="D4756" s="11" t="s">
        <v>6</v>
      </c>
      <c r="E4756" s="840" t="s">
        <v>166</v>
      </c>
      <c r="F4756" s="832" t="s">
        <v>10696</v>
      </c>
      <c r="G4756" s="833" t="s">
        <v>16099</v>
      </c>
      <c r="H4756" s="844" t="s">
        <v>1928</v>
      </c>
      <c r="I4756" s="844" t="s">
        <v>805</v>
      </c>
      <c r="J4756" s="844" t="s">
        <v>16100</v>
      </c>
      <c r="K4756" s="844" t="s">
        <v>16100</v>
      </c>
      <c r="L4756" s="844" t="s">
        <v>149</v>
      </c>
      <c r="M4756" s="844">
        <v>1</v>
      </c>
      <c r="N4756" s="844">
        <v>1</v>
      </c>
      <c r="O4756" s="844">
        <v>1</v>
      </c>
      <c r="P4756" s="844">
        <v>0</v>
      </c>
      <c r="Q4756" s="844">
        <v>0</v>
      </c>
      <c r="R4756" s="1355" t="s">
        <v>16101</v>
      </c>
      <c r="S4756" s="1355" t="s">
        <v>16101</v>
      </c>
      <c r="T4756" s="833" t="s">
        <v>14509</v>
      </c>
      <c r="U4756" s="1951" t="s">
        <v>4220</v>
      </c>
      <c r="V4756" s="1839" t="s">
        <v>689</v>
      </c>
      <c r="W4756" s="822" t="s">
        <v>16102</v>
      </c>
      <c r="X4756" s="18"/>
      <c r="Y4756" s="4"/>
      <c r="Z4756" s="4"/>
    </row>
    <row r="4757" spans="1:26" ht="14.1" hidden="1">
      <c r="A4757" s="20">
        <v>4766</v>
      </c>
      <c r="B4757" s="937">
        <v>44501</v>
      </c>
      <c r="C4757" s="1035" t="s">
        <v>15375</v>
      </c>
      <c r="D4757" s="11" t="s">
        <v>6</v>
      </c>
      <c r="E4757" s="840" t="s">
        <v>166</v>
      </c>
      <c r="F4757" s="1059" t="s">
        <v>10005</v>
      </c>
      <c r="G4757" s="845" t="s">
        <v>16103</v>
      </c>
      <c r="H4757" s="845" t="s">
        <v>1928</v>
      </c>
      <c r="I4757" s="845" t="s">
        <v>805</v>
      </c>
      <c r="J4757" s="845" t="s">
        <v>16104</v>
      </c>
      <c r="K4757" s="845" t="s">
        <v>16104</v>
      </c>
      <c r="L4757" s="845" t="s">
        <v>149</v>
      </c>
      <c r="M4757" s="845">
        <v>1</v>
      </c>
      <c r="N4757" s="845">
        <v>1</v>
      </c>
      <c r="O4757" s="845">
        <v>1</v>
      </c>
      <c r="P4757" s="845">
        <v>0</v>
      </c>
      <c r="Q4757" s="845">
        <v>0</v>
      </c>
      <c r="R4757" s="1357" t="s">
        <v>16105</v>
      </c>
      <c r="S4757" s="1357" t="s">
        <v>16105</v>
      </c>
      <c r="T4757" s="834" t="s">
        <v>14509</v>
      </c>
      <c r="U4757" s="1952" t="s">
        <v>4220</v>
      </c>
      <c r="V4757" s="1839" t="s">
        <v>689</v>
      </c>
      <c r="W4757" s="823" t="s">
        <v>16106</v>
      </c>
      <c r="X4757" s="18"/>
      <c r="Y4757" s="4"/>
      <c r="Z4757" s="4"/>
    </row>
    <row r="4758" spans="1:26" ht="14.1" hidden="1">
      <c r="A4758" s="20">
        <v>4767</v>
      </c>
      <c r="B4758" s="937">
        <v>44501</v>
      </c>
      <c r="C4758" s="1035" t="s">
        <v>16107</v>
      </c>
      <c r="D4758" s="11" t="s">
        <v>6</v>
      </c>
      <c r="E4758" s="840" t="s">
        <v>166</v>
      </c>
      <c r="F4758" s="1059" t="s">
        <v>10005</v>
      </c>
      <c r="G4758" s="845" t="s">
        <v>16108</v>
      </c>
      <c r="H4758" s="845" t="s">
        <v>16109</v>
      </c>
      <c r="I4758" s="845" t="s">
        <v>1022</v>
      </c>
      <c r="J4758" s="845" t="s">
        <v>16110</v>
      </c>
      <c r="K4758" s="845" t="s">
        <v>16111</v>
      </c>
      <c r="L4758" s="845" t="s">
        <v>149</v>
      </c>
      <c r="M4758" s="845">
        <v>1</v>
      </c>
      <c r="N4758" s="845">
        <v>1</v>
      </c>
      <c r="O4758" s="845">
        <v>1</v>
      </c>
      <c r="P4758" s="845">
        <v>0</v>
      </c>
      <c r="Q4758" s="845">
        <v>0</v>
      </c>
      <c r="R4758" s="1357" t="s">
        <v>16112</v>
      </c>
      <c r="S4758" s="1357" t="s">
        <v>16112</v>
      </c>
      <c r="T4758" s="834" t="s">
        <v>14509</v>
      </c>
      <c r="U4758" s="1952" t="s">
        <v>4220</v>
      </c>
      <c r="V4758" s="1839" t="s">
        <v>689</v>
      </c>
      <c r="W4758" s="823" t="s">
        <v>16113</v>
      </c>
      <c r="X4758" s="18"/>
      <c r="Y4758" s="4"/>
      <c r="Z4758" s="4"/>
    </row>
    <row r="4759" spans="1:26" ht="14.1" hidden="1">
      <c r="A4759" s="20">
        <v>4768</v>
      </c>
      <c r="B4759" s="937">
        <v>44501</v>
      </c>
      <c r="C4759" s="1035" t="s">
        <v>16114</v>
      </c>
      <c r="D4759" s="11" t="s">
        <v>6</v>
      </c>
      <c r="E4759" s="840" t="s">
        <v>166</v>
      </c>
      <c r="F4759" s="1059" t="s">
        <v>10005</v>
      </c>
      <c r="G4759" s="845" t="s">
        <v>16115</v>
      </c>
      <c r="H4759" s="845" t="s">
        <v>16116</v>
      </c>
      <c r="I4759" s="845" t="s">
        <v>1022</v>
      </c>
      <c r="J4759" s="845" t="s">
        <v>16117</v>
      </c>
      <c r="K4759" s="845" t="s">
        <v>16117</v>
      </c>
      <c r="L4759" s="845" t="s">
        <v>149</v>
      </c>
      <c r="M4759" s="845">
        <v>1</v>
      </c>
      <c r="N4759" s="845">
        <v>1</v>
      </c>
      <c r="O4759" s="845">
        <v>1</v>
      </c>
      <c r="P4759" s="845">
        <v>0</v>
      </c>
      <c r="Q4759" s="845">
        <v>0</v>
      </c>
      <c r="R4759" s="1357" t="s">
        <v>16118</v>
      </c>
      <c r="S4759" s="1357" t="s">
        <v>16118</v>
      </c>
      <c r="T4759" s="834" t="s">
        <v>14509</v>
      </c>
      <c r="U4759" s="1952" t="s">
        <v>4220</v>
      </c>
      <c r="V4759" s="1839" t="s">
        <v>689</v>
      </c>
      <c r="W4759" s="823" t="s">
        <v>16119</v>
      </c>
      <c r="X4759" s="18"/>
      <c r="Y4759" s="4"/>
      <c r="Z4759" s="4"/>
    </row>
    <row r="4760" spans="1:26" ht="14.1" hidden="1">
      <c r="A4760" s="20">
        <v>4769</v>
      </c>
      <c r="B4760" s="937">
        <v>44501</v>
      </c>
      <c r="C4760" s="934" t="s">
        <v>16120</v>
      </c>
      <c r="D4760" s="10" t="s">
        <v>6</v>
      </c>
      <c r="E4760" s="824" t="s">
        <v>166</v>
      </c>
      <c r="F4760" s="934" t="s">
        <v>1989</v>
      </c>
      <c r="G4760" s="204" t="s">
        <v>16121</v>
      </c>
      <c r="H4760" s="204" t="s">
        <v>4480</v>
      </c>
      <c r="I4760" s="204" t="s">
        <v>4480</v>
      </c>
      <c r="J4760" s="204">
        <v>20110100105</v>
      </c>
      <c r="K4760" s="204">
        <v>20110100105</v>
      </c>
      <c r="L4760" s="204" t="s">
        <v>285</v>
      </c>
      <c r="M4760" s="204">
        <v>2</v>
      </c>
      <c r="N4760" s="204">
        <v>1</v>
      </c>
      <c r="O4760" s="204">
        <v>6</v>
      </c>
      <c r="P4760" s="204">
        <v>0</v>
      </c>
      <c r="Q4760" s="572">
        <v>4</v>
      </c>
      <c r="R4760" s="1209" t="s">
        <v>149</v>
      </c>
      <c r="S4760" s="1209">
        <v>87074</v>
      </c>
      <c r="T4760" s="204" t="s">
        <v>14752</v>
      </c>
      <c r="U4760" s="1901" t="s">
        <v>3637</v>
      </c>
      <c r="V4760" s="572" t="s">
        <v>5575</v>
      </c>
      <c r="W4760" s="1184" t="s">
        <v>16122</v>
      </c>
      <c r="X4760" s="18"/>
      <c r="Y4760" s="4"/>
      <c r="Z4760" s="4"/>
    </row>
    <row r="4761" spans="1:26" ht="14.1" hidden="1">
      <c r="A4761" s="20">
        <v>4770</v>
      </c>
      <c r="B4761" s="937">
        <v>44501</v>
      </c>
      <c r="C4761" s="934" t="s">
        <v>16123</v>
      </c>
      <c r="D4761" s="11" t="s">
        <v>6</v>
      </c>
      <c r="E4761" s="824" t="s">
        <v>166</v>
      </c>
      <c r="F4761" s="934" t="s">
        <v>2876</v>
      </c>
      <c r="G4761" s="1462" t="s">
        <v>16124</v>
      </c>
      <c r="H4761" s="204" t="s">
        <v>16125</v>
      </c>
      <c r="I4761" s="204" t="s">
        <v>53</v>
      </c>
      <c r="J4761" s="1463" t="s">
        <v>16126</v>
      </c>
      <c r="K4761" s="1464" t="s">
        <v>16127</v>
      </c>
      <c r="L4761" s="204" t="s">
        <v>7002</v>
      </c>
      <c r="M4761" s="204">
        <v>3</v>
      </c>
      <c r="N4761" s="204">
        <v>1</v>
      </c>
      <c r="O4761" s="204">
        <v>10</v>
      </c>
      <c r="P4761" s="204">
        <v>0</v>
      </c>
      <c r="Q4761" s="572">
        <v>6</v>
      </c>
      <c r="R4761" s="1209">
        <v>176</v>
      </c>
      <c r="S4761" s="1209">
        <f t="shared" ref="S4761:S4769" si="272">O4761*R4761</f>
        <v>1760</v>
      </c>
      <c r="T4761" s="204" t="s">
        <v>16128</v>
      </c>
      <c r="U4761" s="1901" t="s">
        <v>16129</v>
      </c>
      <c r="V4761" s="572" t="s">
        <v>5575</v>
      </c>
      <c r="W4761" s="2152" t="s">
        <v>16130</v>
      </c>
      <c r="X4761" s="18"/>
      <c r="Y4761" s="4"/>
      <c r="Z4761" s="4"/>
    </row>
    <row r="4762" spans="1:26" ht="14.1" hidden="1">
      <c r="A4762" s="20">
        <v>4771</v>
      </c>
      <c r="B4762" s="937">
        <v>44501</v>
      </c>
      <c r="C4762" s="934" t="s">
        <v>16131</v>
      </c>
      <c r="D4762" s="11" t="s">
        <v>6</v>
      </c>
      <c r="E4762" s="824" t="s">
        <v>166</v>
      </c>
      <c r="F4762" s="934" t="s">
        <v>2876</v>
      </c>
      <c r="G4762" s="1462" t="s">
        <v>16132</v>
      </c>
      <c r="H4762" s="204" t="s">
        <v>4110</v>
      </c>
      <c r="I4762" s="204" t="s">
        <v>53</v>
      </c>
      <c r="J4762" s="1464" t="s">
        <v>16133</v>
      </c>
      <c r="K4762" s="1464" t="s">
        <v>16134</v>
      </c>
      <c r="L4762" s="204" t="s">
        <v>7002</v>
      </c>
      <c r="M4762" s="204">
        <v>3</v>
      </c>
      <c r="N4762" s="204">
        <v>1</v>
      </c>
      <c r="O4762" s="204">
        <v>6</v>
      </c>
      <c r="P4762" s="204">
        <v>0</v>
      </c>
      <c r="Q4762" s="572">
        <v>3</v>
      </c>
      <c r="R4762" s="1209">
        <v>566</v>
      </c>
      <c r="S4762" s="1209">
        <f t="shared" si="272"/>
        <v>3396</v>
      </c>
      <c r="T4762" s="204" t="s">
        <v>16128</v>
      </c>
      <c r="U4762" s="1901" t="s">
        <v>16129</v>
      </c>
      <c r="V4762" s="572" t="s">
        <v>5575</v>
      </c>
      <c r="W4762" s="1184" t="s">
        <v>16135</v>
      </c>
      <c r="X4762" s="18"/>
      <c r="Y4762" s="4"/>
      <c r="Z4762" s="4"/>
    </row>
    <row r="4763" spans="1:26" ht="14.1" hidden="1">
      <c r="A4763" s="20">
        <v>4772</v>
      </c>
      <c r="B4763" s="937">
        <v>44501</v>
      </c>
      <c r="C4763" s="934" t="s">
        <v>16136</v>
      </c>
      <c r="D4763" s="11" t="s">
        <v>6</v>
      </c>
      <c r="E4763" s="824" t="s">
        <v>166</v>
      </c>
      <c r="F4763" s="934" t="s">
        <v>2876</v>
      </c>
      <c r="G4763" s="1462" t="s">
        <v>16137</v>
      </c>
      <c r="H4763" s="204" t="s">
        <v>8093</v>
      </c>
      <c r="I4763" s="204" t="s">
        <v>429</v>
      </c>
      <c r="J4763" s="204" t="s">
        <v>16138</v>
      </c>
      <c r="K4763" s="204" t="s">
        <v>16138</v>
      </c>
      <c r="L4763" s="204" t="s">
        <v>7002</v>
      </c>
      <c r="M4763" s="204">
        <v>6</v>
      </c>
      <c r="N4763" s="204">
        <v>1</v>
      </c>
      <c r="O4763" s="204">
        <v>10</v>
      </c>
      <c r="P4763" s="204">
        <v>0</v>
      </c>
      <c r="Q4763" s="572">
        <v>4</v>
      </c>
      <c r="R4763" s="1209">
        <v>436</v>
      </c>
      <c r="S4763" s="1209">
        <f t="shared" si="272"/>
        <v>4360</v>
      </c>
      <c r="T4763" s="204" t="s">
        <v>16128</v>
      </c>
      <c r="U4763" s="1901" t="s">
        <v>16129</v>
      </c>
      <c r="V4763" s="572" t="s">
        <v>5575</v>
      </c>
      <c r="W4763" s="2152" t="s">
        <v>16139</v>
      </c>
      <c r="X4763" s="18"/>
      <c r="Y4763" s="4"/>
      <c r="Z4763" s="4"/>
    </row>
    <row r="4764" spans="1:26" ht="14.1" hidden="1">
      <c r="A4764" s="20">
        <v>4773</v>
      </c>
      <c r="B4764" s="937">
        <v>44501</v>
      </c>
      <c r="C4764" s="934" t="s">
        <v>16140</v>
      </c>
      <c r="D4764" s="11" t="s">
        <v>6</v>
      </c>
      <c r="E4764" s="824" t="s">
        <v>166</v>
      </c>
      <c r="F4764" s="934" t="s">
        <v>2876</v>
      </c>
      <c r="G4764" s="1462" t="s">
        <v>16141</v>
      </c>
      <c r="H4764" s="204" t="s">
        <v>10376</v>
      </c>
      <c r="I4764" s="204" t="s">
        <v>3098</v>
      </c>
      <c r="J4764" s="204" t="s">
        <v>16142</v>
      </c>
      <c r="K4764" s="1465" t="s">
        <v>16143</v>
      </c>
      <c r="L4764" s="204" t="s">
        <v>7002</v>
      </c>
      <c r="M4764" s="204">
        <v>3</v>
      </c>
      <c r="N4764" s="204">
        <v>1</v>
      </c>
      <c r="O4764" s="204">
        <v>6</v>
      </c>
      <c r="P4764" s="204">
        <v>0</v>
      </c>
      <c r="Q4764" s="572">
        <v>3</v>
      </c>
      <c r="R4764" s="1209">
        <v>855</v>
      </c>
      <c r="S4764" s="1209">
        <f t="shared" si="272"/>
        <v>5130</v>
      </c>
      <c r="T4764" s="204" t="s">
        <v>16128</v>
      </c>
      <c r="U4764" s="1901" t="s">
        <v>16129</v>
      </c>
      <c r="V4764" s="572" t="s">
        <v>5575</v>
      </c>
      <c r="W4764" s="1184" t="s">
        <v>16144</v>
      </c>
      <c r="X4764" s="18"/>
      <c r="Y4764" s="4"/>
      <c r="Z4764" s="4"/>
    </row>
    <row r="4765" spans="1:26" ht="14.1" hidden="1">
      <c r="A4765" s="20">
        <v>4774</v>
      </c>
      <c r="B4765" s="937">
        <v>44501</v>
      </c>
      <c r="C4765" s="934" t="s">
        <v>16145</v>
      </c>
      <c r="D4765" s="11" t="s">
        <v>6</v>
      </c>
      <c r="E4765" s="824" t="s">
        <v>166</v>
      </c>
      <c r="F4765" s="1060" t="s">
        <v>2876</v>
      </c>
      <c r="G4765" s="1466" t="s">
        <v>16146</v>
      </c>
      <c r="H4765" s="457" t="s">
        <v>1143</v>
      </c>
      <c r="I4765" s="457" t="s">
        <v>16147</v>
      </c>
      <c r="J4765" s="1092" t="s">
        <v>16148</v>
      </c>
      <c r="K4765" s="539" t="s">
        <v>16149</v>
      </c>
      <c r="L4765" s="204" t="s">
        <v>4179</v>
      </c>
      <c r="M4765" s="204">
        <v>3</v>
      </c>
      <c r="N4765" s="204">
        <v>1</v>
      </c>
      <c r="O4765" s="204">
        <v>6</v>
      </c>
      <c r="P4765" s="204">
        <v>0</v>
      </c>
      <c r="Q4765" s="572">
        <v>3</v>
      </c>
      <c r="R4765" s="1209">
        <v>245</v>
      </c>
      <c r="S4765" s="1209">
        <f t="shared" si="272"/>
        <v>1470</v>
      </c>
      <c r="T4765" s="204" t="s">
        <v>16128</v>
      </c>
      <c r="U4765" s="1901" t="s">
        <v>16129</v>
      </c>
      <c r="V4765" s="572" t="s">
        <v>5575</v>
      </c>
      <c r="W4765" s="1815" t="s">
        <v>16150</v>
      </c>
      <c r="X4765" s="18"/>
      <c r="Y4765" s="4"/>
      <c r="Z4765" s="4"/>
    </row>
    <row r="4766" spans="1:26" s="828" customFormat="1" ht="14.1" hidden="1">
      <c r="A4766" s="825">
        <v>4775</v>
      </c>
      <c r="B4766" s="1067">
        <v>44501</v>
      </c>
      <c r="C4766" s="1036" t="s">
        <v>16151</v>
      </c>
      <c r="D4766" s="11" t="s">
        <v>6</v>
      </c>
      <c r="E4766" s="824" t="s">
        <v>166</v>
      </c>
      <c r="F4766" s="1061" t="s">
        <v>2876</v>
      </c>
      <c r="G4766" s="846" t="s">
        <v>3639</v>
      </c>
      <c r="H4766" s="846" t="s">
        <v>1143</v>
      </c>
      <c r="I4766" s="846" t="s">
        <v>281</v>
      </c>
      <c r="J4766" s="847" t="s">
        <v>3640</v>
      </c>
      <c r="K4766" s="847">
        <v>554600272</v>
      </c>
      <c r="L4766" s="847" t="s">
        <v>5267</v>
      </c>
      <c r="M4766" s="848">
        <v>9</v>
      </c>
      <c r="N4766" s="848">
        <v>1</v>
      </c>
      <c r="O4766" s="848">
        <v>9</v>
      </c>
      <c r="P4766" s="848">
        <v>9</v>
      </c>
      <c r="Q4766" s="849">
        <v>9</v>
      </c>
      <c r="R4766" s="1209">
        <v>162</v>
      </c>
      <c r="S4766" s="1209">
        <f t="shared" si="272"/>
        <v>1458</v>
      </c>
      <c r="T4766" s="204" t="s">
        <v>16128</v>
      </c>
      <c r="U4766" s="1901" t="s">
        <v>16129</v>
      </c>
      <c r="V4766" s="572" t="s">
        <v>5575</v>
      </c>
      <c r="W4766" s="1815" t="s">
        <v>16152</v>
      </c>
      <c r="X4766" s="826"/>
      <c r="Y4766" s="827"/>
      <c r="Z4766" s="827"/>
    </row>
    <row r="4767" spans="1:26" ht="23.1" hidden="1">
      <c r="A4767" s="20">
        <v>4776</v>
      </c>
      <c r="B4767" s="1067">
        <v>44501</v>
      </c>
      <c r="C4767" s="934" t="s">
        <v>16153</v>
      </c>
      <c r="D4767" s="11" t="s">
        <v>6</v>
      </c>
      <c r="E4767" s="824" t="s">
        <v>166</v>
      </c>
      <c r="F4767" s="934" t="s">
        <v>2876</v>
      </c>
      <c r="G4767" s="1467" t="s">
        <v>16154</v>
      </c>
      <c r="H4767" s="204" t="s">
        <v>184</v>
      </c>
      <c r="I4767" s="204" t="s">
        <v>16155</v>
      </c>
      <c r="J4767" s="1468" t="s">
        <v>16156</v>
      </c>
      <c r="K4767" s="1469" t="s">
        <v>8813</v>
      </c>
      <c r="L4767" s="846" t="s">
        <v>5267</v>
      </c>
      <c r="M4767" s="683">
        <v>3</v>
      </c>
      <c r="N4767" s="204">
        <v>1</v>
      </c>
      <c r="O4767" s="204">
        <v>15</v>
      </c>
      <c r="P4767" s="204">
        <v>0</v>
      </c>
      <c r="Q4767" s="572">
        <v>12</v>
      </c>
      <c r="R4767" s="1209">
        <v>41</v>
      </c>
      <c r="S4767" s="1209">
        <f t="shared" si="272"/>
        <v>615</v>
      </c>
      <c r="T4767" s="204" t="s">
        <v>16128</v>
      </c>
      <c r="U4767" s="1901" t="s">
        <v>16129</v>
      </c>
      <c r="V4767" s="572" t="s">
        <v>5575</v>
      </c>
      <c r="W4767" s="1184" t="s">
        <v>8814</v>
      </c>
      <c r="X4767" s="18"/>
      <c r="Y4767" s="4"/>
      <c r="Z4767" s="4"/>
    </row>
    <row r="4768" spans="1:26" ht="14.1" hidden="1">
      <c r="A4768" s="20">
        <v>4777</v>
      </c>
      <c r="B4768" s="1067">
        <v>44501</v>
      </c>
      <c r="C4768" s="934" t="s">
        <v>16157</v>
      </c>
      <c r="D4768" s="11" t="s">
        <v>6</v>
      </c>
      <c r="E4768" s="824" t="s">
        <v>166</v>
      </c>
      <c r="F4768" s="934" t="s">
        <v>2876</v>
      </c>
      <c r="G4768" s="1467" t="s">
        <v>16158</v>
      </c>
      <c r="H4768" s="204" t="s">
        <v>184</v>
      </c>
      <c r="I4768" s="204" t="s">
        <v>16155</v>
      </c>
      <c r="J4768" s="1470" t="s">
        <v>16159</v>
      </c>
      <c r="K4768" s="1469" t="s">
        <v>16160</v>
      </c>
      <c r="L4768" s="846" t="s">
        <v>5267</v>
      </c>
      <c r="M4768" s="683">
        <v>3</v>
      </c>
      <c r="N4768" s="204">
        <v>1</v>
      </c>
      <c r="O4768" s="204">
        <v>15</v>
      </c>
      <c r="P4768" s="204">
        <v>0</v>
      </c>
      <c r="Q4768" s="572">
        <v>12</v>
      </c>
      <c r="R4768" s="1209">
        <v>12</v>
      </c>
      <c r="S4768" s="1209">
        <f t="shared" si="272"/>
        <v>180</v>
      </c>
      <c r="T4768" s="204" t="s">
        <v>16128</v>
      </c>
      <c r="U4768" s="1901" t="s">
        <v>16129</v>
      </c>
      <c r="V4768" s="572" t="s">
        <v>5575</v>
      </c>
      <c r="W4768" s="1184" t="s">
        <v>8817</v>
      </c>
      <c r="X4768" s="18"/>
      <c r="Y4768" s="4"/>
      <c r="Z4768" s="4"/>
    </row>
    <row r="4769" spans="1:26" ht="14.1">
      <c r="A4769" s="20"/>
      <c r="B4769" s="1063">
        <v>44960</v>
      </c>
      <c r="C4769" s="32" t="s">
        <v>16161</v>
      </c>
      <c r="D4769" s="22"/>
      <c r="E4769" s="22"/>
      <c r="F4769" s="1568" t="s">
        <v>15474</v>
      </c>
      <c r="G4769" s="2330" t="s">
        <v>16162</v>
      </c>
      <c r="H4769" s="2330" t="s">
        <v>3898</v>
      </c>
      <c r="I4769" s="1751" t="s">
        <v>574</v>
      </c>
      <c r="J4769" s="1471"/>
      <c r="K4769" s="1467" t="s">
        <v>8112</v>
      </c>
      <c r="L4769" s="1467"/>
      <c r="M4769" s="1076">
        <v>20</v>
      </c>
      <c r="N4769" s="195">
        <v>20</v>
      </c>
      <c r="O4769" s="195">
        <v>20</v>
      </c>
      <c r="P4769" s="195">
        <v>0</v>
      </c>
      <c r="Q4769" s="195">
        <v>20</v>
      </c>
      <c r="R4769" s="1209">
        <v>668</v>
      </c>
      <c r="S4769" s="1209">
        <v>13360</v>
      </c>
      <c r="T4769" s="298" t="s">
        <v>15477</v>
      </c>
      <c r="U4769" s="1871" t="s">
        <v>3637</v>
      </c>
      <c r="V4769" s="572" t="s">
        <v>15478</v>
      </c>
      <c r="W4769" s="2298" t="s">
        <v>16163</v>
      </c>
      <c r="X4769" s="26"/>
      <c r="Y4769" s="4"/>
      <c r="Z4769" s="4"/>
    </row>
    <row r="4770" spans="1:26" ht="14.1" hidden="1">
      <c r="A4770" s="20">
        <v>4779</v>
      </c>
      <c r="B4770" s="1067">
        <v>44504</v>
      </c>
      <c r="C4770" s="946" t="s">
        <v>16164</v>
      </c>
      <c r="D4770" s="11" t="s">
        <v>6</v>
      </c>
      <c r="E4770" s="1" t="s">
        <v>16165</v>
      </c>
      <c r="F4770" s="934" t="s">
        <v>11438</v>
      </c>
      <c r="G4770" s="204" t="s">
        <v>16166</v>
      </c>
      <c r="H4770" s="204" t="s">
        <v>14957</v>
      </c>
      <c r="I4770" s="204" t="s">
        <v>14957</v>
      </c>
      <c r="J4770" s="298"/>
      <c r="K4770" s="297"/>
      <c r="L4770" s="297"/>
      <c r="M4770" s="204">
        <v>4</v>
      </c>
      <c r="N4770" s="204">
        <v>1</v>
      </c>
      <c r="O4770" s="204">
        <v>4</v>
      </c>
      <c r="P4770" s="204">
        <v>0</v>
      </c>
      <c r="Q4770" s="572">
        <v>0</v>
      </c>
      <c r="R4770" s="1209">
        <v>38077</v>
      </c>
      <c r="S4770" s="1209">
        <v>38077</v>
      </c>
      <c r="T4770" s="204" t="s">
        <v>3961</v>
      </c>
      <c r="U4770" s="1901" t="s">
        <v>448</v>
      </c>
      <c r="V4770" s="572" t="s">
        <v>801</v>
      </c>
      <c r="W4770" s="681"/>
      <c r="X4770" s="18"/>
      <c r="Y4770" s="4"/>
      <c r="Z4770" s="4"/>
    </row>
    <row r="4771" spans="1:26" ht="14.1" hidden="1">
      <c r="A4771" s="20">
        <v>4780</v>
      </c>
      <c r="B4771" s="937">
        <v>44504</v>
      </c>
      <c r="C4771" s="934" t="s">
        <v>16167</v>
      </c>
      <c r="D4771" s="11" t="s">
        <v>6</v>
      </c>
      <c r="E4771" s="1" t="s">
        <v>16165</v>
      </c>
      <c r="F4771" s="958" t="s">
        <v>11438</v>
      </c>
      <c r="G4771" s="297" t="s">
        <v>16168</v>
      </c>
      <c r="H4771" s="297" t="s">
        <v>14957</v>
      </c>
      <c r="I4771" s="272" t="s">
        <v>14957</v>
      </c>
      <c r="J4771" s="204"/>
      <c r="K4771" s="204"/>
      <c r="L4771" s="204"/>
      <c r="M4771" s="204">
        <v>4</v>
      </c>
      <c r="N4771" s="204">
        <v>1</v>
      </c>
      <c r="O4771" s="204">
        <v>4</v>
      </c>
      <c r="P4771" s="204">
        <v>0</v>
      </c>
      <c r="Q4771" s="572">
        <v>0</v>
      </c>
      <c r="R4771" s="1209">
        <v>38077</v>
      </c>
      <c r="S4771" s="1209">
        <v>38077</v>
      </c>
      <c r="T4771" s="204" t="s">
        <v>3961</v>
      </c>
      <c r="U4771" s="1901" t="s">
        <v>448</v>
      </c>
      <c r="V4771" s="572" t="s">
        <v>801</v>
      </c>
      <c r="W4771" s="681"/>
      <c r="X4771" s="18"/>
      <c r="Y4771" s="4"/>
      <c r="Z4771" s="4"/>
    </row>
    <row r="4772" spans="1:26" ht="14.1" hidden="1">
      <c r="A4772" s="20">
        <v>4781</v>
      </c>
      <c r="B4772" s="937">
        <v>44504</v>
      </c>
      <c r="C4772" s="934" t="s">
        <v>16169</v>
      </c>
      <c r="D4772" s="11" t="s">
        <v>6</v>
      </c>
      <c r="E4772" s="1" t="s">
        <v>16165</v>
      </c>
      <c r="F4772" s="934" t="s">
        <v>11438</v>
      </c>
      <c r="G4772" s="204" t="s">
        <v>16170</v>
      </c>
      <c r="H4772" s="204" t="s">
        <v>14957</v>
      </c>
      <c r="I4772" s="204" t="s">
        <v>14957</v>
      </c>
      <c r="J4772" s="204"/>
      <c r="K4772" s="204"/>
      <c r="L4772" s="204"/>
      <c r="M4772" s="204">
        <v>4</v>
      </c>
      <c r="N4772" s="204">
        <v>1</v>
      </c>
      <c r="O4772" s="204">
        <v>4</v>
      </c>
      <c r="P4772" s="204">
        <v>0</v>
      </c>
      <c r="Q4772" s="572">
        <v>0</v>
      </c>
      <c r="R4772" s="1209">
        <v>38077</v>
      </c>
      <c r="S4772" s="1209">
        <v>38077</v>
      </c>
      <c r="T4772" s="204" t="s">
        <v>3961</v>
      </c>
      <c r="U4772" s="1901" t="s">
        <v>448</v>
      </c>
      <c r="V4772" s="572" t="s">
        <v>801</v>
      </c>
      <c r="W4772" s="681"/>
      <c r="X4772" s="18"/>
      <c r="Y4772" s="4"/>
      <c r="Z4772" s="4"/>
    </row>
    <row r="4773" spans="1:26" ht="14.1" hidden="1">
      <c r="A4773" s="20">
        <v>4782</v>
      </c>
      <c r="B4773" s="937">
        <v>44504</v>
      </c>
      <c r="C4773" s="934" t="s">
        <v>16171</v>
      </c>
      <c r="D4773" s="11" t="s">
        <v>6</v>
      </c>
      <c r="E4773" s="1" t="s">
        <v>16165</v>
      </c>
      <c r="F4773" s="934" t="s">
        <v>11438</v>
      </c>
      <c r="G4773" s="204" t="s">
        <v>16172</v>
      </c>
      <c r="H4773" s="204" t="s">
        <v>14957</v>
      </c>
      <c r="I4773" s="204" t="s">
        <v>14957</v>
      </c>
      <c r="J4773" s="204"/>
      <c r="K4773" s="204"/>
      <c r="L4773" s="204"/>
      <c r="M4773" s="204">
        <v>4</v>
      </c>
      <c r="N4773" s="204">
        <v>1</v>
      </c>
      <c r="O4773" s="204">
        <v>4</v>
      </c>
      <c r="P4773" s="204">
        <v>0</v>
      </c>
      <c r="Q4773" s="572">
        <v>0</v>
      </c>
      <c r="R4773" s="1209">
        <v>38077</v>
      </c>
      <c r="S4773" s="1209">
        <v>38077</v>
      </c>
      <c r="T4773" s="204" t="s">
        <v>3961</v>
      </c>
      <c r="U4773" s="1901" t="s">
        <v>448</v>
      </c>
      <c r="V4773" s="572" t="s">
        <v>801</v>
      </c>
      <c r="W4773" s="681"/>
      <c r="X4773" s="18"/>
      <c r="Y4773" s="4"/>
      <c r="Z4773" s="4"/>
    </row>
    <row r="4774" spans="1:26" ht="14.1" hidden="1">
      <c r="A4774" s="20">
        <v>4783</v>
      </c>
      <c r="B4774" s="937">
        <v>44505</v>
      </c>
      <c r="C4774" s="934" t="s">
        <v>16173</v>
      </c>
      <c r="D4774" s="11" t="s">
        <v>6</v>
      </c>
      <c r="E4774" s="204" t="s">
        <v>62</v>
      </c>
      <c r="F4774" s="934" t="s">
        <v>16174</v>
      </c>
      <c r="G4774" s="204" t="s">
        <v>16175</v>
      </c>
      <c r="H4774" s="204" t="s">
        <v>16176</v>
      </c>
      <c r="I4774" s="204" t="s">
        <v>16177</v>
      </c>
      <c r="J4774" s="204"/>
      <c r="K4774" s="204"/>
      <c r="L4774" s="204"/>
      <c r="M4774" s="204">
        <v>1</v>
      </c>
      <c r="N4774" s="204">
        <v>1</v>
      </c>
      <c r="O4774" s="204">
        <v>1</v>
      </c>
      <c r="P4774" s="204">
        <v>0</v>
      </c>
      <c r="Q4774" s="572">
        <v>0</v>
      </c>
      <c r="R4774" s="1209">
        <v>4300</v>
      </c>
      <c r="S4774" s="1209">
        <v>4300</v>
      </c>
      <c r="T4774" s="204" t="s">
        <v>16178</v>
      </c>
      <c r="U4774" s="1901" t="s">
        <v>16179</v>
      </c>
      <c r="V4774" s="572" t="s">
        <v>16180</v>
      </c>
      <c r="W4774" s="681" t="s">
        <v>9031</v>
      </c>
      <c r="X4774" s="18"/>
      <c r="Y4774" s="4"/>
      <c r="Z4774" s="4"/>
    </row>
    <row r="4775" spans="1:26" ht="14.1" hidden="1">
      <c r="A4775" s="20">
        <v>4784</v>
      </c>
      <c r="B4775" s="937">
        <v>44508</v>
      </c>
      <c r="C4775" s="934" t="s">
        <v>16181</v>
      </c>
      <c r="D4775" s="8"/>
      <c r="E4775" s="204" t="s">
        <v>16182</v>
      </c>
      <c r="F4775" s="934" t="s">
        <v>7782</v>
      </c>
      <c r="G4775" s="204" t="s">
        <v>16183</v>
      </c>
      <c r="H4775" s="204" t="s">
        <v>16184</v>
      </c>
      <c r="I4775" s="204" t="s">
        <v>7988</v>
      </c>
      <c r="J4775" s="204" t="s">
        <v>16185</v>
      </c>
      <c r="K4775" s="204">
        <v>20258962</v>
      </c>
      <c r="L4775" s="204"/>
      <c r="M4775" s="204">
        <v>1</v>
      </c>
      <c r="N4775" s="204">
        <v>1</v>
      </c>
      <c r="O4775" s="204">
        <v>1</v>
      </c>
      <c r="P4775" s="204">
        <v>0</v>
      </c>
      <c r="Q4775" s="572">
        <v>0</v>
      </c>
      <c r="R4775" s="1209">
        <v>348</v>
      </c>
      <c r="S4775" s="1209">
        <v>348</v>
      </c>
      <c r="T4775" s="204" t="s">
        <v>5448</v>
      </c>
      <c r="U4775" s="1901" t="s">
        <v>16186</v>
      </c>
      <c r="V4775" s="572" t="s">
        <v>3342</v>
      </c>
      <c r="W4775" s="681"/>
      <c r="X4775" s="18" t="s">
        <v>16187</v>
      </c>
      <c r="Y4775" s="4"/>
      <c r="Z4775" s="4"/>
    </row>
    <row r="4776" spans="1:26" ht="15.6" hidden="1">
      <c r="A4776" s="20">
        <v>4785</v>
      </c>
      <c r="B4776" s="937">
        <v>44508</v>
      </c>
      <c r="C4776" s="934" t="s">
        <v>16188</v>
      </c>
      <c r="D4776" s="11"/>
      <c r="E4776" s="204" t="s">
        <v>166</v>
      </c>
      <c r="F4776" s="934" t="s">
        <v>2876</v>
      </c>
      <c r="G4776" s="204" t="s">
        <v>16189</v>
      </c>
      <c r="H4776" s="204" t="s">
        <v>452</v>
      </c>
      <c r="I4776" s="207" t="s">
        <v>4634</v>
      </c>
      <c r="J4776" s="1102" t="s">
        <v>16190</v>
      </c>
      <c r="K4776" s="539" t="s">
        <v>16191</v>
      </c>
      <c r="L4776" s="204" t="s">
        <v>13355</v>
      </c>
      <c r="M4776" s="204">
        <v>50</v>
      </c>
      <c r="N4776" s="208">
        <v>1</v>
      </c>
      <c r="O4776" s="204">
        <v>50</v>
      </c>
      <c r="P4776" s="208">
        <v>0</v>
      </c>
      <c r="Q4776" s="572">
        <v>50</v>
      </c>
      <c r="R4776" s="1288">
        <v>32.700000000000003</v>
      </c>
      <c r="S4776" s="1313">
        <f>O4776*R4776</f>
        <v>1635.0000000000002</v>
      </c>
      <c r="T4776" s="208" t="s">
        <v>16192</v>
      </c>
      <c r="U4776" s="1939" t="s">
        <v>8730</v>
      </c>
      <c r="V4776" s="20" t="s">
        <v>16193</v>
      </c>
      <c r="W4776" s="1815" t="s">
        <v>16194</v>
      </c>
      <c r="X4776" s="778"/>
      <c r="Y4776" s="4"/>
      <c r="Z4776" s="4"/>
    </row>
    <row r="4777" spans="1:26" ht="14.1" hidden="1">
      <c r="A4777" s="20">
        <v>4786</v>
      </c>
      <c r="B4777" s="937">
        <v>44509</v>
      </c>
      <c r="C4777" s="934" t="s">
        <v>16195</v>
      </c>
      <c r="D4777" s="11" t="s">
        <v>6</v>
      </c>
      <c r="E4777" s="1" t="s">
        <v>16165</v>
      </c>
      <c r="F4777" s="934" t="s">
        <v>11438</v>
      </c>
      <c r="G4777" s="204" t="s">
        <v>16196</v>
      </c>
      <c r="H4777" s="204" t="s">
        <v>14957</v>
      </c>
      <c r="I4777" s="204" t="s">
        <v>14957</v>
      </c>
      <c r="J4777" s="204"/>
      <c r="K4777" s="204"/>
      <c r="L4777" s="204"/>
      <c r="M4777" s="204">
        <v>1</v>
      </c>
      <c r="N4777" s="204">
        <v>1</v>
      </c>
      <c r="O4777" s="204">
        <v>2</v>
      </c>
      <c r="P4777" s="204">
        <v>0</v>
      </c>
      <c r="Q4777" s="572">
        <v>1</v>
      </c>
      <c r="R4777" s="1209">
        <v>58282</v>
      </c>
      <c r="S4777" s="1209">
        <v>58282</v>
      </c>
      <c r="T4777" s="204" t="s">
        <v>3961</v>
      </c>
      <c r="U4777" s="1901" t="s">
        <v>448</v>
      </c>
      <c r="V4777" s="572" t="s">
        <v>801</v>
      </c>
      <c r="W4777" s="681"/>
      <c r="X4777" s="18"/>
      <c r="Y4777" s="4"/>
      <c r="Z4777" s="4"/>
    </row>
    <row r="4778" spans="1:26" ht="14.1" hidden="1">
      <c r="A4778" s="20">
        <v>4787</v>
      </c>
      <c r="B4778" s="937">
        <v>44509</v>
      </c>
      <c r="C4778" s="934" t="s">
        <v>16197</v>
      </c>
      <c r="D4778" s="11" t="s">
        <v>6</v>
      </c>
      <c r="E4778" s="1" t="s">
        <v>16165</v>
      </c>
      <c r="F4778" s="934" t="s">
        <v>11438</v>
      </c>
      <c r="G4778" s="204" t="s">
        <v>16198</v>
      </c>
      <c r="H4778" s="204" t="s">
        <v>14957</v>
      </c>
      <c r="I4778" s="204" t="s">
        <v>14957</v>
      </c>
      <c r="J4778" s="204"/>
      <c r="K4778" s="204"/>
      <c r="L4778" s="204"/>
      <c r="M4778" s="204">
        <v>1</v>
      </c>
      <c r="N4778" s="204">
        <v>1</v>
      </c>
      <c r="O4778" s="204">
        <v>2</v>
      </c>
      <c r="P4778" s="204">
        <v>0</v>
      </c>
      <c r="Q4778" s="572">
        <v>1</v>
      </c>
      <c r="R4778" s="1209">
        <v>58282</v>
      </c>
      <c r="S4778" s="1209">
        <v>58282</v>
      </c>
      <c r="T4778" s="204" t="s">
        <v>3961</v>
      </c>
      <c r="U4778" s="1901" t="s">
        <v>448</v>
      </c>
      <c r="V4778" s="572" t="s">
        <v>801</v>
      </c>
      <c r="W4778" s="681"/>
      <c r="X4778" s="18"/>
      <c r="Y4778" s="4"/>
      <c r="Z4778" s="4"/>
    </row>
    <row r="4779" spans="1:26" ht="14.1" hidden="1">
      <c r="A4779" s="20">
        <v>4788</v>
      </c>
      <c r="B4779" s="937">
        <v>44509</v>
      </c>
      <c r="C4779" s="934" t="s">
        <v>16199</v>
      </c>
      <c r="D4779" s="11" t="s">
        <v>6</v>
      </c>
      <c r="E4779" s="1" t="s">
        <v>16165</v>
      </c>
      <c r="F4779" s="934" t="s">
        <v>11438</v>
      </c>
      <c r="G4779" s="204" t="s">
        <v>16200</v>
      </c>
      <c r="H4779" s="204" t="s">
        <v>14957</v>
      </c>
      <c r="I4779" s="204" t="s">
        <v>14957</v>
      </c>
      <c r="J4779" s="204"/>
      <c r="K4779" s="204"/>
      <c r="L4779" s="204"/>
      <c r="M4779" s="204">
        <v>1</v>
      </c>
      <c r="N4779" s="204">
        <v>1</v>
      </c>
      <c r="O4779" s="204">
        <v>2</v>
      </c>
      <c r="P4779" s="204">
        <v>0</v>
      </c>
      <c r="Q4779" s="572">
        <v>1</v>
      </c>
      <c r="R4779" s="1209">
        <v>58282</v>
      </c>
      <c r="S4779" s="1209">
        <v>58282</v>
      </c>
      <c r="T4779" s="204" t="s">
        <v>3961</v>
      </c>
      <c r="U4779" s="1901" t="s">
        <v>448</v>
      </c>
      <c r="V4779" s="572" t="s">
        <v>801</v>
      </c>
      <c r="W4779" s="681"/>
      <c r="X4779" s="18"/>
      <c r="Y4779" s="4"/>
      <c r="Z4779" s="4"/>
    </row>
    <row r="4780" spans="1:26" ht="14.1" hidden="1">
      <c r="A4780" s="20">
        <v>4789</v>
      </c>
      <c r="B4780" s="937">
        <v>44510</v>
      </c>
      <c r="C4780" s="934" t="s">
        <v>16201</v>
      </c>
      <c r="D4780" s="10"/>
      <c r="E4780" s="204" t="s">
        <v>166</v>
      </c>
      <c r="F4780" s="934" t="s">
        <v>9454</v>
      </c>
      <c r="G4780" s="204" t="s">
        <v>16202</v>
      </c>
      <c r="H4780" s="204" t="s">
        <v>12071</v>
      </c>
      <c r="I4780" s="204" t="s">
        <v>76</v>
      </c>
      <c r="J4780" s="204">
        <v>1260050</v>
      </c>
      <c r="K4780" s="204"/>
      <c r="L4780" s="204"/>
      <c r="M4780" s="204">
        <v>10</v>
      </c>
      <c r="N4780" s="204">
        <v>1</v>
      </c>
      <c r="O4780" s="204">
        <v>10</v>
      </c>
      <c r="P4780" s="204">
        <v>0</v>
      </c>
      <c r="Q4780" s="572">
        <v>10</v>
      </c>
      <c r="R4780" s="1209">
        <v>1180</v>
      </c>
      <c r="S4780" s="1209">
        <v>11100</v>
      </c>
      <c r="T4780" s="204" t="s">
        <v>16203</v>
      </c>
      <c r="U4780" s="1901" t="s">
        <v>301</v>
      </c>
      <c r="V4780" s="572" t="s">
        <v>801</v>
      </c>
      <c r="W4780" s="1184" t="s">
        <v>16204</v>
      </c>
      <c r="X4780" s="18"/>
      <c r="Y4780" s="4"/>
      <c r="Z4780" s="4"/>
    </row>
    <row r="4781" spans="1:26" ht="14.1" hidden="1">
      <c r="A4781" s="20">
        <v>4790</v>
      </c>
      <c r="B4781" s="937">
        <v>44510</v>
      </c>
      <c r="C4781" s="934" t="s">
        <v>16205</v>
      </c>
      <c r="D4781" s="10"/>
      <c r="E4781" s="204" t="s">
        <v>166</v>
      </c>
      <c r="F4781" s="934" t="s">
        <v>9454</v>
      </c>
      <c r="G4781" s="204" t="s">
        <v>16202</v>
      </c>
      <c r="H4781" s="204" t="s">
        <v>12071</v>
      </c>
      <c r="I4781" s="204" t="s">
        <v>76</v>
      </c>
      <c r="J4781" s="204">
        <v>1260069</v>
      </c>
      <c r="K4781" s="204"/>
      <c r="L4781" s="204"/>
      <c r="M4781" s="204">
        <v>10</v>
      </c>
      <c r="N4781" s="204">
        <v>1</v>
      </c>
      <c r="O4781" s="204">
        <v>10</v>
      </c>
      <c r="P4781" s="204">
        <v>1</v>
      </c>
      <c r="Q4781" s="572">
        <v>11</v>
      </c>
      <c r="R4781" s="1209">
        <v>1180</v>
      </c>
      <c r="S4781" s="1209">
        <v>11100</v>
      </c>
      <c r="T4781" s="204" t="s">
        <v>16203</v>
      </c>
      <c r="U4781" s="1901" t="s">
        <v>301</v>
      </c>
      <c r="V4781" s="572" t="s">
        <v>801</v>
      </c>
      <c r="W4781" s="1184" t="s">
        <v>16206</v>
      </c>
      <c r="X4781" s="18"/>
      <c r="Y4781" s="4"/>
      <c r="Z4781" s="4"/>
    </row>
    <row r="4782" spans="1:26" ht="14.1" hidden="1">
      <c r="A4782" s="20">
        <v>4791</v>
      </c>
      <c r="B4782" s="937">
        <v>44510</v>
      </c>
      <c r="C4782" s="934" t="s">
        <v>16207</v>
      </c>
      <c r="D4782" s="10"/>
      <c r="E4782" s="204" t="s">
        <v>166</v>
      </c>
      <c r="F4782" s="934" t="s">
        <v>9454</v>
      </c>
      <c r="G4782" s="204" t="s">
        <v>16202</v>
      </c>
      <c r="H4782" s="204" t="s">
        <v>12071</v>
      </c>
      <c r="I4782" s="204" t="s">
        <v>76</v>
      </c>
      <c r="J4782" s="204">
        <v>1260078</v>
      </c>
      <c r="K4782" s="204"/>
      <c r="L4782" s="204"/>
      <c r="M4782" s="204">
        <v>10</v>
      </c>
      <c r="N4782" s="204">
        <v>1</v>
      </c>
      <c r="O4782" s="204">
        <v>10</v>
      </c>
      <c r="P4782" s="204">
        <v>1</v>
      </c>
      <c r="Q4782" s="572">
        <v>11</v>
      </c>
      <c r="R4782" s="1209">
        <v>1180</v>
      </c>
      <c r="S4782" s="1209">
        <v>11100</v>
      </c>
      <c r="T4782" s="204" t="s">
        <v>16203</v>
      </c>
      <c r="U4782" s="1901" t="s">
        <v>301</v>
      </c>
      <c r="V4782" s="572" t="s">
        <v>801</v>
      </c>
      <c r="W4782" s="1184" t="s">
        <v>16208</v>
      </c>
      <c r="X4782" s="18"/>
      <c r="Y4782" s="4"/>
      <c r="Z4782" s="4"/>
    </row>
    <row r="4783" spans="1:26" ht="14.1" hidden="1">
      <c r="A4783" s="20">
        <v>4792</v>
      </c>
      <c r="B4783" s="937">
        <v>44510</v>
      </c>
      <c r="C4783" s="934" t="s">
        <v>16209</v>
      </c>
      <c r="D4783" s="10"/>
      <c r="E4783" s="204" t="s">
        <v>166</v>
      </c>
      <c r="F4783" s="934" t="s">
        <v>9454</v>
      </c>
      <c r="G4783" s="204" t="s">
        <v>16210</v>
      </c>
      <c r="H4783" s="204" t="s">
        <v>113</v>
      </c>
      <c r="I4783" s="204" t="s">
        <v>113</v>
      </c>
      <c r="J4783" s="204">
        <v>9217266</v>
      </c>
      <c r="K4783" s="204"/>
      <c r="L4783" s="204"/>
      <c r="M4783" s="204">
        <v>5</v>
      </c>
      <c r="N4783" s="204">
        <v>1</v>
      </c>
      <c r="O4783" s="204">
        <v>5</v>
      </c>
      <c r="P4783" s="204"/>
      <c r="Q4783" s="572"/>
      <c r="R4783" s="1209">
        <v>359</v>
      </c>
      <c r="S4783" s="1209">
        <f>R4783*5</f>
        <v>1795</v>
      </c>
      <c r="T4783" s="204" t="s">
        <v>16203</v>
      </c>
      <c r="U4783" s="1901" t="s">
        <v>301</v>
      </c>
      <c r="V4783" s="572" t="s">
        <v>801</v>
      </c>
      <c r="W4783" s="1184" t="s">
        <v>16211</v>
      </c>
      <c r="X4783" s="18"/>
      <c r="Y4783" s="4"/>
      <c r="Z4783" s="4"/>
    </row>
    <row r="4784" spans="1:26" ht="14.1" hidden="1">
      <c r="A4784" s="20">
        <v>4793</v>
      </c>
      <c r="B4784" s="937">
        <v>44512</v>
      </c>
      <c r="C4784" s="934" t="s">
        <v>16212</v>
      </c>
      <c r="D4784" s="11" t="s">
        <v>6</v>
      </c>
      <c r="E4784" s="204" t="s">
        <v>166</v>
      </c>
      <c r="F4784" s="934" t="s">
        <v>2693</v>
      </c>
      <c r="G4784" s="204" t="s">
        <v>15154</v>
      </c>
      <c r="H4784" s="204" t="s">
        <v>15155</v>
      </c>
      <c r="I4784" s="204" t="s">
        <v>1022</v>
      </c>
      <c r="J4784" s="204"/>
      <c r="K4784" s="450" t="s">
        <v>15156</v>
      </c>
      <c r="L4784" s="204"/>
      <c r="M4784" s="204">
        <v>2</v>
      </c>
      <c r="N4784" s="204">
        <v>1</v>
      </c>
      <c r="O4784" s="204">
        <v>2</v>
      </c>
      <c r="P4784" s="204">
        <v>0</v>
      </c>
      <c r="Q4784" s="572">
        <v>1</v>
      </c>
      <c r="R4784" s="1209">
        <v>1290</v>
      </c>
      <c r="S4784" s="1209">
        <v>2580</v>
      </c>
      <c r="T4784" s="204" t="s">
        <v>311</v>
      </c>
      <c r="U4784" s="1901" t="s">
        <v>311</v>
      </c>
      <c r="V4784" s="572" t="s">
        <v>931</v>
      </c>
      <c r="W4784" s="1184" t="s">
        <v>15157</v>
      </c>
      <c r="X4784" s="18"/>
      <c r="Y4784" s="4"/>
      <c r="Z4784" s="4"/>
    </row>
    <row r="4785" spans="1:26" ht="14.1" hidden="1">
      <c r="A4785" s="20">
        <v>4794</v>
      </c>
      <c r="B4785" s="937">
        <v>44513</v>
      </c>
      <c r="C4785" s="934" t="s">
        <v>16213</v>
      </c>
      <c r="D4785" s="8" t="s">
        <v>6</v>
      </c>
      <c r="E4785" s="204" t="s">
        <v>4951</v>
      </c>
      <c r="F4785" s="934" t="s">
        <v>10651</v>
      </c>
      <c r="G4785" s="204" t="s">
        <v>16214</v>
      </c>
      <c r="H4785" s="204"/>
      <c r="I4785" s="204" t="s">
        <v>429</v>
      </c>
      <c r="J4785" s="204"/>
      <c r="K4785" s="204" t="s">
        <v>2612</v>
      </c>
      <c r="L4785" s="204"/>
      <c r="M4785" s="204">
        <v>30</v>
      </c>
      <c r="N4785" s="204">
        <v>10</v>
      </c>
      <c r="O4785" s="204">
        <v>30</v>
      </c>
      <c r="P4785" s="204">
        <v>0</v>
      </c>
      <c r="Q4785" s="572">
        <v>0</v>
      </c>
      <c r="R4785" s="1209">
        <v>573</v>
      </c>
      <c r="S4785" s="1209">
        <v>1719</v>
      </c>
      <c r="T4785" s="204" t="s">
        <v>311</v>
      </c>
      <c r="U4785" s="1" t="s">
        <v>311</v>
      </c>
      <c r="V4785" s="572" t="s">
        <v>16215</v>
      </c>
      <c r="W4785" s="681" t="s">
        <v>16216</v>
      </c>
      <c r="X4785" s="18"/>
      <c r="Y4785" s="4"/>
      <c r="Z4785" s="4"/>
    </row>
    <row r="4786" spans="1:26" ht="14.1" hidden="1">
      <c r="A4786" s="20">
        <v>4795</v>
      </c>
      <c r="B4786" s="937">
        <v>44513</v>
      </c>
      <c r="C4786" s="934" t="s">
        <v>16217</v>
      </c>
      <c r="D4786" s="8" t="s">
        <v>6</v>
      </c>
      <c r="E4786" s="204" t="s">
        <v>4951</v>
      </c>
      <c r="F4786" s="934" t="s">
        <v>10651</v>
      </c>
      <c r="G4786" s="204" t="s">
        <v>16218</v>
      </c>
      <c r="H4786" s="204"/>
      <c r="I4786" s="204" t="s">
        <v>429</v>
      </c>
      <c r="J4786" s="204"/>
      <c r="K4786" s="204" t="s">
        <v>5537</v>
      </c>
      <c r="L4786" s="204"/>
      <c r="M4786" s="204">
        <v>6</v>
      </c>
      <c r="N4786" s="204">
        <v>1</v>
      </c>
      <c r="O4786" s="204">
        <v>6</v>
      </c>
      <c r="P4786" s="204">
        <v>0</v>
      </c>
      <c r="Q4786" s="572">
        <v>0</v>
      </c>
      <c r="R4786" s="1209">
        <v>286</v>
      </c>
      <c r="S4786" s="1209">
        <v>1716</v>
      </c>
      <c r="T4786" s="204" t="s">
        <v>311</v>
      </c>
      <c r="U4786" s="1" t="s">
        <v>311</v>
      </c>
      <c r="V4786" s="572" t="s">
        <v>16215</v>
      </c>
      <c r="W4786" s="681" t="s">
        <v>16219</v>
      </c>
      <c r="X4786" s="18"/>
      <c r="Y4786" s="4"/>
      <c r="Z4786" s="4"/>
    </row>
    <row r="4787" spans="1:26" ht="14.1" hidden="1">
      <c r="A4787" s="20">
        <v>4796</v>
      </c>
      <c r="B4787" s="937">
        <v>44513</v>
      </c>
      <c r="C4787" s="934" t="s">
        <v>16220</v>
      </c>
      <c r="D4787" s="8" t="s">
        <v>6</v>
      </c>
      <c r="E4787" s="204" t="s">
        <v>4951</v>
      </c>
      <c r="F4787" s="934" t="s">
        <v>10651</v>
      </c>
      <c r="G4787" s="204" t="s">
        <v>16221</v>
      </c>
      <c r="H4787" s="204"/>
      <c r="I4787" s="204" t="s">
        <v>429</v>
      </c>
      <c r="J4787" s="204"/>
      <c r="K4787" s="204" t="s">
        <v>2600</v>
      </c>
      <c r="L4787" s="204"/>
      <c r="M4787" s="204">
        <v>4</v>
      </c>
      <c r="N4787" s="204">
        <v>10</v>
      </c>
      <c r="O4787" s="204">
        <v>10</v>
      </c>
      <c r="P4787" s="204">
        <v>0</v>
      </c>
      <c r="Q4787" s="572">
        <v>6</v>
      </c>
      <c r="R4787" s="1209">
        <v>701</v>
      </c>
      <c r="S4787" s="1209">
        <v>701</v>
      </c>
      <c r="T4787" s="204" t="s">
        <v>311</v>
      </c>
      <c r="U4787" s="1" t="s">
        <v>311</v>
      </c>
      <c r="V4787" s="572" t="s">
        <v>16215</v>
      </c>
      <c r="W4787" s="681" t="s">
        <v>16222</v>
      </c>
      <c r="X4787" s="18"/>
      <c r="Y4787" s="4"/>
      <c r="Z4787" s="4"/>
    </row>
    <row r="4788" spans="1:26" ht="14.1" hidden="1">
      <c r="A4788" s="20">
        <v>4797</v>
      </c>
      <c r="B4788" s="937">
        <v>44513</v>
      </c>
      <c r="C4788" s="934" t="s">
        <v>16223</v>
      </c>
      <c r="D4788" s="8" t="s">
        <v>6</v>
      </c>
      <c r="E4788" s="204" t="s">
        <v>4951</v>
      </c>
      <c r="F4788" s="934" t="s">
        <v>10651</v>
      </c>
      <c r="G4788" s="204" t="s">
        <v>16224</v>
      </c>
      <c r="H4788" s="204"/>
      <c r="I4788" s="204" t="s">
        <v>429</v>
      </c>
      <c r="J4788" s="204"/>
      <c r="K4788" s="204" t="s">
        <v>16225</v>
      </c>
      <c r="L4788" s="204"/>
      <c r="M4788" s="204">
        <v>6</v>
      </c>
      <c r="N4788" s="204">
        <v>1</v>
      </c>
      <c r="O4788" s="204">
        <v>6</v>
      </c>
      <c r="P4788" s="204">
        <v>0</v>
      </c>
      <c r="Q4788" s="572">
        <v>0</v>
      </c>
      <c r="R4788" s="1209">
        <v>53</v>
      </c>
      <c r="S4788" s="1209">
        <v>528</v>
      </c>
      <c r="T4788" s="204" t="s">
        <v>311</v>
      </c>
      <c r="U4788" s="1" t="s">
        <v>311</v>
      </c>
      <c r="V4788" s="572" t="s">
        <v>16215</v>
      </c>
      <c r="W4788" s="681" t="s">
        <v>16226</v>
      </c>
      <c r="X4788" s="18"/>
      <c r="Y4788" s="4"/>
      <c r="Z4788" s="4"/>
    </row>
    <row r="4789" spans="1:26" ht="14.1" hidden="1">
      <c r="A4789" s="20">
        <v>4798</v>
      </c>
      <c r="B4789" s="937">
        <v>44513</v>
      </c>
      <c r="C4789" s="934" t="s">
        <v>16227</v>
      </c>
      <c r="D4789" s="8" t="s">
        <v>6</v>
      </c>
      <c r="E4789" s="204" t="s">
        <v>4951</v>
      </c>
      <c r="F4789" s="934" t="s">
        <v>10651</v>
      </c>
      <c r="G4789" s="204" t="s">
        <v>16228</v>
      </c>
      <c r="H4789" s="204"/>
      <c r="I4789" s="204" t="s">
        <v>429</v>
      </c>
      <c r="J4789" s="204"/>
      <c r="K4789" s="204" t="s">
        <v>16229</v>
      </c>
      <c r="L4789" s="204"/>
      <c r="M4789" s="204">
        <v>6</v>
      </c>
      <c r="N4789" s="204">
        <v>1</v>
      </c>
      <c r="O4789" s="204">
        <v>6</v>
      </c>
      <c r="P4789" s="204">
        <v>0</v>
      </c>
      <c r="Q4789" s="572">
        <v>0</v>
      </c>
      <c r="R4789" s="1209">
        <v>76</v>
      </c>
      <c r="S4789" s="1209">
        <v>502</v>
      </c>
      <c r="T4789" s="204" t="s">
        <v>311</v>
      </c>
      <c r="U4789" s="1" t="s">
        <v>311</v>
      </c>
      <c r="V4789" s="572" t="s">
        <v>16215</v>
      </c>
      <c r="W4789" s="681" t="s">
        <v>16230</v>
      </c>
      <c r="X4789" s="18"/>
      <c r="Y4789" s="4"/>
      <c r="Z4789" s="4"/>
    </row>
    <row r="4790" spans="1:26" ht="14.1" hidden="1">
      <c r="A4790" s="20">
        <v>4799</v>
      </c>
      <c r="B4790" s="1063">
        <v>44515</v>
      </c>
      <c r="C4790" s="934" t="s">
        <v>16231</v>
      </c>
      <c r="D4790" s="1445" t="s">
        <v>6</v>
      </c>
      <c r="E4790" s="204" t="s">
        <v>12613</v>
      </c>
      <c r="F4790" s="934" t="s">
        <v>16232</v>
      </c>
      <c r="G4790" s="204" t="s">
        <v>16233</v>
      </c>
      <c r="H4790" s="204" t="s">
        <v>1002</v>
      </c>
      <c r="I4790" s="204" t="s">
        <v>1002</v>
      </c>
      <c r="J4790" s="204"/>
      <c r="K4790" s="204"/>
      <c r="L4790" s="204"/>
      <c r="M4790" s="204">
        <v>4</v>
      </c>
      <c r="N4790" s="204">
        <v>1</v>
      </c>
      <c r="O4790" s="204">
        <v>4</v>
      </c>
      <c r="P4790" s="204">
        <v>0</v>
      </c>
      <c r="Q4790" s="572">
        <v>0</v>
      </c>
      <c r="R4790" s="1209">
        <v>29439.25</v>
      </c>
      <c r="S4790" s="1209">
        <v>139134</v>
      </c>
      <c r="T4790" s="204" t="s">
        <v>12425</v>
      </c>
      <c r="U4790" s="1901" t="s">
        <v>1886</v>
      </c>
      <c r="V4790" s="572" t="s">
        <v>3140</v>
      </c>
      <c r="W4790" s="681"/>
      <c r="X4790" s="18"/>
      <c r="Y4790" s="4"/>
      <c r="Z4790" s="4"/>
    </row>
    <row r="4791" spans="1:26" ht="14.1" hidden="1">
      <c r="A4791" s="20">
        <v>4800</v>
      </c>
      <c r="B4791" s="1063">
        <v>44515</v>
      </c>
      <c r="C4791" s="934" t="s">
        <v>16234</v>
      </c>
      <c r="D4791" s="1445" t="s">
        <v>6</v>
      </c>
      <c r="E4791" s="204" t="s">
        <v>166</v>
      </c>
      <c r="F4791" s="934" t="s">
        <v>14023</v>
      </c>
      <c r="G4791" s="204" t="s">
        <v>16235</v>
      </c>
      <c r="H4791" s="204" t="s">
        <v>1002</v>
      </c>
      <c r="I4791" s="204" t="s">
        <v>1002</v>
      </c>
      <c r="J4791" s="204"/>
      <c r="K4791" s="204"/>
      <c r="L4791" s="204"/>
      <c r="M4791" s="204">
        <v>4</v>
      </c>
      <c r="N4791" s="204">
        <v>1</v>
      </c>
      <c r="O4791" s="204">
        <v>4</v>
      </c>
      <c r="P4791" s="204">
        <v>0</v>
      </c>
      <c r="Q4791" s="572">
        <v>0</v>
      </c>
      <c r="R4791" s="1209">
        <v>27528</v>
      </c>
      <c r="S4791" s="1209">
        <v>110112</v>
      </c>
      <c r="T4791" s="204" t="s">
        <v>12425</v>
      </c>
      <c r="U4791" s="1901" t="s">
        <v>16236</v>
      </c>
      <c r="V4791" s="572" t="s">
        <v>3140</v>
      </c>
      <c r="W4791" s="681"/>
      <c r="X4791" s="18"/>
      <c r="Y4791" s="4"/>
      <c r="Z4791" s="4"/>
    </row>
    <row r="4792" spans="1:26" ht="14.1" hidden="1">
      <c r="A4792" s="20">
        <v>4801</v>
      </c>
      <c r="B4792" s="1063">
        <v>44515</v>
      </c>
      <c r="C4792" s="934" t="s">
        <v>16237</v>
      </c>
      <c r="D4792" s="1445" t="s">
        <v>6</v>
      </c>
      <c r="E4792" s="204" t="s">
        <v>166</v>
      </c>
      <c r="F4792" s="934" t="s">
        <v>14023</v>
      </c>
      <c r="G4792" s="204" t="s">
        <v>16238</v>
      </c>
      <c r="H4792" s="204" t="s">
        <v>1002</v>
      </c>
      <c r="I4792" s="204" t="s">
        <v>1002</v>
      </c>
      <c r="J4792" s="204"/>
      <c r="K4792" s="204"/>
      <c r="L4792" s="204"/>
      <c r="M4792" s="204">
        <v>4</v>
      </c>
      <c r="N4792" s="204">
        <v>1</v>
      </c>
      <c r="O4792" s="204">
        <v>4</v>
      </c>
      <c r="P4792" s="204">
        <v>0</v>
      </c>
      <c r="Q4792" s="572">
        <v>0</v>
      </c>
      <c r="R4792" s="1209" t="s">
        <v>16239</v>
      </c>
      <c r="S4792" s="1209">
        <v>102174</v>
      </c>
      <c r="T4792" s="204" t="s">
        <v>12425</v>
      </c>
      <c r="U4792" s="1901" t="s">
        <v>5794</v>
      </c>
      <c r="V4792" s="572" t="s">
        <v>3140</v>
      </c>
      <c r="W4792" s="681"/>
      <c r="X4792" s="18"/>
      <c r="Y4792" s="4"/>
      <c r="Z4792" s="4"/>
    </row>
    <row r="4793" spans="1:26" ht="14.1" hidden="1">
      <c r="A4793" s="20">
        <v>4802</v>
      </c>
      <c r="B4793" s="1063">
        <v>44515</v>
      </c>
      <c r="C4793" s="934" t="s">
        <v>16240</v>
      </c>
      <c r="D4793" s="8" t="s">
        <v>6</v>
      </c>
      <c r="E4793" s="204" t="s">
        <v>166</v>
      </c>
      <c r="F4793" s="934" t="s">
        <v>14023</v>
      </c>
      <c r="G4793" s="204" t="s">
        <v>16241</v>
      </c>
      <c r="H4793" s="204" t="s">
        <v>1002</v>
      </c>
      <c r="I4793" s="204" t="s">
        <v>1002</v>
      </c>
      <c r="J4793" s="204"/>
      <c r="K4793" s="204"/>
      <c r="L4793" s="204"/>
      <c r="M4793" s="204">
        <v>4</v>
      </c>
      <c r="N4793" s="204">
        <v>1</v>
      </c>
      <c r="O4793" s="204">
        <v>4</v>
      </c>
      <c r="P4793" s="204">
        <v>0</v>
      </c>
      <c r="Q4793" s="572">
        <v>0</v>
      </c>
      <c r="R4793" s="1209">
        <v>8268</v>
      </c>
      <c r="S4793" s="1209">
        <v>33072</v>
      </c>
      <c r="T4793" s="204" t="s">
        <v>12425</v>
      </c>
      <c r="U4793" s="1901" t="s">
        <v>16242</v>
      </c>
      <c r="V4793" s="572" t="s">
        <v>3140</v>
      </c>
      <c r="W4793" s="681"/>
      <c r="X4793" s="18"/>
      <c r="Y4793" s="4"/>
      <c r="Z4793" s="4"/>
    </row>
    <row r="4794" spans="1:26" ht="14.1" hidden="1">
      <c r="A4794" s="20">
        <v>4803</v>
      </c>
      <c r="B4794" s="937">
        <v>44515</v>
      </c>
      <c r="C4794" s="934" t="s">
        <v>16243</v>
      </c>
      <c r="D4794" s="8" t="s">
        <v>6</v>
      </c>
      <c r="E4794" s="204" t="s">
        <v>4951</v>
      </c>
      <c r="F4794" s="934" t="s">
        <v>10651</v>
      </c>
      <c r="G4794" s="204" t="s">
        <v>16244</v>
      </c>
      <c r="I4794" s="204" t="s">
        <v>84</v>
      </c>
      <c r="J4794" s="204"/>
      <c r="K4794" s="851">
        <v>37597025</v>
      </c>
      <c r="L4794" s="204"/>
      <c r="M4794" s="204">
        <v>1</v>
      </c>
      <c r="N4794" s="204">
        <v>1</v>
      </c>
      <c r="O4794" s="204">
        <v>1</v>
      </c>
      <c r="P4794" s="204">
        <v>0</v>
      </c>
      <c r="Q4794" s="572">
        <v>0</v>
      </c>
      <c r="R4794" s="1209">
        <v>1418</v>
      </c>
      <c r="S4794" s="1209">
        <v>1418</v>
      </c>
      <c r="T4794" s="204" t="s">
        <v>1543</v>
      </c>
      <c r="U4794" s="1901" t="s">
        <v>311</v>
      </c>
      <c r="V4794" s="572" t="s">
        <v>3140</v>
      </c>
      <c r="W4794" s="1184" t="s">
        <v>16245</v>
      </c>
      <c r="X4794" s="18"/>
      <c r="Y4794" s="4"/>
      <c r="Z4794" s="4"/>
    </row>
    <row r="4795" spans="1:26" ht="14.1" hidden="1">
      <c r="A4795" s="20">
        <v>4804</v>
      </c>
      <c r="B4795" s="937">
        <v>44515</v>
      </c>
      <c r="C4795" s="934" t="s">
        <v>15684</v>
      </c>
      <c r="D4795" s="11" t="s">
        <v>6</v>
      </c>
      <c r="E4795" s="204" t="s">
        <v>166</v>
      </c>
      <c r="F4795" s="934" t="s">
        <v>1989</v>
      </c>
      <c r="G4795" s="204" t="s">
        <v>16246</v>
      </c>
      <c r="H4795" s="204" t="s">
        <v>184</v>
      </c>
      <c r="I4795" s="204" t="s">
        <v>39</v>
      </c>
      <c r="J4795" s="204" t="s">
        <v>15685</v>
      </c>
      <c r="K4795" s="204" t="s">
        <v>15684</v>
      </c>
      <c r="L4795" s="204" t="s">
        <v>1088</v>
      </c>
      <c r="M4795" s="20">
        <v>10</v>
      </c>
      <c r="N4795" s="204">
        <v>25</v>
      </c>
      <c r="O4795" s="204">
        <v>25</v>
      </c>
      <c r="P4795" s="204">
        <v>0</v>
      </c>
      <c r="Q4795" s="572">
        <f t="shared" ref="Q4795" si="273">(O4795+P4795)-M4795</f>
        <v>15</v>
      </c>
      <c r="R4795" s="1209">
        <v>38.72</v>
      </c>
      <c r="S4795" s="1209">
        <f t="shared" ref="S4795" si="274">O4795*R4795</f>
        <v>968</v>
      </c>
      <c r="T4795" s="204" t="s">
        <v>14752</v>
      </c>
      <c r="U4795" s="1901" t="s">
        <v>3637</v>
      </c>
      <c r="V4795" s="572" t="s">
        <v>16247</v>
      </c>
      <c r="W4795" s="1184" t="s">
        <v>15686</v>
      </c>
      <c r="X4795" s="18"/>
      <c r="Y4795" s="4"/>
      <c r="Z4795" s="4"/>
    </row>
    <row r="4796" spans="1:26" ht="14.1" hidden="1">
      <c r="A4796" s="20">
        <v>4805</v>
      </c>
      <c r="B4796" s="937">
        <v>44515</v>
      </c>
      <c r="C4796" s="934" t="s">
        <v>15684</v>
      </c>
      <c r="D4796" s="11" t="s">
        <v>6</v>
      </c>
      <c r="E4796" s="204" t="s">
        <v>166</v>
      </c>
      <c r="F4796" s="934" t="s">
        <v>2876</v>
      </c>
      <c r="G4796" s="204" t="s">
        <v>16246</v>
      </c>
      <c r="H4796" s="204" t="s">
        <v>184</v>
      </c>
      <c r="I4796" s="204" t="s">
        <v>39</v>
      </c>
      <c r="J4796" s="204" t="s">
        <v>15685</v>
      </c>
      <c r="K4796" s="204" t="s">
        <v>15684</v>
      </c>
      <c r="L4796" s="204" t="s">
        <v>1088</v>
      </c>
      <c r="M4796" s="20">
        <v>10</v>
      </c>
      <c r="N4796" s="204">
        <v>25</v>
      </c>
      <c r="O4796" s="204">
        <v>25</v>
      </c>
      <c r="P4796" s="204">
        <v>0</v>
      </c>
      <c r="Q4796" s="572">
        <f t="shared" ref="Q4796:Q4797" si="275">(O4796+P4796)-M4796</f>
        <v>15</v>
      </c>
      <c r="R4796" s="1209">
        <v>38.72</v>
      </c>
      <c r="S4796" s="1209">
        <f t="shared" ref="S4796:S4797" si="276">O4796*R4796</f>
        <v>968</v>
      </c>
      <c r="T4796" s="204" t="s">
        <v>12330</v>
      </c>
      <c r="U4796" s="1901" t="s">
        <v>3637</v>
      </c>
      <c r="V4796" s="572" t="s">
        <v>16247</v>
      </c>
      <c r="W4796" s="1184" t="s">
        <v>15686</v>
      </c>
      <c r="X4796" s="18"/>
      <c r="Y4796" s="4"/>
      <c r="Z4796" s="4"/>
    </row>
    <row r="4797" spans="1:26" ht="14.1" hidden="1">
      <c r="A4797" s="20">
        <v>4806</v>
      </c>
      <c r="B4797" s="937">
        <v>44515</v>
      </c>
      <c r="C4797" s="934" t="s">
        <v>15945</v>
      </c>
      <c r="D4797" s="11" t="s">
        <v>6</v>
      </c>
      <c r="E4797" s="204" t="s">
        <v>166</v>
      </c>
      <c r="F4797" s="934" t="s">
        <v>2876</v>
      </c>
      <c r="G4797" s="204" t="s">
        <v>16248</v>
      </c>
      <c r="H4797" s="204" t="s">
        <v>16249</v>
      </c>
      <c r="I4797" s="204" t="s">
        <v>4634</v>
      </c>
      <c r="J4797" s="204" t="s">
        <v>16250</v>
      </c>
      <c r="K4797" s="204" t="s">
        <v>16251</v>
      </c>
      <c r="L4797" s="204" t="s">
        <v>16252</v>
      </c>
      <c r="M4797" s="204">
        <v>3</v>
      </c>
      <c r="N4797" s="204">
        <v>10</v>
      </c>
      <c r="O4797" s="204">
        <v>20</v>
      </c>
      <c r="P4797" s="204">
        <v>0</v>
      </c>
      <c r="Q4797" s="572">
        <f t="shared" si="275"/>
        <v>17</v>
      </c>
      <c r="R4797" s="1209">
        <v>133.30000000000001</v>
      </c>
      <c r="S4797" s="1209">
        <f t="shared" si="276"/>
        <v>2666</v>
      </c>
      <c r="T4797" s="204" t="s">
        <v>12330</v>
      </c>
      <c r="U4797" s="1901" t="s">
        <v>3637</v>
      </c>
      <c r="V4797" s="572" t="s">
        <v>16247</v>
      </c>
      <c r="W4797" s="1184" t="s">
        <v>16253</v>
      </c>
      <c r="X4797" s="18"/>
      <c r="Y4797" s="4"/>
      <c r="Z4797" s="4"/>
    </row>
    <row r="4798" spans="1:26" ht="14.1" hidden="1">
      <c r="A4798" s="20">
        <v>4807</v>
      </c>
      <c r="B4798" s="937">
        <v>44516</v>
      </c>
      <c r="C4798" s="934" t="s">
        <v>16254</v>
      </c>
      <c r="D4798" s="10"/>
      <c r="E4798" s="204" t="s">
        <v>14758</v>
      </c>
      <c r="F4798" s="934" t="s">
        <v>13447</v>
      </c>
      <c r="G4798" s="204" t="s">
        <v>16255</v>
      </c>
      <c r="H4798" s="204" t="s">
        <v>6194</v>
      </c>
      <c r="I4798" s="204" t="s">
        <v>1597</v>
      </c>
      <c r="J4798" s="204"/>
      <c r="K4798" s="204"/>
      <c r="L4798" s="204"/>
      <c r="M4798" s="204">
        <v>4</v>
      </c>
      <c r="N4798" s="204">
        <v>1</v>
      </c>
      <c r="O4798" s="204">
        <v>4</v>
      </c>
      <c r="P4798" s="204">
        <v>0</v>
      </c>
      <c r="Q4798" s="572">
        <v>4</v>
      </c>
      <c r="R4798" s="1209">
        <v>110</v>
      </c>
      <c r="S4798" s="1209">
        <f>O4798*R4798</f>
        <v>440</v>
      </c>
      <c r="T4798" s="204" t="s">
        <v>1395</v>
      </c>
      <c r="U4798" s="1901" t="s">
        <v>1</v>
      </c>
      <c r="V4798" s="572" t="s">
        <v>11676</v>
      </c>
      <c r="W4798" s="1184" t="s">
        <v>16256</v>
      </c>
      <c r="X4798" s="18"/>
      <c r="Y4798" s="4"/>
      <c r="Z4798" s="4"/>
    </row>
    <row r="4799" spans="1:26" ht="14.1" hidden="1">
      <c r="A4799" s="20">
        <v>4808</v>
      </c>
      <c r="B4799" s="937">
        <v>44516</v>
      </c>
      <c r="C4799" s="934" t="s">
        <v>16257</v>
      </c>
      <c r="D4799" s="8" t="s">
        <v>6</v>
      </c>
      <c r="E4799" s="204" t="s">
        <v>16258</v>
      </c>
      <c r="F4799" s="934" t="s">
        <v>11441</v>
      </c>
      <c r="G4799" s="204" t="s">
        <v>16259</v>
      </c>
      <c r="H4799" s="204" t="s">
        <v>14957</v>
      </c>
      <c r="I4799" s="204" t="s">
        <v>14957</v>
      </c>
      <c r="J4799" s="204"/>
      <c r="K4799" s="204"/>
      <c r="L4799" s="204"/>
      <c r="M4799" s="204">
        <v>4</v>
      </c>
      <c r="N4799" s="204">
        <v>1</v>
      </c>
      <c r="O4799" s="204">
        <v>6</v>
      </c>
      <c r="P4799" s="204"/>
      <c r="Q4799" s="572"/>
      <c r="R4799" s="1209"/>
      <c r="S4799" s="1209">
        <v>169339</v>
      </c>
      <c r="T4799" s="204" t="s">
        <v>3961</v>
      </c>
      <c r="U4799" s="1901" t="s">
        <v>138</v>
      </c>
      <c r="V4799" s="572" t="s">
        <v>11783</v>
      </c>
      <c r="W4799" s="681"/>
      <c r="X4799" s="18"/>
      <c r="Y4799" s="4"/>
      <c r="Z4799" s="4"/>
    </row>
    <row r="4800" spans="1:26" ht="14.1" hidden="1">
      <c r="A4800" s="20">
        <v>4809</v>
      </c>
      <c r="B4800" s="937">
        <v>44516</v>
      </c>
      <c r="C4800" s="1037" t="s">
        <v>16062</v>
      </c>
      <c r="D4800" s="10"/>
      <c r="E4800" s="853" t="s">
        <v>14758</v>
      </c>
      <c r="F4800" s="934" t="s">
        <v>13447</v>
      </c>
      <c r="G4800" s="204" t="s">
        <v>16063</v>
      </c>
      <c r="H4800" s="204" t="s">
        <v>16064</v>
      </c>
      <c r="I4800" s="204" t="s">
        <v>14253</v>
      </c>
      <c r="J4800" s="1098">
        <v>1609523</v>
      </c>
      <c r="K4800" s="204" t="s">
        <v>16065</v>
      </c>
      <c r="L4800" s="204"/>
      <c r="M4800" s="204">
        <v>1</v>
      </c>
      <c r="N4800" s="204">
        <v>1</v>
      </c>
      <c r="O4800" s="204">
        <v>1</v>
      </c>
      <c r="P4800" s="204">
        <v>4</v>
      </c>
      <c r="Q4800" s="572">
        <v>5</v>
      </c>
      <c r="R4800" s="1209">
        <v>3824</v>
      </c>
      <c r="S4800" s="1209">
        <f>R4800*O4800</f>
        <v>3824</v>
      </c>
      <c r="T4800" s="204" t="s">
        <v>1395</v>
      </c>
      <c r="U4800" s="1901" t="s">
        <v>1</v>
      </c>
      <c r="V4800" s="572" t="s">
        <v>11676</v>
      </c>
      <c r="W4800" s="1815" t="s">
        <v>16067</v>
      </c>
      <c r="X4800" s="18"/>
      <c r="Y4800" s="4"/>
      <c r="Z4800" s="4"/>
    </row>
    <row r="4801" spans="1:26" ht="14.45" hidden="1">
      <c r="A4801" s="852">
        <v>4810</v>
      </c>
      <c r="B4801" s="854">
        <v>44516</v>
      </c>
      <c r="C4801" s="1038" t="s">
        <v>12500</v>
      </c>
      <c r="D4801" s="10"/>
      <c r="E4801" s="856" t="s">
        <v>166</v>
      </c>
      <c r="F4801" s="855" t="s">
        <v>16260</v>
      </c>
      <c r="G4801" s="862" t="s">
        <v>12505</v>
      </c>
      <c r="H4801" s="864" t="s">
        <v>366</v>
      </c>
      <c r="I4801" s="864" t="s">
        <v>366</v>
      </c>
      <c r="J4801" s="864" t="s">
        <v>367</v>
      </c>
      <c r="K4801" s="864" t="s">
        <v>367</v>
      </c>
      <c r="L4801" s="865" t="s">
        <v>12503</v>
      </c>
      <c r="M4801" s="855">
        <v>4</v>
      </c>
      <c r="N4801" s="204">
        <v>1</v>
      </c>
      <c r="O4801" s="204">
        <v>4</v>
      </c>
      <c r="P4801" s="204">
        <v>4</v>
      </c>
      <c r="Q4801" s="572">
        <v>8</v>
      </c>
      <c r="R4801" s="1358">
        <v>260</v>
      </c>
      <c r="S4801" s="1358">
        <f>R4801*O4801</f>
        <v>1040</v>
      </c>
      <c r="T4801" s="204" t="s">
        <v>14752</v>
      </c>
      <c r="U4801" s="866" t="s">
        <v>9101</v>
      </c>
      <c r="V4801" s="572" t="s">
        <v>7780</v>
      </c>
      <c r="W4801" s="2153" t="s">
        <v>15532</v>
      </c>
      <c r="X4801" s="18"/>
      <c r="Y4801" s="4"/>
      <c r="Z4801" s="4"/>
    </row>
    <row r="4802" spans="1:26" ht="14.1" hidden="1">
      <c r="A4802" s="20">
        <v>4811</v>
      </c>
      <c r="B4802" s="854">
        <v>44516</v>
      </c>
      <c r="C4802" s="54" t="s">
        <v>9370</v>
      </c>
      <c r="D4802" s="10"/>
      <c r="E4802" s="856" t="s">
        <v>166</v>
      </c>
      <c r="F4802" s="863" t="s">
        <v>16260</v>
      </c>
      <c r="G4802" s="863" t="s">
        <v>1005</v>
      </c>
      <c r="H4802" s="183" t="s">
        <v>366</v>
      </c>
      <c r="I4802" s="183" t="s">
        <v>366</v>
      </c>
      <c r="J4802" s="855" t="s">
        <v>4132</v>
      </c>
      <c r="K4802" s="855" t="s">
        <v>4132</v>
      </c>
      <c r="L4802" s="1426" t="s">
        <v>12503</v>
      </c>
      <c r="M4802" s="855">
        <v>4</v>
      </c>
      <c r="N4802" s="204">
        <v>1</v>
      </c>
      <c r="O4802" s="204">
        <v>4</v>
      </c>
      <c r="P4802" s="204">
        <v>0</v>
      </c>
      <c r="Q4802" s="572">
        <v>4</v>
      </c>
      <c r="R4802" s="1359">
        <v>76</v>
      </c>
      <c r="S4802" s="1359">
        <f>R4802*O4802</f>
        <v>304</v>
      </c>
      <c r="T4802" s="204" t="s">
        <v>14752</v>
      </c>
      <c r="U4802" s="866" t="s">
        <v>9101</v>
      </c>
      <c r="V4802" s="572" t="s">
        <v>7780</v>
      </c>
      <c r="W4802" s="1475" t="s">
        <v>16261</v>
      </c>
      <c r="X4802" s="18"/>
      <c r="Y4802" s="4"/>
      <c r="Z4802" s="4"/>
    </row>
    <row r="4803" spans="1:26" ht="14.1" hidden="1">
      <c r="A4803" s="20">
        <v>4812</v>
      </c>
      <c r="B4803" s="854">
        <v>44516</v>
      </c>
      <c r="C4803" s="857" t="s">
        <v>16262</v>
      </c>
      <c r="D4803" s="8" t="s">
        <v>6</v>
      </c>
      <c r="E4803" s="856" t="s">
        <v>166</v>
      </c>
      <c r="F4803" s="855" t="s">
        <v>16260</v>
      </c>
      <c r="G4803" s="855" t="s">
        <v>16263</v>
      </c>
      <c r="H4803" s="855" t="s">
        <v>4110</v>
      </c>
      <c r="I4803" s="866" t="s">
        <v>53</v>
      </c>
      <c r="J4803" s="1472" t="s">
        <v>10482</v>
      </c>
      <c r="K4803" s="1473" t="s">
        <v>16264</v>
      </c>
      <c r="L4803" s="613" t="s">
        <v>12503</v>
      </c>
      <c r="M4803" s="860">
        <v>1</v>
      </c>
      <c r="N4803" s="204">
        <v>1</v>
      </c>
      <c r="O4803" s="204">
        <v>1</v>
      </c>
      <c r="P4803" s="204">
        <v>0</v>
      </c>
      <c r="Q4803" s="572">
        <v>1</v>
      </c>
      <c r="R4803" s="1360">
        <v>4055</v>
      </c>
      <c r="S4803" s="1358">
        <f>R4803*O4803</f>
        <v>4055</v>
      </c>
      <c r="T4803" s="204" t="s">
        <v>14752</v>
      </c>
      <c r="U4803" s="866" t="s">
        <v>9101</v>
      </c>
      <c r="V4803" s="572" t="s">
        <v>7780</v>
      </c>
      <c r="W4803" s="2154" t="s">
        <v>10484</v>
      </c>
      <c r="X4803" s="18"/>
      <c r="Y4803" s="4"/>
      <c r="Z4803" s="4"/>
    </row>
    <row r="4804" spans="1:26" ht="14.1" hidden="1">
      <c r="A4804" s="20">
        <v>4813</v>
      </c>
      <c r="B4804" s="858">
        <v>44516</v>
      </c>
      <c r="C4804" s="859" t="s">
        <v>16265</v>
      </c>
      <c r="D4804" s="10"/>
      <c r="E4804" s="856" t="s">
        <v>166</v>
      </c>
      <c r="F4804" s="863" t="s">
        <v>16260</v>
      </c>
      <c r="G4804" s="863" t="s">
        <v>16266</v>
      </c>
      <c r="H4804" s="863" t="s">
        <v>3750</v>
      </c>
      <c r="I4804" s="863" t="s">
        <v>322</v>
      </c>
      <c r="J4804" s="867">
        <v>34665565</v>
      </c>
      <c r="K4804" s="1474" t="s">
        <v>6244</v>
      </c>
      <c r="L4804" s="613" t="s">
        <v>12503</v>
      </c>
      <c r="M4804" s="861">
        <v>1</v>
      </c>
      <c r="N4804" s="204">
        <v>1</v>
      </c>
      <c r="O4804" s="204">
        <v>1</v>
      </c>
      <c r="P4804" s="204">
        <v>1</v>
      </c>
      <c r="Q4804" s="572">
        <v>2</v>
      </c>
      <c r="R4804" s="1359">
        <v>699</v>
      </c>
      <c r="S4804" s="1361">
        <f>O4804*R4804</f>
        <v>699</v>
      </c>
      <c r="T4804" s="204" t="s">
        <v>14752</v>
      </c>
      <c r="U4804" s="866" t="s">
        <v>9101</v>
      </c>
      <c r="V4804" s="572" t="s">
        <v>7780</v>
      </c>
      <c r="W4804" s="1475" t="s">
        <v>16267</v>
      </c>
      <c r="X4804" s="18"/>
      <c r="Y4804" s="4"/>
      <c r="Z4804" s="4"/>
    </row>
    <row r="4805" spans="1:26" ht="14.1" hidden="1">
      <c r="A4805" s="20">
        <v>4814</v>
      </c>
      <c r="B4805" s="937">
        <v>44517</v>
      </c>
      <c r="C4805" s="934" t="s">
        <v>16268</v>
      </c>
      <c r="D4805" s="11"/>
      <c r="E4805" s="856" t="s">
        <v>166</v>
      </c>
      <c r="F4805" s="934" t="s">
        <v>2876</v>
      </c>
      <c r="G4805" s="204" t="s">
        <v>16269</v>
      </c>
      <c r="H4805" s="204" t="s">
        <v>287</v>
      </c>
      <c r="I4805" s="204" t="s">
        <v>287</v>
      </c>
      <c r="J4805" s="458">
        <v>21111600538</v>
      </c>
      <c r="K4805">
        <v>21111600538</v>
      </c>
      <c r="L4805" s="204"/>
      <c r="M4805" s="204">
        <v>1</v>
      </c>
      <c r="N4805" s="204">
        <v>1</v>
      </c>
      <c r="O4805" s="204">
        <v>2</v>
      </c>
      <c r="P4805" s="204">
        <v>0</v>
      </c>
      <c r="Q4805" s="572">
        <v>2</v>
      </c>
      <c r="R4805" s="1209"/>
      <c r="S4805" s="1209">
        <v>174621</v>
      </c>
      <c r="T4805" s="204" t="s">
        <v>12425</v>
      </c>
      <c r="U4805" s="1901" t="s">
        <v>3637</v>
      </c>
      <c r="V4805" s="572" t="s">
        <v>11337</v>
      </c>
      <c r="W4805" s="1184" t="s">
        <v>401</v>
      </c>
      <c r="X4805" s="18"/>
      <c r="Y4805" s="4"/>
      <c r="Z4805" s="4"/>
    </row>
    <row r="4806" spans="1:26" ht="14.1" hidden="1">
      <c r="A4806" s="20">
        <v>4815</v>
      </c>
      <c r="B4806" s="937">
        <v>44517</v>
      </c>
      <c r="C4806" s="872" t="s">
        <v>13037</v>
      </c>
      <c r="D4806" s="11" t="s">
        <v>6</v>
      </c>
      <c r="E4806" s="869" t="s">
        <v>16270</v>
      </c>
      <c r="F4806" s="1039" t="s">
        <v>10005</v>
      </c>
      <c r="G4806" s="869" t="s">
        <v>13038</v>
      </c>
      <c r="H4806" s="873" t="s">
        <v>13039</v>
      </c>
      <c r="I4806" s="873" t="s">
        <v>84</v>
      </c>
      <c r="J4806" s="869">
        <v>86989865</v>
      </c>
      <c r="K4806" s="869" t="s">
        <v>13040</v>
      </c>
      <c r="L4806" s="869" t="s">
        <v>149</v>
      </c>
      <c r="M4806" s="869">
        <v>1</v>
      </c>
      <c r="N4806" s="871">
        <v>1</v>
      </c>
      <c r="O4806" s="871">
        <v>2</v>
      </c>
      <c r="P4806" s="871">
        <v>0</v>
      </c>
      <c r="Q4806" s="871">
        <v>1</v>
      </c>
      <c r="R4806" s="1362" t="s">
        <v>16271</v>
      </c>
      <c r="S4806" s="1363" t="s">
        <v>16272</v>
      </c>
      <c r="T4806" s="871" t="s">
        <v>4220</v>
      </c>
      <c r="U4806" s="1953" t="s">
        <v>4220</v>
      </c>
      <c r="V4806" s="924" t="s">
        <v>689</v>
      </c>
      <c r="W4806" s="868" t="s">
        <v>13041</v>
      </c>
      <c r="X4806" s="18"/>
      <c r="Y4806" s="4"/>
      <c r="Z4806" s="4"/>
    </row>
    <row r="4807" spans="1:26" ht="14.1" hidden="1">
      <c r="A4807" s="200">
        <v>4816</v>
      </c>
      <c r="B4807" s="938">
        <v>44517</v>
      </c>
      <c r="C4807" s="1174" t="s">
        <v>16273</v>
      </c>
      <c r="D4807" s="417"/>
      <c r="E4807" s="1175" t="s">
        <v>683</v>
      </c>
      <c r="F4807" s="1176" t="s">
        <v>10005</v>
      </c>
      <c r="G4807" s="1177" t="s">
        <v>16274</v>
      </c>
      <c r="H4807" s="1176" t="s">
        <v>1928</v>
      </c>
      <c r="I4807" s="1176" t="s">
        <v>805</v>
      </c>
      <c r="J4807" s="1176" t="s">
        <v>16275</v>
      </c>
      <c r="K4807" s="1177" t="s">
        <v>16275</v>
      </c>
      <c r="L4807" s="1177" t="s">
        <v>149</v>
      </c>
      <c r="M4807" s="1177">
        <v>2</v>
      </c>
      <c r="N4807" s="1177">
        <v>1</v>
      </c>
      <c r="O4807" s="1177">
        <v>3</v>
      </c>
      <c r="P4807" s="1177">
        <v>1</v>
      </c>
      <c r="Q4807" s="1177">
        <v>2</v>
      </c>
      <c r="R4807" s="1364" t="s">
        <v>16276</v>
      </c>
      <c r="S4807" s="1365" t="s">
        <v>16277</v>
      </c>
      <c r="T4807" s="1177" t="s">
        <v>4220</v>
      </c>
      <c r="U4807" s="1954" t="s">
        <v>4220</v>
      </c>
      <c r="V4807" s="1043" t="s">
        <v>689</v>
      </c>
      <c r="W4807" s="1178" t="s">
        <v>16278</v>
      </c>
      <c r="X4807" s="18"/>
      <c r="Y4807" s="4"/>
      <c r="Z4807" s="4"/>
    </row>
    <row r="4808" spans="1:26" ht="23.1" hidden="1">
      <c r="A4808" s="20">
        <v>4817</v>
      </c>
      <c r="B4808" s="1068">
        <v>44518</v>
      </c>
      <c r="C4808" s="1476" t="s">
        <v>16279</v>
      </c>
      <c r="D4808" s="11"/>
      <c r="E4808" s="856" t="s">
        <v>166</v>
      </c>
      <c r="F4808" s="934" t="s">
        <v>2876</v>
      </c>
      <c r="G4808" s="1477" t="s">
        <v>16280</v>
      </c>
      <c r="H4808" s="204" t="s">
        <v>16281</v>
      </c>
      <c r="I4808" s="204" t="s">
        <v>574</v>
      </c>
      <c r="J4808" s="1469" t="s">
        <v>16282</v>
      </c>
      <c r="K4808" s="1478" t="s">
        <v>16138</v>
      </c>
      <c r="L4808" s="204" t="s">
        <v>16283</v>
      </c>
      <c r="M4808" s="204">
        <v>4</v>
      </c>
      <c r="N4808" s="204">
        <v>1</v>
      </c>
      <c r="O4808" s="204">
        <v>10</v>
      </c>
      <c r="P4808" s="204">
        <v>0</v>
      </c>
      <c r="Q4808" s="572">
        <v>10</v>
      </c>
      <c r="R4808" s="1209">
        <v>257</v>
      </c>
      <c r="S4808" s="1209">
        <f>O4808*R4808</f>
        <v>2570</v>
      </c>
      <c r="T4808" s="204" t="s">
        <v>16284</v>
      </c>
      <c r="U4808" s="1901" t="s">
        <v>12330</v>
      </c>
      <c r="V4808" s="572" t="s">
        <v>16285</v>
      </c>
      <c r="W4808" s="2155" t="s">
        <v>16286</v>
      </c>
      <c r="X4808" s="617"/>
      <c r="Y4808" s="4"/>
      <c r="Z4808" s="4"/>
    </row>
    <row r="4809" spans="1:26" ht="14.1" hidden="1">
      <c r="A4809" s="20">
        <v>4818</v>
      </c>
      <c r="B4809" s="1068">
        <v>44518</v>
      </c>
      <c r="C4809" s="1474" t="s">
        <v>9248</v>
      </c>
      <c r="D4809" s="11"/>
      <c r="E4809" s="856" t="s">
        <v>166</v>
      </c>
      <c r="F4809" s="934" t="s">
        <v>2876</v>
      </c>
      <c r="G4809" s="543" t="s">
        <v>16287</v>
      </c>
      <c r="H4809" s="204" t="s">
        <v>16281</v>
      </c>
      <c r="I4809" s="204" t="s">
        <v>16288</v>
      </c>
      <c r="J4809" s="613" t="s">
        <v>16289</v>
      </c>
      <c r="K4809" s="543" t="s">
        <v>16290</v>
      </c>
      <c r="L4809" s="204" t="s">
        <v>4179</v>
      </c>
      <c r="M4809" s="204">
        <v>4</v>
      </c>
      <c r="N4809" s="204">
        <v>1</v>
      </c>
      <c r="O4809" s="204">
        <v>10</v>
      </c>
      <c r="P4809" s="204">
        <v>0</v>
      </c>
      <c r="Q4809" s="572">
        <v>10</v>
      </c>
      <c r="R4809" s="1209">
        <v>36.299999999999997</v>
      </c>
      <c r="S4809" s="1209">
        <f>O4809*R4809</f>
        <v>363</v>
      </c>
      <c r="T4809" s="204" t="s">
        <v>16284</v>
      </c>
      <c r="U4809" s="1901" t="s">
        <v>12330</v>
      </c>
      <c r="V4809" s="572" t="s">
        <v>16285</v>
      </c>
      <c r="W4809" s="2155" t="s">
        <v>16291</v>
      </c>
      <c r="X4809" s="617"/>
      <c r="Y4809" s="4"/>
      <c r="Z4809" s="4"/>
    </row>
    <row r="4810" spans="1:26" ht="14.1" hidden="1">
      <c r="A4810" s="20">
        <v>4819</v>
      </c>
      <c r="B4810" s="1068">
        <v>44518</v>
      </c>
      <c r="C4810" s="1474" t="s">
        <v>16292</v>
      </c>
      <c r="D4810" s="11"/>
      <c r="E4810" s="856" t="s">
        <v>166</v>
      </c>
      <c r="F4810" s="934" t="s">
        <v>2876</v>
      </c>
      <c r="G4810" s="543" t="s">
        <v>16293</v>
      </c>
      <c r="H4810" s="204" t="s">
        <v>13249</v>
      </c>
      <c r="I4810" s="204" t="s">
        <v>16288</v>
      </c>
      <c r="J4810" s="613" t="s">
        <v>14142</v>
      </c>
      <c r="K4810" s="543" t="s">
        <v>14141</v>
      </c>
      <c r="L4810" s="204" t="s">
        <v>16283</v>
      </c>
      <c r="M4810" s="204">
        <v>2</v>
      </c>
      <c r="N4810" s="204">
        <v>1</v>
      </c>
      <c r="O4810" s="204">
        <v>10</v>
      </c>
      <c r="P4810" s="204">
        <v>0</v>
      </c>
      <c r="Q4810" s="572">
        <v>10</v>
      </c>
      <c r="R4810" s="1209">
        <v>453</v>
      </c>
      <c r="S4810" s="1209">
        <f>O4810*R4810</f>
        <v>4530</v>
      </c>
      <c r="T4810" s="204" t="s">
        <v>16284</v>
      </c>
      <c r="U4810" s="1901" t="s">
        <v>12330</v>
      </c>
      <c r="V4810" s="572" t="s">
        <v>16285</v>
      </c>
      <c r="W4810" s="2155" t="s">
        <v>16294</v>
      </c>
      <c r="X4810" s="617"/>
      <c r="Y4810" s="4"/>
      <c r="Z4810" s="4"/>
    </row>
    <row r="4811" spans="1:26" ht="14.1" hidden="1">
      <c r="A4811" s="20">
        <v>4820</v>
      </c>
      <c r="B4811" s="1068">
        <v>44518</v>
      </c>
      <c r="C4811" s="934" t="s">
        <v>16295</v>
      </c>
      <c r="D4811" s="11"/>
      <c r="E4811" s="856" t="s">
        <v>166</v>
      </c>
      <c r="F4811" s="934" t="s">
        <v>2876</v>
      </c>
      <c r="G4811" s="1478" t="s">
        <v>16296</v>
      </c>
      <c r="H4811" s="204" t="s">
        <v>16281</v>
      </c>
      <c r="I4811" s="204" t="s">
        <v>5445</v>
      </c>
      <c r="J4811" s="1469" t="s">
        <v>16297</v>
      </c>
      <c r="K4811" s="1469" t="s">
        <v>16298</v>
      </c>
      <c r="L4811" s="204" t="s">
        <v>16283</v>
      </c>
      <c r="M4811" s="204">
        <v>30</v>
      </c>
      <c r="N4811" s="204">
        <v>1</v>
      </c>
      <c r="O4811" s="204">
        <v>50</v>
      </c>
      <c r="P4811" s="204">
        <v>0</v>
      </c>
      <c r="Q4811" s="572">
        <v>50</v>
      </c>
      <c r="R4811" s="1209">
        <v>22</v>
      </c>
      <c r="S4811" s="1209">
        <f>O4811*R4811</f>
        <v>1100</v>
      </c>
      <c r="T4811" s="204" t="s">
        <v>16284</v>
      </c>
      <c r="U4811" s="1901" t="s">
        <v>12330</v>
      </c>
      <c r="V4811" s="572" t="s">
        <v>16285</v>
      </c>
      <c r="W4811" s="2155" t="s">
        <v>16299</v>
      </c>
      <c r="X4811" s="617"/>
      <c r="Y4811" s="4"/>
      <c r="Z4811" s="4"/>
    </row>
    <row r="4812" spans="1:26" ht="14.1" hidden="1">
      <c r="A4812" s="20">
        <v>4821</v>
      </c>
      <c r="B4812" s="1068">
        <v>44518</v>
      </c>
      <c r="C4812" s="958" t="s">
        <v>16300</v>
      </c>
      <c r="D4812" s="11"/>
      <c r="E4812" s="856" t="s">
        <v>166</v>
      </c>
      <c r="F4812" s="934" t="s">
        <v>2876</v>
      </c>
      <c r="G4812" s="1478" t="s">
        <v>16301</v>
      </c>
      <c r="H4812" s="204" t="s">
        <v>16281</v>
      </c>
      <c r="I4812" s="204" t="s">
        <v>574</v>
      </c>
      <c r="J4812" s="1469" t="s">
        <v>16302</v>
      </c>
      <c r="K4812" s="1478" t="s">
        <v>16303</v>
      </c>
      <c r="L4812" s="204" t="s">
        <v>16283</v>
      </c>
      <c r="M4812" s="204">
        <v>30</v>
      </c>
      <c r="N4812" s="204">
        <v>1</v>
      </c>
      <c r="O4812" s="204">
        <v>18</v>
      </c>
      <c r="P4812" s="204">
        <v>0</v>
      </c>
      <c r="Q4812" s="572">
        <v>18</v>
      </c>
      <c r="R4812" s="1209">
        <v>15.5</v>
      </c>
      <c r="S4812" s="1209">
        <f>O4812*R4812</f>
        <v>279</v>
      </c>
      <c r="T4812" s="204" t="s">
        <v>16284</v>
      </c>
      <c r="U4812" s="1901" t="s">
        <v>12330</v>
      </c>
      <c r="V4812" s="572" t="s">
        <v>16285</v>
      </c>
      <c r="W4812" s="2155" t="s">
        <v>16304</v>
      </c>
      <c r="X4812" s="617" t="s">
        <v>16305</v>
      </c>
      <c r="Y4812" s="4"/>
      <c r="Z4812" s="4"/>
    </row>
    <row r="4813" spans="1:26" ht="14.1" hidden="1">
      <c r="A4813" s="20">
        <v>4822</v>
      </c>
      <c r="B4813" s="1068">
        <v>44518</v>
      </c>
      <c r="C4813" s="859" t="s">
        <v>6101</v>
      </c>
      <c r="D4813" s="8" t="s">
        <v>6</v>
      </c>
      <c r="E4813" s="856" t="s">
        <v>166</v>
      </c>
      <c r="F4813" s="863" t="s">
        <v>16260</v>
      </c>
      <c r="G4813" s="876" t="s">
        <v>16306</v>
      </c>
      <c r="H4813" s="867" t="s">
        <v>16307</v>
      </c>
      <c r="I4813" s="867" t="s">
        <v>16307</v>
      </c>
      <c r="J4813" s="1103"/>
      <c r="K4813" s="543"/>
      <c r="L4813" s="613" t="s">
        <v>12503</v>
      </c>
      <c r="M4813" s="204">
        <v>8</v>
      </c>
      <c r="N4813" s="204">
        <v>1</v>
      </c>
      <c r="O4813" s="204">
        <v>8</v>
      </c>
      <c r="P4813" s="863">
        <v>0</v>
      </c>
      <c r="Q4813" s="877">
        <v>8</v>
      </c>
      <c r="R4813" s="1366">
        <v>44500</v>
      </c>
      <c r="S4813" s="1367">
        <f>R4813*Q4813</f>
        <v>356000</v>
      </c>
      <c r="T4813" s="297" t="s">
        <v>14752</v>
      </c>
      <c r="U4813" s="1941" t="s">
        <v>9101</v>
      </c>
      <c r="V4813" s="863" t="s">
        <v>7780</v>
      </c>
      <c r="W4813" s="682"/>
      <c r="X4813" s="18"/>
      <c r="Y4813" s="4"/>
      <c r="Z4813" s="4"/>
    </row>
    <row r="4814" spans="1:26" ht="37.5" hidden="1">
      <c r="A4814" s="20">
        <v>4823</v>
      </c>
      <c r="B4814" s="1069">
        <v>44519</v>
      </c>
      <c r="C4814" s="878" t="s">
        <v>16308</v>
      </c>
      <c r="D4814" s="11" t="s">
        <v>6</v>
      </c>
      <c r="E4814" s="856" t="s">
        <v>166</v>
      </c>
      <c r="F4814" s="1062" t="s">
        <v>2652</v>
      </c>
      <c r="G4814" s="879" t="s">
        <v>16309</v>
      </c>
      <c r="H4814" s="880" t="s">
        <v>3741</v>
      </c>
      <c r="I4814" s="880" t="s">
        <v>53</v>
      </c>
      <c r="J4814" s="879" t="s">
        <v>10498</v>
      </c>
      <c r="K4814" s="879" t="s">
        <v>16308</v>
      </c>
      <c r="L4814" s="879" t="s">
        <v>7002</v>
      </c>
      <c r="M4814" s="879">
        <v>50</v>
      </c>
      <c r="N4814" s="881">
        <v>1</v>
      </c>
      <c r="O4814" s="881">
        <v>50</v>
      </c>
      <c r="P4814" s="881">
        <v>0</v>
      </c>
      <c r="Q4814" s="881">
        <v>8</v>
      </c>
      <c r="R4814" s="1209">
        <v>121.28</v>
      </c>
      <c r="S4814" s="1209">
        <f>M4814*R4814</f>
        <v>6064</v>
      </c>
      <c r="T4814" s="881" t="s">
        <v>301</v>
      </c>
      <c r="U4814" s="1955" t="s">
        <v>301</v>
      </c>
      <c r="V4814" s="1006" t="s">
        <v>5575</v>
      </c>
      <c r="W4814" s="868" t="s">
        <v>16310</v>
      </c>
      <c r="X4814" s="175"/>
      <c r="Y4814" s="218"/>
      <c r="Z4814" s="218"/>
    </row>
    <row r="4815" spans="1:26" ht="24.95" hidden="1">
      <c r="A4815" s="20">
        <v>4824</v>
      </c>
      <c r="B4815" s="1069">
        <v>44519</v>
      </c>
      <c r="C4815" s="879" t="s">
        <v>16311</v>
      </c>
      <c r="D4815" s="11" t="s">
        <v>6</v>
      </c>
      <c r="E4815" s="856" t="s">
        <v>166</v>
      </c>
      <c r="F4815" s="1062" t="s">
        <v>2652</v>
      </c>
      <c r="G4815" s="879" t="s">
        <v>3616</v>
      </c>
      <c r="H4815" s="880" t="s">
        <v>2060</v>
      </c>
      <c r="I4815" s="880" t="s">
        <v>53</v>
      </c>
      <c r="J4815" s="879" t="s">
        <v>16311</v>
      </c>
      <c r="K4815" s="879" t="s">
        <v>16312</v>
      </c>
      <c r="L4815" s="879" t="s">
        <v>16313</v>
      </c>
      <c r="M4815" s="879">
        <v>4</v>
      </c>
      <c r="N4815" s="881">
        <v>1</v>
      </c>
      <c r="O4815" s="881">
        <v>4</v>
      </c>
      <c r="P4815" s="881">
        <v>0</v>
      </c>
      <c r="Q4815" s="881">
        <v>3</v>
      </c>
      <c r="R4815" s="1209">
        <v>113</v>
      </c>
      <c r="S4815" s="1209">
        <f>M4815*R4815</f>
        <v>452</v>
      </c>
      <c r="T4815" s="881" t="s">
        <v>4615</v>
      </c>
      <c r="U4815" s="1955" t="s">
        <v>4615</v>
      </c>
      <c r="V4815" s="1006" t="s">
        <v>5575</v>
      </c>
      <c r="W4815" s="868" t="s">
        <v>16314</v>
      </c>
      <c r="X4815" s="175"/>
      <c r="Y4815" s="218"/>
      <c r="Z4815" s="218"/>
    </row>
    <row r="4816" spans="1:26" ht="24.95" hidden="1">
      <c r="A4816" s="20">
        <v>4825</v>
      </c>
      <c r="B4816" s="1069">
        <v>44519</v>
      </c>
      <c r="C4816" s="878" t="s">
        <v>16315</v>
      </c>
      <c r="D4816" s="11" t="s">
        <v>6</v>
      </c>
      <c r="E4816" s="856" t="s">
        <v>166</v>
      </c>
      <c r="F4816" s="1062" t="s">
        <v>2652</v>
      </c>
      <c r="G4816" s="879" t="s">
        <v>16316</v>
      </c>
      <c r="H4816" s="880" t="s">
        <v>2060</v>
      </c>
      <c r="I4816" s="880" t="s">
        <v>53</v>
      </c>
      <c r="J4816" s="879" t="s">
        <v>16317</v>
      </c>
      <c r="K4816" s="879" t="s">
        <v>16315</v>
      </c>
      <c r="L4816" s="879" t="s">
        <v>16318</v>
      </c>
      <c r="M4816" s="879">
        <v>4</v>
      </c>
      <c r="N4816" s="881">
        <v>1</v>
      </c>
      <c r="O4816" s="881">
        <v>4</v>
      </c>
      <c r="P4816" s="881">
        <v>0</v>
      </c>
      <c r="Q4816" s="881">
        <v>3</v>
      </c>
      <c r="R4816" s="1209">
        <v>94</v>
      </c>
      <c r="S4816" s="1209">
        <f>M4816*R4816</f>
        <v>376</v>
      </c>
      <c r="T4816" s="881" t="s">
        <v>4615</v>
      </c>
      <c r="U4816" s="1955" t="s">
        <v>4615</v>
      </c>
      <c r="V4816" s="1006" t="s">
        <v>5575</v>
      </c>
      <c r="W4816" s="868" t="s">
        <v>16319</v>
      </c>
      <c r="X4816" s="175"/>
      <c r="Y4816" s="218"/>
      <c r="Z4816" s="218"/>
    </row>
    <row r="4817" spans="1:26" ht="24.95" hidden="1">
      <c r="A4817" s="20">
        <v>4826</v>
      </c>
      <c r="B4817" s="1069">
        <v>44519</v>
      </c>
      <c r="C4817" s="878" t="s">
        <v>16320</v>
      </c>
      <c r="D4817" s="11" t="s">
        <v>6</v>
      </c>
      <c r="E4817" s="856" t="s">
        <v>166</v>
      </c>
      <c r="F4817" s="1062" t="s">
        <v>2652</v>
      </c>
      <c r="G4817" s="879" t="s">
        <v>16321</v>
      </c>
      <c r="H4817" s="880" t="s">
        <v>2060</v>
      </c>
      <c r="I4817" s="880" t="s">
        <v>53</v>
      </c>
      <c r="J4817" s="879" t="s">
        <v>16322</v>
      </c>
      <c r="K4817" s="879" t="s">
        <v>16320</v>
      </c>
      <c r="L4817" s="879" t="s">
        <v>16318</v>
      </c>
      <c r="M4817" s="879">
        <v>8</v>
      </c>
      <c r="N4817" s="881">
        <v>1</v>
      </c>
      <c r="O4817" s="881">
        <v>8</v>
      </c>
      <c r="P4817" s="881">
        <v>0</v>
      </c>
      <c r="Q4817" s="881">
        <v>6</v>
      </c>
      <c r="R4817" s="1209">
        <v>71</v>
      </c>
      <c r="S4817" s="1209">
        <f>M4817*R4817</f>
        <v>568</v>
      </c>
      <c r="T4817" s="881" t="s">
        <v>4615</v>
      </c>
      <c r="U4817" s="1955" t="s">
        <v>4615</v>
      </c>
      <c r="V4817" s="1006" t="s">
        <v>5575</v>
      </c>
      <c r="W4817" s="868" t="s">
        <v>16323</v>
      </c>
      <c r="X4817" s="175"/>
      <c r="Y4817" s="218"/>
      <c r="Z4817" s="218"/>
    </row>
    <row r="4818" spans="1:26" ht="14.1" hidden="1">
      <c r="A4818" s="20">
        <v>4827</v>
      </c>
      <c r="B4818" s="937">
        <v>44520</v>
      </c>
      <c r="C4818" s="934" t="s">
        <v>16324</v>
      </c>
      <c r="D4818" s="10"/>
      <c r="E4818" s="204" t="s">
        <v>4951</v>
      </c>
      <c r="F4818" s="934" t="s">
        <v>10651</v>
      </c>
      <c r="G4818" s="239" t="s">
        <v>16325</v>
      </c>
      <c r="I4818" s="204" t="s">
        <v>84</v>
      </c>
      <c r="J4818" s="204"/>
      <c r="K4818" s="883">
        <v>86263415</v>
      </c>
      <c r="L4818" s="204"/>
      <c r="M4818" s="204">
        <v>1</v>
      </c>
      <c r="N4818" s="204">
        <v>1</v>
      </c>
      <c r="O4818" s="204">
        <v>1</v>
      </c>
      <c r="P4818" s="204">
        <v>0</v>
      </c>
      <c r="Q4818" s="572">
        <v>0</v>
      </c>
      <c r="R4818" s="1209">
        <v>2189</v>
      </c>
      <c r="S4818" s="1209">
        <v>2189</v>
      </c>
      <c r="T4818" s="204" t="s">
        <v>1543</v>
      </c>
      <c r="U4818" s="1901" t="s">
        <v>311</v>
      </c>
      <c r="V4818" s="572" t="s">
        <v>3140</v>
      </c>
      <c r="W4818" s="1184" t="s">
        <v>16326</v>
      </c>
      <c r="X4818" s="18"/>
      <c r="Y4818" s="4"/>
      <c r="Z4818" s="4"/>
    </row>
    <row r="4819" spans="1:26" ht="14.1" hidden="1">
      <c r="A4819" s="20">
        <v>4828</v>
      </c>
      <c r="B4819" s="937">
        <v>44522</v>
      </c>
      <c r="C4819" s="934" t="s">
        <v>16327</v>
      </c>
      <c r="D4819" s="10"/>
      <c r="E4819" s="204" t="s">
        <v>166</v>
      </c>
      <c r="F4819" s="934" t="s">
        <v>7046</v>
      </c>
      <c r="G4819" s="204" t="s">
        <v>16328</v>
      </c>
      <c r="H4819" s="204" t="s">
        <v>287</v>
      </c>
      <c r="I4819" s="204" t="s">
        <v>287</v>
      </c>
      <c r="J4819" s="204">
        <v>21112200040</v>
      </c>
      <c r="K4819" s="204">
        <v>21112200040</v>
      </c>
      <c r="L4819" s="204"/>
      <c r="M4819" s="204">
        <v>2</v>
      </c>
      <c r="N4819" s="204">
        <v>1</v>
      </c>
      <c r="O4819" s="204">
        <v>5</v>
      </c>
      <c r="P4819" s="204">
        <v>0</v>
      </c>
      <c r="Q4819" s="572">
        <v>3</v>
      </c>
      <c r="R4819" s="1209"/>
      <c r="S4819" s="1209">
        <v>58311</v>
      </c>
      <c r="T4819" s="204" t="s">
        <v>12425</v>
      </c>
      <c r="U4819" s="1901" t="s">
        <v>16329</v>
      </c>
      <c r="V4819" s="572" t="s">
        <v>3140</v>
      </c>
      <c r="W4819" s="1184" t="s">
        <v>401</v>
      </c>
      <c r="X4819" s="18"/>
      <c r="Y4819" s="4"/>
      <c r="Z4819" s="4"/>
    </row>
    <row r="4820" spans="1:26" ht="14.1" hidden="1">
      <c r="A4820" s="20">
        <v>4829</v>
      </c>
      <c r="B4820" s="937">
        <v>44522</v>
      </c>
      <c r="C4820" s="934" t="s">
        <v>16330</v>
      </c>
      <c r="D4820" s="10"/>
      <c r="E4820" s="204" t="s">
        <v>166</v>
      </c>
      <c r="F4820" s="934" t="s">
        <v>7046</v>
      </c>
      <c r="G4820" s="204" t="s">
        <v>16331</v>
      </c>
      <c r="H4820" s="204" t="s">
        <v>287</v>
      </c>
      <c r="I4820" s="204" t="s">
        <v>287</v>
      </c>
      <c r="J4820" s="204">
        <v>21112200039</v>
      </c>
      <c r="K4820" s="204">
        <v>21112200039</v>
      </c>
      <c r="L4820" s="204"/>
      <c r="M4820" s="204">
        <v>2</v>
      </c>
      <c r="N4820" s="204">
        <v>1</v>
      </c>
      <c r="O4820" s="204">
        <v>5</v>
      </c>
      <c r="P4820" s="204">
        <v>0</v>
      </c>
      <c r="Q4820" s="572">
        <v>3</v>
      </c>
      <c r="R4820" s="1209"/>
      <c r="S4820" s="1209">
        <v>58311</v>
      </c>
      <c r="T4820" s="204" t="s">
        <v>12425</v>
      </c>
      <c r="U4820" s="1901" t="s">
        <v>16329</v>
      </c>
      <c r="V4820" s="572" t="s">
        <v>3140</v>
      </c>
      <c r="W4820" s="1184" t="s">
        <v>401</v>
      </c>
      <c r="X4820" s="18"/>
      <c r="Y4820" s="4"/>
      <c r="Z4820" s="4"/>
    </row>
    <row r="4821" spans="1:26" ht="14.1" hidden="1">
      <c r="A4821" s="20">
        <v>4830</v>
      </c>
      <c r="B4821" s="937">
        <v>44522</v>
      </c>
      <c r="C4821" s="934" t="s">
        <v>16332</v>
      </c>
      <c r="D4821" s="10"/>
      <c r="E4821" s="204" t="s">
        <v>166</v>
      </c>
      <c r="F4821" s="934" t="s">
        <v>7046</v>
      </c>
      <c r="G4821" s="204" t="s">
        <v>16333</v>
      </c>
      <c r="H4821" s="204" t="s">
        <v>287</v>
      </c>
      <c r="I4821" s="204" t="s">
        <v>287</v>
      </c>
      <c r="J4821" s="204">
        <v>21112200038</v>
      </c>
      <c r="K4821" s="204">
        <v>21112200038</v>
      </c>
      <c r="L4821" s="204"/>
      <c r="M4821" s="204">
        <v>2</v>
      </c>
      <c r="N4821" s="204">
        <v>1</v>
      </c>
      <c r="O4821" s="204">
        <v>5</v>
      </c>
      <c r="P4821" s="204">
        <v>0</v>
      </c>
      <c r="Q4821" s="572">
        <v>3</v>
      </c>
      <c r="R4821" s="1209"/>
      <c r="S4821" s="1209">
        <v>64320</v>
      </c>
      <c r="T4821" s="204" t="s">
        <v>12425</v>
      </c>
      <c r="U4821" s="1901" t="s">
        <v>16329</v>
      </c>
      <c r="V4821" s="572" t="s">
        <v>3140</v>
      </c>
      <c r="W4821" s="1184" t="s">
        <v>401</v>
      </c>
      <c r="X4821" s="18"/>
      <c r="Y4821" s="4"/>
      <c r="Z4821" s="4"/>
    </row>
    <row r="4822" spans="1:26" ht="14.1" hidden="1">
      <c r="A4822" s="20">
        <v>4831</v>
      </c>
      <c r="B4822" s="937">
        <v>44522</v>
      </c>
      <c r="C4822" s="934" t="s">
        <v>16334</v>
      </c>
      <c r="D4822" s="10"/>
      <c r="E4822" s="204" t="s">
        <v>166</v>
      </c>
      <c r="F4822" s="934" t="s">
        <v>7046</v>
      </c>
      <c r="G4822" s="204" t="s">
        <v>16335</v>
      </c>
      <c r="H4822" s="204" t="s">
        <v>287</v>
      </c>
      <c r="I4822" s="204" t="s">
        <v>287</v>
      </c>
      <c r="J4822" s="204">
        <v>21112200096</v>
      </c>
      <c r="K4822" s="204">
        <v>21112200096</v>
      </c>
      <c r="L4822" s="204"/>
      <c r="M4822" s="204">
        <v>2</v>
      </c>
      <c r="N4822" s="204">
        <v>1</v>
      </c>
      <c r="O4822" s="204">
        <v>5</v>
      </c>
      <c r="P4822" s="204">
        <v>0</v>
      </c>
      <c r="Q4822" s="572">
        <v>3</v>
      </c>
      <c r="R4822" s="1209"/>
      <c r="S4822" s="1209">
        <v>64320</v>
      </c>
      <c r="T4822" s="204" t="s">
        <v>12425</v>
      </c>
      <c r="U4822" s="1901" t="s">
        <v>16329</v>
      </c>
      <c r="V4822" s="572" t="s">
        <v>3140</v>
      </c>
      <c r="W4822" s="1184" t="s">
        <v>401</v>
      </c>
      <c r="X4822" s="18"/>
      <c r="Y4822" s="4"/>
      <c r="Z4822" s="4"/>
    </row>
    <row r="4823" spans="1:26" ht="14.1" hidden="1">
      <c r="A4823" s="20">
        <v>4832</v>
      </c>
      <c r="B4823" s="937">
        <v>44522</v>
      </c>
      <c r="C4823" s="934" t="s">
        <v>16336</v>
      </c>
      <c r="D4823" s="11"/>
      <c r="E4823" s="204" t="s">
        <v>166</v>
      </c>
      <c r="F4823" s="934" t="s">
        <v>7046</v>
      </c>
      <c r="G4823" s="204" t="s">
        <v>16337</v>
      </c>
      <c r="H4823" s="204" t="s">
        <v>287</v>
      </c>
      <c r="I4823" s="204" t="s">
        <v>287</v>
      </c>
      <c r="J4823" s="204">
        <v>21112200035</v>
      </c>
      <c r="K4823" s="204">
        <v>21112200035</v>
      </c>
      <c r="L4823" s="204"/>
      <c r="M4823" s="204">
        <v>2</v>
      </c>
      <c r="N4823" s="204">
        <v>1</v>
      </c>
      <c r="O4823" s="204">
        <v>5</v>
      </c>
      <c r="P4823" s="204">
        <v>0</v>
      </c>
      <c r="Q4823" s="572">
        <v>3</v>
      </c>
      <c r="R4823" s="1209"/>
      <c r="S4823" s="1209">
        <v>51820</v>
      </c>
      <c r="T4823" s="204" t="s">
        <v>12425</v>
      </c>
      <c r="U4823" s="1901" t="s">
        <v>16329</v>
      </c>
      <c r="V4823" s="572" t="s">
        <v>3140</v>
      </c>
      <c r="W4823" s="1184" t="s">
        <v>401</v>
      </c>
      <c r="X4823" s="18"/>
      <c r="Y4823" s="4"/>
      <c r="Z4823" s="4"/>
    </row>
    <row r="4824" spans="1:26" ht="14.1" hidden="1">
      <c r="A4824" s="20">
        <v>4833</v>
      </c>
      <c r="B4824" s="937">
        <v>44522</v>
      </c>
      <c r="C4824" s="934" t="s">
        <v>16338</v>
      </c>
      <c r="D4824" s="11"/>
      <c r="E4824" s="204" t="s">
        <v>166</v>
      </c>
      <c r="F4824" s="934" t="s">
        <v>7046</v>
      </c>
      <c r="G4824" s="204" t="s">
        <v>16337</v>
      </c>
      <c r="H4824" s="204" t="s">
        <v>287</v>
      </c>
      <c r="I4824" s="204" t="s">
        <v>287</v>
      </c>
      <c r="J4824" s="204">
        <v>21112200033</v>
      </c>
      <c r="K4824" s="204">
        <v>21112200033</v>
      </c>
      <c r="L4824" s="204"/>
      <c r="M4824" s="204">
        <v>2</v>
      </c>
      <c r="N4824" s="204">
        <v>1</v>
      </c>
      <c r="O4824" s="204">
        <v>5</v>
      </c>
      <c r="P4824" s="204">
        <v>0</v>
      </c>
      <c r="Q4824" s="572">
        <v>3</v>
      </c>
      <c r="R4824" s="1209"/>
      <c r="S4824" s="1209">
        <v>51820</v>
      </c>
      <c r="T4824" s="204" t="s">
        <v>12425</v>
      </c>
      <c r="U4824" s="1901" t="s">
        <v>16329</v>
      </c>
      <c r="V4824" s="572" t="s">
        <v>3140</v>
      </c>
      <c r="W4824" s="1184" t="s">
        <v>401</v>
      </c>
      <c r="X4824" s="18"/>
      <c r="Y4824" s="4"/>
      <c r="Z4824" s="4"/>
    </row>
    <row r="4825" spans="1:26" ht="14.1" hidden="1">
      <c r="A4825" s="20">
        <v>4834</v>
      </c>
      <c r="B4825" s="1071">
        <v>44524</v>
      </c>
      <c r="C4825" s="1039" t="s">
        <v>329</v>
      </c>
      <c r="D4825" s="1445"/>
      <c r="E4825" s="884" t="s">
        <v>16339</v>
      </c>
      <c r="F4825" s="1039" t="s">
        <v>16340</v>
      </c>
      <c r="G4825" s="885" t="s">
        <v>16341</v>
      </c>
      <c r="H4825" s="870" t="s">
        <v>184</v>
      </c>
      <c r="I4825" s="870" t="s">
        <v>4634</v>
      </c>
      <c r="J4825" s="1104" t="s">
        <v>14025</v>
      </c>
      <c r="K4825" s="885" t="s">
        <v>14026</v>
      </c>
      <c r="L4825" s="870" t="s">
        <v>8980</v>
      </c>
      <c r="M4825" s="870">
        <v>4</v>
      </c>
      <c r="N4825" s="871">
        <v>10</v>
      </c>
      <c r="O4825" s="871">
        <v>10</v>
      </c>
      <c r="P4825" s="870">
        <v>0</v>
      </c>
      <c r="Q4825" s="870">
        <v>6</v>
      </c>
      <c r="R4825" s="1368">
        <v>31.9</v>
      </c>
      <c r="S4825" s="1362">
        <v>319</v>
      </c>
      <c r="T4825" s="870" t="s">
        <v>12330</v>
      </c>
      <c r="U4825" s="1956" t="s">
        <v>16236</v>
      </c>
      <c r="V4825" s="129" t="s">
        <v>5990</v>
      </c>
      <c r="W4825" s="886" t="s">
        <v>14028</v>
      </c>
      <c r="X4825" s="18"/>
      <c r="Y4825" s="4"/>
      <c r="Z4825" s="4"/>
    </row>
    <row r="4826" spans="1:26" ht="14.1" hidden="1">
      <c r="A4826" s="20">
        <v>4835</v>
      </c>
      <c r="B4826" s="1072">
        <v>44524</v>
      </c>
      <c r="C4826" s="1040" t="s">
        <v>329</v>
      </c>
      <c r="D4826" s="1445"/>
      <c r="E4826" s="884" t="s">
        <v>16339</v>
      </c>
      <c r="F4826" s="1040" t="s">
        <v>16340</v>
      </c>
      <c r="G4826" s="888" t="s">
        <v>16342</v>
      </c>
      <c r="H4826" s="899" t="s">
        <v>144</v>
      </c>
      <c r="I4826" s="899" t="s">
        <v>4634</v>
      </c>
      <c r="J4826" s="901" t="s">
        <v>14030</v>
      </c>
      <c r="K4826" s="888" t="s">
        <v>14031</v>
      </c>
      <c r="L4826" s="899" t="s">
        <v>8980</v>
      </c>
      <c r="M4826" s="899">
        <v>20</v>
      </c>
      <c r="N4826" s="900">
        <v>100</v>
      </c>
      <c r="O4826" s="900">
        <v>100</v>
      </c>
      <c r="P4826" s="899">
        <v>0</v>
      </c>
      <c r="Q4826" s="899">
        <v>80</v>
      </c>
      <c r="R4826" s="1369">
        <v>14.5</v>
      </c>
      <c r="S4826" s="1369">
        <v>1450</v>
      </c>
      <c r="T4826" s="899" t="s">
        <v>12330</v>
      </c>
      <c r="U4826" s="1957" t="s">
        <v>16236</v>
      </c>
      <c r="V4826" s="129" t="s">
        <v>5990</v>
      </c>
      <c r="W4826" s="890" t="s">
        <v>14032</v>
      </c>
      <c r="X4826" s="18"/>
      <c r="Y4826" s="4"/>
      <c r="Z4826" s="4"/>
    </row>
    <row r="4827" spans="1:26" ht="14.1" hidden="1">
      <c r="A4827" s="20">
        <v>4836</v>
      </c>
      <c r="B4827" s="1072">
        <v>44524</v>
      </c>
      <c r="C4827" s="1040" t="s">
        <v>329</v>
      </c>
      <c r="D4827" s="1445"/>
      <c r="E4827" s="884" t="s">
        <v>16339</v>
      </c>
      <c r="F4827" s="1040" t="s">
        <v>16340</v>
      </c>
      <c r="G4827" s="888" t="s">
        <v>16343</v>
      </c>
      <c r="H4827" s="899" t="s">
        <v>201</v>
      </c>
      <c r="I4827" s="899" t="s">
        <v>4634</v>
      </c>
      <c r="J4827" s="901" t="s">
        <v>16344</v>
      </c>
      <c r="K4827" s="888" t="s">
        <v>16345</v>
      </c>
      <c r="L4827" s="899" t="s">
        <v>16346</v>
      </c>
      <c r="M4827" s="899">
        <v>6</v>
      </c>
      <c r="N4827" s="900">
        <v>10</v>
      </c>
      <c r="O4827" s="900">
        <v>30</v>
      </c>
      <c r="P4827" s="899">
        <v>0</v>
      </c>
      <c r="Q4827" s="899">
        <v>24</v>
      </c>
      <c r="R4827" s="1369">
        <v>7.9</v>
      </c>
      <c r="S4827" s="1369">
        <v>237</v>
      </c>
      <c r="T4827" s="899" t="s">
        <v>12330</v>
      </c>
      <c r="U4827" s="1957" t="s">
        <v>16236</v>
      </c>
      <c r="V4827" s="129" t="s">
        <v>5990</v>
      </c>
      <c r="W4827" s="890" t="s">
        <v>16347</v>
      </c>
      <c r="X4827" s="18"/>
      <c r="Y4827" s="4"/>
      <c r="Z4827" s="4"/>
    </row>
    <row r="4828" spans="1:26" ht="14.1" hidden="1">
      <c r="A4828" s="20">
        <v>4837</v>
      </c>
      <c r="B4828" s="1072">
        <v>44524</v>
      </c>
      <c r="C4828" s="1040" t="s">
        <v>329</v>
      </c>
      <c r="D4828" s="1445"/>
      <c r="E4828" s="884" t="s">
        <v>16339</v>
      </c>
      <c r="F4828" s="1040" t="s">
        <v>16340</v>
      </c>
      <c r="G4828" s="888" t="s">
        <v>16348</v>
      </c>
      <c r="H4828" s="899" t="s">
        <v>201</v>
      </c>
      <c r="I4828" s="899" t="s">
        <v>4634</v>
      </c>
      <c r="J4828" s="901" t="s">
        <v>14034</v>
      </c>
      <c r="K4828" s="888" t="s">
        <v>14035</v>
      </c>
      <c r="L4828" s="899" t="s">
        <v>8980</v>
      </c>
      <c r="M4828" s="899">
        <v>6</v>
      </c>
      <c r="N4828" s="900">
        <v>10</v>
      </c>
      <c r="O4828" s="900">
        <v>30</v>
      </c>
      <c r="P4828" s="899">
        <v>0</v>
      </c>
      <c r="Q4828" s="899">
        <v>8</v>
      </c>
      <c r="R4828" s="1369">
        <v>61.4</v>
      </c>
      <c r="S4828" s="1369">
        <v>1842</v>
      </c>
      <c r="T4828" s="899" t="s">
        <v>12330</v>
      </c>
      <c r="U4828" s="1957" t="s">
        <v>16236</v>
      </c>
      <c r="V4828" s="129" t="s">
        <v>5990</v>
      </c>
      <c r="W4828" s="890" t="s">
        <v>14036</v>
      </c>
      <c r="X4828" s="18"/>
      <c r="Y4828" s="4"/>
      <c r="Z4828" s="4"/>
    </row>
    <row r="4829" spans="1:26" ht="14.1" hidden="1">
      <c r="A4829" s="20">
        <v>4838</v>
      </c>
      <c r="B4829" s="1072">
        <v>44524</v>
      </c>
      <c r="C4829" s="1040" t="s">
        <v>329</v>
      </c>
      <c r="D4829" s="1445"/>
      <c r="E4829" s="884" t="s">
        <v>16339</v>
      </c>
      <c r="F4829" s="1040" t="s">
        <v>16340</v>
      </c>
      <c r="G4829" s="888" t="s">
        <v>16349</v>
      </c>
      <c r="H4829" s="899" t="s">
        <v>144</v>
      </c>
      <c r="I4829" s="899" t="s">
        <v>4634</v>
      </c>
      <c r="J4829" s="901" t="s">
        <v>16350</v>
      </c>
      <c r="K4829" s="888" t="s">
        <v>16351</v>
      </c>
      <c r="L4829" s="899" t="s">
        <v>16346</v>
      </c>
      <c r="M4829" s="899">
        <v>10</v>
      </c>
      <c r="N4829" s="900">
        <v>10</v>
      </c>
      <c r="O4829" s="900">
        <v>30</v>
      </c>
      <c r="P4829" s="899">
        <v>0</v>
      </c>
      <c r="Q4829" s="899">
        <v>10</v>
      </c>
      <c r="R4829" s="1369">
        <v>39.5</v>
      </c>
      <c r="S4829" s="1369">
        <v>1185</v>
      </c>
      <c r="T4829" s="899" t="s">
        <v>12330</v>
      </c>
      <c r="U4829" s="1957" t="s">
        <v>16236</v>
      </c>
      <c r="V4829" s="129" t="s">
        <v>5990</v>
      </c>
      <c r="W4829" s="890" t="s">
        <v>16352</v>
      </c>
      <c r="X4829" s="18"/>
      <c r="Y4829" s="4"/>
      <c r="Z4829" s="4"/>
    </row>
    <row r="4830" spans="1:26" ht="14.1" hidden="1">
      <c r="A4830" s="20">
        <v>4839</v>
      </c>
      <c r="B4830" s="1072">
        <v>44524</v>
      </c>
      <c r="C4830" s="1040" t="s">
        <v>329</v>
      </c>
      <c r="D4830" s="1445"/>
      <c r="E4830" s="884" t="s">
        <v>16339</v>
      </c>
      <c r="F4830" s="1040" t="s">
        <v>16340</v>
      </c>
      <c r="G4830" s="888" t="s">
        <v>16353</v>
      </c>
      <c r="H4830" s="899" t="s">
        <v>332</v>
      </c>
      <c r="I4830" s="899" t="s">
        <v>4634</v>
      </c>
      <c r="J4830" s="901" t="s">
        <v>16354</v>
      </c>
      <c r="K4830" s="888" t="s">
        <v>16355</v>
      </c>
      <c r="L4830" s="899" t="s">
        <v>8980</v>
      </c>
      <c r="M4830" s="899">
        <v>16</v>
      </c>
      <c r="N4830" s="900">
        <v>10</v>
      </c>
      <c r="O4830" s="900">
        <v>50</v>
      </c>
      <c r="P4830" s="899">
        <v>0</v>
      </c>
      <c r="Q4830" s="899">
        <v>34</v>
      </c>
      <c r="R4830" s="1369">
        <v>59.4</v>
      </c>
      <c r="S4830" s="1369">
        <v>2970</v>
      </c>
      <c r="T4830" s="899" t="s">
        <v>12330</v>
      </c>
      <c r="U4830" s="1957" t="s">
        <v>16236</v>
      </c>
      <c r="V4830" s="129" t="s">
        <v>5990</v>
      </c>
      <c r="W4830" s="890" t="s">
        <v>16356</v>
      </c>
      <c r="X4830" s="18"/>
      <c r="Y4830" s="4"/>
      <c r="Z4830" s="4"/>
    </row>
    <row r="4831" spans="1:26" ht="14.1" hidden="1">
      <c r="A4831" s="20">
        <v>4840</v>
      </c>
      <c r="B4831" s="1072">
        <v>44524</v>
      </c>
      <c r="C4831" s="1040" t="s">
        <v>329</v>
      </c>
      <c r="D4831" s="1445"/>
      <c r="E4831" s="884" t="s">
        <v>16339</v>
      </c>
      <c r="F4831" s="1040" t="s">
        <v>16340</v>
      </c>
      <c r="G4831" s="888" t="s">
        <v>16357</v>
      </c>
      <c r="H4831" s="899" t="s">
        <v>332</v>
      </c>
      <c r="I4831" s="899" t="s">
        <v>4634</v>
      </c>
      <c r="J4831" s="901" t="s">
        <v>16358</v>
      </c>
      <c r="K4831" s="888" t="s">
        <v>16359</v>
      </c>
      <c r="L4831" s="899" t="s">
        <v>16346</v>
      </c>
      <c r="M4831" s="899">
        <v>2</v>
      </c>
      <c r="N4831" s="900">
        <v>10</v>
      </c>
      <c r="O4831" s="900">
        <v>20</v>
      </c>
      <c r="P4831" s="899">
        <v>0</v>
      </c>
      <c r="Q4831" s="899">
        <v>18</v>
      </c>
      <c r="R4831" s="1369">
        <v>30.9</v>
      </c>
      <c r="S4831" s="1369">
        <v>618</v>
      </c>
      <c r="T4831" s="899" t="s">
        <v>12330</v>
      </c>
      <c r="U4831" s="1957" t="s">
        <v>16236</v>
      </c>
      <c r="V4831" s="129" t="s">
        <v>5990</v>
      </c>
      <c r="W4831" s="890" t="s">
        <v>16360</v>
      </c>
      <c r="X4831" s="18"/>
      <c r="Y4831" s="4"/>
      <c r="Z4831" s="4"/>
    </row>
    <row r="4832" spans="1:26" ht="14.1" hidden="1">
      <c r="A4832" s="20">
        <v>4841</v>
      </c>
      <c r="B4832" s="1072">
        <v>44524</v>
      </c>
      <c r="C4832" s="1040" t="s">
        <v>329</v>
      </c>
      <c r="D4832" s="1445"/>
      <c r="E4832" s="884" t="s">
        <v>16339</v>
      </c>
      <c r="F4832" s="1040" t="s">
        <v>16340</v>
      </c>
      <c r="G4832" s="888" t="s">
        <v>16361</v>
      </c>
      <c r="H4832" s="899" t="s">
        <v>16362</v>
      </c>
      <c r="I4832" s="899" t="s">
        <v>4634</v>
      </c>
      <c r="J4832" s="901" t="s">
        <v>16363</v>
      </c>
      <c r="K4832" s="888" t="s">
        <v>16364</v>
      </c>
      <c r="L4832" s="899" t="s">
        <v>16346</v>
      </c>
      <c r="M4832" s="899">
        <v>4</v>
      </c>
      <c r="N4832" s="900">
        <v>10</v>
      </c>
      <c r="O4832" s="900">
        <v>20</v>
      </c>
      <c r="P4832" s="899">
        <v>0</v>
      </c>
      <c r="Q4832" s="899">
        <v>6</v>
      </c>
      <c r="R4832" s="1369">
        <v>23.2</v>
      </c>
      <c r="S4832" s="1369">
        <v>464</v>
      </c>
      <c r="T4832" s="899" t="s">
        <v>12330</v>
      </c>
      <c r="U4832" s="1957" t="s">
        <v>16236</v>
      </c>
      <c r="V4832" s="129" t="s">
        <v>5990</v>
      </c>
      <c r="W4832" s="890" t="s">
        <v>16365</v>
      </c>
      <c r="X4832" s="18"/>
      <c r="Y4832" s="4"/>
      <c r="Z4832" s="4"/>
    </row>
    <row r="4833" spans="1:26" ht="14.45" hidden="1">
      <c r="A4833" s="20">
        <v>4842</v>
      </c>
      <c r="B4833" s="1072">
        <v>44524</v>
      </c>
      <c r="C4833" s="1040" t="s">
        <v>329</v>
      </c>
      <c r="D4833" s="1445"/>
      <c r="E4833" s="884" t="s">
        <v>16339</v>
      </c>
      <c r="F4833" s="1040" t="s">
        <v>16340</v>
      </c>
      <c r="G4833" s="888" t="s">
        <v>16366</v>
      </c>
      <c r="H4833" s="899" t="s">
        <v>144</v>
      </c>
      <c r="I4833" s="899" t="s">
        <v>4634</v>
      </c>
      <c r="J4833" s="901" t="s">
        <v>16367</v>
      </c>
      <c r="K4833" s="888" t="s">
        <v>16368</v>
      </c>
      <c r="L4833" s="899" t="s">
        <v>8980</v>
      </c>
      <c r="M4833" s="899">
        <v>10</v>
      </c>
      <c r="N4833" s="900">
        <v>10</v>
      </c>
      <c r="O4833" s="900">
        <v>30</v>
      </c>
      <c r="P4833" s="899">
        <v>0</v>
      </c>
      <c r="Q4833" s="899">
        <v>20</v>
      </c>
      <c r="R4833" s="1369">
        <v>64.400000000000006</v>
      </c>
      <c r="S4833" s="1369">
        <v>1932</v>
      </c>
      <c r="T4833" s="899" t="s">
        <v>12330</v>
      </c>
      <c r="U4833" s="1957" t="s">
        <v>16236</v>
      </c>
      <c r="V4833" s="129" t="s">
        <v>5990</v>
      </c>
      <c r="W4833" s="891" t="s">
        <v>16369</v>
      </c>
      <c r="X4833" s="18"/>
      <c r="Y4833" s="4"/>
      <c r="Z4833" s="4"/>
    </row>
    <row r="4834" spans="1:26" ht="14.1" hidden="1">
      <c r="A4834" s="20">
        <v>4843</v>
      </c>
      <c r="B4834" s="1072">
        <v>44524</v>
      </c>
      <c r="C4834" s="1040" t="s">
        <v>329</v>
      </c>
      <c r="D4834" s="1445"/>
      <c r="E4834" s="884" t="s">
        <v>16339</v>
      </c>
      <c r="F4834" s="1040" t="s">
        <v>16340</v>
      </c>
      <c r="G4834" s="888" t="s">
        <v>16370</v>
      </c>
      <c r="H4834" s="899" t="s">
        <v>184</v>
      </c>
      <c r="I4834" s="899" t="s">
        <v>4634</v>
      </c>
      <c r="J4834" s="901" t="s">
        <v>16371</v>
      </c>
      <c r="K4834" s="888" t="s">
        <v>16372</v>
      </c>
      <c r="L4834" s="899" t="s">
        <v>16346</v>
      </c>
      <c r="M4834" s="899">
        <v>8</v>
      </c>
      <c r="N4834" s="900">
        <v>10</v>
      </c>
      <c r="O4834" s="900">
        <v>30</v>
      </c>
      <c r="P4834" s="899">
        <v>0</v>
      </c>
      <c r="Q4834" s="899">
        <v>22</v>
      </c>
      <c r="R4834" s="1369">
        <v>22.1</v>
      </c>
      <c r="S4834" s="1369">
        <v>663</v>
      </c>
      <c r="T4834" s="899" t="s">
        <v>12330</v>
      </c>
      <c r="U4834" s="1957" t="s">
        <v>16236</v>
      </c>
      <c r="V4834" s="129" t="s">
        <v>5990</v>
      </c>
      <c r="W4834" s="890" t="s">
        <v>16373</v>
      </c>
      <c r="X4834" s="18"/>
      <c r="Y4834" s="4"/>
      <c r="Z4834" s="4"/>
    </row>
    <row r="4835" spans="1:26" ht="14.1" hidden="1">
      <c r="A4835" s="20">
        <v>4844</v>
      </c>
      <c r="B4835" s="1072">
        <v>44524</v>
      </c>
      <c r="C4835" s="1040" t="s">
        <v>329</v>
      </c>
      <c r="D4835" s="1445"/>
      <c r="E4835" s="884" t="s">
        <v>16339</v>
      </c>
      <c r="F4835" s="1040" t="s">
        <v>16340</v>
      </c>
      <c r="G4835" s="888" t="s">
        <v>16374</v>
      </c>
      <c r="H4835" s="899" t="s">
        <v>144</v>
      </c>
      <c r="I4835" s="899" t="s">
        <v>4634</v>
      </c>
      <c r="J4835" s="901" t="s">
        <v>16375</v>
      </c>
      <c r="K4835" s="888" t="s">
        <v>16376</v>
      </c>
      <c r="L4835" s="899" t="s">
        <v>16346</v>
      </c>
      <c r="M4835" s="899">
        <v>2</v>
      </c>
      <c r="N4835" s="900">
        <v>10</v>
      </c>
      <c r="O4835" s="900">
        <v>20</v>
      </c>
      <c r="P4835" s="899">
        <v>0</v>
      </c>
      <c r="Q4835" s="899">
        <v>18</v>
      </c>
      <c r="R4835" s="1369">
        <v>13.1</v>
      </c>
      <c r="S4835" s="1369">
        <v>262</v>
      </c>
      <c r="T4835" s="899" t="s">
        <v>12330</v>
      </c>
      <c r="U4835" s="1957" t="s">
        <v>16236</v>
      </c>
      <c r="V4835" s="129" t="s">
        <v>5990</v>
      </c>
      <c r="W4835" s="890" t="s">
        <v>16377</v>
      </c>
      <c r="X4835" s="18"/>
      <c r="Y4835" s="4"/>
      <c r="Z4835" s="4"/>
    </row>
    <row r="4836" spans="1:26" ht="14.1" hidden="1">
      <c r="A4836" s="20">
        <v>4845</v>
      </c>
      <c r="B4836" s="1072">
        <v>44524</v>
      </c>
      <c r="C4836" s="1040" t="s">
        <v>152</v>
      </c>
      <c r="D4836" s="1445"/>
      <c r="E4836" s="884" t="s">
        <v>16339</v>
      </c>
      <c r="F4836" s="1040" t="s">
        <v>16340</v>
      </c>
      <c r="G4836" s="888" t="s">
        <v>16378</v>
      </c>
      <c r="H4836" s="899" t="s">
        <v>2786</v>
      </c>
      <c r="I4836" s="899" t="s">
        <v>4634</v>
      </c>
      <c r="J4836" s="901" t="s">
        <v>16379</v>
      </c>
      <c r="K4836" s="888" t="s">
        <v>16380</v>
      </c>
      <c r="L4836" s="899" t="s">
        <v>16381</v>
      </c>
      <c r="M4836" s="899">
        <v>6</v>
      </c>
      <c r="N4836" s="900">
        <v>10</v>
      </c>
      <c r="O4836" s="900">
        <v>20</v>
      </c>
      <c r="P4836" s="899">
        <v>0</v>
      </c>
      <c r="Q4836" s="899">
        <v>14</v>
      </c>
      <c r="R4836" s="1369">
        <v>31.9</v>
      </c>
      <c r="S4836" s="1369">
        <v>638</v>
      </c>
      <c r="T4836" s="899" t="s">
        <v>12330</v>
      </c>
      <c r="U4836" s="1957" t="s">
        <v>16236</v>
      </c>
      <c r="V4836" s="129" t="s">
        <v>5990</v>
      </c>
      <c r="W4836" s="890" t="s">
        <v>16382</v>
      </c>
      <c r="X4836" s="18"/>
      <c r="Y4836" s="4"/>
      <c r="Z4836" s="4"/>
    </row>
    <row r="4837" spans="1:26" ht="14.1" hidden="1">
      <c r="A4837" s="20">
        <v>4846</v>
      </c>
      <c r="B4837" s="1072">
        <v>44524</v>
      </c>
      <c r="C4837" s="1040" t="s">
        <v>152</v>
      </c>
      <c r="D4837" s="1445"/>
      <c r="E4837" s="884" t="s">
        <v>16339</v>
      </c>
      <c r="F4837" s="1040" t="s">
        <v>16340</v>
      </c>
      <c r="G4837" s="888" t="s">
        <v>16383</v>
      </c>
      <c r="H4837" s="899" t="s">
        <v>154</v>
      </c>
      <c r="I4837" s="899" t="s">
        <v>4634</v>
      </c>
      <c r="J4837" s="901" t="s">
        <v>14064</v>
      </c>
      <c r="K4837" s="888" t="s">
        <v>14065</v>
      </c>
      <c r="L4837" s="899" t="s">
        <v>8980</v>
      </c>
      <c r="M4837" s="899">
        <v>4</v>
      </c>
      <c r="N4837" s="900">
        <v>10</v>
      </c>
      <c r="O4837" s="900">
        <v>20</v>
      </c>
      <c r="P4837" s="899">
        <v>0</v>
      </c>
      <c r="Q4837" s="899">
        <v>16</v>
      </c>
      <c r="R4837" s="1369">
        <v>93.5</v>
      </c>
      <c r="S4837" s="1369">
        <v>1870</v>
      </c>
      <c r="T4837" s="899" t="s">
        <v>12330</v>
      </c>
      <c r="U4837" s="1957" t="s">
        <v>16236</v>
      </c>
      <c r="V4837" s="129" t="s">
        <v>5990</v>
      </c>
      <c r="W4837" s="890" t="s">
        <v>14066</v>
      </c>
      <c r="X4837" s="18"/>
      <c r="Y4837" s="4"/>
      <c r="Z4837" s="4"/>
    </row>
    <row r="4838" spans="1:26" ht="14.1" hidden="1">
      <c r="A4838" s="20">
        <v>4847</v>
      </c>
      <c r="B4838" s="1072">
        <v>44524</v>
      </c>
      <c r="C4838" s="1040" t="s">
        <v>152</v>
      </c>
      <c r="D4838" s="1445"/>
      <c r="E4838" s="884" t="s">
        <v>16339</v>
      </c>
      <c r="F4838" s="1040" t="s">
        <v>16340</v>
      </c>
      <c r="G4838" s="888" t="s">
        <v>16384</v>
      </c>
      <c r="H4838" s="899" t="s">
        <v>154</v>
      </c>
      <c r="I4838" s="899" t="s">
        <v>4634</v>
      </c>
      <c r="J4838" s="901" t="s">
        <v>16385</v>
      </c>
      <c r="K4838" s="888" t="s">
        <v>16386</v>
      </c>
      <c r="L4838" s="899" t="s">
        <v>8776</v>
      </c>
      <c r="M4838" s="899">
        <v>2</v>
      </c>
      <c r="N4838" s="900">
        <v>10</v>
      </c>
      <c r="O4838" s="900">
        <v>10</v>
      </c>
      <c r="P4838" s="899">
        <v>0</v>
      </c>
      <c r="Q4838" s="899">
        <v>8</v>
      </c>
      <c r="R4838" s="1369">
        <v>134.5</v>
      </c>
      <c r="S4838" s="1369">
        <v>1345</v>
      </c>
      <c r="T4838" s="899" t="s">
        <v>12330</v>
      </c>
      <c r="U4838" s="1957" t="s">
        <v>16236</v>
      </c>
      <c r="V4838" s="129" t="s">
        <v>5990</v>
      </c>
      <c r="W4838" s="890" t="s">
        <v>16387</v>
      </c>
      <c r="X4838" s="18"/>
      <c r="Y4838" s="4"/>
      <c r="Z4838" s="4"/>
    </row>
    <row r="4839" spans="1:26" ht="14.1" hidden="1">
      <c r="A4839" s="20">
        <v>4848</v>
      </c>
      <c r="B4839" s="1072">
        <v>44524</v>
      </c>
      <c r="C4839" s="1040" t="s">
        <v>152</v>
      </c>
      <c r="D4839" s="1445"/>
      <c r="E4839" s="884" t="s">
        <v>16339</v>
      </c>
      <c r="F4839" s="1040" t="s">
        <v>16340</v>
      </c>
      <c r="G4839" s="888" t="s">
        <v>16388</v>
      </c>
      <c r="H4839" s="899" t="s">
        <v>2786</v>
      </c>
      <c r="I4839" s="899" t="s">
        <v>4634</v>
      </c>
      <c r="J4839" s="901" t="s">
        <v>16389</v>
      </c>
      <c r="K4839" s="888" t="s">
        <v>16390</v>
      </c>
      <c r="L4839" s="899" t="s">
        <v>16346</v>
      </c>
      <c r="M4839" s="899">
        <v>2</v>
      </c>
      <c r="N4839" s="900">
        <v>10</v>
      </c>
      <c r="O4839" s="900">
        <v>20</v>
      </c>
      <c r="P4839" s="899">
        <v>0</v>
      </c>
      <c r="Q4839" s="899">
        <v>18</v>
      </c>
      <c r="R4839" s="1369">
        <v>20.399999999999999</v>
      </c>
      <c r="S4839" s="1369">
        <v>408</v>
      </c>
      <c r="T4839" s="899" t="s">
        <v>12330</v>
      </c>
      <c r="U4839" s="1957" t="s">
        <v>16236</v>
      </c>
      <c r="V4839" s="129" t="s">
        <v>5990</v>
      </c>
      <c r="W4839" s="890" t="s">
        <v>16391</v>
      </c>
      <c r="X4839" s="18"/>
      <c r="Y4839" s="4"/>
      <c r="Z4839" s="4"/>
    </row>
    <row r="4840" spans="1:26" ht="14.1" hidden="1">
      <c r="A4840" s="20">
        <v>4849</v>
      </c>
      <c r="B4840" s="1072">
        <v>44524</v>
      </c>
      <c r="C4840" s="1040" t="s">
        <v>152</v>
      </c>
      <c r="D4840" s="1445"/>
      <c r="E4840" s="884" t="s">
        <v>16339</v>
      </c>
      <c r="F4840" s="1040" t="s">
        <v>16340</v>
      </c>
      <c r="G4840" s="888" t="s">
        <v>16392</v>
      </c>
      <c r="H4840" s="899" t="s">
        <v>166</v>
      </c>
      <c r="I4840" s="899" t="s">
        <v>4634</v>
      </c>
      <c r="J4840" s="901" t="s">
        <v>14084</v>
      </c>
      <c r="K4840" s="888" t="s">
        <v>14085</v>
      </c>
      <c r="L4840" s="899" t="s">
        <v>8980</v>
      </c>
      <c r="M4840" s="899">
        <v>10</v>
      </c>
      <c r="N4840" s="900">
        <v>10</v>
      </c>
      <c r="O4840" s="900">
        <v>30</v>
      </c>
      <c r="P4840" s="899">
        <v>0</v>
      </c>
      <c r="Q4840" s="899">
        <v>20</v>
      </c>
      <c r="R4840" s="1369">
        <v>16.100000000000001</v>
      </c>
      <c r="S4840" s="1369">
        <v>483</v>
      </c>
      <c r="T4840" s="899" t="s">
        <v>12330</v>
      </c>
      <c r="U4840" s="1957" t="s">
        <v>16236</v>
      </c>
      <c r="V4840" s="129" t="s">
        <v>5990</v>
      </c>
      <c r="W4840" s="890" t="s">
        <v>14086</v>
      </c>
      <c r="X4840" s="18"/>
      <c r="Y4840" s="4"/>
      <c r="Z4840" s="4"/>
    </row>
    <row r="4841" spans="1:26" ht="14.1" hidden="1">
      <c r="A4841" s="20">
        <v>4850</v>
      </c>
      <c r="B4841" s="1072">
        <v>44524</v>
      </c>
      <c r="C4841" s="1040" t="s">
        <v>152</v>
      </c>
      <c r="D4841" s="1445"/>
      <c r="E4841" s="884" t="s">
        <v>16339</v>
      </c>
      <c r="F4841" s="1040" t="s">
        <v>16340</v>
      </c>
      <c r="G4841" s="888" t="s">
        <v>16393</v>
      </c>
      <c r="H4841" s="899" t="s">
        <v>166</v>
      </c>
      <c r="I4841" s="899" t="s">
        <v>4634</v>
      </c>
      <c r="J4841" s="901" t="s">
        <v>16394</v>
      </c>
      <c r="K4841" s="892" t="s">
        <v>16395</v>
      </c>
      <c r="L4841" s="899" t="s">
        <v>16346</v>
      </c>
      <c r="M4841" s="899">
        <v>2</v>
      </c>
      <c r="N4841" s="900">
        <v>10</v>
      </c>
      <c r="O4841" s="900">
        <v>20</v>
      </c>
      <c r="P4841" s="899">
        <v>0</v>
      </c>
      <c r="Q4841" s="899">
        <v>18</v>
      </c>
      <c r="R4841" s="1369">
        <v>16.5</v>
      </c>
      <c r="S4841" s="1369">
        <v>330</v>
      </c>
      <c r="T4841" s="899" t="s">
        <v>12330</v>
      </c>
      <c r="U4841" s="1957" t="s">
        <v>16236</v>
      </c>
      <c r="V4841" s="129" t="s">
        <v>5990</v>
      </c>
      <c r="W4841" s="890" t="s">
        <v>16396</v>
      </c>
      <c r="X4841" s="18"/>
      <c r="Y4841" s="4"/>
      <c r="Z4841" s="4"/>
    </row>
    <row r="4842" spans="1:26" ht="14.1" hidden="1">
      <c r="A4842" s="20">
        <v>4851</v>
      </c>
      <c r="B4842" s="1072">
        <v>44524</v>
      </c>
      <c r="C4842" s="1040" t="s">
        <v>152</v>
      </c>
      <c r="D4842" s="1445"/>
      <c r="E4842" s="884" t="s">
        <v>16339</v>
      </c>
      <c r="F4842" s="1040" t="s">
        <v>16340</v>
      </c>
      <c r="G4842" s="888" t="s">
        <v>16397</v>
      </c>
      <c r="H4842" s="899" t="s">
        <v>166</v>
      </c>
      <c r="I4842" s="899" t="s">
        <v>4634</v>
      </c>
      <c r="J4842" s="901" t="s">
        <v>14088</v>
      </c>
      <c r="K4842" s="888" t="s">
        <v>14089</v>
      </c>
      <c r="L4842" s="899" t="s">
        <v>8980</v>
      </c>
      <c r="M4842" s="899">
        <v>22</v>
      </c>
      <c r="N4842" s="900">
        <v>10</v>
      </c>
      <c r="O4842" s="900">
        <v>50</v>
      </c>
      <c r="P4842" s="899">
        <v>0</v>
      </c>
      <c r="Q4842" s="899">
        <v>45</v>
      </c>
      <c r="R4842" s="1369">
        <v>15.1</v>
      </c>
      <c r="S4842" s="1369">
        <v>755</v>
      </c>
      <c r="T4842" s="899" t="s">
        <v>12330</v>
      </c>
      <c r="U4842" s="1957" t="s">
        <v>16236</v>
      </c>
      <c r="V4842" s="129" t="s">
        <v>5990</v>
      </c>
      <c r="W4842" s="890" t="s">
        <v>14090</v>
      </c>
      <c r="X4842" s="18"/>
      <c r="Y4842" s="4"/>
      <c r="Z4842" s="4"/>
    </row>
    <row r="4843" spans="1:26" ht="14.1" hidden="1">
      <c r="A4843" s="20">
        <v>4852</v>
      </c>
      <c r="B4843" s="1072">
        <v>44524</v>
      </c>
      <c r="C4843" s="1040" t="s">
        <v>152</v>
      </c>
      <c r="D4843" s="1445"/>
      <c r="E4843" s="884" t="s">
        <v>16339</v>
      </c>
      <c r="F4843" s="1040" t="s">
        <v>16340</v>
      </c>
      <c r="G4843" s="888" t="s">
        <v>16398</v>
      </c>
      <c r="H4843" s="899" t="s">
        <v>2786</v>
      </c>
      <c r="I4843" s="899" t="s">
        <v>4634</v>
      </c>
      <c r="J4843" s="901" t="s">
        <v>16399</v>
      </c>
      <c r="K4843" s="888" t="s">
        <v>16400</v>
      </c>
      <c r="L4843" s="899" t="s">
        <v>16346</v>
      </c>
      <c r="M4843" s="899">
        <v>12</v>
      </c>
      <c r="N4843" s="900">
        <v>10</v>
      </c>
      <c r="O4843" s="900">
        <v>30</v>
      </c>
      <c r="P4843" s="899">
        <v>0</v>
      </c>
      <c r="Q4843" s="899">
        <v>18</v>
      </c>
      <c r="R4843" s="1369">
        <v>16.3</v>
      </c>
      <c r="S4843" s="1369">
        <v>489</v>
      </c>
      <c r="T4843" s="899" t="s">
        <v>12330</v>
      </c>
      <c r="U4843" s="1957" t="s">
        <v>16236</v>
      </c>
      <c r="V4843" s="129" t="s">
        <v>5990</v>
      </c>
      <c r="W4843" s="890" t="s">
        <v>16401</v>
      </c>
      <c r="X4843" s="18"/>
      <c r="Y4843" s="4"/>
      <c r="Z4843" s="4"/>
    </row>
    <row r="4844" spans="1:26" ht="14.1" hidden="1">
      <c r="A4844" s="20">
        <v>4853</v>
      </c>
      <c r="B4844" s="1072">
        <v>44524</v>
      </c>
      <c r="C4844" s="1040" t="s">
        <v>152</v>
      </c>
      <c r="D4844" s="1445"/>
      <c r="E4844" s="884" t="s">
        <v>16339</v>
      </c>
      <c r="F4844" s="1040" t="s">
        <v>16340</v>
      </c>
      <c r="G4844" s="888" t="s">
        <v>16402</v>
      </c>
      <c r="H4844" s="899" t="s">
        <v>166</v>
      </c>
      <c r="I4844" s="899" t="s">
        <v>4634</v>
      </c>
      <c r="J4844" s="901" t="s">
        <v>16403</v>
      </c>
      <c r="K4844" s="888" t="s">
        <v>16404</v>
      </c>
      <c r="L4844" s="899" t="s">
        <v>8980</v>
      </c>
      <c r="M4844" s="899">
        <v>32</v>
      </c>
      <c r="N4844" s="900">
        <v>100</v>
      </c>
      <c r="O4844" s="900">
        <v>100</v>
      </c>
      <c r="P4844" s="899">
        <v>0</v>
      </c>
      <c r="Q4844" s="899">
        <v>64</v>
      </c>
      <c r="R4844" s="1369">
        <v>7.6</v>
      </c>
      <c r="S4844" s="1369">
        <v>760</v>
      </c>
      <c r="T4844" s="899" t="s">
        <v>12330</v>
      </c>
      <c r="U4844" s="1957" t="s">
        <v>16236</v>
      </c>
      <c r="V4844" s="129" t="s">
        <v>5990</v>
      </c>
      <c r="W4844" s="890" t="s">
        <v>16405</v>
      </c>
      <c r="X4844" s="18"/>
      <c r="Y4844" s="4"/>
      <c r="Z4844" s="4"/>
    </row>
    <row r="4845" spans="1:26" ht="14.1" hidden="1">
      <c r="A4845" s="20">
        <v>4854</v>
      </c>
      <c r="B4845" s="1072">
        <v>44524</v>
      </c>
      <c r="C4845" s="1040" t="s">
        <v>152</v>
      </c>
      <c r="D4845" s="1445"/>
      <c r="E4845" s="884" t="s">
        <v>16339</v>
      </c>
      <c r="F4845" s="1040" t="s">
        <v>16340</v>
      </c>
      <c r="G4845" s="888" t="s">
        <v>16406</v>
      </c>
      <c r="H4845" s="899" t="s">
        <v>166</v>
      </c>
      <c r="I4845" s="899" t="s">
        <v>4634</v>
      </c>
      <c r="J4845" s="901" t="s">
        <v>16407</v>
      </c>
      <c r="K4845" s="888" t="s">
        <v>16408</v>
      </c>
      <c r="L4845" s="899" t="s">
        <v>8980</v>
      </c>
      <c r="M4845" s="899">
        <v>2</v>
      </c>
      <c r="N4845" s="900">
        <v>10</v>
      </c>
      <c r="O4845" s="900">
        <v>20</v>
      </c>
      <c r="P4845" s="899">
        <v>0</v>
      </c>
      <c r="Q4845" s="899">
        <v>18</v>
      </c>
      <c r="R4845" s="1369">
        <v>12</v>
      </c>
      <c r="S4845" s="1369">
        <v>240</v>
      </c>
      <c r="T4845" s="899" t="s">
        <v>12330</v>
      </c>
      <c r="U4845" s="1957" t="s">
        <v>16236</v>
      </c>
      <c r="V4845" s="129" t="s">
        <v>5990</v>
      </c>
      <c r="W4845" s="890" t="s">
        <v>16409</v>
      </c>
      <c r="X4845" s="18"/>
      <c r="Y4845" s="4"/>
      <c r="Z4845" s="4"/>
    </row>
    <row r="4846" spans="1:26" ht="14.1" hidden="1">
      <c r="A4846" s="20">
        <v>4855</v>
      </c>
      <c r="B4846" s="1072">
        <v>44524</v>
      </c>
      <c r="C4846" s="1040" t="s">
        <v>152</v>
      </c>
      <c r="D4846" s="1445"/>
      <c r="E4846" s="884" t="s">
        <v>16339</v>
      </c>
      <c r="F4846" s="1040" t="s">
        <v>16340</v>
      </c>
      <c r="G4846" s="888" t="s">
        <v>16410</v>
      </c>
      <c r="H4846" s="899" t="s">
        <v>166</v>
      </c>
      <c r="I4846" s="899" t="s">
        <v>4634</v>
      </c>
      <c r="J4846" s="901" t="s">
        <v>16411</v>
      </c>
      <c r="K4846" s="888" t="s">
        <v>16412</v>
      </c>
      <c r="L4846" s="899" t="s">
        <v>8980</v>
      </c>
      <c r="M4846" s="899">
        <v>2</v>
      </c>
      <c r="N4846" s="900">
        <v>10</v>
      </c>
      <c r="O4846" s="900">
        <v>20</v>
      </c>
      <c r="P4846" s="899">
        <v>0</v>
      </c>
      <c r="Q4846" s="899">
        <v>18</v>
      </c>
      <c r="R4846" s="1369">
        <v>21.5</v>
      </c>
      <c r="S4846" s="1369">
        <v>430</v>
      </c>
      <c r="T4846" s="899" t="s">
        <v>12330</v>
      </c>
      <c r="U4846" s="1957" t="s">
        <v>16236</v>
      </c>
      <c r="V4846" s="129" t="s">
        <v>5990</v>
      </c>
      <c r="W4846" s="890" t="s">
        <v>16413</v>
      </c>
      <c r="X4846" s="18"/>
      <c r="Y4846" s="4"/>
      <c r="Z4846" s="4"/>
    </row>
    <row r="4847" spans="1:26" ht="14.45" hidden="1">
      <c r="A4847" s="20">
        <v>4856</v>
      </c>
      <c r="B4847" s="1072">
        <v>44524</v>
      </c>
      <c r="C4847" s="1040" t="s">
        <v>152</v>
      </c>
      <c r="D4847" s="1445"/>
      <c r="E4847" s="884" t="s">
        <v>16339</v>
      </c>
      <c r="F4847" s="1040" t="s">
        <v>16340</v>
      </c>
      <c r="G4847" s="888" t="s">
        <v>16414</v>
      </c>
      <c r="H4847" s="899" t="s">
        <v>2051</v>
      </c>
      <c r="I4847" s="899" t="s">
        <v>4634</v>
      </c>
      <c r="J4847" s="1105" t="s">
        <v>16415</v>
      </c>
      <c r="K4847" s="893" t="s">
        <v>16416</v>
      </c>
      <c r="L4847" s="1112" t="s">
        <v>16346</v>
      </c>
      <c r="M4847" s="899">
        <v>2</v>
      </c>
      <c r="N4847" s="900">
        <v>10</v>
      </c>
      <c r="O4847" s="900">
        <v>20</v>
      </c>
      <c r="P4847" s="899">
        <v>0</v>
      </c>
      <c r="Q4847" s="899">
        <v>18</v>
      </c>
      <c r="R4847" s="1369">
        <v>10.4</v>
      </c>
      <c r="S4847" s="1369">
        <v>208</v>
      </c>
      <c r="T4847" s="899" t="s">
        <v>12330</v>
      </c>
      <c r="U4847" s="1957" t="s">
        <v>16236</v>
      </c>
      <c r="V4847" s="129" t="s">
        <v>5990</v>
      </c>
      <c r="W4847" s="891" t="s">
        <v>16417</v>
      </c>
      <c r="X4847" s="18"/>
      <c r="Y4847" s="4"/>
      <c r="Z4847" s="4"/>
    </row>
    <row r="4848" spans="1:26" ht="14.1" hidden="1">
      <c r="A4848" s="20">
        <v>4857</v>
      </c>
      <c r="B4848" s="1072">
        <v>44524</v>
      </c>
      <c r="C4848" s="1040" t="s">
        <v>152</v>
      </c>
      <c r="D4848" s="1445"/>
      <c r="E4848" s="884" t="s">
        <v>16339</v>
      </c>
      <c r="F4848" s="1040" t="s">
        <v>16340</v>
      </c>
      <c r="G4848" s="888" t="s">
        <v>16418</v>
      </c>
      <c r="H4848" s="899" t="s">
        <v>166</v>
      </c>
      <c r="I4848" s="899" t="s">
        <v>4634</v>
      </c>
      <c r="J4848" s="1104" t="s">
        <v>16419</v>
      </c>
      <c r="K4848" s="885" t="s">
        <v>16420</v>
      </c>
      <c r="L4848" s="899" t="s">
        <v>16346</v>
      </c>
      <c r="M4848" s="899">
        <v>6</v>
      </c>
      <c r="N4848" s="900">
        <v>10</v>
      </c>
      <c r="O4848" s="900">
        <v>20</v>
      </c>
      <c r="P4848" s="899">
        <v>0</v>
      </c>
      <c r="Q4848" s="899">
        <v>14</v>
      </c>
      <c r="R4848" s="1369">
        <v>32.1</v>
      </c>
      <c r="S4848" s="1369">
        <v>642</v>
      </c>
      <c r="T4848" s="899" t="s">
        <v>12330</v>
      </c>
      <c r="U4848" s="1957" t="s">
        <v>16236</v>
      </c>
      <c r="V4848" s="129" t="s">
        <v>5990</v>
      </c>
      <c r="W4848" s="890" t="s">
        <v>16421</v>
      </c>
      <c r="X4848" s="18"/>
      <c r="Y4848" s="4"/>
      <c r="Z4848" s="4"/>
    </row>
    <row r="4849" spans="1:26" ht="14.1" hidden="1">
      <c r="A4849" s="20">
        <v>4858</v>
      </c>
      <c r="B4849" s="1072">
        <v>44524</v>
      </c>
      <c r="C4849" s="1040" t="s">
        <v>152</v>
      </c>
      <c r="D4849" s="1445"/>
      <c r="E4849" s="884" t="s">
        <v>16339</v>
      </c>
      <c r="F4849" s="1040" t="s">
        <v>16340</v>
      </c>
      <c r="G4849" s="888" t="s">
        <v>16422</v>
      </c>
      <c r="H4849" s="899" t="s">
        <v>166</v>
      </c>
      <c r="I4849" s="899" t="s">
        <v>4634</v>
      </c>
      <c r="J4849" s="901" t="s">
        <v>16423</v>
      </c>
      <c r="K4849" s="888" t="s">
        <v>16424</v>
      </c>
      <c r="L4849" s="899" t="s">
        <v>8980</v>
      </c>
      <c r="M4849" s="899">
        <v>2</v>
      </c>
      <c r="N4849" s="900">
        <v>10</v>
      </c>
      <c r="O4849" s="900">
        <v>20</v>
      </c>
      <c r="P4849" s="899">
        <v>0</v>
      </c>
      <c r="Q4849" s="899">
        <v>18</v>
      </c>
      <c r="R4849" s="1369">
        <v>12.3</v>
      </c>
      <c r="S4849" s="1369">
        <v>246</v>
      </c>
      <c r="T4849" s="899" t="s">
        <v>12330</v>
      </c>
      <c r="U4849" s="1957" t="s">
        <v>16236</v>
      </c>
      <c r="V4849" s="129" t="s">
        <v>5990</v>
      </c>
      <c r="W4849" s="890" t="s">
        <v>16425</v>
      </c>
      <c r="X4849" s="18"/>
      <c r="Y4849" s="4"/>
      <c r="Z4849" s="4"/>
    </row>
    <row r="4850" spans="1:26" ht="14.1" hidden="1">
      <c r="A4850" s="20">
        <v>4859</v>
      </c>
      <c r="B4850" s="1072">
        <v>44524</v>
      </c>
      <c r="C4850" s="1040" t="s">
        <v>188</v>
      </c>
      <c r="D4850" s="1445"/>
      <c r="E4850" s="884" t="s">
        <v>16339</v>
      </c>
      <c r="F4850" s="1040" t="s">
        <v>16340</v>
      </c>
      <c r="G4850" s="888" t="s">
        <v>16426</v>
      </c>
      <c r="H4850" s="899" t="s">
        <v>1400</v>
      </c>
      <c r="I4850" s="899" t="s">
        <v>4634</v>
      </c>
      <c r="J4850" s="901" t="s">
        <v>16427</v>
      </c>
      <c r="K4850" s="888" t="s">
        <v>8680</v>
      </c>
      <c r="L4850" s="899" t="s">
        <v>1088</v>
      </c>
      <c r="M4850" s="899">
        <v>4</v>
      </c>
      <c r="N4850" s="900">
        <v>10</v>
      </c>
      <c r="O4850" s="900">
        <v>10</v>
      </c>
      <c r="P4850" s="899">
        <v>0</v>
      </c>
      <c r="Q4850" s="899">
        <v>6</v>
      </c>
      <c r="R4850" s="1369">
        <v>44.1</v>
      </c>
      <c r="S4850" s="1369">
        <v>441</v>
      </c>
      <c r="T4850" s="899" t="s">
        <v>12330</v>
      </c>
      <c r="U4850" s="1957" t="s">
        <v>16236</v>
      </c>
      <c r="V4850" s="129" t="s">
        <v>5990</v>
      </c>
      <c r="W4850" s="894" t="s">
        <v>16428</v>
      </c>
      <c r="X4850" s="18"/>
      <c r="Y4850" s="4"/>
      <c r="Z4850" s="4"/>
    </row>
    <row r="4851" spans="1:26" ht="14.1" hidden="1">
      <c r="A4851" s="20">
        <v>4860</v>
      </c>
      <c r="B4851" s="1072">
        <v>44524</v>
      </c>
      <c r="C4851" s="1040" t="s">
        <v>1273</v>
      </c>
      <c r="D4851" s="1445"/>
      <c r="E4851" s="884" t="s">
        <v>16339</v>
      </c>
      <c r="F4851" s="1040" t="s">
        <v>16340</v>
      </c>
      <c r="G4851" s="895" t="s">
        <v>16429</v>
      </c>
      <c r="H4851" s="899" t="s">
        <v>16430</v>
      </c>
      <c r="I4851" s="899" t="s">
        <v>574</v>
      </c>
      <c r="J4851" s="1106" t="s">
        <v>16431</v>
      </c>
      <c r="K4851" s="896" t="s">
        <v>16432</v>
      </c>
      <c r="L4851" s="1113" t="s">
        <v>14346</v>
      </c>
      <c r="M4851" s="899">
        <v>2</v>
      </c>
      <c r="N4851" s="900">
        <v>10</v>
      </c>
      <c r="O4851" s="900">
        <v>10</v>
      </c>
      <c r="P4851" s="899">
        <v>0</v>
      </c>
      <c r="Q4851" s="899">
        <v>8</v>
      </c>
      <c r="R4851" s="1369">
        <v>188.8</v>
      </c>
      <c r="S4851" s="1369">
        <v>1888</v>
      </c>
      <c r="T4851" s="899" t="s">
        <v>12330</v>
      </c>
      <c r="U4851" s="1957" t="s">
        <v>16236</v>
      </c>
      <c r="V4851" s="129" t="s">
        <v>5990</v>
      </c>
      <c r="W4851" s="890" t="s">
        <v>16433</v>
      </c>
      <c r="X4851" s="18"/>
      <c r="Y4851" s="4"/>
      <c r="Z4851" s="4"/>
    </row>
    <row r="4852" spans="1:26" ht="14.1" hidden="1">
      <c r="A4852" s="20">
        <v>4861</v>
      </c>
      <c r="B4852" s="1072">
        <v>44524</v>
      </c>
      <c r="C4852" s="1040" t="s">
        <v>16434</v>
      </c>
      <c r="D4852" s="1445"/>
      <c r="E4852" s="884" t="s">
        <v>16339</v>
      </c>
      <c r="F4852" s="1040" t="s">
        <v>16340</v>
      </c>
      <c r="G4852" s="895" t="s">
        <v>16435</v>
      </c>
      <c r="H4852" s="899" t="s">
        <v>16430</v>
      </c>
      <c r="I4852" s="899" t="s">
        <v>574</v>
      </c>
      <c r="J4852" s="1106" t="s">
        <v>6685</v>
      </c>
      <c r="K4852" s="897" t="s">
        <v>6686</v>
      </c>
      <c r="L4852" s="1113" t="s">
        <v>14346</v>
      </c>
      <c r="M4852" s="899">
        <v>2</v>
      </c>
      <c r="N4852" s="900">
        <v>10</v>
      </c>
      <c r="O4852" s="900">
        <v>10</v>
      </c>
      <c r="P4852" s="899">
        <v>0</v>
      </c>
      <c r="Q4852" s="899">
        <v>8</v>
      </c>
      <c r="R4852" s="1369">
        <v>74.3</v>
      </c>
      <c r="S4852" s="1369">
        <v>743</v>
      </c>
      <c r="T4852" s="899" t="s">
        <v>12330</v>
      </c>
      <c r="U4852" s="1957" t="s">
        <v>16236</v>
      </c>
      <c r="V4852" s="129" t="s">
        <v>5990</v>
      </c>
      <c r="W4852" s="890" t="s">
        <v>16436</v>
      </c>
      <c r="X4852" s="18"/>
      <c r="Y4852" s="4"/>
      <c r="Z4852" s="4"/>
    </row>
    <row r="4853" spans="1:26" ht="14.1" hidden="1">
      <c r="A4853" s="20">
        <v>4862</v>
      </c>
      <c r="B4853" s="1072">
        <v>44524</v>
      </c>
      <c r="C4853" s="1040" t="s">
        <v>16437</v>
      </c>
      <c r="D4853" s="1445"/>
      <c r="E4853" s="884" t="s">
        <v>16339</v>
      </c>
      <c r="F4853" s="1040" t="s">
        <v>16340</v>
      </c>
      <c r="G4853" s="895" t="s">
        <v>16438</v>
      </c>
      <c r="H4853" s="899" t="s">
        <v>817</v>
      </c>
      <c r="I4853" s="899" t="s">
        <v>4634</v>
      </c>
      <c r="J4853" s="901" t="s">
        <v>16439</v>
      </c>
      <c r="K4853" s="888" t="s">
        <v>16440</v>
      </c>
      <c r="L4853" s="1113" t="s">
        <v>14346</v>
      </c>
      <c r="M4853" s="899">
        <v>16</v>
      </c>
      <c r="N4853" s="900">
        <v>10</v>
      </c>
      <c r="O4853" s="900">
        <v>30</v>
      </c>
      <c r="P4853" s="899">
        <v>0</v>
      </c>
      <c r="Q4853" s="899">
        <v>14</v>
      </c>
      <c r="R4853" s="1369">
        <v>29.3</v>
      </c>
      <c r="S4853" s="1369">
        <v>879</v>
      </c>
      <c r="T4853" s="899" t="s">
        <v>12330</v>
      </c>
      <c r="U4853" s="1957" t="s">
        <v>16236</v>
      </c>
      <c r="V4853" s="129" t="s">
        <v>5990</v>
      </c>
      <c r="W4853" s="890" t="s">
        <v>16441</v>
      </c>
      <c r="X4853" s="18"/>
      <c r="Y4853" s="4"/>
      <c r="Z4853" s="4"/>
    </row>
    <row r="4854" spans="1:26" ht="14.1" hidden="1">
      <c r="A4854" s="20">
        <v>4863</v>
      </c>
      <c r="B4854" s="1072">
        <v>44524</v>
      </c>
      <c r="C4854" s="1040" t="s">
        <v>16442</v>
      </c>
      <c r="D4854" s="1445"/>
      <c r="E4854" s="884" t="s">
        <v>16339</v>
      </c>
      <c r="F4854" s="1040" t="s">
        <v>16340</v>
      </c>
      <c r="G4854" s="889" t="s">
        <v>16443</v>
      </c>
      <c r="H4854" s="900" t="s">
        <v>817</v>
      </c>
      <c r="I4854" s="900" t="s">
        <v>16444</v>
      </c>
      <c r="J4854" s="900" t="s">
        <v>16445</v>
      </c>
      <c r="K4854" s="889" t="s">
        <v>16446</v>
      </c>
      <c r="L4854" s="1114" t="s">
        <v>14120</v>
      </c>
      <c r="M4854" s="900">
        <v>6</v>
      </c>
      <c r="N4854" s="900">
        <v>10</v>
      </c>
      <c r="O4854" s="900">
        <v>20</v>
      </c>
      <c r="P4854" s="900">
        <v>0</v>
      </c>
      <c r="Q4854" s="899">
        <v>14</v>
      </c>
      <c r="R4854" s="1370">
        <v>353.8</v>
      </c>
      <c r="S4854" s="1370">
        <v>7076</v>
      </c>
      <c r="T4854" s="899" t="s">
        <v>12330</v>
      </c>
      <c r="U4854" s="1957" t="s">
        <v>16236</v>
      </c>
      <c r="V4854" s="129" t="s">
        <v>5990</v>
      </c>
      <c r="W4854" s="890" t="s">
        <v>16447</v>
      </c>
      <c r="X4854" s="18"/>
      <c r="Y4854" s="4"/>
      <c r="Z4854" s="4"/>
    </row>
    <row r="4855" spans="1:26" ht="14.1" hidden="1">
      <c r="A4855" s="20">
        <v>4864</v>
      </c>
      <c r="B4855" s="1072">
        <v>44524</v>
      </c>
      <c r="C4855" s="1040" t="s">
        <v>16448</v>
      </c>
      <c r="D4855" s="1445"/>
      <c r="E4855" s="884" t="s">
        <v>16339</v>
      </c>
      <c r="F4855" s="1040" t="s">
        <v>16340</v>
      </c>
      <c r="G4855" s="889" t="s">
        <v>16449</v>
      </c>
      <c r="H4855" s="900" t="s">
        <v>1059</v>
      </c>
      <c r="I4855" s="900" t="s">
        <v>4634</v>
      </c>
      <c r="J4855" s="901" t="s">
        <v>16450</v>
      </c>
      <c r="K4855" s="888" t="s">
        <v>9918</v>
      </c>
      <c r="L4855" s="900" t="s">
        <v>16451</v>
      </c>
      <c r="M4855" s="900">
        <v>4</v>
      </c>
      <c r="N4855" s="900">
        <v>10</v>
      </c>
      <c r="O4855" s="900">
        <v>10</v>
      </c>
      <c r="P4855" s="900">
        <v>0</v>
      </c>
      <c r="Q4855" s="899">
        <v>6</v>
      </c>
      <c r="R4855" s="1370">
        <v>71.2</v>
      </c>
      <c r="S4855" s="1370">
        <v>712</v>
      </c>
      <c r="T4855" s="899" t="s">
        <v>12330</v>
      </c>
      <c r="U4855" s="1957" t="s">
        <v>16236</v>
      </c>
      <c r="V4855" s="129" t="s">
        <v>5990</v>
      </c>
      <c r="W4855" s="890" t="s">
        <v>16452</v>
      </c>
      <c r="X4855" s="18"/>
      <c r="Y4855" s="4"/>
      <c r="Z4855" s="4"/>
    </row>
    <row r="4856" spans="1:26" ht="14.1" hidden="1">
      <c r="A4856" s="20">
        <v>4865</v>
      </c>
      <c r="B4856" s="1072">
        <v>44524</v>
      </c>
      <c r="C4856" s="1041" t="s">
        <v>16453</v>
      </c>
      <c r="D4856" s="1445"/>
      <c r="E4856" s="884" t="s">
        <v>16339</v>
      </c>
      <c r="F4856" s="1040" t="s">
        <v>16340</v>
      </c>
      <c r="G4856" s="888" t="s">
        <v>16454</v>
      </c>
      <c r="H4856" s="900" t="s">
        <v>249</v>
      </c>
      <c r="I4856" s="900" t="s">
        <v>4634</v>
      </c>
      <c r="J4856" s="900" t="s">
        <v>11116</v>
      </c>
      <c r="K4856" s="889" t="s">
        <v>7081</v>
      </c>
      <c r="L4856" s="1114" t="s">
        <v>14346</v>
      </c>
      <c r="M4856" s="900">
        <v>2</v>
      </c>
      <c r="N4856" s="900">
        <v>6</v>
      </c>
      <c r="O4856" s="900">
        <v>6</v>
      </c>
      <c r="P4856" s="900">
        <v>0</v>
      </c>
      <c r="Q4856" s="899">
        <v>4</v>
      </c>
      <c r="R4856" s="1370">
        <v>561.70000000000005</v>
      </c>
      <c r="S4856" s="1370">
        <v>3370.2</v>
      </c>
      <c r="T4856" s="899" t="s">
        <v>12330</v>
      </c>
      <c r="U4856" s="1957" t="s">
        <v>16236</v>
      </c>
      <c r="V4856" s="129" t="s">
        <v>5990</v>
      </c>
      <c r="W4856" s="890" t="s">
        <v>16455</v>
      </c>
      <c r="X4856" s="18"/>
      <c r="Y4856" s="4"/>
      <c r="Z4856" s="4"/>
    </row>
    <row r="4857" spans="1:26" ht="14.1" hidden="1">
      <c r="A4857" s="20">
        <v>4866</v>
      </c>
      <c r="B4857" s="1072">
        <v>44524</v>
      </c>
      <c r="C4857" s="1041" t="s">
        <v>10873</v>
      </c>
      <c r="D4857" s="1445"/>
      <c r="E4857" s="884" t="s">
        <v>16339</v>
      </c>
      <c r="F4857" s="1041" t="s">
        <v>16340</v>
      </c>
      <c r="G4857" s="888" t="s">
        <v>16456</v>
      </c>
      <c r="H4857" s="900" t="s">
        <v>16457</v>
      </c>
      <c r="I4857" s="900" t="s">
        <v>4634</v>
      </c>
      <c r="J4857" s="901" t="s">
        <v>16458</v>
      </c>
      <c r="K4857" s="888" t="s">
        <v>16459</v>
      </c>
      <c r="L4857" s="900" t="s">
        <v>16460</v>
      </c>
      <c r="M4857" s="900">
        <v>6</v>
      </c>
      <c r="N4857" s="900">
        <v>10</v>
      </c>
      <c r="O4857" s="900">
        <v>20</v>
      </c>
      <c r="P4857" s="900">
        <v>0</v>
      </c>
      <c r="Q4857" s="899">
        <v>14</v>
      </c>
      <c r="R4857" s="1370">
        <v>46.1</v>
      </c>
      <c r="S4857" s="1370">
        <v>922</v>
      </c>
      <c r="T4857" s="899" t="s">
        <v>12330</v>
      </c>
      <c r="U4857" s="1957" t="s">
        <v>16236</v>
      </c>
      <c r="V4857" s="129" t="s">
        <v>5990</v>
      </c>
      <c r="W4857" s="890" t="s">
        <v>16461</v>
      </c>
      <c r="X4857" s="18"/>
      <c r="Y4857" s="4"/>
      <c r="Z4857" s="4"/>
    </row>
    <row r="4858" spans="1:26" ht="14.1" hidden="1">
      <c r="A4858" s="20">
        <v>4867</v>
      </c>
      <c r="B4858" s="1072">
        <v>44524</v>
      </c>
      <c r="C4858" s="1041" t="s">
        <v>16462</v>
      </c>
      <c r="D4858" s="1445"/>
      <c r="E4858" s="884" t="s">
        <v>16339</v>
      </c>
      <c r="F4858" s="1041" t="s">
        <v>16340</v>
      </c>
      <c r="G4858" s="888" t="s">
        <v>16463</v>
      </c>
      <c r="H4858" s="900" t="s">
        <v>598</v>
      </c>
      <c r="I4858" s="900" t="s">
        <v>4634</v>
      </c>
      <c r="J4858" s="901" t="s">
        <v>8647</v>
      </c>
      <c r="K4858" s="888" t="s">
        <v>1991</v>
      </c>
      <c r="L4858" s="901" t="s">
        <v>16464</v>
      </c>
      <c r="M4858" s="900">
        <v>22</v>
      </c>
      <c r="N4858" s="900">
        <v>10</v>
      </c>
      <c r="O4858" s="900">
        <v>60</v>
      </c>
      <c r="P4858" s="900">
        <v>0</v>
      </c>
      <c r="Q4858" s="899">
        <v>38</v>
      </c>
      <c r="R4858" s="1370">
        <v>21.4</v>
      </c>
      <c r="S4858" s="1370">
        <v>1284</v>
      </c>
      <c r="T4858" s="899" t="s">
        <v>12330</v>
      </c>
      <c r="U4858" s="1957" t="s">
        <v>16236</v>
      </c>
      <c r="V4858" s="129" t="s">
        <v>5990</v>
      </c>
      <c r="W4858" s="890" t="s">
        <v>16465</v>
      </c>
      <c r="X4858" s="18"/>
      <c r="Y4858" s="4"/>
      <c r="Z4858" s="4"/>
    </row>
    <row r="4859" spans="1:26" ht="14.1" hidden="1">
      <c r="A4859" s="20">
        <v>4868</v>
      </c>
      <c r="B4859" s="1072">
        <v>44524</v>
      </c>
      <c r="C4859" s="1042" t="s">
        <v>16466</v>
      </c>
      <c r="D4859" s="1445"/>
      <c r="E4859" s="884" t="s">
        <v>16339</v>
      </c>
      <c r="F4859" s="1041" t="s">
        <v>16340</v>
      </c>
      <c r="G4859" s="888" t="s">
        <v>16467</v>
      </c>
      <c r="H4859" s="899" t="s">
        <v>3097</v>
      </c>
      <c r="I4859" s="900" t="s">
        <v>4634</v>
      </c>
      <c r="J4859" s="901" t="s">
        <v>16468</v>
      </c>
      <c r="K4859" s="888" t="s">
        <v>7093</v>
      </c>
      <c r="L4859" s="901" t="s">
        <v>16469</v>
      </c>
      <c r="M4859" s="900">
        <v>2</v>
      </c>
      <c r="N4859" s="900">
        <v>10</v>
      </c>
      <c r="O4859" s="900">
        <v>10</v>
      </c>
      <c r="P4859" s="900">
        <v>0</v>
      </c>
      <c r="Q4859" s="899">
        <v>8</v>
      </c>
      <c r="R4859" s="1370">
        <v>40.200000000000003</v>
      </c>
      <c r="S4859" s="1370">
        <v>402</v>
      </c>
      <c r="T4859" s="899" t="s">
        <v>12330</v>
      </c>
      <c r="U4859" s="1957" t="s">
        <v>16236</v>
      </c>
      <c r="V4859" s="129" t="s">
        <v>5990</v>
      </c>
      <c r="W4859" s="890" t="s">
        <v>16470</v>
      </c>
      <c r="X4859" s="18"/>
      <c r="Y4859" s="4"/>
      <c r="Z4859" s="4"/>
    </row>
    <row r="4860" spans="1:26" ht="14.1" hidden="1">
      <c r="A4860" s="20">
        <v>4869</v>
      </c>
      <c r="B4860" s="1072">
        <v>44524</v>
      </c>
      <c r="C4860" s="1040" t="s">
        <v>16471</v>
      </c>
      <c r="D4860" s="1445"/>
      <c r="E4860" s="884" t="s">
        <v>16339</v>
      </c>
      <c r="F4860" s="1041" t="s">
        <v>16340</v>
      </c>
      <c r="G4860" s="887" t="s">
        <v>14110</v>
      </c>
      <c r="H4860" s="899" t="s">
        <v>14111</v>
      </c>
      <c r="I4860" s="899" t="s">
        <v>4634</v>
      </c>
      <c r="J4860" s="901" t="s">
        <v>14112</v>
      </c>
      <c r="K4860" s="888" t="s">
        <v>14113</v>
      </c>
      <c r="L4860" s="899" t="s">
        <v>7337</v>
      </c>
      <c r="M4860" s="899">
        <v>8</v>
      </c>
      <c r="N4860" s="900">
        <v>10</v>
      </c>
      <c r="O4860" s="900">
        <v>20</v>
      </c>
      <c r="P4860" s="899">
        <v>3</v>
      </c>
      <c r="Q4860" s="899">
        <v>15</v>
      </c>
      <c r="R4860" s="1369">
        <v>278.5</v>
      </c>
      <c r="S4860" s="1370">
        <v>5570</v>
      </c>
      <c r="T4860" s="899" t="s">
        <v>12330</v>
      </c>
      <c r="U4860" s="1957" t="s">
        <v>16236</v>
      </c>
      <c r="V4860" s="129" t="s">
        <v>5990</v>
      </c>
      <c r="W4860" s="890" t="s">
        <v>14115</v>
      </c>
      <c r="X4860" s="18"/>
      <c r="Y4860" s="4"/>
      <c r="Z4860" s="4"/>
    </row>
    <row r="4861" spans="1:26" ht="14.1" hidden="1">
      <c r="A4861" s="20">
        <v>4870</v>
      </c>
      <c r="B4861" s="1072">
        <v>44524</v>
      </c>
      <c r="C4861" s="1042" t="s">
        <v>14139</v>
      </c>
      <c r="D4861" s="1445"/>
      <c r="E4861" s="884" t="s">
        <v>16339</v>
      </c>
      <c r="F4861" s="1041" t="s">
        <v>16340</v>
      </c>
      <c r="G4861" s="888" t="s">
        <v>14140</v>
      </c>
      <c r="H4861" s="899" t="s">
        <v>243</v>
      </c>
      <c r="I4861" s="899" t="s">
        <v>4634</v>
      </c>
      <c r="J4861" s="901" t="s">
        <v>14141</v>
      </c>
      <c r="K4861" s="888" t="s">
        <v>14142</v>
      </c>
      <c r="L4861" s="901" t="s">
        <v>14143</v>
      </c>
      <c r="M4861" s="899">
        <v>18</v>
      </c>
      <c r="N4861" s="900">
        <v>10</v>
      </c>
      <c r="O4861" s="900">
        <v>50</v>
      </c>
      <c r="P4861" s="899">
        <v>0</v>
      </c>
      <c r="Q4861" s="899">
        <v>32</v>
      </c>
      <c r="R4861" s="1369">
        <v>453.1</v>
      </c>
      <c r="S4861" s="1370">
        <v>22655</v>
      </c>
      <c r="T4861" s="899" t="s">
        <v>12330</v>
      </c>
      <c r="U4861" s="1957" t="s">
        <v>16236</v>
      </c>
      <c r="V4861" s="129" t="s">
        <v>5990</v>
      </c>
      <c r="W4861" s="890" t="s">
        <v>14144</v>
      </c>
      <c r="X4861" s="18"/>
      <c r="Y4861" s="4"/>
      <c r="Z4861" s="4"/>
    </row>
    <row r="4862" spans="1:26" ht="14.1" hidden="1">
      <c r="A4862" s="20">
        <v>4871</v>
      </c>
      <c r="B4862" s="1072">
        <v>44524</v>
      </c>
      <c r="C4862" s="1041" t="s">
        <v>16472</v>
      </c>
      <c r="D4862" s="1445"/>
      <c r="E4862" s="884" t="s">
        <v>16339</v>
      </c>
      <c r="F4862" s="1041" t="s">
        <v>16340</v>
      </c>
      <c r="G4862" s="888" t="s">
        <v>16473</v>
      </c>
      <c r="H4862" s="899" t="s">
        <v>3097</v>
      </c>
      <c r="I4862" s="900" t="s">
        <v>4634</v>
      </c>
      <c r="J4862" s="901" t="s">
        <v>16474</v>
      </c>
      <c r="K4862" s="888" t="s">
        <v>7086</v>
      </c>
      <c r="L4862" s="901" t="s">
        <v>16475</v>
      </c>
      <c r="M4862" s="900">
        <v>2</v>
      </c>
      <c r="N4862" s="900">
        <v>10</v>
      </c>
      <c r="O4862" s="900">
        <v>10</v>
      </c>
      <c r="P4862" s="900">
        <v>0</v>
      </c>
      <c r="Q4862" s="899">
        <v>8</v>
      </c>
      <c r="R4862" s="1370">
        <v>73.8</v>
      </c>
      <c r="S4862" s="1370">
        <v>738</v>
      </c>
      <c r="T4862" s="899" t="s">
        <v>12330</v>
      </c>
      <c r="U4862" s="1957" t="s">
        <v>16236</v>
      </c>
      <c r="V4862" s="129" t="s">
        <v>5990</v>
      </c>
      <c r="W4862" s="890" t="s">
        <v>16476</v>
      </c>
      <c r="X4862" s="18"/>
      <c r="Y4862" s="4"/>
      <c r="Z4862" s="4"/>
    </row>
    <row r="4863" spans="1:26" ht="14.1" hidden="1">
      <c r="A4863" s="20">
        <v>4872</v>
      </c>
      <c r="B4863" s="1072">
        <v>44524</v>
      </c>
      <c r="C4863" s="1041" t="s">
        <v>234</v>
      </c>
      <c r="D4863" s="1445"/>
      <c r="E4863" s="884" t="s">
        <v>16339</v>
      </c>
      <c r="F4863" s="1041" t="s">
        <v>16340</v>
      </c>
      <c r="G4863" s="888" t="s">
        <v>16477</v>
      </c>
      <c r="H4863" s="899" t="s">
        <v>511</v>
      </c>
      <c r="I4863" s="900" t="s">
        <v>4634</v>
      </c>
      <c r="J4863" s="901" t="s">
        <v>16478</v>
      </c>
      <c r="K4863" s="888" t="s">
        <v>16479</v>
      </c>
      <c r="L4863" s="901" t="s">
        <v>16480</v>
      </c>
      <c r="M4863" s="900">
        <v>2</v>
      </c>
      <c r="N4863" s="900">
        <v>10</v>
      </c>
      <c r="O4863" s="900">
        <v>10</v>
      </c>
      <c r="P4863" s="900">
        <v>0</v>
      </c>
      <c r="Q4863" s="899">
        <v>8</v>
      </c>
      <c r="R4863" s="1370">
        <v>40.6</v>
      </c>
      <c r="S4863" s="1370">
        <v>406</v>
      </c>
      <c r="T4863" s="899" t="s">
        <v>12330</v>
      </c>
      <c r="U4863" s="1957" t="s">
        <v>16236</v>
      </c>
      <c r="V4863" s="129" t="s">
        <v>5990</v>
      </c>
      <c r="W4863" s="890" t="s">
        <v>16481</v>
      </c>
      <c r="X4863" s="18"/>
      <c r="Y4863" s="4"/>
      <c r="Z4863" s="4"/>
    </row>
    <row r="4864" spans="1:26" ht="14.1" hidden="1">
      <c r="A4864" s="20">
        <v>4873</v>
      </c>
      <c r="B4864" s="1072">
        <v>44524</v>
      </c>
      <c r="C4864" s="1042" t="s">
        <v>14122</v>
      </c>
      <c r="D4864" s="1445"/>
      <c r="E4864" s="884" t="s">
        <v>16339</v>
      </c>
      <c r="F4864" s="1040" t="s">
        <v>16340</v>
      </c>
      <c r="G4864" s="888" t="s">
        <v>16482</v>
      </c>
      <c r="H4864" s="899" t="s">
        <v>460</v>
      </c>
      <c r="I4864" s="899" t="s">
        <v>4634</v>
      </c>
      <c r="J4864" s="901" t="s">
        <v>14124</v>
      </c>
      <c r="K4864" s="888" t="s">
        <v>14125</v>
      </c>
      <c r="L4864" s="899" t="s">
        <v>14126</v>
      </c>
      <c r="M4864" s="899">
        <v>6</v>
      </c>
      <c r="N4864" s="900">
        <v>10</v>
      </c>
      <c r="O4864" s="900">
        <v>20</v>
      </c>
      <c r="P4864" s="899">
        <v>0</v>
      </c>
      <c r="Q4864" s="899">
        <v>14</v>
      </c>
      <c r="R4864" s="1369">
        <v>108.6</v>
      </c>
      <c r="S4864" s="1370">
        <v>2172</v>
      </c>
      <c r="T4864" s="899" t="s">
        <v>12330</v>
      </c>
      <c r="U4864" s="1957" t="s">
        <v>16236</v>
      </c>
      <c r="V4864" s="129" t="s">
        <v>5990</v>
      </c>
      <c r="W4864" s="890" t="s">
        <v>14127</v>
      </c>
      <c r="X4864" s="18"/>
      <c r="Y4864" s="4"/>
      <c r="Z4864" s="4"/>
    </row>
    <row r="4865" spans="1:26" ht="14.1" hidden="1">
      <c r="A4865" s="20">
        <v>4874</v>
      </c>
      <c r="B4865" s="1072">
        <v>44524</v>
      </c>
      <c r="C4865" s="1040" t="s">
        <v>16483</v>
      </c>
      <c r="D4865" s="1445"/>
      <c r="E4865" s="884" t="s">
        <v>16339</v>
      </c>
      <c r="F4865" s="1040" t="s">
        <v>16340</v>
      </c>
      <c r="G4865" s="887" t="s">
        <v>14129</v>
      </c>
      <c r="H4865" s="899" t="s">
        <v>460</v>
      </c>
      <c r="I4865" s="899" t="s">
        <v>4634</v>
      </c>
      <c r="J4865" s="1105" t="s">
        <v>16484</v>
      </c>
      <c r="K4865" s="893" t="s">
        <v>12359</v>
      </c>
      <c r="L4865" s="1115" t="s">
        <v>344</v>
      </c>
      <c r="M4865" s="899">
        <v>4</v>
      </c>
      <c r="N4865" s="900">
        <v>10</v>
      </c>
      <c r="O4865" s="900">
        <v>20</v>
      </c>
      <c r="P4865" s="899">
        <v>0</v>
      </c>
      <c r="Q4865" s="899">
        <v>0</v>
      </c>
      <c r="R4865" s="1369">
        <v>38.799999999999997</v>
      </c>
      <c r="S4865" s="1370">
        <v>776</v>
      </c>
      <c r="T4865" s="899" t="s">
        <v>12330</v>
      </c>
      <c r="U4865" s="1957" t="s">
        <v>16236</v>
      </c>
      <c r="V4865" s="129" t="s">
        <v>5990</v>
      </c>
      <c r="W4865" s="898" t="s">
        <v>16485</v>
      </c>
      <c r="X4865" s="18"/>
      <c r="Y4865" s="4"/>
      <c r="Z4865" s="4"/>
    </row>
    <row r="4866" spans="1:26" ht="14.1" hidden="1">
      <c r="A4866" s="20">
        <v>4875</v>
      </c>
      <c r="B4866" s="1072">
        <v>44524</v>
      </c>
      <c r="C4866" s="1041" t="s">
        <v>16486</v>
      </c>
      <c r="D4866" s="1445"/>
      <c r="E4866" s="884" t="s">
        <v>16339</v>
      </c>
      <c r="F4866" s="1040" t="s">
        <v>16340</v>
      </c>
      <c r="G4866" s="889" t="s">
        <v>15201</v>
      </c>
      <c r="H4866" s="899" t="s">
        <v>511</v>
      </c>
      <c r="I4866" s="899" t="s">
        <v>4634</v>
      </c>
      <c r="J4866" s="1104" t="s">
        <v>15202</v>
      </c>
      <c r="K4866" s="885" t="s">
        <v>15203</v>
      </c>
      <c r="L4866" s="1106" t="s">
        <v>15204</v>
      </c>
      <c r="M4866" s="900">
        <v>20</v>
      </c>
      <c r="N4866" s="900">
        <v>10</v>
      </c>
      <c r="O4866" s="900">
        <v>50</v>
      </c>
      <c r="P4866" s="900">
        <v>0</v>
      </c>
      <c r="Q4866" s="900">
        <v>30</v>
      </c>
      <c r="R4866" s="1370">
        <v>48.9</v>
      </c>
      <c r="S4866" s="1370">
        <v>2445</v>
      </c>
      <c r="T4866" s="899" t="s">
        <v>12330</v>
      </c>
      <c r="U4866" s="1957" t="s">
        <v>16236</v>
      </c>
      <c r="V4866" s="129" t="s">
        <v>5990</v>
      </c>
      <c r="W4866" s="886" t="s">
        <v>15205</v>
      </c>
      <c r="X4866" s="18"/>
      <c r="Y4866" s="4"/>
      <c r="Z4866" s="4"/>
    </row>
    <row r="4867" spans="1:26" ht="37.5" hidden="1">
      <c r="A4867" s="20">
        <v>4876</v>
      </c>
      <c r="B4867" s="1072">
        <v>44524</v>
      </c>
      <c r="C4867" s="1123" t="s">
        <v>8784</v>
      </c>
      <c r="D4867" s="1445"/>
      <c r="E4867" s="884" t="s">
        <v>16339</v>
      </c>
      <c r="F4867" s="1124" t="s">
        <v>15223</v>
      </c>
      <c r="G4867" s="1125" t="s">
        <v>16487</v>
      </c>
      <c r="H4867" s="873" t="s">
        <v>201</v>
      </c>
      <c r="I4867" s="899" t="s">
        <v>4634</v>
      </c>
      <c r="J4867" s="1125" t="s">
        <v>14039</v>
      </c>
      <c r="K4867" s="1125" t="s">
        <v>3666</v>
      </c>
      <c r="L4867" s="873" t="s">
        <v>8980</v>
      </c>
      <c r="M4867" s="873">
        <v>24</v>
      </c>
      <c r="N4867" s="874">
        <v>10</v>
      </c>
      <c r="O4867" s="874">
        <v>30</v>
      </c>
      <c r="P4867" s="873">
        <v>7</v>
      </c>
      <c r="Q4867" s="1124">
        <v>13</v>
      </c>
      <c r="R4867" s="1371">
        <v>63.8</v>
      </c>
      <c r="S4867" s="1371">
        <v>1914</v>
      </c>
      <c r="T4867" s="873" t="s">
        <v>12330</v>
      </c>
      <c r="U4867" s="1958" t="s">
        <v>14027</v>
      </c>
      <c r="V4867" s="1840" t="s">
        <v>5990</v>
      </c>
      <c r="W4867" s="1126" t="s">
        <v>14040</v>
      </c>
      <c r="X4867" s="1039" t="s">
        <v>16488</v>
      </c>
      <c r="Y4867" s="4"/>
      <c r="Z4867" s="4"/>
    </row>
    <row r="4868" spans="1:26" ht="37.5" hidden="1">
      <c r="A4868" s="20">
        <v>4877</v>
      </c>
      <c r="B4868" s="1072">
        <v>44524</v>
      </c>
      <c r="C4868" s="1127" t="s">
        <v>16489</v>
      </c>
      <c r="D4868" s="1445"/>
      <c r="E4868" s="884" t="s">
        <v>16339</v>
      </c>
      <c r="F4868" s="873" t="s">
        <v>15223</v>
      </c>
      <c r="G4868" s="1042" t="s">
        <v>16490</v>
      </c>
      <c r="H4868" s="1128" t="s">
        <v>332</v>
      </c>
      <c r="I4868" s="899" t="s">
        <v>4634</v>
      </c>
      <c r="J4868" s="1042" t="s">
        <v>15165</v>
      </c>
      <c r="K4868" s="1042" t="s">
        <v>15166</v>
      </c>
      <c r="L4868" s="1128" t="s">
        <v>8980</v>
      </c>
      <c r="M4868" s="1128">
        <v>12</v>
      </c>
      <c r="N4868" s="1041">
        <v>10</v>
      </c>
      <c r="O4868" s="1041">
        <v>20</v>
      </c>
      <c r="P4868" s="1128">
        <v>7</v>
      </c>
      <c r="Q4868" s="873">
        <v>15</v>
      </c>
      <c r="R4868" s="1372">
        <v>16.899999999999999</v>
      </c>
      <c r="S4868" s="1373">
        <v>338</v>
      </c>
      <c r="T4868" s="1128" t="s">
        <v>12330</v>
      </c>
      <c r="U4868" s="1959" t="s">
        <v>14027</v>
      </c>
      <c r="V4868" s="1840" t="s">
        <v>5990</v>
      </c>
      <c r="W4868" s="1129" t="s">
        <v>15167</v>
      </c>
      <c r="X4868" s="1130" t="s">
        <v>16488</v>
      </c>
      <c r="Y4868" s="4"/>
      <c r="Z4868" s="4"/>
    </row>
    <row r="4869" spans="1:26" ht="14.45" hidden="1">
      <c r="A4869" s="20">
        <v>4878</v>
      </c>
      <c r="B4869" s="1072">
        <v>44524</v>
      </c>
      <c r="C4869" s="1127" t="s">
        <v>8769</v>
      </c>
      <c r="D4869" s="1445"/>
      <c r="E4869" s="884" t="s">
        <v>16339</v>
      </c>
      <c r="F4869" s="1128" t="s">
        <v>15223</v>
      </c>
      <c r="G4869" s="1042" t="s">
        <v>16491</v>
      </c>
      <c r="H4869" s="1128" t="s">
        <v>144</v>
      </c>
      <c r="I4869" s="899" t="s">
        <v>4634</v>
      </c>
      <c r="J4869" s="1042" t="s">
        <v>14046</v>
      </c>
      <c r="K4869" s="1042" t="s">
        <v>14047</v>
      </c>
      <c r="L4869" s="1128" t="s">
        <v>14048</v>
      </c>
      <c r="M4869" s="1128">
        <v>6</v>
      </c>
      <c r="N4869" s="1041">
        <v>10</v>
      </c>
      <c r="O4869" s="1041">
        <v>20</v>
      </c>
      <c r="P4869" s="1128">
        <v>0</v>
      </c>
      <c r="Q4869" s="1128">
        <v>14</v>
      </c>
      <c r="R4869" s="1373">
        <v>84.8</v>
      </c>
      <c r="S4869" s="1373">
        <v>1696</v>
      </c>
      <c r="T4869" s="1128" t="s">
        <v>12330</v>
      </c>
      <c r="U4869" s="1959" t="s">
        <v>14027</v>
      </c>
      <c r="V4869" s="1840" t="s">
        <v>5990</v>
      </c>
      <c r="W4869" s="1131" t="s">
        <v>14049</v>
      </c>
      <c r="X4869" s="1130" t="s">
        <v>16492</v>
      </c>
      <c r="Y4869" s="4"/>
      <c r="Z4869" s="4"/>
    </row>
    <row r="4870" spans="1:26" ht="37.5" hidden="1">
      <c r="A4870" s="20">
        <v>4879</v>
      </c>
      <c r="B4870" s="1072">
        <v>44524</v>
      </c>
      <c r="C4870" s="1127" t="s">
        <v>16493</v>
      </c>
      <c r="D4870" s="1445"/>
      <c r="E4870" s="884" t="s">
        <v>16339</v>
      </c>
      <c r="F4870" s="1128" t="s">
        <v>15223</v>
      </c>
      <c r="G4870" s="1042" t="s">
        <v>16494</v>
      </c>
      <c r="H4870" s="1128" t="s">
        <v>332</v>
      </c>
      <c r="I4870" s="899" t="s">
        <v>4634</v>
      </c>
      <c r="J4870" s="1042" t="s">
        <v>15169</v>
      </c>
      <c r="K4870" s="1042" t="s">
        <v>15170</v>
      </c>
      <c r="L4870" s="1128" t="s">
        <v>8980</v>
      </c>
      <c r="M4870" s="1128">
        <v>12</v>
      </c>
      <c r="N4870" s="1041">
        <v>10</v>
      </c>
      <c r="O4870" s="1041">
        <v>20</v>
      </c>
      <c r="P4870" s="1128">
        <v>8</v>
      </c>
      <c r="Q4870" s="1128">
        <v>16</v>
      </c>
      <c r="R4870" s="1372">
        <v>10.7</v>
      </c>
      <c r="S4870" s="1373">
        <v>214</v>
      </c>
      <c r="T4870" s="1128" t="s">
        <v>12330</v>
      </c>
      <c r="U4870" s="1959" t="s">
        <v>14027</v>
      </c>
      <c r="V4870" s="1840" t="s">
        <v>5990</v>
      </c>
      <c r="W4870" s="1129" t="s">
        <v>15171</v>
      </c>
      <c r="X4870" s="1130" t="s">
        <v>16488</v>
      </c>
      <c r="Y4870" s="4"/>
      <c r="Z4870" s="4"/>
    </row>
    <row r="4871" spans="1:26" ht="14.45" hidden="1">
      <c r="A4871" s="20">
        <v>4880</v>
      </c>
      <c r="B4871" s="1072">
        <v>44524</v>
      </c>
      <c r="C4871" s="1132" t="s">
        <v>15195</v>
      </c>
      <c r="D4871" s="1445"/>
      <c r="E4871" s="884" t="s">
        <v>16339</v>
      </c>
      <c r="F4871" s="873" t="s">
        <v>15223</v>
      </c>
      <c r="G4871" s="874" t="s">
        <v>15196</v>
      </c>
      <c r="H4871" s="1039" t="s">
        <v>460</v>
      </c>
      <c r="I4871" s="899" t="s">
        <v>4634</v>
      </c>
      <c r="J4871" s="1133" t="s">
        <v>15197</v>
      </c>
      <c r="K4871" s="1125" t="s">
        <v>15198</v>
      </c>
      <c r="L4871" s="1134" t="s">
        <v>15193</v>
      </c>
      <c r="M4871" s="874">
        <v>6</v>
      </c>
      <c r="N4871" s="874">
        <v>10</v>
      </c>
      <c r="O4871" s="874">
        <v>10</v>
      </c>
      <c r="P4871" s="874">
        <v>5</v>
      </c>
      <c r="Q4871" s="873">
        <v>9</v>
      </c>
      <c r="R4871" s="1374">
        <v>40.6</v>
      </c>
      <c r="S4871" s="1375">
        <v>406</v>
      </c>
      <c r="T4871" s="873" t="s">
        <v>12330</v>
      </c>
      <c r="U4871" s="1958" t="s">
        <v>14027</v>
      </c>
      <c r="V4871" s="1840" t="s">
        <v>5990</v>
      </c>
      <c r="W4871" s="1136" t="s">
        <v>15199</v>
      </c>
      <c r="X4871" s="1135" t="s">
        <v>16488</v>
      </c>
      <c r="Y4871" s="4"/>
      <c r="Z4871" s="4"/>
    </row>
    <row r="4872" spans="1:26" ht="14.45" hidden="1">
      <c r="A4872" s="20">
        <v>4881</v>
      </c>
      <c r="B4872" s="1072">
        <v>44524</v>
      </c>
      <c r="C4872" s="1137" t="s">
        <v>16495</v>
      </c>
      <c r="D4872" s="1445"/>
      <c r="E4872" s="884" t="s">
        <v>16339</v>
      </c>
      <c r="F4872" s="1128" t="s">
        <v>15223</v>
      </c>
      <c r="G4872" s="1042" t="s">
        <v>16496</v>
      </c>
      <c r="H4872" s="1130" t="s">
        <v>1143</v>
      </c>
      <c r="I4872" s="899" t="s">
        <v>4634</v>
      </c>
      <c r="J4872" s="1130" t="s">
        <v>16497</v>
      </c>
      <c r="K4872" s="1130" t="s">
        <v>16498</v>
      </c>
      <c r="L4872" s="1128" t="s">
        <v>16499</v>
      </c>
      <c r="M4872" s="1130">
        <v>2</v>
      </c>
      <c r="N4872" s="1130">
        <v>1</v>
      </c>
      <c r="O4872" s="1130">
        <v>6</v>
      </c>
      <c r="P4872" s="1130">
        <v>0</v>
      </c>
      <c r="Q4872" s="1128">
        <v>4</v>
      </c>
      <c r="R4872" s="1376">
        <v>103.6</v>
      </c>
      <c r="S4872" s="1376">
        <v>621.6</v>
      </c>
      <c r="T4872" s="1040" t="s">
        <v>12330</v>
      </c>
      <c r="U4872" s="1960" t="s">
        <v>14027</v>
      </c>
      <c r="V4872" s="54" t="s">
        <v>5990</v>
      </c>
      <c r="W4872" s="1138" t="s">
        <v>16500</v>
      </c>
      <c r="X4872" s="1130" t="s">
        <v>16488</v>
      </c>
      <c r="Y4872" s="4"/>
      <c r="Z4872" s="4"/>
    </row>
    <row r="4873" spans="1:26" ht="14.45" hidden="1">
      <c r="A4873" s="20">
        <v>4882</v>
      </c>
      <c r="B4873" s="1072">
        <v>44524</v>
      </c>
      <c r="C4873" s="1137" t="s">
        <v>16501</v>
      </c>
      <c r="D4873" s="1445"/>
      <c r="E4873" s="884" t="s">
        <v>16339</v>
      </c>
      <c r="F4873" s="1128" t="s">
        <v>15223</v>
      </c>
      <c r="G4873" s="1130" t="s">
        <v>16502</v>
      </c>
      <c r="H4873" s="1130" t="s">
        <v>10376</v>
      </c>
      <c r="I4873" s="899" t="s">
        <v>4634</v>
      </c>
      <c r="J4873" s="1130" t="s">
        <v>16503</v>
      </c>
      <c r="K4873" s="1130" t="s">
        <v>16504</v>
      </c>
      <c r="L4873" s="1130" t="s">
        <v>7002</v>
      </c>
      <c r="M4873" s="1130">
        <v>4</v>
      </c>
      <c r="N4873" s="1130">
        <v>10</v>
      </c>
      <c r="O4873" s="1130">
        <v>10</v>
      </c>
      <c r="P4873" s="1130">
        <v>0</v>
      </c>
      <c r="Q4873" s="1128">
        <v>6</v>
      </c>
      <c r="R4873" s="1376">
        <v>913.3</v>
      </c>
      <c r="S4873" s="1376">
        <v>9133</v>
      </c>
      <c r="T4873" s="1040" t="s">
        <v>12330</v>
      </c>
      <c r="U4873" s="1960" t="s">
        <v>14027</v>
      </c>
      <c r="V4873" s="54" t="s">
        <v>5990</v>
      </c>
      <c r="W4873" s="1138" t="s">
        <v>16505</v>
      </c>
      <c r="X4873" s="1130" t="s">
        <v>16488</v>
      </c>
      <c r="Y4873" s="4"/>
      <c r="Z4873" s="4"/>
    </row>
    <row r="4874" spans="1:26" ht="16.5" hidden="1" customHeight="1">
      <c r="A4874" s="20">
        <v>4883</v>
      </c>
      <c r="B4874" s="1072">
        <v>44524</v>
      </c>
      <c r="C4874" s="1139" t="s">
        <v>14198</v>
      </c>
      <c r="D4874" s="1445"/>
      <c r="E4874" s="884" t="s">
        <v>16339</v>
      </c>
      <c r="F4874" s="1128" t="s">
        <v>15223</v>
      </c>
      <c r="G4874" s="1042" t="s">
        <v>14199</v>
      </c>
      <c r="H4874" s="1128" t="s">
        <v>10376</v>
      </c>
      <c r="I4874" s="899" t="s">
        <v>4634</v>
      </c>
      <c r="J4874" s="1042" t="s">
        <v>14200</v>
      </c>
      <c r="K4874" s="1042" t="s">
        <v>14201</v>
      </c>
      <c r="L4874" s="1128" t="s">
        <v>16499</v>
      </c>
      <c r="M4874" s="1128">
        <v>8</v>
      </c>
      <c r="N4874" s="1130">
        <v>10</v>
      </c>
      <c r="O4874" s="1130">
        <v>20</v>
      </c>
      <c r="P4874" s="1128">
        <v>0</v>
      </c>
      <c r="Q4874" s="1128">
        <v>12</v>
      </c>
      <c r="R4874" s="1373">
        <v>420.1</v>
      </c>
      <c r="S4874" s="1373">
        <v>8402</v>
      </c>
      <c r="T4874" s="1128" t="s">
        <v>12330</v>
      </c>
      <c r="U4874" s="1959" t="s">
        <v>14027</v>
      </c>
      <c r="V4874" s="1840" t="s">
        <v>5990</v>
      </c>
      <c r="W4874" s="1129" t="s">
        <v>14202</v>
      </c>
      <c r="X4874" s="1130" t="s">
        <v>16488</v>
      </c>
      <c r="Y4874" s="4"/>
      <c r="Z4874" s="4"/>
    </row>
    <row r="4875" spans="1:26" ht="43.5" hidden="1">
      <c r="A4875" s="20">
        <v>4884</v>
      </c>
      <c r="B4875" s="1072">
        <v>44524</v>
      </c>
      <c r="C4875" s="1139" t="s">
        <v>16506</v>
      </c>
      <c r="D4875" s="1445"/>
      <c r="E4875" s="884" t="s">
        <v>16339</v>
      </c>
      <c r="F4875" s="1128" t="s">
        <v>15223</v>
      </c>
      <c r="G4875" s="1042" t="s">
        <v>16507</v>
      </c>
      <c r="H4875" s="1128" t="s">
        <v>249</v>
      </c>
      <c r="I4875" s="899" t="s">
        <v>4634</v>
      </c>
      <c r="J4875" s="1042" t="s">
        <v>15180</v>
      </c>
      <c r="K4875" s="1042" t="s">
        <v>15181</v>
      </c>
      <c r="L4875" s="1128" t="s">
        <v>16499</v>
      </c>
      <c r="M4875" s="1128">
        <v>4</v>
      </c>
      <c r="N4875" s="1130">
        <v>1</v>
      </c>
      <c r="O4875" s="1130">
        <v>10</v>
      </c>
      <c r="P4875" s="1128">
        <v>6</v>
      </c>
      <c r="Q4875" s="1128">
        <v>12</v>
      </c>
      <c r="R4875" s="1373">
        <v>144</v>
      </c>
      <c r="S4875" s="1373">
        <v>1440</v>
      </c>
      <c r="T4875" s="1128" t="s">
        <v>12330</v>
      </c>
      <c r="U4875" s="1959" t="s">
        <v>14027</v>
      </c>
      <c r="V4875" s="1840" t="s">
        <v>5990</v>
      </c>
      <c r="W4875" s="1140" t="s">
        <v>15182</v>
      </c>
      <c r="X4875" s="1130" t="s">
        <v>16488</v>
      </c>
      <c r="Y4875" s="4"/>
      <c r="Z4875" s="4"/>
    </row>
    <row r="4876" spans="1:26" ht="14.45" hidden="1">
      <c r="A4876" s="20">
        <v>4885</v>
      </c>
      <c r="B4876" s="1072">
        <v>44524</v>
      </c>
      <c r="C4876" s="1139" t="s">
        <v>16508</v>
      </c>
      <c r="D4876" s="1445"/>
      <c r="E4876" s="884" t="s">
        <v>16339</v>
      </c>
      <c r="F4876" s="1041" t="s">
        <v>15223</v>
      </c>
      <c r="G4876" s="1041" t="s">
        <v>15224</v>
      </c>
      <c r="H4876" s="1041" t="s">
        <v>249</v>
      </c>
      <c r="I4876" s="899" t="s">
        <v>4634</v>
      </c>
      <c r="J4876" s="1042" t="s">
        <v>15225</v>
      </c>
      <c r="K4876" s="1042" t="s">
        <v>15226</v>
      </c>
      <c r="L4876" s="1128" t="s">
        <v>16499</v>
      </c>
      <c r="M4876" s="1041">
        <v>5</v>
      </c>
      <c r="N4876" s="1130">
        <v>10</v>
      </c>
      <c r="O4876" s="1041">
        <v>10</v>
      </c>
      <c r="P4876" s="1041">
        <v>0</v>
      </c>
      <c r="Q4876" s="1128">
        <v>5</v>
      </c>
      <c r="R4876" s="1377">
        <v>250.2</v>
      </c>
      <c r="S4876" s="1376">
        <v>2502</v>
      </c>
      <c r="T4876" s="1128" t="s">
        <v>12330</v>
      </c>
      <c r="U4876" s="1959" t="s">
        <v>14027</v>
      </c>
      <c r="V4876" s="1840" t="s">
        <v>5990</v>
      </c>
      <c r="W4876" s="1138" t="s">
        <v>15227</v>
      </c>
      <c r="X4876" s="1130" t="s">
        <v>16488</v>
      </c>
      <c r="Y4876" s="4"/>
      <c r="Z4876" s="4"/>
    </row>
    <row r="4877" spans="1:26" ht="37.5" hidden="1">
      <c r="A4877" s="20">
        <v>4886</v>
      </c>
      <c r="B4877" s="1072">
        <v>44524</v>
      </c>
      <c r="C4877" s="1127" t="s">
        <v>16509</v>
      </c>
      <c r="D4877" s="1445"/>
      <c r="E4877" s="884" t="s">
        <v>16339</v>
      </c>
      <c r="F4877" s="1041" t="s">
        <v>15223</v>
      </c>
      <c r="G4877" s="1042" t="s">
        <v>14105</v>
      </c>
      <c r="H4877" s="1128" t="s">
        <v>230</v>
      </c>
      <c r="I4877" s="899" t="s">
        <v>4634</v>
      </c>
      <c r="J4877" s="1042" t="s">
        <v>14106</v>
      </c>
      <c r="K4877" s="1042" t="s">
        <v>3806</v>
      </c>
      <c r="L4877" s="1128" t="s">
        <v>14107</v>
      </c>
      <c r="M4877" s="1128">
        <v>4</v>
      </c>
      <c r="N4877" s="1041">
        <v>1</v>
      </c>
      <c r="O4877" s="1041">
        <v>8</v>
      </c>
      <c r="P4877" s="1128">
        <v>4</v>
      </c>
      <c r="Q4877" s="1128">
        <v>8</v>
      </c>
      <c r="R4877" s="1373">
        <v>581.70000000000005</v>
      </c>
      <c r="S4877" s="1373">
        <v>4653.6000000000004</v>
      </c>
      <c r="T4877" s="1128" t="s">
        <v>12330</v>
      </c>
      <c r="U4877" s="1959" t="s">
        <v>14027</v>
      </c>
      <c r="V4877" s="1840" t="s">
        <v>5990</v>
      </c>
      <c r="W4877" s="1129" t="s">
        <v>14108</v>
      </c>
      <c r="X4877" s="1130" t="s">
        <v>16488</v>
      </c>
      <c r="Y4877" s="4"/>
      <c r="Z4877" s="4"/>
    </row>
    <row r="4878" spans="1:26" ht="14.45" hidden="1">
      <c r="A4878" s="20">
        <v>4887</v>
      </c>
      <c r="B4878" s="1072">
        <v>44524</v>
      </c>
      <c r="C4878" s="1137" t="s">
        <v>14128</v>
      </c>
      <c r="D4878" s="1445"/>
      <c r="E4878" s="884" t="s">
        <v>16339</v>
      </c>
      <c r="F4878" s="1130" t="s">
        <v>16232</v>
      </c>
      <c r="G4878" s="1130" t="s">
        <v>14129</v>
      </c>
      <c r="H4878" s="1130" t="s">
        <v>460</v>
      </c>
      <c r="I4878" s="1130" t="s">
        <v>4634</v>
      </c>
      <c r="J4878" s="1130" t="s">
        <v>14130</v>
      </c>
      <c r="K4878" s="1130" t="s">
        <v>14131</v>
      </c>
      <c r="L4878" s="1130" t="s">
        <v>1907</v>
      </c>
      <c r="M4878" s="1130">
        <v>10</v>
      </c>
      <c r="N4878" s="1130">
        <v>10</v>
      </c>
      <c r="O4878" s="1130">
        <v>10</v>
      </c>
      <c r="P4878" s="1130">
        <v>6</v>
      </c>
      <c r="Q4878" s="1128">
        <v>6</v>
      </c>
      <c r="R4878" s="1376">
        <v>64.900000000000006</v>
      </c>
      <c r="S4878" s="1373">
        <v>649</v>
      </c>
      <c r="T4878" s="1130" t="s">
        <v>12330</v>
      </c>
      <c r="U4878" s="1961" t="s">
        <v>5794</v>
      </c>
      <c r="V4878" s="933" t="s">
        <v>5990</v>
      </c>
      <c r="W4878" s="1138" t="s">
        <v>14132</v>
      </c>
      <c r="X4878" s="1130" t="s">
        <v>16488</v>
      </c>
      <c r="Y4878" s="4"/>
      <c r="Z4878" s="4"/>
    </row>
    <row r="4879" spans="1:26" ht="14.45" hidden="1">
      <c r="A4879" s="20">
        <v>4888</v>
      </c>
      <c r="B4879" s="1072">
        <v>44524</v>
      </c>
      <c r="C4879" s="1141" t="s">
        <v>16510</v>
      </c>
      <c r="D4879" s="1445"/>
      <c r="E4879" s="884" t="s">
        <v>16339</v>
      </c>
      <c r="F4879" s="1128" t="s">
        <v>16232</v>
      </c>
      <c r="G4879" s="1042" t="s">
        <v>16511</v>
      </c>
      <c r="H4879" s="1142" t="s">
        <v>1143</v>
      </c>
      <c r="I4879" s="1142" t="s">
        <v>4634</v>
      </c>
      <c r="J4879" s="1042" t="s">
        <v>16512</v>
      </c>
      <c r="K4879" s="1142" t="s">
        <v>16513</v>
      </c>
      <c r="L4879" s="1128" t="s">
        <v>16499</v>
      </c>
      <c r="M4879" s="1142">
        <v>2</v>
      </c>
      <c r="N4879" s="1142">
        <v>10</v>
      </c>
      <c r="O4879" s="1142">
        <v>10</v>
      </c>
      <c r="P4879" s="1142">
        <v>0</v>
      </c>
      <c r="Q4879" s="1128">
        <v>8</v>
      </c>
      <c r="R4879" s="1378">
        <v>92.3</v>
      </c>
      <c r="S4879" s="1373">
        <v>923</v>
      </c>
      <c r="T4879" s="1040" t="s">
        <v>12330</v>
      </c>
      <c r="U4879" s="1959" t="s">
        <v>5794</v>
      </c>
      <c r="V4879" s="54" t="s">
        <v>5990</v>
      </c>
      <c r="W4879" s="1143" t="s">
        <v>16514</v>
      </c>
      <c r="X4879" s="1130" t="s">
        <v>16488</v>
      </c>
      <c r="Y4879" s="4"/>
      <c r="Z4879" s="4"/>
    </row>
    <row r="4880" spans="1:26" ht="14.45" hidden="1">
      <c r="A4880" s="20">
        <v>4889</v>
      </c>
      <c r="B4880" s="1072">
        <v>44524</v>
      </c>
      <c r="C4880" s="1141" t="s">
        <v>16515</v>
      </c>
      <c r="D4880" s="1445"/>
      <c r="E4880" s="884" t="s">
        <v>16339</v>
      </c>
      <c r="F4880" s="1128" t="s">
        <v>16232</v>
      </c>
      <c r="G4880" s="1042" t="s">
        <v>16516</v>
      </c>
      <c r="H4880" s="1142" t="s">
        <v>1143</v>
      </c>
      <c r="I4880" s="1142" t="s">
        <v>4634</v>
      </c>
      <c r="J4880" s="1042" t="s">
        <v>16148</v>
      </c>
      <c r="K4880" s="1142" t="s">
        <v>16149</v>
      </c>
      <c r="L4880" s="1128" t="s">
        <v>16499</v>
      </c>
      <c r="M4880" s="1142">
        <v>2</v>
      </c>
      <c r="N4880" s="1142">
        <v>10</v>
      </c>
      <c r="O4880" s="1142">
        <v>10</v>
      </c>
      <c r="P4880" s="1142">
        <v>0</v>
      </c>
      <c r="Q4880" s="1128">
        <v>8</v>
      </c>
      <c r="R4880" s="1378">
        <v>208.9</v>
      </c>
      <c r="S4880" s="1373">
        <v>2089</v>
      </c>
      <c r="T4880" s="1040" t="s">
        <v>12330</v>
      </c>
      <c r="U4880" s="1959" t="s">
        <v>5794</v>
      </c>
      <c r="V4880" s="54" t="s">
        <v>5990</v>
      </c>
      <c r="W4880" s="2246" t="s">
        <v>16517</v>
      </c>
      <c r="X4880" s="1130" t="s">
        <v>16488</v>
      </c>
      <c r="Y4880" s="4"/>
      <c r="Z4880" s="4"/>
    </row>
    <row r="4881" spans="1:26" ht="14.45" hidden="1">
      <c r="A4881" s="20">
        <v>4890</v>
      </c>
      <c r="B4881" s="1072">
        <v>44524</v>
      </c>
      <c r="C4881" s="1141" t="s">
        <v>16518</v>
      </c>
      <c r="D4881" s="1445"/>
      <c r="E4881" s="884" t="s">
        <v>16339</v>
      </c>
      <c r="F4881" s="1128" t="s">
        <v>16232</v>
      </c>
      <c r="G4881" s="1042" t="s">
        <v>16519</v>
      </c>
      <c r="H4881" s="1142" t="s">
        <v>1143</v>
      </c>
      <c r="I4881" s="1142" t="s">
        <v>4634</v>
      </c>
      <c r="J4881" s="1042" t="s">
        <v>16520</v>
      </c>
      <c r="K4881" s="1142" t="s">
        <v>16521</v>
      </c>
      <c r="L4881" s="1128" t="s">
        <v>16499</v>
      </c>
      <c r="M4881" s="1142">
        <v>38</v>
      </c>
      <c r="N4881" s="1142">
        <v>100</v>
      </c>
      <c r="O4881" s="1142">
        <v>100</v>
      </c>
      <c r="P4881" s="1142">
        <v>0</v>
      </c>
      <c r="Q4881" s="1128">
        <v>62</v>
      </c>
      <c r="R4881" s="1378">
        <v>97.2</v>
      </c>
      <c r="S4881" s="1373">
        <v>9720</v>
      </c>
      <c r="T4881" s="1040" t="s">
        <v>12330</v>
      </c>
      <c r="U4881" s="1959" t="s">
        <v>5794</v>
      </c>
      <c r="V4881" s="54" t="s">
        <v>5990</v>
      </c>
      <c r="W4881" s="2246" t="s">
        <v>16522</v>
      </c>
      <c r="X4881" s="1130" t="s">
        <v>16488</v>
      </c>
      <c r="Y4881" s="4"/>
      <c r="Z4881" s="4"/>
    </row>
    <row r="4882" spans="1:26" ht="14.45" hidden="1">
      <c r="A4882" s="20">
        <v>4891</v>
      </c>
      <c r="B4882" s="1072">
        <v>44524</v>
      </c>
      <c r="C4882" s="1141" t="s">
        <v>16523</v>
      </c>
      <c r="D4882" s="1445"/>
      <c r="E4882" s="884" t="s">
        <v>16339</v>
      </c>
      <c r="F4882" s="1128" t="s">
        <v>16232</v>
      </c>
      <c r="G4882" s="1144" t="s">
        <v>16524</v>
      </c>
      <c r="H4882" s="1142" t="s">
        <v>1143</v>
      </c>
      <c r="I4882" s="1142" t="s">
        <v>281</v>
      </c>
      <c r="J4882" s="1042" t="s">
        <v>16525</v>
      </c>
      <c r="K4882" s="1142">
        <v>5013300400</v>
      </c>
      <c r="L4882" s="1128" t="s">
        <v>16499</v>
      </c>
      <c r="M4882" s="1142">
        <v>2</v>
      </c>
      <c r="N4882" s="1142">
        <v>10</v>
      </c>
      <c r="O4882" s="1142">
        <v>10</v>
      </c>
      <c r="P4882" s="1142">
        <v>0</v>
      </c>
      <c r="Q4882" s="1128">
        <v>8</v>
      </c>
      <c r="R4882" s="1378">
        <v>30.5</v>
      </c>
      <c r="S4882" s="1373">
        <v>305</v>
      </c>
      <c r="T4882" s="1040" t="s">
        <v>12330</v>
      </c>
      <c r="U4882" s="1959" t="s">
        <v>5794</v>
      </c>
      <c r="V4882" s="54" t="s">
        <v>5990</v>
      </c>
      <c r="W4882" s="1142" t="s">
        <v>16526</v>
      </c>
      <c r="X4882" s="1130" t="s">
        <v>16488</v>
      </c>
      <c r="Y4882" s="4"/>
      <c r="Z4882" s="4"/>
    </row>
    <row r="4883" spans="1:26" ht="14.45" hidden="1">
      <c r="A4883" s="20">
        <v>4892</v>
      </c>
      <c r="B4883" s="1072">
        <v>44524</v>
      </c>
      <c r="C4883" s="1141" t="s">
        <v>16527</v>
      </c>
      <c r="D4883" s="1445"/>
      <c r="E4883" s="884" t="s">
        <v>16339</v>
      </c>
      <c r="F4883" s="1142" t="s">
        <v>16232</v>
      </c>
      <c r="G4883" s="1144" t="s">
        <v>16528</v>
      </c>
      <c r="H4883" s="1142" t="s">
        <v>1143</v>
      </c>
      <c r="I4883" s="1142" t="s">
        <v>281</v>
      </c>
      <c r="J4883" s="1042" t="s">
        <v>16529</v>
      </c>
      <c r="K4883" s="1142">
        <v>5013301500</v>
      </c>
      <c r="L4883" s="1128" t="s">
        <v>16499</v>
      </c>
      <c r="M4883" s="1142">
        <v>2</v>
      </c>
      <c r="N4883" s="1142">
        <v>10</v>
      </c>
      <c r="O4883" s="1142">
        <v>10</v>
      </c>
      <c r="P4883" s="1142">
        <v>0</v>
      </c>
      <c r="Q4883" s="1128">
        <v>8</v>
      </c>
      <c r="R4883" s="1378">
        <v>42.1</v>
      </c>
      <c r="S4883" s="1373">
        <v>421</v>
      </c>
      <c r="T4883" s="1040" t="s">
        <v>12330</v>
      </c>
      <c r="U4883" s="1959" t="s">
        <v>5794</v>
      </c>
      <c r="V4883" s="54" t="s">
        <v>5990</v>
      </c>
      <c r="W4883" s="2246" t="s">
        <v>16530</v>
      </c>
      <c r="X4883" s="1130" t="s">
        <v>16488</v>
      </c>
      <c r="Y4883" s="4"/>
      <c r="Z4883" s="4"/>
    </row>
    <row r="4884" spans="1:26" ht="14.1" hidden="1">
      <c r="A4884" s="20">
        <v>4893</v>
      </c>
      <c r="B4884" s="937">
        <v>44524</v>
      </c>
      <c r="C4884" s="934" t="s">
        <v>16531</v>
      </c>
      <c r="D4884" s="11" t="s">
        <v>6</v>
      </c>
      <c r="E4884" s="457" t="s">
        <v>166</v>
      </c>
      <c r="F4884" s="934" t="s">
        <v>11438</v>
      </c>
      <c r="G4884" s="204" t="s">
        <v>100</v>
      </c>
      <c r="H4884" s="1479" t="s">
        <v>101</v>
      </c>
      <c r="I4884" s="204" t="s">
        <v>84</v>
      </c>
      <c r="J4884" s="204">
        <v>10065264</v>
      </c>
      <c r="K4884" s="204">
        <v>107</v>
      </c>
      <c r="L4884" s="204"/>
      <c r="M4884" s="204">
        <v>50</v>
      </c>
      <c r="N4884" s="204">
        <v>200</v>
      </c>
      <c r="O4884" s="204">
        <v>200</v>
      </c>
      <c r="P4884" s="204">
        <v>0</v>
      </c>
      <c r="Q4884" s="572">
        <v>150</v>
      </c>
      <c r="R4884" s="1209">
        <v>3638</v>
      </c>
      <c r="S4884" s="1209">
        <v>3638</v>
      </c>
      <c r="T4884" s="204" t="s">
        <v>3961</v>
      </c>
      <c r="U4884" s="1901" t="s">
        <v>448</v>
      </c>
      <c r="V4884" s="572" t="s">
        <v>801</v>
      </c>
      <c r="W4884" s="1184" t="s">
        <v>16532</v>
      </c>
      <c r="X4884" s="18"/>
      <c r="Y4884" s="4"/>
      <c r="Z4884" s="4"/>
    </row>
    <row r="4885" spans="1:26" ht="14.1" hidden="1">
      <c r="A4885" s="20">
        <v>4894</v>
      </c>
      <c r="B4885" s="937">
        <v>44525</v>
      </c>
      <c r="C4885" s="934" t="s">
        <v>16533</v>
      </c>
      <c r="D4885" s="10"/>
      <c r="E4885" s="204" t="s">
        <v>572</v>
      </c>
      <c r="F4885" s="934" t="s">
        <v>784</v>
      </c>
      <c r="G4885" s="204" t="s">
        <v>16534</v>
      </c>
      <c r="H4885" s="204" t="s">
        <v>149</v>
      </c>
      <c r="I4885" s="204" t="s">
        <v>5723</v>
      </c>
      <c r="J4885" s="204" t="s">
        <v>149</v>
      </c>
      <c r="K4885" s="204" t="s">
        <v>16535</v>
      </c>
      <c r="L4885" s="204" t="s">
        <v>149</v>
      </c>
      <c r="M4885" s="204">
        <v>1</v>
      </c>
      <c r="N4885" s="204">
        <v>1</v>
      </c>
      <c r="O4885" s="204">
        <v>1</v>
      </c>
      <c r="P4885" s="204">
        <v>0</v>
      </c>
      <c r="Q4885" s="572">
        <v>0</v>
      </c>
      <c r="R4885" s="1209">
        <v>16054</v>
      </c>
      <c r="S4885" s="1209">
        <f>R4885*O4885</f>
        <v>16054</v>
      </c>
      <c r="T4885" s="204" t="s">
        <v>10016</v>
      </c>
      <c r="U4885" s="1901" t="s">
        <v>10016</v>
      </c>
      <c r="V4885" s="572" t="s">
        <v>13251</v>
      </c>
      <c r="W4885" s="681"/>
      <c r="X4885" s="18"/>
      <c r="Y4885" s="4"/>
      <c r="Z4885" s="4"/>
    </row>
    <row r="4886" spans="1:26" ht="14.1" hidden="1">
      <c r="A4886" s="20">
        <v>4895</v>
      </c>
      <c r="B4886" s="937">
        <v>44526</v>
      </c>
      <c r="C4886" s="1026" t="s">
        <v>16536</v>
      </c>
      <c r="D4886" s="11" t="s">
        <v>6</v>
      </c>
      <c r="E4886" s="204" t="s">
        <v>4951</v>
      </c>
      <c r="F4886" s="934" t="s">
        <v>16537</v>
      </c>
      <c r="G4886" s="204" t="s">
        <v>16538</v>
      </c>
      <c r="H4886" s="204" t="s">
        <v>12804</v>
      </c>
      <c r="I4886" s="1142" t="s">
        <v>281</v>
      </c>
      <c r="J4886" s="160" t="s">
        <v>16539</v>
      </c>
      <c r="K4886" s="204" t="s">
        <v>16538</v>
      </c>
      <c r="L4886" s="204" t="s">
        <v>149</v>
      </c>
      <c r="M4886" s="204">
        <v>2</v>
      </c>
      <c r="N4886" s="204">
        <v>1</v>
      </c>
      <c r="O4886" s="204">
        <v>1</v>
      </c>
      <c r="P4886" s="204">
        <v>1</v>
      </c>
      <c r="Q4886" s="572">
        <v>2</v>
      </c>
      <c r="R4886" s="1209">
        <v>24276</v>
      </c>
      <c r="S4886" s="1209">
        <f>R4886*2</f>
        <v>48552</v>
      </c>
      <c r="T4886" s="204" t="s">
        <v>1543</v>
      </c>
      <c r="U4886" s="1901" t="s">
        <v>311</v>
      </c>
      <c r="V4886" s="572" t="s">
        <v>16540</v>
      </c>
      <c r="W4886" s="1184" t="s">
        <v>16541</v>
      </c>
      <c r="X4886" s="18"/>
      <c r="Y4886" s="4"/>
      <c r="Z4886" s="4"/>
    </row>
    <row r="4887" spans="1:26" ht="24.95" hidden="1">
      <c r="A4887" s="1152">
        <v>4896</v>
      </c>
      <c r="B4887" s="1153">
        <v>44526</v>
      </c>
      <c r="C4887" s="1060" t="s">
        <v>9952</v>
      </c>
      <c r="D4887" s="11" t="s">
        <v>6</v>
      </c>
      <c r="E4887" s="204" t="s">
        <v>4951</v>
      </c>
      <c r="F4887" s="934" t="s">
        <v>16537</v>
      </c>
      <c r="G4887" s="457" t="s">
        <v>9952</v>
      </c>
      <c r="H4887" s="1145" t="s">
        <v>6005</v>
      </c>
      <c r="I4887" s="1142" t="s">
        <v>281</v>
      </c>
      <c r="J4887" s="1145" t="s">
        <v>9951</v>
      </c>
      <c r="K4887" s="1145" t="s">
        <v>16542</v>
      </c>
      <c r="L4887" s="204" t="s">
        <v>149</v>
      </c>
      <c r="M4887" s="204">
        <v>2</v>
      </c>
      <c r="N4887" s="204">
        <v>1</v>
      </c>
      <c r="O4887" s="204">
        <v>1</v>
      </c>
      <c r="P4887" s="204">
        <v>1</v>
      </c>
      <c r="Q4887" s="572">
        <v>4</v>
      </c>
      <c r="R4887" s="1209">
        <v>10857</v>
      </c>
      <c r="S4887" s="1209">
        <f>R4887*2</f>
        <v>21714</v>
      </c>
      <c r="T4887" s="457" t="s">
        <v>1543</v>
      </c>
      <c r="U4887" s="1901" t="s">
        <v>311</v>
      </c>
      <c r="V4887" s="572" t="s">
        <v>16540</v>
      </c>
      <c r="W4887" s="1184" t="s">
        <v>16543</v>
      </c>
      <c r="X4887" s="18"/>
      <c r="Y4887" s="4"/>
      <c r="Z4887" s="4"/>
    </row>
    <row r="4888" spans="1:26" ht="16.5" hidden="1" customHeight="1">
      <c r="A4888" s="20">
        <v>4897</v>
      </c>
      <c r="B4888" s="937">
        <v>44526</v>
      </c>
      <c r="C4888" s="934" t="s">
        <v>16544</v>
      </c>
      <c r="D4888" s="11" t="s">
        <v>6</v>
      </c>
      <c r="E4888" s="457" t="s">
        <v>166</v>
      </c>
      <c r="F4888" s="1154" t="s">
        <v>11544</v>
      </c>
      <c r="G4888" s="1162" t="s">
        <v>16545</v>
      </c>
      <c r="H4888" s="1170" t="s">
        <v>16546</v>
      </c>
      <c r="I4888" s="1155" t="s">
        <v>39</v>
      </c>
      <c r="J4888" s="1156" t="s">
        <v>16547</v>
      </c>
      <c r="K4888" s="1156" t="s">
        <v>16548</v>
      </c>
      <c r="L4888" s="529" t="s">
        <v>16549</v>
      </c>
      <c r="M4888" s="457">
        <v>14</v>
      </c>
      <c r="N4888" s="457">
        <v>5</v>
      </c>
      <c r="O4888" s="457">
        <v>20</v>
      </c>
      <c r="P4888" s="457">
        <v>0</v>
      </c>
      <c r="Q4888" s="1157">
        <v>6</v>
      </c>
      <c r="R4888" s="1379">
        <v>141.80000000000001</v>
      </c>
      <c r="S4888" s="1380">
        <f>R4888*O4888</f>
        <v>2836</v>
      </c>
      <c r="T4888" s="204" t="s">
        <v>3961</v>
      </c>
      <c r="U4888" s="1962" t="s">
        <v>9486</v>
      </c>
      <c r="V4888" s="572" t="s">
        <v>352</v>
      </c>
      <c r="W4888" s="2156" t="s">
        <v>16550</v>
      </c>
      <c r="X4888" s="1158"/>
      <c r="Y4888" s="4"/>
      <c r="Z4888" s="4"/>
    </row>
    <row r="4889" spans="1:26" s="1166" customFormat="1" ht="16.5" hidden="1" customHeight="1">
      <c r="A4889" s="190">
        <v>4898</v>
      </c>
      <c r="B4889" s="937">
        <v>44526</v>
      </c>
      <c r="C4889" s="934" t="s">
        <v>5792</v>
      </c>
      <c r="D4889" s="11" t="s">
        <v>6</v>
      </c>
      <c r="E4889" s="457" t="s">
        <v>166</v>
      </c>
      <c r="F4889" s="1060" t="s">
        <v>11544</v>
      </c>
      <c r="G4889" s="1162" t="s">
        <v>16551</v>
      </c>
      <c r="H4889" s="1162" t="s">
        <v>154</v>
      </c>
      <c r="I4889" s="1060" t="s">
        <v>39</v>
      </c>
      <c r="J4889" s="1163" t="s">
        <v>15679</v>
      </c>
      <c r="K4889" s="1163" t="s">
        <v>495</v>
      </c>
      <c r="L4889" s="1060" t="s">
        <v>8980</v>
      </c>
      <c r="M4889" s="1060">
        <v>14</v>
      </c>
      <c r="N4889" s="1060">
        <v>5</v>
      </c>
      <c r="O4889" s="1060">
        <v>15</v>
      </c>
      <c r="P4889" s="1060">
        <v>8</v>
      </c>
      <c r="Q4889" s="1164">
        <v>9</v>
      </c>
      <c r="R4889" s="1379">
        <v>135.6</v>
      </c>
      <c r="S4889" s="1380">
        <f>R4889*O4889</f>
        <v>2034</v>
      </c>
      <c r="T4889" s="204" t="s">
        <v>3961</v>
      </c>
      <c r="U4889" s="1962" t="s">
        <v>9486</v>
      </c>
      <c r="V4889" s="572" t="s">
        <v>352</v>
      </c>
      <c r="W4889" s="2157" t="s">
        <v>16552</v>
      </c>
      <c r="X4889" s="1169"/>
      <c r="Y4889" s="1168"/>
      <c r="Z4889" s="1168"/>
    </row>
    <row r="4890" spans="1:26" s="1160" customFormat="1" ht="16.5" hidden="1" customHeight="1">
      <c r="A4890" s="190">
        <v>4899</v>
      </c>
      <c r="B4890" s="937">
        <v>44526</v>
      </c>
      <c r="C4890" s="934" t="s">
        <v>12179</v>
      </c>
      <c r="D4890" s="11" t="s">
        <v>6</v>
      </c>
      <c r="E4890" s="457" t="s">
        <v>166</v>
      </c>
      <c r="F4890" s="934" t="s">
        <v>11544</v>
      </c>
      <c r="G4890" s="1171" t="s">
        <v>16553</v>
      </c>
      <c r="H4890" s="1171" t="s">
        <v>16554</v>
      </c>
      <c r="I4890" s="934" t="s">
        <v>39</v>
      </c>
      <c r="J4890" s="1150" t="s">
        <v>16555</v>
      </c>
      <c r="K4890" s="1150" t="s">
        <v>16556</v>
      </c>
      <c r="L4890" s="934" t="s">
        <v>16557</v>
      </c>
      <c r="M4890" s="934">
        <v>14</v>
      </c>
      <c r="N4890" s="934">
        <v>100</v>
      </c>
      <c r="O4890" s="934">
        <v>100</v>
      </c>
      <c r="P4890" s="934">
        <v>0</v>
      </c>
      <c r="Q4890" s="957">
        <v>86</v>
      </c>
      <c r="R4890" s="1209">
        <v>2.7</v>
      </c>
      <c r="S4890" s="1381">
        <f t="shared" ref="S4890:S4901" si="277">R4890*O4890</f>
        <v>270</v>
      </c>
      <c r="T4890" s="204" t="s">
        <v>3961</v>
      </c>
      <c r="U4890" s="1962" t="s">
        <v>9486</v>
      </c>
      <c r="V4890" s="572" t="s">
        <v>352</v>
      </c>
      <c r="W4890" s="2158" t="s">
        <v>16558</v>
      </c>
      <c r="X4890" s="1146"/>
      <c r="Y4890" s="1146"/>
      <c r="Z4890" s="1146"/>
    </row>
    <row r="4891" spans="1:26" s="1160" customFormat="1" ht="16.5" hidden="1" customHeight="1">
      <c r="A4891" s="190">
        <v>4900</v>
      </c>
      <c r="B4891" s="937">
        <v>44526</v>
      </c>
      <c r="C4891" s="934" t="s">
        <v>12205</v>
      </c>
      <c r="D4891" s="11" t="s">
        <v>6</v>
      </c>
      <c r="E4891" s="457" t="s">
        <v>166</v>
      </c>
      <c r="F4891" s="934" t="s">
        <v>11544</v>
      </c>
      <c r="G4891" s="1171" t="s">
        <v>16559</v>
      </c>
      <c r="H4891" s="1171" t="s">
        <v>201</v>
      </c>
      <c r="I4891" s="934" t="s">
        <v>39</v>
      </c>
      <c r="J4891" s="1150" t="s">
        <v>15689</v>
      </c>
      <c r="K4891" s="1026" t="s">
        <v>16560</v>
      </c>
      <c r="L4891" s="934" t="s">
        <v>8776</v>
      </c>
      <c r="M4891" s="934">
        <v>56</v>
      </c>
      <c r="N4891" s="934">
        <v>20</v>
      </c>
      <c r="O4891" s="934">
        <v>40</v>
      </c>
      <c r="P4891" s="934">
        <v>24</v>
      </c>
      <c r="Q4891" s="957">
        <v>8</v>
      </c>
      <c r="R4891" s="1209">
        <v>80.650000000000006</v>
      </c>
      <c r="S4891" s="1381">
        <f t="shared" si="277"/>
        <v>3226</v>
      </c>
      <c r="T4891" s="204" t="s">
        <v>3961</v>
      </c>
      <c r="U4891" s="1962" t="s">
        <v>9486</v>
      </c>
      <c r="V4891" s="572" t="s">
        <v>352</v>
      </c>
      <c r="W4891" s="2158" t="s">
        <v>16561</v>
      </c>
      <c r="X4891" s="1146"/>
      <c r="Y4891" s="1146"/>
      <c r="Z4891" s="1146"/>
    </row>
    <row r="4892" spans="1:26" s="1160" customFormat="1" ht="16.5" hidden="1" customHeight="1">
      <c r="A4892" s="190">
        <v>4901</v>
      </c>
      <c r="B4892" s="937">
        <v>44526</v>
      </c>
      <c r="C4892" s="934" t="s">
        <v>16562</v>
      </c>
      <c r="D4892" s="11" t="s">
        <v>6</v>
      </c>
      <c r="E4892" s="457" t="s">
        <v>166</v>
      </c>
      <c r="F4892" s="934" t="s">
        <v>11544</v>
      </c>
      <c r="G4892" s="1171" t="s">
        <v>16563</v>
      </c>
      <c r="H4892" s="1171" t="s">
        <v>9584</v>
      </c>
      <c r="I4892" s="934" t="s">
        <v>39</v>
      </c>
      <c r="J4892" s="1150" t="s">
        <v>16564</v>
      </c>
      <c r="K4892" s="1150" t="s">
        <v>9586</v>
      </c>
      <c r="L4892" s="934" t="s">
        <v>1</v>
      </c>
      <c r="M4892" s="934">
        <v>8</v>
      </c>
      <c r="N4892" s="934">
        <v>1</v>
      </c>
      <c r="O4892" s="934">
        <v>3</v>
      </c>
      <c r="P4892" s="934">
        <v>5</v>
      </c>
      <c r="Q4892" s="957">
        <v>0</v>
      </c>
      <c r="R4892" s="1382">
        <v>10934</v>
      </c>
      <c r="S4892" s="1381">
        <f t="shared" si="277"/>
        <v>32802</v>
      </c>
      <c r="T4892" s="204" t="s">
        <v>3961</v>
      </c>
      <c r="U4892" s="1962" t="s">
        <v>9486</v>
      </c>
      <c r="V4892" s="572" t="s">
        <v>352</v>
      </c>
      <c r="W4892" s="2158" t="s">
        <v>16565</v>
      </c>
      <c r="X4892" s="1146"/>
      <c r="Y4892" s="1146"/>
      <c r="Z4892" s="1146"/>
    </row>
    <row r="4893" spans="1:26" s="1166" customFormat="1" ht="16.5" hidden="1" customHeight="1">
      <c r="A4893" s="190">
        <v>4902</v>
      </c>
      <c r="B4893" s="937">
        <v>44526</v>
      </c>
      <c r="C4893" s="934" t="s">
        <v>16566</v>
      </c>
      <c r="D4893" s="11" t="s">
        <v>6</v>
      </c>
      <c r="E4893" s="457" t="s">
        <v>166</v>
      </c>
      <c r="F4893" s="958" t="s">
        <v>11544</v>
      </c>
      <c r="G4893" s="958" t="s">
        <v>16567</v>
      </c>
      <c r="H4893" s="1172" t="s">
        <v>243</v>
      </c>
      <c r="I4893" s="958" t="s">
        <v>39</v>
      </c>
      <c r="J4893" s="1149" t="s">
        <v>16568</v>
      </c>
      <c r="K4893" s="1165" t="s">
        <v>16569</v>
      </c>
      <c r="L4893" s="958"/>
      <c r="M4893" s="958">
        <v>16</v>
      </c>
      <c r="N4893" s="958">
        <v>2</v>
      </c>
      <c r="O4893" s="958">
        <v>6</v>
      </c>
      <c r="P4893" s="958">
        <v>10</v>
      </c>
      <c r="Q4893" s="962">
        <v>440</v>
      </c>
      <c r="R4893" s="1383">
        <v>440</v>
      </c>
      <c r="S4893" s="1384">
        <f t="shared" si="277"/>
        <v>2640</v>
      </c>
      <c r="T4893" s="204" t="s">
        <v>3961</v>
      </c>
      <c r="U4893" s="1962" t="s">
        <v>9486</v>
      </c>
      <c r="V4893" s="572" t="s">
        <v>352</v>
      </c>
      <c r="W4893" s="2159" t="s">
        <v>16570</v>
      </c>
      <c r="X4893" s="1167"/>
      <c r="Y4893" s="1168"/>
      <c r="Z4893" s="1168"/>
    </row>
    <row r="4894" spans="1:26" s="1148" customFormat="1" ht="16.5" hidden="1" customHeight="1">
      <c r="A4894" s="190">
        <v>4903</v>
      </c>
      <c r="B4894" s="937">
        <v>44526</v>
      </c>
      <c r="C4894" s="934" t="s">
        <v>1268</v>
      </c>
      <c r="D4894" s="11" t="s">
        <v>6</v>
      </c>
      <c r="E4894" s="457" t="s">
        <v>166</v>
      </c>
      <c r="F4894" s="934" t="s">
        <v>11544</v>
      </c>
      <c r="G4894" s="1172" t="s">
        <v>16571</v>
      </c>
      <c r="H4894" s="934" t="s">
        <v>14429</v>
      </c>
      <c r="I4894" s="934" t="s">
        <v>39</v>
      </c>
      <c r="J4894" s="1026" t="s">
        <v>16572</v>
      </c>
      <c r="K4894" s="934" t="s">
        <v>1268</v>
      </c>
      <c r="L4894" s="934"/>
      <c r="M4894" s="934">
        <v>32</v>
      </c>
      <c r="N4894" s="934">
        <v>1</v>
      </c>
      <c r="O4894" s="934">
        <v>15</v>
      </c>
      <c r="P4894" s="934">
        <v>17</v>
      </c>
      <c r="Q4894" s="957">
        <v>0</v>
      </c>
      <c r="R4894" s="1209">
        <v>1322</v>
      </c>
      <c r="S4894" s="1381">
        <f t="shared" si="277"/>
        <v>19830</v>
      </c>
      <c r="T4894" s="204" t="s">
        <v>3961</v>
      </c>
      <c r="U4894" s="1962" t="s">
        <v>9486</v>
      </c>
      <c r="V4894" s="572" t="s">
        <v>352</v>
      </c>
      <c r="W4894" s="2158" t="s">
        <v>16573</v>
      </c>
      <c r="X4894" s="1146"/>
      <c r="Y4894" s="1147"/>
      <c r="Z4894" s="1147"/>
    </row>
    <row r="4895" spans="1:26" s="1148" customFormat="1" ht="16.5" hidden="1" customHeight="1">
      <c r="A4895" s="190">
        <v>4904</v>
      </c>
      <c r="B4895" s="937">
        <v>44526</v>
      </c>
      <c r="C4895" s="934" t="s">
        <v>16574</v>
      </c>
      <c r="D4895" s="11" t="s">
        <v>6</v>
      </c>
      <c r="E4895" s="457" t="s">
        <v>166</v>
      </c>
      <c r="F4895" s="934" t="s">
        <v>11544</v>
      </c>
      <c r="G4895" s="934" t="s">
        <v>16575</v>
      </c>
      <c r="H4895" s="934" t="s">
        <v>220</v>
      </c>
      <c r="I4895" s="934" t="s">
        <v>39</v>
      </c>
      <c r="J4895" s="1026" t="s">
        <v>11561</v>
      </c>
      <c r="K4895" s="1026" t="s">
        <v>11562</v>
      </c>
      <c r="L4895" s="934"/>
      <c r="M4895" s="934">
        <v>8</v>
      </c>
      <c r="N4895" s="934">
        <v>1</v>
      </c>
      <c r="O4895" s="934">
        <v>6</v>
      </c>
      <c r="P4895" s="934">
        <v>2</v>
      </c>
      <c r="Q4895" s="957">
        <v>0</v>
      </c>
      <c r="R4895" s="1209">
        <v>271</v>
      </c>
      <c r="S4895" s="1381">
        <f t="shared" si="277"/>
        <v>1626</v>
      </c>
      <c r="T4895" s="204" t="s">
        <v>3961</v>
      </c>
      <c r="U4895" s="1962" t="s">
        <v>9486</v>
      </c>
      <c r="V4895" s="572" t="s">
        <v>352</v>
      </c>
      <c r="W4895" s="2158" t="s">
        <v>11565</v>
      </c>
      <c r="X4895" s="1146"/>
      <c r="Y4895" s="1147"/>
      <c r="Z4895" s="1147"/>
    </row>
    <row r="4896" spans="1:26" s="1148" customFormat="1" ht="16.5" hidden="1" customHeight="1">
      <c r="A4896" s="190">
        <v>4905</v>
      </c>
      <c r="B4896" s="937">
        <v>44526</v>
      </c>
      <c r="C4896" s="934" t="s">
        <v>16576</v>
      </c>
      <c r="D4896" s="11" t="s">
        <v>6</v>
      </c>
      <c r="E4896" s="457" t="s">
        <v>166</v>
      </c>
      <c r="F4896" s="934" t="s">
        <v>11544</v>
      </c>
      <c r="G4896" s="934" t="s">
        <v>3692</v>
      </c>
      <c r="H4896" s="934" t="s">
        <v>1073</v>
      </c>
      <c r="I4896" s="934" t="s">
        <v>16577</v>
      </c>
      <c r="J4896" s="1026" t="s">
        <v>16578</v>
      </c>
      <c r="K4896" s="1026" t="s">
        <v>16579</v>
      </c>
      <c r="L4896" s="934"/>
      <c r="M4896" s="934">
        <v>24</v>
      </c>
      <c r="N4896" s="934">
        <v>1</v>
      </c>
      <c r="O4896" s="934">
        <v>10</v>
      </c>
      <c r="P4896" s="934">
        <v>14</v>
      </c>
      <c r="Q4896" s="957">
        <v>0</v>
      </c>
      <c r="R4896" s="1209">
        <v>464.7</v>
      </c>
      <c r="S4896" s="1381">
        <f t="shared" si="277"/>
        <v>4647</v>
      </c>
      <c r="T4896" s="204" t="s">
        <v>3961</v>
      </c>
      <c r="U4896" s="1962" t="s">
        <v>9486</v>
      </c>
      <c r="V4896" s="572" t="s">
        <v>352</v>
      </c>
      <c r="W4896" s="2158" t="s">
        <v>16580</v>
      </c>
      <c r="X4896" s="1146"/>
      <c r="Y4896" s="1147"/>
      <c r="Z4896" s="1147"/>
    </row>
    <row r="4897" spans="1:26" s="1148" customFormat="1" ht="16.5" hidden="1" customHeight="1">
      <c r="A4897" s="190">
        <v>4906</v>
      </c>
      <c r="B4897" s="937">
        <v>44526</v>
      </c>
      <c r="C4897" s="934" t="s">
        <v>16581</v>
      </c>
      <c r="D4897" s="11" t="s">
        <v>6</v>
      </c>
      <c r="E4897" s="457" t="s">
        <v>166</v>
      </c>
      <c r="F4897" s="934" t="s">
        <v>11544</v>
      </c>
      <c r="G4897" s="934" t="s">
        <v>16582</v>
      </c>
      <c r="H4897" s="934" t="s">
        <v>1853</v>
      </c>
      <c r="I4897" s="934" t="s">
        <v>16577</v>
      </c>
      <c r="J4897" s="934" t="s">
        <v>16583</v>
      </c>
      <c r="K4897" s="934" t="s">
        <v>1991</v>
      </c>
      <c r="L4897" s="934"/>
      <c r="M4897" s="934">
        <v>24</v>
      </c>
      <c r="N4897" s="934">
        <v>1</v>
      </c>
      <c r="O4897" s="934">
        <v>10</v>
      </c>
      <c r="P4897" s="934">
        <v>14</v>
      </c>
      <c r="Q4897" s="957">
        <v>0</v>
      </c>
      <c r="R4897" s="1209">
        <v>22.1</v>
      </c>
      <c r="S4897" s="1381">
        <f t="shared" si="277"/>
        <v>221</v>
      </c>
      <c r="T4897" s="204" t="s">
        <v>3961</v>
      </c>
      <c r="U4897" s="1962" t="s">
        <v>9486</v>
      </c>
      <c r="V4897" s="572" t="s">
        <v>352</v>
      </c>
      <c r="W4897" s="2158" t="s">
        <v>16584</v>
      </c>
      <c r="X4897" s="1146"/>
      <c r="Y4897" s="1147"/>
      <c r="Z4897" s="1147"/>
    </row>
    <row r="4898" spans="1:26" s="1148" customFormat="1" ht="16.5" hidden="1" customHeight="1">
      <c r="A4898" s="190">
        <v>4907</v>
      </c>
      <c r="B4898" s="937">
        <v>44526</v>
      </c>
      <c r="C4898" s="934" t="s">
        <v>16585</v>
      </c>
      <c r="D4898" s="11" t="s">
        <v>6</v>
      </c>
      <c r="E4898" s="457" t="s">
        <v>166</v>
      </c>
      <c r="F4898" s="934" t="s">
        <v>11544</v>
      </c>
      <c r="G4898" s="934" t="s">
        <v>16586</v>
      </c>
      <c r="H4898" s="934" t="s">
        <v>1865</v>
      </c>
      <c r="I4898" s="934" t="s">
        <v>16577</v>
      </c>
      <c r="J4898" s="934" t="s">
        <v>16587</v>
      </c>
      <c r="K4898" s="934" t="s">
        <v>16588</v>
      </c>
      <c r="L4898" s="934"/>
      <c r="M4898" s="934">
        <v>16</v>
      </c>
      <c r="N4898" s="934">
        <v>1</v>
      </c>
      <c r="O4898" s="934">
        <v>4</v>
      </c>
      <c r="P4898" s="934">
        <v>13</v>
      </c>
      <c r="Q4898" s="957">
        <v>1</v>
      </c>
      <c r="R4898" s="1209">
        <v>54</v>
      </c>
      <c r="S4898" s="1381">
        <f t="shared" ref="S4898:S4900" si="278">R4898*O4898</f>
        <v>216</v>
      </c>
      <c r="T4898" s="204" t="s">
        <v>3961</v>
      </c>
      <c r="U4898" s="1962" t="s">
        <v>9486</v>
      </c>
      <c r="V4898" s="572" t="s">
        <v>352</v>
      </c>
      <c r="W4898" s="2158" t="s">
        <v>16589</v>
      </c>
      <c r="X4898" s="1146"/>
      <c r="Y4898" s="1147"/>
      <c r="Z4898" s="1147"/>
    </row>
    <row r="4899" spans="1:26" s="1148" customFormat="1" ht="16.5" hidden="1" customHeight="1">
      <c r="A4899" s="190">
        <v>4908</v>
      </c>
      <c r="B4899" s="937">
        <v>44526</v>
      </c>
      <c r="C4899" s="934" t="s">
        <v>16590</v>
      </c>
      <c r="D4899" s="11" t="s">
        <v>6</v>
      </c>
      <c r="E4899" s="457" t="s">
        <v>166</v>
      </c>
      <c r="F4899" s="1060" t="s">
        <v>11544</v>
      </c>
      <c r="G4899" s="1060" t="s">
        <v>16591</v>
      </c>
      <c r="H4899" s="1060" t="s">
        <v>16592</v>
      </c>
      <c r="I4899" s="934" t="s">
        <v>16577</v>
      </c>
      <c r="J4899" s="1060" t="s">
        <v>16593</v>
      </c>
      <c r="K4899" s="1060" t="s">
        <v>16594</v>
      </c>
      <c r="L4899" s="1060"/>
      <c r="M4899" s="1060">
        <v>8</v>
      </c>
      <c r="N4899" s="1060">
        <v>1</v>
      </c>
      <c r="O4899" s="1060">
        <v>8</v>
      </c>
      <c r="P4899" s="1060">
        <v>0</v>
      </c>
      <c r="Q4899" s="1164">
        <v>0</v>
      </c>
      <c r="R4899" s="1379">
        <v>126</v>
      </c>
      <c r="S4899" s="1380">
        <f t="shared" si="278"/>
        <v>1008</v>
      </c>
      <c r="T4899" s="1" t="s">
        <v>3961</v>
      </c>
      <c r="U4899" s="1901" t="s">
        <v>9486</v>
      </c>
      <c r="V4899" s="572" t="s">
        <v>352</v>
      </c>
      <c r="W4899" s="2157" t="s">
        <v>16595</v>
      </c>
      <c r="X4899" s="1169"/>
      <c r="Y4899" s="1147"/>
      <c r="Z4899" s="1147"/>
    </row>
    <row r="4900" spans="1:26" s="1166" customFormat="1" ht="16.5" hidden="1" customHeight="1">
      <c r="A4900" s="190">
        <v>4909</v>
      </c>
      <c r="B4900" s="937">
        <v>44526</v>
      </c>
      <c r="C4900" s="934" t="s">
        <v>12258</v>
      </c>
      <c r="D4900" s="11" t="s">
        <v>6</v>
      </c>
      <c r="E4900" s="457" t="s">
        <v>166</v>
      </c>
      <c r="F4900" s="934" t="s">
        <v>11544</v>
      </c>
      <c r="G4900" s="1171" t="s">
        <v>16596</v>
      </c>
      <c r="H4900" s="1171" t="s">
        <v>16597</v>
      </c>
      <c r="I4900" s="934" t="s">
        <v>39</v>
      </c>
      <c r="J4900" s="1150" t="s">
        <v>16598</v>
      </c>
      <c r="K4900" s="1150" t="s">
        <v>15695</v>
      </c>
      <c r="L4900" s="934" t="s">
        <v>8980</v>
      </c>
      <c r="M4900" s="934">
        <v>16</v>
      </c>
      <c r="N4900" s="934">
        <v>50</v>
      </c>
      <c r="O4900" s="934">
        <v>50</v>
      </c>
      <c r="P4900" s="934">
        <v>16</v>
      </c>
      <c r="Q4900" s="957">
        <v>50</v>
      </c>
      <c r="R4900" s="1209">
        <v>172.68</v>
      </c>
      <c r="S4900" s="1381">
        <f t="shared" si="278"/>
        <v>8634</v>
      </c>
      <c r="T4900" s="1" t="s">
        <v>3961</v>
      </c>
      <c r="U4900" s="1901" t="s">
        <v>9486</v>
      </c>
      <c r="V4900" s="572" t="s">
        <v>352</v>
      </c>
      <c r="W4900" s="2158" t="s">
        <v>16599</v>
      </c>
      <c r="X4900" s="1146"/>
      <c r="Y4900" s="1168"/>
      <c r="Z4900" s="1168"/>
    </row>
    <row r="4901" spans="1:26" s="1160" customFormat="1" ht="16.5" hidden="1" customHeight="1">
      <c r="A4901" s="190">
        <v>4910</v>
      </c>
      <c r="B4901" s="937">
        <v>44526</v>
      </c>
      <c r="C4901" s="934" t="s">
        <v>12258</v>
      </c>
      <c r="D4901" s="11" t="s">
        <v>6</v>
      </c>
      <c r="E4901" s="457" t="s">
        <v>166</v>
      </c>
      <c r="F4901" s="934" t="s">
        <v>11544</v>
      </c>
      <c r="G4901" s="1171" t="s">
        <v>16596</v>
      </c>
      <c r="H4901" s="1171" t="s">
        <v>16597</v>
      </c>
      <c r="I4901" s="934" t="s">
        <v>39</v>
      </c>
      <c r="J4901" s="1150" t="s">
        <v>16598</v>
      </c>
      <c r="K4901" s="1150" t="s">
        <v>15695</v>
      </c>
      <c r="L4901" s="934" t="s">
        <v>8980</v>
      </c>
      <c r="M4901" s="934">
        <v>16</v>
      </c>
      <c r="N4901" s="934">
        <v>50</v>
      </c>
      <c r="O4901" s="934">
        <v>50</v>
      </c>
      <c r="P4901" s="934">
        <v>16</v>
      </c>
      <c r="Q4901" s="957">
        <v>50</v>
      </c>
      <c r="R4901" s="1209">
        <v>172.68</v>
      </c>
      <c r="S4901" s="1381">
        <f t="shared" si="277"/>
        <v>8634</v>
      </c>
      <c r="T4901" s="1" t="s">
        <v>3961</v>
      </c>
      <c r="U4901" s="1901" t="s">
        <v>9486</v>
      </c>
      <c r="V4901" s="572" t="s">
        <v>352</v>
      </c>
      <c r="W4901" s="2158" t="s">
        <v>16599</v>
      </c>
      <c r="X4901" s="1146"/>
      <c r="Y4901" s="1146"/>
      <c r="Z4901" s="1146"/>
    </row>
    <row r="4902" spans="1:26" s="1161" customFormat="1" ht="14.1" hidden="1">
      <c r="A4902" s="1734">
        <v>4911</v>
      </c>
      <c r="B4902" s="937">
        <v>44529</v>
      </c>
      <c r="C4902" s="1173" t="s">
        <v>16600</v>
      </c>
      <c r="D4902" s="11" t="s">
        <v>6</v>
      </c>
      <c r="E4902" s="869" t="s">
        <v>683</v>
      </c>
      <c r="F4902" s="871" t="s">
        <v>10005</v>
      </c>
      <c r="G4902" s="871" t="s">
        <v>16601</v>
      </c>
      <c r="H4902" s="871" t="s">
        <v>1928</v>
      </c>
      <c r="I4902" s="871" t="s">
        <v>805</v>
      </c>
      <c r="J4902" s="871" t="s">
        <v>16602</v>
      </c>
      <c r="K4902" s="871" t="s">
        <v>16602</v>
      </c>
      <c r="L4902" s="871" t="s">
        <v>149</v>
      </c>
      <c r="M4902" s="871">
        <v>2</v>
      </c>
      <c r="N4902" s="871">
        <v>1</v>
      </c>
      <c r="O4902" s="871">
        <v>3</v>
      </c>
      <c r="P4902" s="871">
        <v>1</v>
      </c>
      <c r="Q4902" s="871">
        <v>2</v>
      </c>
      <c r="R4902" s="1362" t="s">
        <v>16603</v>
      </c>
      <c r="S4902" s="1363" t="s">
        <v>16604</v>
      </c>
      <c r="T4902" s="871" t="s">
        <v>4220</v>
      </c>
      <c r="U4902" s="1953" t="s">
        <v>4220</v>
      </c>
      <c r="V4902" s="183" t="s">
        <v>689</v>
      </c>
      <c r="W4902" s="886" t="s">
        <v>16605</v>
      </c>
      <c r="X4902" s="1159"/>
      <c r="Y4902" s="1151"/>
      <c r="Z4902" s="1151"/>
    </row>
    <row r="4903" spans="1:26" ht="14.1" hidden="1">
      <c r="A4903" s="20">
        <v>4912</v>
      </c>
      <c r="B4903" s="937">
        <v>44529</v>
      </c>
      <c r="C4903" s="934" t="s">
        <v>16606</v>
      </c>
      <c r="D4903" s="10"/>
      <c r="E4903" s="204" t="s">
        <v>166</v>
      </c>
      <c r="F4903" s="934" t="s">
        <v>2143</v>
      </c>
      <c r="G4903" s="204" t="s">
        <v>16607</v>
      </c>
      <c r="H4903" s="204" t="s">
        <v>2227</v>
      </c>
      <c r="I4903" s="204" t="s">
        <v>16608</v>
      </c>
      <c r="J4903" s="204" t="s">
        <v>16609</v>
      </c>
      <c r="K4903" s="204" t="s">
        <v>16609</v>
      </c>
      <c r="L4903" s="204"/>
      <c r="M4903" s="204">
        <v>1</v>
      </c>
      <c r="N4903" s="204">
        <v>1</v>
      </c>
      <c r="O4903" s="204">
        <v>1</v>
      </c>
      <c r="P4903" s="204">
        <v>0</v>
      </c>
      <c r="Q4903" s="572">
        <v>0</v>
      </c>
      <c r="R4903" s="1209">
        <v>10550</v>
      </c>
      <c r="S4903" s="1209">
        <v>10550</v>
      </c>
      <c r="T4903" s="297" t="s">
        <v>5448</v>
      </c>
      <c r="U4903" s="1941" t="s">
        <v>5881</v>
      </c>
      <c r="V4903" s="572" t="s">
        <v>12577</v>
      </c>
      <c r="W4903" s="681"/>
      <c r="X4903" s="18" t="s">
        <v>16610</v>
      </c>
      <c r="Y4903" s="4"/>
      <c r="Z4903" s="4"/>
    </row>
    <row r="4904" spans="1:26" ht="14.1" hidden="1">
      <c r="A4904" s="20">
        <v>4913</v>
      </c>
      <c r="B4904" s="937">
        <v>44529</v>
      </c>
      <c r="C4904" s="934" t="s">
        <v>16611</v>
      </c>
      <c r="D4904" s="10"/>
      <c r="E4904" s="204" t="s">
        <v>166</v>
      </c>
      <c r="F4904" s="934" t="s">
        <v>2143</v>
      </c>
      <c r="G4904" s="204" t="s">
        <v>16612</v>
      </c>
      <c r="H4904" s="204" t="s">
        <v>2227</v>
      </c>
      <c r="I4904" s="204" t="s">
        <v>16608</v>
      </c>
      <c r="J4904" s="204" t="s">
        <v>16613</v>
      </c>
      <c r="K4904" s="204" t="s">
        <v>16613</v>
      </c>
      <c r="L4904" s="204"/>
      <c r="M4904" s="204">
        <v>1</v>
      </c>
      <c r="N4904" s="204">
        <v>1</v>
      </c>
      <c r="O4904" s="204">
        <v>1</v>
      </c>
      <c r="P4904" s="204">
        <v>0</v>
      </c>
      <c r="Q4904" s="572">
        <v>0</v>
      </c>
      <c r="R4904" s="1209">
        <v>5600</v>
      </c>
      <c r="S4904" s="1209">
        <v>5600</v>
      </c>
      <c r="T4904" s="204" t="s">
        <v>5448</v>
      </c>
      <c r="U4904" s="1901" t="s">
        <v>5881</v>
      </c>
      <c r="V4904" s="572" t="s">
        <v>12577</v>
      </c>
      <c r="W4904" s="681"/>
      <c r="X4904" s="18" t="s">
        <v>16610</v>
      </c>
      <c r="Y4904" s="4"/>
      <c r="Z4904" s="4"/>
    </row>
    <row r="4905" spans="1:26" ht="14.1" hidden="1">
      <c r="A4905" s="20">
        <v>4914</v>
      </c>
      <c r="B4905" s="937"/>
      <c r="C4905" s="934" t="s">
        <v>2741</v>
      </c>
      <c r="D4905" s="8" t="s">
        <v>6</v>
      </c>
      <c r="E4905" s="204" t="s">
        <v>166</v>
      </c>
      <c r="F4905" s="934" t="s">
        <v>10651</v>
      </c>
      <c r="G4905" s="204" t="s">
        <v>16614</v>
      </c>
      <c r="H4905" s="204"/>
      <c r="I4905" s="204" t="s">
        <v>429</v>
      </c>
      <c r="J4905" s="204"/>
      <c r="K4905" s="204" t="s">
        <v>16615</v>
      </c>
      <c r="L4905" s="204"/>
      <c r="M4905" s="204">
        <v>1</v>
      </c>
      <c r="N4905" s="204">
        <v>1</v>
      </c>
      <c r="O4905" s="204">
        <v>1</v>
      </c>
      <c r="P4905" s="204">
        <v>0</v>
      </c>
      <c r="Q4905" s="572">
        <v>0</v>
      </c>
      <c r="R4905" s="1209">
        <v>12870</v>
      </c>
      <c r="S4905" s="1209">
        <v>12870</v>
      </c>
      <c r="T4905" s="204" t="s">
        <v>12425</v>
      </c>
      <c r="U4905" s="1901" t="s">
        <v>12425</v>
      </c>
      <c r="V4905" s="572" t="s">
        <v>16215</v>
      </c>
      <c r="W4905" s="681" t="s">
        <v>16616</v>
      </c>
      <c r="X4905" s="18"/>
      <c r="Y4905" s="4"/>
      <c r="Z4905" s="4"/>
    </row>
    <row r="4906" spans="1:26" ht="24.95" hidden="1">
      <c r="A4906" s="20">
        <v>4915</v>
      </c>
      <c r="B4906" s="937">
        <v>44530</v>
      </c>
      <c r="C4906" s="1179" t="s">
        <v>11987</v>
      </c>
      <c r="D4906" s="11" t="s">
        <v>6</v>
      </c>
      <c r="E4906" s="204" t="s">
        <v>683</v>
      </c>
      <c r="F4906" s="870" t="s">
        <v>10005</v>
      </c>
      <c r="G4906" s="869" t="s">
        <v>11988</v>
      </c>
      <c r="H4906" s="873" t="s">
        <v>2384</v>
      </c>
      <c r="I4906" s="873" t="s">
        <v>2384</v>
      </c>
      <c r="J4906" s="1180" t="s">
        <v>1</v>
      </c>
      <c r="K4906" s="873" t="s">
        <v>11989</v>
      </c>
      <c r="L4906" s="873" t="s">
        <v>149</v>
      </c>
      <c r="M4906" s="873">
        <v>2</v>
      </c>
      <c r="N4906" s="869">
        <v>1</v>
      </c>
      <c r="O4906" s="869">
        <v>2</v>
      </c>
      <c r="P4906" s="869">
        <v>0</v>
      </c>
      <c r="Q4906" s="869">
        <v>2</v>
      </c>
      <c r="R4906" s="1362" t="s">
        <v>16617</v>
      </c>
      <c r="S4906" s="1362">
        <v>449.2</v>
      </c>
      <c r="T4906" s="870" t="s">
        <v>4220</v>
      </c>
      <c r="U4906" s="1963" t="s">
        <v>11992</v>
      </c>
      <c r="V4906" s="129" t="s">
        <v>689</v>
      </c>
      <c r="W4906" s="868" t="s">
        <v>11993</v>
      </c>
      <c r="X4906" s="18"/>
      <c r="Y4906" s="4"/>
      <c r="Z4906" s="4"/>
    </row>
    <row r="4907" spans="1:26" ht="26.1" hidden="1">
      <c r="A4907" s="20">
        <v>4916</v>
      </c>
      <c r="B4907" s="937">
        <v>44531</v>
      </c>
      <c r="C4907" s="934" t="s">
        <v>16618</v>
      </c>
      <c r="D4907" s="11" t="s">
        <v>6</v>
      </c>
      <c r="E4907" s="204" t="s">
        <v>62</v>
      </c>
      <c r="F4907" s="934" t="s">
        <v>2143</v>
      </c>
      <c r="G4907" s="204" t="s">
        <v>16619</v>
      </c>
      <c r="H4907" s="204"/>
      <c r="I4907" s="204" t="s">
        <v>4646</v>
      </c>
      <c r="J4907" s="204"/>
      <c r="K4907" s="204"/>
      <c r="L4907" s="204"/>
      <c r="M4907" s="204">
        <v>1</v>
      </c>
      <c r="N4907" s="204">
        <v>1</v>
      </c>
      <c r="O4907" s="204">
        <v>1</v>
      </c>
      <c r="P4907" s="204">
        <v>0</v>
      </c>
      <c r="Q4907" s="572">
        <v>0</v>
      </c>
      <c r="R4907" s="1209">
        <v>27500</v>
      </c>
      <c r="S4907" s="1209">
        <v>27500</v>
      </c>
      <c r="T4907" s="204" t="s">
        <v>5448</v>
      </c>
      <c r="U4907" s="1901" t="s">
        <v>16620</v>
      </c>
      <c r="V4907" s="572" t="s">
        <v>16621</v>
      </c>
      <c r="W4907" s="1184"/>
      <c r="X4907" s="18" t="s">
        <v>16622</v>
      </c>
      <c r="Y4907" s="4"/>
      <c r="Z4907" s="4"/>
    </row>
    <row r="4908" spans="1:26" ht="14.1" hidden="1">
      <c r="A4908" s="20">
        <v>4917</v>
      </c>
      <c r="B4908" s="937">
        <v>44532</v>
      </c>
      <c r="C4908" s="934" t="s">
        <v>9962</v>
      </c>
      <c r="D4908" s="11" t="s">
        <v>6</v>
      </c>
      <c r="E4908" s="204" t="s">
        <v>62</v>
      </c>
      <c r="F4908" s="934" t="s">
        <v>2143</v>
      </c>
      <c r="G4908" s="1480" t="s">
        <v>16623</v>
      </c>
      <c r="H4908" s="1465"/>
      <c r="I4908" s="204" t="s">
        <v>4646</v>
      </c>
      <c r="J4908" s="204"/>
      <c r="K4908" s="204"/>
      <c r="L4908" s="204"/>
      <c r="M4908" s="204">
        <v>1</v>
      </c>
      <c r="N4908" s="204">
        <v>1</v>
      </c>
      <c r="O4908" s="204">
        <v>1</v>
      </c>
      <c r="P4908" s="204">
        <v>0</v>
      </c>
      <c r="Q4908" s="572">
        <v>0</v>
      </c>
      <c r="R4908" s="1209">
        <v>120</v>
      </c>
      <c r="S4908" s="1209">
        <v>120</v>
      </c>
      <c r="T4908" s="204" t="s">
        <v>5448</v>
      </c>
      <c r="U4908" s="1901" t="s">
        <v>16620</v>
      </c>
      <c r="V4908" s="572" t="s">
        <v>16621</v>
      </c>
      <c r="W4908" s="1815"/>
      <c r="X4908" s="18"/>
      <c r="Y4908" s="4"/>
      <c r="Z4908" s="4"/>
    </row>
    <row r="4909" spans="1:26" ht="14.1" hidden="1">
      <c r="A4909" s="20">
        <v>4918</v>
      </c>
      <c r="B4909" s="937">
        <v>44532</v>
      </c>
      <c r="C4909" s="934" t="s">
        <v>16329</v>
      </c>
      <c r="D4909" s="11" t="s">
        <v>6</v>
      </c>
      <c r="E4909" s="204" t="s">
        <v>166</v>
      </c>
      <c r="F4909" s="1014" t="s">
        <v>16624</v>
      </c>
      <c r="G4909" s="1478" t="s">
        <v>16625</v>
      </c>
      <c r="H4909" s="683" t="s">
        <v>16626</v>
      </c>
      <c r="I4909" s="204" t="s">
        <v>574</v>
      </c>
      <c r="J4909" s="1465" t="s">
        <v>16627</v>
      </c>
      <c r="K4909" s="1465" t="s">
        <v>16628</v>
      </c>
      <c r="L4909" s="204" t="s">
        <v>16629</v>
      </c>
      <c r="M4909" s="204">
        <f>84*2</f>
        <v>168</v>
      </c>
      <c r="N4909" s="204">
        <v>1</v>
      </c>
      <c r="O4909" s="204">
        <v>180</v>
      </c>
      <c r="P4909" s="204">
        <v>0</v>
      </c>
      <c r="Q4909" s="572">
        <v>12</v>
      </c>
      <c r="R4909" s="1209">
        <v>270</v>
      </c>
      <c r="S4909" s="1209">
        <f>O4909*R4909</f>
        <v>48600</v>
      </c>
      <c r="T4909" s="204" t="s">
        <v>12425</v>
      </c>
      <c r="U4909" s="1901" t="s">
        <v>16630</v>
      </c>
      <c r="V4909" s="572" t="s">
        <v>16631</v>
      </c>
      <c r="W4909" s="1815" t="s">
        <v>16632</v>
      </c>
      <c r="X4909" s="18"/>
      <c r="Y4909" s="4"/>
      <c r="Z4909" s="4"/>
    </row>
    <row r="4910" spans="1:26" ht="14.1" hidden="1">
      <c r="A4910" s="20">
        <v>4919</v>
      </c>
      <c r="B4910" s="937">
        <v>44532</v>
      </c>
      <c r="C4910" s="934" t="s">
        <v>16633</v>
      </c>
      <c r="D4910" s="11" t="s">
        <v>6</v>
      </c>
      <c r="E4910" s="204" t="s">
        <v>166</v>
      </c>
      <c r="F4910" s="1014" t="s">
        <v>16624</v>
      </c>
      <c r="G4910" s="1478" t="s">
        <v>16634</v>
      </c>
      <c r="H4910" s="683" t="s">
        <v>468</v>
      </c>
      <c r="I4910" s="204" t="s">
        <v>5690</v>
      </c>
      <c r="J4910" s="204" t="s">
        <v>469</v>
      </c>
      <c r="K4910" s="204" t="s">
        <v>469</v>
      </c>
      <c r="L4910" s="204" t="s">
        <v>4179</v>
      </c>
      <c r="M4910" s="204">
        <v>10</v>
      </c>
      <c r="N4910" s="204">
        <v>1</v>
      </c>
      <c r="O4910" s="204">
        <v>20</v>
      </c>
      <c r="P4910" s="204">
        <v>0</v>
      </c>
      <c r="Q4910" s="572">
        <v>10</v>
      </c>
      <c r="R4910" s="1209">
        <v>70</v>
      </c>
      <c r="S4910" s="1209">
        <f>O4910*R4910</f>
        <v>1400</v>
      </c>
      <c r="T4910" s="204" t="s">
        <v>12425</v>
      </c>
      <c r="U4910" s="1901" t="s">
        <v>16630</v>
      </c>
      <c r="V4910" s="572" t="s">
        <v>16215</v>
      </c>
      <c r="W4910" s="1815" t="s">
        <v>16635</v>
      </c>
      <c r="X4910" s="18"/>
      <c r="Y4910" s="4"/>
      <c r="Z4910" s="4"/>
    </row>
    <row r="4911" spans="1:26" ht="14.1" hidden="1">
      <c r="A4911" s="20">
        <v>4920</v>
      </c>
      <c r="B4911" s="937">
        <v>44532</v>
      </c>
      <c r="C4911" s="934" t="s">
        <v>16636</v>
      </c>
      <c r="D4911" s="11" t="s">
        <v>6</v>
      </c>
      <c r="E4911" s="204" t="s">
        <v>166</v>
      </c>
      <c r="F4911" s="1014" t="s">
        <v>16624</v>
      </c>
      <c r="G4911" s="1478" t="s">
        <v>16637</v>
      </c>
      <c r="H4911" s="683" t="s">
        <v>468</v>
      </c>
      <c r="I4911" s="204" t="s">
        <v>5690</v>
      </c>
      <c r="J4911" s="204" t="s">
        <v>16638</v>
      </c>
      <c r="K4911" s="204" t="s">
        <v>16639</v>
      </c>
      <c r="L4911" s="204" t="s">
        <v>4179</v>
      </c>
      <c r="M4911" s="204">
        <v>2</v>
      </c>
      <c r="N4911" s="204">
        <v>10</v>
      </c>
      <c r="O4911" s="204">
        <v>10</v>
      </c>
      <c r="P4911" s="204">
        <v>0</v>
      </c>
      <c r="Q4911" s="572">
        <v>8</v>
      </c>
      <c r="R4911" s="1209">
        <v>80</v>
      </c>
      <c r="S4911" s="1209">
        <f t="shared" ref="S4911:S4923" si="279">O4911*R4911</f>
        <v>800</v>
      </c>
      <c r="T4911" s="204" t="s">
        <v>12425</v>
      </c>
      <c r="U4911" s="1901" t="s">
        <v>16630</v>
      </c>
      <c r="V4911" s="572" t="s">
        <v>16215</v>
      </c>
      <c r="W4911" s="1815" t="s">
        <v>16640</v>
      </c>
      <c r="X4911" s="18"/>
      <c r="Y4911" s="4"/>
      <c r="Z4911" s="4"/>
    </row>
    <row r="4912" spans="1:26" ht="14.1" hidden="1">
      <c r="A4912" s="20">
        <v>4921</v>
      </c>
      <c r="B4912" s="937">
        <v>44532</v>
      </c>
      <c r="C4912" s="934" t="s">
        <v>1072</v>
      </c>
      <c r="D4912" s="11" t="s">
        <v>6</v>
      </c>
      <c r="E4912" s="204" t="s">
        <v>166</v>
      </c>
      <c r="F4912" s="1014" t="s">
        <v>16624</v>
      </c>
      <c r="G4912" s="204" t="s">
        <v>14895</v>
      </c>
      <c r="H4912" s="683" t="s">
        <v>460</v>
      </c>
      <c r="I4912" s="204" t="s">
        <v>14896</v>
      </c>
      <c r="J4912" s="1092" t="s">
        <v>14897</v>
      </c>
      <c r="K4912" s="539" t="s">
        <v>462</v>
      </c>
      <c r="L4912" s="204" t="s">
        <v>5416</v>
      </c>
      <c r="M4912" s="204">
        <v>12</v>
      </c>
      <c r="N4912" s="204">
        <v>1</v>
      </c>
      <c r="O4912" s="204">
        <v>30</v>
      </c>
      <c r="P4912" s="204">
        <v>0</v>
      </c>
      <c r="Q4912" s="572">
        <v>18</v>
      </c>
      <c r="R4912" s="1209">
        <v>129</v>
      </c>
      <c r="S4912" s="1209">
        <f t="shared" si="279"/>
        <v>3870</v>
      </c>
      <c r="T4912" s="204" t="s">
        <v>12425</v>
      </c>
      <c r="U4912" s="1901" t="s">
        <v>16630</v>
      </c>
      <c r="V4912" s="572" t="s">
        <v>16215</v>
      </c>
      <c r="W4912" s="1184" t="s">
        <v>14899</v>
      </c>
      <c r="X4912" s="18"/>
      <c r="Y4912" s="4"/>
      <c r="Z4912" s="4"/>
    </row>
    <row r="4913" spans="1:26" ht="14.1" hidden="1">
      <c r="A4913" s="20">
        <v>4922</v>
      </c>
      <c r="B4913" s="937">
        <v>44532</v>
      </c>
      <c r="C4913" s="934" t="s">
        <v>329</v>
      </c>
      <c r="D4913" s="11" t="s">
        <v>6</v>
      </c>
      <c r="E4913" s="204" t="s">
        <v>166</v>
      </c>
      <c r="F4913" s="1014" t="s">
        <v>16624</v>
      </c>
      <c r="G4913" s="539" t="s">
        <v>16641</v>
      </c>
      <c r="H4913" s="683" t="s">
        <v>184</v>
      </c>
      <c r="I4913" s="204" t="s">
        <v>4634</v>
      </c>
      <c r="J4913" s="457" t="s">
        <v>13989</v>
      </c>
      <c r="K4913" s="457" t="s">
        <v>6300</v>
      </c>
      <c r="L4913" s="204">
        <v>805</v>
      </c>
      <c r="M4913" s="204">
        <v>24</v>
      </c>
      <c r="N4913" s="204">
        <v>1</v>
      </c>
      <c r="O4913" s="204">
        <v>50</v>
      </c>
      <c r="P4913" s="204">
        <v>0</v>
      </c>
      <c r="Q4913" s="572">
        <v>26</v>
      </c>
      <c r="R4913" s="1209">
        <v>12.2</v>
      </c>
      <c r="S4913" s="1209">
        <f t="shared" si="279"/>
        <v>610</v>
      </c>
      <c r="T4913" s="204" t="s">
        <v>12425</v>
      </c>
      <c r="U4913" s="1901" t="s">
        <v>16630</v>
      </c>
      <c r="V4913" s="572" t="s">
        <v>16215</v>
      </c>
      <c r="W4913" s="1184" t="s">
        <v>16642</v>
      </c>
      <c r="X4913" s="18"/>
      <c r="Y4913" s="4"/>
      <c r="Z4913" s="4"/>
    </row>
    <row r="4914" spans="1:26" ht="14.1" hidden="1">
      <c r="A4914" s="20">
        <v>4923</v>
      </c>
      <c r="B4914" s="937">
        <v>44532</v>
      </c>
      <c r="C4914" s="934" t="s">
        <v>16643</v>
      </c>
      <c r="D4914" s="11" t="s">
        <v>6</v>
      </c>
      <c r="E4914" s="204" t="s">
        <v>166</v>
      </c>
      <c r="F4914" s="1014" t="s">
        <v>16624</v>
      </c>
      <c r="G4914" s="204" t="s">
        <v>16644</v>
      </c>
      <c r="H4914" s="683"/>
      <c r="I4914" s="1" t="s">
        <v>5690</v>
      </c>
      <c r="J4914" s="204">
        <v>11347717</v>
      </c>
      <c r="K4914" s="204" t="s">
        <v>16645</v>
      </c>
      <c r="L4914" s="683"/>
      <c r="M4914" s="204">
        <v>10</v>
      </c>
      <c r="N4914" s="204">
        <v>10</v>
      </c>
      <c r="O4914" s="204">
        <v>10</v>
      </c>
      <c r="P4914" s="204">
        <v>0</v>
      </c>
      <c r="Q4914" s="572">
        <v>8</v>
      </c>
      <c r="R4914" s="1209">
        <v>63</v>
      </c>
      <c r="S4914" s="1209">
        <f t="shared" si="279"/>
        <v>630</v>
      </c>
      <c r="T4914" s="204" t="s">
        <v>12425</v>
      </c>
      <c r="U4914" s="1901" t="s">
        <v>16630</v>
      </c>
      <c r="V4914" s="572" t="s">
        <v>16215</v>
      </c>
      <c r="W4914" s="1184" t="s">
        <v>16646</v>
      </c>
      <c r="X4914" s="18"/>
      <c r="Y4914" s="4"/>
      <c r="Z4914" s="4"/>
    </row>
    <row r="4915" spans="1:26" ht="14.1" hidden="1">
      <c r="A4915" s="20">
        <v>4924</v>
      </c>
      <c r="B4915" s="937">
        <v>44532</v>
      </c>
      <c r="C4915" s="934" t="s">
        <v>16647</v>
      </c>
      <c r="D4915" s="11" t="s">
        <v>6</v>
      </c>
      <c r="E4915" s="204" t="s">
        <v>166</v>
      </c>
      <c r="F4915" s="1014" t="s">
        <v>16624</v>
      </c>
      <c r="G4915" s="539" t="s">
        <v>16648</v>
      </c>
      <c r="H4915" s="683" t="s">
        <v>945</v>
      </c>
      <c r="I4915" s="1121" t="s">
        <v>39</v>
      </c>
      <c r="J4915" s="204" t="s">
        <v>16649</v>
      </c>
      <c r="K4915" s="183" t="s">
        <v>16650</v>
      </c>
      <c r="L4915" s="683" t="s">
        <v>4179</v>
      </c>
      <c r="M4915" s="204">
        <v>20</v>
      </c>
      <c r="N4915" s="204">
        <v>10</v>
      </c>
      <c r="O4915" s="204">
        <v>20</v>
      </c>
      <c r="P4915" s="204">
        <v>0</v>
      </c>
      <c r="Q4915" s="572">
        <v>0</v>
      </c>
      <c r="R4915" s="1209">
        <v>40</v>
      </c>
      <c r="S4915" s="1209">
        <f t="shared" si="279"/>
        <v>800</v>
      </c>
      <c r="T4915" s="204" t="s">
        <v>12425</v>
      </c>
      <c r="U4915" s="1901" t="s">
        <v>16630</v>
      </c>
      <c r="V4915" s="572" t="s">
        <v>16215</v>
      </c>
      <c r="W4915" s="1815" t="s">
        <v>16651</v>
      </c>
      <c r="X4915" s="18"/>
      <c r="Y4915" s="4"/>
      <c r="Z4915" s="4"/>
    </row>
    <row r="4916" spans="1:26" ht="14.1" hidden="1">
      <c r="A4916" s="20">
        <v>4925</v>
      </c>
      <c r="B4916" s="937">
        <v>44532</v>
      </c>
      <c r="C4916" s="934" t="s">
        <v>16652</v>
      </c>
      <c r="D4916" s="11" t="s">
        <v>6</v>
      </c>
      <c r="E4916" s="204" t="s">
        <v>166</v>
      </c>
      <c r="F4916" s="1014" t="s">
        <v>16624</v>
      </c>
      <c r="G4916" s="543" t="s">
        <v>16653</v>
      </c>
      <c r="H4916" s="683" t="s">
        <v>1143</v>
      </c>
      <c r="I4916" s="1" t="s">
        <v>4634</v>
      </c>
      <c r="J4916" s="543" t="s">
        <v>16497</v>
      </c>
      <c r="K4916" s="183" t="s">
        <v>16498</v>
      </c>
      <c r="L4916" s="683" t="s">
        <v>16654</v>
      </c>
      <c r="M4916" s="204">
        <v>2</v>
      </c>
      <c r="N4916" s="204">
        <v>1</v>
      </c>
      <c r="O4916" s="204">
        <v>8</v>
      </c>
      <c r="P4916" s="204">
        <v>0</v>
      </c>
      <c r="Q4916" s="572">
        <v>6</v>
      </c>
      <c r="R4916" s="1209">
        <v>85.5</v>
      </c>
      <c r="S4916" s="1209">
        <f t="shared" si="279"/>
        <v>684</v>
      </c>
      <c r="T4916" s="204" t="s">
        <v>12425</v>
      </c>
      <c r="U4916" s="1901" t="s">
        <v>16630</v>
      </c>
      <c r="V4916" s="572" t="s">
        <v>16215</v>
      </c>
      <c r="W4916" s="1184" t="s">
        <v>16655</v>
      </c>
      <c r="X4916" s="18"/>
      <c r="Y4916" s="4"/>
      <c r="Z4916" s="4"/>
    </row>
    <row r="4917" spans="1:26" ht="15.95" hidden="1">
      <c r="A4917" s="20">
        <v>4926</v>
      </c>
      <c r="B4917" s="937">
        <v>44532</v>
      </c>
      <c r="C4917" s="934" t="s">
        <v>16656</v>
      </c>
      <c r="D4917" s="11" t="s">
        <v>6</v>
      </c>
      <c r="E4917" s="204" t="s">
        <v>166</v>
      </c>
      <c r="F4917" s="1014" t="s">
        <v>16624</v>
      </c>
      <c r="G4917" s="204" t="s">
        <v>16657</v>
      </c>
      <c r="H4917" s="683" t="s">
        <v>468</v>
      </c>
      <c r="I4917" s="1" t="s">
        <v>84</v>
      </c>
      <c r="J4917" s="1388">
        <v>11342634</v>
      </c>
      <c r="K4917" s="1389">
        <v>26354448</v>
      </c>
      <c r="L4917" s="683" t="s">
        <v>4179</v>
      </c>
      <c r="M4917" s="204">
        <v>2</v>
      </c>
      <c r="N4917" s="204">
        <v>10</v>
      </c>
      <c r="O4917" s="204">
        <v>10</v>
      </c>
      <c r="P4917" s="204">
        <v>0</v>
      </c>
      <c r="Q4917" s="572">
        <v>8</v>
      </c>
      <c r="R4917" s="1209">
        <f>1690/50</f>
        <v>33.799999999999997</v>
      </c>
      <c r="S4917" s="1209">
        <f t="shared" si="279"/>
        <v>338</v>
      </c>
      <c r="T4917" s="204" t="s">
        <v>12425</v>
      </c>
      <c r="U4917" s="1901" t="s">
        <v>16630</v>
      </c>
      <c r="V4917" s="572" t="s">
        <v>16215</v>
      </c>
      <c r="W4917" s="1184" t="s">
        <v>16658</v>
      </c>
      <c r="X4917" s="18"/>
      <c r="Y4917" s="4"/>
      <c r="Z4917" s="4"/>
    </row>
    <row r="4918" spans="1:26" ht="14.1" hidden="1">
      <c r="A4918" s="20">
        <v>4927</v>
      </c>
      <c r="B4918" s="937">
        <v>44532</v>
      </c>
      <c r="C4918" s="934" t="s">
        <v>10491</v>
      </c>
      <c r="D4918" s="11" t="s">
        <v>6</v>
      </c>
      <c r="E4918" s="204" t="s">
        <v>166</v>
      </c>
      <c r="F4918" s="1014" t="s">
        <v>16624</v>
      </c>
      <c r="G4918" s="543" t="s">
        <v>16659</v>
      </c>
      <c r="H4918" s="683" t="s">
        <v>13756</v>
      </c>
      <c r="I4918" s="1" t="s">
        <v>1022</v>
      </c>
      <c r="J4918" s="204"/>
      <c r="K4918" s="204"/>
      <c r="L4918" s="683"/>
      <c r="M4918" s="204">
        <v>2</v>
      </c>
      <c r="N4918" s="204">
        <v>1</v>
      </c>
      <c r="O4918" s="204">
        <v>3</v>
      </c>
      <c r="P4918" s="204">
        <v>0</v>
      </c>
      <c r="Q4918" s="572">
        <v>1</v>
      </c>
      <c r="R4918" s="1209">
        <v>4399</v>
      </c>
      <c r="S4918" s="1209">
        <f t="shared" si="279"/>
        <v>13197</v>
      </c>
      <c r="T4918" s="204" t="s">
        <v>12425</v>
      </c>
      <c r="U4918" s="1901" t="s">
        <v>16630</v>
      </c>
      <c r="V4918" s="572" t="s">
        <v>16215</v>
      </c>
      <c r="W4918" s="1184" t="s">
        <v>16660</v>
      </c>
      <c r="X4918" s="18"/>
      <c r="Y4918" s="4"/>
      <c r="Z4918" s="4"/>
    </row>
    <row r="4919" spans="1:26" ht="14.1" hidden="1">
      <c r="A4919" s="20">
        <v>4928</v>
      </c>
      <c r="B4919" s="937">
        <v>44532</v>
      </c>
      <c r="C4919" s="934" t="s">
        <v>16661</v>
      </c>
      <c r="D4919" s="10" t="s">
        <v>6</v>
      </c>
      <c r="E4919" s="204" t="s">
        <v>166</v>
      </c>
      <c r="F4919" s="1014" t="s">
        <v>16624</v>
      </c>
      <c r="G4919" s="543" t="s">
        <v>16662</v>
      </c>
      <c r="H4919" s="683" t="s">
        <v>243</v>
      </c>
      <c r="I4919" s="1" t="s">
        <v>13353</v>
      </c>
      <c r="J4919" s="543" t="s">
        <v>16663</v>
      </c>
      <c r="K4919" s="183" t="s">
        <v>5752</v>
      </c>
      <c r="L4919" s="683" t="s">
        <v>210</v>
      </c>
      <c r="M4919" s="204">
        <v>2</v>
      </c>
      <c r="N4919" s="204">
        <v>1</v>
      </c>
      <c r="O4919" s="204">
        <v>6</v>
      </c>
      <c r="P4919" s="204">
        <v>0</v>
      </c>
      <c r="Q4919" s="572">
        <v>4</v>
      </c>
      <c r="R4919" s="1209">
        <v>551</v>
      </c>
      <c r="S4919" s="1209">
        <f t="shared" si="279"/>
        <v>3306</v>
      </c>
      <c r="T4919" s="204" t="s">
        <v>12425</v>
      </c>
      <c r="U4919" s="1901" t="s">
        <v>16630</v>
      </c>
      <c r="V4919" s="572" t="s">
        <v>16215</v>
      </c>
      <c r="W4919" s="1184" t="s">
        <v>16664</v>
      </c>
      <c r="X4919" s="18"/>
      <c r="Y4919" s="4"/>
      <c r="Z4919" s="4"/>
    </row>
    <row r="4920" spans="1:26" ht="14.1" hidden="1">
      <c r="A4920" s="20">
        <v>4929</v>
      </c>
      <c r="B4920" s="937">
        <v>44532</v>
      </c>
      <c r="C4920" s="934" t="s">
        <v>16665</v>
      </c>
      <c r="D4920" s="11" t="s">
        <v>6</v>
      </c>
      <c r="E4920" s="204" t="s">
        <v>166</v>
      </c>
      <c r="F4920" s="1014" t="s">
        <v>16624</v>
      </c>
      <c r="G4920" s="1465" t="s">
        <v>16666</v>
      </c>
      <c r="H4920" s="1465" t="s">
        <v>1104</v>
      </c>
      <c r="I4920" s="1" t="s">
        <v>1144</v>
      </c>
      <c r="J4920" s="1478" t="s">
        <v>16667</v>
      </c>
      <c r="K4920" s="1478" t="s">
        <v>6915</v>
      </c>
      <c r="L4920" s="683"/>
      <c r="M4920" s="204">
        <v>2</v>
      </c>
      <c r="N4920" s="204">
        <v>1</v>
      </c>
      <c r="O4920" s="204">
        <v>10</v>
      </c>
      <c r="P4920" s="204">
        <v>0</v>
      </c>
      <c r="Q4920" s="572">
        <v>8</v>
      </c>
      <c r="R4920" s="1209">
        <v>56.6</v>
      </c>
      <c r="S4920" s="1209">
        <f t="shared" si="279"/>
        <v>566</v>
      </c>
      <c r="T4920" s="204" t="s">
        <v>12425</v>
      </c>
      <c r="U4920" s="1901" t="s">
        <v>16630</v>
      </c>
      <c r="V4920" s="572" t="s">
        <v>16215</v>
      </c>
      <c r="W4920" s="1815" t="s">
        <v>16668</v>
      </c>
      <c r="X4920" s="18"/>
      <c r="Y4920" s="4"/>
      <c r="Z4920" s="4"/>
    </row>
    <row r="4921" spans="1:26" ht="15.95" hidden="1">
      <c r="A4921" s="20">
        <v>4930</v>
      </c>
      <c r="B4921" s="937">
        <v>44532</v>
      </c>
      <c r="C4921" s="934" t="s">
        <v>16669</v>
      </c>
      <c r="D4921" s="11" t="s">
        <v>6</v>
      </c>
      <c r="E4921" s="204" t="s">
        <v>166</v>
      </c>
      <c r="F4921" s="1014" t="s">
        <v>16624</v>
      </c>
      <c r="G4921" s="1481" t="s">
        <v>16670</v>
      </c>
      <c r="H4921" s="683" t="s">
        <v>16671</v>
      </c>
      <c r="I4921" s="1" t="s">
        <v>5690</v>
      </c>
      <c r="J4921" s="1390">
        <v>11314458</v>
      </c>
      <c r="K4921" s="1391" t="s">
        <v>16672</v>
      </c>
      <c r="L4921" s="683" t="s">
        <v>4179</v>
      </c>
      <c r="M4921" s="204">
        <v>2</v>
      </c>
      <c r="N4921" s="204">
        <v>10</v>
      </c>
      <c r="O4921" s="204">
        <v>10</v>
      </c>
      <c r="P4921" s="204">
        <v>0</v>
      </c>
      <c r="Q4921" s="572">
        <v>8</v>
      </c>
      <c r="R4921" s="1209">
        <v>50</v>
      </c>
      <c r="S4921" s="1209">
        <f t="shared" si="279"/>
        <v>500</v>
      </c>
      <c r="T4921" s="204" t="s">
        <v>12425</v>
      </c>
      <c r="U4921" s="1901" t="s">
        <v>16630</v>
      </c>
      <c r="V4921" s="572" t="s">
        <v>16215</v>
      </c>
      <c r="W4921" s="1184" t="s">
        <v>16673</v>
      </c>
      <c r="X4921" s="18"/>
      <c r="Y4921" s="4"/>
      <c r="Z4921" s="4"/>
    </row>
    <row r="4922" spans="1:26" ht="14.1" hidden="1">
      <c r="A4922" s="20">
        <v>4931</v>
      </c>
      <c r="B4922" s="937">
        <v>44532</v>
      </c>
      <c r="C4922" s="934" t="s">
        <v>3031</v>
      </c>
      <c r="D4922" s="11" t="s">
        <v>6</v>
      </c>
      <c r="E4922" s="204" t="s">
        <v>166</v>
      </c>
      <c r="F4922" s="1014" t="s">
        <v>16624</v>
      </c>
      <c r="G4922" s="543" t="s">
        <v>16674</v>
      </c>
      <c r="H4922" s="683" t="s">
        <v>1928</v>
      </c>
      <c r="I4922" s="1" t="s">
        <v>39</v>
      </c>
      <c r="J4922" s="204" t="s">
        <v>16675</v>
      </c>
      <c r="K4922" s="204" t="s">
        <v>16675</v>
      </c>
      <c r="L4922" s="683" t="s">
        <v>4179</v>
      </c>
      <c r="M4922" s="204">
        <v>12</v>
      </c>
      <c r="N4922" s="204">
        <v>10</v>
      </c>
      <c r="O4922" s="204">
        <v>20</v>
      </c>
      <c r="P4922" s="204">
        <v>0</v>
      </c>
      <c r="Q4922" s="572">
        <v>8</v>
      </c>
      <c r="R4922" s="1209">
        <v>52.25</v>
      </c>
      <c r="S4922" s="1209">
        <f t="shared" si="279"/>
        <v>1045</v>
      </c>
      <c r="T4922" s="204" t="s">
        <v>12425</v>
      </c>
      <c r="U4922" s="1901" t="s">
        <v>16630</v>
      </c>
      <c r="V4922" s="572" t="s">
        <v>16215</v>
      </c>
      <c r="W4922" s="1815" t="s">
        <v>16676</v>
      </c>
      <c r="X4922" s="18"/>
      <c r="Y4922" s="4"/>
      <c r="Z4922" s="4"/>
    </row>
    <row r="4923" spans="1:26" ht="14.1" hidden="1">
      <c r="A4923" s="20">
        <v>4932</v>
      </c>
      <c r="B4923" s="937">
        <v>44532</v>
      </c>
      <c r="C4923" s="934" t="s">
        <v>1083</v>
      </c>
      <c r="D4923" s="11" t="s">
        <v>6</v>
      </c>
      <c r="E4923" s="204" t="s">
        <v>166</v>
      </c>
      <c r="F4923" s="1014" t="s">
        <v>16677</v>
      </c>
      <c r="G4923" s="543" t="s">
        <v>16678</v>
      </c>
      <c r="H4923" s="683" t="s">
        <v>10591</v>
      </c>
      <c r="I4923" s="1" t="s">
        <v>4634</v>
      </c>
      <c r="J4923" s="543" t="s">
        <v>16679</v>
      </c>
      <c r="K4923" s="543" t="s">
        <v>10594</v>
      </c>
      <c r="L4923" s="683" t="s">
        <v>7953</v>
      </c>
      <c r="M4923" s="204">
        <v>10</v>
      </c>
      <c r="N4923" s="204">
        <v>1</v>
      </c>
      <c r="O4923" s="204">
        <v>10</v>
      </c>
      <c r="P4923" s="204">
        <v>0</v>
      </c>
      <c r="Q4923" s="572">
        <v>0</v>
      </c>
      <c r="R4923" s="1209">
        <v>542</v>
      </c>
      <c r="S4923" s="1209">
        <f t="shared" si="279"/>
        <v>5420</v>
      </c>
      <c r="T4923" s="204" t="s">
        <v>12425</v>
      </c>
      <c r="U4923" s="1901" t="s">
        <v>16680</v>
      </c>
      <c r="V4923" s="572" t="s">
        <v>16215</v>
      </c>
      <c r="W4923" s="1184" t="s">
        <v>16681</v>
      </c>
      <c r="X4923" s="18"/>
      <c r="Y4923" s="4"/>
      <c r="Z4923" s="4"/>
    </row>
    <row r="4924" spans="1:26" ht="23.1" hidden="1">
      <c r="A4924" s="20">
        <v>4933</v>
      </c>
      <c r="B4924" s="937">
        <v>44532</v>
      </c>
      <c r="C4924" s="934" t="s">
        <v>16682</v>
      </c>
      <c r="D4924" s="11" t="s">
        <v>6</v>
      </c>
      <c r="E4924" s="204" t="s">
        <v>166</v>
      </c>
      <c r="F4924" s="1014" t="s">
        <v>16677</v>
      </c>
      <c r="G4924" s="1478" t="s">
        <v>16683</v>
      </c>
      <c r="H4924" s="683" t="s">
        <v>2227</v>
      </c>
      <c r="I4924" s="1" t="s">
        <v>574</v>
      </c>
      <c r="J4924" s="1478" t="s">
        <v>16684</v>
      </c>
      <c r="K4924" s="1482" t="s">
        <v>16685</v>
      </c>
      <c r="L4924" s="683" t="s">
        <v>7953</v>
      </c>
      <c r="M4924" s="204">
        <v>10</v>
      </c>
      <c r="N4924" s="204">
        <v>20</v>
      </c>
      <c r="O4924" s="204">
        <v>20</v>
      </c>
      <c r="P4924" s="204">
        <v>0</v>
      </c>
      <c r="Q4924" s="572">
        <v>10</v>
      </c>
      <c r="R4924" s="1209">
        <v>112.16</v>
      </c>
      <c r="S4924" s="1209">
        <f>O4924*R4924</f>
        <v>2243.1999999999998</v>
      </c>
      <c r="T4924" s="204" t="s">
        <v>12425</v>
      </c>
      <c r="U4924" s="1901" t="s">
        <v>16686</v>
      </c>
      <c r="V4924" s="572" t="s">
        <v>16215</v>
      </c>
      <c r="W4924" s="1184" t="s">
        <v>358</v>
      </c>
      <c r="X4924" s="18"/>
      <c r="Y4924" s="4"/>
      <c r="Z4924" s="4"/>
    </row>
    <row r="4925" spans="1:26" ht="14.1" hidden="1">
      <c r="A4925" s="20">
        <v>4934</v>
      </c>
      <c r="B4925" s="937">
        <v>44532</v>
      </c>
      <c r="C4925" s="934" t="s">
        <v>16687</v>
      </c>
      <c r="D4925" s="11" t="s">
        <v>6</v>
      </c>
      <c r="E4925" s="204" t="s">
        <v>166</v>
      </c>
      <c r="F4925" s="1014" t="s">
        <v>16677</v>
      </c>
      <c r="G4925" s="1478" t="s">
        <v>16688</v>
      </c>
      <c r="H4925" s="683"/>
      <c r="I4925" s="1" t="s">
        <v>39</v>
      </c>
      <c r="J4925" s="204" t="s">
        <v>14430</v>
      </c>
      <c r="K4925" s="204" t="s">
        <v>1080</v>
      </c>
      <c r="L4925" s="683"/>
      <c r="M4925" s="204">
        <v>5</v>
      </c>
      <c r="N4925" s="204">
        <v>1</v>
      </c>
      <c r="O4925" s="204">
        <v>5</v>
      </c>
      <c r="P4925" s="204">
        <v>0</v>
      </c>
      <c r="Q4925" s="572">
        <v>0</v>
      </c>
      <c r="R4925" s="1209">
        <v>1110</v>
      </c>
      <c r="S4925" s="1209">
        <f>O4925*R4925</f>
        <v>5550</v>
      </c>
      <c r="T4925" s="204" t="s">
        <v>12425</v>
      </c>
      <c r="U4925" s="1901" t="s">
        <v>16689</v>
      </c>
      <c r="V4925" s="572" t="s">
        <v>16215</v>
      </c>
      <c r="W4925" s="1184" t="s">
        <v>14431</v>
      </c>
      <c r="X4925" s="18"/>
      <c r="Y4925" s="4"/>
      <c r="Z4925" s="4"/>
    </row>
    <row r="4926" spans="1:26" ht="14.1" hidden="1">
      <c r="A4926" s="20">
        <v>4935</v>
      </c>
      <c r="B4926" s="937">
        <v>44532</v>
      </c>
      <c r="C4926" s="934" t="s">
        <v>16690</v>
      </c>
      <c r="D4926" s="11" t="s">
        <v>6</v>
      </c>
      <c r="E4926" s="204" t="s">
        <v>166</v>
      </c>
      <c r="F4926" s="1014" t="s">
        <v>16677</v>
      </c>
      <c r="G4926" s="543" t="s">
        <v>16691</v>
      </c>
      <c r="H4926" s="683" t="s">
        <v>305</v>
      </c>
      <c r="I4926" s="1" t="s">
        <v>5445</v>
      </c>
      <c r="J4926" s="543" t="s">
        <v>16692</v>
      </c>
      <c r="K4926" s="543" t="s">
        <v>16693</v>
      </c>
      <c r="L4926" s="683" t="s">
        <v>16694</v>
      </c>
      <c r="M4926" s="204">
        <v>20</v>
      </c>
      <c r="N4926" s="204">
        <v>1</v>
      </c>
      <c r="O4926" s="204">
        <v>20</v>
      </c>
      <c r="P4926" s="204">
        <v>0</v>
      </c>
      <c r="Q4926" s="572">
        <v>10</v>
      </c>
      <c r="R4926" s="1209">
        <v>57</v>
      </c>
      <c r="S4926" s="1209">
        <f>O4926*R4926</f>
        <v>1140</v>
      </c>
      <c r="T4926" s="204" t="s">
        <v>12425</v>
      </c>
      <c r="U4926" s="1901" t="s">
        <v>16689</v>
      </c>
      <c r="V4926" s="572" t="s">
        <v>16215</v>
      </c>
      <c r="W4926" s="1184" t="s">
        <v>16695</v>
      </c>
      <c r="X4926" s="18"/>
      <c r="Y4926" s="4"/>
      <c r="Z4926" s="4"/>
    </row>
    <row r="4927" spans="1:26" ht="14.1" hidden="1">
      <c r="A4927" s="20">
        <v>4936</v>
      </c>
      <c r="B4927" s="937">
        <v>44532</v>
      </c>
      <c r="C4927" s="934" t="s">
        <v>329</v>
      </c>
      <c r="D4927" s="11" t="s">
        <v>6</v>
      </c>
      <c r="E4927" s="204" t="s">
        <v>166</v>
      </c>
      <c r="F4927" s="1014" t="s">
        <v>16677</v>
      </c>
      <c r="G4927" s="543" t="s">
        <v>16696</v>
      </c>
      <c r="H4927" s="683" t="s">
        <v>1653</v>
      </c>
      <c r="I4927" s="1" t="s">
        <v>5445</v>
      </c>
      <c r="J4927" s="543" t="s">
        <v>16697</v>
      </c>
      <c r="K4927" s="543" t="s">
        <v>15468</v>
      </c>
      <c r="L4927" s="683" t="s">
        <v>7953</v>
      </c>
      <c r="M4927" s="204">
        <v>20</v>
      </c>
      <c r="N4927" s="204">
        <v>1</v>
      </c>
      <c r="O4927" s="204">
        <v>50</v>
      </c>
      <c r="P4927" s="204">
        <v>0</v>
      </c>
      <c r="Q4927" s="572">
        <v>30</v>
      </c>
      <c r="R4927" s="1209">
        <v>11.3</v>
      </c>
      <c r="S4927" s="1209">
        <f>O4927*R4927</f>
        <v>565</v>
      </c>
      <c r="T4927" s="204" t="s">
        <v>12425</v>
      </c>
      <c r="U4927" s="1901" t="s">
        <v>16689</v>
      </c>
      <c r="V4927" s="572" t="s">
        <v>16215</v>
      </c>
      <c r="W4927" s="1184" t="s">
        <v>16698</v>
      </c>
      <c r="X4927" s="18"/>
      <c r="Y4927" s="4"/>
      <c r="Z4927" s="4"/>
    </row>
    <row r="4928" spans="1:26" ht="15" hidden="1">
      <c r="A4928" s="20">
        <v>4937</v>
      </c>
      <c r="B4928" s="937">
        <v>44532</v>
      </c>
      <c r="C4928" s="934" t="s">
        <v>16699</v>
      </c>
      <c r="D4928" s="11" t="s">
        <v>6</v>
      </c>
      <c r="E4928" s="204" t="s">
        <v>166</v>
      </c>
      <c r="F4928" s="1014" t="s">
        <v>16677</v>
      </c>
      <c r="G4928" s="1483" t="s">
        <v>16700</v>
      </c>
      <c r="H4928" s="683"/>
      <c r="I4928" s="1" t="s">
        <v>16701</v>
      </c>
      <c r="J4928" s="1392" t="s">
        <v>16702</v>
      </c>
      <c r="K4928" s="1392" t="s">
        <v>16702</v>
      </c>
      <c r="L4928" s="683" t="s">
        <v>7678</v>
      </c>
      <c r="M4928" s="204">
        <v>20</v>
      </c>
      <c r="N4928" s="204" t="s">
        <v>16703</v>
      </c>
      <c r="O4928" s="204">
        <v>100</v>
      </c>
      <c r="P4928" s="204">
        <v>0</v>
      </c>
      <c r="Q4928" s="572">
        <v>80</v>
      </c>
      <c r="R4928" s="1209"/>
      <c r="S4928" s="1209">
        <v>300</v>
      </c>
      <c r="T4928" s="204" t="s">
        <v>12425</v>
      </c>
      <c r="U4928" s="1901" t="s">
        <v>16689</v>
      </c>
      <c r="V4928" s="572" t="s">
        <v>16215</v>
      </c>
      <c r="W4928" s="1184" t="s">
        <v>16704</v>
      </c>
      <c r="X4928" s="18"/>
      <c r="Y4928" s="4"/>
      <c r="Z4928" s="4"/>
    </row>
    <row r="4929" spans="1:52" ht="14.1" hidden="1">
      <c r="A4929" s="20">
        <v>4938</v>
      </c>
      <c r="B4929" s="937">
        <v>44532</v>
      </c>
      <c r="C4929" s="934" t="s">
        <v>7277</v>
      </c>
      <c r="D4929" s="11" t="s">
        <v>6</v>
      </c>
      <c r="E4929" s="204" t="s">
        <v>166</v>
      </c>
      <c r="F4929" s="1014" t="s">
        <v>16677</v>
      </c>
      <c r="G4929" s="1483" t="s">
        <v>16705</v>
      </c>
      <c r="H4929" s="683" t="s">
        <v>16706</v>
      </c>
      <c r="I4929" s="1" t="s">
        <v>5764</v>
      </c>
      <c r="J4929" s="1393" t="s">
        <v>5766</v>
      </c>
      <c r="K4929" s="1393" t="s">
        <v>5766</v>
      </c>
      <c r="L4929" s="683"/>
      <c r="M4929" s="204"/>
      <c r="N4929" s="204" t="s">
        <v>16707</v>
      </c>
      <c r="O4929" s="204"/>
      <c r="P4929" s="204"/>
      <c r="Q4929" s="572"/>
      <c r="R4929" s="1209"/>
      <c r="S4929" s="1209">
        <v>554</v>
      </c>
      <c r="T4929" s="204" t="s">
        <v>12425</v>
      </c>
      <c r="U4929" s="1901" t="s">
        <v>16689</v>
      </c>
      <c r="V4929" s="572" t="s">
        <v>16215</v>
      </c>
      <c r="W4929" s="1184" t="s">
        <v>5768</v>
      </c>
      <c r="X4929" s="18"/>
      <c r="Y4929" s="4"/>
      <c r="Z4929" s="4"/>
    </row>
    <row r="4930" spans="1:52" ht="14.1" hidden="1">
      <c r="A4930" s="20">
        <v>4939</v>
      </c>
      <c r="B4930" s="937">
        <v>44533</v>
      </c>
      <c r="C4930" s="858" t="s">
        <v>16708</v>
      </c>
      <c r="D4930" s="8" t="s">
        <v>6</v>
      </c>
      <c r="E4930" s="858" t="s">
        <v>166</v>
      </c>
      <c r="F4930" s="858" t="s">
        <v>13364</v>
      </c>
      <c r="G4930" s="1396" t="s">
        <v>16709</v>
      </c>
      <c r="H4930" s="858" t="s">
        <v>626</v>
      </c>
      <c r="I4930" s="1394" t="s">
        <v>4634</v>
      </c>
      <c r="J4930" s="1182" t="s">
        <v>16710</v>
      </c>
      <c r="K4930" s="1182" t="s">
        <v>15826</v>
      </c>
      <c r="L4930" s="1395" t="s">
        <v>16711</v>
      </c>
      <c r="M4930" s="863">
        <v>1</v>
      </c>
      <c r="N4930" s="863">
        <v>1</v>
      </c>
      <c r="O4930" s="863">
        <v>1</v>
      </c>
      <c r="P4930" s="863">
        <v>0</v>
      </c>
      <c r="Q4930" s="863">
        <v>0</v>
      </c>
      <c r="R4930" s="1359" t="s">
        <v>16712</v>
      </c>
      <c r="S4930" s="1359" t="s">
        <v>16712</v>
      </c>
      <c r="T4930" s="204" t="s">
        <v>14752</v>
      </c>
      <c r="U4930" s="1901" t="s">
        <v>16713</v>
      </c>
      <c r="V4930" s="572" t="s">
        <v>5575</v>
      </c>
      <c r="W4930" s="1184" t="s">
        <v>16714</v>
      </c>
      <c r="X4930" s="18"/>
      <c r="Y4930" s="4"/>
      <c r="Z4930" s="4"/>
    </row>
    <row r="4931" spans="1:52" ht="14.1" hidden="1">
      <c r="A4931" s="20">
        <v>4940</v>
      </c>
      <c r="B4931" s="937">
        <v>44533</v>
      </c>
      <c r="C4931" s="858" t="s">
        <v>16715</v>
      </c>
      <c r="D4931" s="8" t="s">
        <v>6</v>
      </c>
      <c r="E4931" s="858" t="s">
        <v>166</v>
      </c>
      <c r="F4931" s="858" t="s">
        <v>13364</v>
      </c>
      <c r="G4931" s="1183" t="s">
        <v>16716</v>
      </c>
      <c r="H4931" s="858" t="s">
        <v>14528</v>
      </c>
      <c r="I4931" s="858" t="s">
        <v>4634</v>
      </c>
      <c r="J4931" s="1396" t="s">
        <v>16717</v>
      </c>
      <c r="K4931" s="1397" t="s">
        <v>16034</v>
      </c>
      <c r="L4931" s="613" t="s">
        <v>7002</v>
      </c>
      <c r="M4931" s="863">
        <v>1</v>
      </c>
      <c r="N4931" s="863">
        <v>1</v>
      </c>
      <c r="O4931" s="863">
        <v>1</v>
      </c>
      <c r="P4931" s="863">
        <v>0</v>
      </c>
      <c r="Q4931" s="863">
        <v>0</v>
      </c>
      <c r="R4931" s="1359" t="s">
        <v>16718</v>
      </c>
      <c r="S4931" s="1359" t="s">
        <v>16718</v>
      </c>
      <c r="T4931" s="204" t="s">
        <v>14752</v>
      </c>
      <c r="U4931" s="1901" t="s">
        <v>4615</v>
      </c>
      <c r="V4931" s="572" t="s">
        <v>5575</v>
      </c>
      <c r="W4931" s="1184" t="s">
        <v>16719</v>
      </c>
      <c r="X4931" s="18"/>
      <c r="Y4931" s="4"/>
      <c r="Z4931" s="4"/>
    </row>
    <row r="4932" spans="1:52" ht="14.1" hidden="1">
      <c r="A4932" s="20">
        <v>4941</v>
      </c>
      <c r="B4932" s="937">
        <v>44533</v>
      </c>
      <c r="C4932" s="934" t="s">
        <v>16720</v>
      </c>
      <c r="D4932" s="11" t="s">
        <v>6</v>
      </c>
      <c r="E4932" s="204" t="s">
        <v>16258</v>
      </c>
      <c r="F4932" s="934" t="s">
        <v>16721</v>
      </c>
      <c r="G4932" s="204" t="s">
        <v>16722</v>
      </c>
      <c r="H4932" s="204" t="s">
        <v>1379</v>
      </c>
      <c r="I4932" s="204" t="s">
        <v>1379</v>
      </c>
      <c r="J4932" s="204">
        <v>21120300200</v>
      </c>
      <c r="K4932" s="204">
        <v>21120300200</v>
      </c>
      <c r="L4932" s="204"/>
      <c r="M4932" s="204">
        <v>4</v>
      </c>
      <c r="N4932" s="204">
        <v>1</v>
      </c>
      <c r="O4932" s="204">
        <v>4</v>
      </c>
      <c r="P4932" s="204">
        <v>0</v>
      </c>
      <c r="Q4932" s="572">
        <v>4</v>
      </c>
      <c r="R4932" s="1209">
        <v>109105</v>
      </c>
      <c r="S4932" s="1209">
        <v>109105</v>
      </c>
      <c r="T4932" s="204" t="s">
        <v>16723</v>
      </c>
      <c r="U4932" s="1901" t="s">
        <v>441</v>
      </c>
      <c r="V4932" s="572" t="s">
        <v>16724</v>
      </c>
      <c r="W4932" s="681"/>
      <c r="X4932" s="18"/>
      <c r="Y4932" s="4"/>
      <c r="Z4932" s="4"/>
    </row>
    <row r="4933" spans="1:52" ht="14.1" hidden="1">
      <c r="A4933" s="20">
        <v>4942</v>
      </c>
      <c r="B4933" s="937">
        <v>44536</v>
      </c>
      <c r="C4933" s="934" t="s">
        <v>16725</v>
      </c>
      <c r="D4933" s="11" t="s">
        <v>6</v>
      </c>
      <c r="E4933" s="204" t="s">
        <v>16258</v>
      </c>
      <c r="F4933" s="934" t="s">
        <v>11323</v>
      </c>
      <c r="G4933" s="204" t="s">
        <v>16726</v>
      </c>
      <c r="H4933" s="204" t="s">
        <v>1379</v>
      </c>
      <c r="I4933" s="204" t="s">
        <v>1379</v>
      </c>
      <c r="J4933" s="204">
        <v>21120600119</v>
      </c>
      <c r="K4933" s="204">
        <v>21120600119</v>
      </c>
      <c r="L4933" s="204"/>
      <c r="M4933" s="204">
        <v>4</v>
      </c>
      <c r="N4933" s="204">
        <v>1</v>
      </c>
      <c r="O4933" s="204">
        <v>5</v>
      </c>
      <c r="P4933" s="204">
        <v>0</v>
      </c>
      <c r="Q4933" s="572">
        <v>5</v>
      </c>
      <c r="R4933" s="1209">
        <v>91701</v>
      </c>
      <c r="S4933" s="1209">
        <v>91701</v>
      </c>
      <c r="T4933" s="204" t="s">
        <v>3961</v>
      </c>
      <c r="U4933" s="1901" t="s">
        <v>3637</v>
      </c>
      <c r="V4933" s="572" t="s">
        <v>16724</v>
      </c>
      <c r="W4933" s="681"/>
      <c r="X4933" s="18"/>
      <c r="Y4933" s="4"/>
      <c r="Z4933" s="4"/>
    </row>
    <row r="4934" spans="1:52" ht="14.1" hidden="1">
      <c r="A4934" s="20">
        <v>4943</v>
      </c>
      <c r="B4934" s="937">
        <v>44536</v>
      </c>
      <c r="C4934" s="934" t="s">
        <v>16727</v>
      </c>
      <c r="D4934" s="8" t="s">
        <v>6</v>
      </c>
      <c r="E4934" s="204" t="s">
        <v>166</v>
      </c>
      <c r="F4934" s="934" t="s">
        <v>11344</v>
      </c>
      <c r="G4934" s="204" t="s">
        <v>16728</v>
      </c>
      <c r="H4934" s="204"/>
      <c r="I4934" s="204" t="s">
        <v>4148</v>
      </c>
      <c r="J4934" s="1185" t="s">
        <v>16729</v>
      </c>
      <c r="K4934" s="1185" t="s">
        <v>16729</v>
      </c>
      <c r="L4934" s="204" t="s">
        <v>16730</v>
      </c>
      <c r="M4934" s="204">
        <v>2</v>
      </c>
      <c r="N4934" s="204">
        <v>1</v>
      </c>
      <c r="O4934" s="204">
        <v>2</v>
      </c>
      <c r="P4934" s="204">
        <v>0</v>
      </c>
      <c r="Q4934" s="572">
        <v>0</v>
      </c>
      <c r="R4934" s="1196">
        <v>4999</v>
      </c>
      <c r="S4934" s="1209">
        <v>9998</v>
      </c>
      <c r="T4934" s="204" t="s">
        <v>3961</v>
      </c>
      <c r="U4934" s="1901" t="s">
        <v>16731</v>
      </c>
      <c r="V4934" s="572" t="s">
        <v>352</v>
      </c>
      <c r="W4934" s="1815" t="s">
        <v>16732</v>
      </c>
      <c r="X4934" s="18"/>
      <c r="Y4934" s="4"/>
      <c r="Z4934" s="4"/>
    </row>
    <row r="4935" spans="1:52" ht="14.1" hidden="1">
      <c r="A4935" s="20">
        <v>4944</v>
      </c>
      <c r="B4935" s="1069">
        <v>44537</v>
      </c>
      <c r="C4935" s="940" t="s">
        <v>4832</v>
      </c>
      <c r="D4935" s="11" t="s">
        <v>6</v>
      </c>
      <c r="E4935" s="239" t="s">
        <v>166</v>
      </c>
      <c r="F4935" s="940" t="s">
        <v>15108</v>
      </c>
      <c r="G4935" s="239" t="s">
        <v>16733</v>
      </c>
      <c r="H4935" s="239" t="s">
        <v>4834</v>
      </c>
      <c r="I4935" s="239" t="s">
        <v>16734</v>
      </c>
      <c r="J4935" s="239" t="s">
        <v>6646</v>
      </c>
      <c r="K4935" s="239"/>
      <c r="L4935" s="239"/>
      <c r="M4935" s="239">
        <v>4</v>
      </c>
      <c r="N4935" s="239">
        <v>1</v>
      </c>
      <c r="O4935" s="239">
        <v>10</v>
      </c>
      <c r="P4935" s="239">
        <v>0</v>
      </c>
      <c r="Q4935" s="572">
        <v>6</v>
      </c>
      <c r="R4935" s="1209">
        <v>100</v>
      </c>
      <c r="S4935" s="1209">
        <v>1000</v>
      </c>
      <c r="T4935" s="239" t="s">
        <v>311</v>
      </c>
      <c r="U4935" s="1901" t="s">
        <v>1</v>
      </c>
      <c r="V4935" s="572" t="s">
        <v>16735</v>
      </c>
      <c r="W4935" s="681" t="s">
        <v>16736</v>
      </c>
      <c r="X4935" s="18"/>
      <c r="Y4935" s="4"/>
      <c r="Z4935" s="4"/>
    </row>
    <row r="4936" spans="1:52" ht="14.1" hidden="1">
      <c r="A4936" s="20">
        <v>4945</v>
      </c>
      <c r="B4936" s="1069">
        <v>44537</v>
      </c>
      <c r="C4936" s="940" t="s">
        <v>4537</v>
      </c>
      <c r="D4936" s="11" t="s">
        <v>6</v>
      </c>
      <c r="E4936" s="239" t="s">
        <v>166</v>
      </c>
      <c r="F4936" s="940" t="s">
        <v>15108</v>
      </c>
      <c r="G4936" s="239" t="s">
        <v>16737</v>
      </c>
      <c r="H4936" s="239" t="s">
        <v>7663</v>
      </c>
      <c r="I4936" s="239" t="s">
        <v>16734</v>
      </c>
      <c r="J4936" s="239" t="s">
        <v>16738</v>
      </c>
      <c r="K4936" s="239"/>
      <c r="L4936" s="239"/>
      <c r="M4936" s="239">
        <v>4</v>
      </c>
      <c r="N4936" s="239">
        <v>1</v>
      </c>
      <c r="O4936" s="239">
        <v>10</v>
      </c>
      <c r="P4936" s="239">
        <v>0</v>
      </c>
      <c r="Q4936" s="572">
        <v>6</v>
      </c>
      <c r="R4936" s="1209">
        <v>150</v>
      </c>
      <c r="S4936" s="1209">
        <v>1500</v>
      </c>
      <c r="T4936" s="239" t="s">
        <v>311</v>
      </c>
      <c r="U4936" s="1901" t="s">
        <v>1</v>
      </c>
      <c r="V4936" s="572" t="s">
        <v>16735</v>
      </c>
      <c r="W4936" s="1184" t="s">
        <v>10845</v>
      </c>
      <c r="X4936" s="18"/>
      <c r="Y4936" s="4"/>
      <c r="Z4936" s="4"/>
    </row>
    <row r="4937" spans="1:52" ht="14.1" hidden="1">
      <c r="A4937" s="20">
        <v>4946</v>
      </c>
      <c r="B4937" s="1069">
        <v>44537</v>
      </c>
      <c r="C4937" t="s">
        <v>16739</v>
      </c>
      <c r="D4937" s="10"/>
      <c r="E4937" s="204" t="s">
        <v>62</v>
      </c>
      <c r="F4937" s="934" t="s">
        <v>13447</v>
      </c>
      <c r="G4937" s="204" t="s">
        <v>16740</v>
      </c>
      <c r="H4937" s="239" t="s">
        <v>16741</v>
      </c>
      <c r="I4937" s="204" t="s">
        <v>1022</v>
      </c>
      <c r="J4937" s="1185" t="s">
        <v>1</v>
      </c>
      <c r="K4937" s="204" t="s">
        <v>16742</v>
      </c>
      <c r="L4937" s="204" t="s">
        <v>1</v>
      </c>
      <c r="M4937" s="458">
        <v>1</v>
      </c>
      <c r="N4937" s="204">
        <v>1</v>
      </c>
      <c r="O4937" s="204">
        <v>1</v>
      </c>
      <c r="P4937" s="204">
        <v>0</v>
      </c>
      <c r="Q4937" s="572">
        <v>1</v>
      </c>
      <c r="R4937" s="1209">
        <v>3398</v>
      </c>
      <c r="S4937" s="1209">
        <v>3398</v>
      </c>
      <c r="T4937" s="204" t="s">
        <v>1395</v>
      </c>
      <c r="U4937" s="1901" t="s">
        <v>16066</v>
      </c>
      <c r="V4937" s="572" t="s">
        <v>352</v>
      </c>
      <c r="W4937" s="1815" t="s">
        <v>16743</v>
      </c>
      <c r="X4937" s="18"/>
      <c r="Y4937" s="4"/>
      <c r="Z4937" s="4"/>
    </row>
    <row r="4938" spans="1:52" ht="14.1" hidden="1">
      <c r="A4938" s="20">
        <v>4947</v>
      </c>
      <c r="B4938" s="1069">
        <v>44538</v>
      </c>
      <c r="C4938" s="934" t="s">
        <v>16744</v>
      </c>
      <c r="D4938" s="11" t="s">
        <v>6</v>
      </c>
      <c r="E4938" s="204" t="s">
        <v>166</v>
      </c>
      <c r="F4938" s="940" t="s">
        <v>15108</v>
      </c>
      <c r="G4938" s="204" t="s">
        <v>16745</v>
      </c>
      <c r="H4938" s="204" t="s">
        <v>5878</v>
      </c>
      <c r="I4938" s="204" t="s">
        <v>15297</v>
      </c>
      <c r="J4938" s="204" t="s">
        <v>11329</v>
      </c>
      <c r="K4938" s="204" t="s">
        <v>11330</v>
      </c>
      <c r="L4938" s="204"/>
      <c r="M4938" s="204">
        <v>2</v>
      </c>
      <c r="N4938" s="204">
        <v>1</v>
      </c>
      <c r="O4938" s="204">
        <v>3</v>
      </c>
      <c r="P4938" s="204">
        <v>0</v>
      </c>
      <c r="Q4938" s="572">
        <v>1</v>
      </c>
      <c r="R4938" s="1209">
        <v>16300</v>
      </c>
      <c r="S4938" s="1209">
        <f>R4938*3</f>
        <v>48900</v>
      </c>
      <c r="T4938" s="204" t="s">
        <v>12330</v>
      </c>
      <c r="U4938" s="1901" t="s">
        <v>16746</v>
      </c>
      <c r="V4938" s="572" t="s">
        <v>16215</v>
      </c>
      <c r="W4938" s="1184" t="s">
        <v>16747</v>
      </c>
      <c r="X4938" s="18"/>
      <c r="Y4938" s="4"/>
      <c r="Z4938" s="4"/>
    </row>
    <row r="4939" spans="1:52" ht="14.1" hidden="1">
      <c r="A4939" s="20">
        <v>4948</v>
      </c>
      <c r="B4939" s="937">
        <v>44539</v>
      </c>
      <c r="C4939" s="934" t="s">
        <v>16748</v>
      </c>
      <c r="D4939" s="11" t="s">
        <v>6</v>
      </c>
      <c r="E4939" s="204" t="s">
        <v>166</v>
      </c>
      <c r="F4939" s="934" t="s">
        <v>2876</v>
      </c>
      <c r="G4939" s="204" t="s">
        <v>16749</v>
      </c>
      <c r="H4939" s="204" t="s">
        <v>16750</v>
      </c>
      <c r="I4939" s="204" t="s">
        <v>16751</v>
      </c>
      <c r="J4939" s="204" t="s">
        <v>16752</v>
      </c>
      <c r="K4939" s="204"/>
      <c r="L4939" s="204" t="s">
        <v>16753</v>
      </c>
      <c r="M4939" s="204" t="s">
        <v>16754</v>
      </c>
      <c r="N4939" s="204"/>
      <c r="O4939" s="204"/>
      <c r="P4939" s="204"/>
      <c r="Q4939" s="572"/>
      <c r="R4939" s="1209"/>
      <c r="S4939" s="1209">
        <v>46700</v>
      </c>
      <c r="T4939" s="204" t="s">
        <v>12330</v>
      </c>
      <c r="U4939" s="1901" t="s">
        <v>8715</v>
      </c>
      <c r="V4939" s="572" t="s">
        <v>16755</v>
      </c>
      <c r="W4939" s="1184" t="s">
        <v>16756</v>
      </c>
      <c r="X4939" s="18"/>
      <c r="Y4939" s="4"/>
      <c r="Z4939" s="4"/>
    </row>
    <row r="4940" spans="1:52" ht="14.1" hidden="1">
      <c r="A4940" s="20">
        <v>4949</v>
      </c>
      <c r="B4940" s="937">
        <v>44540</v>
      </c>
      <c r="C4940" s="934" t="s">
        <v>15745</v>
      </c>
      <c r="D4940" s="10"/>
      <c r="E4940" s="204" t="s">
        <v>16258</v>
      </c>
      <c r="F4940" s="934" t="s">
        <v>16757</v>
      </c>
      <c r="G4940" s="204" t="s">
        <v>16758</v>
      </c>
      <c r="H4940" s="204" t="s">
        <v>1379</v>
      </c>
      <c r="I4940" s="204" t="s">
        <v>1379</v>
      </c>
      <c r="J4940" s="204">
        <v>21121000003</v>
      </c>
      <c r="K4940" s="204">
        <v>21121000003</v>
      </c>
      <c r="L4940" s="204"/>
      <c r="M4940" s="204">
        <v>1</v>
      </c>
      <c r="N4940" s="204">
        <v>1</v>
      </c>
      <c r="O4940" s="204">
        <v>2</v>
      </c>
      <c r="P4940" s="204">
        <v>0</v>
      </c>
      <c r="Q4940" s="572">
        <v>1</v>
      </c>
      <c r="R4940" s="1209">
        <v>115105</v>
      </c>
      <c r="S4940" s="1209">
        <v>115105</v>
      </c>
      <c r="T4940" s="204" t="s">
        <v>16723</v>
      </c>
      <c r="U4940" s="1901" t="s">
        <v>441</v>
      </c>
      <c r="V4940" s="572" t="s">
        <v>16724</v>
      </c>
      <c r="W4940" s="681"/>
      <c r="X4940" s="18"/>
      <c r="Y4940" s="4"/>
      <c r="Z4940" s="4"/>
    </row>
    <row r="4941" spans="1:52" ht="14.1" hidden="1">
      <c r="A4941" s="20">
        <v>4950</v>
      </c>
      <c r="B4941" s="937">
        <v>44541</v>
      </c>
      <c r="C4941" s="934" t="s">
        <v>16759</v>
      </c>
      <c r="D4941" s="11" t="s">
        <v>6</v>
      </c>
      <c r="E4941" s="204" t="s">
        <v>166</v>
      </c>
      <c r="F4941" s="934" t="s">
        <v>11441</v>
      </c>
      <c r="G4941" s="204" t="s">
        <v>16760</v>
      </c>
      <c r="H4941" s="204" t="s">
        <v>16761</v>
      </c>
      <c r="I4941" s="204" t="s">
        <v>16761</v>
      </c>
      <c r="J4941" s="204"/>
      <c r="K4941" s="204"/>
      <c r="L4941" s="204"/>
      <c r="M4941" s="204">
        <v>4</v>
      </c>
      <c r="N4941" s="204">
        <v>1</v>
      </c>
      <c r="O4941" s="204">
        <v>4</v>
      </c>
      <c r="P4941" s="204">
        <v>4</v>
      </c>
      <c r="Q4941" s="572">
        <v>8</v>
      </c>
      <c r="R4941" s="1209">
        <v>1953</v>
      </c>
      <c r="S4941" s="1209">
        <v>7812</v>
      </c>
      <c r="T4941" s="204" t="s">
        <v>16723</v>
      </c>
      <c r="U4941" s="1901" t="s">
        <v>12081</v>
      </c>
      <c r="V4941" s="572" t="s">
        <v>3342</v>
      </c>
      <c r="W4941" s="1184" t="s">
        <v>5699</v>
      </c>
      <c r="X4941" s="18"/>
      <c r="Y4941" s="4"/>
      <c r="Z4941" s="4"/>
    </row>
    <row r="4942" spans="1:52" ht="14.1" hidden="1">
      <c r="A4942" s="20">
        <v>4951</v>
      </c>
      <c r="B4942" s="937">
        <v>44542</v>
      </c>
      <c r="C4942" s="934" t="s">
        <v>14523</v>
      </c>
      <c r="D4942" s="11" t="s">
        <v>6</v>
      </c>
      <c r="E4942" s="204" t="s">
        <v>166</v>
      </c>
      <c r="F4942" s="934" t="s">
        <v>11438</v>
      </c>
      <c r="G4942" s="204" t="s">
        <v>5689</v>
      </c>
      <c r="H4942" s="204" t="s">
        <v>799</v>
      </c>
      <c r="I4942" s="204" t="s">
        <v>5690</v>
      </c>
      <c r="J4942" s="204">
        <v>33240313</v>
      </c>
      <c r="K4942" s="204" t="s">
        <v>5691</v>
      </c>
      <c r="L4942" s="204" t="s">
        <v>1</v>
      </c>
      <c r="M4942" s="204">
        <v>1</v>
      </c>
      <c r="N4942" s="204">
        <v>1</v>
      </c>
      <c r="O4942" s="204">
        <v>1</v>
      </c>
      <c r="P4942" s="204">
        <v>0</v>
      </c>
      <c r="Q4942" s="572">
        <v>0</v>
      </c>
      <c r="R4942" s="1209">
        <v>10900</v>
      </c>
      <c r="S4942" s="1209">
        <v>10900</v>
      </c>
      <c r="T4942" s="204" t="s">
        <v>3961</v>
      </c>
      <c r="U4942" s="1901" t="s">
        <v>448</v>
      </c>
      <c r="V4942" s="572" t="s">
        <v>3342</v>
      </c>
      <c r="W4942" s="1184" t="s">
        <v>802</v>
      </c>
      <c r="X4942" s="18"/>
      <c r="Y4942" s="4"/>
      <c r="Z4942" s="4"/>
    </row>
    <row r="4943" spans="1:52" s="850" customFormat="1" ht="39" hidden="1">
      <c r="A4943" s="1051">
        <v>4952</v>
      </c>
      <c r="B4943" s="938">
        <v>44542</v>
      </c>
      <c r="C4943" s="970" t="s">
        <v>16762</v>
      </c>
      <c r="D4943" s="231" t="s">
        <v>6</v>
      </c>
      <c r="E4943" s="717" t="s">
        <v>166</v>
      </c>
      <c r="F4943" s="970" t="s">
        <v>11438</v>
      </c>
      <c r="G4943" s="779" t="s">
        <v>16763</v>
      </c>
      <c r="H4943" s="96" t="s">
        <v>16764</v>
      </c>
      <c r="I4943" s="970" t="s">
        <v>16765</v>
      </c>
      <c r="J4943" s="970" t="s">
        <v>16766</v>
      </c>
      <c r="K4943" s="970" t="s">
        <v>16767</v>
      </c>
      <c r="L4943" s="970" t="s">
        <v>1</v>
      </c>
      <c r="M4943" s="970">
        <v>4</v>
      </c>
      <c r="N4943" s="970">
        <v>1</v>
      </c>
      <c r="O4943" s="970">
        <v>60</v>
      </c>
      <c r="P4943" s="970">
        <v>3</v>
      </c>
      <c r="Q4943" s="1386">
        <v>59</v>
      </c>
      <c r="R4943" s="1234">
        <v>51.9</v>
      </c>
      <c r="S4943" s="1234">
        <v>3114.42</v>
      </c>
      <c r="T4943" s="970" t="s">
        <v>3961</v>
      </c>
      <c r="U4943" s="1964" t="s">
        <v>448</v>
      </c>
      <c r="V4943" s="1386" t="s">
        <v>352</v>
      </c>
      <c r="W4943" s="2160" t="s">
        <v>16768</v>
      </c>
      <c r="X4943" s="56" t="s">
        <v>16769</v>
      </c>
      <c r="Y4943" s="57"/>
      <c r="Z4943" s="57"/>
      <c r="AA4943" s="459"/>
      <c r="AB4943" s="459"/>
      <c r="AC4943" s="459"/>
      <c r="AD4943" s="459"/>
      <c r="AE4943" s="459"/>
      <c r="AF4943" s="459"/>
      <c r="AG4943" s="459"/>
      <c r="AH4943" s="459"/>
      <c r="AI4943" s="459"/>
      <c r="AJ4943" s="459"/>
      <c r="AK4943" s="459"/>
      <c r="AL4943" s="459"/>
      <c r="AM4943" s="459"/>
      <c r="AN4943" s="459"/>
      <c r="AO4943" s="459"/>
      <c r="AP4943" s="459"/>
      <c r="AQ4943" s="459"/>
      <c r="AR4943" s="459"/>
      <c r="AS4943" s="459"/>
      <c r="AT4943" s="459"/>
      <c r="AU4943" s="459"/>
      <c r="AV4943" s="459"/>
      <c r="AW4943" s="459"/>
      <c r="AX4943" s="459"/>
      <c r="AY4943" s="459"/>
      <c r="AZ4943" s="459"/>
    </row>
    <row r="4944" spans="1:52" ht="14.1" hidden="1">
      <c r="A4944" s="20">
        <v>4953</v>
      </c>
      <c r="B4944" s="937">
        <v>44542</v>
      </c>
      <c r="C4944" s="934" t="s">
        <v>16682</v>
      </c>
      <c r="D4944" s="37" t="s">
        <v>6</v>
      </c>
      <c r="E4944" s="204"/>
      <c r="F4944" s="934" t="s">
        <v>16770</v>
      </c>
      <c r="G4944" s="204" t="s">
        <v>16683</v>
      </c>
      <c r="H4944" s="204" t="s">
        <v>2227</v>
      </c>
      <c r="I4944" s="204" t="s">
        <v>574</v>
      </c>
      <c r="J4944" s="204" t="s">
        <v>16684</v>
      </c>
      <c r="K4944" s="204" t="s">
        <v>16685</v>
      </c>
      <c r="L4944" s="204" t="s">
        <v>7953</v>
      </c>
      <c r="M4944" s="204">
        <v>10</v>
      </c>
      <c r="N4944" s="204">
        <v>20</v>
      </c>
      <c r="O4944" s="204">
        <v>20</v>
      </c>
      <c r="P4944" s="204">
        <v>0</v>
      </c>
      <c r="Q4944" s="572">
        <v>10</v>
      </c>
      <c r="R4944" s="1209">
        <v>112.16</v>
      </c>
      <c r="S4944" s="1209">
        <v>2243.1999999999998</v>
      </c>
      <c r="T4944" s="204" t="s">
        <v>5949</v>
      </c>
      <c r="U4944" s="1901" t="s">
        <v>1</v>
      </c>
      <c r="V4944" s="572" t="s">
        <v>16771</v>
      </c>
      <c r="W4944" s="681" t="s">
        <v>358</v>
      </c>
      <c r="X4944" s="18"/>
      <c r="Y4944" s="4"/>
      <c r="Z4944" s="4"/>
    </row>
    <row r="4945" spans="1:26" ht="14.1" hidden="1">
      <c r="A4945" s="20">
        <v>4954</v>
      </c>
      <c r="B4945" s="937">
        <v>44543</v>
      </c>
      <c r="C4945" s="934" t="s">
        <v>16772</v>
      </c>
      <c r="D4945" s="11" t="s">
        <v>6</v>
      </c>
      <c r="E4945" s="204" t="s">
        <v>16258</v>
      </c>
      <c r="F4945" s="934" t="s">
        <v>11559</v>
      </c>
      <c r="G4945" s="1186" t="s">
        <v>16773</v>
      </c>
      <c r="H4945" s="204" t="s">
        <v>1379</v>
      </c>
      <c r="I4945" s="204" t="s">
        <v>1379</v>
      </c>
      <c r="J4945" s="204" t="s">
        <v>16774</v>
      </c>
      <c r="K4945" s="204" t="s">
        <v>16774</v>
      </c>
      <c r="L4945" s="204"/>
      <c r="M4945" s="204">
        <v>4</v>
      </c>
      <c r="N4945" s="204">
        <v>1</v>
      </c>
      <c r="O4945" s="204">
        <v>5</v>
      </c>
      <c r="P4945" s="204">
        <v>0</v>
      </c>
      <c r="Q4945" s="572">
        <v>5</v>
      </c>
      <c r="R4945" s="1209">
        <f>S4945/5</f>
        <v>7179</v>
      </c>
      <c r="S4945" s="1209">
        <v>35895</v>
      </c>
      <c r="T4945" s="204" t="s">
        <v>3961</v>
      </c>
      <c r="U4945" s="1901" t="s">
        <v>448</v>
      </c>
      <c r="V4945" s="572" t="s">
        <v>3342</v>
      </c>
      <c r="W4945" s="681"/>
      <c r="X4945" s="18"/>
      <c r="Y4945" s="4"/>
      <c r="Z4945" s="4"/>
    </row>
    <row r="4946" spans="1:26" ht="14.1" hidden="1">
      <c r="A4946" s="20">
        <v>4955</v>
      </c>
      <c r="B4946" s="937">
        <v>44543</v>
      </c>
      <c r="C4946" s="934" t="s">
        <v>16775</v>
      </c>
      <c r="D4946" s="8" t="s">
        <v>6</v>
      </c>
      <c r="E4946" s="204" t="s">
        <v>166</v>
      </c>
      <c r="F4946" s="934" t="s">
        <v>10651</v>
      </c>
      <c r="G4946" s="204" t="s">
        <v>16776</v>
      </c>
      <c r="H4946" s="204"/>
      <c r="I4946" s="204" t="s">
        <v>429</v>
      </c>
      <c r="J4946" s="204"/>
      <c r="K4946" s="204" t="s">
        <v>16777</v>
      </c>
      <c r="L4946" s="204"/>
      <c r="M4946" s="204">
        <v>6</v>
      </c>
      <c r="N4946" s="204">
        <v>1</v>
      </c>
      <c r="O4946" s="204">
        <v>6</v>
      </c>
      <c r="P4946" s="204">
        <v>0</v>
      </c>
      <c r="Q4946" s="572">
        <v>0</v>
      </c>
      <c r="R4946" s="1209">
        <v>244</v>
      </c>
      <c r="S4946" s="1209">
        <v>1610</v>
      </c>
      <c r="T4946" s="204" t="s">
        <v>12425</v>
      </c>
      <c r="U4946" s="1901" t="s">
        <v>301</v>
      </c>
      <c r="V4946" s="572" t="s">
        <v>16215</v>
      </c>
      <c r="W4946" s="1184" t="s">
        <v>16778</v>
      </c>
      <c r="X4946" s="18"/>
      <c r="Y4946" s="4"/>
      <c r="Z4946" s="4"/>
    </row>
    <row r="4947" spans="1:26" ht="14.1" hidden="1">
      <c r="A4947" s="20">
        <v>4956</v>
      </c>
      <c r="B4947" s="937">
        <v>44543</v>
      </c>
      <c r="C4947" s="934" t="s">
        <v>16779</v>
      </c>
      <c r="D4947" s="8" t="s">
        <v>6</v>
      </c>
      <c r="E4947" s="204" t="s">
        <v>166</v>
      </c>
      <c r="F4947" s="934" t="s">
        <v>10651</v>
      </c>
      <c r="G4947" s="160" t="s">
        <v>16780</v>
      </c>
      <c r="H4947" s="204"/>
      <c r="I4947" s="204" t="s">
        <v>429</v>
      </c>
      <c r="J4947" s="204"/>
      <c r="K4947" s="204" t="s">
        <v>16781</v>
      </c>
      <c r="L4947" s="204"/>
      <c r="M4947" s="204">
        <v>20</v>
      </c>
      <c r="N4947" s="204">
        <v>1</v>
      </c>
      <c r="O4947" s="204">
        <v>20</v>
      </c>
      <c r="P4947" s="204">
        <v>0</v>
      </c>
      <c r="Q4947" s="572">
        <v>0</v>
      </c>
      <c r="R4947" s="1209">
        <v>180</v>
      </c>
      <c r="S4947" s="1209">
        <v>3960</v>
      </c>
      <c r="T4947" s="204" t="s">
        <v>12425</v>
      </c>
      <c r="U4947" s="1901" t="s">
        <v>301</v>
      </c>
      <c r="V4947" s="572" t="s">
        <v>16215</v>
      </c>
      <c r="W4947" s="1184" t="s">
        <v>13592</v>
      </c>
      <c r="X4947" s="18"/>
      <c r="Y4947" s="4"/>
      <c r="Z4947" s="4"/>
    </row>
    <row r="4948" spans="1:26" ht="14.1" hidden="1">
      <c r="A4948" s="20">
        <v>4957</v>
      </c>
      <c r="B4948" s="937">
        <v>44543</v>
      </c>
      <c r="C4948" s="940" t="s">
        <v>16782</v>
      </c>
      <c r="D4948" s="8" t="s">
        <v>6</v>
      </c>
      <c r="E4948" s="239" t="s">
        <v>166</v>
      </c>
      <c r="F4948" s="940" t="s">
        <v>10651</v>
      </c>
      <c r="G4948" s="156" t="s">
        <v>16783</v>
      </c>
      <c r="H4948" s="239"/>
      <c r="I4948" s="239" t="s">
        <v>429</v>
      </c>
      <c r="J4948" s="239"/>
      <c r="K4948" s="239" t="s">
        <v>16784</v>
      </c>
      <c r="L4948" s="239"/>
      <c r="M4948" s="1187">
        <v>6</v>
      </c>
      <c r="N4948" s="239">
        <v>1</v>
      </c>
      <c r="O4948" s="239">
        <v>6</v>
      </c>
      <c r="P4948" s="239">
        <v>0</v>
      </c>
      <c r="Q4948" s="572">
        <v>0</v>
      </c>
      <c r="R4948" s="1209">
        <v>49</v>
      </c>
      <c r="S4948" s="1209">
        <v>323</v>
      </c>
      <c r="T4948" s="239" t="s">
        <v>12425</v>
      </c>
      <c r="U4948" s="1901" t="s">
        <v>301</v>
      </c>
      <c r="V4948" s="572" t="s">
        <v>16215</v>
      </c>
      <c r="W4948" s="1184" t="s">
        <v>16785</v>
      </c>
      <c r="X4948" s="18"/>
      <c r="Y4948" s="4"/>
      <c r="Z4948" s="4"/>
    </row>
    <row r="4949" spans="1:26" ht="14.1" hidden="1">
      <c r="A4949" s="1152">
        <v>4958</v>
      </c>
      <c r="B4949" s="937">
        <v>44543</v>
      </c>
      <c r="C4949" s="1060" t="s">
        <v>16786</v>
      </c>
      <c r="D4949" s="8" t="s">
        <v>6</v>
      </c>
      <c r="E4949" s="204" t="s">
        <v>166</v>
      </c>
      <c r="F4949" s="934" t="s">
        <v>10651</v>
      </c>
      <c r="G4949" s="457" t="s">
        <v>16787</v>
      </c>
      <c r="H4949" s="457"/>
      <c r="I4949" s="457" t="s">
        <v>429</v>
      </c>
      <c r="J4949" s="457"/>
      <c r="K4949" s="457" t="s">
        <v>16788</v>
      </c>
      <c r="L4949" s="457"/>
      <c r="M4949" s="204">
        <v>9</v>
      </c>
      <c r="N4949" s="458">
        <v>1</v>
      </c>
      <c r="O4949" s="458">
        <v>9</v>
      </c>
      <c r="P4949" s="457">
        <v>0</v>
      </c>
      <c r="Q4949" s="1157">
        <v>0</v>
      </c>
      <c r="R4949" s="1385">
        <v>95</v>
      </c>
      <c r="S4949" s="1385">
        <v>941</v>
      </c>
      <c r="T4949" s="239" t="s">
        <v>12425</v>
      </c>
      <c r="U4949" s="1901" t="s">
        <v>301</v>
      </c>
      <c r="V4949" s="572" t="s">
        <v>16215</v>
      </c>
      <c r="W4949" s="2156" t="s">
        <v>16789</v>
      </c>
      <c r="X4949" s="1158"/>
      <c r="Y4949" s="4"/>
      <c r="Z4949" s="4"/>
    </row>
    <row r="4950" spans="1:26" ht="14.1" hidden="1">
      <c r="A4950" s="20">
        <v>4959</v>
      </c>
      <c r="B4950" s="937">
        <v>44543</v>
      </c>
      <c r="C4950" s="934" t="s">
        <v>16790</v>
      </c>
      <c r="D4950" s="8" t="s">
        <v>6</v>
      </c>
      <c r="E4950" s="204" t="s">
        <v>166</v>
      </c>
      <c r="F4950" s="934" t="s">
        <v>10651</v>
      </c>
      <c r="G4950" s="204" t="s">
        <v>16791</v>
      </c>
      <c r="H4950" s="204"/>
      <c r="I4950" s="204" t="s">
        <v>429</v>
      </c>
      <c r="J4950" s="204"/>
      <c r="K4950" s="204" t="s">
        <v>16792</v>
      </c>
      <c r="L4950" s="204"/>
      <c r="M4950" s="204">
        <v>18</v>
      </c>
      <c r="N4950" s="204">
        <v>1</v>
      </c>
      <c r="O4950" s="204">
        <v>18</v>
      </c>
      <c r="P4950" s="204">
        <v>0</v>
      </c>
      <c r="Q4950" s="572">
        <v>0</v>
      </c>
      <c r="R4950" s="1209">
        <v>95</v>
      </c>
      <c r="S4950" s="1209">
        <v>1881</v>
      </c>
      <c r="T4950" s="204" t="s">
        <v>12425</v>
      </c>
      <c r="U4950" s="1901" t="s">
        <v>301</v>
      </c>
      <c r="V4950" s="572" t="s">
        <v>16793</v>
      </c>
      <c r="W4950" s="1184" t="s">
        <v>12509</v>
      </c>
      <c r="X4950" s="18"/>
      <c r="Y4950" s="1151"/>
      <c r="Z4950" s="4"/>
    </row>
    <row r="4951" spans="1:26" ht="14.1" hidden="1">
      <c r="A4951" s="20">
        <v>4960</v>
      </c>
      <c r="B4951" s="937">
        <v>44543</v>
      </c>
      <c r="C4951" s="934" t="s">
        <v>16794</v>
      </c>
      <c r="D4951" s="8" t="s">
        <v>6</v>
      </c>
      <c r="E4951" s="204" t="s">
        <v>166</v>
      </c>
      <c r="F4951" s="934" t="s">
        <v>10651</v>
      </c>
      <c r="G4951" s="204" t="s">
        <v>16795</v>
      </c>
      <c r="H4951" s="204"/>
      <c r="I4951" s="204" t="s">
        <v>429</v>
      </c>
      <c r="J4951" s="204"/>
      <c r="K4951" s="204" t="s">
        <v>16796</v>
      </c>
      <c r="L4951" s="204"/>
      <c r="M4951" s="204">
        <v>6</v>
      </c>
      <c r="N4951" s="204">
        <v>1</v>
      </c>
      <c r="O4951" s="204">
        <v>6</v>
      </c>
      <c r="P4951" s="204">
        <v>0</v>
      </c>
      <c r="Q4951" s="572">
        <v>0</v>
      </c>
      <c r="R4951" s="1209">
        <v>260</v>
      </c>
      <c r="S4951" s="1209">
        <v>1716</v>
      </c>
      <c r="T4951" s="204" t="s">
        <v>12425</v>
      </c>
      <c r="U4951" s="1901" t="s">
        <v>301</v>
      </c>
      <c r="V4951" s="572" t="s">
        <v>16797</v>
      </c>
      <c r="W4951" s="1184" t="s">
        <v>16798</v>
      </c>
      <c r="X4951" s="18"/>
      <c r="Y4951" s="1151"/>
      <c r="Z4951" s="4"/>
    </row>
    <row r="4952" spans="1:26" ht="14.1" hidden="1">
      <c r="A4952" s="20">
        <v>4961</v>
      </c>
      <c r="B4952" s="937">
        <v>44543</v>
      </c>
      <c r="C4952" s="934" t="s">
        <v>16799</v>
      </c>
      <c r="D4952" s="8" t="s">
        <v>6</v>
      </c>
      <c r="E4952" s="204" t="s">
        <v>166</v>
      </c>
      <c r="F4952" s="934" t="s">
        <v>10651</v>
      </c>
      <c r="G4952" s="204" t="s">
        <v>16800</v>
      </c>
      <c r="H4952" s="204"/>
      <c r="I4952" s="204" t="s">
        <v>429</v>
      </c>
      <c r="J4952" s="204"/>
      <c r="K4952" s="204" t="s">
        <v>372</v>
      </c>
      <c r="L4952" s="204"/>
      <c r="M4952" s="204">
        <v>12</v>
      </c>
      <c r="N4952" s="204">
        <v>1</v>
      </c>
      <c r="O4952" s="204">
        <v>12</v>
      </c>
      <c r="P4952" s="204">
        <v>0</v>
      </c>
      <c r="Q4952" s="572">
        <v>0</v>
      </c>
      <c r="R4952" s="1209">
        <v>270</v>
      </c>
      <c r="S4952" s="1209">
        <v>3564</v>
      </c>
      <c r="T4952" s="204" t="s">
        <v>12425</v>
      </c>
      <c r="U4952" s="1901" t="s">
        <v>301</v>
      </c>
      <c r="V4952" s="572" t="s">
        <v>16801</v>
      </c>
      <c r="W4952" s="1184" t="s">
        <v>12509</v>
      </c>
      <c r="X4952" s="18"/>
      <c r="Y4952" s="1151"/>
      <c r="Z4952" s="4"/>
    </row>
    <row r="4953" spans="1:26" ht="14.1" hidden="1">
      <c r="A4953" s="20">
        <v>4962</v>
      </c>
      <c r="B4953" s="937">
        <v>44543</v>
      </c>
      <c r="C4953" s="934" t="s">
        <v>16802</v>
      </c>
      <c r="D4953" s="8" t="s">
        <v>6</v>
      </c>
      <c r="E4953" s="204" t="s">
        <v>166</v>
      </c>
      <c r="F4953" s="934" t="s">
        <v>10651</v>
      </c>
      <c r="G4953" s="204" t="s">
        <v>16803</v>
      </c>
      <c r="H4953" s="204"/>
      <c r="I4953" s="204" t="s">
        <v>84</v>
      </c>
      <c r="J4953" s="204"/>
      <c r="K4953" s="204" t="s">
        <v>16804</v>
      </c>
      <c r="L4953" s="204"/>
      <c r="M4953" s="204">
        <v>30</v>
      </c>
      <c r="N4953" s="204">
        <v>3</v>
      </c>
      <c r="O4953" s="204">
        <v>10</v>
      </c>
      <c r="P4953" s="204">
        <v>0</v>
      </c>
      <c r="Q4953" s="572">
        <v>0</v>
      </c>
      <c r="R4953" s="1209">
        <v>289</v>
      </c>
      <c r="S4953" s="1209">
        <v>3179</v>
      </c>
      <c r="T4953" s="204" t="s">
        <v>12425</v>
      </c>
      <c r="U4953" s="1901" t="s">
        <v>301</v>
      </c>
      <c r="V4953" s="572" t="s">
        <v>16805</v>
      </c>
      <c r="W4953" s="1184" t="s">
        <v>16806</v>
      </c>
      <c r="X4953" s="18"/>
      <c r="Y4953" s="1151"/>
      <c r="Z4953" s="4"/>
    </row>
    <row r="4954" spans="1:26" ht="14.1" hidden="1">
      <c r="A4954" s="20">
        <v>4963</v>
      </c>
      <c r="B4954" s="937">
        <v>44543</v>
      </c>
      <c r="C4954" s="934" t="s">
        <v>16807</v>
      </c>
      <c r="D4954" s="8" t="s">
        <v>6</v>
      </c>
      <c r="E4954" s="204" t="s">
        <v>166</v>
      </c>
      <c r="F4954" s="934" t="s">
        <v>10651</v>
      </c>
      <c r="G4954" s="204" t="s">
        <v>16808</v>
      </c>
      <c r="H4954" s="204"/>
      <c r="I4954" s="204" t="s">
        <v>429</v>
      </c>
      <c r="J4954" s="204"/>
      <c r="K4954" s="204" t="s">
        <v>16809</v>
      </c>
      <c r="L4954" s="204"/>
      <c r="M4954" s="204">
        <v>6</v>
      </c>
      <c r="N4954" s="204">
        <v>1</v>
      </c>
      <c r="O4954" s="204">
        <v>6</v>
      </c>
      <c r="P4954" s="204">
        <v>0</v>
      </c>
      <c r="Q4954" s="572">
        <v>0</v>
      </c>
      <c r="R4954" s="1209">
        <v>64</v>
      </c>
      <c r="S4954" s="1209">
        <v>422</v>
      </c>
      <c r="T4954" s="204" t="s">
        <v>12425</v>
      </c>
      <c r="U4954" s="1901" t="s">
        <v>301</v>
      </c>
      <c r="V4954" s="572" t="s">
        <v>16810</v>
      </c>
      <c r="W4954" s="1184" t="s">
        <v>16811</v>
      </c>
      <c r="X4954" s="18"/>
      <c r="Y4954" s="1151"/>
      <c r="Z4954" s="4"/>
    </row>
    <row r="4955" spans="1:26" ht="14.1" hidden="1">
      <c r="A4955" s="20">
        <v>4964</v>
      </c>
      <c r="B4955" s="937">
        <v>44543</v>
      </c>
      <c r="C4955" s="934" t="s">
        <v>16812</v>
      </c>
      <c r="D4955" s="8" t="s">
        <v>6</v>
      </c>
      <c r="E4955" s="204" t="s">
        <v>166</v>
      </c>
      <c r="F4955" s="934" t="s">
        <v>10651</v>
      </c>
      <c r="G4955" s="204" t="s">
        <v>16813</v>
      </c>
      <c r="H4955" s="204"/>
      <c r="I4955" s="204" t="s">
        <v>429</v>
      </c>
      <c r="J4955" s="204"/>
      <c r="K4955" s="204" t="s">
        <v>16814</v>
      </c>
      <c r="L4955" s="204"/>
      <c r="M4955" s="204">
        <v>6</v>
      </c>
      <c r="N4955" s="204">
        <v>1</v>
      </c>
      <c r="O4955" s="204">
        <v>6</v>
      </c>
      <c r="P4955" s="204">
        <v>0</v>
      </c>
      <c r="Q4955" s="572">
        <v>0</v>
      </c>
      <c r="R4955" s="1209">
        <v>78</v>
      </c>
      <c r="S4955" s="1209">
        <v>515</v>
      </c>
      <c r="T4955" s="204" t="s">
        <v>12425</v>
      </c>
      <c r="U4955" s="1901" t="s">
        <v>301</v>
      </c>
      <c r="V4955" s="572" t="s">
        <v>16815</v>
      </c>
      <c r="W4955" s="1184" t="s">
        <v>16816</v>
      </c>
      <c r="X4955" s="18"/>
      <c r="Y4955" s="1151"/>
      <c r="Z4955" s="4"/>
    </row>
    <row r="4956" spans="1:26" ht="14.1" hidden="1">
      <c r="A4956" s="1152">
        <v>4965</v>
      </c>
      <c r="B4956" s="937">
        <v>44543</v>
      </c>
      <c r="C4956" s="934" t="s">
        <v>16817</v>
      </c>
      <c r="D4956" s="8" t="s">
        <v>6</v>
      </c>
      <c r="E4956" s="204" t="s">
        <v>166</v>
      </c>
      <c r="F4956" s="934" t="s">
        <v>10651</v>
      </c>
      <c r="G4956" s="204" t="s">
        <v>16818</v>
      </c>
      <c r="H4956" s="204"/>
      <c r="I4956" s="204" t="s">
        <v>429</v>
      </c>
      <c r="J4956" s="204"/>
      <c r="K4956" s="204" t="s">
        <v>16819</v>
      </c>
      <c r="L4956" s="204"/>
      <c r="M4956" s="204">
        <v>3</v>
      </c>
      <c r="N4956" s="204">
        <v>1</v>
      </c>
      <c r="O4956" s="204">
        <v>3</v>
      </c>
      <c r="P4956" s="204">
        <v>0</v>
      </c>
      <c r="Q4956" s="572">
        <v>0</v>
      </c>
      <c r="R4956" s="1209">
        <v>178</v>
      </c>
      <c r="S4956" s="1209">
        <v>587</v>
      </c>
      <c r="T4956" s="204" t="s">
        <v>12425</v>
      </c>
      <c r="U4956" s="1901" t="s">
        <v>301</v>
      </c>
      <c r="V4956" s="572" t="s">
        <v>16820</v>
      </c>
      <c r="W4956" s="1184" t="s">
        <v>16821</v>
      </c>
      <c r="X4956" s="18"/>
      <c r="Y4956" s="1151"/>
      <c r="Z4956" s="4"/>
    </row>
    <row r="4957" spans="1:26" ht="14.1" hidden="1">
      <c r="A4957" s="20">
        <v>4966</v>
      </c>
      <c r="B4957" s="937">
        <v>44543</v>
      </c>
      <c r="C4957" s="934" t="s">
        <v>16822</v>
      </c>
      <c r="D4957" s="8" t="s">
        <v>6</v>
      </c>
      <c r="E4957" s="204" t="s">
        <v>166</v>
      </c>
      <c r="F4957" s="934" t="s">
        <v>10651</v>
      </c>
      <c r="G4957" s="204" t="s">
        <v>16823</v>
      </c>
      <c r="H4957" s="204"/>
      <c r="I4957" s="204" t="s">
        <v>429</v>
      </c>
      <c r="J4957" s="204"/>
      <c r="K4957" s="204" t="s">
        <v>16824</v>
      </c>
      <c r="L4957" s="204"/>
      <c r="M4957" s="204">
        <v>40</v>
      </c>
      <c r="N4957" s="204">
        <v>1</v>
      </c>
      <c r="O4957" s="204">
        <v>40</v>
      </c>
      <c r="P4957" s="204">
        <v>0</v>
      </c>
      <c r="Q4957" s="572">
        <v>0</v>
      </c>
      <c r="R4957" s="1209">
        <v>26</v>
      </c>
      <c r="S4957" s="1209">
        <v>1144</v>
      </c>
      <c r="T4957" s="204" t="s">
        <v>12425</v>
      </c>
      <c r="U4957" s="1901" t="s">
        <v>301</v>
      </c>
      <c r="V4957" s="572" t="s">
        <v>16825</v>
      </c>
      <c r="W4957" s="1184" t="s">
        <v>16826</v>
      </c>
      <c r="X4957" s="18"/>
      <c r="Y4957" s="1151"/>
      <c r="Z4957" s="4"/>
    </row>
    <row r="4958" spans="1:26" ht="14.1" hidden="1">
      <c r="A4958" s="20">
        <v>4967</v>
      </c>
      <c r="B4958" s="937">
        <v>44543</v>
      </c>
      <c r="C4958" s="934" t="s">
        <v>16827</v>
      </c>
      <c r="D4958" s="8" t="s">
        <v>6</v>
      </c>
      <c r="E4958" s="204" t="s">
        <v>166</v>
      </c>
      <c r="F4958" s="934" t="s">
        <v>10651</v>
      </c>
      <c r="G4958" s="204" t="s">
        <v>16828</v>
      </c>
      <c r="H4958" s="204"/>
      <c r="I4958" s="204" t="s">
        <v>429</v>
      </c>
      <c r="J4958" s="204"/>
      <c r="K4958" s="204" t="s">
        <v>16829</v>
      </c>
      <c r="L4958" s="204"/>
      <c r="M4958" s="204">
        <v>4</v>
      </c>
      <c r="N4958" s="204">
        <v>1</v>
      </c>
      <c r="O4958" s="204">
        <v>4</v>
      </c>
      <c r="P4958" s="204">
        <v>0</v>
      </c>
      <c r="Q4958" s="572">
        <v>0</v>
      </c>
      <c r="R4958" s="1209">
        <v>80</v>
      </c>
      <c r="S4958" s="1209">
        <v>352</v>
      </c>
      <c r="T4958" s="204" t="s">
        <v>12425</v>
      </c>
      <c r="U4958" s="1901" t="s">
        <v>301</v>
      </c>
      <c r="V4958" s="572" t="s">
        <v>16830</v>
      </c>
      <c r="W4958" s="1184" t="s">
        <v>16831</v>
      </c>
      <c r="X4958" s="18"/>
      <c r="Y4958" s="1151"/>
      <c r="Z4958" s="4"/>
    </row>
    <row r="4959" spans="1:26" ht="14.1" hidden="1">
      <c r="A4959" s="20">
        <v>4968</v>
      </c>
      <c r="B4959" s="937">
        <v>44543</v>
      </c>
      <c r="C4959" s="934" t="s">
        <v>16832</v>
      </c>
      <c r="D4959" s="8" t="s">
        <v>6</v>
      </c>
      <c r="E4959" s="204" t="s">
        <v>166</v>
      </c>
      <c r="F4959" s="934" t="s">
        <v>10651</v>
      </c>
      <c r="G4959" s="204" t="s">
        <v>16833</v>
      </c>
      <c r="H4959" s="204"/>
      <c r="I4959" s="204" t="s">
        <v>429</v>
      </c>
      <c r="J4959" s="204"/>
      <c r="K4959" s="204" t="s">
        <v>16834</v>
      </c>
      <c r="L4959" s="204"/>
      <c r="M4959" s="204">
        <v>12</v>
      </c>
      <c r="N4959" s="204">
        <v>1</v>
      </c>
      <c r="O4959" s="204">
        <v>12</v>
      </c>
      <c r="P4959" s="204">
        <v>0</v>
      </c>
      <c r="Q4959" s="572">
        <v>0</v>
      </c>
      <c r="R4959" s="1209">
        <v>43</v>
      </c>
      <c r="S4959" s="1209">
        <v>568</v>
      </c>
      <c r="T4959" s="204" t="s">
        <v>12425</v>
      </c>
      <c r="U4959" s="1901" t="s">
        <v>301</v>
      </c>
      <c r="V4959" s="572" t="s">
        <v>16835</v>
      </c>
      <c r="W4959" s="1184" t="s">
        <v>16836</v>
      </c>
      <c r="X4959" s="18"/>
      <c r="Y4959" s="1151"/>
      <c r="Z4959" s="4"/>
    </row>
    <row r="4960" spans="1:26" ht="14.1" hidden="1">
      <c r="A4960" s="1152">
        <v>4969</v>
      </c>
      <c r="B4960" s="937">
        <v>44543</v>
      </c>
      <c r="C4960" s="934" t="s">
        <v>16837</v>
      </c>
      <c r="D4960" s="8" t="s">
        <v>6</v>
      </c>
      <c r="E4960" s="204" t="s">
        <v>166</v>
      </c>
      <c r="F4960" s="934" t="s">
        <v>10651</v>
      </c>
      <c r="G4960" s="204" t="s">
        <v>16838</v>
      </c>
      <c r="H4960" s="204"/>
      <c r="I4960" s="204" t="s">
        <v>429</v>
      </c>
      <c r="J4960" s="204"/>
      <c r="K4960" s="204" t="s">
        <v>16839</v>
      </c>
      <c r="L4960" s="204"/>
      <c r="M4960" s="204">
        <v>6</v>
      </c>
      <c r="N4960" s="204">
        <v>1</v>
      </c>
      <c r="O4960" s="204">
        <v>6</v>
      </c>
      <c r="P4960" s="204">
        <v>0</v>
      </c>
      <c r="Q4960" s="572">
        <v>0</v>
      </c>
      <c r="R4960" s="1209">
        <v>63</v>
      </c>
      <c r="S4960" s="1209">
        <v>416</v>
      </c>
      <c r="T4960" s="204" t="s">
        <v>12425</v>
      </c>
      <c r="U4960" s="1901" t="s">
        <v>301</v>
      </c>
      <c r="V4960" s="572" t="s">
        <v>16840</v>
      </c>
      <c r="W4960" s="1184" t="s">
        <v>16841</v>
      </c>
      <c r="X4960" s="18"/>
      <c r="Y4960" s="1151"/>
      <c r="Z4960" s="4"/>
    </row>
    <row r="4961" spans="1:26" ht="14.1" hidden="1">
      <c r="A4961" s="20">
        <v>4970</v>
      </c>
      <c r="B4961" s="937">
        <v>44543</v>
      </c>
      <c r="C4961" s="934" t="s">
        <v>16842</v>
      </c>
      <c r="D4961" s="8" t="s">
        <v>6</v>
      </c>
      <c r="E4961" s="204" t="s">
        <v>166</v>
      </c>
      <c r="F4961" s="934" t="s">
        <v>10651</v>
      </c>
      <c r="G4961" s="204" t="s">
        <v>16843</v>
      </c>
      <c r="H4961" s="204"/>
      <c r="I4961" s="204" t="s">
        <v>429</v>
      </c>
      <c r="J4961" s="204"/>
      <c r="K4961" s="204" t="s">
        <v>16844</v>
      </c>
      <c r="L4961" s="204"/>
      <c r="M4961" s="204">
        <v>18</v>
      </c>
      <c r="N4961" s="204">
        <v>1</v>
      </c>
      <c r="O4961" s="204">
        <v>18</v>
      </c>
      <c r="P4961" s="204">
        <v>0</v>
      </c>
      <c r="Q4961" s="572">
        <v>0</v>
      </c>
      <c r="R4961" s="1209">
        <v>44</v>
      </c>
      <c r="S4961" s="1209">
        <v>871</v>
      </c>
      <c r="T4961" s="204" t="s">
        <v>12425</v>
      </c>
      <c r="U4961" s="1901" t="s">
        <v>301</v>
      </c>
      <c r="V4961" s="572" t="s">
        <v>16845</v>
      </c>
      <c r="W4961" s="1184" t="s">
        <v>16846</v>
      </c>
      <c r="X4961" s="18"/>
      <c r="Y4961" s="1151"/>
      <c r="Z4961" s="4"/>
    </row>
    <row r="4962" spans="1:26" ht="14.1" hidden="1">
      <c r="A4962" s="20">
        <v>4971</v>
      </c>
      <c r="B4962" s="937">
        <v>44543</v>
      </c>
      <c r="C4962" s="934" t="s">
        <v>16847</v>
      </c>
      <c r="D4962" s="8" t="s">
        <v>6</v>
      </c>
      <c r="E4962" s="204" t="s">
        <v>166</v>
      </c>
      <c r="F4962" s="934" t="s">
        <v>10651</v>
      </c>
      <c r="G4962" s="204" t="s">
        <v>16848</v>
      </c>
      <c r="H4962" s="204"/>
      <c r="I4962" s="204" t="s">
        <v>429</v>
      </c>
      <c r="J4962" s="204"/>
      <c r="K4962" s="204" t="s">
        <v>16849</v>
      </c>
      <c r="L4962" s="204"/>
      <c r="M4962" s="204">
        <v>2</v>
      </c>
      <c r="N4962" s="204">
        <v>1</v>
      </c>
      <c r="O4962" s="204">
        <v>2</v>
      </c>
      <c r="P4962" s="204">
        <v>0</v>
      </c>
      <c r="Q4962" s="572">
        <v>0</v>
      </c>
      <c r="R4962" s="1209">
        <v>87</v>
      </c>
      <c r="S4962" s="1209">
        <v>191</v>
      </c>
      <c r="T4962" s="204" t="s">
        <v>12425</v>
      </c>
      <c r="U4962" s="1901" t="s">
        <v>301</v>
      </c>
      <c r="V4962" s="572" t="s">
        <v>16850</v>
      </c>
      <c r="W4962" s="1184" t="s">
        <v>16851</v>
      </c>
      <c r="X4962" s="18"/>
      <c r="Y4962" s="1151"/>
      <c r="Z4962" s="4"/>
    </row>
    <row r="4963" spans="1:26" ht="14.1" hidden="1">
      <c r="A4963" s="20">
        <v>4972</v>
      </c>
      <c r="B4963" s="937">
        <v>44543</v>
      </c>
      <c r="C4963" s="934" t="s">
        <v>16852</v>
      </c>
      <c r="D4963" s="8" t="s">
        <v>6</v>
      </c>
      <c r="E4963" s="204" t="s">
        <v>166</v>
      </c>
      <c r="F4963" s="934" t="s">
        <v>10651</v>
      </c>
      <c r="G4963" s="204" t="s">
        <v>16853</v>
      </c>
      <c r="H4963" s="204"/>
      <c r="I4963" s="204" t="s">
        <v>429</v>
      </c>
      <c r="J4963" s="204"/>
      <c r="K4963" s="204" t="s">
        <v>16854</v>
      </c>
      <c r="L4963" s="204"/>
      <c r="M4963" s="204">
        <v>2</v>
      </c>
      <c r="N4963" s="204">
        <v>1</v>
      </c>
      <c r="O4963" s="204">
        <v>2</v>
      </c>
      <c r="P4963" s="204">
        <v>0</v>
      </c>
      <c r="Q4963" s="572">
        <v>0</v>
      </c>
      <c r="R4963" s="1209">
        <v>138</v>
      </c>
      <c r="S4963" s="1209">
        <v>304</v>
      </c>
      <c r="T4963" s="204" t="s">
        <v>12425</v>
      </c>
      <c r="U4963" s="1901" t="s">
        <v>301</v>
      </c>
      <c r="V4963" s="572" t="s">
        <v>16855</v>
      </c>
      <c r="W4963" s="1815" t="s">
        <v>16856</v>
      </c>
      <c r="X4963" s="18"/>
      <c r="Y4963" s="1151"/>
      <c r="Z4963" s="4"/>
    </row>
    <row r="4964" spans="1:26" ht="14.1" hidden="1">
      <c r="A4964" s="20">
        <v>4973</v>
      </c>
      <c r="B4964" s="937">
        <v>44543</v>
      </c>
      <c r="C4964" s="934" t="s">
        <v>13524</v>
      </c>
      <c r="D4964" s="8" t="s">
        <v>6</v>
      </c>
      <c r="E4964" s="204" t="s">
        <v>166</v>
      </c>
      <c r="F4964" s="934" t="s">
        <v>10651</v>
      </c>
      <c r="G4964" s="204" t="s">
        <v>16227</v>
      </c>
      <c r="H4964" s="204"/>
      <c r="I4964" s="204" t="s">
        <v>429</v>
      </c>
      <c r="J4964" s="204"/>
      <c r="K4964" s="204" t="s">
        <v>379</v>
      </c>
      <c r="L4964" s="204"/>
      <c r="M4964" s="204">
        <v>56</v>
      </c>
      <c r="N4964" s="204">
        <v>56</v>
      </c>
      <c r="O4964" s="204">
        <v>1</v>
      </c>
      <c r="P4964" s="204">
        <v>56</v>
      </c>
      <c r="Q4964" s="572">
        <v>0</v>
      </c>
      <c r="R4964" s="1209">
        <v>18</v>
      </c>
      <c r="S4964" s="1209">
        <v>1030</v>
      </c>
      <c r="T4964" s="204" t="s">
        <v>12425</v>
      </c>
      <c r="U4964" s="1901" t="s">
        <v>301</v>
      </c>
      <c r="V4964" s="572" t="s">
        <v>16857</v>
      </c>
      <c r="W4964" s="1184" t="s">
        <v>11480</v>
      </c>
      <c r="X4964" s="18"/>
      <c r="Y4964" s="1151"/>
      <c r="Z4964" s="4"/>
    </row>
    <row r="4965" spans="1:26" ht="14.1" hidden="1">
      <c r="A4965" s="20">
        <v>4974</v>
      </c>
      <c r="B4965" s="937">
        <v>44543</v>
      </c>
      <c r="C4965" s="934" t="s">
        <v>15523</v>
      </c>
      <c r="D4965" s="8" t="s">
        <v>6</v>
      </c>
      <c r="E4965" s="204" t="s">
        <v>166</v>
      </c>
      <c r="F4965" s="934" t="s">
        <v>10651</v>
      </c>
      <c r="G4965" s="204" t="s">
        <v>16858</v>
      </c>
      <c r="H4965" s="204"/>
      <c r="I4965" s="204" t="s">
        <v>429</v>
      </c>
      <c r="J4965" s="204"/>
      <c r="K4965" s="204" t="s">
        <v>4132</v>
      </c>
      <c r="L4965" s="204"/>
      <c r="M4965" s="204">
        <v>26</v>
      </c>
      <c r="N4965" s="204">
        <v>26</v>
      </c>
      <c r="O4965" s="204">
        <v>50</v>
      </c>
      <c r="P4965" s="204">
        <v>0</v>
      </c>
      <c r="Q4965" s="572">
        <v>24</v>
      </c>
      <c r="R4965" s="1209">
        <v>18</v>
      </c>
      <c r="S4965" s="1209">
        <v>990</v>
      </c>
      <c r="T4965" s="204" t="s">
        <v>12425</v>
      </c>
      <c r="U4965" s="1901" t="s">
        <v>301</v>
      </c>
      <c r="V4965" s="572" t="s">
        <v>16859</v>
      </c>
      <c r="W4965" s="1184" t="s">
        <v>16860</v>
      </c>
      <c r="X4965" s="18"/>
      <c r="Y4965" s="1151"/>
      <c r="Z4965" s="4"/>
    </row>
    <row r="4966" spans="1:26" ht="14.1" hidden="1">
      <c r="A4966" s="20">
        <v>4975</v>
      </c>
      <c r="B4966" s="937">
        <v>44543</v>
      </c>
      <c r="C4966" s="934" t="s">
        <v>16861</v>
      </c>
      <c r="D4966" s="8" t="s">
        <v>6</v>
      </c>
      <c r="E4966" s="204" t="s">
        <v>166</v>
      </c>
      <c r="F4966" s="934" t="s">
        <v>10651</v>
      </c>
      <c r="G4966" s="204" t="s">
        <v>16862</v>
      </c>
      <c r="H4966" s="204"/>
      <c r="I4966" s="204" t="s">
        <v>429</v>
      </c>
      <c r="J4966" s="204"/>
      <c r="K4966" s="204" t="s">
        <v>9213</v>
      </c>
      <c r="L4966" s="204"/>
      <c r="M4966" s="204">
        <v>4</v>
      </c>
      <c r="N4966" s="204">
        <v>1</v>
      </c>
      <c r="O4966" s="204">
        <v>4</v>
      </c>
      <c r="P4966" s="204">
        <v>0</v>
      </c>
      <c r="Q4966" s="572">
        <v>0</v>
      </c>
      <c r="R4966" s="1209">
        <v>174</v>
      </c>
      <c r="S4966" s="1209">
        <v>766</v>
      </c>
      <c r="T4966" s="204" t="s">
        <v>12425</v>
      </c>
      <c r="U4966" s="1901" t="s">
        <v>301</v>
      </c>
      <c r="V4966" s="572" t="s">
        <v>16863</v>
      </c>
      <c r="W4966" s="1815" t="s">
        <v>16864</v>
      </c>
      <c r="X4966" s="18"/>
      <c r="Y4966" s="1151"/>
      <c r="Z4966" s="4"/>
    </row>
    <row r="4967" spans="1:26" ht="14.1" hidden="1">
      <c r="A4967" s="1152">
        <v>4976</v>
      </c>
      <c r="B4967" s="937">
        <v>44543</v>
      </c>
      <c r="C4967" s="934" t="s">
        <v>16865</v>
      </c>
      <c r="D4967" s="8" t="s">
        <v>6</v>
      </c>
      <c r="E4967" s="204" t="s">
        <v>166</v>
      </c>
      <c r="F4967" s="934" t="s">
        <v>10651</v>
      </c>
      <c r="G4967" s="204" t="s">
        <v>16866</v>
      </c>
      <c r="H4967" s="204"/>
      <c r="I4967" s="204" t="s">
        <v>429</v>
      </c>
      <c r="J4967" s="204"/>
      <c r="K4967" s="204" t="s">
        <v>16867</v>
      </c>
      <c r="L4967" s="204"/>
      <c r="M4967" s="204">
        <v>4</v>
      </c>
      <c r="N4967" s="204">
        <v>50</v>
      </c>
      <c r="O4967" s="204">
        <v>50</v>
      </c>
      <c r="P4967" s="204">
        <v>0</v>
      </c>
      <c r="Q4967" s="572">
        <v>44</v>
      </c>
      <c r="R4967" s="1209">
        <v>15</v>
      </c>
      <c r="S4967" s="1209">
        <v>825</v>
      </c>
      <c r="T4967" s="204" t="s">
        <v>12425</v>
      </c>
      <c r="U4967" s="1901" t="s">
        <v>301</v>
      </c>
      <c r="V4967" s="572" t="s">
        <v>16868</v>
      </c>
      <c r="W4967" s="1815" t="s">
        <v>16869</v>
      </c>
      <c r="X4967" s="18"/>
      <c r="Y4967" s="1151"/>
      <c r="Z4967" s="4"/>
    </row>
    <row r="4968" spans="1:26" ht="14.1" hidden="1">
      <c r="A4968" s="20">
        <v>4977</v>
      </c>
      <c r="B4968" s="937">
        <v>44543</v>
      </c>
      <c r="C4968" s="934" t="s">
        <v>16870</v>
      </c>
      <c r="D4968" s="8" t="s">
        <v>6</v>
      </c>
      <c r="E4968" s="204" t="s">
        <v>166</v>
      </c>
      <c r="F4968" s="934" t="s">
        <v>10651</v>
      </c>
      <c r="G4968" s="204" t="s">
        <v>16871</v>
      </c>
      <c r="H4968" s="204"/>
      <c r="I4968" s="204" t="s">
        <v>429</v>
      </c>
      <c r="J4968" s="204"/>
      <c r="K4968" s="204" t="s">
        <v>16872</v>
      </c>
      <c r="L4968" s="204"/>
      <c r="M4968" s="204">
        <v>8</v>
      </c>
      <c r="N4968" s="204">
        <v>1</v>
      </c>
      <c r="O4968" s="204">
        <v>8</v>
      </c>
      <c r="P4968" s="204">
        <v>0</v>
      </c>
      <c r="Q4968" s="572">
        <v>0</v>
      </c>
      <c r="R4968" s="1209">
        <v>204</v>
      </c>
      <c r="S4968" s="1209">
        <v>1795</v>
      </c>
      <c r="T4968" s="204" t="s">
        <v>12425</v>
      </c>
      <c r="U4968" s="1901" t="s">
        <v>301</v>
      </c>
      <c r="V4968" s="572" t="s">
        <v>16873</v>
      </c>
      <c r="W4968" s="1815" t="s">
        <v>16874</v>
      </c>
      <c r="X4968" s="18"/>
      <c r="Y4968" s="1151"/>
      <c r="Z4968" s="4"/>
    </row>
    <row r="4969" spans="1:26" ht="14.1" hidden="1">
      <c r="A4969" s="20">
        <v>4978</v>
      </c>
      <c r="B4969" s="937">
        <v>44543</v>
      </c>
      <c r="C4969" s="934" t="s">
        <v>16875</v>
      </c>
      <c r="D4969" s="8" t="s">
        <v>6</v>
      </c>
      <c r="E4969" s="204" t="s">
        <v>166</v>
      </c>
      <c r="F4969" s="934" t="s">
        <v>10651</v>
      </c>
      <c r="G4969" s="204" t="s">
        <v>16876</v>
      </c>
      <c r="H4969" s="204"/>
      <c r="I4969" s="204" t="s">
        <v>429</v>
      </c>
      <c r="J4969" s="204"/>
      <c r="K4969" s="204" t="s">
        <v>9202</v>
      </c>
      <c r="L4969" s="204"/>
      <c r="M4969" s="204">
        <v>6</v>
      </c>
      <c r="N4969" s="204">
        <v>50</v>
      </c>
      <c r="O4969" s="204">
        <v>50</v>
      </c>
      <c r="P4969" s="204">
        <v>0</v>
      </c>
      <c r="Q4969" s="572">
        <v>44</v>
      </c>
      <c r="R4969" s="1209">
        <v>17</v>
      </c>
      <c r="S4969" s="1209">
        <v>935</v>
      </c>
      <c r="T4969" s="204" t="s">
        <v>12425</v>
      </c>
      <c r="U4969" s="1901" t="s">
        <v>301</v>
      </c>
      <c r="V4969" s="572" t="s">
        <v>16877</v>
      </c>
      <c r="W4969" s="1815" t="s">
        <v>16878</v>
      </c>
      <c r="X4969" s="18"/>
      <c r="Y4969" s="1151"/>
      <c r="Z4969" s="4"/>
    </row>
    <row r="4970" spans="1:26" ht="14.1" hidden="1">
      <c r="A4970" s="20">
        <v>4979</v>
      </c>
      <c r="B4970" s="937">
        <v>44543</v>
      </c>
      <c r="C4970" s="934" t="s">
        <v>16879</v>
      </c>
      <c r="D4970" s="8" t="s">
        <v>6</v>
      </c>
      <c r="E4970" s="204" t="s">
        <v>166</v>
      </c>
      <c r="F4970" s="934" t="s">
        <v>10651</v>
      </c>
      <c r="G4970" s="204" t="s">
        <v>16880</v>
      </c>
      <c r="H4970" s="204"/>
      <c r="I4970" s="204" t="s">
        <v>429</v>
      </c>
      <c r="J4970" s="204"/>
      <c r="K4970" s="204" t="s">
        <v>3987</v>
      </c>
      <c r="L4970" s="204"/>
      <c r="M4970" s="204">
        <v>4</v>
      </c>
      <c r="N4970" s="204">
        <v>1</v>
      </c>
      <c r="O4970" s="204">
        <v>4</v>
      </c>
      <c r="P4970" s="204">
        <v>0</v>
      </c>
      <c r="Q4970" s="572">
        <v>0</v>
      </c>
      <c r="R4970" s="1209">
        <v>174</v>
      </c>
      <c r="S4970" s="1209">
        <v>766</v>
      </c>
      <c r="T4970" s="204" t="s">
        <v>12425</v>
      </c>
      <c r="U4970" s="1901" t="s">
        <v>301</v>
      </c>
      <c r="V4970" s="572" t="s">
        <v>16881</v>
      </c>
      <c r="W4970" s="1815" t="s">
        <v>16882</v>
      </c>
      <c r="X4970" s="18"/>
      <c r="Y4970" s="1151"/>
      <c r="Z4970" s="4"/>
    </row>
    <row r="4971" spans="1:26" ht="14.1" hidden="1">
      <c r="A4971" s="1152">
        <v>4980</v>
      </c>
      <c r="B4971" s="937">
        <v>44543</v>
      </c>
      <c r="C4971" s="934" t="s">
        <v>16870</v>
      </c>
      <c r="D4971" s="8" t="s">
        <v>6</v>
      </c>
      <c r="E4971" s="204" t="s">
        <v>166</v>
      </c>
      <c r="F4971" s="934" t="s">
        <v>10651</v>
      </c>
      <c r="G4971" s="204" t="s">
        <v>16871</v>
      </c>
      <c r="H4971" s="204"/>
      <c r="I4971" s="204" t="s">
        <v>429</v>
      </c>
      <c r="J4971" s="204"/>
      <c r="K4971" s="204" t="s">
        <v>9196</v>
      </c>
      <c r="L4971" s="204"/>
      <c r="M4971" s="204">
        <v>4</v>
      </c>
      <c r="N4971" s="204">
        <v>1</v>
      </c>
      <c r="O4971" s="204">
        <v>4</v>
      </c>
      <c r="P4971" s="204">
        <v>0</v>
      </c>
      <c r="Q4971" s="572">
        <v>0</v>
      </c>
      <c r="R4971" s="1209">
        <v>19</v>
      </c>
      <c r="S4971" s="1209">
        <v>84</v>
      </c>
      <c r="T4971" s="204" t="s">
        <v>12425</v>
      </c>
      <c r="U4971" s="1901" t="s">
        <v>301</v>
      </c>
      <c r="V4971" s="572" t="s">
        <v>16883</v>
      </c>
      <c r="W4971" s="1815" t="s">
        <v>16884</v>
      </c>
      <c r="X4971" s="18"/>
      <c r="Y4971" s="1151"/>
      <c r="Z4971" s="4"/>
    </row>
    <row r="4972" spans="1:26" ht="14.1" hidden="1">
      <c r="A4972" s="20">
        <v>4981</v>
      </c>
      <c r="B4972" s="937">
        <v>44543</v>
      </c>
      <c r="C4972" s="934" t="s">
        <v>16885</v>
      </c>
      <c r="D4972" s="8" t="s">
        <v>6</v>
      </c>
      <c r="E4972" s="204" t="s">
        <v>166</v>
      </c>
      <c r="F4972" s="934" t="s">
        <v>10651</v>
      </c>
      <c r="G4972" s="204" t="s">
        <v>16886</v>
      </c>
      <c r="H4972" s="204"/>
      <c r="I4972" s="204" t="s">
        <v>429</v>
      </c>
      <c r="J4972" s="204"/>
      <c r="K4972" s="204" t="s">
        <v>16887</v>
      </c>
      <c r="L4972" s="204"/>
      <c r="M4972" s="204">
        <v>8</v>
      </c>
      <c r="N4972" s="204">
        <v>1</v>
      </c>
      <c r="O4972" s="204">
        <v>8</v>
      </c>
      <c r="P4972" s="204">
        <v>0</v>
      </c>
      <c r="Q4972" s="572">
        <v>0</v>
      </c>
      <c r="R4972" s="1209">
        <v>233</v>
      </c>
      <c r="S4972" s="1209">
        <v>2050</v>
      </c>
      <c r="T4972" s="204" t="s">
        <v>12425</v>
      </c>
      <c r="U4972" s="1901" t="s">
        <v>301</v>
      </c>
      <c r="V4972" s="572" t="s">
        <v>16888</v>
      </c>
      <c r="W4972" s="1815" t="s">
        <v>16889</v>
      </c>
      <c r="X4972" s="18"/>
      <c r="Y4972" s="1151"/>
      <c r="Z4972" s="4"/>
    </row>
    <row r="4973" spans="1:26" ht="14.1" hidden="1">
      <c r="A4973" s="20">
        <v>4982</v>
      </c>
      <c r="B4973" s="937">
        <v>44543</v>
      </c>
      <c r="C4973" s="934" t="s">
        <v>16890</v>
      </c>
      <c r="D4973" s="8" t="s">
        <v>6</v>
      </c>
      <c r="E4973" s="204" t="s">
        <v>166</v>
      </c>
      <c r="F4973" s="934" t="s">
        <v>10651</v>
      </c>
      <c r="G4973" s="204" t="s">
        <v>16891</v>
      </c>
      <c r="H4973" s="204"/>
      <c r="I4973" s="204" t="s">
        <v>429</v>
      </c>
      <c r="J4973" s="204"/>
      <c r="K4973" s="204" t="s">
        <v>9199</v>
      </c>
      <c r="L4973" s="204"/>
      <c r="M4973" s="204">
        <v>6</v>
      </c>
      <c r="N4973" s="204">
        <v>1</v>
      </c>
      <c r="O4973" s="204">
        <v>6</v>
      </c>
      <c r="P4973" s="204">
        <v>0</v>
      </c>
      <c r="Q4973" s="572">
        <v>0</v>
      </c>
      <c r="R4973" s="1209">
        <v>204</v>
      </c>
      <c r="S4973" s="1209">
        <v>1346</v>
      </c>
      <c r="T4973" s="204" t="s">
        <v>12425</v>
      </c>
      <c r="U4973" s="1901" t="s">
        <v>301</v>
      </c>
      <c r="V4973" s="572" t="s">
        <v>16892</v>
      </c>
      <c r="W4973" s="1815" t="s">
        <v>16893</v>
      </c>
      <c r="X4973" s="18"/>
      <c r="Y4973" s="1151"/>
      <c r="Z4973" s="4"/>
    </row>
    <row r="4974" spans="1:26" ht="14.1" hidden="1">
      <c r="A4974" s="20">
        <v>4983</v>
      </c>
      <c r="B4974" s="937">
        <v>44543</v>
      </c>
      <c r="C4974" s="934" t="s">
        <v>16894</v>
      </c>
      <c r="D4974" s="8" t="s">
        <v>6</v>
      </c>
      <c r="E4974" s="204" t="s">
        <v>166</v>
      </c>
      <c r="F4974" s="934" t="s">
        <v>10651</v>
      </c>
      <c r="G4974" s="204" t="s">
        <v>16895</v>
      </c>
      <c r="H4974" s="204"/>
      <c r="I4974" s="204" t="s">
        <v>429</v>
      </c>
      <c r="J4974" s="204"/>
      <c r="K4974" s="204" t="s">
        <v>16896</v>
      </c>
      <c r="L4974" s="204"/>
      <c r="M4974" s="204">
        <v>1</v>
      </c>
      <c r="N4974" s="204">
        <v>1</v>
      </c>
      <c r="O4974" s="204">
        <v>1</v>
      </c>
      <c r="P4974" s="204">
        <v>0</v>
      </c>
      <c r="Q4974" s="572">
        <v>0</v>
      </c>
      <c r="R4974" s="1209">
        <v>2420</v>
      </c>
      <c r="S4974" s="1209">
        <v>2662</v>
      </c>
      <c r="T4974" s="204" t="s">
        <v>12425</v>
      </c>
      <c r="U4974" s="1901" t="s">
        <v>301</v>
      </c>
      <c r="V4974" s="572" t="s">
        <v>16897</v>
      </c>
      <c r="W4974" s="1815" t="s">
        <v>16898</v>
      </c>
      <c r="X4974" s="18"/>
      <c r="Y4974" s="1151"/>
      <c r="Z4974" s="4"/>
    </row>
    <row r="4975" spans="1:26" ht="14.1" hidden="1">
      <c r="A4975" s="20">
        <v>4984</v>
      </c>
      <c r="B4975" s="937">
        <v>44544</v>
      </c>
      <c r="C4975" s="934" t="s">
        <v>16899</v>
      </c>
      <c r="D4975" s="8" t="s">
        <v>6</v>
      </c>
      <c r="E4975" s="204" t="s">
        <v>62</v>
      </c>
      <c r="F4975" s="934" t="s">
        <v>2143</v>
      </c>
      <c r="G4975" s="204" t="s">
        <v>16900</v>
      </c>
      <c r="H4975" s="204"/>
      <c r="I4975" s="204" t="s">
        <v>4646</v>
      </c>
      <c r="J4975" s="204"/>
      <c r="K4975" s="204"/>
      <c r="L4975" s="204"/>
      <c r="M4975" s="458">
        <v>1</v>
      </c>
      <c r="N4975" s="204">
        <v>1</v>
      </c>
      <c r="O4975" s="204">
        <v>1</v>
      </c>
      <c r="P4975" s="204">
        <v>0</v>
      </c>
      <c r="Q4975" s="572">
        <v>0</v>
      </c>
      <c r="R4975" s="1209">
        <v>13400</v>
      </c>
      <c r="S4975" s="1209">
        <v>13400</v>
      </c>
      <c r="T4975" s="204"/>
      <c r="U4975" s="1901"/>
      <c r="V4975" s="572"/>
      <c r="W4975" s="681"/>
      <c r="X4975" s="18"/>
      <c r="Y4975" s="1151"/>
      <c r="Z4975" s="4"/>
    </row>
    <row r="4976" spans="1:26" ht="14.1" hidden="1">
      <c r="A4976" s="20">
        <v>4985</v>
      </c>
      <c r="B4976" s="937">
        <v>44544</v>
      </c>
      <c r="C4976" s="934" t="s">
        <v>857</v>
      </c>
      <c r="D4976" s="11" t="s">
        <v>6</v>
      </c>
      <c r="E4976" s="204" t="s">
        <v>166</v>
      </c>
      <c r="F4976" s="934" t="s">
        <v>11438</v>
      </c>
      <c r="G4976" s="204" t="s">
        <v>4307</v>
      </c>
      <c r="H4976" s="204" t="s">
        <v>857</v>
      </c>
      <c r="I4976" s="204" t="s">
        <v>39</v>
      </c>
      <c r="J4976" s="204" t="s">
        <v>858</v>
      </c>
      <c r="K4976" s="204" t="s">
        <v>859</v>
      </c>
      <c r="L4976" s="204"/>
      <c r="M4976" s="204">
        <v>1</v>
      </c>
      <c r="N4976" s="204">
        <v>1</v>
      </c>
      <c r="O4976" s="204">
        <v>1</v>
      </c>
      <c r="P4976" s="204">
        <v>0</v>
      </c>
      <c r="Q4976" s="572">
        <v>0</v>
      </c>
      <c r="R4976" s="1209">
        <v>3225</v>
      </c>
      <c r="S4976" s="1209">
        <v>3225</v>
      </c>
      <c r="T4976" s="204" t="s">
        <v>16901</v>
      </c>
      <c r="U4976" s="1901" t="s">
        <v>448</v>
      </c>
      <c r="V4976" s="572" t="s">
        <v>352</v>
      </c>
      <c r="W4976" s="1184" t="s">
        <v>16902</v>
      </c>
      <c r="X4976" s="18"/>
      <c r="Y4976" s="1151"/>
      <c r="Z4976" s="4"/>
    </row>
    <row r="4977" spans="1:26" ht="14.1" hidden="1">
      <c r="A4977" s="20">
        <v>4986</v>
      </c>
      <c r="B4977" s="937">
        <v>44544</v>
      </c>
      <c r="C4977" s="934" t="s">
        <v>4308</v>
      </c>
      <c r="D4977" s="11" t="s">
        <v>6</v>
      </c>
      <c r="E4977" s="204" t="s">
        <v>166</v>
      </c>
      <c r="F4977" s="934" t="s">
        <v>11438</v>
      </c>
      <c r="G4977" s="204" t="s">
        <v>4309</v>
      </c>
      <c r="H4977" s="204" t="s">
        <v>873</v>
      </c>
      <c r="I4977" s="204" t="s">
        <v>574</v>
      </c>
      <c r="J4977" s="204" t="s">
        <v>874</v>
      </c>
      <c r="K4977" s="204" t="s">
        <v>875</v>
      </c>
      <c r="L4977" s="204"/>
      <c r="M4977" s="204">
        <v>1</v>
      </c>
      <c r="N4977" s="204">
        <v>1</v>
      </c>
      <c r="O4977" s="204">
        <v>1</v>
      </c>
      <c r="P4977" s="204">
        <v>0</v>
      </c>
      <c r="Q4977" s="572">
        <v>0</v>
      </c>
      <c r="R4977" s="1209">
        <v>1948</v>
      </c>
      <c r="S4977" s="1209">
        <v>1948</v>
      </c>
      <c r="T4977" s="204" t="s">
        <v>16901</v>
      </c>
      <c r="U4977" s="1901" t="s">
        <v>448</v>
      </c>
      <c r="V4977" s="572" t="s">
        <v>352</v>
      </c>
      <c r="W4977" s="1184" t="s">
        <v>16903</v>
      </c>
      <c r="X4977" s="18"/>
      <c r="Y4977" s="1151"/>
      <c r="Z4977" s="4"/>
    </row>
    <row r="4978" spans="1:26" ht="14.1" hidden="1">
      <c r="A4978" s="1152">
        <v>4987</v>
      </c>
      <c r="B4978" s="937">
        <v>44544</v>
      </c>
      <c r="C4978" s="934" t="s">
        <v>16904</v>
      </c>
      <c r="D4978" s="11" t="s">
        <v>6</v>
      </c>
      <c r="E4978" s="204" t="s">
        <v>62</v>
      </c>
      <c r="F4978" s="934" t="s">
        <v>2143</v>
      </c>
      <c r="G4978" s="204" t="s">
        <v>16905</v>
      </c>
      <c r="H4978" s="204"/>
      <c r="I4978" s="204"/>
      <c r="J4978" s="204"/>
      <c r="K4978" s="204"/>
      <c r="L4978" s="204"/>
      <c r="M4978" s="204">
        <v>1</v>
      </c>
      <c r="N4978" s="204">
        <v>1</v>
      </c>
      <c r="O4978" s="204">
        <v>1</v>
      </c>
      <c r="P4978" s="204">
        <v>0</v>
      </c>
      <c r="Q4978" s="572">
        <v>0</v>
      </c>
      <c r="R4978" s="1209">
        <v>540</v>
      </c>
      <c r="S4978" s="1209">
        <v>540</v>
      </c>
      <c r="T4978" s="204" t="s">
        <v>16906</v>
      </c>
      <c r="U4978" s="1901" t="s">
        <v>118</v>
      </c>
      <c r="V4978" s="572" t="s">
        <v>16621</v>
      </c>
      <c r="W4978" s="681"/>
      <c r="X4978" s="18"/>
      <c r="Y4978" s="1151"/>
      <c r="Z4978" s="4"/>
    </row>
    <row r="4979" spans="1:26" ht="14.1" hidden="1">
      <c r="A4979" s="20">
        <v>4988</v>
      </c>
      <c r="B4979" s="1069">
        <v>44544</v>
      </c>
      <c r="C4979" s="934" t="s">
        <v>16772</v>
      </c>
      <c r="D4979" s="10"/>
      <c r="E4979" s="204" t="s">
        <v>16258</v>
      </c>
      <c r="F4979" s="934" t="s">
        <v>11559</v>
      </c>
      <c r="G4979" s="1186" t="s">
        <v>16773</v>
      </c>
      <c r="H4979" s="204" t="s">
        <v>1379</v>
      </c>
      <c r="I4979" s="204" t="s">
        <v>1379</v>
      </c>
      <c r="J4979" s="204" t="s">
        <v>16907</v>
      </c>
      <c r="K4979" s="204" t="s">
        <v>16907</v>
      </c>
      <c r="L4979" s="204"/>
      <c r="M4979" s="204">
        <v>4</v>
      </c>
      <c r="N4979" s="204">
        <v>1</v>
      </c>
      <c r="O4979" s="204">
        <v>5</v>
      </c>
      <c r="P4979" s="204">
        <v>0</v>
      </c>
      <c r="Q4979" s="572">
        <v>5</v>
      </c>
      <c r="R4979" s="1209">
        <f>S4979/5</f>
        <v>7670.8</v>
      </c>
      <c r="S4979" s="1209">
        <v>38354</v>
      </c>
      <c r="T4979" s="204" t="s">
        <v>3961</v>
      </c>
      <c r="U4979" s="1901" t="s">
        <v>448</v>
      </c>
      <c r="V4979" s="572" t="s">
        <v>3342</v>
      </c>
      <c r="W4979" s="681"/>
      <c r="X4979" s="18"/>
      <c r="Y4979" s="1151"/>
      <c r="Z4979" s="4"/>
    </row>
    <row r="4980" spans="1:26" ht="14.1" hidden="1">
      <c r="A4980" s="20">
        <v>4989</v>
      </c>
      <c r="B4980" s="1069">
        <v>44544</v>
      </c>
      <c r="C4980" s="190" t="s">
        <v>16908</v>
      </c>
      <c r="D4980" s="8" t="s">
        <v>6</v>
      </c>
      <c r="E4980" s="20" t="s">
        <v>62</v>
      </c>
      <c r="F4980" s="1006" t="s">
        <v>9454</v>
      </c>
      <c r="G4980" s="818" t="s">
        <v>16909</v>
      </c>
      <c r="H4980" s="818" t="s">
        <v>14340</v>
      </c>
      <c r="I4980" s="818" t="s">
        <v>14340</v>
      </c>
      <c r="J4980" s="222"/>
      <c r="K4980" s="818"/>
      <c r="L4980" s="222"/>
      <c r="M4980" s="222">
        <v>8</v>
      </c>
      <c r="N4980" s="222">
        <v>1</v>
      </c>
      <c r="O4980" s="222">
        <v>8</v>
      </c>
      <c r="P4980" s="222">
        <v>0</v>
      </c>
      <c r="Q4980" s="222">
        <v>0</v>
      </c>
      <c r="R4980" s="1209">
        <v>100</v>
      </c>
      <c r="S4980" s="1195">
        <f>R4980*O4980</f>
        <v>800</v>
      </c>
      <c r="T4980" s="204" t="s">
        <v>3961</v>
      </c>
      <c r="U4980" s="1527" t="s">
        <v>301</v>
      </c>
      <c r="V4980" s="572" t="s">
        <v>3342</v>
      </c>
      <c r="W4980" s="819"/>
      <c r="X4980" s="18"/>
      <c r="Y4980" s="1151"/>
      <c r="Z4980" s="4"/>
    </row>
    <row r="4981" spans="1:26" ht="14.1" hidden="1">
      <c r="A4981" s="20">
        <v>4990</v>
      </c>
      <c r="B4981" s="1069">
        <v>44544</v>
      </c>
      <c r="C4981" s="190" t="s">
        <v>16910</v>
      </c>
      <c r="D4981" s="8" t="s">
        <v>6</v>
      </c>
      <c r="E4981" s="20" t="s">
        <v>62</v>
      </c>
      <c r="F4981" s="1006" t="s">
        <v>9454</v>
      </c>
      <c r="G4981" s="818" t="s">
        <v>16911</v>
      </c>
      <c r="H4981" s="818" t="s">
        <v>14340</v>
      </c>
      <c r="I4981" s="818" t="s">
        <v>14340</v>
      </c>
      <c r="J4981" s="222"/>
      <c r="K4981" s="818"/>
      <c r="L4981" s="222"/>
      <c r="M4981" s="222">
        <v>3</v>
      </c>
      <c r="N4981" s="222">
        <v>1</v>
      </c>
      <c r="O4981" s="222">
        <v>3</v>
      </c>
      <c r="P4981" s="222">
        <v>0</v>
      </c>
      <c r="Q4981" s="222">
        <v>0</v>
      </c>
      <c r="R4981" s="1209">
        <v>150</v>
      </c>
      <c r="S4981" s="1195">
        <f t="shared" ref="S4981:S4984" si="280">R4981*O4981</f>
        <v>450</v>
      </c>
      <c r="T4981" s="204" t="s">
        <v>3961</v>
      </c>
      <c r="U4981" s="1527" t="s">
        <v>301</v>
      </c>
      <c r="V4981" s="572" t="s">
        <v>3342</v>
      </c>
      <c r="W4981" s="819"/>
      <c r="X4981" s="18"/>
      <c r="Y4981" s="1151"/>
      <c r="Z4981" s="4"/>
    </row>
    <row r="4982" spans="1:26" ht="14.1" hidden="1">
      <c r="A4982" s="1152">
        <v>4991</v>
      </c>
      <c r="B4982" s="1069">
        <v>44544</v>
      </c>
      <c r="C4982" s="190" t="s">
        <v>16912</v>
      </c>
      <c r="D4982" s="8" t="s">
        <v>6</v>
      </c>
      <c r="E4982" s="20" t="s">
        <v>62</v>
      </c>
      <c r="F4982" s="1006" t="s">
        <v>9454</v>
      </c>
      <c r="G4982" s="818" t="s">
        <v>16913</v>
      </c>
      <c r="H4982" s="818" t="s">
        <v>14340</v>
      </c>
      <c r="I4982" s="818" t="s">
        <v>14340</v>
      </c>
      <c r="J4982" s="222"/>
      <c r="K4982" s="818"/>
      <c r="L4982" s="222"/>
      <c r="M4982" s="222">
        <v>2</v>
      </c>
      <c r="N4982" s="222">
        <v>1</v>
      </c>
      <c r="O4982" s="222">
        <v>2</v>
      </c>
      <c r="P4982" s="222">
        <v>0</v>
      </c>
      <c r="Q4982" s="222">
        <v>0</v>
      </c>
      <c r="R4982" s="1209">
        <v>100</v>
      </c>
      <c r="S4982" s="1195">
        <f t="shared" si="280"/>
        <v>200</v>
      </c>
      <c r="T4982" s="204" t="s">
        <v>3961</v>
      </c>
      <c r="U4982" s="1527" t="s">
        <v>301</v>
      </c>
      <c r="V4982" s="572" t="s">
        <v>3342</v>
      </c>
      <c r="W4982" s="819"/>
      <c r="X4982" s="18"/>
      <c r="Y4982" s="1151"/>
      <c r="Z4982" s="4"/>
    </row>
    <row r="4983" spans="1:26" ht="14.1" hidden="1">
      <c r="A4983" s="20">
        <v>4992</v>
      </c>
      <c r="B4983" s="1069">
        <v>44544</v>
      </c>
      <c r="C4983" s="190" t="s">
        <v>16914</v>
      </c>
      <c r="D4983" s="8" t="s">
        <v>6</v>
      </c>
      <c r="E4983" s="20" t="s">
        <v>62</v>
      </c>
      <c r="F4983" s="1006" t="s">
        <v>9454</v>
      </c>
      <c r="G4983" s="818" t="s">
        <v>16915</v>
      </c>
      <c r="H4983" s="818" t="s">
        <v>14340</v>
      </c>
      <c r="I4983" s="818" t="s">
        <v>14340</v>
      </c>
      <c r="J4983" s="222"/>
      <c r="K4983" s="818"/>
      <c r="L4983" s="222"/>
      <c r="M4983" s="222">
        <v>6</v>
      </c>
      <c r="N4983" s="222">
        <v>1</v>
      </c>
      <c r="O4983" s="222">
        <v>6</v>
      </c>
      <c r="P4983" s="222">
        <v>0</v>
      </c>
      <c r="Q4983" s="222">
        <v>0</v>
      </c>
      <c r="R4983" s="1209">
        <v>100</v>
      </c>
      <c r="S4983" s="1195">
        <f t="shared" si="280"/>
        <v>600</v>
      </c>
      <c r="T4983" s="204" t="s">
        <v>3961</v>
      </c>
      <c r="U4983" s="1527" t="s">
        <v>301</v>
      </c>
      <c r="V4983" s="572" t="s">
        <v>3342</v>
      </c>
      <c r="W4983" s="819"/>
      <c r="X4983" s="18"/>
      <c r="Y4983" s="1151"/>
      <c r="Z4983" s="4"/>
    </row>
    <row r="4984" spans="1:26" ht="14.1" hidden="1">
      <c r="A4984" s="20">
        <v>4993</v>
      </c>
      <c r="B4984" s="1069">
        <v>44544</v>
      </c>
      <c r="C4984" s="190" t="s">
        <v>16916</v>
      </c>
      <c r="D4984" s="8" t="s">
        <v>6</v>
      </c>
      <c r="E4984" s="20" t="s">
        <v>62</v>
      </c>
      <c r="F4984" s="1006" t="s">
        <v>9454</v>
      </c>
      <c r="G4984" s="818" t="s">
        <v>16917</v>
      </c>
      <c r="H4984" s="818" t="s">
        <v>14340</v>
      </c>
      <c r="I4984" s="818" t="s">
        <v>14340</v>
      </c>
      <c r="J4984" s="222"/>
      <c r="K4984" s="818"/>
      <c r="L4984" s="222"/>
      <c r="M4984" s="222">
        <v>1</v>
      </c>
      <c r="N4984" s="222">
        <v>1</v>
      </c>
      <c r="O4984" s="222">
        <v>1</v>
      </c>
      <c r="P4984" s="222">
        <v>0</v>
      </c>
      <c r="Q4984" s="222">
        <v>0</v>
      </c>
      <c r="R4984" s="1209">
        <v>7</v>
      </c>
      <c r="S4984" s="1195">
        <f t="shared" si="280"/>
        <v>7</v>
      </c>
      <c r="T4984" s="204" t="s">
        <v>3961</v>
      </c>
      <c r="U4984" s="1527" t="s">
        <v>301</v>
      </c>
      <c r="V4984" s="572" t="s">
        <v>3342</v>
      </c>
      <c r="W4984" s="819"/>
      <c r="X4984" s="18"/>
      <c r="Y4984" s="1151"/>
      <c r="Z4984" s="4"/>
    </row>
    <row r="4985" spans="1:26" ht="14.1" hidden="1">
      <c r="A4985" s="20">
        <v>4994</v>
      </c>
      <c r="B4985" s="1069">
        <v>44546</v>
      </c>
      <c r="C4985" s="190" t="s">
        <v>12142</v>
      </c>
      <c r="D4985" s="11"/>
      <c r="E4985" s="239" t="s">
        <v>166</v>
      </c>
      <c r="F4985" s="1053" t="s">
        <v>10696</v>
      </c>
      <c r="G4985" s="343" t="s">
        <v>10712</v>
      </c>
      <c r="H4985" s="484" t="s">
        <v>10706</v>
      </c>
      <c r="I4985" s="484" t="s">
        <v>10706</v>
      </c>
      <c r="J4985" s="485" t="s">
        <v>13229</v>
      </c>
      <c r="K4985" s="482" t="s">
        <v>1</v>
      </c>
      <c r="L4985" s="484" t="s">
        <v>13227</v>
      </c>
      <c r="M4985" s="484">
        <v>2</v>
      </c>
      <c r="N4985" s="484">
        <v>1</v>
      </c>
      <c r="O4985" s="484">
        <v>2</v>
      </c>
      <c r="P4985" s="484">
        <v>0</v>
      </c>
      <c r="Q4985" s="771">
        <v>2</v>
      </c>
      <c r="R4985" s="1323">
        <v>11600</v>
      </c>
      <c r="S4985" s="1323">
        <f>R4985*O4985</f>
        <v>23200</v>
      </c>
      <c r="T4985" s="770" t="s">
        <v>9485</v>
      </c>
      <c r="U4985" s="1935" t="s">
        <v>3646</v>
      </c>
      <c r="V4985" s="488" t="s">
        <v>352</v>
      </c>
      <c r="W4985" s="772" t="s">
        <v>10714</v>
      </c>
      <c r="X4985" s="18"/>
      <c r="Y4985" s="1151"/>
      <c r="Z4985" s="4"/>
    </row>
    <row r="4986" spans="1:26" ht="26.1" hidden="1">
      <c r="A4986" s="20">
        <v>4995</v>
      </c>
      <c r="B4986" s="1069">
        <v>44546</v>
      </c>
      <c r="C4986" s="190" t="s">
        <v>10704</v>
      </c>
      <c r="D4986" s="11"/>
      <c r="E4986" s="239" t="s">
        <v>166</v>
      </c>
      <c r="F4986" s="1188" t="s">
        <v>10696</v>
      </c>
      <c r="G4986" s="1189" t="s">
        <v>15484</v>
      </c>
      <c r="H4986" s="270" t="s">
        <v>713</v>
      </c>
      <c r="I4986" s="270" t="s">
        <v>6651</v>
      </c>
      <c r="J4986" s="484" t="s">
        <v>11798</v>
      </c>
      <c r="K4986" s="799" t="s">
        <v>11799</v>
      </c>
      <c r="L4986" s="484" t="s">
        <v>13227</v>
      </c>
      <c r="M4986" s="270">
        <v>2</v>
      </c>
      <c r="N4986" s="270">
        <v>1</v>
      </c>
      <c r="O4986" s="270">
        <v>2</v>
      </c>
      <c r="P4986" s="270">
        <v>0</v>
      </c>
      <c r="Q4986" s="770">
        <f>P4986+O4986</f>
        <v>2</v>
      </c>
      <c r="R4986" s="1290">
        <v>1413</v>
      </c>
      <c r="S4986" s="1345">
        <f>R4986*O4986</f>
        <v>2826</v>
      </c>
      <c r="T4986" s="590" t="s">
        <v>9485</v>
      </c>
      <c r="U4986" s="1944" t="s">
        <v>3646</v>
      </c>
      <c r="V4986" s="485" t="s">
        <v>11783</v>
      </c>
      <c r="W4986" s="735" t="s">
        <v>15485</v>
      </c>
      <c r="X4986" s="18"/>
      <c r="Y4986" s="1151"/>
      <c r="Z4986" s="4"/>
    </row>
    <row r="4987" spans="1:26" ht="14.1" hidden="1">
      <c r="A4987" s="20">
        <v>4996</v>
      </c>
      <c r="B4987" s="1069">
        <v>44546</v>
      </c>
      <c r="C4987" s="190" t="s">
        <v>3646</v>
      </c>
      <c r="D4987" s="8" t="s">
        <v>6</v>
      </c>
      <c r="E4987" s="239" t="s">
        <v>166</v>
      </c>
      <c r="F4987" s="1053" t="s">
        <v>10696</v>
      </c>
      <c r="G4987" s="797" t="s">
        <v>10701</v>
      </c>
      <c r="H4987" s="770" t="s">
        <v>713</v>
      </c>
      <c r="I4987" s="770" t="s">
        <v>16918</v>
      </c>
      <c r="J4987" s="770" t="s">
        <v>16919</v>
      </c>
      <c r="K4987" s="770" t="s">
        <v>1</v>
      </c>
      <c r="L4987" s="770" t="s">
        <v>13227</v>
      </c>
      <c r="M4987" s="770">
        <v>2</v>
      </c>
      <c r="N4987" s="770">
        <v>1</v>
      </c>
      <c r="O4987" s="770">
        <v>2</v>
      </c>
      <c r="P4987" s="770">
        <v>0</v>
      </c>
      <c r="Q4987" s="770">
        <f>P4987+O4987</f>
        <v>2</v>
      </c>
      <c r="R4987" s="1343">
        <v>11011</v>
      </c>
      <c r="S4987" s="1345">
        <f>R4987*O4987</f>
        <v>22022</v>
      </c>
      <c r="T4987" s="485" t="s">
        <v>9485</v>
      </c>
      <c r="U4987" s="1943" t="s">
        <v>3646</v>
      </c>
      <c r="V4987" s="485" t="s">
        <v>352</v>
      </c>
      <c r="W4987" s="2155" t="s">
        <v>16920</v>
      </c>
      <c r="X4987" s="18"/>
      <c r="Y4987" s="1151"/>
      <c r="Z4987" s="4"/>
    </row>
    <row r="4988" spans="1:26" ht="14.1" hidden="1">
      <c r="A4988" s="20">
        <v>4997</v>
      </c>
      <c r="B4988" s="1069">
        <v>44547</v>
      </c>
      <c r="C4988" s="190" t="s">
        <v>16921</v>
      </c>
      <c r="D4988" s="11"/>
      <c r="E4988" s="20" t="s">
        <v>62</v>
      </c>
      <c r="F4988" s="1006" t="s">
        <v>2143</v>
      </c>
      <c r="G4988" s="818" t="s">
        <v>16922</v>
      </c>
      <c r="H4988" s="818"/>
      <c r="I4988" s="222" t="s">
        <v>4646</v>
      </c>
      <c r="J4988" s="222"/>
      <c r="K4988" s="818"/>
      <c r="L4988" s="222"/>
      <c r="M4988" s="222">
        <v>1</v>
      </c>
      <c r="N4988" s="222">
        <v>1</v>
      </c>
      <c r="O4988" s="222">
        <v>1</v>
      </c>
      <c r="P4988" s="222">
        <v>0</v>
      </c>
      <c r="Q4988" s="222">
        <v>0</v>
      </c>
      <c r="R4988" s="1195">
        <v>3050</v>
      </c>
      <c r="S4988" s="1195">
        <v>3050</v>
      </c>
      <c r="T4988" s="222" t="s">
        <v>16923</v>
      </c>
      <c r="U4988" s="1527" t="s">
        <v>118</v>
      </c>
      <c r="V4988" s="222" t="s">
        <v>16621</v>
      </c>
      <c r="W4988" s="2155" t="s">
        <v>16924</v>
      </c>
      <c r="X4988" s="18"/>
      <c r="Y4988" s="1151"/>
      <c r="Z4988" s="4"/>
    </row>
    <row r="4989" spans="1:26" ht="14.1" hidden="1">
      <c r="A4989" s="1152">
        <v>4998</v>
      </c>
      <c r="B4989" s="1069">
        <v>44547</v>
      </c>
      <c r="C4989" s="190" t="s">
        <v>9962</v>
      </c>
      <c r="D4989" s="11"/>
      <c r="E4989" s="20" t="s">
        <v>62</v>
      </c>
      <c r="F4989" s="1006" t="s">
        <v>2143</v>
      </c>
      <c r="G4989" s="818" t="s">
        <v>16925</v>
      </c>
      <c r="H4989" s="818"/>
      <c r="I4989" s="222" t="s">
        <v>4646</v>
      </c>
      <c r="J4989" s="222"/>
      <c r="K4989" s="818"/>
      <c r="L4989" s="222"/>
      <c r="M4989" s="222">
        <v>1</v>
      </c>
      <c r="N4989" s="222">
        <v>1</v>
      </c>
      <c r="O4989" s="222">
        <v>1</v>
      </c>
      <c r="P4989" s="222">
        <v>0</v>
      </c>
      <c r="Q4989" s="222">
        <v>0</v>
      </c>
      <c r="R4989" s="1195">
        <v>120</v>
      </c>
      <c r="S4989" s="1195">
        <v>120</v>
      </c>
      <c r="T4989" s="222" t="s">
        <v>16923</v>
      </c>
      <c r="U4989" s="1527" t="s">
        <v>118</v>
      </c>
      <c r="V4989" s="222" t="s">
        <v>16621</v>
      </c>
      <c r="W4989" s="819"/>
      <c r="X4989" s="18"/>
      <c r="Y4989" s="1151"/>
      <c r="Z4989" s="4"/>
    </row>
    <row r="4990" spans="1:26" ht="14.1" hidden="1">
      <c r="A4990" s="1152">
        <v>4999</v>
      </c>
      <c r="B4990" s="1413">
        <v>44552</v>
      </c>
      <c r="C4990" s="1414" t="s">
        <v>16926</v>
      </c>
      <c r="D4990" s="11" t="s">
        <v>6</v>
      </c>
      <c r="E4990" s="1187" t="s">
        <v>166</v>
      </c>
      <c r="F4990" s="1190" t="s">
        <v>7046</v>
      </c>
      <c r="G4990" s="1191" t="s">
        <v>16927</v>
      </c>
      <c r="H4990" s="1191" t="s">
        <v>16928</v>
      </c>
      <c r="I4990" s="1120" t="s">
        <v>16929</v>
      </c>
      <c r="J4990" s="1120" t="s">
        <v>16930</v>
      </c>
      <c r="K4990" s="1120" t="s">
        <v>16930</v>
      </c>
      <c r="L4990" s="1120"/>
      <c r="M4990" s="1120">
        <v>1</v>
      </c>
      <c r="N4990" s="1120">
        <v>1</v>
      </c>
      <c r="O4990" s="1120">
        <v>1</v>
      </c>
      <c r="P4990" s="1120">
        <v>0</v>
      </c>
      <c r="Q4990" s="1120">
        <v>0</v>
      </c>
      <c r="R4990" s="1415">
        <v>96980</v>
      </c>
      <c r="S4990" s="1415">
        <v>96980</v>
      </c>
      <c r="T4990" s="1120" t="s">
        <v>12425</v>
      </c>
      <c r="U4990" s="1965" t="s">
        <v>9023</v>
      </c>
      <c r="V4990" s="222" t="s">
        <v>15095</v>
      </c>
      <c r="W4990" s="2161" t="s">
        <v>16931</v>
      </c>
      <c r="X4990" s="1158"/>
      <c r="Y4990" s="1151"/>
      <c r="Z4990" s="4"/>
    </row>
    <row r="4991" spans="1:26" ht="14.1" hidden="1">
      <c r="A4991" s="20">
        <v>5000</v>
      </c>
      <c r="B4991" s="1069">
        <v>44553</v>
      </c>
      <c r="C4991" s="934" t="s">
        <v>14381</v>
      </c>
      <c r="D4991" s="11" t="s">
        <v>6</v>
      </c>
      <c r="E4991" s="239" t="s">
        <v>166</v>
      </c>
      <c r="F4991" s="934" t="s">
        <v>13277</v>
      </c>
      <c r="G4991" s="818" t="s">
        <v>14382</v>
      </c>
      <c r="H4991" s="204" t="s">
        <v>14383</v>
      </c>
      <c r="I4991" s="204" t="s">
        <v>1022</v>
      </c>
      <c r="J4991" s="204" t="s">
        <v>14384</v>
      </c>
      <c r="K4991" s="204" t="s">
        <v>14385</v>
      </c>
      <c r="L4991" s="204" t="s">
        <v>1</v>
      </c>
      <c r="M4991" s="204">
        <v>1</v>
      </c>
      <c r="N4991" s="204">
        <v>1</v>
      </c>
      <c r="O4991" s="204">
        <v>1</v>
      </c>
      <c r="P4991" s="204">
        <v>0</v>
      </c>
      <c r="Q4991" s="572">
        <v>0</v>
      </c>
      <c r="R4991" s="1209">
        <v>6300</v>
      </c>
      <c r="S4991" s="1209">
        <f t="shared" ref="S4991:S4993" si="281">R4991*O4991</f>
        <v>6300</v>
      </c>
      <c r="T4991" s="204" t="s">
        <v>14752</v>
      </c>
      <c r="U4991" s="1901" t="s">
        <v>16932</v>
      </c>
      <c r="V4991" s="572" t="s">
        <v>14374</v>
      </c>
      <c r="W4991" s="681" t="s">
        <v>14386</v>
      </c>
      <c r="X4991" s="18" t="s">
        <v>16933</v>
      </c>
      <c r="Y4991" s="1151"/>
      <c r="Z4991" s="4"/>
    </row>
    <row r="4992" spans="1:26" ht="14.1" hidden="1">
      <c r="A4992" s="20">
        <v>5001</v>
      </c>
      <c r="B4992" s="1069">
        <v>44553</v>
      </c>
      <c r="C4992" s="190" t="s">
        <v>16934</v>
      </c>
      <c r="D4992" s="11" t="s">
        <v>6</v>
      </c>
      <c r="E4992" s="239" t="s">
        <v>166</v>
      </c>
      <c r="F4992" s="934" t="s">
        <v>13277</v>
      </c>
      <c r="G4992" s="818" t="s">
        <v>16935</v>
      </c>
      <c r="H4992" s="818" t="s">
        <v>16936</v>
      </c>
      <c r="I4992" s="222" t="s">
        <v>1022</v>
      </c>
      <c r="J4992" s="222" t="s">
        <v>16937</v>
      </c>
      <c r="K4992" s="204" t="s">
        <v>16938</v>
      </c>
      <c r="L4992" s="222" t="s">
        <v>1</v>
      </c>
      <c r="M4992" s="204">
        <v>1</v>
      </c>
      <c r="N4992" s="204">
        <v>1</v>
      </c>
      <c r="O4992" s="204">
        <v>1</v>
      </c>
      <c r="P4992" s="204">
        <v>0</v>
      </c>
      <c r="Q4992" s="572">
        <v>0</v>
      </c>
      <c r="R4992" s="1209">
        <v>3143</v>
      </c>
      <c r="S4992" s="1209">
        <f t="shared" si="281"/>
        <v>3143</v>
      </c>
      <c r="T4992" s="204" t="s">
        <v>14752</v>
      </c>
      <c r="U4992" s="1901" t="s">
        <v>16932</v>
      </c>
      <c r="V4992" s="572" t="s">
        <v>14374</v>
      </c>
      <c r="W4992" s="2155" t="s">
        <v>16939</v>
      </c>
      <c r="X4992" s="18" t="s">
        <v>16933</v>
      </c>
      <c r="Y4992" s="1161"/>
    </row>
    <row r="4993" spans="1:25" ht="15.75" hidden="1" customHeight="1">
      <c r="A4993" s="20">
        <v>5002</v>
      </c>
      <c r="B4993" s="1069">
        <v>44556</v>
      </c>
      <c r="C4993" s="1006" t="s">
        <v>16940</v>
      </c>
      <c r="D4993" s="11" t="s">
        <v>6</v>
      </c>
      <c r="E4993" s="20" t="s">
        <v>16941</v>
      </c>
      <c r="F4993" s="1006" t="s">
        <v>11544</v>
      </c>
      <c r="G4993" s="818" t="s">
        <v>16942</v>
      </c>
      <c r="H4993" s="818" t="s">
        <v>16943</v>
      </c>
      <c r="I4993" s="818" t="s">
        <v>16943</v>
      </c>
      <c r="J4993" s="222" t="s">
        <v>16944</v>
      </c>
      <c r="K4993" s="818" t="s">
        <v>16944</v>
      </c>
      <c r="L4993" s="222" t="s">
        <v>1</v>
      </c>
      <c r="M4993" s="222">
        <v>1</v>
      </c>
      <c r="N4993" s="222">
        <v>1</v>
      </c>
      <c r="O4993" s="222">
        <v>1</v>
      </c>
      <c r="P4993" s="222">
        <v>0</v>
      </c>
      <c r="Q4993" s="222">
        <v>0</v>
      </c>
      <c r="R4993" s="1209">
        <v>172500</v>
      </c>
      <c r="S4993" s="1209">
        <f t="shared" si="281"/>
        <v>172500</v>
      </c>
      <c r="T4993" s="222" t="s">
        <v>3961</v>
      </c>
      <c r="U4993" s="1527" t="s">
        <v>448</v>
      </c>
      <c r="V4993" s="222" t="s">
        <v>3342</v>
      </c>
      <c r="W4993" s="819"/>
      <c r="X4993" s="818"/>
      <c r="Y4993" s="1161"/>
    </row>
    <row r="4994" spans="1:25" ht="15.75" hidden="1" customHeight="1">
      <c r="A4994" s="20">
        <v>5003</v>
      </c>
      <c r="B4994" s="1069">
        <v>44558</v>
      </c>
      <c r="C4994" s="1006" t="s">
        <v>16945</v>
      </c>
      <c r="D4994" s="8" t="s">
        <v>6</v>
      </c>
      <c r="E4994" s="818" t="s">
        <v>166</v>
      </c>
      <c r="F4994" s="1006" t="s">
        <v>404</v>
      </c>
      <c r="G4994" s="818" t="s">
        <v>16946</v>
      </c>
      <c r="H4994" s="818" t="s">
        <v>16947</v>
      </c>
      <c r="I4994" s="222" t="s">
        <v>1893</v>
      </c>
      <c r="J4994" s="222" t="s">
        <v>16948</v>
      </c>
      <c r="K4994" s="222" t="s">
        <v>16948</v>
      </c>
      <c r="L4994" s="222" t="s">
        <v>1</v>
      </c>
      <c r="M4994" s="222">
        <v>1</v>
      </c>
      <c r="N4994" s="222">
        <v>1</v>
      </c>
      <c r="O4994" s="222">
        <v>1</v>
      </c>
      <c r="P4994" s="222">
        <v>0</v>
      </c>
      <c r="Q4994" s="222">
        <v>0</v>
      </c>
      <c r="R4994" s="1209">
        <v>83000</v>
      </c>
      <c r="S4994" s="1209">
        <v>91630</v>
      </c>
      <c r="T4994" s="222" t="s">
        <v>14752</v>
      </c>
      <c r="U4994" s="1527" t="s">
        <v>16949</v>
      </c>
      <c r="V4994" s="222" t="s">
        <v>7917</v>
      </c>
      <c r="W4994" s="2155" t="s">
        <v>16950</v>
      </c>
      <c r="X4994" s="818"/>
      <c r="Y4994" s="1161"/>
    </row>
    <row r="4995" spans="1:25" ht="15.75" hidden="1" customHeight="1">
      <c r="A4995" s="20">
        <v>5004</v>
      </c>
      <c r="B4995" s="1069">
        <v>44558</v>
      </c>
      <c r="C4995" s="1006" t="s">
        <v>16951</v>
      </c>
      <c r="D4995" s="11"/>
      <c r="E4995" s="818" t="s">
        <v>166</v>
      </c>
      <c r="F4995" s="1006" t="s">
        <v>2876</v>
      </c>
      <c r="G4995" s="1006" t="s">
        <v>16952</v>
      </c>
      <c r="H4995" s="818" t="s">
        <v>297</v>
      </c>
      <c r="I4995" s="222" t="s">
        <v>574</v>
      </c>
      <c r="J4995" s="222" t="s">
        <v>16953</v>
      </c>
      <c r="K4995" s="222" t="s">
        <v>299</v>
      </c>
      <c r="L4995" s="222" t="s">
        <v>7953</v>
      </c>
      <c r="M4995" s="222">
        <v>18</v>
      </c>
      <c r="N4995" s="222">
        <v>1</v>
      </c>
      <c r="O4995" s="222">
        <v>25</v>
      </c>
      <c r="P4995" s="222">
        <v>0</v>
      </c>
      <c r="Q4995" s="222">
        <v>25</v>
      </c>
      <c r="R4995" s="1209">
        <v>163.80000000000001</v>
      </c>
      <c r="S4995" s="1209">
        <f>O4995*R4995</f>
        <v>4095.0000000000005</v>
      </c>
      <c r="T4995" s="222" t="s">
        <v>16192</v>
      </c>
      <c r="U4995" s="1911" t="s">
        <v>16954</v>
      </c>
      <c r="V4995" s="207" t="s">
        <v>7917</v>
      </c>
      <c r="W4995" s="2155" t="s">
        <v>16955</v>
      </c>
      <c r="X4995" s="818"/>
      <c r="Y4995" s="1161"/>
    </row>
    <row r="4996" spans="1:25" ht="15.75" hidden="1" customHeight="1">
      <c r="A4996" s="20">
        <v>5005</v>
      </c>
      <c r="B4996" s="1069">
        <v>44558</v>
      </c>
      <c r="C4996" s="1006" t="s">
        <v>16956</v>
      </c>
      <c r="D4996" s="11"/>
      <c r="E4996" s="818" t="s">
        <v>166</v>
      </c>
      <c r="F4996" s="1006" t="s">
        <v>2876</v>
      </c>
      <c r="G4996" s="1006" t="s">
        <v>16957</v>
      </c>
      <c r="H4996" s="818" t="s">
        <v>1143</v>
      </c>
      <c r="I4996" s="222" t="s">
        <v>39</v>
      </c>
      <c r="J4996" s="222" t="s">
        <v>306</v>
      </c>
      <c r="K4996" s="222" t="s">
        <v>307</v>
      </c>
      <c r="L4996" s="222" t="s">
        <v>4179</v>
      </c>
      <c r="M4996" s="222">
        <v>36</v>
      </c>
      <c r="N4996" s="222">
        <v>10</v>
      </c>
      <c r="O4996" s="222">
        <v>50</v>
      </c>
      <c r="P4996" s="222">
        <v>0</v>
      </c>
      <c r="Q4996" s="222">
        <v>50</v>
      </c>
      <c r="R4996" s="1209">
        <v>53.9</v>
      </c>
      <c r="S4996" s="1209">
        <f>O4996*R4996</f>
        <v>2695</v>
      </c>
      <c r="T4996" s="222" t="s">
        <v>16958</v>
      </c>
      <c r="U4996" s="1911" t="s">
        <v>16954</v>
      </c>
      <c r="V4996" s="207" t="s">
        <v>7917</v>
      </c>
      <c r="W4996" s="2155" t="s">
        <v>16959</v>
      </c>
      <c r="X4996" s="818"/>
      <c r="Y4996" s="1161"/>
    </row>
    <row r="4997" spans="1:25" ht="15.75" hidden="1" customHeight="1">
      <c r="A4997" s="20">
        <v>5006</v>
      </c>
      <c r="B4997" s="1069">
        <v>44558</v>
      </c>
      <c r="C4997" s="1006" t="s">
        <v>16960</v>
      </c>
      <c r="D4997" s="11"/>
      <c r="E4997" s="818" t="s">
        <v>166</v>
      </c>
      <c r="F4997" s="1006" t="s">
        <v>2876</v>
      </c>
      <c r="G4997" s="1006" t="s">
        <v>16961</v>
      </c>
      <c r="H4997" s="818" t="s">
        <v>4540</v>
      </c>
      <c r="I4997" s="222" t="s">
        <v>574</v>
      </c>
      <c r="J4997" s="222" t="s">
        <v>16962</v>
      </c>
      <c r="K4997" s="222" t="s">
        <v>4542</v>
      </c>
      <c r="L4997" s="222" t="s">
        <v>4179</v>
      </c>
      <c r="M4997" s="222">
        <v>6</v>
      </c>
      <c r="N4997" s="222">
        <v>1</v>
      </c>
      <c r="O4997" s="222">
        <v>6</v>
      </c>
      <c r="P4997" s="222">
        <v>2</v>
      </c>
      <c r="Q4997" s="222">
        <v>8</v>
      </c>
      <c r="R4997" s="1209">
        <v>933</v>
      </c>
      <c r="S4997" s="1209">
        <f>O4997*R4997</f>
        <v>5598</v>
      </c>
      <c r="T4997" s="222" t="s">
        <v>16963</v>
      </c>
      <c r="U4997" s="1911" t="s">
        <v>7916</v>
      </c>
      <c r="V4997" s="207" t="s">
        <v>7917</v>
      </c>
      <c r="W4997" s="2155" t="s">
        <v>16964</v>
      </c>
      <c r="X4997" s="818"/>
      <c r="Y4997" s="1161"/>
    </row>
    <row r="4998" spans="1:25" ht="15.75" hidden="1" customHeight="1">
      <c r="A4998" s="20">
        <v>5007</v>
      </c>
      <c r="B4998" s="1069">
        <v>44558</v>
      </c>
      <c r="C4998" s="1006" t="s">
        <v>16965</v>
      </c>
      <c r="D4998" s="11"/>
      <c r="E4998" s="818" t="s">
        <v>166</v>
      </c>
      <c r="F4998" s="1006" t="s">
        <v>2876</v>
      </c>
      <c r="G4998" s="1006" t="s">
        <v>16966</v>
      </c>
      <c r="H4998" s="818" t="s">
        <v>1143</v>
      </c>
      <c r="I4998" s="222" t="s">
        <v>574</v>
      </c>
      <c r="J4998" s="222" t="s">
        <v>1145</v>
      </c>
      <c r="K4998" s="222">
        <v>502128100</v>
      </c>
      <c r="L4998" s="222" t="s">
        <v>4179</v>
      </c>
      <c r="M4998" s="222">
        <v>24</v>
      </c>
      <c r="N4998" s="222">
        <v>1</v>
      </c>
      <c r="O4998" s="222">
        <v>50</v>
      </c>
      <c r="P4998" s="222">
        <v>0</v>
      </c>
      <c r="Q4998" s="222">
        <v>50</v>
      </c>
      <c r="R4998" s="1209">
        <v>33</v>
      </c>
      <c r="S4998" s="1209">
        <f>O4998*Q4998</f>
        <v>2500</v>
      </c>
      <c r="T4998" s="222" t="s">
        <v>16192</v>
      </c>
      <c r="U4998" s="1911" t="s">
        <v>7916</v>
      </c>
      <c r="V4998" s="207" t="s">
        <v>7917</v>
      </c>
      <c r="W4998" s="2155" t="s">
        <v>16967</v>
      </c>
      <c r="X4998" s="818" t="s">
        <v>16968</v>
      </c>
      <c r="Y4998" s="1161"/>
    </row>
    <row r="4999" spans="1:25" ht="15.75" hidden="1" customHeight="1">
      <c r="A4999" s="20">
        <v>5008</v>
      </c>
      <c r="B4999" s="1069">
        <v>44558</v>
      </c>
      <c r="C4999" s="1006" t="s">
        <v>16969</v>
      </c>
      <c r="D4999" s="11"/>
      <c r="E4999" s="818" t="s">
        <v>166</v>
      </c>
      <c r="F4999" s="1006" t="s">
        <v>2876</v>
      </c>
      <c r="G4999" s="1006" t="s">
        <v>13993</v>
      </c>
      <c r="H4999" s="818" t="s">
        <v>839</v>
      </c>
      <c r="I4999" s="222" t="s">
        <v>574</v>
      </c>
      <c r="J4999" s="222" t="s">
        <v>13994</v>
      </c>
      <c r="K4999" s="222" t="s">
        <v>16970</v>
      </c>
      <c r="L4999" s="222" t="s">
        <v>16971</v>
      </c>
      <c r="M4999" s="222">
        <v>1</v>
      </c>
      <c r="N4999" s="222">
        <v>1</v>
      </c>
      <c r="O4999" s="222">
        <v>1</v>
      </c>
      <c r="P4999" s="222">
        <v>0</v>
      </c>
      <c r="Q4999" s="222">
        <v>1</v>
      </c>
      <c r="R4999" s="1209">
        <v>13778</v>
      </c>
      <c r="S4999" s="1209">
        <f>O4999*R4999</f>
        <v>13778</v>
      </c>
      <c r="T4999" s="222" t="s">
        <v>16192</v>
      </c>
      <c r="U4999" s="1911" t="s">
        <v>7916</v>
      </c>
      <c r="V4999" s="207" t="s">
        <v>7917</v>
      </c>
      <c r="W4999" s="2155" t="s">
        <v>16972</v>
      </c>
      <c r="X4999" s="818" t="s">
        <v>16968</v>
      </c>
      <c r="Y4999" s="1161"/>
    </row>
    <row r="5000" spans="1:25" ht="15.75" hidden="1" customHeight="1">
      <c r="A5000" s="20">
        <v>5009</v>
      </c>
      <c r="B5000" s="1069">
        <v>44558</v>
      </c>
      <c r="C5000" s="1006" t="s">
        <v>16973</v>
      </c>
      <c r="D5000" s="11"/>
      <c r="E5000" s="818" t="s">
        <v>166</v>
      </c>
      <c r="F5000" s="1006" t="s">
        <v>2876</v>
      </c>
      <c r="G5000" s="1006" t="s">
        <v>16974</v>
      </c>
      <c r="H5000" s="818" t="s">
        <v>220</v>
      </c>
      <c r="I5000" s="222" t="s">
        <v>574</v>
      </c>
      <c r="J5000" s="222"/>
      <c r="K5000" s="222" t="s">
        <v>16975</v>
      </c>
      <c r="L5000" s="222" t="s">
        <v>7953</v>
      </c>
      <c r="M5000" s="222">
        <v>60</v>
      </c>
      <c r="N5000" s="222">
        <v>1</v>
      </c>
      <c r="O5000" s="222">
        <v>100</v>
      </c>
      <c r="P5000" s="222">
        <v>0</v>
      </c>
      <c r="Q5000" s="222">
        <v>100</v>
      </c>
      <c r="R5000" s="1209">
        <v>3.91</v>
      </c>
      <c r="S5000" s="1209">
        <f>O5000*R5000</f>
        <v>391</v>
      </c>
      <c r="T5000" s="222" t="s">
        <v>16192</v>
      </c>
      <c r="U5000" s="1911" t="s">
        <v>7916</v>
      </c>
      <c r="V5000" s="207" t="s">
        <v>7917</v>
      </c>
      <c r="W5000" s="2155" t="s">
        <v>16976</v>
      </c>
      <c r="X5000" s="818" t="s">
        <v>16977</v>
      </c>
      <c r="Y5000" s="1161"/>
    </row>
    <row r="5001" spans="1:25" ht="15.75" hidden="1" customHeight="1">
      <c r="A5001" s="20">
        <v>5010</v>
      </c>
      <c r="B5001" s="1069">
        <v>44558</v>
      </c>
      <c r="C5001" s="1006" t="s">
        <v>16978</v>
      </c>
      <c r="D5001" s="11"/>
      <c r="E5001" s="818" t="s">
        <v>166</v>
      </c>
      <c r="F5001" s="1006" t="s">
        <v>2876</v>
      </c>
      <c r="G5001" s="924" t="s">
        <v>7925</v>
      </c>
      <c r="H5001" s="818" t="s">
        <v>3185</v>
      </c>
      <c r="I5001" s="222" t="s">
        <v>3185</v>
      </c>
      <c r="J5001" s="222"/>
      <c r="K5001" s="222" t="s">
        <v>7926</v>
      </c>
      <c r="L5001" s="207" t="s">
        <v>7915</v>
      </c>
      <c r="M5001" s="207">
        <v>3</v>
      </c>
      <c r="N5001" s="207">
        <v>1</v>
      </c>
      <c r="O5001" s="207">
        <v>3</v>
      </c>
      <c r="P5001" s="207">
        <v>1</v>
      </c>
      <c r="Q5001" s="207">
        <v>4</v>
      </c>
      <c r="R5001" s="1209">
        <v>9550</v>
      </c>
      <c r="S5001" s="1251">
        <f>O5001*R5001</f>
        <v>28650</v>
      </c>
      <c r="T5001" s="207" t="s">
        <v>12330</v>
      </c>
      <c r="U5001" s="1911" t="s">
        <v>7916</v>
      </c>
      <c r="V5001" s="207" t="s">
        <v>7917</v>
      </c>
      <c r="W5001" s="2093" t="s">
        <v>16979</v>
      </c>
      <c r="X5001" s="253" t="s">
        <v>7919</v>
      </c>
      <c r="Y5001" s="1161"/>
    </row>
    <row r="5002" spans="1:25" ht="15.75" hidden="1" customHeight="1">
      <c r="A5002" s="20">
        <v>5011</v>
      </c>
      <c r="B5002" s="1069">
        <v>44558</v>
      </c>
      <c r="C5002" s="1006" t="s">
        <v>16980</v>
      </c>
      <c r="D5002" s="11"/>
      <c r="E5002" s="818" t="s">
        <v>166</v>
      </c>
      <c r="F5002" s="1006" t="s">
        <v>2876</v>
      </c>
      <c r="G5002" s="1006" t="s">
        <v>16981</v>
      </c>
      <c r="H5002" s="818" t="s">
        <v>3185</v>
      </c>
      <c r="I5002" s="222" t="s">
        <v>16982</v>
      </c>
      <c r="J5002" s="222" t="s">
        <v>3186</v>
      </c>
      <c r="K5002" s="222" t="s">
        <v>3186</v>
      </c>
      <c r="L5002" s="111" t="s">
        <v>1</v>
      </c>
      <c r="M5002" s="111">
        <v>3</v>
      </c>
      <c r="N5002" s="111">
        <v>1</v>
      </c>
      <c r="O5002" s="111">
        <v>4</v>
      </c>
      <c r="P5002" s="111">
        <v>1</v>
      </c>
      <c r="Q5002" s="111">
        <v>4</v>
      </c>
      <c r="R5002" s="1209">
        <v>9360</v>
      </c>
      <c r="S5002" s="1225">
        <f>R5002*O5002</f>
        <v>37440</v>
      </c>
      <c r="T5002" s="26" t="s">
        <v>14752</v>
      </c>
      <c r="U5002" s="1911" t="s">
        <v>7916</v>
      </c>
      <c r="V5002" s="207" t="s">
        <v>7917</v>
      </c>
      <c r="W5002" s="2041" t="s">
        <v>3188</v>
      </c>
      <c r="X5002" s="818"/>
      <c r="Y5002" s="1161"/>
    </row>
    <row r="5003" spans="1:25" ht="15.75" hidden="1" customHeight="1">
      <c r="A5003" s="20">
        <v>5012</v>
      </c>
      <c r="B5003" s="1069">
        <v>44558</v>
      </c>
      <c r="C5003" s="1006" t="s">
        <v>16983</v>
      </c>
      <c r="D5003" s="11"/>
      <c r="E5003" s="818" t="s">
        <v>166</v>
      </c>
      <c r="F5003" s="1006" t="s">
        <v>16984</v>
      </c>
      <c r="G5003" s="1006" t="s">
        <v>16985</v>
      </c>
      <c r="H5003" s="818" t="s">
        <v>16986</v>
      </c>
      <c r="I5003" s="222" t="s">
        <v>574</v>
      </c>
      <c r="J5003" s="222" t="s">
        <v>16987</v>
      </c>
      <c r="K5003" s="222">
        <v>5013340000</v>
      </c>
      <c r="L5003" s="222" t="s">
        <v>7953</v>
      </c>
      <c r="M5003" s="222">
        <v>20</v>
      </c>
      <c r="N5003" s="222">
        <v>1</v>
      </c>
      <c r="O5003" s="222">
        <v>50</v>
      </c>
      <c r="P5003" s="222">
        <v>0</v>
      </c>
      <c r="Q5003" s="222">
        <v>50</v>
      </c>
      <c r="R5003" s="1209">
        <v>5.2</v>
      </c>
      <c r="S5003" s="1225">
        <f>O5003*R5003</f>
        <v>260</v>
      </c>
      <c r="T5003" s="26" t="s">
        <v>12330</v>
      </c>
      <c r="U5003" s="1527" t="s">
        <v>5794</v>
      </c>
      <c r="V5003" s="207" t="s">
        <v>7917</v>
      </c>
      <c r="W5003" s="2155" t="s">
        <v>16988</v>
      </c>
      <c r="X5003" s="818"/>
      <c r="Y5003" s="1161"/>
    </row>
    <row r="5004" spans="1:25" ht="15.75" hidden="1" customHeight="1">
      <c r="A5004" s="20">
        <v>5013</v>
      </c>
      <c r="B5004" s="1069">
        <v>44558</v>
      </c>
      <c r="C5004" s="1006" t="s">
        <v>16989</v>
      </c>
      <c r="D5004" s="10"/>
      <c r="E5004" s="818" t="s">
        <v>7498</v>
      </c>
      <c r="F5004" s="1006" t="s">
        <v>9454</v>
      </c>
      <c r="G5004" s="818" t="s">
        <v>16990</v>
      </c>
      <c r="H5004" s="818" t="s">
        <v>468</v>
      </c>
      <c r="I5004" s="222" t="s">
        <v>84</v>
      </c>
      <c r="J5004" s="222" t="s">
        <v>16991</v>
      </c>
      <c r="K5004" s="818" t="s">
        <v>16992</v>
      </c>
      <c r="L5004" s="222"/>
      <c r="M5004" s="222">
        <v>1</v>
      </c>
      <c r="N5004" s="222">
        <v>1</v>
      </c>
      <c r="O5004" s="222">
        <v>1</v>
      </c>
      <c r="P5004" s="222">
        <v>0</v>
      </c>
      <c r="Q5004" s="222">
        <v>0</v>
      </c>
      <c r="R5004" s="1195">
        <v>649</v>
      </c>
      <c r="S5004" s="1195">
        <v>649</v>
      </c>
      <c r="T5004" s="222" t="s">
        <v>3961</v>
      </c>
      <c r="U5004" s="1527" t="s">
        <v>5441</v>
      </c>
      <c r="V5004" s="222" t="s">
        <v>10982</v>
      </c>
      <c r="W5004" s="2155" t="s">
        <v>16993</v>
      </c>
      <c r="X5004" s="818"/>
      <c r="Y5004" s="1161"/>
    </row>
    <row r="5005" spans="1:25" ht="15.75" hidden="1" customHeight="1">
      <c r="A5005" s="20">
        <v>5014</v>
      </c>
      <c r="B5005" s="1069">
        <v>44558</v>
      </c>
      <c r="C5005" s="239" t="s">
        <v>16994</v>
      </c>
      <c r="D5005" s="11"/>
      <c r="E5005" s="818" t="s">
        <v>166</v>
      </c>
      <c r="F5005" s="1006" t="s">
        <v>2876</v>
      </c>
      <c r="G5005" s="818" t="s">
        <v>16995</v>
      </c>
      <c r="H5005" s="1401" t="s">
        <v>16996</v>
      </c>
      <c r="I5005" s="239" t="s">
        <v>6680</v>
      </c>
      <c r="J5005" s="222" t="s">
        <v>9536</v>
      </c>
      <c r="K5005" s="222" t="s">
        <v>9536</v>
      </c>
      <c r="L5005" s="239" t="s">
        <v>1606</v>
      </c>
      <c r="M5005" s="239">
        <v>20</v>
      </c>
      <c r="N5005" s="222">
        <v>1</v>
      </c>
      <c r="O5005" s="222">
        <v>20</v>
      </c>
      <c r="P5005" s="239">
        <v>6</v>
      </c>
      <c r="Q5005" s="239">
        <v>10</v>
      </c>
      <c r="R5005" s="1261">
        <v>20</v>
      </c>
      <c r="S5005" s="1195">
        <v>400</v>
      </c>
      <c r="T5005" s="26" t="s">
        <v>12330</v>
      </c>
      <c r="U5005" s="1527" t="s">
        <v>3637</v>
      </c>
      <c r="V5005" s="222" t="s">
        <v>7917</v>
      </c>
      <c r="W5005" s="2155" t="s">
        <v>16997</v>
      </c>
      <c r="X5005" s="818"/>
      <c r="Y5005" s="1161"/>
    </row>
    <row r="5006" spans="1:25" ht="15.75" hidden="1" customHeight="1">
      <c r="A5006" s="20">
        <v>5015</v>
      </c>
      <c r="B5006" s="1069">
        <v>44558</v>
      </c>
      <c r="C5006" s="1006" t="s">
        <v>16998</v>
      </c>
      <c r="D5006" s="11"/>
      <c r="E5006" s="818" t="s">
        <v>166</v>
      </c>
      <c r="F5006" s="1006" t="s">
        <v>2876</v>
      </c>
      <c r="G5006" s="818" t="s">
        <v>9545</v>
      </c>
      <c r="H5006" s="1401" t="s">
        <v>16996</v>
      </c>
      <c r="I5006" s="239" t="s">
        <v>6680</v>
      </c>
      <c r="J5006" s="222" t="s">
        <v>9546</v>
      </c>
      <c r="K5006" s="222" t="s">
        <v>9546</v>
      </c>
      <c r="L5006" s="222" t="s">
        <v>1606</v>
      </c>
      <c r="M5006" s="222">
        <v>20</v>
      </c>
      <c r="N5006" s="222">
        <v>1</v>
      </c>
      <c r="O5006" s="222">
        <v>20</v>
      </c>
      <c r="P5006" s="222">
        <v>6</v>
      </c>
      <c r="Q5006" s="222">
        <v>10</v>
      </c>
      <c r="R5006" s="1195">
        <v>10</v>
      </c>
      <c r="S5006" s="1195">
        <v>200</v>
      </c>
      <c r="T5006" s="26" t="s">
        <v>12330</v>
      </c>
      <c r="U5006" s="1527" t="s">
        <v>3637</v>
      </c>
      <c r="V5006" s="222" t="s">
        <v>7917</v>
      </c>
      <c r="W5006" s="2155" t="s">
        <v>16997</v>
      </c>
      <c r="X5006" s="818"/>
      <c r="Y5006" s="1161"/>
    </row>
    <row r="5007" spans="1:25" ht="15.75" hidden="1" customHeight="1">
      <c r="A5007" s="20">
        <v>5016</v>
      </c>
      <c r="B5007" s="1069">
        <v>44560</v>
      </c>
      <c r="C5007" s="1006" t="s">
        <v>16999</v>
      </c>
      <c r="D5007" s="8" t="s">
        <v>6</v>
      </c>
      <c r="E5007" s="818" t="s">
        <v>7498</v>
      </c>
      <c r="F5007" s="1006" t="s">
        <v>10966</v>
      </c>
      <c r="G5007" s="818" t="s">
        <v>17000</v>
      </c>
      <c r="H5007" s="818" t="s">
        <v>713</v>
      </c>
      <c r="I5007" s="222" t="s">
        <v>6651</v>
      </c>
      <c r="J5007" s="1192" t="s">
        <v>17001</v>
      </c>
      <c r="K5007" s="1192" t="s">
        <v>17002</v>
      </c>
      <c r="L5007" s="222" t="s">
        <v>1606</v>
      </c>
      <c r="M5007" s="222">
        <v>4</v>
      </c>
      <c r="N5007" s="222">
        <v>1</v>
      </c>
      <c r="O5007" s="222">
        <v>8</v>
      </c>
      <c r="P5007" s="222">
        <v>0</v>
      </c>
      <c r="Q5007" s="222">
        <v>8</v>
      </c>
      <c r="R5007" s="1209">
        <v>2301</v>
      </c>
      <c r="S5007" s="1225">
        <f>O5007*R5007</f>
        <v>18408</v>
      </c>
      <c r="T5007" s="222" t="s">
        <v>3961</v>
      </c>
      <c r="U5007" s="1527" t="s">
        <v>10970</v>
      </c>
      <c r="V5007" s="572" t="s">
        <v>352</v>
      </c>
      <c r="W5007" s="2155" t="s">
        <v>17003</v>
      </c>
      <c r="X5007" s="222" t="s">
        <v>5529</v>
      </c>
      <c r="Y5007" s="1161"/>
    </row>
    <row r="5008" spans="1:25" ht="15.75" hidden="1" customHeight="1">
      <c r="A5008" s="20">
        <v>5017</v>
      </c>
      <c r="B5008" s="1069">
        <v>44560</v>
      </c>
      <c r="C5008" s="175" t="s">
        <v>1268</v>
      </c>
      <c r="D5008" s="11" t="s">
        <v>6</v>
      </c>
      <c r="E5008" s="818" t="s">
        <v>7498</v>
      </c>
      <c r="F5008" s="1006" t="s">
        <v>11544</v>
      </c>
      <c r="G5008" s="818" t="s">
        <v>17004</v>
      </c>
      <c r="H5008" s="818" t="s">
        <v>166</v>
      </c>
      <c r="I5008" s="222" t="s">
        <v>16577</v>
      </c>
      <c r="J5008" s="222" t="s">
        <v>1267</v>
      </c>
      <c r="K5008" s="1006" t="s">
        <v>1268</v>
      </c>
      <c r="L5008" s="222"/>
      <c r="M5008" s="222">
        <v>12</v>
      </c>
      <c r="N5008" s="222">
        <v>1</v>
      </c>
      <c r="O5008" s="222">
        <v>12</v>
      </c>
      <c r="P5008" s="222">
        <v>1</v>
      </c>
      <c r="Q5008" s="222">
        <v>1</v>
      </c>
      <c r="R5008" s="1209">
        <v>1376</v>
      </c>
      <c r="S5008" s="1195">
        <f t="shared" ref="S5008:S5013" si="282">R5008*O5008</f>
        <v>16512</v>
      </c>
      <c r="T5008" s="222" t="s">
        <v>311</v>
      </c>
      <c r="U5008" s="1527" t="s">
        <v>311</v>
      </c>
      <c r="V5008" s="222" t="s">
        <v>352</v>
      </c>
      <c r="W5008" s="2155" t="s">
        <v>17005</v>
      </c>
      <c r="X5008" s="818"/>
      <c r="Y5008" s="1161"/>
    </row>
    <row r="5009" spans="1:25" ht="15.75" hidden="1" customHeight="1">
      <c r="A5009" s="20">
        <v>5018</v>
      </c>
      <c r="B5009" s="1069">
        <v>44560</v>
      </c>
      <c r="C5009" s="1006" t="s">
        <v>17006</v>
      </c>
      <c r="D5009" s="11" t="s">
        <v>6</v>
      </c>
      <c r="E5009" s="818" t="s">
        <v>7498</v>
      </c>
      <c r="F5009" s="1006" t="s">
        <v>11544</v>
      </c>
      <c r="G5009" s="818" t="s">
        <v>17007</v>
      </c>
      <c r="H5009" s="818" t="s">
        <v>243</v>
      </c>
      <c r="I5009" s="222" t="s">
        <v>39</v>
      </c>
      <c r="J5009" s="1193" t="s">
        <v>17008</v>
      </c>
      <c r="K5009" s="222" t="s">
        <v>17009</v>
      </c>
      <c r="L5009" s="222"/>
      <c r="M5009" s="222">
        <v>6</v>
      </c>
      <c r="N5009" s="222">
        <v>5</v>
      </c>
      <c r="O5009" s="222">
        <v>10</v>
      </c>
      <c r="P5009" s="222">
        <v>0</v>
      </c>
      <c r="Q5009" s="222">
        <v>4</v>
      </c>
      <c r="R5009" s="1209">
        <v>490.4</v>
      </c>
      <c r="S5009" s="1195">
        <f t="shared" si="282"/>
        <v>4904</v>
      </c>
      <c r="T5009" s="222" t="s">
        <v>311</v>
      </c>
      <c r="U5009" s="1527" t="s">
        <v>311</v>
      </c>
      <c r="V5009" s="222" t="s">
        <v>352</v>
      </c>
      <c r="W5009" s="2155" t="s">
        <v>17010</v>
      </c>
      <c r="X5009" s="818"/>
      <c r="Y5009" s="1161"/>
    </row>
    <row r="5010" spans="1:25" ht="15.75" hidden="1" customHeight="1">
      <c r="A5010" s="20">
        <v>5019</v>
      </c>
      <c r="B5010" s="1069">
        <v>44560</v>
      </c>
      <c r="C5010" s="1006" t="s">
        <v>8556</v>
      </c>
      <c r="D5010" s="11" t="s">
        <v>6</v>
      </c>
      <c r="E5010" s="818" t="s">
        <v>7498</v>
      </c>
      <c r="F5010" s="1006" t="s">
        <v>11544</v>
      </c>
      <c r="G5010" s="818" t="s">
        <v>17011</v>
      </c>
      <c r="H5010" s="818" t="s">
        <v>107</v>
      </c>
      <c r="I5010" s="222" t="s">
        <v>113</v>
      </c>
      <c r="J5010" s="222">
        <v>11333832</v>
      </c>
      <c r="K5010" s="222" t="s">
        <v>17012</v>
      </c>
      <c r="L5010" s="222"/>
      <c r="M5010" s="222">
        <v>3</v>
      </c>
      <c r="N5010" s="222">
        <v>1</v>
      </c>
      <c r="O5010" s="222">
        <v>3</v>
      </c>
      <c r="P5010" s="222">
        <v>0</v>
      </c>
      <c r="Q5010" s="222">
        <v>0</v>
      </c>
      <c r="R5010" s="1209">
        <v>329</v>
      </c>
      <c r="S5010" s="1195">
        <f t="shared" si="282"/>
        <v>987</v>
      </c>
      <c r="T5010" s="222" t="s">
        <v>311</v>
      </c>
      <c r="U5010" s="1527" t="s">
        <v>311</v>
      </c>
      <c r="V5010" s="222" t="s">
        <v>352</v>
      </c>
      <c r="W5010" s="2155" t="s">
        <v>17013</v>
      </c>
      <c r="X5010" s="818"/>
      <c r="Y5010" s="1161"/>
    </row>
    <row r="5011" spans="1:25" ht="15.75" hidden="1" customHeight="1">
      <c r="A5011" s="20">
        <v>5020</v>
      </c>
      <c r="B5011" s="1069">
        <v>44560</v>
      </c>
      <c r="C5011" s="1006" t="s">
        <v>10785</v>
      </c>
      <c r="D5011" s="11" t="s">
        <v>6</v>
      </c>
      <c r="E5011" s="818" t="s">
        <v>7498</v>
      </c>
      <c r="F5011" s="1006" t="s">
        <v>11544</v>
      </c>
      <c r="G5011" s="818" t="s">
        <v>17014</v>
      </c>
      <c r="H5011" s="818" t="s">
        <v>460</v>
      </c>
      <c r="I5011" s="222" t="s">
        <v>16577</v>
      </c>
      <c r="J5011" s="222" t="s">
        <v>17015</v>
      </c>
      <c r="K5011" s="222" t="s">
        <v>10785</v>
      </c>
      <c r="L5011" s="222"/>
      <c r="M5011" s="222">
        <v>3</v>
      </c>
      <c r="N5011" s="222">
        <v>1</v>
      </c>
      <c r="O5011" s="222">
        <v>3</v>
      </c>
      <c r="P5011" s="222">
        <v>0</v>
      </c>
      <c r="Q5011" s="222">
        <v>0</v>
      </c>
      <c r="R5011" s="1209">
        <v>2384</v>
      </c>
      <c r="S5011" s="1195">
        <f t="shared" si="282"/>
        <v>7152</v>
      </c>
      <c r="T5011" s="222" t="s">
        <v>311</v>
      </c>
      <c r="U5011" s="1527" t="s">
        <v>311</v>
      </c>
      <c r="V5011" s="222" t="s">
        <v>352</v>
      </c>
      <c r="W5011" s="2155" t="s">
        <v>17016</v>
      </c>
      <c r="X5011" s="818"/>
      <c r="Y5011" s="1161"/>
    </row>
    <row r="5012" spans="1:25" ht="15.75" hidden="1" customHeight="1">
      <c r="A5012" s="20">
        <v>5021</v>
      </c>
      <c r="B5012" s="1069">
        <v>44560</v>
      </c>
      <c r="C5012" s="1006" t="s">
        <v>17017</v>
      </c>
      <c r="D5012" s="11" t="s">
        <v>6</v>
      </c>
      <c r="E5012" s="818" t="s">
        <v>7498</v>
      </c>
      <c r="F5012" s="1006" t="s">
        <v>11544</v>
      </c>
      <c r="G5012" s="818" t="s">
        <v>17018</v>
      </c>
      <c r="H5012" s="818"/>
      <c r="I5012" s="222" t="s">
        <v>39</v>
      </c>
      <c r="J5012" s="222" t="s">
        <v>14347</v>
      </c>
      <c r="K5012" s="222" t="s">
        <v>14348</v>
      </c>
      <c r="L5012" s="222"/>
      <c r="M5012" s="222">
        <v>3</v>
      </c>
      <c r="N5012" s="222">
        <v>1</v>
      </c>
      <c r="O5012" s="222">
        <v>3</v>
      </c>
      <c r="P5012" s="222">
        <v>0</v>
      </c>
      <c r="Q5012" s="222">
        <v>0</v>
      </c>
      <c r="R5012" s="1209">
        <v>316</v>
      </c>
      <c r="S5012" s="1195">
        <f t="shared" si="282"/>
        <v>948</v>
      </c>
      <c r="T5012" s="222" t="s">
        <v>311</v>
      </c>
      <c r="U5012" s="1527" t="s">
        <v>311</v>
      </c>
      <c r="V5012" s="222" t="s">
        <v>352</v>
      </c>
      <c r="W5012" s="2155" t="s">
        <v>14349</v>
      </c>
      <c r="X5012" s="818"/>
      <c r="Y5012" s="1161"/>
    </row>
    <row r="5013" spans="1:25" ht="15.75" hidden="1" customHeight="1">
      <c r="A5013" s="20">
        <v>5022</v>
      </c>
      <c r="B5013" s="1069">
        <v>44560</v>
      </c>
      <c r="C5013" s="1006" t="s">
        <v>12878</v>
      </c>
      <c r="D5013" s="11" t="s">
        <v>6</v>
      </c>
      <c r="E5013" s="818" t="s">
        <v>7498</v>
      </c>
      <c r="F5013" s="1006" t="s">
        <v>11544</v>
      </c>
      <c r="G5013" s="818" t="s">
        <v>17019</v>
      </c>
      <c r="H5013" s="818" t="s">
        <v>460</v>
      </c>
      <c r="I5013" s="222" t="s">
        <v>574</v>
      </c>
      <c r="J5013" s="222" t="s">
        <v>17020</v>
      </c>
      <c r="K5013" s="222" t="s">
        <v>17021</v>
      </c>
      <c r="L5013" s="222"/>
      <c r="M5013" s="222">
        <v>3</v>
      </c>
      <c r="N5013" s="222">
        <v>1</v>
      </c>
      <c r="O5013" s="222">
        <v>3</v>
      </c>
      <c r="P5013" s="222">
        <v>0</v>
      </c>
      <c r="Q5013" s="222">
        <v>0</v>
      </c>
      <c r="R5013" s="1209">
        <v>525</v>
      </c>
      <c r="S5013" s="1195">
        <f t="shared" si="282"/>
        <v>1575</v>
      </c>
      <c r="T5013" s="222" t="s">
        <v>311</v>
      </c>
      <c r="U5013" s="1527" t="s">
        <v>311</v>
      </c>
      <c r="V5013" s="222" t="s">
        <v>352</v>
      </c>
      <c r="W5013" s="2155" t="s">
        <v>17022</v>
      </c>
      <c r="X5013" s="818"/>
      <c r="Y5013" s="1161"/>
    </row>
    <row r="5014" spans="1:25" ht="15.75" hidden="1" customHeight="1">
      <c r="A5014" s="20">
        <v>5023</v>
      </c>
      <c r="B5014" s="1069">
        <v>44560</v>
      </c>
      <c r="C5014" s="1006" t="s">
        <v>17023</v>
      </c>
      <c r="D5014" s="11" t="s">
        <v>6</v>
      </c>
      <c r="E5014" s="818" t="s">
        <v>7498</v>
      </c>
      <c r="F5014" s="1006" t="s">
        <v>11544</v>
      </c>
      <c r="G5014" s="818" t="s">
        <v>17024</v>
      </c>
      <c r="H5014" s="818" t="s">
        <v>460</v>
      </c>
      <c r="I5014" s="222" t="s">
        <v>39</v>
      </c>
      <c r="J5014" s="222" t="s">
        <v>14343</v>
      </c>
      <c r="K5014" s="1006" t="s">
        <v>14344</v>
      </c>
      <c r="L5014" s="222"/>
      <c r="M5014" s="222">
        <v>3</v>
      </c>
      <c r="N5014" s="222">
        <v>1</v>
      </c>
      <c r="O5014" s="222">
        <v>5</v>
      </c>
      <c r="P5014" s="222">
        <v>0</v>
      </c>
      <c r="Q5014" s="222">
        <v>2</v>
      </c>
      <c r="R5014" s="1209">
        <v>197</v>
      </c>
      <c r="S5014" s="1195">
        <f t="shared" ref="S5014:S5020" si="283">R5014*O5014</f>
        <v>985</v>
      </c>
      <c r="T5014" s="222" t="s">
        <v>311</v>
      </c>
      <c r="U5014" s="1527" t="s">
        <v>311</v>
      </c>
      <c r="V5014" s="222" t="s">
        <v>352</v>
      </c>
      <c r="W5014" s="2155" t="s">
        <v>14345</v>
      </c>
      <c r="X5014" s="818"/>
      <c r="Y5014" s="1161"/>
    </row>
    <row r="5015" spans="1:25" ht="15.75" hidden="1" customHeight="1">
      <c r="A5015" s="20">
        <v>5024</v>
      </c>
      <c r="B5015" s="1069">
        <v>44560</v>
      </c>
      <c r="C5015" s="1006" t="s">
        <v>17025</v>
      </c>
      <c r="D5015" s="11" t="s">
        <v>6</v>
      </c>
      <c r="E5015" s="818" t="s">
        <v>7498</v>
      </c>
      <c r="F5015" s="1006" t="s">
        <v>11544</v>
      </c>
      <c r="G5015" s="818" t="s">
        <v>17026</v>
      </c>
      <c r="H5015" s="818" t="s">
        <v>243</v>
      </c>
      <c r="I5015" s="222" t="s">
        <v>39</v>
      </c>
      <c r="J5015" s="222" t="s">
        <v>17027</v>
      </c>
      <c r="K5015" s="222" t="s">
        <v>17028</v>
      </c>
      <c r="L5015" s="222"/>
      <c r="M5015" s="222">
        <v>3</v>
      </c>
      <c r="N5015" s="222">
        <v>2</v>
      </c>
      <c r="O5015" s="222">
        <v>4</v>
      </c>
      <c r="P5015" s="222">
        <v>0</v>
      </c>
      <c r="Q5015" s="222">
        <v>1</v>
      </c>
      <c r="R5015" s="1209">
        <v>420.5</v>
      </c>
      <c r="S5015" s="1195">
        <f t="shared" si="283"/>
        <v>1682</v>
      </c>
      <c r="T5015" s="222" t="s">
        <v>311</v>
      </c>
      <c r="U5015" s="1527" t="s">
        <v>311</v>
      </c>
      <c r="V5015" s="222" t="s">
        <v>352</v>
      </c>
      <c r="W5015" s="2155" t="s">
        <v>17029</v>
      </c>
      <c r="X5015" s="818"/>
      <c r="Y5015" s="1161"/>
    </row>
    <row r="5016" spans="1:25" ht="15.75" hidden="1" customHeight="1">
      <c r="A5016" s="20">
        <v>5025</v>
      </c>
      <c r="B5016" s="1069">
        <v>44560</v>
      </c>
      <c r="C5016" s="1006" t="s">
        <v>17030</v>
      </c>
      <c r="D5016" s="11" t="s">
        <v>6</v>
      </c>
      <c r="E5016" s="818" t="s">
        <v>7498</v>
      </c>
      <c r="F5016" s="1006" t="s">
        <v>11544</v>
      </c>
      <c r="G5016" s="818" t="s">
        <v>17031</v>
      </c>
      <c r="H5016" s="818" t="s">
        <v>243</v>
      </c>
      <c r="I5016" s="222" t="s">
        <v>39</v>
      </c>
      <c r="J5016" s="222" t="s">
        <v>17032</v>
      </c>
      <c r="K5016" s="1006" t="s">
        <v>13201</v>
      </c>
      <c r="L5016" s="222"/>
      <c r="M5016" s="222">
        <v>3</v>
      </c>
      <c r="N5016" s="222">
        <v>1</v>
      </c>
      <c r="O5016" s="222">
        <v>5</v>
      </c>
      <c r="P5016" s="222">
        <v>0</v>
      </c>
      <c r="Q5016" s="222">
        <v>2</v>
      </c>
      <c r="R5016" s="1209">
        <v>752</v>
      </c>
      <c r="S5016" s="1195">
        <f t="shared" si="283"/>
        <v>3760</v>
      </c>
      <c r="T5016" s="222" t="s">
        <v>311</v>
      </c>
      <c r="U5016" s="1527" t="s">
        <v>311</v>
      </c>
      <c r="V5016" s="222" t="s">
        <v>352</v>
      </c>
      <c r="W5016" s="2155" t="s">
        <v>17033</v>
      </c>
      <c r="X5016" s="818"/>
      <c r="Y5016" s="1161"/>
    </row>
    <row r="5017" spans="1:25" ht="15.75" hidden="1" customHeight="1">
      <c r="A5017" s="20">
        <v>5026</v>
      </c>
      <c r="B5017" s="1069">
        <v>44560</v>
      </c>
      <c r="C5017" s="1006" t="s">
        <v>9586</v>
      </c>
      <c r="D5017" s="11" t="s">
        <v>6</v>
      </c>
      <c r="E5017" s="818" t="s">
        <v>7498</v>
      </c>
      <c r="F5017" s="1006" t="s">
        <v>11544</v>
      </c>
      <c r="G5017" s="818" t="s">
        <v>17034</v>
      </c>
      <c r="H5017" s="818" t="s">
        <v>9584</v>
      </c>
      <c r="I5017" s="222" t="s">
        <v>39</v>
      </c>
      <c r="J5017" s="222" t="s">
        <v>16564</v>
      </c>
      <c r="K5017" s="222" t="s">
        <v>9586</v>
      </c>
      <c r="L5017" s="222"/>
      <c r="M5017" s="222">
        <v>3</v>
      </c>
      <c r="N5017" s="222">
        <v>1</v>
      </c>
      <c r="O5017" s="222">
        <v>3</v>
      </c>
      <c r="P5017" s="222">
        <v>0</v>
      </c>
      <c r="Q5017" s="222">
        <v>0</v>
      </c>
      <c r="R5017" s="1209">
        <v>11153</v>
      </c>
      <c r="S5017" s="1195">
        <f t="shared" si="283"/>
        <v>33459</v>
      </c>
      <c r="T5017" s="222" t="s">
        <v>311</v>
      </c>
      <c r="U5017" s="1527" t="s">
        <v>311</v>
      </c>
      <c r="V5017" s="222" t="s">
        <v>352</v>
      </c>
      <c r="W5017" s="2155" t="s">
        <v>17035</v>
      </c>
      <c r="X5017" s="818"/>
      <c r="Y5017" s="1161"/>
    </row>
    <row r="5018" spans="1:25" ht="15.75" hidden="1" customHeight="1">
      <c r="A5018" s="20">
        <v>5027</v>
      </c>
      <c r="B5018" s="1069">
        <v>44560</v>
      </c>
      <c r="C5018" s="1006" t="s">
        <v>16585</v>
      </c>
      <c r="D5018" s="11" t="s">
        <v>6</v>
      </c>
      <c r="E5018" s="818" t="s">
        <v>7498</v>
      </c>
      <c r="F5018" s="1006" t="s">
        <v>11544</v>
      </c>
      <c r="G5018" s="818" t="s">
        <v>17036</v>
      </c>
      <c r="H5018" s="818" t="s">
        <v>154</v>
      </c>
      <c r="I5018" s="222" t="s">
        <v>39</v>
      </c>
      <c r="J5018" s="222" t="s">
        <v>17037</v>
      </c>
      <c r="K5018" s="818" t="s">
        <v>16588</v>
      </c>
      <c r="L5018" s="222"/>
      <c r="M5018" s="222">
        <v>6</v>
      </c>
      <c r="N5018" s="222">
        <v>25</v>
      </c>
      <c r="O5018" s="222">
        <v>25</v>
      </c>
      <c r="P5018" s="222">
        <v>0</v>
      </c>
      <c r="Q5018" s="222">
        <v>19</v>
      </c>
      <c r="R5018" s="1209">
        <v>52</v>
      </c>
      <c r="S5018" s="1195">
        <f t="shared" si="283"/>
        <v>1300</v>
      </c>
      <c r="T5018" s="222" t="s">
        <v>311</v>
      </c>
      <c r="U5018" s="1527" t="s">
        <v>311</v>
      </c>
      <c r="V5018" s="222" t="s">
        <v>352</v>
      </c>
      <c r="W5018" s="2155" t="s">
        <v>12176</v>
      </c>
      <c r="X5018" s="818"/>
      <c r="Y5018" s="1161"/>
    </row>
    <row r="5019" spans="1:25" ht="15.75" hidden="1" customHeight="1">
      <c r="A5019" s="20">
        <v>5028</v>
      </c>
      <c r="B5019" s="1069">
        <v>44560</v>
      </c>
      <c r="C5019" s="1006" t="s">
        <v>3007</v>
      </c>
      <c r="D5019" s="11" t="s">
        <v>6</v>
      </c>
      <c r="E5019" s="818" t="s">
        <v>7498</v>
      </c>
      <c r="F5019" s="1006" t="s">
        <v>11544</v>
      </c>
      <c r="G5019" s="818" t="s">
        <v>17038</v>
      </c>
      <c r="H5019" s="818" t="s">
        <v>1260</v>
      </c>
      <c r="I5019" s="222" t="s">
        <v>574</v>
      </c>
      <c r="J5019" s="222" t="s">
        <v>3006</v>
      </c>
      <c r="K5019" s="818" t="s">
        <v>3007</v>
      </c>
      <c r="L5019" s="222"/>
      <c r="M5019" s="222">
        <v>3</v>
      </c>
      <c r="N5019" s="222">
        <v>1</v>
      </c>
      <c r="O5019" s="222">
        <v>3</v>
      </c>
      <c r="P5019" s="222">
        <v>0</v>
      </c>
      <c r="Q5019" s="222">
        <v>0</v>
      </c>
      <c r="R5019" s="1209">
        <v>1767</v>
      </c>
      <c r="S5019" s="1195">
        <f t="shared" si="283"/>
        <v>5301</v>
      </c>
      <c r="T5019" s="222" t="s">
        <v>311</v>
      </c>
      <c r="U5019" s="1527" t="s">
        <v>311</v>
      </c>
      <c r="V5019" s="222" t="s">
        <v>352</v>
      </c>
      <c r="W5019" s="2155" t="s">
        <v>12176</v>
      </c>
      <c r="X5019" s="818"/>
      <c r="Y5019" s="1161"/>
    </row>
    <row r="5020" spans="1:25" ht="15.75" hidden="1" customHeight="1">
      <c r="A5020" s="20">
        <v>5029</v>
      </c>
      <c r="B5020" s="1069">
        <v>44560</v>
      </c>
      <c r="C5020" s="1006" t="s">
        <v>17039</v>
      </c>
      <c r="D5020" s="11" t="s">
        <v>6</v>
      </c>
      <c r="E5020" s="818" t="s">
        <v>7498</v>
      </c>
      <c r="F5020" s="1006" t="s">
        <v>11544</v>
      </c>
      <c r="G5020" s="818" t="s">
        <v>17040</v>
      </c>
      <c r="H5020" s="818" t="s">
        <v>460</v>
      </c>
      <c r="I5020" s="222" t="s">
        <v>574</v>
      </c>
      <c r="J5020" s="222" t="s">
        <v>17041</v>
      </c>
      <c r="K5020" s="818" t="s">
        <v>17039</v>
      </c>
      <c r="L5020" s="222"/>
      <c r="M5020" s="222">
        <v>5</v>
      </c>
      <c r="N5020" s="222">
        <v>1</v>
      </c>
      <c r="O5020" s="222">
        <v>5</v>
      </c>
      <c r="P5020" s="222">
        <v>0</v>
      </c>
      <c r="Q5020" s="222">
        <v>0</v>
      </c>
      <c r="R5020" s="1209">
        <v>1498</v>
      </c>
      <c r="S5020" s="1195">
        <f t="shared" si="283"/>
        <v>7490</v>
      </c>
      <c r="T5020" s="222" t="s">
        <v>311</v>
      </c>
      <c r="U5020" s="1527" t="s">
        <v>311</v>
      </c>
      <c r="V5020" s="222" t="s">
        <v>352</v>
      </c>
      <c r="W5020" s="2155" t="s">
        <v>17042</v>
      </c>
      <c r="X5020" s="818"/>
      <c r="Y5020" s="1161"/>
    </row>
    <row r="5021" spans="1:25" ht="15.75" hidden="1" customHeight="1">
      <c r="A5021" s="20">
        <v>5030</v>
      </c>
      <c r="B5021" s="1069">
        <v>44560</v>
      </c>
      <c r="C5021" s="1006" t="s">
        <v>17043</v>
      </c>
      <c r="D5021" s="10"/>
      <c r="E5021" s="818" t="s">
        <v>7498</v>
      </c>
      <c r="F5021" s="1006" t="s">
        <v>9454</v>
      </c>
      <c r="G5021" s="1006" t="s">
        <v>17043</v>
      </c>
      <c r="H5021" s="818" t="s">
        <v>4110</v>
      </c>
      <c r="I5021" s="222" t="s">
        <v>84</v>
      </c>
      <c r="J5021" s="222">
        <v>21006116</v>
      </c>
      <c r="K5021" s="818" t="s">
        <v>17044</v>
      </c>
      <c r="L5021" s="222"/>
      <c r="M5021" s="222">
        <v>2</v>
      </c>
      <c r="N5021" s="222">
        <v>1</v>
      </c>
      <c r="O5021" s="222">
        <v>2</v>
      </c>
      <c r="P5021" s="222">
        <v>0</v>
      </c>
      <c r="Q5021" s="222">
        <v>1</v>
      </c>
      <c r="R5021" s="1195">
        <v>2190</v>
      </c>
      <c r="S5021" s="1195">
        <f t="shared" ref="S5021:S5026" si="284">R5021*O5021</f>
        <v>4380</v>
      </c>
      <c r="T5021" s="222" t="s">
        <v>3961</v>
      </c>
      <c r="U5021" s="1527" t="s">
        <v>5441</v>
      </c>
      <c r="V5021" s="222" t="s">
        <v>3342</v>
      </c>
      <c r="W5021" s="2155" t="s">
        <v>17045</v>
      </c>
      <c r="X5021" s="818"/>
      <c r="Y5021" s="1161"/>
    </row>
    <row r="5022" spans="1:25" ht="15.75" hidden="1" customHeight="1">
      <c r="A5022" s="20">
        <v>5031</v>
      </c>
      <c r="B5022" s="1069">
        <v>44560</v>
      </c>
      <c r="C5022" s="1006" t="s">
        <v>17046</v>
      </c>
      <c r="D5022" s="10"/>
      <c r="E5022" s="818" t="s">
        <v>7498</v>
      </c>
      <c r="F5022" s="1006" t="s">
        <v>9454</v>
      </c>
      <c r="G5022" s="1006" t="s">
        <v>17046</v>
      </c>
      <c r="H5022" s="818" t="s">
        <v>4110</v>
      </c>
      <c r="I5022" s="222" t="s">
        <v>84</v>
      </c>
      <c r="J5022" s="222">
        <v>21006213</v>
      </c>
      <c r="K5022" s="818" t="s">
        <v>17047</v>
      </c>
      <c r="L5022" s="222"/>
      <c r="M5022" s="222">
        <v>2</v>
      </c>
      <c r="N5022" s="222">
        <v>1</v>
      </c>
      <c r="O5022" s="222">
        <v>2</v>
      </c>
      <c r="P5022" s="222">
        <v>1</v>
      </c>
      <c r="Q5022" s="222">
        <v>2</v>
      </c>
      <c r="R5022" s="1195">
        <v>2890</v>
      </c>
      <c r="S5022" s="1195">
        <f t="shared" si="284"/>
        <v>5780</v>
      </c>
      <c r="T5022" s="222" t="s">
        <v>3961</v>
      </c>
      <c r="U5022" s="1527" t="s">
        <v>5441</v>
      </c>
      <c r="V5022" s="222" t="s">
        <v>3342</v>
      </c>
      <c r="W5022" s="2155" t="s">
        <v>17045</v>
      </c>
      <c r="X5022" s="818"/>
      <c r="Y5022" s="1161"/>
    </row>
    <row r="5023" spans="1:25" ht="15.75" hidden="1" customHeight="1">
      <c r="A5023" s="20">
        <v>5032</v>
      </c>
      <c r="B5023" s="1069">
        <v>44560</v>
      </c>
      <c r="C5023" s="1006" t="s">
        <v>17048</v>
      </c>
      <c r="D5023" s="10"/>
      <c r="E5023" s="818" t="s">
        <v>7498</v>
      </c>
      <c r="F5023" s="1006" t="s">
        <v>9454</v>
      </c>
      <c r="G5023" s="1006" t="s">
        <v>17048</v>
      </c>
      <c r="H5023" s="818" t="s">
        <v>17049</v>
      </c>
      <c r="I5023" s="222" t="s">
        <v>84</v>
      </c>
      <c r="J5023" s="222" t="s">
        <v>17050</v>
      </c>
      <c r="K5023" s="818" t="s">
        <v>17051</v>
      </c>
      <c r="L5023" s="222"/>
      <c r="M5023" s="222">
        <v>6</v>
      </c>
      <c r="N5023" s="222">
        <v>1</v>
      </c>
      <c r="O5023" s="222">
        <v>4</v>
      </c>
      <c r="P5023" s="222">
        <v>2</v>
      </c>
      <c r="Q5023" s="222">
        <v>6</v>
      </c>
      <c r="R5023" s="1195">
        <v>12900</v>
      </c>
      <c r="S5023" s="1195">
        <f t="shared" si="284"/>
        <v>51600</v>
      </c>
      <c r="T5023" s="222" t="s">
        <v>3961</v>
      </c>
      <c r="U5023" s="1527" t="s">
        <v>5441</v>
      </c>
      <c r="V5023" s="222" t="s">
        <v>3342</v>
      </c>
      <c r="W5023" s="2155" t="s">
        <v>17052</v>
      </c>
      <c r="X5023" s="818"/>
      <c r="Y5023" s="1161"/>
    </row>
    <row r="5024" spans="1:25" ht="15.75" hidden="1" customHeight="1">
      <c r="A5024" s="20">
        <v>5033</v>
      </c>
      <c r="B5024" s="1069">
        <v>44560</v>
      </c>
      <c r="C5024" s="1006" t="s">
        <v>17053</v>
      </c>
      <c r="D5024" s="10"/>
      <c r="E5024" s="818" t="s">
        <v>7498</v>
      </c>
      <c r="F5024" s="1006" t="s">
        <v>9454</v>
      </c>
      <c r="G5024" s="1006" t="s">
        <v>17053</v>
      </c>
      <c r="H5024" s="818" t="s">
        <v>9498</v>
      </c>
      <c r="I5024" s="222" t="s">
        <v>84</v>
      </c>
      <c r="J5024" s="222">
        <v>2469223</v>
      </c>
      <c r="K5024" s="818"/>
      <c r="L5024" s="222"/>
      <c r="M5024" s="222">
        <v>3</v>
      </c>
      <c r="N5024" s="222">
        <v>1</v>
      </c>
      <c r="O5024" s="222">
        <v>2</v>
      </c>
      <c r="P5024" s="222">
        <v>1</v>
      </c>
      <c r="Q5024" s="222">
        <v>3</v>
      </c>
      <c r="R5024" s="1195">
        <v>1590</v>
      </c>
      <c r="S5024" s="1195">
        <f t="shared" si="284"/>
        <v>3180</v>
      </c>
      <c r="T5024" s="222" t="s">
        <v>3961</v>
      </c>
      <c r="U5024" s="1527" t="s">
        <v>5441</v>
      </c>
      <c r="V5024" s="222" t="s">
        <v>3342</v>
      </c>
      <c r="W5024" s="2155" t="s">
        <v>17054</v>
      </c>
      <c r="X5024" s="818"/>
      <c r="Y5024" s="1161"/>
    </row>
    <row r="5025" spans="1:25" ht="15.75" hidden="1" customHeight="1">
      <c r="A5025" s="20">
        <v>5034</v>
      </c>
      <c r="B5025" s="1069">
        <v>44560</v>
      </c>
      <c r="C5025" s="1006" t="s">
        <v>17055</v>
      </c>
      <c r="D5025" s="10"/>
      <c r="E5025" s="818" t="s">
        <v>7498</v>
      </c>
      <c r="F5025" s="1006" t="s">
        <v>9454</v>
      </c>
      <c r="G5025" s="1006" t="s">
        <v>17055</v>
      </c>
      <c r="H5025" s="818" t="s">
        <v>9498</v>
      </c>
      <c r="I5025" s="222" t="s">
        <v>84</v>
      </c>
      <c r="J5025" s="222">
        <v>2469232</v>
      </c>
      <c r="K5025" s="818"/>
      <c r="L5025" s="222"/>
      <c r="M5025" s="222">
        <v>3</v>
      </c>
      <c r="N5025" s="222">
        <v>1</v>
      </c>
      <c r="O5025" s="222">
        <v>2</v>
      </c>
      <c r="P5025" s="222">
        <v>1</v>
      </c>
      <c r="Q5025" s="222">
        <v>3</v>
      </c>
      <c r="R5025" s="1195">
        <v>1590</v>
      </c>
      <c r="S5025" s="1195">
        <f t="shared" si="284"/>
        <v>3180</v>
      </c>
      <c r="T5025" s="222" t="s">
        <v>3961</v>
      </c>
      <c r="U5025" s="1527" t="s">
        <v>5441</v>
      </c>
      <c r="V5025" s="222" t="s">
        <v>3342</v>
      </c>
      <c r="W5025" s="2155" t="s">
        <v>17054</v>
      </c>
      <c r="X5025" s="818"/>
      <c r="Y5025" s="1161"/>
    </row>
    <row r="5026" spans="1:25" ht="15.75" hidden="1" customHeight="1">
      <c r="A5026" s="20">
        <v>5035</v>
      </c>
      <c r="B5026" s="1069">
        <v>44560</v>
      </c>
      <c r="C5026" s="940" t="s">
        <v>16209</v>
      </c>
      <c r="D5026" s="10"/>
      <c r="E5026" s="818" t="s">
        <v>7498</v>
      </c>
      <c r="F5026" s="940" t="s">
        <v>9454</v>
      </c>
      <c r="G5026" s="239" t="s">
        <v>16210</v>
      </c>
      <c r="H5026" s="222" t="s">
        <v>84</v>
      </c>
      <c r="I5026" s="222" t="s">
        <v>84</v>
      </c>
      <c r="J5026" s="239">
        <v>9217266</v>
      </c>
      <c r="K5026" s="239"/>
      <c r="L5026" s="239"/>
      <c r="M5026" s="239">
        <v>9</v>
      </c>
      <c r="N5026" s="239">
        <v>1</v>
      </c>
      <c r="O5026" s="239">
        <v>4</v>
      </c>
      <c r="P5026" s="239">
        <v>5</v>
      </c>
      <c r="Q5026" s="572">
        <v>9</v>
      </c>
      <c r="R5026" s="1209">
        <v>359</v>
      </c>
      <c r="S5026" s="1209">
        <f t="shared" si="284"/>
        <v>1436</v>
      </c>
      <c r="T5026" s="239" t="s">
        <v>16203</v>
      </c>
      <c r="U5026" s="1901" t="s">
        <v>301</v>
      </c>
      <c r="V5026" s="572" t="s">
        <v>801</v>
      </c>
      <c r="W5026" s="1184" t="s">
        <v>16211</v>
      </c>
      <c r="X5026" s="18"/>
      <c r="Y5026" s="1161"/>
    </row>
    <row r="5027" spans="1:25" ht="15.75" hidden="1" customHeight="1">
      <c r="A5027" s="20">
        <v>5036</v>
      </c>
      <c r="B5027" s="1069">
        <v>44560</v>
      </c>
      <c r="C5027" s="1006" t="s">
        <v>17056</v>
      </c>
      <c r="D5027" s="10"/>
      <c r="E5027" s="818" t="s">
        <v>7498</v>
      </c>
      <c r="F5027" s="1006" t="s">
        <v>9454</v>
      </c>
      <c r="G5027" s="1006" t="s">
        <v>17056</v>
      </c>
      <c r="H5027" s="818" t="s">
        <v>9498</v>
      </c>
      <c r="I5027" s="222" t="s">
        <v>84</v>
      </c>
      <c r="J5027" s="222" t="s">
        <v>17057</v>
      </c>
      <c r="K5027" s="818" t="s">
        <v>17058</v>
      </c>
      <c r="L5027" s="222"/>
      <c r="M5027" s="222">
        <v>1</v>
      </c>
      <c r="N5027" s="222">
        <v>1</v>
      </c>
      <c r="O5027" s="222">
        <v>1</v>
      </c>
      <c r="P5027" s="222">
        <v>0</v>
      </c>
      <c r="Q5027" s="222">
        <v>1</v>
      </c>
      <c r="R5027" s="1195">
        <v>12900</v>
      </c>
      <c r="S5027" s="1195">
        <v>12900</v>
      </c>
      <c r="T5027" s="222" t="s">
        <v>3961</v>
      </c>
      <c r="U5027" s="1527" t="s">
        <v>5441</v>
      </c>
      <c r="V5027" s="222" t="s">
        <v>3342</v>
      </c>
      <c r="W5027" s="2155" t="s">
        <v>17052</v>
      </c>
      <c r="X5027" s="818"/>
      <c r="Y5027" s="1161"/>
    </row>
    <row r="5028" spans="1:25" ht="15.75" hidden="1" customHeight="1">
      <c r="A5028" s="20">
        <v>5037</v>
      </c>
      <c r="B5028" s="1069">
        <v>44565</v>
      </c>
      <c r="C5028" s="1032" t="s">
        <v>16062</v>
      </c>
      <c r="D5028" s="10"/>
      <c r="E5028" s="853" t="s">
        <v>62</v>
      </c>
      <c r="F5028" s="934" t="s">
        <v>13447</v>
      </c>
      <c r="G5028" s="204" t="s">
        <v>16063</v>
      </c>
      <c r="H5028" s="204" t="s">
        <v>16064</v>
      </c>
      <c r="I5028" s="204" t="s">
        <v>14253</v>
      </c>
      <c r="J5028" s="1402">
        <v>1609523</v>
      </c>
      <c r="K5028" s="204" t="s">
        <v>16065</v>
      </c>
      <c r="L5028" s="222"/>
      <c r="M5028" s="222">
        <v>1</v>
      </c>
      <c r="N5028" s="222">
        <v>1</v>
      </c>
      <c r="O5028" s="222">
        <v>1</v>
      </c>
      <c r="P5028" s="222">
        <v>5</v>
      </c>
      <c r="Q5028" s="222">
        <v>6</v>
      </c>
      <c r="R5028" s="1209">
        <v>5734</v>
      </c>
      <c r="S5028" s="1209">
        <v>5734</v>
      </c>
      <c r="T5028" s="222" t="s">
        <v>1395</v>
      </c>
      <c r="U5028" s="1527"/>
      <c r="V5028" s="222" t="s">
        <v>13992</v>
      </c>
      <c r="W5028" s="2155" t="s">
        <v>17059</v>
      </c>
      <c r="X5028" s="818"/>
      <c r="Y5028" s="1161"/>
    </row>
    <row r="5029" spans="1:25" ht="15.75" hidden="1" customHeight="1">
      <c r="A5029" s="20">
        <v>5038</v>
      </c>
      <c r="B5029" s="1069">
        <v>44566</v>
      </c>
      <c r="C5029" s="1006" t="s">
        <v>17060</v>
      </c>
      <c r="D5029" s="11" t="s">
        <v>6</v>
      </c>
      <c r="E5029" s="818" t="s">
        <v>7498</v>
      </c>
      <c r="F5029" s="934" t="s">
        <v>13447</v>
      </c>
      <c r="G5029" s="818" t="s">
        <v>17061</v>
      </c>
      <c r="H5029" s="818" t="s">
        <v>17062</v>
      </c>
      <c r="I5029" s="222" t="s">
        <v>117</v>
      </c>
      <c r="J5029" s="222"/>
      <c r="K5029" s="818" t="s">
        <v>17063</v>
      </c>
      <c r="L5029" s="222"/>
      <c r="M5029" s="222">
        <v>1</v>
      </c>
      <c r="N5029" s="222">
        <v>1</v>
      </c>
      <c r="O5029" s="222">
        <v>1</v>
      </c>
      <c r="P5029" s="222">
        <v>0</v>
      </c>
      <c r="Q5029" s="222">
        <v>1</v>
      </c>
      <c r="R5029" s="1195">
        <v>4665</v>
      </c>
      <c r="S5029" s="1195">
        <v>4665</v>
      </c>
      <c r="T5029" s="222" t="s">
        <v>3961</v>
      </c>
      <c r="U5029" s="1527" t="s">
        <v>1886</v>
      </c>
      <c r="V5029" s="222" t="s">
        <v>13992</v>
      </c>
      <c r="W5029" s="819"/>
      <c r="X5029" s="818"/>
      <c r="Y5029" s="1161"/>
    </row>
    <row r="5030" spans="1:25" ht="15.75" hidden="1" customHeight="1">
      <c r="A5030" s="20">
        <v>5039</v>
      </c>
      <c r="B5030" s="1069">
        <v>44566</v>
      </c>
      <c r="C5030" s="1006" t="s">
        <v>17064</v>
      </c>
      <c r="D5030" s="11" t="s">
        <v>6</v>
      </c>
      <c r="E5030" s="818" t="s">
        <v>7498</v>
      </c>
      <c r="F5030" s="934" t="s">
        <v>13447</v>
      </c>
      <c r="G5030" s="818" t="s">
        <v>17065</v>
      </c>
      <c r="H5030" s="818" t="s">
        <v>17062</v>
      </c>
      <c r="I5030" s="222" t="s">
        <v>117</v>
      </c>
      <c r="J5030" s="222"/>
      <c r="K5030" s="818"/>
      <c r="L5030" s="222"/>
      <c r="M5030" s="222">
        <v>1</v>
      </c>
      <c r="N5030" s="222">
        <v>1</v>
      </c>
      <c r="O5030" s="222">
        <v>1</v>
      </c>
      <c r="P5030" s="222">
        <v>0</v>
      </c>
      <c r="Q5030" s="222">
        <v>1</v>
      </c>
      <c r="R5030" s="1195">
        <v>508</v>
      </c>
      <c r="S5030" s="1195">
        <v>508</v>
      </c>
      <c r="T5030" s="222" t="s">
        <v>3961</v>
      </c>
      <c r="U5030" s="1527" t="s">
        <v>1886</v>
      </c>
      <c r="V5030" s="222" t="s">
        <v>13992</v>
      </c>
      <c r="W5030" s="819"/>
      <c r="X5030" s="818"/>
      <c r="Y5030" s="1161"/>
    </row>
    <row r="5031" spans="1:25" ht="15.75" hidden="1" customHeight="1">
      <c r="A5031" s="20">
        <v>5040</v>
      </c>
      <c r="B5031" s="1069">
        <v>44566</v>
      </c>
      <c r="C5031" s="1006" t="s">
        <v>16917</v>
      </c>
      <c r="D5031" s="11" t="s">
        <v>6</v>
      </c>
      <c r="E5031" s="818" t="s">
        <v>7498</v>
      </c>
      <c r="F5031" s="934" t="s">
        <v>13447</v>
      </c>
      <c r="G5031" s="818"/>
      <c r="H5031" s="818"/>
      <c r="I5031" s="222" t="s">
        <v>117</v>
      </c>
      <c r="J5031" s="222"/>
      <c r="K5031" s="818"/>
      <c r="L5031" s="222"/>
      <c r="M5031" s="222">
        <v>1</v>
      </c>
      <c r="N5031" s="222">
        <v>1</v>
      </c>
      <c r="O5031" s="222">
        <v>1</v>
      </c>
      <c r="P5031" s="222">
        <v>0</v>
      </c>
      <c r="Q5031" s="222">
        <v>1</v>
      </c>
      <c r="R5031" s="1195">
        <v>10</v>
      </c>
      <c r="S5031" s="1195">
        <v>10</v>
      </c>
      <c r="T5031" s="222" t="s">
        <v>3961</v>
      </c>
      <c r="U5031" s="1527" t="s">
        <v>1886</v>
      </c>
      <c r="V5031" s="222" t="s">
        <v>13992</v>
      </c>
      <c r="W5031" s="819"/>
      <c r="X5031" s="818"/>
      <c r="Y5031" s="1161"/>
    </row>
    <row r="5032" spans="1:25" ht="15.75" hidden="1" customHeight="1">
      <c r="A5032" s="20">
        <v>5041</v>
      </c>
      <c r="B5032" s="1069">
        <v>44566</v>
      </c>
      <c r="C5032" s="543" t="s">
        <v>10343</v>
      </c>
      <c r="D5032" s="11" t="s">
        <v>6</v>
      </c>
      <c r="E5032" s="818" t="s">
        <v>62</v>
      </c>
      <c r="F5032" s="1006" t="s">
        <v>2876</v>
      </c>
      <c r="G5032" s="1483" t="s">
        <v>10344</v>
      </c>
      <c r="H5032" s="1484" t="s">
        <v>6005</v>
      </c>
      <c r="I5032" s="1483" t="s">
        <v>574</v>
      </c>
      <c r="J5032" s="1478" t="s">
        <v>17066</v>
      </c>
      <c r="K5032" s="1483" t="s">
        <v>10345</v>
      </c>
      <c r="L5032" s="222" t="s">
        <v>17067</v>
      </c>
      <c r="M5032" s="222">
        <v>1</v>
      </c>
      <c r="N5032" s="222">
        <v>1</v>
      </c>
      <c r="O5032" s="222">
        <v>1</v>
      </c>
      <c r="P5032" s="222">
        <v>1</v>
      </c>
      <c r="Q5032" s="222">
        <v>2</v>
      </c>
      <c r="R5032" s="1195">
        <v>64724</v>
      </c>
      <c r="S5032" s="1195">
        <f>O5032*R5032</f>
        <v>64724</v>
      </c>
      <c r="T5032" s="222" t="s">
        <v>17068</v>
      </c>
      <c r="U5032" s="1527" t="s">
        <v>17069</v>
      </c>
      <c r="V5032" s="222" t="s">
        <v>13992</v>
      </c>
      <c r="W5032" s="2155" t="s">
        <v>17070</v>
      </c>
      <c r="X5032" s="818"/>
      <c r="Y5032" s="1161"/>
    </row>
    <row r="5033" spans="1:25" ht="15.75" hidden="1" customHeight="1">
      <c r="A5033" s="20">
        <v>5042</v>
      </c>
      <c r="B5033" s="1069">
        <v>44566</v>
      </c>
      <c r="C5033" s="1194" t="s">
        <v>5189</v>
      </c>
      <c r="D5033" s="11" t="s">
        <v>6</v>
      </c>
      <c r="E5033" s="204" t="s">
        <v>166</v>
      </c>
      <c r="F5033" s="1006" t="s">
        <v>2876</v>
      </c>
      <c r="G5033" s="204" t="s">
        <v>5190</v>
      </c>
      <c r="H5033" s="204" t="s">
        <v>452</v>
      </c>
      <c r="I5033" s="207" t="s">
        <v>574</v>
      </c>
      <c r="J5033" s="204"/>
      <c r="K5033" s="572" t="s">
        <v>454</v>
      </c>
      <c r="L5033" s="204" t="s">
        <v>13355</v>
      </c>
      <c r="M5033" s="204">
        <v>33</v>
      </c>
      <c r="N5033" s="204">
        <v>1</v>
      </c>
      <c r="O5033" s="204">
        <v>60</v>
      </c>
      <c r="P5033" s="204">
        <v>10</v>
      </c>
      <c r="Q5033" s="572">
        <v>27</v>
      </c>
      <c r="R5033" s="1332">
        <v>91.05</v>
      </c>
      <c r="S5033" s="1313">
        <f>O5033*R5033</f>
        <v>5463</v>
      </c>
      <c r="T5033" s="204" t="s">
        <v>14752</v>
      </c>
      <c r="U5033" s="1939" t="s">
        <v>8730</v>
      </c>
      <c r="V5033" s="20" t="s">
        <v>1963</v>
      </c>
      <c r="W5033" s="2155" t="s">
        <v>17071</v>
      </c>
      <c r="X5033" s="818"/>
      <c r="Y5033" s="1161"/>
    </row>
    <row r="5034" spans="1:25" ht="15.75" hidden="1" customHeight="1">
      <c r="A5034" s="20">
        <v>5043</v>
      </c>
      <c r="B5034" s="1069">
        <v>44567</v>
      </c>
      <c r="C5034" s="1006" t="s">
        <v>17072</v>
      </c>
      <c r="D5034" s="11" t="s">
        <v>6</v>
      </c>
      <c r="E5034" s="818" t="s">
        <v>7498</v>
      </c>
      <c r="F5034" s="1006" t="s">
        <v>11438</v>
      </c>
      <c r="G5034" s="222" t="s">
        <v>17073</v>
      </c>
      <c r="H5034" s="222" t="s">
        <v>17074</v>
      </c>
      <c r="I5034" s="222" t="s">
        <v>84</v>
      </c>
      <c r="J5034" s="222">
        <v>68360014</v>
      </c>
      <c r="K5034" s="222" t="s">
        <v>17075</v>
      </c>
      <c r="L5034" s="222" t="s">
        <v>1</v>
      </c>
      <c r="M5034" s="222">
        <v>1</v>
      </c>
      <c r="N5034" s="222">
        <v>1</v>
      </c>
      <c r="O5034" s="222">
        <v>1</v>
      </c>
      <c r="P5034" s="222">
        <v>0</v>
      </c>
      <c r="Q5034" s="222">
        <v>1</v>
      </c>
      <c r="R5034" s="1195">
        <v>3790</v>
      </c>
      <c r="S5034" s="1195">
        <v>3790</v>
      </c>
      <c r="T5034" s="222" t="s">
        <v>3961</v>
      </c>
      <c r="U5034" s="1527" t="s">
        <v>17076</v>
      </c>
      <c r="V5034" s="222" t="s">
        <v>17077</v>
      </c>
      <c r="W5034" s="2155" t="s">
        <v>17078</v>
      </c>
      <c r="X5034" s="818"/>
      <c r="Y5034" s="1161"/>
    </row>
    <row r="5035" spans="1:25" ht="15.75" hidden="1" customHeight="1">
      <c r="A5035" s="20">
        <v>5044</v>
      </c>
      <c r="B5035" s="1069">
        <v>44567</v>
      </c>
      <c r="C5035" s="1006" t="s">
        <v>17079</v>
      </c>
      <c r="D5035" s="11" t="s">
        <v>6</v>
      </c>
      <c r="E5035" s="818" t="s">
        <v>7498</v>
      </c>
      <c r="F5035" s="1006" t="s">
        <v>11438</v>
      </c>
      <c r="G5035" s="222" t="s">
        <v>17080</v>
      </c>
      <c r="H5035" s="222" t="s">
        <v>17074</v>
      </c>
      <c r="I5035" s="222" t="s">
        <v>84</v>
      </c>
      <c r="J5035" s="222"/>
      <c r="K5035" s="222" t="s">
        <v>17081</v>
      </c>
      <c r="L5035" s="222" t="s">
        <v>1</v>
      </c>
      <c r="M5035" s="222">
        <v>1</v>
      </c>
      <c r="N5035" s="222">
        <v>1</v>
      </c>
      <c r="O5035" s="222">
        <v>1</v>
      </c>
      <c r="P5035" s="222">
        <v>0</v>
      </c>
      <c r="Q5035" s="222">
        <v>1</v>
      </c>
      <c r="R5035" s="1195">
        <v>1990</v>
      </c>
      <c r="S5035" s="1195">
        <v>1990</v>
      </c>
      <c r="T5035" s="222" t="s">
        <v>3961</v>
      </c>
      <c r="U5035" s="1527" t="s">
        <v>17082</v>
      </c>
      <c r="V5035" s="222" t="s">
        <v>17077</v>
      </c>
      <c r="W5035" s="2155" t="s">
        <v>17083</v>
      </c>
      <c r="X5035" s="818"/>
      <c r="Y5035" s="1161"/>
    </row>
    <row r="5036" spans="1:25" ht="15.75" hidden="1" customHeight="1">
      <c r="A5036" s="20">
        <v>5045</v>
      </c>
      <c r="B5036" s="1069">
        <v>44567</v>
      </c>
      <c r="C5036" s="1006" t="s">
        <v>797</v>
      </c>
      <c r="D5036" s="11" t="s">
        <v>6</v>
      </c>
      <c r="E5036" s="818" t="s">
        <v>7498</v>
      </c>
      <c r="F5036" s="1006" t="s">
        <v>11438</v>
      </c>
      <c r="G5036" s="222" t="s">
        <v>5689</v>
      </c>
      <c r="H5036" s="222" t="s">
        <v>799</v>
      </c>
      <c r="I5036" s="222" t="s">
        <v>84</v>
      </c>
      <c r="J5036" s="222">
        <v>33240313</v>
      </c>
      <c r="K5036" s="222" t="s">
        <v>5691</v>
      </c>
      <c r="L5036" s="222" t="s">
        <v>1</v>
      </c>
      <c r="M5036" s="222">
        <v>1</v>
      </c>
      <c r="N5036" s="222">
        <v>1</v>
      </c>
      <c r="O5036" s="222">
        <v>1</v>
      </c>
      <c r="P5036" s="222">
        <v>0</v>
      </c>
      <c r="Q5036" s="222">
        <v>1</v>
      </c>
      <c r="R5036" s="1195">
        <v>10900</v>
      </c>
      <c r="S5036" s="1403">
        <v>10900</v>
      </c>
      <c r="T5036" s="222" t="s">
        <v>3961</v>
      </c>
      <c r="U5036" s="1527" t="s">
        <v>448</v>
      </c>
      <c r="V5036" s="222" t="s">
        <v>17077</v>
      </c>
      <c r="W5036" s="2155" t="s">
        <v>802</v>
      </c>
      <c r="X5036" s="818"/>
      <c r="Y5036" s="1161"/>
    </row>
    <row r="5037" spans="1:25" ht="15.75" hidden="1" customHeight="1">
      <c r="A5037" s="20">
        <v>5046</v>
      </c>
      <c r="B5037" s="1069">
        <v>44567</v>
      </c>
      <c r="C5037" s="1006" t="s">
        <v>17084</v>
      </c>
      <c r="D5037" s="11" t="s">
        <v>6</v>
      </c>
      <c r="E5037" s="818" t="s">
        <v>7498</v>
      </c>
      <c r="F5037" s="1006" t="s">
        <v>11438</v>
      </c>
      <c r="G5037" s="222" t="s">
        <v>4547</v>
      </c>
      <c r="H5037" s="818" t="s">
        <v>7942</v>
      </c>
      <c r="I5037" s="222" t="s">
        <v>574</v>
      </c>
      <c r="J5037" s="222" t="s">
        <v>4548</v>
      </c>
      <c r="K5037" s="818" t="s">
        <v>4549</v>
      </c>
      <c r="L5037" s="222" t="s">
        <v>1</v>
      </c>
      <c r="M5037" s="222">
        <v>30</v>
      </c>
      <c r="N5037" s="222">
        <v>100</v>
      </c>
      <c r="O5037" s="222">
        <v>100</v>
      </c>
      <c r="P5037" s="222">
        <v>20</v>
      </c>
      <c r="Q5037" s="222">
        <v>50</v>
      </c>
      <c r="R5037" s="1195">
        <v>3.91</v>
      </c>
      <c r="S5037" s="1195">
        <v>391</v>
      </c>
      <c r="T5037" s="222" t="s">
        <v>3961</v>
      </c>
      <c r="U5037" s="1527" t="s">
        <v>448</v>
      </c>
      <c r="V5037" s="222" t="s">
        <v>13992</v>
      </c>
      <c r="W5037" s="2155" t="s">
        <v>17085</v>
      </c>
      <c r="X5037" s="818"/>
      <c r="Y5037" s="1161"/>
    </row>
    <row r="5038" spans="1:25" ht="15.75" hidden="1" customHeight="1">
      <c r="A5038" s="20">
        <v>5047</v>
      </c>
      <c r="B5038" s="1069">
        <v>44567</v>
      </c>
      <c r="C5038" s="1006" t="s">
        <v>17086</v>
      </c>
      <c r="D5038" s="10"/>
      <c r="E5038" s="818" t="s">
        <v>166</v>
      </c>
      <c r="F5038" s="1006" t="s">
        <v>13854</v>
      </c>
      <c r="G5038" s="818" t="s">
        <v>17087</v>
      </c>
      <c r="H5038" s="818" t="s">
        <v>17088</v>
      </c>
      <c r="I5038" s="222" t="s">
        <v>17089</v>
      </c>
      <c r="J5038" s="222" t="s">
        <v>17090</v>
      </c>
      <c r="K5038" s="222" t="s">
        <v>17090</v>
      </c>
      <c r="L5038" s="222"/>
      <c r="M5038" s="222">
        <v>1</v>
      </c>
      <c r="N5038" s="222">
        <v>1</v>
      </c>
      <c r="O5038" s="222">
        <v>1</v>
      </c>
      <c r="P5038" s="222">
        <v>0</v>
      </c>
      <c r="Q5038" s="222">
        <v>1</v>
      </c>
      <c r="R5038" s="1195">
        <v>91630</v>
      </c>
      <c r="S5038" s="1195">
        <v>91630</v>
      </c>
      <c r="T5038" s="222" t="s">
        <v>12425</v>
      </c>
      <c r="U5038" s="1527" t="s">
        <v>1896</v>
      </c>
      <c r="V5038" s="20" t="s">
        <v>1963</v>
      </c>
      <c r="W5038" s="2155" t="s">
        <v>16950</v>
      </c>
      <c r="X5038" s="818"/>
      <c r="Y5038" s="1161"/>
    </row>
    <row r="5039" spans="1:25" ht="15.75" hidden="1" customHeight="1">
      <c r="A5039" s="20">
        <v>5048</v>
      </c>
      <c r="B5039" s="1069">
        <v>44568</v>
      </c>
      <c r="C5039" s="1006" t="s">
        <v>17091</v>
      </c>
      <c r="D5039" s="11" t="s">
        <v>6</v>
      </c>
      <c r="E5039" s="818" t="s">
        <v>62</v>
      </c>
      <c r="F5039" s="1006" t="s">
        <v>2143</v>
      </c>
      <c r="G5039" s="818" t="s">
        <v>17092</v>
      </c>
      <c r="H5039" s="818" t="s">
        <v>17093</v>
      </c>
      <c r="I5039" s="222" t="s">
        <v>17094</v>
      </c>
      <c r="J5039" s="222"/>
      <c r="K5039" s="818"/>
      <c r="L5039" s="222"/>
      <c r="M5039" s="222">
        <v>1</v>
      </c>
      <c r="N5039" s="222">
        <v>1</v>
      </c>
      <c r="O5039" s="222">
        <v>1</v>
      </c>
      <c r="P5039" s="222">
        <v>0</v>
      </c>
      <c r="Q5039" s="222">
        <v>0</v>
      </c>
      <c r="R5039" s="1195">
        <v>300</v>
      </c>
      <c r="S5039" s="1195">
        <v>300</v>
      </c>
      <c r="T5039" s="222" t="s">
        <v>929</v>
      </c>
      <c r="U5039" s="1527" t="s">
        <v>118</v>
      </c>
      <c r="V5039" s="222" t="s">
        <v>17095</v>
      </c>
      <c r="W5039" s="819"/>
      <c r="X5039" s="818"/>
      <c r="Y5039" s="1161"/>
    </row>
    <row r="5040" spans="1:25" ht="15.75" hidden="1" customHeight="1">
      <c r="A5040" s="20">
        <v>5049</v>
      </c>
      <c r="B5040" s="1069">
        <v>44568</v>
      </c>
      <c r="C5040" s="1006" t="s">
        <v>17096</v>
      </c>
      <c r="D5040" s="11" t="s">
        <v>6</v>
      </c>
      <c r="E5040" s="818" t="s">
        <v>7498</v>
      </c>
      <c r="F5040" s="1006" t="s">
        <v>2143</v>
      </c>
      <c r="G5040" s="818" t="s">
        <v>14606</v>
      </c>
      <c r="H5040" s="818" t="s">
        <v>166</v>
      </c>
      <c r="I5040" s="222" t="s">
        <v>11707</v>
      </c>
      <c r="J5040" s="222" t="s">
        <v>14606</v>
      </c>
      <c r="K5040" s="818" t="s">
        <v>14606</v>
      </c>
      <c r="L5040" s="222" t="s">
        <v>14606</v>
      </c>
      <c r="M5040" s="222">
        <v>1</v>
      </c>
      <c r="N5040" s="222">
        <v>1</v>
      </c>
      <c r="O5040" s="222">
        <v>1</v>
      </c>
      <c r="P5040" s="222">
        <v>0</v>
      </c>
      <c r="Q5040" s="222">
        <v>0</v>
      </c>
      <c r="R5040" s="1195">
        <v>132</v>
      </c>
      <c r="S5040" s="1195">
        <v>132</v>
      </c>
      <c r="T5040" s="222" t="s">
        <v>422</v>
      </c>
      <c r="U5040" s="1527" t="s">
        <v>422</v>
      </c>
      <c r="V5040" s="222" t="s">
        <v>4071</v>
      </c>
      <c r="W5040" s="819"/>
      <c r="X5040" s="818"/>
      <c r="Y5040" s="1161"/>
    </row>
    <row r="5041" spans="1:25" ht="15.75" hidden="1" customHeight="1">
      <c r="A5041" s="20">
        <v>5050</v>
      </c>
      <c r="B5041" s="1069">
        <v>44568</v>
      </c>
      <c r="C5041" s="1006" t="s">
        <v>17097</v>
      </c>
      <c r="D5041" s="11" t="s">
        <v>6</v>
      </c>
      <c r="E5041" s="818" t="s">
        <v>166</v>
      </c>
      <c r="F5041" s="1006" t="s">
        <v>2143</v>
      </c>
      <c r="G5041" s="818" t="s">
        <v>17098</v>
      </c>
      <c r="H5041" s="818" t="s">
        <v>8610</v>
      </c>
      <c r="I5041" s="222" t="s">
        <v>574</v>
      </c>
      <c r="J5041" s="222" t="s">
        <v>17099</v>
      </c>
      <c r="K5041" s="818" t="s">
        <v>17100</v>
      </c>
      <c r="L5041" s="222" t="s">
        <v>7069</v>
      </c>
      <c r="M5041" s="222">
        <v>2</v>
      </c>
      <c r="N5041" s="222">
        <v>1</v>
      </c>
      <c r="O5041" s="222">
        <v>3</v>
      </c>
      <c r="P5041" s="222">
        <v>0</v>
      </c>
      <c r="Q5041" s="222">
        <v>1</v>
      </c>
      <c r="R5041" s="1195">
        <v>1910</v>
      </c>
      <c r="S5041" s="1195">
        <f>R5041*O5041</f>
        <v>5730</v>
      </c>
      <c r="T5041" s="222" t="s">
        <v>5448</v>
      </c>
      <c r="U5041" s="1527" t="s">
        <v>5881</v>
      </c>
      <c r="V5041" s="222" t="s">
        <v>12577</v>
      </c>
      <c r="W5041" s="2155" t="s">
        <v>17101</v>
      </c>
      <c r="X5041" s="818"/>
      <c r="Y5041" s="1161"/>
    </row>
    <row r="5042" spans="1:25" ht="15.75" hidden="1" customHeight="1">
      <c r="A5042" s="200">
        <v>5051</v>
      </c>
      <c r="B5042" s="938">
        <v>44568</v>
      </c>
      <c r="C5042" s="1043" t="s">
        <v>17102</v>
      </c>
      <c r="D5042" s="231" t="s">
        <v>6</v>
      </c>
      <c r="E5042" s="1485" t="s">
        <v>166</v>
      </c>
      <c r="F5042" s="1043" t="s">
        <v>16260</v>
      </c>
      <c r="G5042" s="1485" t="s">
        <v>17103</v>
      </c>
      <c r="H5042" s="1485" t="s">
        <v>17104</v>
      </c>
      <c r="I5042" s="646" t="s">
        <v>17105</v>
      </c>
      <c r="J5042" s="646" t="s">
        <v>17106</v>
      </c>
      <c r="K5042" s="1485" t="s">
        <v>17106</v>
      </c>
      <c r="L5042" s="646" t="s">
        <v>12503</v>
      </c>
      <c r="M5042" s="646">
        <v>1</v>
      </c>
      <c r="N5042" s="646">
        <v>1</v>
      </c>
      <c r="O5042" s="646">
        <v>1</v>
      </c>
      <c r="P5042" s="646">
        <v>0</v>
      </c>
      <c r="Q5042" s="646">
        <v>1</v>
      </c>
      <c r="R5042" s="1486">
        <v>800</v>
      </c>
      <c r="S5042" s="1486">
        <f>O5042*R5042</f>
        <v>800</v>
      </c>
      <c r="T5042" s="646" t="s">
        <v>14752</v>
      </c>
      <c r="U5042" s="1966" t="s">
        <v>9101</v>
      </c>
      <c r="V5042" s="646" t="s">
        <v>7780</v>
      </c>
      <c r="W5042" s="819"/>
      <c r="X5042" s="818"/>
      <c r="Y5042" s="1161"/>
    </row>
    <row r="5043" spans="1:25" ht="15.75" hidden="1" customHeight="1">
      <c r="A5043" s="20">
        <v>5052</v>
      </c>
      <c r="B5043" s="1069">
        <v>44568</v>
      </c>
      <c r="C5043" s="1006" t="s">
        <v>15782</v>
      </c>
      <c r="D5043" s="11" t="s">
        <v>6</v>
      </c>
      <c r="E5043" s="818" t="s">
        <v>166</v>
      </c>
      <c r="F5043" s="1006" t="s">
        <v>16260</v>
      </c>
      <c r="G5043" s="818" t="s">
        <v>17107</v>
      </c>
      <c r="H5043" s="818" t="s">
        <v>101</v>
      </c>
      <c r="I5043" s="222" t="s">
        <v>322</v>
      </c>
      <c r="J5043" s="222" t="s">
        <v>17108</v>
      </c>
      <c r="K5043" s="818" t="s">
        <v>17109</v>
      </c>
      <c r="L5043" s="222" t="s">
        <v>12503</v>
      </c>
      <c r="M5043" s="222">
        <v>1</v>
      </c>
      <c r="N5043" s="222">
        <v>1</v>
      </c>
      <c r="O5043" s="222">
        <v>1</v>
      </c>
      <c r="P5043" s="222">
        <v>0</v>
      </c>
      <c r="Q5043" s="222">
        <v>1</v>
      </c>
      <c r="R5043" s="1195">
        <v>729</v>
      </c>
      <c r="S5043" s="1195">
        <f>O5043*R5043</f>
        <v>729</v>
      </c>
      <c r="T5043" s="222" t="s">
        <v>14752</v>
      </c>
      <c r="U5043" s="1527" t="s">
        <v>9101</v>
      </c>
      <c r="V5043" s="222" t="s">
        <v>7780</v>
      </c>
      <c r="W5043" s="2155" t="s">
        <v>17110</v>
      </c>
      <c r="X5043" s="818"/>
      <c r="Y5043" s="1161"/>
    </row>
    <row r="5044" spans="1:25" ht="15.75" hidden="1" customHeight="1">
      <c r="A5044" s="20">
        <v>5053</v>
      </c>
      <c r="B5044" s="1069">
        <v>44569</v>
      </c>
      <c r="C5044" s="1006" t="s">
        <v>17111</v>
      </c>
      <c r="D5044" s="10"/>
      <c r="E5044" s="818" t="s">
        <v>5448</v>
      </c>
      <c r="F5044" s="1006" t="s">
        <v>15108</v>
      </c>
      <c r="G5044" s="818" t="s">
        <v>17112</v>
      </c>
      <c r="H5044" s="818" t="s">
        <v>7659</v>
      </c>
      <c r="I5044" s="818" t="s">
        <v>7659</v>
      </c>
      <c r="J5044" s="222" t="s">
        <v>17113</v>
      </c>
      <c r="K5044" s="222" t="s">
        <v>17113</v>
      </c>
      <c r="L5044" s="222"/>
      <c r="M5044" s="222">
        <v>1</v>
      </c>
      <c r="N5044" s="222">
        <v>1</v>
      </c>
      <c r="O5044" s="222">
        <v>1</v>
      </c>
      <c r="P5044" s="222">
        <v>0</v>
      </c>
      <c r="Q5044" s="222">
        <v>1</v>
      </c>
      <c r="R5044" s="1195">
        <v>2431</v>
      </c>
      <c r="S5044" s="1195">
        <v>2431</v>
      </c>
      <c r="T5044" s="222" t="s">
        <v>17114</v>
      </c>
      <c r="U5044" s="1527" t="s">
        <v>1896</v>
      </c>
      <c r="V5044" s="207" t="s">
        <v>7917</v>
      </c>
      <c r="W5044" s="2155" t="s">
        <v>17115</v>
      </c>
      <c r="X5044" s="818"/>
      <c r="Y5044" s="1161"/>
    </row>
    <row r="5045" spans="1:25" ht="15.75" hidden="1" customHeight="1">
      <c r="A5045" s="20">
        <v>5054</v>
      </c>
      <c r="B5045" s="1069">
        <v>44569</v>
      </c>
      <c r="C5045" s="1006" t="s">
        <v>17116</v>
      </c>
      <c r="D5045" s="10"/>
      <c r="E5045" s="818" t="s">
        <v>5448</v>
      </c>
      <c r="F5045" s="1006" t="s">
        <v>15108</v>
      </c>
      <c r="G5045" s="818" t="s">
        <v>17117</v>
      </c>
      <c r="H5045" s="818" t="s">
        <v>7659</v>
      </c>
      <c r="I5045" s="818" t="s">
        <v>7659</v>
      </c>
      <c r="J5045" s="222"/>
      <c r="K5045" s="222"/>
      <c r="L5045" s="222"/>
      <c r="M5045" s="222"/>
      <c r="N5045" s="222"/>
      <c r="O5045" s="222"/>
      <c r="P5045" s="222"/>
      <c r="Q5045" s="222"/>
      <c r="R5045" s="1195">
        <v>348</v>
      </c>
      <c r="S5045" s="1195">
        <v>348</v>
      </c>
      <c r="T5045" s="222" t="s">
        <v>17114</v>
      </c>
      <c r="U5045" s="1527" t="s">
        <v>1896</v>
      </c>
      <c r="V5045" s="222" t="s">
        <v>1</v>
      </c>
      <c r="W5045" s="819"/>
      <c r="X5045" s="818"/>
      <c r="Y5045" s="1161"/>
    </row>
    <row r="5046" spans="1:25" ht="15.75" hidden="1" customHeight="1">
      <c r="A5046" s="20">
        <v>5055</v>
      </c>
      <c r="B5046" s="1069">
        <v>44569</v>
      </c>
      <c r="C5046" s="1006" t="s">
        <v>17111</v>
      </c>
      <c r="D5046" s="10"/>
      <c r="E5046" s="818" t="s">
        <v>5448</v>
      </c>
      <c r="F5046" s="1006" t="s">
        <v>15108</v>
      </c>
      <c r="G5046" s="818" t="s">
        <v>17118</v>
      </c>
      <c r="H5046" s="818" t="s">
        <v>7659</v>
      </c>
      <c r="I5046" s="818" t="s">
        <v>7659</v>
      </c>
      <c r="J5046" s="222" t="s">
        <v>17119</v>
      </c>
      <c r="K5046" s="222" t="s">
        <v>17119</v>
      </c>
      <c r="L5046" s="222"/>
      <c r="M5046" s="222">
        <v>1</v>
      </c>
      <c r="N5046" s="222">
        <v>1</v>
      </c>
      <c r="O5046" s="222">
        <v>1</v>
      </c>
      <c r="P5046" s="222">
        <v>0</v>
      </c>
      <c r="Q5046" s="222">
        <v>1</v>
      </c>
      <c r="R5046" s="1195">
        <v>2145</v>
      </c>
      <c r="S5046" s="1195">
        <v>2145</v>
      </c>
      <c r="T5046" s="222" t="s">
        <v>17114</v>
      </c>
      <c r="U5046" s="1527" t="s">
        <v>1896</v>
      </c>
      <c r="V5046" s="207" t="s">
        <v>7917</v>
      </c>
      <c r="W5046" s="2155" t="s">
        <v>17120</v>
      </c>
      <c r="X5046" s="818"/>
      <c r="Y5046" s="1161"/>
    </row>
    <row r="5047" spans="1:25" ht="15.75" hidden="1" customHeight="1">
      <c r="A5047" s="20">
        <v>5056</v>
      </c>
      <c r="B5047" s="1069">
        <v>44569</v>
      </c>
      <c r="C5047" s="1006" t="s">
        <v>17116</v>
      </c>
      <c r="D5047" s="10"/>
      <c r="E5047" s="818" t="s">
        <v>5448</v>
      </c>
      <c r="F5047" s="1006" t="s">
        <v>15108</v>
      </c>
      <c r="G5047" s="818" t="s">
        <v>17121</v>
      </c>
      <c r="H5047" s="818" t="s">
        <v>7659</v>
      </c>
      <c r="I5047" s="818" t="s">
        <v>7659</v>
      </c>
      <c r="J5047" s="222"/>
      <c r="K5047" s="222"/>
      <c r="L5047" s="222"/>
      <c r="M5047" s="222"/>
      <c r="N5047" s="222"/>
      <c r="O5047" s="222"/>
      <c r="P5047" s="222"/>
      <c r="Q5047" s="222"/>
      <c r="R5047" s="1195">
        <v>435</v>
      </c>
      <c r="S5047" s="222">
        <v>435</v>
      </c>
      <c r="T5047" s="222" t="s">
        <v>17114</v>
      </c>
      <c r="U5047" s="1527" t="s">
        <v>1896</v>
      </c>
      <c r="V5047" s="222" t="s">
        <v>1</v>
      </c>
      <c r="W5047" s="819"/>
      <c r="X5047" s="818"/>
      <c r="Y5047" s="1161"/>
    </row>
    <row r="5048" spans="1:25" ht="15.75" hidden="1" customHeight="1">
      <c r="A5048" s="20">
        <v>5057</v>
      </c>
      <c r="B5048" s="1069">
        <v>44569</v>
      </c>
      <c r="C5048" s="1006" t="s">
        <v>17122</v>
      </c>
      <c r="D5048" s="10"/>
      <c r="E5048" s="818" t="s">
        <v>5448</v>
      </c>
      <c r="F5048" s="1006" t="s">
        <v>15108</v>
      </c>
      <c r="G5048" s="818" t="s">
        <v>17123</v>
      </c>
      <c r="H5048" s="818" t="s">
        <v>17124</v>
      </c>
      <c r="I5048" s="222" t="s">
        <v>16734</v>
      </c>
      <c r="J5048" s="222" t="s">
        <v>5436</v>
      </c>
      <c r="K5048" s="818" t="s">
        <v>5437</v>
      </c>
      <c r="L5048" s="222"/>
      <c r="M5048" s="222">
        <v>8</v>
      </c>
      <c r="N5048" s="222">
        <v>1</v>
      </c>
      <c r="O5048" s="222">
        <v>10</v>
      </c>
      <c r="P5048" s="222">
        <v>0</v>
      </c>
      <c r="Q5048" s="222">
        <v>10</v>
      </c>
      <c r="R5048" s="1195">
        <v>200</v>
      </c>
      <c r="S5048" s="1195">
        <v>2000</v>
      </c>
      <c r="T5048" s="222" t="s">
        <v>17114</v>
      </c>
      <c r="U5048" s="1527" t="s">
        <v>1896</v>
      </c>
      <c r="V5048" s="207" t="s">
        <v>7917</v>
      </c>
      <c r="W5048" s="2155" t="s">
        <v>17125</v>
      </c>
      <c r="X5048" s="818"/>
      <c r="Y5048" s="1161"/>
    </row>
    <row r="5049" spans="1:25" ht="15.75" hidden="1" customHeight="1">
      <c r="A5049" s="20">
        <v>5058</v>
      </c>
      <c r="B5049" s="1069">
        <v>44569</v>
      </c>
      <c r="C5049" s="1006" t="s">
        <v>17126</v>
      </c>
      <c r="D5049" s="10"/>
      <c r="E5049" s="818" t="s">
        <v>5448</v>
      </c>
      <c r="F5049" s="1006" t="s">
        <v>15108</v>
      </c>
      <c r="G5049" s="818" t="s">
        <v>17127</v>
      </c>
      <c r="H5049" s="818" t="s">
        <v>17128</v>
      </c>
      <c r="I5049" s="222" t="s">
        <v>113</v>
      </c>
      <c r="J5049" s="222">
        <v>39462631</v>
      </c>
      <c r="K5049" s="818" t="s">
        <v>17129</v>
      </c>
      <c r="L5049" s="222"/>
      <c r="M5049" s="222">
        <v>1</v>
      </c>
      <c r="N5049" s="222">
        <v>1</v>
      </c>
      <c r="O5049" s="222">
        <v>1</v>
      </c>
      <c r="P5049" s="222">
        <v>0</v>
      </c>
      <c r="Q5049" s="222">
        <v>1</v>
      </c>
      <c r="R5049" s="1195">
        <v>2079</v>
      </c>
      <c r="S5049" s="1195">
        <v>2079</v>
      </c>
      <c r="T5049" s="222" t="s">
        <v>17114</v>
      </c>
      <c r="U5049" s="1527" t="s">
        <v>1896</v>
      </c>
      <c r="V5049" s="207" t="s">
        <v>7917</v>
      </c>
      <c r="W5049" s="2155" t="s">
        <v>17130</v>
      </c>
      <c r="X5049" s="818"/>
      <c r="Y5049" s="1161"/>
    </row>
    <row r="5050" spans="1:25" ht="15.75" hidden="1" customHeight="1">
      <c r="A5050" s="20">
        <v>5059</v>
      </c>
      <c r="B5050" s="1069">
        <v>44569</v>
      </c>
      <c r="C5050" s="1006" t="s">
        <v>17131</v>
      </c>
      <c r="D5050" s="10"/>
      <c r="E5050" s="818" t="s">
        <v>5448</v>
      </c>
      <c r="F5050" s="1006" t="s">
        <v>15108</v>
      </c>
      <c r="G5050" s="818" t="s">
        <v>17132</v>
      </c>
      <c r="H5050" s="818" t="s">
        <v>17133</v>
      </c>
      <c r="I5050" s="222" t="s">
        <v>113</v>
      </c>
      <c r="J5050" s="222">
        <v>9242651</v>
      </c>
      <c r="K5050" s="1388" t="s">
        <v>17134</v>
      </c>
      <c r="L5050" s="222"/>
      <c r="M5050" s="222">
        <v>1</v>
      </c>
      <c r="N5050" s="222">
        <v>1</v>
      </c>
      <c r="O5050" s="222">
        <v>1</v>
      </c>
      <c r="P5050" s="222">
        <v>0</v>
      </c>
      <c r="Q5050" s="222">
        <v>1</v>
      </c>
      <c r="R5050" s="1195">
        <v>769</v>
      </c>
      <c r="S5050" s="1195">
        <v>769</v>
      </c>
      <c r="T5050" s="222" t="s">
        <v>17114</v>
      </c>
      <c r="U5050" s="1527" t="s">
        <v>1896</v>
      </c>
      <c r="V5050" s="207" t="s">
        <v>17135</v>
      </c>
      <c r="W5050" s="2155" t="s">
        <v>17136</v>
      </c>
      <c r="X5050" s="818"/>
      <c r="Y5050" s="1161"/>
    </row>
    <row r="5051" spans="1:25" ht="15.75" hidden="1" customHeight="1">
      <c r="A5051" s="20">
        <v>5060</v>
      </c>
      <c r="B5051" s="1069">
        <v>44569</v>
      </c>
      <c r="C5051" s="1006" t="s">
        <v>2918</v>
      </c>
      <c r="D5051" s="11" t="s">
        <v>6</v>
      </c>
      <c r="E5051" s="818" t="s">
        <v>5448</v>
      </c>
      <c r="F5051" s="1006" t="s">
        <v>11438</v>
      </c>
      <c r="G5051" s="818" t="s">
        <v>17137</v>
      </c>
      <c r="H5051" s="818" t="s">
        <v>2920</v>
      </c>
      <c r="I5051" s="222" t="s">
        <v>574</v>
      </c>
      <c r="J5051" s="222" t="s">
        <v>2921</v>
      </c>
      <c r="K5051" s="222">
        <v>3295</v>
      </c>
      <c r="L5051" s="222"/>
      <c r="M5051" s="222">
        <v>1</v>
      </c>
      <c r="N5051" s="222">
        <v>1</v>
      </c>
      <c r="O5051" s="222">
        <v>1</v>
      </c>
      <c r="P5051" s="222">
        <v>0</v>
      </c>
      <c r="Q5051" s="222">
        <v>0</v>
      </c>
      <c r="R5051" s="1195">
        <v>609</v>
      </c>
      <c r="S5051" s="1195">
        <v>609</v>
      </c>
      <c r="T5051" s="222" t="s">
        <v>311</v>
      </c>
      <c r="U5051" s="1527" t="s">
        <v>311</v>
      </c>
      <c r="V5051" s="222" t="s">
        <v>352</v>
      </c>
      <c r="W5051" s="2155" t="s">
        <v>17138</v>
      </c>
      <c r="X5051" s="818"/>
      <c r="Y5051" s="1161"/>
    </row>
    <row r="5052" spans="1:25" ht="15.75" hidden="1" customHeight="1">
      <c r="A5052" s="20">
        <v>5061</v>
      </c>
      <c r="B5052" s="1069">
        <v>44569</v>
      </c>
      <c r="C5052" s="1006" t="s">
        <v>1915</v>
      </c>
      <c r="D5052" s="11" t="s">
        <v>6</v>
      </c>
      <c r="E5052" s="818" t="s">
        <v>5448</v>
      </c>
      <c r="F5052" s="1006" t="s">
        <v>11438</v>
      </c>
      <c r="G5052" s="818" t="s">
        <v>17139</v>
      </c>
      <c r="H5052" s="818" t="s">
        <v>14282</v>
      </c>
      <c r="I5052" s="222" t="s">
        <v>574</v>
      </c>
      <c r="J5052" s="222" t="s">
        <v>17140</v>
      </c>
      <c r="K5052" s="222" t="s">
        <v>17141</v>
      </c>
      <c r="L5052" s="222"/>
      <c r="M5052" s="222">
        <v>1</v>
      </c>
      <c r="N5052" s="222">
        <v>1</v>
      </c>
      <c r="O5052" s="222">
        <v>1</v>
      </c>
      <c r="P5052" s="222">
        <v>0</v>
      </c>
      <c r="Q5052" s="222">
        <v>0</v>
      </c>
      <c r="R5052" s="1195">
        <v>983</v>
      </c>
      <c r="S5052" s="1195">
        <v>983</v>
      </c>
      <c r="T5052" s="222" t="s">
        <v>311</v>
      </c>
      <c r="U5052" s="1527" t="s">
        <v>311</v>
      </c>
      <c r="V5052" s="222" t="s">
        <v>352</v>
      </c>
      <c r="W5052" s="2155" t="s">
        <v>17142</v>
      </c>
      <c r="X5052" s="818"/>
      <c r="Y5052" s="1161"/>
    </row>
    <row r="5053" spans="1:25" ht="15.75" hidden="1" customHeight="1">
      <c r="A5053" s="20">
        <v>5062</v>
      </c>
      <c r="B5053" s="1069">
        <v>44569</v>
      </c>
      <c r="C5053" s="1006" t="s">
        <v>17143</v>
      </c>
      <c r="D5053" s="11" t="s">
        <v>6</v>
      </c>
      <c r="E5053" s="818" t="s">
        <v>5448</v>
      </c>
      <c r="F5053" s="1006" t="s">
        <v>11438</v>
      </c>
      <c r="G5053" s="818" t="s">
        <v>17144</v>
      </c>
      <c r="H5053" s="818" t="s">
        <v>12804</v>
      </c>
      <c r="I5053" s="222" t="s">
        <v>574</v>
      </c>
      <c r="J5053" s="222" t="s">
        <v>17145</v>
      </c>
      <c r="K5053" s="222" t="s">
        <v>17146</v>
      </c>
      <c r="L5053" s="222"/>
      <c r="M5053" s="222">
        <v>1</v>
      </c>
      <c r="N5053" s="222">
        <v>1</v>
      </c>
      <c r="O5053" s="222">
        <v>1</v>
      </c>
      <c r="P5053" s="222">
        <v>0</v>
      </c>
      <c r="Q5053" s="222">
        <v>0</v>
      </c>
      <c r="R5053" s="1195">
        <v>928</v>
      </c>
      <c r="S5053" s="1195">
        <v>928</v>
      </c>
      <c r="T5053" s="222" t="s">
        <v>311</v>
      </c>
      <c r="U5053" s="1527" t="s">
        <v>311</v>
      </c>
      <c r="V5053" s="222" t="s">
        <v>352</v>
      </c>
      <c r="W5053" s="2155" t="s">
        <v>17147</v>
      </c>
      <c r="X5053" s="818"/>
      <c r="Y5053" s="1161"/>
    </row>
    <row r="5054" spans="1:25" ht="15.75" hidden="1" customHeight="1">
      <c r="A5054" s="20">
        <v>5063</v>
      </c>
      <c r="B5054" s="1069">
        <v>44569</v>
      </c>
      <c r="C5054" s="1006" t="s">
        <v>17148</v>
      </c>
      <c r="D5054" s="11" t="s">
        <v>6</v>
      </c>
      <c r="E5054" s="818" t="s">
        <v>5448</v>
      </c>
      <c r="F5054" s="1006" t="s">
        <v>11438</v>
      </c>
      <c r="G5054" s="818" t="s">
        <v>17149</v>
      </c>
      <c r="H5054" s="818" t="s">
        <v>1729</v>
      </c>
      <c r="I5054" s="222" t="s">
        <v>574</v>
      </c>
      <c r="J5054" s="222" t="s">
        <v>17150</v>
      </c>
      <c r="K5054" s="222" t="s">
        <v>17151</v>
      </c>
      <c r="L5054" s="222"/>
      <c r="M5054" s="222">
        <v>1</v>
      </c>
      <c r="N5054" s="222">
        <v>1</v>
      </c>
      <c r="O5054" s="222">
        <v>1</v>
      </c>
      <c r="P5054" s="222">
        <v>0</v>
      </c>
      <c r="Q5054" s="222">
        <v>0</v>
      </c>
      <c r="R5054" s="1195">
        <v>2692</v>
      </c>
      <c r="S5054" s="1195">
        <v>2692</v>
      </c>
      <c r="T5054" s="222" t="s">
        <v>311</v>
      </c>
      <c r="U5054" s="1527" t="s">
        <v>311</v>
      </c>
      <c r="V5054" s="222" t="s">
        <v>352</v>
      </c>
      <c r="W5054" s="2155" t="s">
        <v>17152</v>
      </c>
      <c r="X5054" s="818"/>
      <c r="Y5054" s="1161"/>
    </row>
    <row r="5055" spans="1:25" ht="15" hidden="1" customHeight="1">
      <c r="A5055" s="20">
        <v>5064</v>
      </c>
      <c r="B5055" s="1069">
        <v>44569</v>
      </c>
      <c r="C5055" s="1006" t="s">
        <v>9395</v>
      </c>
      <c r="D5055" s="11" t="s">
        <v>6</v>
      </c>
      <c r="E5055" s="818" t="s">
        <v>5448</v>
      </c>
      <c r="F5055" s="1006" t="s">
        <v>11438</v>
      </c>
      <c r="G5055" s="818" t="s">
        <v>17153</v>
      </c>
      <c r="H5055" s="818" t="s">
        <v>17154</v>
      </c>
      <c r="I5055" s="222" t="s">
        <v>574</v>
      </c>
      <c r="J5055" s="222" t="s">
        <v>17155</v>
      </c>
      <c r="K5055" s="818" t="s">
        <v>17156</v>
      </c>
      <c r="L5055" s="222"/>
      <c r="M5055" s="222">
        <v>1</v>
      </c>
      <c r="N5055" s="222">
        <v>1</v>
      </c>
      <c r="O5055" s="222">
        <v>1</v>
      </c>
      <c r="P5055" s="222">
        <v>0</v>
      </c>
      <c r="Q5055" s="222">
        <v>0</v>
      </c>
      <c r="R5055" s="1195">
        <v>3867</v>
      </c>
      <c r="S5055" s="1195">
        <v>3867</v>
      </c>
      <c r="T5055" s="222" t="s">
        <v>311</v>
      </c>
      <c r="U5055" s="1527" t="s">
        <v>311</v>
      </c>
      <c r="V5055" s="222" t="s">
        <v>352</v>
      </c>
      <c r="W5055" s="2155" t="s">
        <v>17157</v>
      </c>
      <c r="X5055" s="818"/>
      <c r="Y5055" s="1161"/>
    </row>
    <row r="5056" spans="1:25" ht="15.75" hidden="1" customHeight="1">
      <c r="A5056" s="20">
        <v>5065</v>
      </c>
      <c r="B5056" s="1069">
        <v>44572</v>
      </c>
      <c r="C5056" s="1006" t="s">
        <v>17158</v>
      </c>
      <c r="D5056" s="11" t="s">
        <v>6</v>
      </c>
      <c r="E5056" s="818" t="s">
        <v>683</v>
      </c>
      <c r="F5056" s="1006" t="s">
        <v>73</v>
      </c>
      <c r="G5056" s="818" t="s">
        <v>17159</v>
      </c>
      <c r="H5056" s="818" t="s">
        <v>14383</v>
      </c>
      <c r="I5056" s="222" t="s">
        <v>4115</v>
      </c>
      <c r="J5056" s="222" t="s">
        <v>17160</v>
      </c>
      <c r="K5056" s="222" t="s">
        <v>17160</v>
      </c>
      <c r="L5056" s="222"/>
      <c r="M5056" s="222">
        <v>1</v>
      </c>
      <c r="N5056" s="222">
        <v>1</v>
      </c>
      <c r="O5056" s="222">
        <v>1</v>
      </c>
      <c r="P5056" s="222">
        <v>0</v>
      </c>
      <c r="Q5056" s="222">
        <v>0</v>
      </c>
      <c r="R5056" s="1195">
        <v>12000</v>
      </c>
      <c r="S5056" s="1195">
        <v>12000</v>
      </c>
      <c r="T5056" s="222" t="s">
        <v>17161</v>
      </c>
      <c r="U5056" s="1527"/>
      <c r="V5056" s="222" t="s">
        <v>8003</v>
      </c>
      <c r="W5056" s="819"/>
      <c r="X5056" s="818"/>
      <c r="Y5056" s="1161"/>
    </row>
    <row r="5057" spans="1:25" ht="15.75" hidden="1" customHeight="1">
      <c r="A5057" s="20">
        <v>5066</v>
      </c>
      <c r="B5057" s="1069">
        <v>44572</v>
      </c>
      <c r="C5057" s="1006" t="s">
        <v>17162</v>
      </c>
      <c r="D5057" s="11" t="s">
        <v>6</v>
      </c>
      <c r="E5057" s="818" t="s">
        <v>683</v>
      </c>
      <c r="F5057" s="1006" t="s">
        <v>73</v>
      </c>
      <c r="G5057" s="818" t="s">
        <v>17163</v>
      </c>
      <c r="H5057" s="818"/>
      <c r="I5057" s="222" t="s">
        <v>4115</v>
      </c>
      <c r="J5057" s="222"/>
      <c r="K5057" s="818"/>
      <c r="L5057" s="222"/>
      <c r="M5057" s="222">
        <v>1</v>
      </c>
      <c r="N5057" s="222">
        <v>1</v>
      </c>
      <c r="O5057" s="222">
        <v>1</v>
      </c>
      <c r="P5057" s="222">
        <v>0</v>
      </c>
      <c r="Q5057" s="222">
        <v>0</v>
      </c>
      <c r="R5057" s="1195">
        <v>1000</v>
      </c>
      <c r="S5057" s="1195">
        <v>1000</v>
      </c>
      <c r="T5057" s="222" t="s">
        <v>17161</v>
      </c>
      <c r="U5057" s="1527"/>
      <c r="V5057" s="222" t="s">
        <v>8003</v>
      </c>
      <c r="W5057" s="819"/>
      <c r="X5057" s="818"/>
      <c r="Y5057" s="1161"/>
    </row>
    <row r="5058" spans="1:25" ht="15.75" hidden="1" customHeight="1">
      <c r="A5058" s="20">
        <v>5067</v>
      </c>
      <c r="B5058" s="1069">
        <v>44573</v>
      </c>
      <c r="C5058" s="1006" t="s">
        <v>17164</v>
      </c>
      <c r="D5058" s="8" t="s">
        <v>6</v>
      </c>
      <c r="E5058" s="818" t="s">
        <v>5448</v>
      </c>
      <c r="F5058" s="1006" t="s">
        <v>10651</v>
      </c>
      <c r="G5058" s="818" t="s">
        <v>17165</v>
      </c>
      <c r="H5058" s="818" t="s">
        <v>84</v>
      </c>
      <c r="I5058" s="222" t="s">
        <v>84</v>
      </c>
      <c r="J5058" s="222" t="s">
        <v>17166</v>
      </c>
      <c r="K5058" s="222">
        <v>49504605</v>
      </c>
      <c r="L5058" s="222"/>
      <c r="M5058" s="222">
        <v>1</v>
      </c>
      <c r="N5058" s="222">
        <v>1</v>
      </c>
      <c r="O5058" s="222">
        <v>1</v>
      </c>
      <c r="P5058" s="222">
        <v>0</v>
      </c>
      <c r="Q5058" s="222">
        <v>0</v>
      </c>
      <c r="R5058" s="1195">
        <v>1033.8499999999999</v>
      </c>
      <c r="S5058" s="1195">
        <v>1033.8499999999999</v>
      </c>
      <c r="T5058" s="222" t="s">
        <v>12425</v>
      </c>
      <c r="U5058" s="1527" t="s">
        <v>12425</v>
      </c>
      <c r="V5058" s="222" t="s">
        <v>16215</v>
      </c>
      <c r="W5058" s="2162" t="s">
        <v>17167</v>
      </c>
      <c r="X5058" s="818"/>
      <c r="Y5058" s="1161"/>
    </row>
    <row r="5059" spans="1:25" ht="15.75" hidden="1" customHeight="1">
      <c r="A5059" s="20">
        <v>5068</v>
      </c>
      <c r="B5059" s="1069">
        <v>44573</v>
      </c>
      <c r="C5059" s="1006" t="s">
        <v>17168</v>
      </c>
      <c r="D5059" s="8" t="s">
        <v>6</v>
      </c>
      <c r="E5059" s="818" t="s">
        <v>5448</v>
      </c>
      <c r="F5059" s="1006" t="s">
        <v>10651</v>
      </c>
      <c r="G5059" s="818" t="s">
        <v>17169</v>
      </c>
      <c r="H5059" s="818" t="s">
        <v>429</v>
      </c>
      <c r="I5059" s="222" t="s">
        <v>429</v>
      </c>
      <c r="J5059" s="222"/>
      <c r="K5059" s="222" t="s">
        <v>17170</v>
      </c>
      <c r="L5059" s="222"/>
      <c r="M5059" s="222">
        <v>1</v>
      </c>
      <c r="N5059" s="222">
        <v>1</v>
      </c>
      <c r="O5059" s="222">
        <v>1</v>
      </c>
      <c r="P5059" s="222">
        <v>0</v>
      </c>
      <c r="Q5059" s="222">
        <v>0</v>
      </c>
      <c r="R5059" s="1195">
        <v>37752</v>
      </c>
      <c r="S5059" s="1195">
        <v>37752</v>
      </c>
      <c r="T5059" s="222" t="s">
        <v>12425</v>
      </c>
      <c r="U5059" s="1527" t="s">
        <v>12425</v>
      </c>
      <c r="V5059" s="222" t="s">
        <v>16215</v>
      </c>
      <c r="W5059" s="2162" t="s">
        <v>16616</v>
      </c>
      <c r="X5059" s="818"/>
      <c r="Y5059" s="1161"/>
    </row>
    <row r="5060" spans="1:25" ht="15.75" hidden="1" customHeight="1">
      <c r="A5060" s="20">
        <v>5069</v>
      </c>
      <c r="B5060" s="858">
        <v>44574</v>
      </c>
      <c r="C5060" s="859" t="s">
        <v>1186</v>
      </c>
      <c r="D5060" s="11" t="s">
        <v>6</v>
      </c>
      <c r="E5060" s="818" t="s">
        <v>5448</v>
      </c>
      <c r="F5060" s="863" t="s">
        <v>16260</v>
      </c>
      <c r="G5060" s="1404" t="s">
        <v>17171</v>
      </c>
      <c r="H5060" s="1405" t="s">
        <v>9348</v>
      </c>
      <c r="I5060" s="239" t="s">
        <v>322</v>
      </c>
      <c r="J5060" s="1400" t="s">
        <v>17172</v>
      </c>
      <c r="K5060" s="271">
        <v>7064102</v>
      </c>
      <c r="L5060" s="1405"/>
      <c r="M5060" s="863">
        <v>1</v>
      </c>
      <c r="N5060" s="1406">
        <v>1</v>
      </c>
      <c r="O5060" s="1406">
        <f>N5060*M5060</f>
        <v>1</v>
      </c>
      <c r="P5060" s="863">
        <v>0</v>
      </c>
      <c r="Q5060" s="863">
        <v>1</v>
      </c>
      <c r="R5060" s="1195">
        <v>4690</v>
      </c>
      <c r="S5060" s="1195">
        <v>4690</v>
      </c>
      <c r="T5060" s="222" t="s">
        <v>14752</v>
      </c>
      <c r="U5060" s="1527" t="s">
        <v>9101</v>
      </c>
      <c r="V5060" s="222" t="s">
        <v>7780</v>
      </c>
      <c r="W5060" s="2155" t="s">
        <v>11312</v>
      </c>
      <c r="X5060" s="818"/>
      <c r="Y5060" s="1161"/>
    </row>
    <row r="5061" spans="1:25" ht="15.75" hidden="1" customHeight="1">
      <c r="A5061" s="20">
        <v>5070</v>
      </c>
      <c r="B5061" s="1069">
        <v>44575</v>
      </c>
      <c r="C5061" s="1006" t="s">
        <v>17173</v>
      </c>
      <c r="D5061" s="8" t="s">
        <v>6</v>
      </c>
      <c r="E5061" s="818" t="s">
        <v>5448</v>
      </c>
      <c r="F5061" s="1006" t="s">
        <v>15108</v>
      </c>
      <c r="G5061" s="818" t="s">
        <v>17174</v>
      </c>
      <c r="H5061" s="818" t="s">
        <v>961</v>
      </c>
      <c r="I5061" s="222" t="s">
        <v>961</v>
      </c>
      <c r="J5061" s="222" t="s">
        <v>17175</v>
      </c>
      <c r="K5061" s="222" t="s">
        <v>17175</v>
      </c>
      <c r="L5061" s="222"/>
      <c r="M5061" s="222">
        <v>16</v>
      </c>
      <c r="N5061" s="222">
        <v>1</v>
      </c>
      <c r="O5061" s="222">
        <v>30</v>
      </c>
      <c r="P5061" s="222">
        <v>0</v>
      </c>
      <c r="Q5061" s="222">
        <v>14</v>
      </c>
      <c r="R5061" s="1195">
        <v>37</v>
      </c>
      <c r="S5061" s="1195">
        <v>1110</v>
      </c>
      <c r="T5061" s="222" t="s">
        <v>12425</v>
      </c>
      <c r="U5061" s="1527" t="s">
        <v>1896</v>
      </c>
      <c r="V5061" s="207" t="s">
        <v>7917</v>
      </c>
      <c r="W5061" s="2155" t="s">
        <v>17176</v>
      </c>
      <c r="X5061" s="818"/>
      <c r="Y5061" s="1161"/>
    </row>
    <row r="5062" spans="1:25" ht="15.75" hidden="1" customHeight="1">
      <c r="A5062" s="20">
        <v>5071</v>
      </c>
      <c r="B5062" s="1069">
        <v>44575</v>
      </c>
      <c r="C5062" s="1006" t="s">
        <v>17177</v>
      </c>
      <c r="D5062" s="8" t="s">
        <v>6</v>
      </c>
      <c r="E5062" s="818" t="s">
        <v>5448</v>
      </c>
      <c r="F5062" s="1006" t="s">
        <v>15108</v>
      </c>
      <c r="G5062" s="818" t="s">
        <v>17178</v>
      </c>
      <c r="H5062" s="818" t="s">
        <v>961</v>
      </c>
      <c r="I5062" s="222" t="s">
        <v>961</v>
      </c>
      <c r="J5062" s="818" t="s">
        <v>17179</v>
      </c>
      <c r="K5062" s="818" t="s">
        <v>17179</v>
      </c>
      <c r="L5062" s="222"/>
      <c r="M5062" s="222">
        <v>16</v>
      </c>
      <c r="N5062" s="222">
        <v>1</v>
      </c>
      <c r="O5062" s="222">
        <v>30</v>
      </c>
      <c r="P5062" s="222">
        <v>0</v>
      </c>
      <c r="Q5062" s="222">
        <v>14</v>
      </c>
      <c r="R5062" s="1195">
        <v>35</v>
      </c>
      <c r="S5062" s="1195">
        <v>1050</v>
      </c>
      <c r="T5062" s="222" t="s">
        <v>12425</v>
      </c>
      <c r="U5062" s="1527" t="s">
        <v>1896</v>
      </c>
      <c r="V5062" s="207" t="s">
        <v>7917</v>
      </c>
      <c r="W5062" s="2155" t="s">
        <v>13650</v>
      </c>
      <c r="X5062" s="818"/>
      <c r="Y5062" s="1161"/>
    </row>
    <row r="5063" spans="1:25" ht="15.75" hidden="1" customHeight="1">
      <c r="A5063" s="20">
        <v>5072</v>
      </c>
      <c r="B5063" s="1069">
        <v>44575</v>
      </c>
      <c r="C5063" s="1006" t="s">
        <v>17180</v>
      </c>
      <c r="D5063" s="10"/>
      <c r="E5063" s="818" t="s">
        <v>5448</v>
      </c>
      <c r="F5063" s="1006" t="s">
        <v>15108</v>
      </c>
      <c r="G5063" s="818" t="s">
        <v>17180</v>
      </c>
      <c r="H5063" s="818" t="s">
        <v>17128</v>
      </c>
      <c r="I5063" s="222" t="s">
        <v>113</v>
      </c>
      <c r="J5063" s="1407">
        <v>715845</v>
      </c>
      <c r="K5063" s="818" t="s">
        <v>17181</v>
      </c>
      <c r="L5063" s="222"/>
      <c r="M5063" s="222">
        <v>4</v>
      </c>
      <c r="N5063" s="222">
        <v>1</v>
      </c>
      <c r="O5063" s="222">
        <v>4</v>
      </c>
      <c r="P5063" s="222">
        <v>0</v>
      </c>
      <c r="Q5063" s="222">
        <v>0</v>
      </c>
      <c r="R5063" s="1195">
        <v>269</v>
      </c>
      <c r="S5063" s="1195">
        <f>R5063*M5063</f>
        <v>1076</v>
      </c>
      <c r="T5063" s="222" t="s">
        <v>12425</v>
      </c>
      <c r="U5063" s="1527" t="s">
        <v>1896</v>
      </c>
      <c r="V5063" s="207" t="s">
        <v>7917</v>
      </c>
      <c r="W5063" s="2162" t="s">
        <v>17182</v>
      </c>
      <c r="X5063" s="818"/>
      <c r="Y5063" s="1161"/>
    </row>
    <row r="5064" spans="1:25" ht="15.75" hidden="1" customHeight="1">
      <c r="A5064" s="20">
        <v>5073</v>
      </c>
      <c r="B5064" s="1069">
        <v>44575</v>
      </c>
      <c r="C5064" s="1006" t="s">
        <v>17180</v>
      </c>
      <c r="D5064" s="10"/>
      <c r="E5064" s="818" t="s">
        <v>5448</v>
      </c>
      <c r="F5064" s="1006" t="s">
        <v>15108</v>
      </c>
      <c r="G5064" s="818" t="s">
        <v>17180</v>
      </c>
      <c r="H5064" s="818" t="s">
        <v>17128</v>
      </c>
      <c r="I5064" s="222" t="s">
        <v>113</v>
      </c>
      <c r="J5064" s="1387">
        <v>35767051</v>
      </c>
      <c r="K5064" s="818" t="s">
        <v>6755</v>
      </c>
      <c r="L5064" s="222"/>
      <c r="M5064" s="222">
        <v>4</v>
      </c>
      <c r="N5064" s="222">
        <v>1</v>
      </c>
      <c r="O5064" s="222">
        <v>4</v>
      </c>
      <c r="P5064" s="222">
        <v>0</v>
      </c>
      <c r="Q5064" s="222">
        <v>0</v>
      </c>
      <c r="R5064" s="1195">
        <v>725</v>
      </c>
      <c r="S5064" s="1195">
        <f>R5064*M5064</f>
        <v>2900</v>
      </c>
      <c r="T5064" s="222" t="s">
        <v>12425</v>
      </c>
      <c r="U5064" s="1527" t="s">
        <v>1896</v>
      </c>
      <c r="V5064" s="207" t="s">
        <v>7917</v>
      </c>
      <c r="W5064" s="2162" t="s">
        <v>17183</v>
      </c>
      <c r="X5064" s="818"/>
      <c r="Y5064" s="1161"/>
    </row>
    <row r="5065" spans="1:25" ht="15.75" hidden="1" customHeight="1">
      <c r="A5065" s="20">
        <v>5074</v>
      </c>
      <c r="B5065" s="1069">
        <v>44575</v>
      </c>
      <c r="C5065" s="1006" t="s">
        <v>17184</v>
      </c>
      <c r="D5065" s="11" t="s">
        <v>6</v>
      </c>
      <c r="E5065" s="1183" t="s">
        <v>5448</v>
      </c>
      <c r="F5065" s="1006" t="s">
        <v>1989</v>
      </c>
      <c r="G5065" s="1482" t="s">
        <v>17185</v>
      </c>
      <c r="H5065" s="1482" t="s">
        <v>17186</v>
      </c>
      <c r="I5065" s="222" t="s">
        <v>574</v>
      </c>
      <c r="J5065" s="1482" t="s">
        <v>17187</v>
      </c>
      <c r="K5065" s="1482" t="s">
        <v>17188</v>
      </c>
      <c r="L5065" s="222" t="s">
        <v>2063</v>
      </c>
      <c r="M5065" s="222">
        <v>2</v>
      </c>
      <c r="N5065" s="222">
        <v>1</v>
      </c>
      <c r="O5065" s="222">
        <v>10</v>
      </c>
      <c r="P5065" s="222">
        <v>0</v>
      </c>
      <c r="Q5065" s="222">
        <v>8</v>
      </c>
      <c r="R5065" s="1195">
        <v>351</v>
      </c>
      <c r="S5065" s="1195">
        <v>3516</v>
      </c>
      <c r="T5065" s="222" t="s">
        <v>9063</v>
      </c>
      <c r="U5065" s="1527" t="s">
        <v>3962</v>
      </c>
      <c r="V5065" s="222" t="s">
        <v>17135</v>
      </c>
      <c r="W5065" s="2155" t="s">
        <v>17189</v>
      </c>
      <c r="X5065" s="818"/>
      <c r="Y5065" s="1161"/>
    </row>
    <row r="5066" spans="1:25" ht="15.75" hidden="1" customHeight="1">
      <c r="A5066" s="20">
        <v>5075</v>
      </c>
      <c r="B5066" s="1069">
        <v>44578</v>
      </c>
      <c r="C5066" s="859" t="s">
        <v>17190</v>
      </c>
      <c r="D5066" s="8" t="s">
        <v>6</v>
      </c>
      <c r="E5066" s="1183" t="s">
        <v>5448</v>
      </c>
      <c r="F5066" s="863" t="s">
        <v>16260</v>
      </c>
      <c r="G5066" s="1183" t="s">
        <v>17191</v>
      </c>
      <c r="H5066" s="1183" t="s">
        <v>17104</v>
      </c>
      <c r="I5066" s="863" t="s">
        <v>1022</v>
      </c>
      <c r="J5066" s="1399" t="s">
        <v>17192</v>
      </c>
      <c r="K5066" s="1183" t="s">
        <v>17192</v>
      </c>
      <c r="L5066" s="222"/>
      <c r="M5066" s="222">
        <v>1</v>
      </c>
      <c r="N5066" s="222">
        <v>1</v>
      </c>
      <c r="O5066" s="222">
        <v>1</v>
      </c>
      <c r="P5066" s="222">
        <v>0</v>
      </c>
      <c r="Q5066" s="222">
        <v>1</v>
      </c>
      <c r="R5066" s="1195">
        <v>1625</v>
      </c>
      <c r="S5066" s="1195">
        <v>1625</v>
      </c>
      <c r="T5066" s="222" t="s">
        <v>14752</v>
      </c>
      <c r="U5066" s="1527" t="s">
        <v>9101</v>
      </c>
      <c r="V5066" s="222" t="s">
        <v>7780</v>
      </c>
      <c r="W5066" s="2163" t="s">
        <v>17193</v>
      </c>
      <c r="X5066" s="818"/>
      <c r="Y5066" s="1161"/>
    </row>
    <row r="5067" spans="1:25" ht="15.75" hidden="1" customHeight="1">
      <c r="A5067" s="20">
        <v>5076</v>
      </c>
      <c r="B5067" s="1069">
        <v>44578</v>
      </c>
      <c r="C5067" s="859" t="s">
        <v>17194</v>
      </c>
      <c r="D5067" s="8" t="s">
        <v>6</v>
      </c>
      <c r="E5067" s="1183" t="s">
        <v>5448</v>
      </c>
      <c r="F5067" s="863" t="s">
        <v>16260</v>
      </c>
      <c r="G5067" s="1183" t="s">
        <v>17195</v>
      </c>
      <c r="H5067" s="1183" t="s">
        <v>17196</v>
      </c>
      <c r="I5067" s="863" t="s">
        <v>11408</v>
      </c>
      <c r="J5067" s="863"/>
      <c r="K5067" s="863"/>
      <c r="L5067" s="222"/>
      <c r="M5067" s="222">
        <v>20</v>
      </c>
      <c r="N5067" s="222">
        <v>1</v>
      </c>
      <c r="O5067" s="222">
        <v>20</v>
      </c>
      <c r="P5067" s="222">
        <v>0</v>
      </c>
      <c r="Q5067" s="222">
        <v>20</v>
      </c>
      <c r="R5067" s="1195" t="s">
        <v>17197</v>
      </c>
      <c r="S5067" s="1195" t="s">
        <v>17198</v>
      </c>
      <c r="T5067" s="222" t="s">
        <v>14752</v>
      </c>
      <c r="U5067" s="1527" t="s">
        <v>9101</v>
      </c>
      <c r="V5067" s="222" t="s">
        <v>7780</v>
      </c>
      <c r="W5067" s="819"/>
      <c r="X5067" s="818"/>
      <c r="Y5067" s="1161"/>
    </row>
    <row r="5068" spans="1:25" ht="15.75" hidden="1" customHeight="1">
      <c r="A5068" s="20">
        <v>5077</v>
      </c>
      <c r="B5068" s="1069">
        <v>44578</v>
      </c>
      <c r="C5068" s="1006" t="s">
        <v>17199</v>
      </c>
      <c r="D5068" s="11" t="s">
        <v>6</v>
      </c>
      <c r="E5068" s="1183" t="s">
        <v>5448</v>
      </c>
      <c r="F5068" s="1006" t="s">
        <v>1989</v>
      </c>
      <c r="G5068" s="1183" t="s">
        <v>17200</v>
      </c>
      <c r="H5068" s="818" t="s">
        <v>2868</v>
      </c>
      <c r="I5068" s="222" t="s">
        <v>2868</v>
      </c>
      <c r="J5068" s="818">
        <v>22011700224</v>
      </c>
      <c r="K5068" s="818">
        <v>22011700224</v>
      </c>
      <c r="L5068" s="222"/>
      <c r="M5068" s="222">
        <v>1</v>
      </c>
      <c r="N5068" s="222">
        <v>1</v>
      </c>
      <c r="O5068" s="222">
        <v>4</v>
      </c>
      <c r="P5068" s="222">
        <v>0</v>
      </c>
      <c r="Q5068" s="222">
        <v>3</v>
      </c>
      <c r="R5068" s="1701">
        <v>37462</v>
      </c>
      <c r="S5068" s="1408">
        <v>37462</v>
      </c>
      <c r="T5068" s="222" t="s">
        <v>14752</v>
      </c>
      <c r="U5068" s="1527" t="s">
        <v>17201</v>
      </c>
      <c r="V5068" s="222" t="s">
        <v>7780</v>
      </c>
      <c r="W5068" s="2155" t="s">
        <v>17202</v>
      </c>
      <c r="X5068" s="818"/>
      <c r="Y5068" s="1161"/>
    </row>
    <row r="5069" spans="1:25" ht="15.75" hidden="1" customHeight="1">
      <c r="A5069" s="20">
        <v>5078</v>
      </c>
      <c r="B5069" s="1069">
        <v>44579</v>
      </c>
      <c r="C5069" s="1487" t="s">
        <v>17203</v>
      </c>
      <c r="D5069" s="10"/>
      <c r="E5069" s="1183" t="s">
        <v>5448</v>
      </c>
      <c r="F5069" s="1006" t="s">
        <v>13447</v>
      </c>
      <c r="G5069" s="818" t="s">
        <v>17204</v>
      </c>
      <c r="H5069" s="1488" t="s">
        <v>17205</v>
      </c>
      <c r="I5069" s="1488" t="s">
        <v>1022</v>
      </c>
      <c r="J5069" s="222"/>
      <c r="K5069" s="818"/>
      <c r="L5069" s="222"/>
      <c r="M5069" s="1487">
        <v>1</v>
      </c>
      <c r="N5069" s="222">
        <v>1</v>
      </c>
      <c r="O5069" s="222">
        <v>1</v>
      </c>
      <c r="P5069" s="222">
        <v>0</v>
      </c>
      <c r="Q5069" s="222">
        <v>0</v>
      </c>
      <c r="R5069" s="1702">
        <v>699</v>
      </c>
      <c r="S5069" s="1195">
        <f>R5069*O5069</f>
        <v>699</v>
      </c>
      <c r="T5069" s="222" t="s">
        <v>1395</v>
      </c>
      <c r="U5069" s="1527" t="s">
        <v>17206</v>
      </c>
      <c r="V5069" s="222" t="s">
        <v>13992</v>
      </c>
      <c r="W5069" s="2164" t="s">
        <v>17207</v>
      </c>
      <c r="X5069" s="818"/>
      <c r="Y5069" s="1161"/>
    </row>
    <row r="5070" spans="1:25" ht="15.75" hidden="1" customHeight="1">
      <c r="A5070" s="20">
        <v>5079</v>
      </c>
      <c r="B5070" s="1069">
        <v>44579</v>
      </c>
      <c r="C5070" s="1487" t="s">
        <v>17208</v>
      </c>
      <c r="D5070" s="10"/>
      <c r="E5070" s="1183" t="s">
        <v>5448</v>
      </c>
      <c r="F5070" s="1006" t="s">
        <v>13447</v>
      </c>
      <c r="G5070" s="818" t="s">
        <v>17209</v>
      </c>
      <c r="H5070" s="1409" t="s">
        <v>16741</v>
      </c>
      <c r="I5070" s="1488" t="s">
        <v>1022</v>
      </c>
      <c r="J5070" s="222"/>
      <c r="K5070" s="818"/>
      <c r="L5070" s="222"/>
      <c r="M5070" s="1487">
        <v>1</v>
      </c>
      <c r="N5070" s="222">
        <v>1</v>
      </c>
      <c r="O5070" s="222">
        <v>1</v>
      </c>
      <c r="P5070" s="222">
        <v>1</v>
      </c>
      <c r="Q5070" s="222">
        <v>2</v>
      </c>
      <c r="R5070" s="1702">
        <v>3398</v>
      </c>
      <c r="S5070" s="1195">
        <f t="shared" ref="S5070:S5071" si="285">R5070*O5070</f>
        <v>3398</v>
      </c>
      <c r="T5070" s="222" t="s">
        <v>1395</v>
      </c>
      <c r="U5070" s="1527"/>
      <c r="V5070" s="222" t="s">
        <v>13992</v>
      </c>
      <c r="W5070" s="2164" t="s">
        <v>16743</v>
      </c>
      <c r="X5070" s="818"/>
      <c r="Y5070" s="1161"/>
    </row>
    <row r="5071" spans="1:25" ht="15.75" hidden="1" customHeight="1">
      <c r="A5071" s="20">
        <v>5080</v>
      </c>
      <c r="B5071" s="1069">
        <v>44579</v>
      </c>
      <c r="C5071" s="1487" t="s">
        <v>16063</v>
      </c>
      <c r="D5071" s="10"/>
      <c r="E5071" s="1183" t="s">
        <v>5448</v>
      </c>
      <c r="F5071" s="1006" t="s">
        <v>13447</v>
      </c>
      <c r="G5071" s="818" t="s">
        <v>17210</v>
      </c>
      <c r="H5071" s="1488" t="s">
        <v>16064</v>
      </c>
      <c r="I5071" s="1488" t="s">
        <v>14253</v>
      </c>
      <c r="J5071" s="222"/>
      <c r="K5071" s="818"/>
      <c r="L5071" s="222"/>
      <c r="M5071" s="1487">
        <v>2</v>
      </c>
      <c r="N5071" s="222">
        <v>1</v>
      </c>
      <c r="O5071" s="222">
        <v>2</v>
      </c>
      <c r="P5071" s="222">
        <v>6</v>
      </c>
      <c r="Q5071" s="222">
        <v>8</v>
      </c>
      <c r="R5071" s="1702">
        <v>3824</v>
      </c>
      <c r="S5071" s="1195">
        <f t="shared" si="285"/>
        <v>7648</v>
      </c>
      <c r="T5071" s="222" t="s">
        <v>1395</v>
      </c>
      <c r="U5071" s="1527" t="s">
        <v>17211</v>
      </c>
      <c r="V5071" s="222" t="s">
        <v>13992</v>
      </c>
      <c r="W5071" s="2164" t="s">
        <v>16067</v>
      </c>
      <c r="X5071" s="818"/>
      <c r="Y5071" s="1161"/>
    </row>
    <row r="5072" spans="1:25" ht="15.75" hidden="1" customHeight="1">
      <c r="A5072" s="20">
        <v>5081</v>
      </c>
      <c r="B5072" s="1069">
        <v>44579</v>
      </c>
      <c r="C5072" s="1006" t="s">
        <v>3265</v>
      </c>
      <c r="D5072" s="11" t="s">
        <v>6</v>
      </c>
      <c r="E5072" s="1183" t="s">
        <v>5448</v>
      </c>
      <c r="F5072" s="1006" t="s">
        <v>2876</v>
      </c>
      <c r="G5072" s="818" t="s">
        <v>17212</v>
      </c>
      <c r="H5072" s="818" t="s">
        <v>468</v>
      </c>
      <c r="I5072" s="222" t="s">
        <v>5690</v>
      </c>
      <c r="J5072" s="1410">
        <v>26344072</v>
      </c>
      <c r="K5072" s="1410" t="s">
        <v>17213</v>
      </c>
      <c r="L5072" s="222" t="s">
        <v>17214</v>
      </c>
      <c r="M5072" s="222">
        <v>10</v>
      </c>
      <c r="N5072" s="222">
        <v>50</v>
      </c>
      <c r="O5072" s="222">
        <v>50</v>
      </c>
      <c r="P5072" s="222">
        <v>0</v>
      </c>
      <c r="Q5072" s="222">
        <v>50</v>
      </c>
      <c r="R5072" s="1195">
        <f>1690/50</f>
        <v>33.799999999999997</v>
      </c>
      <c r="S5072" s="1195">
        <f>N5072*R5072</f>
        <v>1689.9999999999998</v>
      </c>
      <c r="T5072" s="222" t="s">
        <v>12330</v>
      </c>
      <c r="U5072" s="1527" t="s">
        <v>17215</v>
      </c>
      <c r="V5072" s="222" t="s">
        <v>17216</v>
      </c>
      <c r="W5072" s="2155" t="s">
        <v>17217</v>
      </c>
      <c r="X5072" s="818"/>
      <c r="Y5072" s="1161"/>
    </row>
    <row r="5073" spans="1:25" ht="15.75" hidden="1" customHeight="1">
      <c r="A5073" s="20">
        <v>5082</v>
      </c>
      <c r="B5073" s="1069">
        <v>44579</v>
      </c>
      <c r="C5073" s="1006" t="s">
        <v>3265</v>
      </c>
      <c r="D5073" s="11" t="s">
        <v>6</v>
      </c>
      <c r="E5073" s="1183" t="s">
        <v>5448</v>
      </c>
      <c r="F5073" s="1006" t="s">
        <v>2876</v>
      </c>
      <c r="G5073" s="818" t="s">
        <v>17218</v>
      </c>
      <c r="H5073" s="818" t="s">
        <v>468</v>
      </c>
      <c r="I5073" s="222" t="s">
        <v>5690</v>
      </c>
      <c r="J5073" s="1410">
        <v>11317172</v>
      </c>
      <c r="K5073" s="1410" t="s">
        <v>469</v>
      </c>
      <c r="L5073" s="222" t="s">
        <v>17214</v>
      </c>
      <c r="M5073" s="222">
        <v>10</v>
      </c>
      <c r="N5073" s="222">
        <v>10</v>
      </c>
      <c r="O5073" s="222">
        <v>20</v>
      </c>
      <c r="P5073" s="222">
        <v>0</v>
      </c>
      <c r="Q5073" s="222">
        <v>20</v>
      </c>
      <c r="R5073" s="1195">
        <f>699/10</f>
        <v>69.900000000000006</v>
      </c>
      <c r="S5073" s="1195">
        <f>O5073*R5073</f>
        <v>1398</v>
      </c>
      <c r="T5073" s="222" t="s">
        <v>12330</v>
      </c>
      <c r="U5073" s="1527" t="s">
        <v>17215</v>
      </c>
      <c r="V5073" s="222" t="s">
        <v>17219</v>
      </c>
      <c r="W5073" s="2155" t="s">
        <v>16635</v>
      </c>
      <c r="X5073" s="818"/>
      <c r="Y5073" s="1161"/>
    </row>
    <row r="5074" spans="1:25" ht="15.75" hidden="1" customHeight="1">
      <c r="A5074" s="20">
        <v>5083</v>
      </c>
      <c r="B5074" s="1069">
        <v>44580</v>
      </c>
      <c r="C5074" s="1006" t="s">
        <v>4027</v>
      </c>
      <c r="D5074" s="8" t="s">
        <v>6</v>
      </c>
      <c r="E5074" s="1183" t="s">
        <v>5448</v>
      </c>
      <c r="F5074" s="1006" t="s">
        <v>15108</v>
      </c>
      <c r="G5074" s="818" t="s">
        <v>17220</v>
      </c>
      <c r="H5074" s="818" t="s">
        <v>5445</v>
      </c>
      <c r="I5074" s="222" t="s">
        <v>5445</v>
      </c>
      <c r="J5074" s="222" t="s">
        <v>17221</v>
      </c>
      <c r="K5074" s="818" t="s">
        <v>17221</v>
      </c>
      <c r="L5074" s="222"/>
      <c r="M5074" s="222">
        <v>2</v>
      </c>
      <c r="N5074" s="222">
        <v>1</v>
      </c>
      <c r="O5074" s="222">
        <v>3</v>
      </c>
      <c r="P5074" s="222">
        <v>0</v>
      </c>
      <c r="Q5074" s="222">
        <v>1</v>
      </c>
      <c r="R5074" s="1195">
        <v>762</v>
      </c>
      <c r="S5074" s="1195">
        <f>R5074*O5074</f>
        <v>2286</v>
      </c>
      <c r="T5074" s="222" t="s">
        <v>12330</v>
      </c>
      <c r="U5074" s="1527" t="s">
        <v>1896</v>
      </c>
      <c r="V5074" s="222" t="s">
        <v>17216</v>
      </c>
      <c r="W5074" s="2155" t="s">
        <v>17222</v>
      </c>
      <c r="X5074" s="818"/>
      <c r="Y5074" s="1161"/>
    </row>
    <row r="5075" spans="1:25" ht="15.75" hidden="1" customHeight="1">
      <c r="A5075" s="20">
        <v>5084</v>
      </c>
      <c r="B5075" s="1069">
        <v>44581</v>
      </c>
      <c r="C5075" s="934" t="s">
        <v>16201</v>
      </c>
      <c r="D5075" s="8" t="s">
        <v>6</v>
      </c>
      <c r="E5075" s="1183" t="s">
        <v>5448</v>
      </c>
      <c r="F5075" s="934" t="s">
        <v>9454</v>
      </c>
      <c r="G5075" s="204" t="s">
        <v>16202</v>
      </c>
      <c r="H5075" s="204" t="s">
        <v>12071</v>
      </c>
      <c r="I5075" s="204" t="s">
        <v>76</v>
      </c>
      <c r="J5075" s="204">
        <v>1260050</v>
      </c>
      <c r="K5075" s="204"/>
      <c r="L5075" s="204"/>
      <c r="M5075" s="204">
        <v>10</v>
      </c>
      <c r="N5075" s="204">
        <v>1</v>
      </c>
      <c r="O5075" s="204">
        <v>5</v>
      </c>
      <c r="P5075" s="204">
        <v>5</v>
      </c>
      <c r="Q5075" s="572">
        <v>10</v>
      </c>
      <c r="R5075" s="1209">
        <v>1180</v>
      </c>
      <c r="S5075" s="1209">
        <f>R5075*O5075</f>
        <v>5900</v>
      </c>
      <c r="T5075" s="204" t="s">
        <v>16203</v>
      </c>
      <c r="U5075" s="1901" t="s">
        <v>301</v>
      </c>
      <c r="V5075" s="572" t="s">
        <v>801</v>
      </c>
      <c r="W5075" s="1184" t="s">
        <v>16204</v>
      </c>
      <c r="X5075" s="818"/>
      <c r="Y5075" s="1161"/>
    </row>
    <row r="5076" spans="1:25" ht="15.75" hidden="1" customHeight="1">
      <c r="A5076" s="20">
        <v>5085</v>
      </c>
      <c r="B5076" s="1069">
        <v>44581</v>
      </c>
      <c r="C5076" s="934" t="s">
        <v>16205</v>
      </c>
      <c r="D5076" s="8" t="s">
        <v>6</v>
      </c>
      <c r="E5076" s="1183" t="s">
        <v>5448</v>
      </c>
      <c r="F5076" s="934" t="s">
        <v>9454</v>
      </c>
      <c r="G5076" s="204" t="s">
        <v>16202</v>
      </c>
      <c r="H5076" s="204" t="s">
        <v>12071</v>
      </c>
      <c r="I5076" s="204" t="s">
        <v>76</v>
      </c>
      <c r="J5076" s="204">
        <v>1260069</v>
      </c>
      <c r="K5076" s="204"/>
      <c r="L5076" s="204"/>
      <c r="M5076" s="204">
        <v>10</v>
      </c>
      <c r="N5076" s="204">
        <v>1</v>
      </c>
      <c r="O5076" s="204">
        <v>10</v>
      </c>
      <c r="P5076" s="204">
        <v>0</v>
      </c>
      <c r="Q5076" s="572">
        <v>10</v>
      </c>
      <c r="R5076" s="1209">
        <v>1180</v>
      </c>
      <c r="S5076" s="1209">
        <f t="shared" ref="S5076:S5077" si="286">R5076*O5076</f>
        <v>11800</v>
      </c>
      <c r="T5076" s="204" t="s">
        <v>16203</v>
      </c>
      <c r="U5076" s="1901" t="s">
        <v>301</v>
      </c>
      <c r="V5076" s="572" t="s">
        <v>801</v>
      </c>
      <c r="W5076" s="1184" t="s">
        <v>16206</v>
      </c>
      <c r="X5076" s="818"/>
      <c r="Y5076" s="1161"/>
    </row>
    <row r="5077" spans="1:25" ht="15.75" hidden="1" customHeight="1">
      <c r="A5077" s="20">
        <v>5086</v>
      </c>
      <c r="B5077" s="1069">
        <v>44581</v>
      </c>
      <c r="C5077" s="934" t="s">
        <v>16207</v>
      </c>
      <c r="D5077" s="8" t="s">
        <v>6</v>
      </c>
      <c r="E5077" s="1183" t="s">
        <v>5448</v>
      </c>
      <c r="F5077" s="934" t="s">
        <v>9454</v>
      </c>
      <c r="G5077" s="204" t="s">
        <v>16202</v>
      </c>
      <c r="H5077" s="204" t="s">
        <v>12071</v>
      </c>
      <c r="I5077" s="204" t="s">
        <v>76</v>
      </c>
      <c r="J5077" s="204">
        <v>1260078</v>
      </c>
      <c r="K5077" s="204"/>
      <c r="L5077" s="204"/>
      <c r="M5077" s="204">
        <v>10</v>
      </c>
      <c r="N5077" s="204">
        <v>1</v>
      </c>
      <c r="O5077" s="204">
        <v>5</v>
      </c>
      <c r="P5077" s="204">
        <v>4</v>
      </c>
      <c r="Q5077" s="572">
        <v>9</v>
      </c>
      <c r="R5077" s="1209">
        <v>1180</v>
      </c>
      <c r="S5077" s="1209">
        <f t="shared" si="286"/>
        <v>5900</v>
      </c>
      <c r="T5077" s="204" t="s">
        <v>16203</v>
      </c>
      <c r="U5077" s="1901" t="s">
        <v>301</v>
      </c>
      <c r="V5077" s="572" t="s">
        <v>801</v>
      </c>
      <c r="W5077" s="1184" t="s">
        <v>16208</v>
      </c>
      <c r="X5077" s="818"/>
      <c r="Y5077" s="1161"/>
    </row>
    <row r="5078" spans="1:25" ht="15.75" hidden="1" customHeight="1">
      <c r="A5078" s="20">
        <v>5087</v>
      </c>
      <c r="B5078" s="1069">
        <v>44581</v>
      </c>
      <c r="C5078" s="934" t="s">
        <v>11828</v>
      </c>
      <c r="D5078" s="11" t="s">
        <v>6</v>
      </c>
      <c r="E5078" s="1183" t="s">
        <v>5448</v>
      </c>
      <c r="F5078" s="26" t="s">
        <v>9454</v>
      </c>
      <c r="G5078" s="204" t="s">
        <v>11829</v>
      </c>
      <c r="H5078" s="204" t="s">
        <v>11830</v>
      </c>
      <c r="I5078" s="26" t="s">
        <v>84</v>
      </c>
      <c r="J5078" s="204">
        <v>10330311</v>
      </c>
      <c r="K5078" s="204" t="s">
        <v>11831</v>
      </c>
      <c r="L5078" s="204"/>
      <c r="M5078" s="204">
        <v>1</v>
      </c>
      <c r="N5078" s="204">
        <v>1</v>
      </c>
      <c r="O5078" s="204">
        <v>1</v>
      </c>
      <c r="P5078" s="204">
        <v>0</v>
      </c>
      <c r="Q5078" s="572">
        <v>50</v>
      </c>
      <c r="R5078" s="1209">
        <v>4990</v>
      </c>
      <c r="S5078" s="1209">
        <v>4990</v>
      </c>
      <c r="T5078" s="26" t="s">
        <v>11825</v>
      </c>
      <c r="U5078" s="1901" t="s">
        <v>301</v>
      </c>
      <c r="V5078" s="572" t="s">
        <v>801</v>
      </c>
      <c r="W5078" s="804" t="s">
        <v>11835</v>
      </c>
      <c r="X5078" s="18"/>
      <c r="Y5078" s="1161"/>
    </row>
    <row r="5079" spans="1:25" ht="15.75" hidden="1" customHeight="1">
      <c r="A5079" s="20">
        <v>5088</v>
      </c>
      <c r="B5079" s="1069">
        <v>44581</v>
      </c>
      <c r="C5079" s="818" t="s">
        <v>11836</v>
      </c>
      <c r="D5079" s="10" t="s">
        <v>6</v>
      </c>
      <c r="E5079" s="1183" t="s">
        <v>5448</v>
      </c>
      <c r="F5079" s="26" t="s">
        <v>9454</v>
      </c>
      <c r="G5079" s="204" t="s">
        <v>11837</v>
      </c>
      <c r="H5079" s="204" t="s">
        <v>113</v>
      </c>
      <c r="I5079" s="26" t="s">
        <v>84</v>
      </c>
      <c r="J5079" s="204">
        <v>87080813</v>
      </c>
      <c r="K5079" s="204"/>
      <c r="L5079" s="204"/>
      <c r="M5079" s="204">
        <v>1</v>
      </c>
      <c r="N5079" s="204">
        <v>1</v>
      </c>
      <c r="O5079" s="204">
        <v>1</v>
      </c>
      <c r="P5079" s="204">
        <v>0.1</v>
      </c>
      <c r="Q5079" s="572">
        <v>1.1000000000000001</v>
      </c>
      <c r="R5079" s="1209">
        <v>7490</v>
      </c>
      <c r="S5079" s="1209">
        <v>7490</v>
      </c>
      <c r="T5079" s="26" t="s">
        <v>11825</v>
      </c>
      <c r="U5079" s="1901" t="s">
        <v>301</v>
      </c>
      <c r="V5079" s="572" t="s">
        <v>801</v>
      </c>
      <c r="W5079" s="804" t="s">
        <v>11838</v>
      </c>
      <c r="X5079" s="18"/>
      <c r="Y5079" s="1161"/>
    </row>
    <row r="5080" spans="1:25" ht="15.75" hidden="1" customHeight="1">
      <c r="A5080" s="20">
        <v>5089</v>
      </c>
      <c r="B5080" s="1069">
        <v>44583</v>
      </c>
      <c r="C5080" s="818" t="s">
        <v>17223</v>
      </c>
      <c r="D5080" s="11" t="s">
        <v>6</v>
      </c>
      <c r="E5080" s="818" t="s">
        <v>166</v>
      </c>
      <c r="F5080" s="1006" t="s">
        <v>2876</v>
      </c>
      <c r="G5080" s="1478" t="s">
        <v>17224</v>
      </c>
      <c r="H5080" s="1478" t="s">
        <v>10146</v>
      </c>
      <c r="I5080" s="222" t="s">
        <v>574</v>
      </c>
      <c r="J5080" s="1478" t="s">
        <v>17225</v>
      </c>
      <c r="K5080" s="1478" t="s">
        <v>17226</v>
      </c>
      <c r="L5080" s="222" t="s">
        <v>4179</v>
      </c>
      <c r="M5080" s="222">
        <v>4</v>
      </c>
      <c r="N5080" s="222">
        <v>1</v>
      </c>
      <c r="O5080" s="222">
        <v>10</v>
      </c>
      <c r="P5080" s="222">
        <v>0</v>
      </c>
      <c r="Q5080" s="222">
        <v>6</v>
      </c>
      <c r="R5080" s="1195">
        <v>13.6</v>
      </c>
      <c r="S5080" s="1209">
        <f>O5080*R5080</f>
        <v>136</v>
      </c>
      <c r="T5080" s="222" t="s">
        <v>12330</v>
      </c>
      <c r="U5080" s="1527" t="s">
        <v>17227</v>
      </c>
      <c r="V5080" s="222" t="s">
        <v>17216</v>
      </c>
      <c r="W5080" s="2155" t="s">
        <v>17228</v>
      </c>
      <c r="X5080" s="818"/>
      <c r="Y5080" s="1161"/>
    </row>
    <row r="5081" spans="1:25" ht="15.75" hidden="1" customHeight="1">
      <c r="A5081" s="20">
        <v>5090</v>
      </c>
      <c r="B5081" s="1069">
        <v>44583</v>
      </c>
      <c r="C5081" s="818" t="s">
        <v>17229</v>
      </c>
      <c r="D5081" s="11" t="s">
        <v>6</v>
      </c>
      <c r="E5081" s="818" t="s">
        <v>166</v>
      </c>
      <c r="F5081" s="1006" t="s">
        <v>2876</v>
      </c>
      <c r="G5081" s="1478" t="s">
        <v>17224</v>
      </c>
      <c r="H5081" s="1482" t="s">
        <v>17230</v>
      </c>
      <c r="I5081" s="222" t="s">
        <v>574</v>
      </c>
      <c r="J5081" s="1478" t="s">
        <v>17231</v>
      </c>
      <c r="K5081" s="1478" t="s">
        <v>17232</v>
      </c>
      <c r="L5081" s="222" t="s">
        <v>4179</v>
      </c>
      <c r="M5081" s="222">
        <v>4</v>
      </c>
      <c r="N5081" s="222">
        <v>1</v>
      </c>
      <c r="O5081" s="222">
        <v>10</v>
      </c>
      <c r="P5081" s="222">
        <v>0</v>
      </c>
      <c r="Q5081" s="222">
        <v>6</v>
      </c>
      <c r="R5081" s="1195">
        <v>53.6</v>
      </c>
      <c r="S5081" s="1209">
        <f>O5081*R5081</f>
        <v>536</v>
      </c>
      <c r="T5081" s="222" t="s">
        <v>17233</v>
      </c>
      <c r="U5081" s="1527" t="s">
        <v>17227</v>
      </c>
      <c r="V5081" s="222" t="s">
        <v>17234</v>
      </c>
      <c r="W5081" s="2155" t="s">
        <v>17235</v>
      </c>
      <c r="X5081" s="818"/>
      <c r="Y5081" s="1161"/>
    </row>
    <row r="5082" spans="1:25" ht="15.75" hidden="1" customHeight="1">
      <c r="A5082" s="20">
        <v>0</v>
      </c>
      <c r="B5082" s="1069">
        <v>44583</v>
      </c>
      <c r="C5082" s="222" t="s">
        <v>2621</v>
      </c>
      <c r="D5082" s="8" t="s">
        <v>6</v>
      </c>
      <c r="E5082" s="818" t="s">
        <v>166</v>
      </c>
      <c r="F5082" s="1006" t="s">
        <v>10651</v>
      </c>
      <c r="G5082" s="818" t="s">
        <v>17236</v>
      </c>
      <c r="H5082" s="1006" t="s">
        <v>429</v>
      </c>
      <c r="I5082" s="222" t="s">
        <v>468</v>
      </c>
      <c r="J5082" s="1478"/>
      <c r="K5082" s="222" t="s">
        <v>17237</v>
      </c>
      <c r="L5082" s="222"/>
      <c r="M5082" s="222">
        <v>8</v>
      </c>
      <c r="N5082" s="222">
        <v>50</v>
      </c>
      <c r="O5082" s="222">
        <v>50</v>
      </c>
      <c r="P5082" s="222">
        <v>0</v>
      </c>
      <c r="Q5082" s="222">
        <v>42</v>
      </c>
      <c r="R5082" s="1195">
        <v>37</v>
      </c>
      <c r="S5082" s="1195">
        <v>2200</v>
      </c>
      <c r="T5082" s="222" t="s">
        <v>12330</v>
      </c>
      <c r="U5082" s="1901" t="s">
        <v>301</v>
      </c>
      <c r="V5082" s="222" t="s">
        <v>17216</v>
      </c>
      <c r="W5082" s="2155" t="s">
        <v>17238</v>
      </c>
      <c r="X5082" s="818"/>
      <c r="Y5082" s="1161"/>
    </row>
    <row r="5083" spans="1:25" ht="15.75" hidden="1" customHeight="1">
      <c r="A5083" s="20">
        <v>5092</v>
      </c>
      <c r="B5083" s="1069">
        <v>44583</v>
      </c>
      <c r="C5083" s="222" t="s">
        <v>17239</v>
      </c>
      <c r="D5083" s="8" t="s">
        <v>6</v>
      </c>
      <c r="E5083" s="818" t="s">
        <v>166</v>
      </c>
      <c r="F5083" s="1006" t="s">
        <v>10651</v>
      </c>
      <c r="G5083" s="818" t="s">
        <v>17240</v>
      </c>
      <c r="H5083" s="1006" t="s">
        <v>429</v>
      </c>
      <c r="I5083" s="222" t="s">
        <v>686</v>
      </c>
      <c r="J5083" s="222"/>
      <c r="K5083" s="222" t="s">
        <v>17241</v>
      </c>
      <c r="L5083" s="222"/>
      <c r="M5083" s="222">
        <v>8</v>
      </c>
      <c r="N5083" s="222">
        <v>8</v>
      </c>
      <c r="O5083" s="222">
        <v>10</v>
      </c>
      <c r="P5083" s="222">
        <v>0</v>
      </c>
      <c r="Q5083" s="222">
        <v>2</v>
      </c>
      <c r="R5083" s="1195">
        <v>112</v>
      </c>
      <c r="S5083" s="1195">
        <v>1342</v>
      </c>
      <c r="T5083" s="222" t="s">
        <v>12330</v>
      </c>
      <c r="U5083" s="1901" t="s">
        <v>301</v>
      </c>
      <c r="V5083" s="222" t="s">
        <v>17234</v>
      </c>
      <c r="W5083" s="2155" t="s">
        <v>17242</v>
      </c>
      <c r="X5083" s="818"/>
      <c r="Y5083" s="1161"/>
    </row>
    <row r="5084" spans="1:25" ht="15.75" hidden="1" customHeight="1">
      <c r="A5084" s="20">
        <v>5093</v>
      </c>
      <c r="B5084" s="1069">
        <v>44583</v>
      </c>
      <c r="C5084" s="1006" t="s">
        <v>17243</v>
      </c>
      <c r="D5084" s="8" t="s">
        <v>6</v>
      </c>
      <c r="E5084" s="818" t="s">
        <v>166</v>
      </c>
      <c r="F5084" s="1006" t="s">
        <v>10651</v>
      </c>
      <c r="G5084" s="818" t="s">
        <v>17243</v>
      </c>
      <c r="H5084" s="1006" t="s">
        <v>429</v>
      </c>
      <c r="I5084" s="222" t="s">
        <v>686</v>
      </c>
      <c r="J5084" s="222"/>
      <c r="K5084" s="222" t="s">
        <v>12424</v>
      </c>
      <c r="L5084" s="222"/>
      <c r="M5084" s="222">
        <v>4</v>
      </c>
      <c r="N5084" s="222">
        <v>4</v>
      </c>
      <c r="O5084" s="222">
        <v>8</v>
      </c>
      <c r="P5084" s="222">
        <v>0</v>
      </c>
      <c r="Q5084" s="222">
        <v>4</v>
      </c>
      <c r="R5084" s="1195">
        <v>33</v>
      </c>
      <c r="S5084" s="1195">
        <v>550</v>
      </c>
      <c r="T5084" s="222" t="s">
        <v>12330</v>
      </c>
      <c r="U5084" s="1901" t="s">
        <v>301</v>
      </c>
      <c r="V5084" s="222" t="s">
        <v>17216</v>
      </c>
      <c r="W5084" s="2162" t="s">
        <v>17244</v>
      </c>
      <c r="X5084" s="818"/>
      <c r="Y5084" s="1161"/>
    </row>
    <row r="5085" spans="1:25" ht="15.75" hidden="1" customHeight="1">
      <c r="A5085" s="20">
        <v>5094</v>
      </c>
      <c r="B5085" s="1069">
        <v>44583</v>
      </c>
      <c r="C5085" s="1006" t="s">
        <v>17245</v>
      </c>
      <c r="D5085" s="8" t="s">
        <v>6</v>
      </c>
      <c r="E5085" s="818" t="s">
        <v>166</v>
      </c>
      <c r="F5085" s="1006" t="s">
        <v>10651</v>
      </c>
      <c r="G5085" s="818" t="s">
        <v>17245</v>
      </c>
      <c r="H5085" s="1006" t="s">
        <v>429</v>
      </c>
      <c r="I5085" s="222" t="s">
        <v>686</v>
      </c>
      <c r="J5085" s="222"/>
      <c r="K5085" s="222" t="s">
        <v>16844</v>
      </c>
      <c r="L5085" s="222"/>
      <c r="M5085" s="222">
        <v>10</v>
      </c>
      <c r="N5085" s="222">
        <v>10</v>
      </c>
      <c r="O5085" s="222">
        <v>10</v>
      </c>
      <c r="P5085" s="222">
        <v>0</v>
      </c>
      <c r="Q5085" s="222">
        <v>0</v>
      </c>
      <c r="R5085" s="1195">
        <v>36</v>
      </c>
      <c r="S5085" s="1195">
        <v>583</v>
      </c>
      <c r="T5085" s="222" t="s">
        <v>12330</v>
      </c>
      <c r="U5085" s="1901" t="s">
        <v>301</v>
      </c>
      <c r="V5085" s="222" t="s">
        <v>17234</v>
      </c>
      <c r="W5085" s="2155" t="s">
        <v>17246</v>
      </c>
      <c r="X5085" s="818"/>
      <c r="Y5085" s="1161"/>
    </row>
    <row r="5086" spans="1:25" ht="15.75" hidden="1" customHeight="1">
      <c r="A5086" s="20">
        <v>5095</v>
      </c>
      <c r="B5086" s="1069">
        <v>44583</v>
      </c>
      <c r="C5086" s="1006" t="s">
        <v>17247</v>
      </c>
      <c r="D5086" s="8" t="s">
        <v>6</v>
      </c>
      <c r="E5086" s="818" t="s">
        <v>166</v>
      </c>
      <c r="F5086" s="1006" t="s">
        <v>10651</v>
      </c>
      <c r="G5086" s="818" t="s">
        <v>17247</v>
      </c>
      <c r="H5086" s="1006" t="s">
        <v>429</v>
      </c>
      <c r="I5086" s="222" t="s">
        <v>686</v>
      </c>
      <c r="J5086" s="222"/>
      <c r="K5086" s="222" t="s">
        <v>17248</v>
      </c>
      <c r="L5086" s="222"/>
      <c r="M5086" s="222">
        <v>6</v>
      </c>
      <c r="N5086" s="222">
        <v>6</v>
      </c>
      <c r="O5086" s="222">
        <v>10</v>
      </c>
      <c r="P5086" s="222">
        <v>0</v>
      </c>
      <c r="Q5086" s="222">
        <v>4</v>
      </c>
      <c r="R5086" s="1195">
        <v>80</v>
      </c>
      <c r="S5086" s="1195">
        <v>803</v>
      </c>
      <c r="T5086" s="222" t="s">
        <v>12330</v>
      </c>
      <c r="U5086" s="1901" t="s">
        <v>301</v>
      </c>
      <c r="V5086" s="222" t="s">
        <v>17216</v>
      </c>
      <c r="W5086" s="2162" t="s">
        <v>17249</v>
      </c>
      <c r="X5086" s="818"/>
      <c r="Y5086" s="1161"/>
    </row>
    <row r="5087" spans="1:25" ht="15.75" hidden="1" customHeight="1">
      <c r="A5087" s="20">
        <v>5096</v>
      </c>
      <c r="B5087" s="1069">
        <v>44583</v>
      </c>
      <c r="C5087" s="1006" t="s">
        <v>17250</v>
      </c>
      <c r="D5087" s="8" t="s">
        <v>6</v>
      </c>
      <c r="E5087" s="818" t="s">
        <v>166</v>
      </c>
      <c r="F5087" s="1006" t="s">
        <v>10651</v>
      </c>
      <c r="G5087" s="818" t="s">
        <v>17251</v>
      </c>
      <c r="H5087" s="1006" t="s">
        <v>429</v>
      </c>
      <c r="I5087" s="222" t="s">
        <v>686</v>
      </c>
      <c r="J5087" s="222"/>
      <c r="K5087" s="222" t="s">
        <v>17252</v>
      </c>
      <c r="L5087" s="222"/>
      <c r="M5087" s="222">
        <v>10</v>
      </c>
      <c r="N5087" s="222">
        <v>10</v>
      </c>
      <c r="O5087" s="222">
        <v>10</v>
      </c>
      <c r="P5087" s="222">
        <v>0</v>
      </c>
      <c r="Q5087" s="222">
        <v>0</v>
      </c>
      <c r="R5087" s="1195">
        <v>111</v>
      </c>
      <c r="S5087" s="1195">
        <v>1111</v>
      </c>
      <c r="T5087" s="222" t="s">
        <v>12330</v>
      </c>
      <c r="U5087" s="1901" t="s">
        <v>301</v>
      </c>
      <c r="V5087" s="222" t="s">
        <v>17234</v>
      </c>
      <c r="W5087" s="2162" t="s">
        <v>17253</v>
      </c>
      <c r="X5087" s="818"/>
      <c r="Y5087" s="1161"/>
    </row>
    <row r="5088" spans="1:25" ht="15.75" hidden="1" customHeight="1">
      <c r="A5088" s="20">
        <v>5097</v>
      </c>
      <c r="B5088" s="1069">
        <v>44583</v>
      </c>
      <c r="C5088" s="1006" t="s">
        <v>17254</v>
      </c>
      <c r="D5088" s="8" t="s">
        <v>6</v>
      </c>
      <c r="E5088" s="818" t="s">
        <v>166</v>
      </c>
      <c r="F5088" s="1006" t="s">
        <v>10651</v>
      </c>
      <c r="G5088" s="818" t="s">
        <v>17254</v>
      </c>
      <c r="H5088" s="1006" t="s">
        <v>429</v>
      </c>
      <c r="I5088" s="222" t="s">
        <v>686</v>
      </c>
      <c r="J5088" s="222"/>
      <c r="K5088" s="222" t="s">
        <v>17255</v>
      </c>
      <c r="L5088" s="222"/>
      <c r="M5088" s="222">
        <v>8</v>
      </c>
      <c r="N5088" s="222">
        <v>8</v>
      </c>
      <c r="O5088" s="222">
        <v>8</v>
      </c>
      <c r="P5088" s="222">
        <v>0</v>
      </c>
      <c r="Q5088" s="222">
        <v>0</v>
      </c>
      <c r="R5088" s="1195">
        <v>26</v>
      </c>
      <c r="S5088" s="1195">
        <v>431</v>
      </c>
      <c r="T5088" s="222" t="s">
        <v>12330</v>
      </c>
      <c r="U5088" s="1901" t="s">
        <v>301</v>
      </c>
      <c r="V5088" s="222" t="s">
        <v>17216</v>
      </c>
      <c r="W5088" s="2155" t="s">
        <v>17256</v>
      </c>
      <c r="X5088" s="818"/>
      <c r="Y5088" s="1161"/>
    </row>
    <row r="5089" spans="1:52" ht="15.75" hidden="1" customHeight="1">
      <c r="A5089" s="20">
        <v>5098</v>
      </c>
      <c r="B5089" s="1069">
        <v>44583</v>
      </c>
      <c r="C5089" s="1006" t="s">
        <v>17257</v>
      </c>
      <c r="D5089" s="8" t="s">
        <v>6</v>
      </c>
      <c r="E5089" s="818" t="s">
        <v>166</v>
      </c>
      <c r="F5089" s="1006" t="s">
        <v>10651</v>
      </c>
      <c r="G5089" s="818" t="s">
        <v>17258</v>
      </c>
      <c r="H5089" s="1006" t="s">
        <v>429</v>
      </c>
      <c r="I5089" s="222" t="s">
        <v>429</v>
      </c>
      <c r="J5089" s="222"/>
      <c r="K5089" s="222" t="s">
        <v>9511</v>
      </c>
      <c r="L5089" s="222"/>
      <c r="M5089" s="222">
        <v>4</v>
      </c>
      <c r="N5089" s="222">
        <v>4</v>
      </c>
      <c r="O5089" s="222">
        <v>6</v>
      </c>
      <c r="P5089" s="222">
        <v>0</v>
      </c>
      <c r="Q5089" s="222">
        <v>2</v>
      </c>
      <c r="R5089" s="1195">
        <v>90</v>
      </c>
      <c r="S5089" s="1195">
        <v>541</v>
      </c>
      <c r="T5089" s="222" t="s">
        <v>12330</v>
      </c>
      <c r="U5089" s="1901" t="s">
        <v>301</v>
      </c>
      <c r="V5089" s="222" t="s">
        <v>17234</v>
      </c>
      <c r="W5089" s="2162" t="s">
        <v>17259</v>
      </c>
      <c r="X5089" s="818"/>
      <c r="Y5089" s="1161"/>
    </row>
    <row r="5090" spans="1:52" ht="15.75" hidden="1" customHeight="1">
      <c r="A5090" s="20">
        <v>5099</v>
      </c>
      <c r="B5090" s="1069">
        <v>44583</v>
      </c>
      <c r="C5090" s="1006" t="s">
        <v>17260</v>
      </c>
      <c r="D5090" s="8" t="s">
        <v>6</v>
      </c>
      <c r="E5090" s="818" t="s">
        <v>166</v>
      </c>
      <c r="F5090" s="1006" t="s">
        <v>10651</v>
      </c>
      <c r="G5090" s="818" t="s">
        <v>17261</v>
      </c>
      <c r="H5090" s="1006" t="s">
        <v>429</v>
      </c>
      <c r="I5090" s="222" t="s">
        <v>429</v>
      </c>
      <c r="J5090" s="222"/>
      <c r="K5090" s="222" t="s">
        <v>17262</v>
      </c>
      <c r="L5090" s="222"/>
      <c r="M5090" s="222">
        <v>4</v>
      </c>
      <c r="N5090" s="222">
        <v>4</v>
      </c>
      <c r="O5090" s="222">
        <v>6</v>
      </c>
      <c r="P5090" s="222">
        <v>0</v>
      </c>
      <c r="Q5090" s="222">
        <v>2</v>
      </c>
      <c r="R5090" s="1195">
        <v>105</v>
      </c>
      <c r="S5090" s="1195">
        <v>627</v>
      </c>
      <c r="T5090" s="222" t="s">
        <v>12330</v>
      </c>
      <c r="U5090" s="1901" t="s">
        <v>301</v>
      </c>
      <c r="V5090" s="222" t="s">
        <v>17216</v>
      </c>
      <c r="W5090" s="2162" t="s">
        <v>17263</v>
      </c>
      <c r="X5090" s="818"/>
      <c r="Y5090" s="1161"/>
    </row>
    <row r="5091" spans="1:52" ht="15.75" hidden="1" customHeight="1">
      <c r="A5091" s="20">
        <v>5100</v>
      </c>
      <c r="B5091" s="1069">
        <v>44583</v>
      </c>
      <c r="C5091" s="1006" t="s">
        <v>17264</v>
      </c>
      <c r="D5091" s="8" t="s">
        <v>6</v>
      </c>
      <c r="E5091" s="818" t="s">
        <v>166</v>
      </c>
      <c r="F5091" s="1006" t="s">
        <v>10651</v>
      </c>
      <c r="G5091" s="818" t="s">
        <v>17264</v>
      </c>
      <c r="H5091" s="1006" t="s">
        <v>429</v>
      </c>
      <c r="I5091" s="222" t="s">
        <v>429</v>
      </c>
      <c r="J5091" s="222"/>
      <c r="K5091" s="222" t="s">
        <v>10984</v>
      </c>
      <c r="L5091" s="222"/>
      <c r="M5091" s="222">
        <v>25</v>
      </c>
      <c r="N5091" s="222">
        <v>25</v>
      </c>
      <c r="O5091" s="222">
        <v>25</v>
      </c>
      <c r="P5091" s="222">
        <v>0</v>
      </c>
      <c r="Q5091" s="222">
        <v>0</v>
      </c>
      <c r="R5091" s="1195">
        <v>286</v>
      </c>
      <c r="S5091" s="1195">
        <v>4950</v>
      </c>
      <c r="T5091" s="222" t="s">
        <v>12330</v>
      </c>
      <c r="U5091" s="1901" t="s">
        <v>301</v>
      </c>
      <c r="V5091" s="222" t="s">
        <v>17234</v>
      </c>
      <c r="W5091" s="2155" t="s">
        <v>17265</v>
      </c>
      <c r="X5091" s="818"/>
      <c r="Y5091" s="1161"/>
    </row>
    <row r="5092" spans="1:52" ht="15.75" hidden="1" customHeight="1">
      <c r="A5092" s="20">
        <v>5101</v>
      </c>
      <c r="B5092" s="1069">
        <v>44583</v>
      </c>
      <c r="C5092" s="1006" t="s">
        <v>17266</v>
      </c>
      <c r="D5092" s="8" t="s">
        <v>6</v>
      </c>
      <c r="E5092" s="818" t="s">
        <v>166</v>
      </c>
      <c r="F5092" s="1006" t="s">
        <v>10651</v>
      </c>
      <c r="G5092" s="818" t="s">
        <v>17267</v>
      </c>
      <c r="H5092" s="1006" t="s">
        <v>429</v>
      </c>
      <c r="I5092" s="222" t="s">
        <v>429</v>
      </c>
      <c r="J5092" s="222"/>
      <c r="K5092" s="222" t="s">
        <v>17268</v>
      </c>
      <c r="L5092" s="222"/>
      <c r="M5092" s="222">
        <v>1</v>
      </c>
      <c r="N5092" s="222">
        <v>1</v>
      </c>
      <c r="O5092" s="222">
        <v>1</v>
      </c>
      <c r="P5092" s="222">
        <v>0</v>
      </c>
      <c r="Q5092" s="222">
        <v>0</v>
      </c>
      <c r="R5092" s="1195">
        <v>4225</v>
      </c>
      <c r="S5092" s="1195">
        <v>4225</v>
      </c>
      <c r="T5092" s="222" t="s">
        <v>12330</v>
      </c>
      <c r="U5092" s="1901" t="s">
        <v>301</v>
      </c>
      <c r="V5092" s="222" t="s">
        <v>17219</v>
      </c>
      <c r="W5092" s="2155" t="s">
        <v>17269</v>
      </c>
      <c r="X5092" s="818"/>
      <c r="Y5092" s="1161"/>
    </row>
    <row r="5093" spans="1:52" ht="15.75" hidden="1" customHeight="1">
      <c r="A5093" s="20">
        <v>5102</v>
      </c>
      <c r="B5093" s="1069">
        <v>44585</v>
      </c>
      <c r="C5093" s="1006" t="s">
        <v>17270</v>
      </c>
      <c r="D5093" s="11" t="s">
        <v>6</v>
      </c>
      <c r="E5093" s="818" t="s">
        <v>166</v>
      </c>
      <c r="F5093" s="175" t="s">
        <v>10005</v>
      </c>
      <c r="G5093" s="1006" t="s">
        <v>17271</v>
      </c>
      <c r="H5093" s="1006" t="s">
        <v>10321</v>
      </c>
      <c r="I5093" s="1006" t="s">
        <v>10321</v>
      </c>
      <c r="J5093" s="1006" t="s">
        <v>17272</v>
      </c>
      <c r="K5093" s="1006" t="s">
        <v>17273</v>
      </c>
      <c r="L5093" s="1411" t="s">
        <v>149</v>
      </c>
      <c r="M5093" s="1006">
        <v>1</v>
      </c>
      <c r="N5093" s="1006">
        <v>1</v>
      </c>
      <c r="O5093" s="1006">
        <v>1</v>
      </c>
      <c r="P5093" s="1006">
        <v>0</v>
      </c>
      <c r="Q5093" s="1006">
        <v>0</v>
      </c>
      <c r="R5093" s="175" t="s">
        <v>17274</v>
      </c>
      <c r="S5093" s="1006" t="s">
        <v>17274</v>
      </c>
      <c r="T5093" s="1006" t="s">
        <v>4220</v>
      </c>
      <c r="U5093" s="1539" t="s">
        <v>4220</v>
      </c>
      <c r="V5093" s="1006" t="s">
        <v>689</v>
      </c>
      <c r="W5093" s="2163" t="s">
        <v>17275</v>
      </c>
      <c r="X5093" s="818"/>
      <c r="Y5093" s="1161"/>
    </row>
    <row r="5094" spans="1:52" ht="15.75" hidden="1" customHeight="1">
      <c r="A5094" s="20">
        <v>5103</v>
      </c>
      <c r="B5094" s="1069">
        <v>44585</v>
      </c>
      <c r="C5094" s="1006" t="s">
        <v>17270</v>
      </c>
      <c r="D5094" s="10" t="s">
        <v>6</v>
      </c>
      <c r="E5094" s="818" t="s">
        <v>166</v>
      </c>
      <c r="F5094" s="175" t="s">
        <v>10005</v>
      </c>
      <c r="G5094" s="1006" t="s">
        <v>17276</v>
      </c>
      <c r="H5094" s="1006" t="s">
        <v>10321</v>
      </c>
      <c r="I5094" s="1006" t="s">
        <v>10321</v>
      </c>
      <c r="J5094" s="1006" t="s">
        <v>17277</v>
      </c>
      <c r="K5094" s="1006" t="s">
        <v>17278</v>
      </c>
      <c r="L5094" s="1411" t="s">
        <v>149</v>
      </c>
      <c r="M5094" s="1006">
        <v>2</v>
      </c>
      <c r="N5094" s="1006">
        <v>1</v>
      </c>
      <c r="O5094" s="1006">
        <v>1</v>
      </c>
      <c r="P5094" s="1006">
        <v>0</v>
      </c>
      <c r="Q5094" s="1006">
        <v>0</v>
      </c>
      <c r="R5094" s="175" t="s">
        <v>17279</v>
      </c>
      <c r="S5094" s="1006" t="s">
        <v>17279</v>
      </c>
      <c r="T5094" s="1006" t="s">
        <v>4220</v>
      </c>
      <c r="U5094" s="1539" t="s">
        <v>4220</v>
      </c>
      <c r="V5094" s="1006" t="s">
        <v>689</v>
      </c>
      <c r="W5094" s="2163" t="s">
        <v>17275</v>
      </c>
      <c r="X5094" s="818"/>
      <c r="Y5094" s="1161"/>
    </row>
    <row r="5095" spans="1:52" ht="15.75" hidden="1" customHeight="1">
      <c r="A5095" s="20">
        <v>5104</v>
      </c>
      <c r="B5095" s="1069">
        <v>44585</v>
      </c>
      <c r="C5095" s="1006" t="s">
        <v>17280</v>
      </c>
      <c r="D5095" s="11" t="s">
        <v>6</v>
      </c>
      <c r="E5095" s="818" t="s">
        <v>166</v>
      </c>
      <c r="F5095" s="175" t="s">
        <v>10005</v>
      </c>
      <c r="G5095" s="1006" t="s">
        <v>17281</v>
      </c>
      <c r="H5095" s="1006" t="s">
        <v>10321</v>
      </c>
      <c r="I5095" s="1006" t="s">
        <v>10321</v>
      </c>
      <c r="J5095" s="1006" t="s">
        <v>17282</v>
      </c>
      <c r="K5095" s="1006" t="s">
        <v>17283</v>
      </c>
      <c r="L5095" s="1411" t="s">
        <v>149</v>
      </c>
      <c r="M5095" s="1006">
        <v>1</v>
      </c>
      <c r="N5095" s="1006">
        <v>1</v>
      </c>
      <c r="O5095" s="1006">
        <v>1</v>
      </c>
      <c r="P5095" s="1006">
        <v>0</v>
      </c>
      <c r="Q5095" s="1006">
        <v>0</v>
      </c>
      <c r="R5095" s="175" t="s">
        <v>17284</v>
      </c>
      <c r="S5095" s="1006" t="s">
        <v>17284</v>
      </c>
      <c r="T5095" s="1006" t="s">
        <v>4220</v>
      </c>
      <c r="U5095" s="1539" t="s">
        <v>4220</v>
      </c>
      <c r="V5095" s="1006" t="s">
        <v>689</v>
      </c>
      <c r="W5095" s="2163" t="s">
        <v>17285</v>
      </c>
      <c r="X5095" s="818"/>
      <c r="Y5095" s="1161"/>
    </row>
    <row r="5096" spans="1:52" ht="15.75" hidden="1" customHeight="1">
      <c r="A5096" s="20">
        <v>5105</v>
      </c>
      <c r="B5096" s="1069">
        <v>44585</v>
      </c>
      <c r="C5096" s="1411" t="s">
        <v>10828</v>
      </c>
      <c r="D5096" s="11" t="s">
        <v>6</v>
      </c>
      <c r="E5096" s="818" t="s">
        <v>166</v>
      </c>
      <c r="F5096" s="175" t="s">
        <v>10005</v>
      </c>
      <c r="G5096" s="1411" t="s">
        <v>10825</v>
      </c>
      <c r="H5096" s="1411" t="s">
        <v>1928</v>
      </c>
      <c r="I5096" s="1411" t="s">
        <v>805</v>
      </c>
      <c r="J5096" s="1412" t="s">
        <v>1</v>
      </c>
      <c r="K5096" s="1411" t="s">
        <v>10829</v>
      </c>
      <c r="L5096" s="1411" t="s">
        <v>149</v>
      </c>
      <c r="M5096" s="1411">
        <v>48</v>
      </c>
      <c r="N5096" s="1411">
        <v>1</v>
      </c>
      <c r="O5096" s="1411">
        <v>40</v>
      </c>
      <c r="P5096" s="1411">
        <v>4</v>
      </c>
      <c r="Q5096" s="1411">
        <v>0</v>
      </c>
      <c r="R5096" s="175" t="s">
        <v>17286</v>
      </c>
      <c r="S5096" s="1006" t="s">
        <v>17287</v>
      </c>
      <c r="T5096" s="1006" t="s">
        <v>4220</v>
      </c>
      <c r="U5096" s="1539" t="s">
        <v>4220</v>
      </c>
      <c r="V5096" s="1006" t="s">
        <v>689</v>
      </c>
      <c r="W5096" s="2165" t="s">
        <v>10830</v>
      </c>
      <c r="X5096" s="818"/>
      <c r="Y5096" s="1161"/>
    </row>
    <row r="5097" spans="1:52" ht="15.75" hidden="1" customHeight="1">
      <c r="A5097" s="20">
        <v>5106</v>
      </c>
      <c r="B5097" s="1069">
        <v>44585</v>
      </c>
      <c r="C5097" s="1006" t="s">
        <v>17288</v>
      </c>
      <c r="D5097" s="11" t="s">
        <v>6</v>
      </c>
      <c r="E5097" s="818" t="s">
        <v>166</v>
      </c>
      <c r="F5097" s="1006" t="s">
        <v>2876</v>
      </c>
      <c r="G5097" s="1411" t="s">
        <v>17289</v>
      </c>
      <c r="H5097" s="818" t="s">
        <v>1729</v>
      </c>
      <c r="I5097" s="222" t="s">
        <v>1022</v>
      </c>
      <c r="J5097" s="222" t="s">
        <v>15706</v>
      </c>
      <c r="K5097" s="818" t="s">
        <v>149</v>
      </c>
      <c r="L5097" s="1411" t="s">
        <v>149</v>
      </c>
      <c r="M5097" s="222">
        <v>1</v>
      </c>
      <c r="N5097" s="222">
        <v>1</v>
      </c>
      <c r="O5097" s="222">
        <v>1</v>
      </c>
      <c r="P5097" s="222">
        <v>0</v>
      </c>
      <c r="Q5097" s="222">
        <v>0</v>
      </c>
      <c r="R5097" s="1195">
        <v>2421</v>
      </c>
      <c r="S5097" s="1195">
        <f>O5097*R5097</f>
        <v>2421</v>
      </c>
      <c r="T5097" s="222" t="s">
        <v>12330</v>
      </c>
      <c r="U5097" s="1527" t="s">
        <v>17227</v>
      </c>
      <c r="V5097" s="222" t="s">
        <v>17216</v>
      </c>
      <c r="W5097" s="2155" t="s">
        <v>17290</v>
      </c>
      <c r="X5097" s="818"/>
      <c r="Y5097" s="1161"/>
    </row>
    <row r="5098" spans="1:52" ht="15.75" hidden="1" customHeight="1">
      <c r="A5098" s="20">
        <v>5107</v>
      </c>
      <c r="B5098" s="1069">
        <v>44585</v>
      </c>
      <c r="C5098" s="1006" t="s">
        <v>17291</v>
      </c>
      <c r="D5098" s="11" t="s">
        <v>6</v>
      </c>
      <c r="E5098" s="818" t="s">
        <v>166</v>
      </c>
      <c r="F5098" s="1006" t="s">
        <v>2876</v>
      </c>
      <c r="G5098" s="1411" t="s">
        <v>17292</v>
      </c>
      <c r="H5098" s="818" t="s">
        <v>17293</v>
      </c>
      <c r="I5098" s="222" t="s">
        <v>1022</v>
      </c>
      <c r="J5098" s="222" t="s">
        <v>17294</v>
      </c>
      <c r="K5098" s="818" t="s">
        <v>149</v>
      </c>
      <c r="L5098" s="1411" t="s">
        <v>149</v>
      </c>
      <c r="M5098" s="222">
        <v>1</v>
      </c>
      <c r="N5098" s="222">
        <v>1</v>
      </c>
      <c r="O5098" s="222">
        <v>1</v>
      </c>
      <c r="P5098" s="222">
        <v>0</v>
      </c>
      <c r="Q5098" s="222">
        <v>0</v>
      </c>
      <c r="R5098" s="1195">
        <v>784</v>
      </c>
      <c r="S5098" s="1195">
        <f>O5098*R5098</f>
        <v>784</v>
      </c>
      <c r="T5098" s="222" t="s">
        <v>12330</v>
      </c>
      <c r="U5098" s="1527" t="s">
        <v>17227</v>
      </c>
      <c r="V5098" s="222" t="s">
        <v>17216</v>
      </c>
      <c r="W5098" s="2155" t="s">
        <v>17295</v>
      </c>
      <c r="X5098" s="818"/>
      <c r="Y5098" s="1161"/>
    </row>
    <row r="5099" spans="1:52" ht="15.75" hidden="1" customHeight="1">
      <c r="A5099" s="20">
        <v>5108</v>
      </c>
      <c r="B5099" s="1069">
        <v>44585</v>
      </c>
      <c r="C5099" s="1006" t="s">
        <v>13037</v>
      </c>
      <c r="D5099" s="10"/>
      <c r="E5099" s="818" t="s">
        <v>166</v>
      </c>
      <c r="F5099" s="1006" t="s">
        <v>2876</v>
      </c>
      <c r="G5099" s="818" t="s">
        <v>17296</v>
      </c>
      <c r="H5099" s="1410" t="s">
        <v>17297</v>
      </c>
      <c r="I5099" s="222" t="s">
        <v>5690</v>
      </c>
      <c r="J5099" s="1410" t="s">
        <v>17298</v>
      </c>
      <c r="K5099" s="222" t="s">
        <v>17299</v>
      </c>
      <c r="L5099" s="222" t="s">
        <v>17214</v>
      </c>
      <c r="M5099" s="222">
        <v>1</v>
      </c>
      <c r="N5099" s="222">
        <v>1</v>
      </c>
      <c r="O5099" s="222">
        <v>1</v>
      </c>
      <c r="P5099" s="222">
        <v>1</v>
      </c>
      <c r="Q5099" s="222">
        <v>1</v>
      </c>
      <c r="R5099" s="1195">
        <v>999</v>
      </c>
      <c r="S5099" s="1195">
        <v>999</v>
      </c>
      <c r="T5099" s="222" t="s">
        <v>12330</v>
      </c>
      <c r="U5099" s="1527" t="s">
        <v>7916</v>
      </c>
      <c r="V5099" s="222" t="s">
        <v>17216</v>
      </c>
      <c r="W5099" s="2155" t="s">
        <v>17300</v>
      </c>
      <c r="X5099" s="818"/>
      <c r="Y5099" s="1161"/>
    </row>
    <row r="5100" spans="1:52" s="1398" customFormat="1" ht="15.75" hidden="1" customHeight="1">
      <c r="A5100" s="646">
        <v>5109</v>
      </c>
      <c r="B5100" s="938">
        <v>44588</v>
      </c>
      <c r="C5100" s="646" t="s">
        <v>17301</v>
      </c>
      <c r="D5100" s="646" t="s">
        <v>16488</v>
      </c>
      <c r="E5100" s="646"/>
      <c r="F5100" s="646" t="s">
        <v>2652</v>
      </c>
      <c r="G5100" s="646" t="s">
        <v>17302</v>
      </c>
      <c r="H5100" s="646" t="s">
        <v>17303</v>
      </c>
      <c r="I5100" s="646" t="s">
        <v>7369</v>
      </c>
      <c r="J5100" s="646" t="s">
        <v>17304</v>
      </c>
      <c r="K5100" s="646" t="s">
        <v>17305</v>
      </c>
      <c r="L5100" s="646" t="s">
        <v>1</v>
      </c>
      <c r="M5100" s="646">
        <v>1</v>
      </c>
      <c r="N5100" s="646">
        <v>1</v>
      </c>
      <c r="O5100" s="646">
        <v>1</v>
      </c>
      <c r="P5100" s="646">
        <v>0</v>
      </c>
      <c r="Q5100" s="646">
        <v>0</v>
      </c>
      <c r="R5100" s="1486">
        <v>1057616</v>
      </c>
      <c r="S5100" s="1486">
        <f>M5100*R5100</f>
        <v>1057616</v>
      </c>
      <c r="T5100" s="646" t="s">
        <v>17306</v>
      </c>
      <c r="U5100" s="1927" t="s">
        <v>118</v>
      </c>
      <c r="V5100" s="646" t="s">
        <v>5575</v>
      </c>
      <c r="W5100" s="2166" t="s">
        <v>17307</v>
      </c>
      <c r="X5100" s="646"/>
      <c r="Y5100" s="675"/>
      <c r="Z5100" s="646"/>
      <c r="AA5100" s="646"/>
      <c r="AB5100" s="646"/>
      <c r="AC5100" s="646"/>
      <c r="AD5100" s="646"/>
      <c r="AE5100" s="646"/>
      <c r="AF5100" s="646"/>
      <c r="AG5100" s="646"/>
      <c r="AH5100" s="646"/>
      <c r="AI5100" s="646"/>
      <c r="AJ5100" s="646"/>
      <c r="AK5100" s="646"/>
      <c r="AL5100" s="646"/>
      <c r="AM5100" s="646"/>
      <c r="AN5100" s="646"/>
      <c r="AO5100" s="646"/>
      <c r="AP5100" s="646"/>
      <c r="AQ5100" s="646"/>
      <c r="AR5100" s="646"/>
      <c r="AS5100" s="646"/>
      <c r="AT5100" s="646"/>
      <c r="AU5100" s="646"/>
      <c r="AV5100" s="646"/>
      <c r="AW5100" s="646"/>
      <c r="AX5100" s="646"/>
      <c r="AY5100" s="646"/>
      <c r="AZ5100" s="646"/>
    </row>
    <row r="5101" spans="1:52" s="222" customFormat="1" ht="15.75" hidden="1" customHeight="1">
      <c r="A5101" s="222">
        <v>5110</v>
      </c>
      <c r="B5101" s="1069">
        <v>44588</v>
      </c>
      <c r="C5101" s="222" t="s">
        <v>17308</v>
      </c>
      <c r="D5101" s="11" t="s">
        <v>6</v>
      </c>
      <c r="E5101" s="222" t="s">
        <v>166</v>
      </c>
      <c r="F5101" s="222" t="s">
        <v>2652</v>
      </c>
      <c r="G5101" s="222" t="s">
        <v>17309</v>
      </c>
      <c r="H5101" s="222" t="s">
        <v>13341</v>
      </c>
      <c r="I5101" s="222" t="s">
        <v>13341</v>
      </c>
      <c r="J5101" s="222" t="s">
        <v>17310</v>
      </c>
      <c r="K5101" s="222" t="s">
        <v>17310</v>
      </c>
      <c r="L5101" s="222" t="s">
        <v>1</v>
      </c>
      <c r="M5101" s="222">
        <v>1</v>
      </c>
      <c r="N5101" s="222">
        <v>1</v>
      </c>
      <c r="O5101" s="222">
        <v>1</v>
      </c>
      <c r="P5101" s="222">
        <v>1</v>
      </c>
      <c r="Q5101" s="222">
        <v>1</v>
      </c>
      <c r="R5101" s="1195">
        <f>(449.95 + 59.6)*115.51*1.05</f>
        <v>61801.026525000008</v>
      </c>
      <c r="S5101" s="1195">
        <f>M5101*R5101</f>
        <v>61801.026525000008</v>
      </c>
      <c r="T5101" s="222" t="s">
        <v>17306</v>
      </c>
      <c r="U5101" s="1901" t="s">
        <v>118</v>
      </c>
      <c r="V5101" s="222" t="s">
        <v>5575</v>
      </c>
      <c r="W5101" s="2155" t="s">
        <v>13543</v>
      </c>
      <c r="X5101" s="1400" t="s">
        <v>17311</v>
      </c>
      <c r="Y5101" s="1122"/>
    </row>
    <row r="5102" spans="1:52" s="222" customFormat="1" ht="15.75" hidden="1" customHeight="1">
      <c r="A5102" s="222">
        <v>5111</v>
      </c>
      <c r="B5102" s="1069">
        <v>44588</v>
      </c>
      <c r="C5102" s="222" t="s">
        <v>17312</v>
      </c>
      <c r="D5102" s="11" t="s">
        <v>6</v>
      </c>
      <c r="E5102" s="222" t="s">
        <v>166</v>
      </c>
      <c r="F5102" s="222" t="s">
        <v>2652</v>
      </c>
      <c r="G5102" s="222" t="s">
        <v>17313</v>
      </c>
      <c r="H5102" s="222" t="s">
        <v>17314</v>
      </c>
      <c r="I5102" s="222" t="s">
        <v>4148</v>
      </c>
      <c r="J5102" s="222" t="s">
        <v>17315</v>
      </c>
      <c r="K5102" s="222" t="s">
        <v>17316</v>
      </c>
      <c r="L5102" s="222" t="s">
        <v>1</v>
      </c>
      <c r="M5102" s="222">
        <v>1</v>
      </c>
      <c r="N5102" s="222">
        <v>1</v>
      </c>
      <c r="O5102" s="222">
        <v>1</v>
      </c>
      <c r="P5102" s="222">
        <v>0</v>
      </c>
      <c r="Q5102" s="222">
        <v>0</v>
      </c>
      <c r="R5102" s="1195">
        <v>3930</v>
      </c>
      <c r="S5102" s="1195">
        <f>M5102*R5102</f>
        <v>3930</v>
      </c>
      <c r="T5102" s="222" t="s">
        <v>17306</v>
      </c>
      <c r="U5102" s="1901" t="s">
        <v>118</v>
      </c>
      <c r="V5102" s="222" t="s">
        <v>5575</v>
      </c>
      <c r="W5102" s="2155" t="s">
        <v>17317</v>
      </c>
      <c r="Y5102" s="1122"/>
    </row>
    <row r="5103" spans="1:52" ht="15.75" hidden="1" customHeight="1">
      <c r="A5103" s="20">
        <v>5112</v>
      </c>
      <c r="B5103" s="1069">
        <v>44588</v>
      </c>
      <c r="C5103" s="934" t="s">
        <v>13565</v>
      </c>
      <c r="D5103" s="11" t="s">
        <v>6</v>
      </c>
      <c r="E5103" s="222" t="s">
        <v>166</v>
      </c>
      <c r="F5103" s="222" t="s">
        <v>2652</v>
      </c>
      <c r="G5103" s="204" t="s">
        <v>13566</v>
      </c>
      <c r="H5103" s="204" t="s">
        <v>8952</v>
      </c>
      <c r="I5103" s="204" t="s">
        <v>574</v>
      </c>
      <c r="J5103" s="204" t="s">
        <v>13567</v>
      </c>
      <c r="K5103" s="204" t="s">
        <v>13568</v>
      </c>
      <c r="L5103" s="204" t="s">
        <v>1</v>
      </c>
      <c r="M5103" s="204">
        <v>1</v>
      </c>
      <c r="N5103" s="204">
        <v>1</v>
      </c>
      <c r="O5103" s="204">
        <v>1</v>
      </c>
      <c r="P5103" s="204">
        <v>0</v>
      </c>
      <c r="Q5103" s="572">
        <v>0</v>
      </c>
      <c r="R5103" s="1209">
        <v>184</v>
      </c>
      <c r="S5103" s="1209">
        <f t="shared" ref="S5103:S5104" si="287">R5103*O5103</f>
        <v>184</v>
      </c>
      <c r="T5103" s="222" t="s">
        <v>17306</v>
      </c>
      <c r="U5103" s="1901" t="s">
        <v>118</v>
      </c>
      <c r="V5103" s="222" t="s">
        <v>5575</v>
      </c>
      <c r="W5103" s="681" t="s">
        <v>13569</v>
      </c>
      <c r="X5103" s="18"/>
      <c r="Y5103" s="1161"/>
    </row>
    <row r="5104" spans="1:52" ht="14.1" hidden="1">
      <c r="A5104" s="20">
        <f t="shared" ref="A5104:A5108" si="288">A5103+1</f>
        <v>5113</v>
      </c>
      <c r="B5104" s="1069">
        <v>44588</v>
      </c>
      <c r="C5104" s="934" t="s">
        <v>13570</v>
      </c>
      <c r="D5104" s="11" t="s">
        <v>6</v>
      </c>
      <c r="E5104" s="222" t="s">
        <v>166</v>
      </c>
      <c r="F5104" s="222" t="s">
        <v>2652</v>
      </c>
      <c r="G5104" s="204" t="s">
        <v>13571</v>
      </c>
      <c r="H5104" s="204" t="s">
        <v>8952</v>
      </c>
      <c r="I5104" s="204" t="s">
        <v>574</v>
      </c>
      <c r="J5104" s="204" t="s">
        <v>13572</v>
      </c>
      <c r="K5104" s="204" t="s">
        <v>13573</v>
      </c>
      <c r="L5104" s="204" t="s">
        <v>1</v>
      </c>
      <c r="M5104" s="204">
        <v>1</v>
      </c>
      <c r="N5104" s="204">
        <v>1</v>
      </c>
      <c r="O5104" s="204">
        <v>1</v>
      </c>
      <c r="P5104" s="204">
        <v>0</v>
      </c>
      <c r="Q5104" s="572">
        <v>0</v>
      </c>
      <c r="R5104" s="1209">
        <v>152</v>
      </c>
      <c r="S5104" s="1209">
        <f t="shared" si="287"/>
        <v>152</v>
      </c>
      <c r="T5104" s="222" t="s">
        <v>17306</v>
      </c>
      <c r="U5104" s="1901" t="s">
        <v>118</v>
      </c>
      <c r="V5104" s="222" t="s">
        <v>5575</v>
      </c>
      <c r="W5104" s="681" t="s">
        <v>13574</v>
      </c>
      <c r="X5104" s="18"/>
      <c r="Y5104" s="1151"/>
      <c r="Z5104" s="4"/>
    </row>
    <row r="5105" spans="1:27" ht="14.1" hidden="1">
      <c r="A5105" s="20">
        <f t="shared" si="288"/>
        <v>5114</v>
      </c>
      <c r="B5105" s="1069">
        <v>44588</v>
      </c>
      <c r="C5105" s="934" t="s">
        <v>17318</v>
      </c>
      <c r="D5105" s="11" t="s">
        <v>6</v>
      </c>
      <c r="E5105" s="222" t="s">
        <v>166</v>
      </c>
      <c r="F5105" s="222" t="s">
        <v>2652</v>
      </c>
      <c r="G5105" s="204" t="s">
        <v>17318</v>
      </c>
      <c r="H5105" s="204" t="s">
        <v>17319</v>
      </c>
      <c r="I5105" s="204" t="s">
        <v>574</v>
      </c>
      <c r="J5105" s="204" t="s">
        <v>17320</v>
      </c>
      <c r="K5105" s="204" t="s">
        <v>17321</v>
      </c>
      <c r="L5105" s="204" t="s">
        <v>1</v>
      </c>
      <c r="M5105" s="204">
        <v>1</v>
      </c>
      <c r="N5105" s="204">
        <v>1</v>
      </c>
      <c r="O5105" s="204">
        <v>1</v>
      </c>
      <c r="P5105" s="204">
        <v>0</v>
      </c>
      <c r="Q5105" s="572">
        <v>0</v>
      </c>
      <c r="R5105" s="1209">
        <v>2492</v>
      </c>
      <c r="S5105" s="1209">
        <f>R5105*O5105</f>
        <v>2492</v>
      </c>
      <c r="T5105" s="222" t="s">
        <v>17306</v>
      </c>
      <c r="U5105" s="1901" t="s">
        <v>118</v>
      </c>
      <c r="V5105" s="222" t="s">
        <v>5575</v>
      </c>
      <c r="W5105" s="681" t="s">
        <v>17322</v>
      </c>
      <c r="X5105" s="18"/>
      <c r="Y5105" s="1151"/>
      <c r="Z5105" s="4"/>
    </row>
    <row r="5106" spans="1:27" ht="14.1" hidden="1">
      <c r="A5106" s="20">
        <f t="shared" si="288"/>
        <v>5115</v>
      </c>
      <c r="B5106" s="1069">
        <v>44588</v>
      </c>
      <c r="C5106" s="934" t="s">
        <v>17323</v>
      </c>
      <c r="D5106" s="11" t="s">
        <v>6</v>
      </c>
      <c r="E5106" s="222" t="s">
        <v>166</v>
      </c>
      <c r="F5106" s="222" t="s">
        <v>2652</v>
      </c>
      <c r="G5106" s="204" t="s">
        <v>13022</v>
      </c>
      <c r="H5106" s="204" t="s">
        <v>13023</v>
      </c>
      <c r="I5106" s="204" t="s">
        <v>1022</v>
      </c>
      <c r="J5106" s="204" t="s">
        <v>13024</v>
      </c>
      <c r="K5106" s="204" t="s">
        <v>13024</v>
      </c>
      <c r="L5106" s="204" t="s">
        <v>1</v>
      </c>
      <c r="M5106" s="204">
        <v>2</v>
      </c>
      <c r="N5106" s="204">
        <v>1</v>
      </c>
      <c r="O5106" s="204">
        <v>2</v>
      </c>
      <c r="P5106" s="204">
        <v>0</v>
      </c>
      <c r="Q5106" s="572">
        <v>0</v>
      </c>
      <c r="R5106" s="1209">
        <v>3465</v>
      </c>
      <c r="S5106" s="1209">
        <f>R5106*O5106</f>
        <v>6930</v>
      </c>
      <c r="T5106" s="222" t="s">
        <v>17306</v>
      </c>
      <c r="U5106" s="1901" t="s">
        <v>118</v>
      </c>
      <c r="V5106" s="222" t="s">
        <v>5575</v>
      </c>
      <c r="W5106" s="804" t="s">
        <v>13025</v>
      </c>
      <c r="X5106" s="18"/>
      <c r="Y5106" s="1151"/>
      <c r="Z5106" s="4"/>
      <c r="AA5106" s="1418"/>
    </row>
    <row r="5107" spans="1:27" ht="14.1" hidden="1">
      <c r="A5107" s="20">
        <f t="shared" si="288"/>
        <v>5116</v>
      </c>
      <c r="B5107" s="1069">
        <v>44588</v>
      </c>
      <c r="C5107" s="1006" t="s">
        <v>17324</v>
      </c>
      <c r="D5107" s="11" t="s">
        <v>6</v>
      </c>
      <c r="E5107" s="818" t="s">
        <v>13338</v>
      </c>
      <c r="F5107" s="1006" t="s">
        <v>404</v>
      </c>
      <c r="G5107" s="222" t="s">
        <v>17325</v>
      </c>
      <c r="H5107" s="818" t="s">
        <v>14238</v>
      </c>
      <c r="I5107" s="222" t="s">
        <v>14238</v>
      </c>
      <c r="J5107" s="222" t="s">
        <v>17326</v>
      </c>
      <c r="K5107" s="818" t="s">
        <v>17326</v>
      </c>
      <c r="L5107" s="222"/>
      <c r="M5107" s="222">
        <v>4</v>
      </c>
      <c r="N5107" s="222">
        <v>1</v>
      </c>
      <c r="O5107" s="222">
        <v>5</v>
      </c>
      <c r="P5107" s="222">
        <v>1</v>
      </c>
      <c r="Q5107" s="222">
        <v>0</v>
      </c>
      <c r="R5107" s="1195">
        <v>18360.900000000001</v>
      </c>
      <c r="S5107" s="1195">
        <v>18360.900000000001</v>
      </c>
      <c r="T5107" s="222" t="s">
        <v>17327</v>
      </c>
      <c r="U5107" s="1527" t="s">
        <v>12265</v>
      </c>
      <c r="V5107" s="222" t="s">
        <v>5575</v>
      </c>
      <c r="W5107" s="2155" t="s">
        <v>12266</v>
      </c>
      <c r="X5107" s="818"/>
      <c r="Y5107" s="1151"/>
      <c r="Z5107" s="4"/>
    </row>
    <row r="5108" spans="1:27" ht="14.1" hidden="1">
      <c r="A5108" s="20">
        <f t="shared" si="288"/>
        <v>5117</v>
      </c>
      <c r="B5108" s="1069">
        <v>44588</v>
      </c>
      <c r="C5108" s="1006" t="s">
        <v>17328</v>
      </c>
      <c r="D5108" s="11" t="s">
        <v>6</v>
      </c>
      <c r="E5108" s="818" t="s">
        <v>13338</v>
      </c>
      <c r="F5108" s="1006" t="s">
        <v>404</v>
      </c>
      <c r="G5108" s="222" t="s">
        <v>17329</v>
      </c>
      <c r="H5108" s="818" t="s">
        <v>14238</v>
      </c>
      <c r="I5108" s="222" t="s">
        <v>14238</v>
      </c>
      <c r="J5108" s="222" t="s">
        <v>17330</v>
      </c>
      <c r="K5108" s="818" t="s">
        <v>17326</v>
      </c>
      <c r="L5108" s="222"/>
      <c r="M5108" s="222">
        <v>4</v>
      </c>
      <c r="N5108" s="222">
        <v>1</v>
      </c>
      <c r="O5108" s="222">
        <v>5</v>
      </c>
      <c r="P5108" s="222">
        <v>1</v>
      </c>
      <c r="Q5108" s="222">
        <v>0</v>
      </c>
      <c r="R5108" s="1195">
        <v>10411.219999999999</v>
      </c>
      <c r="S5108" s="1195">
        <v>10411.219999999999</v>
      </c>
      <c r="T5108" s="222" t="s">
        <v>5448</v>
      </c>
      <c r="U5108" s="1527" t="s">
        <v>12265</v>
      </c>
      <c r="V5108" s="222" t="s">
        <v>5575</v>
      </c>
      <c r="W5108" s="2155" t="s">
        <v>12266</v>
      </c>
      <c r="X5108" s="818"/>
      <c r="Y5108" s="1419">
        <f>SUM(S5102:S5106,S5109:S5112)</f>
        <v>16968</v>
      </c>
      <c r="Z5108" s="4"/>
    </row>
    <row r="5109" spans="1:27" ht="15.75" hidden="1" customHeight="1">
      <c r="A5109" s="20">
        <v>5118</v>
      </c>
      <c r="B5109" s="1069">
        <v>44588</v>
      </c>
      <c r="C5109" s="1006" t="s">
        <v>17331</v>
      </c>
      <c r="D5109" s="11" t="s">
        <v>6</v>
      </c>
      <c r="E5109" s="222" t="s">
        <v>166</v>
      </c>
      <c r="F5109" s="1006" t="s">
        <v>2652</v>
      </c>
      <c r="G5109" s="239" t="s">
        <v>13560</v>
      </c>
      <c r="H5109" s="239" t="s">
        <v>13561</v>
      </c>
      <c r="I5109" s="239" t="s">
        <v>574</v>
      </c>
      <c r="J5109" s="239" t="s">
        <v>13562</v>
      </c>
      <c r="K5109" s="239" t="s">
        <v>13563</v>
      </c>
      <c r="L5109" s="239"/>
      <c r="M5109" s="239">
        <v>1</v>
      </c>
      <c r="N5109" s="239">
        <v>1</v>
      </c>
      <c r="O5109" s="239">
        <v>1</v>
      </c>
      <c r="P5109" s="239">
        <v>0</v>
      </c>
      <c r="Q5109" s="572">
        <v>0</v>
      </c>
      <c r="R5109" s="1195">
        <v>747</v>
      </c>
      <c r="S5109" s="1195">
        <f>R5109*O5109</f>
        <v>747</v>
      </c>
      <c r="T5109" s="222" t="s">
        <v>17306</v>
      </c>
      <c r="U5109" s="1901" t="s">
        <v>118</v>
      </c>
      <c r="V5109" s="222" t="s">
        <v>5575</v>
      </c>
      <c r="W5109" s="2155" t="s">
        <v>17332</v>
      </c>
      <c r="X5109" s="818"/>
      <c r="Y5109" s="1161"/>
    </row>
    <row r="5110" spans="1:27" ht="15.75" hidden="1" customHeight="1">
      <c r="A5110" s="20">
        <v>5119</v>
      </c>
      <c r="B5110" s="1069">
        <v>44588</v>
      </c>
      <c r="C5110" s="1006" t="s">
        <v>17333</v>
      </c>
      <c r="D5110" s="11" t="s">
        <v>6</v>
      </c>
      <c r="E5110" s="222" t="s">
        <v>166</v>
      </c>
      <c r="F5110" s="1006" t="s">
        <v>2652</v>
      </c>
      <c r="G5110" s="1193" t="s">
        <v>17334</v>
      </c>
      <c r="H5110" s="818" t="s">
        <v>8610</v>
      </c>
      <c r="I5110" s="222" t="s">
        <v>574</v>
      </c>
      <c r="J5110" s="222" t="s">
        <v>17335</v>
      </c>
      <c r="K5110" s="818" t="s">
        <v>17336</v>
      </c>
      <c r="L5110" s="222"/>
      <c r="M5110" s="222">
        <v>1</v>
      </c>
      <c r="N5110" s="222">
        <v>1</v>
      </c>
      <c r="O5110" s="222">
        <v>1</v>
      </c>
      <c r="P5110" s="222">
        <v>0</v>
      </c>
      <c r="Q5110" s="222">
        <v>0</v>
      </c>
      <c r="R5110" s="1195">
        <v>1087</v>
      </c>
      <c r="S5110" s="1195">
        <f>R5110*O5110</f>
        <v>1087</v>
      </c>
      <c r="T5110" s="222" t="s">
        <v>17306</v>
      </c>
      <c r="U5110" s="1901" t="s">
        <v>118</v>
      </c>
      <c r="V5110" s="222" t="s">
        <v>5575</v>
      </c>
      <c r="W5110" s="2155" t="s">
        <v>17337</v>
      </c>
      <c r="X5110" s="818"/>
      <c r="Y5110" s="1161"/>
    </row>
    <row r="5111" spans="1:27" ht="15.75" hidden="1" customHeight="1">
      <c r="A5111" s="20">
        <v>5120</v>
      </c>
      <c r="B5111" s="1069">
        <v>44588</v>
      </c>
      <c r="C5111" s="1006" t="s">
        <v>17338</v>
      </c>
      <c r="D5111" s="11" t="s">
        <v>6</v>
      </c>
      <c r="E5111" s="222" t="s">
        <v>166</v>
      </c>
      <c r="F5111" s="1006" t="s">
        <v>2652</v>
      </c>
      <c r="G5111" s="222" t="s">
        <v>17339</v>
      </c>
      <c r="H5111" s="818" t="s">
        <v>5249</v>
      </c>
      <c r="I5111" s="222" t="s">
        <v>574</v>
      </c>
      <c r="J5111" s="222" t="s">
        <v>17340</v>
      </c>
      <c r="K5111" s="818" t="s">
        <v>7601</v>
      </c>
      <c r="L5111" s="222"/>
      <c r="M5111" s="222">
        <v>1</v>
      </c>
      <c r="N5111" s="222">
        <v>1</v>
      </c>
      <c r="O5111" s="222">
        <v>1</v>
      </c>
      <c r="P5111" s="222">
        <v>0</v>
      </c>
      <c r="Q5111" s="222">
        <v>0</v>
      </c>
      <c r="R5111" s="1195">
        <v>865</v>
      </c>
      <c r="S5111" s="1195">
        <f>R5111*O5111</f>
        <v>865</v>
      </c>
      <c r="T5111" s="222" t="s">
        <v>17306</v>
      </c>
      <c r="U5111" s="1901" t="s">
        <v>118</v>
      </c>
      <c r="V5111" s="222" t="s">
        <v>5575</v>
      </c>
      <c r="W5111" s="2155" t="s">
        <v>17341</v>
      </c>
      <c r="X5111" s="818"/>
      <c r="Y5111" s="1161"/>
    </row>
    <row r="5112" spans="1:27" ht="15.75" hidden="1" customHeight="1">
      <c r="A5112" s="20">
        <v>5121</v>
      </c>
      <c r="B5112" s="1069">
        <v>44588</v>
      </c>
      <c r="C5112" s="1006" t="s">
        <v>17342</v>
      </c>
      <c r="D5112" s="11" t="s">
        <v>6</v>
      </c>
      <c r="E5112" s="222" t="s">
        <v>166</v>
      </c>
      <c r="F5112" s="1006" t="s">
        <v>2652</v>
      </c>
      <c r="G5112" s="222" t="s">
        <v>17343</v>
      </c>
      <c r="H5112" s="818" t="s">
        <v>2717</v>
      </c>
      <c r="I5112" s="222" t="s">
        <v>1022</v>
      </c>
      <c r="J5112" s="222" t="s">
        <v>1</v>
      </c>
      <c r="K5112" s="818" t="s">
        <v>17344</v>
      </c>
      <c r="L5112" s="222"/>
      <c r="M5112" s="222">
        <v>1</v>
      </c>
      <c r="N5112" s="222">
        <v>1</v>
      </c>
      <c r="O5112" s="222">
        <v>1</v>
      </c>
      <c r="P5112" s="222">
        <v>0</v>
      </c>
      <c r="Q5112" s="222">
        <v>0</v>
      </c>
      <c r="R5112" s="1195">
        <v>581</v>
      </c>
      <c r="S5112" s="1195">
        <f>R5112*O5112</f>
        <v>581</v>
      </c>
      <c r="T5112" s="222" t="s">
        <v>17306</v>
      </c>
      <c r="U5112" s="1901" t="s">
        <v>118</v>
      </c>
      <c r="V5112" s="222" t="s">
        <v>5575</v>
      </c>
      <c r="W5112" s="2155" t="s">
        <v>17345</v>
      </c>
      <c r="X5112" s="818"/>
      <c r="Y5112" s="1161"/>
    </row>
    <row r="5113" spans="1:27" ht="15.75" hidden="1" customHeight="1">
      <c r="A5113" s="20">
        <v>5122</v>
      </c>
      <c r="B5113" s="1069">
        <v>44590</v>
      </c>
      <c r="C5113" s="1006" t="s">
        <v>2594</v>
      </c>
      <c r="D5113" s="8" t="s">
        <v>6</v>
      </c>
      <c r="E5113" s="222" t="s">
        <v>4951</v>
      </c>
      <c r="F5113" s="1006" t="s">
        <v>10651</v>
      </c>
      <c r="G5113" s="222" t="s">
        <v>17346</v>
      </c>
      <c r="H5113" s="222" t="s">
        <v>429</v>
      </c>
      <c r="I5113" s="222" t="s">
        <v>429</v>
      </c>
      <c r="J5113" s="222" t="s">
        <v>17347</v>
      </c>
      <c r="K5113" s="222" t="s">
        <v>17347</v>
      </c>
      <c r="L5113" s="222"/>
      <c r="M5113" s="222">
        <v>12</v>
      </c>
      <c r="N5113" s="222">
        <v>1</v>
      </c>
      <c r="O5113" s="222">
        <v>20</v>
      </c>
      <c r="P5113" s="222">
        <v>0</v>
      </c>
      <c r="Q5113" s="222">
        <v>8</v>
      </c>
      <c r="R5113" s="1195">
        <v>235</v>
      </c>
      <c r="S5113" s="1195">
        <v>528</v>
      </c>
      <c r="T5113" s="222" t="s">
        <v>12425</v>
      </c>
      <c r="U5113" s="1527" t="s">
        <v>301</v>
      </c>
      <c r="V5113" s="222" t="s">
        <v>17234</v>
      </c>
      <c r="W5113" s="2155" t="s">
        <v>17348</v>
      </c>
      <c r="X5113" s="818"/>
      <c r="Y5113" s="1161"/>
    </row>
    <row r="5114" spans="1:27" ht="14.1" hidden="1">
      <c r="A5114" s="20">
        <v>5123</v>
      </c>
      <c r="B5114" s="1069">
        <v>44590</v>
      </c>
      <c r="C5114" s="1006" t="s">
        <v>17349</v>
      </c>
      <c r="D5114" s="8" t="s">
        <v>6</v>
      </c>
      <c r="E5114" s="222" t="s">
        <v>4951</v>
      </c>
      <c r="F5114" s="1006" t="s">
        <v>10651</v>
      </c>
      <c r="G5114" s="222" t="s">
        <v>17350</v>
      </c>
      <c r="H5114" s="222" t="s">
        <v>429</v>
      </c>
      <c r="I5114" s="222" t="s">
        <v>429</v>
      </c>
      <c r="J5114" s="222" t="s">
        <v>17351</v>
      </c>
      <c r="K5114" s="222" t="s">
        <v>17351</v>
      </c>
      <c r="L5114" s="222"/>
      <c r="M5114" s="222">
        <v>8</v>
      </c>
      <c r="N5114" s="222">
        <v>50</v>
      </c>
      <c r="O5114" s="222">
        <v>50</v>
      </c>
      <c r="P5114" s="222">
        <v>0</v>
      </c>
      <c r="Q5114" s="222">
        <v>42</v>
      </c>
      <c r="R5114" s="1195">
        <v>660</v>
      </c>
      <c r="S5114" s="1195">
        <v>660</v>
      </c>
      <c r="T5114" s="222" t="s">
        <v>12425</v>
      </c>
      <c r="U5114" s="1527" t="s">
        <v>17352</v>
      </c>
      <c r="V5114" s="222" t="s">
        <v>17216</v>
      </c>
      <c r="W5114" s="2155" t="s">
        <v>17353</v>
      </c>
      <c r="X5114" s="818"/>
      <c r="Y5114" s="1151"/>
      <c r="Z5114" s="4"/>
    </row>
    <row r="5115" spans="1:27" ht="15.75" hidden="1" customHeight="1">
      <c r="A5115" s="20">
        <v>5124</v>
      </c>
      <c r="B5115" s="1069">
        <v>44590</v>
      </c>
      <c r="C5115" s="1006" t="s">
        <v>17354</v>
      </c>
      <c r="D5115" s="8" t="s">
        <v>6</v>
      </c>
      <c r="E5115" s="222" t="s">
        <v>4951</v>
      </c>
      <c r="F5115" s="1006" t="s">
        <v>10651</v>
      </c>
      <c r="G5115" s="222" t="s">
        <v>17355</v>
      </c>
      <c r="H5115" s="222" t="s">
        <v>429</v>
      </c>
      <c r="I5115" s="222" t="s">
        <v>429</v>
      </c>
      <c r="J5115" s="239" t="s">
        <v>17356</v>
      </c>
      <c r="K5115" s="239" t="s">
        <v>17356</v>
      </c>
      <c r="L5115" s="239"/>
      <c r="M5115" s="239">
        <v>1</v>
      </c>
      <c r="N5115" s="239">
        <v>1</v>
      </c>
      <c r="O5115" s="239">
        <v>1</v>
      </c>
      <c r="P5115" s="239">
        <v>0</v>
      </c>
      <c r="Q5115" s="572">
        <v>0</v>
      </c>
      <c r="R5115" s="1195">
        <v>1881</v>
      </c>
      <c r="S5115" s="1195">
        <v>1881</v>
      </c>
      <c r="T5115" s="222" t="s">
        <v>311</v>
      </c>
      <c r="U5115" s="1901" t="s">
        <v>17352</v>
      </c>
      <c r="V5115" s="222" t="s">
        <v>17234</v>
      </c>
      <c r="W5115" s="2155" t="s">
        <v>17357</v>
      </c>
      <c r="X5115" s="818"/>
      <c r="Y5115" s="1161"/>
    </row>
    <row r="5116" spans="1:27" ht="15.75" hidden="1" customHeight="1">
      <c r="A5116" s="20">
        <v>5125</v>
      </c>
      <c r="B5116" s="1069">
        <v>44592</v>
      </c>
      <c r="C5116" s="1006" t="s">
        <v>17358</v>
      </c>
      <c r="D5116" s="10" t="s">
        <v>6</v>
      </c>
      <c r="E5116" s="222" t="s">
        <v>7498</v>
      </c>
      <c r="F5116" s="1006" t="s">
        <v>1989</v>
      </c>
      <c r="G5116" s="1193" t="s">
        <v>17359</v>
      </c>
      <c r="H5116" s="818" t="s">
        <v>2868</v>
      </c>
      <c r="I5116" s="222" t="s">
        <v>2868</v>
      </c>
      <c r="J5116" s="222">
        <v>22013100070</v>
      </c>
      <c r="K5116" s="222">
        <v>22013100070</v>
      </c>
      <c r="L5116" s="222"/>
      <c r="M5116" s="222">
        <v>2</v>
      </c>
      <c r="N5116" s="222">
        <v>1</v>
      </c>
      <c r="O5116" s="222">
        <v>4</v>
      </c>
      <c r="P5116" s="222">
        <v>0</v>
      </c>
      <c r="Q5116" s="222">
        <v>2</v>
      </c>
      <c r="R5116" s="1195">
        <v>37802</v>
      </c>
      <c r="S5116" s="1195">
        <v>37802</v>
      </c>
      <c r="T5116" s="222" t="s">
        <v>14752</v>
      </c>
      <c r="U5116" s="1901" t="s">
        <v>448</v>
      </c>
      <c r="V5116" s="222" t="s">
        <v>5575</v>
      </c>
      <c r="W5116" s="2155" t="s">
        <v>5265</v>
      </c>
      <c r="X5116" s="818"/>
      <c r="Y5116" s="1161"/>
    </row>
    <row r="5117" spans="1:27" ht="15.75" hidden="1" customHeight="1">
      <c r="A5117" s="20">
        <v>5126</v>
      </c>
      <c r="B5117" s="1069">
        <v>44592</v>
      </c>
      <c r="C5117" s="1006" t="s">
        <v>17360</v>
      </c>
      <c r="D5117" s="11" t="s">
        <v>6</v>
      </c>
      <c r="E5117" s="222" t="s">
        <v>7498</v>
      </c>
      <c r="F5117" s="1006" t="s">
        <v>1989</v>
      </c>
      <c r="G5117" s="1193" t="s">
        <v>17359</v>
      </c>
      <c r="H5117" s="818" t="s">
        <v>2868</v>
      </c>
      <c r="I5117" s="222" t="s">
        <v>2868</v>
      </c>
      <c r="J5117" s="222">
        <v>22013100067</v>
      </c>
      <c r="K5117" s="222">
        <v>22013100067</v>
      </c>
      <c r="L5117" s="222"/>
      <c r="M5117" s="222">
        <v>2</v>
      </c>
      <c r="N5117" s="222">
        <v>1</v>
      </c>
      <c r="O5117" s="222">
        <v>4</v>
      </c>
      <c r="P5117" s="222">
        <v>0</v>
      </c>
      <c r="Q5117" s="222">
        <v>2</v>
      </c>
      <c r="R5117" s="1195">
        <v>37634</v>
      </c>
      <c r="S5117" s="1195">
        <v>37634</v>
      </c>
      <c r="T5117" s="222" t="s">
        <v>14752</v>
      </c>
      <c r="U5117" s="1901" t="s">
        <v>448</v>
      </c>
      <c r="V5117" s="222" t="s">
        <v>5575</v>
      </c>
      <c r="W5117" s="2155" t="s">
        <v>5265</v>
      </c>
      <c r="X5117" s="818"/>
      <c r="Y5117" s="1161"/>
    </row>
    <row r="5118" spans="1:27" ht="14.1" hidden="1">
      <c r="A5118" s="20">
        <v>5127</v>
      </c>
      <c r="B5118" s="1069">
        <v>44592</v>
      </c>
      <c r="C5118" s="1006" t="s">
        <v>17361</v>
      </c>
      <c r="D5118" s="11" t="s">
        <v>6</v>
      </c>
      <c r="E5118" s="222" t="s">
        <v>17362</v>
      </c>
      <c r="F5118" s="1006" t="s">
        <v>1989</v>
      </c>
      <c r="G5118" s="1193" t="s">
        <v>17359</v>
      </c>
      <c r="H5118" s="818" t="s">
        <v>2868</v>
      </c>
      <c r="I5118" s="222" t="s">
        <v>2868</v>
      </c>
      <c r="J5118" s="222">
        <v>22013100068</v>
      </c>
      <c r="K5118" s="222">
        <v>22013100068</v>
      </c>
      <c r="L5118" s="222"/>
      <c r="M5118" s="222">
        <v>2</v>
      </c>
      <c r="N5118" s="222">
        <v>1</v>
      </c>
      <c r="O5118" s="222">
        <v>4</v>
      </c>
      <c r="P5118" s="222">
        <v>0</v>
      </c>
      <c r="Q5118" s="222">
        <v>2</v>
      </c>
      <c r="R5118" s="1195">
        <v>37634</v>
      </c>
      <c r="S5118" s="1195">
        <v>37634</v>
      </c>
      <c r="T5118" s="222" t="s">
        <v>14752</v>
      </c>
      <c r="U5118" s="1901" t="s">
        <v>448</v>
      </c>
      <c r="V5118" s="222" t="s">
        <v>5575</v>
      </c>
      <c r="W5118" s="2155" t="s">
        <v>5265</v>
      </c>
      <c r="X5118" s="818"/>
      <c r="Y5118" s="1151"/>
      <c r="Z5118" s="4"/>
    </row>
    <row r="5119" spans="1:27" ht="15.75" hidden="1" customHeight="1">
      <c r="A5119" s="20">
        <v>5128</v>
      </c>
      <c r="B5119" s="1069">
        <v>44592</v>
      </c>
      <c r="C5119" s="1006" t="s">
        <v>17363</v>
      </c>
      <c r="D5119" s="11" t="s">
        <v>6</v>
      </c>
      <c r="E5119" s="222" t="s">
        <v>17362</v>
      </c>
      <c r="F5119" s="1006" t="s">
        <v>1989</v>
      </c>
      <c r="G5119" s="1193" t="s">
        <v>17359</v>
      </c>
      <c r="H5119" s="818" t="s">
        <v>2868</v>
      </c>
      <c r="I5119" s="222" t="s">
        <v>2868</v>
      </c>
      <c r="J5119" s="222">
        <v>22013100071</v>
      </c>
      <c r="K5119" s="222">
        <v>22013100071</v>
      </c>
      <c r="L5119" s="222"/>
      <c r="M5119" s="222">
        <v>2</v>
      </c>
      <c r="N5119" s="222">
        <v>1</v>
      </c>
      <c r="O5119" s="222">
        <v>4</v>
      </c>
      <c r="P5119" s="222">
        <v>0</v>
      </c>
      <c r="Q5119" s="222">
        <v>2</v>
      </c>
      <c r="R5119" s="1195">
        <v>37634</v>
      </c>
      <c r="S5119" s="1195">
        <v>37634</v>
      </c>
      <c r="T5119" s="222" t="s">
        <v>14752</v>
      </c>
      <c r="U5119" s="1901" t="s">
        <v>448</v>
      </c>
      <c r="V5119" s="222" t="s">
        <v>5575</v>
      </c>
      <c r="W5119" s="2155" t="s">
        <v>5265</v>
      </c>
      <c r="X5119" s="818"/>
      <c r="Y5119" s="1161"/>
    </row>
    <row r="5120" spans="1:27" ht="15.75" hidden="1" customHeight="1">
      <c r="A5120" s="20">
        <v>5129</v>
      </c>
      <c r="B5120" s="1069">
        <v>44592</v>
      </c>
      <c r="C5120" s="1006" t="s">
        <v>17364</v>
      </c>
      <c r="D5120" s="11" t="s">
        <v>6</v>
      </c>
      <c r="E5120" s="818" t="s">
        <v>13338</v>
      </c>
      <c r="F5120" s="1006" t="s">
        <v>13364</v>
      </c>
      <c r="G5120" s="1193" t="s">
        <v>17365</v>
      </c>
      <c r="H5120" s="818" t="s">
        <v>1715</v>
      </c>
      <c r="I5120" s="222" t="s">
        <v>281</v>
      </c>
      <c r="J5120" s="222" t="s">
        <v>17366</v>
      </c>
      <c r="K5120" s="222" t="s">
        <v>17367</v>
      </c>
      <c r="L5120" s="222" t="s">
        <v>2251</v>
      </c>
      <c r="M5120" s="222">
        <v>22</v>
      </c>
      <c r="N5120" s="222">
        <v>1</v>
      </c>
      <c r="O5120" s="222">
        <v>25</v>
      </c>
      <c r="P5120" s="222">
        <v>0</v>
      </c>
      <c r="Q5120" s="222">
        <v>3</v>
      </c>
      <c r="R5120" s="1195" t="s">
        <v>17368</v>
      </c>
      <c r="S5120" s="1195" t="s">
        <v>17369</v>
      </c>
      <c r="T5120" s="222" t="s">
        <v>14752</v>
      </c>
      <c r="U5120" s="1901" t="s">
        <v>10628</v>
      </c>
      <c r="V5120" s="222" t="s">
        <v>5575</v>
      </c>
      <c r="W5120" s="2167" t="s">
        <v>17370</v>
      </c>
      <c r="X5120" s="818"/>
      <c r="Y5120" s="1161"/>
    </row>
    <row r="5121" spans="1:52" ht="15.75" hidden="1" customHeight="1">
      <c r="A5121" s="20">
        <v>5130</v>
      </c>
      <c r="B5121" s="1069">
        <v>44592</v>
      </c>
      <c r="C5121" s="1006" t="s">
        <v>17371</v>
      </c>
      <c r="D5121" s="11" t="s">
        <v>6</v>
      </c>
      <c r="E5121" s="818" t="s">
        <v>13338</v>
      </c>
      <c r="F5121" s="1006" t="s">
        <v>13364</v>
      </c>
      <c r="G5121" s="1193" t="s">
        <v>17372</v>
      </c>
      <c r="H5121" s="818" t="s">
        <v>4508</v>
      </c>
      <c r="I5121" s="222" t="s">
        <v>281</v>
      </c>
      <c r="J5121" s="222" t="s">
        <v>17373</v>
      </c>
      <c r="K5121" s="222" t="s">
        <v>17374</v>
      </c>
      <c r="L5121" s="222" t="s">
        <v>17375</v>
      </c>
      <c r="M5121" s="222">
        <v>25</v>
      </c>
      <c r="N5121" s="222">
        <v>1</v>
      </c>
      <c r="O5121" s="222">
        <v>25</v>
      </c>
      <c r="P5121" s="222">
        <v>0</v>
      </c>
      <c r="Q5121" s="222">
        <v>0</v>
      </c>
      <c r="R5121" s="1195" t="s">
        <v>17376</v>
      </c>
      <c r="S5121" s="1195" t="s">
        <v>17377</v>
      </c>
      <c r="T5121" s="222" t="s">
        <v>14752</v>
      </c>
      <c r="U5121" s="1901" t="s">
        <v>10628</v>
      </c>
      <c r="V5121" s="222" t="s">
        <v>5575</v>
      </c>
      <c r="W5121" s="727" t="s">
        <v>17378</v>
      </c>
      <c r="X5121" s="818"/>
      <c r="Y5121" s="1161"/>
    </row>
    <row r="5122" spans="1:52" ht="14.1" hidden="1">
      <c r="A5122" s="20">
        <v>5131</v>
      </c>
      <c r="B5122" s="1069">
        <v>44592</v>
      </c>
      <c r="C5122" s="1006" t="s">
        <v>17379</v>
      </c>
      <c r="D5122" s="11" t="s">
        <v>6</v>
      </c>
      <c r="E5122" s="818" t="s">
        <v>13338</v>
      </c>
      <c r="F5122" s="1006" t="s">
        <v>13364</v>
      </c>
      <c r="G5122" s="1193" t="s">
        <v>17380</v>
      </c>
      <c r="H5122" s="818" t="s">
        <v>460</v>
      </c>
      <c r="I5122" s="222" t="s">
        <v>281</v>
      </c>
      <c r="J5122" s="222" t="s">
        <v>17381</v>
      </c>
      <c r="K5122" s="222" t="s">
        <v>17382</v>
      </c>
      <c r="L5122" s="222" t="s">
        <v>8620</v>
      </c>
      <c r="M5122" s="222">
        <v>10</v>
      </c>
      <c r="N5122" s="222">
        <v>1</v>
      </c>
      <c r="O5122" s="222">
        <v>10</v>
      </c>
      <c r="P5122" s="222">
        <v>0</v>
      </c>
      <c r="Q5122" s="222">
        <v>0</v>
      </c>
      <c r="R5122" s="1195" t="s">
        <v>17383</v>
      </c>
      <c r="S5122" s="1195" t="s">
        <v>17384</v>
      </c>
      <c r="T5122" s="222" t="s">
        <v>14752</v>
      </c>
      <c r="U5122" s="1901" t="s">
        <v>10628</v>
      </c>
      <c r="V5122" s="222" t="s">
        <v>5575</v>
      </c>
      <c r="W5122" s="2167" t="s">
        <v>17385</v>
      </c>
      <c r="X5122" s="818"/>
      <c r="Y5122" s="1151"/>
      <c r="Z5122" s="4"/>
    </row>
    <row r="5123" spans="1:52" ht="15.75" hidden="1" customHeight="1">
      <c r="A5123" s="20">
        <v>5132</v>
      </c>
      <c r="B5123" s="1069">
        <v>44592</v>
      </c>
      <c r="C5123" s="1006" t="s">
        <v>17386</v>
      </c>
      <c r="D5123" s="11" t="s">
        <v>6</v>
      </c>
      <c r="E5123" s="818" t="s">
        <v>13338</v>
      </c>
      <c r="F5123" s="1006" t="s">
        <v>13364</v>
      </c>
      <c r="G5123" s="1193" t="s">
        <v>17387</v>
      </c>
      <c r="H5123" s="818" t="s">
        <v>17388</v>
      </c>
      <c r="I5123" s="222" t="s">
        <v>281</v>
      </c>
      <c r="J5123" s="222" t="s">
        <v>17389</v>
      </c>
      <c r="K5123" s="222" t="s">
        <v>17390</v>
      </c>
      <c r="L5123" s="222" t="s">
        <v>1095</v>
      </c>
      <c r="M5123" s="222">
        <v>10</v>
      </c>
      <c r="N5123" s="222">
        <v>1</v>
      </c>
      <c r="O5123" s="222">
        <v>10</v>
      </c>
      <c r="P5123" s="222">
        <v>0</v>
      </c>
      <c r="Q5123" s="222">
        <v>0</v>
      </c>
      <c r="R5123" s="1195" t="s">
        <v>17391</v>
      </c>
      <c r="S5123" s="1195" t="s">
        <v>17392</v>
      </c>
      <c r="T5123" s="222" t="s">
        <v>14752</v>
      </c>
      <c r="U5123" s="1901" t="s">
        <v>10628</v>
      </c>
      <c r="V5123" s="222" t="s">
        <v>5575</v>
      </c>
      <c r="W5123" s="2167" t="s">
        <v>17393</v>
      </c>
      <c r="X5123" s="818"/>
      <c r="Y5123" s="1161"/>
    </row>
    <row r="5124" spans="1:52" ht="15.75" hidden="1" customHeight="1">
      <c r="A5124" s="20">
        <v>5133</v>
      </c>
      <c r="B5124" s="1069">
        <v>44592</v>
      </c>
      <c r="C5124" s="1006" t="s">
        <v>17394</v>
      </c>
      <c r="D5124" s="11" t="s">
        <v>6</v>
      </c>
      <c r="E5124" s="818" t="s">
        <v>13338</v>
      </c>
      <c r="F5124" s="1006" t="s">
        <v>13364</v>
      </c>
      <c r="G5124" s="1193" t="s">
        <v>17395</v>
      </c>
      <c r="H5124" s="818" t="s">
        <v>1104</v>
      </c>
      <c r="I5124" s="222" t="s">
        <v>281</v>
      </c>
      <c r="J5124" s="222" t="s">
        <v>3958</v>
      </c>
      <c r="K5124" s="222" t="s">
        <v>3959</v>
      </c>
      <c r="L5124" s="222" t="s">
        <v>1</v>
      </c>
      <c r="M5124" s="222">
        <v>5</v>
      </c>
      <c r="N5124" s="222">
        <v>1</v>
      </c>
      <c r="O5124" s="222">
        <v>5</v>
      </c>
      <c r="P5124" s="222">
        <v>0</v>
      </c>
      <c r="Q5124" s="222">
        <v>0</v>
      </c>
      <c r="R5124" s="1195" t="s">
        <v>17396</v>
      </c>
      <c r="S5124" s="1195" t="s">
        <v>17397</v>
      </c>
      <c r="T5124" s="222" t="s">
        <v>14752</v>
      </c>
      <c r="U5124" s="1901" t="s">
        <v>10628</v>
      </c>
      <c r="V5124" s="222" t="s">
        <v>5575</v>
      </c>
      <c r="W5124" s="2167" t="s">
        <v>17398</v>
      </c>
      <c r="X5124" s="818"/>
      <c r="Y5124" s="1161"/>
    </row>
    <row r="5125" spans="1:52" ht="15.75" hidden="1" customHeight="1">
      <c r="A5125" s="20">
        <v>5134</v>
      </c>
      <c r="B5125" s="1069">
        <v>44592</v>
      </c>
      <c r="C5125" s="1006" t="s">
        <v>17399</v>
      </c>
      <c r="D5125" s="11" t="s">
        <v>6</v>
      </c>
      <c r="E5125" s="818" t="s">
        <v>13338</v>
      </c>
      <c r="F5125" s="1006" t="s">
        <v>13364</v>
      </c>
      <c r="G5125" s="1193" t="s">
        <v>17400</v>
      </c>
      <c r="H5125" s="818" t="s">
        <v>2920</v>
      </c>
      <c r="I5125" s="222" t="s">
        <v>281</v>
      </c>
      <c r="J5125" s="222" t="s">
        <v>17401</v>
      </c>
      <c r="K5125" s="222">
        <v>398</v>
      </c>
      <c r="L5125" s="222" t="s">
        <v>1</v>
      </c>
      <c r="M5125" s="222">
        <v>4</v>
      </c>
      <c r="N5125" s="222">
        <v>1</v>
      </c>
      <c r="O5125" s="222">
        <v>4</v>
      </c>
      <c r="P5125" s="222">
        <v>0</v>
      </c>
      <c r="Q5125" s="222">
        <v>0</v>
      </c>
      <c r="R5125" s="1195" t="s">
        <v>17402</v>
      </c>
      <c r="S5125" s="1195" t="s">
        <v>17403</v>
      </c>
      <c r="T5125" s="222" t="s">
        <v>14752</v>
      </c>
      <c r="U5125" s="1901" t="s">
        <v>10628</v>
      </c>
      <c r="V5125" s="222" t="s">
        <v>5575</v>
      </c>
      <c r="W5125" s="2167" t="s">
        <v>17404</v>
      </c>
      <c r="X5125" s="818"/>
      <c r="Y5125" s="1161"/>
    </row>
    <row r="5126" spans="1:52" ht="14.1" hidden="1">
      <c r="A5126" s="20">
        <v>5135</v>
      </c>
      <c r="B5126" s="1069">
        <v>44592</v>
      </c>
      <c r="C5126" s="1006" t="s">
        <v>17405</v>
      </c>
      <c r="D5126" s="11" t="s">
        <v>6</v>
      </c>
      <c r="E5126" s="818" t="s">
        <v>13338</v>
      </c>
      <c r="F5126" s="1006" t="s">
        <v>13364</v>
      </c>
      <c r="G5126" s="1193" t="s">
        <v>17406</v>
      </c>
      <c r="H5126" s="818" t="s">
        <v>4508</v>
      </c>
      <c r="I5126" s="222" t="s">
        <v>281</v>
      </c>
      <c r="J5126" s="222" t="s">
        <v>544</v>
      </c>
      <c r="K5126" s="222" t="s">
        <v>545</v>
      </c>
      <c r="L5126" s="222" t="s">
        <v>17375</v>
      </c>
      <c r="M5126" s="222">
        <v>2</v>
      </c>
      <c r="N5126" s="222">
        <v>1</v>
      </c>
      <c r="O5126" s="222">
        <v>2</v>
      </c>
      <c r="P5126" s="222">
        <v>0</v>
      </c>
      <c r="Q5126" s="222">
        <v>0</v>
      </c>
      <c r="R5126" s="1195" t="s">
        <v>17407</v>
      </c>
      <c r="S5126" s="1195" t="s">
        <v>17408</v>
      </c>
      <c r="T5126" s="222" t="s">
        <v>14752</v>
      </c>
      <c r="U5126" s="1901" t="s">
        <v>10628</v>
      </c>
      <c r="V5126" s="222" t="s">
        <v>5575</v>
      </c>
      <c r="W5126" s="2167" t="s">
        <v>17409</v>
      </c>
      <c r="X5126" s="818"/>
      <c r="Y5126" s="1151"/>
      <c r="Z5126" s="4"/>
    </row>
    <row r="5127" spans="1:52" ht="15.75" hidden="1" customHeight="1">
      <c r="A5127" s="20">
        <v>5136</v>
      </c>
      <c r="B5127" s="1069">
        <v>44592</v>
      </c>
      <c r="C5127" s="1006" t="s">
        <v>17410</v>
      </c>
      <c r="D5127" s="11" t="s">
        <v>6</v>
      </c>
      <c r="E5127" s="818" t="s">
        <v>13338</v>
      </c>
      <c r="F5127" s="1006" t="s">
        <v>13364</v>
      </c>
      <c r="G5127" s="1193" t="s">
        <v>17411</v>
      </c>
      <c r="H5127" s="818" t="s">
        <v>17412</v>
      </c>
      <c r="I5127" s="222" t="s">
        <v>1022</v>
      </c>
      <c r="J5127" s="222" t="s">
        <v>17413</v>
      </c>
      <c r="K5127" s="222" t="s">
        <v>17414</v>
      </c>
      <c r="L5127" s="222" t="s">
        <v>1</v>
      </c>
      <c r="M5127" s="222">
        <v>1</v>
      </c>
      <c r="N5127" s="222">
        <v>1</v>
      </c>
      <c r="O5127" s="222">
        <v>1</v>
      </c>
      <c r="P5127" s="222">
        <v>0</v>
      </c>
      <c r="Q5127" s="222">
        <v>0</v>
      </c>
      <c r="R5127" s="1195" t="s">
        <v>17415</v>
      </c>
      <c r="S5127" s="1195" t="s">
        <v>17415</v>
      </c>
      <c r="T5127" s="222" t="s">
        <v>14752</v>
      </c>
      <c r="U5127" s="1901" t="s">
        <v>10628</v>
      </c>
      <c r="V5127" s="222" t="s">
        <v>5575</v>
      </c>
      <c r="W5127" s="2167" t="s">
        <v>17416</v>
      </c>
      <c r="X5127" s="818"/>
      <c r="Y5127" s="1161"/>
    </row>
    <row r="5128" spans="1:52" ht="15.75" hidden="1" customHeight="1">
      <c r="A5128" s="20">
        <v>5137</v>
      </c>
      <c r="B5128" s="1069">
        <v>44592</v>
      </c>
      <c r="C5128" s="1006" t="s">
        <v>17417</v>
      </c>
      <c r="D5128" s="11" t="s">
        <v>6</v>
      </c>
      <c r="E5128" s="818" t="s">
        <v>13338</v>
      </c>
      <c r="F5128" s="1006" t="s">
        <v>13364</v>
      </c>
      <c r="G5128" s="1193" t="s">
        <v>17418</v>
      </c>
      <c r="H5128" s="818" t="s">
        <v>3293</v>
      </c>
      <c r="I5128" s="222" t="s">
        <v>281</v>
      </c>
      <c r="J5128" s="222" t="s">
        <v>17419</v>
      </c>
      <c r="K5128" s="222">
        <v>1101</v>
      </c>
      <c r="L5128" s="222" t="s">
        <v>1</v>
      </c>
      <c r="M5128" s="222">
        <v>2</v>
      </c>
      <c r="N5128" s="222">
        <v>1</v>
      </c>
      <c r="O5128" s="222">
        <v>2</v>
      </c>
      <c r="P5128" s="222">
        <v>0</v>
      </c>
      <c r="Q5128" s="222">
        <v>0</v>
      </c>
      <c r="R5128" s="1195" t="s">
        <v>17420</v>
      </c>
      <c r="S5128" s="1195" t="s">
        <v>17421</v>
      </c>
      <c r="T5128" s="222" t="s">
        <v>14752</v>
      </c>
      <c r="U5128" s="1901" t="s">
        <v>10628</v>
      </c>
      <c r="V5128" s="222" t="s">
        <v>5575</v>
      </c>
      <c r="W5128" s="2167" t="s">
        <v>17422</v>
      </c>
      <c r="X5128" s="818"/>
      <c r="Y5128" s="1161"/>
    </row>
    <row r="5129" spans="1:52" ht="15.75" hidden="1" customHeight="1">
      <c r="A5129" s="20">
        <v>5138</v>
      </c>
      <c r="B5129" s="1069">
        <v>44592</v>
      </c>
      <c r="C5129" s="1006" t="s">
        <v>17423</v>
      </c>
      <c r="D5129" s="11" t="s">
        <v>6</v>
      </c>
      <c r="E5129" s="818" t="s">
        <v>13338</v>
      </c>
      <c r="F5129" s="1006" t="s">
        <v>13364</v>
      </c>
      <c r="G5129" s="1193" t="s">
        <v>17424</v>
      </c>
      <c r="H5129" s="818" t="s">
        <v>3293</v>
      </c>
      <c r="I5129" s="222" t="s">
        <v>281</v>
      </c>
      <c r="J5129" s="222" t="s">
        <v>17425</v>
      </c>
      <c r="K5129" s="222">
        <v>1096</v>
      </c>
      <c r="L5129" s="222" t="s">
        <v>1</v>
      </c>
      <c r="M5129" s="222">
        <v>2</v>
      </c>
      <c r="N5129" s="222">
        <v>1</v>
      </c>
      <c r="O5129" s="222">
        <v>2</v>
      </c>
      <c r="P5129" s="222">
        <v>0</v>
      </c>
      <c r="Q5129" s="222">
        <v>0</v>
      </c>
      <c r="R5129" s="1195" t="s">
        <v>16271</v>
      </c>
      <c r="S5129" s="1195" t="s">
        <v>16272</v>
      </c>
      <c r="T5129" s="222" t="s">
        <v>14752</v>
      </c>
      <c r="U5129" s="1901" t="s">
        <v>10628</v>
      </c>
      <c r="V5129" s="222" t="s">
        <v>5575</v>
      </c>
      <c r="W5129" s="2167" t="s">
        <v>17426</v>
      </c>
      <c r="X5129" s="818"/>
      <c r="Y5129" s="1161"/>
    </row>
    <row r="5130" spans="1:52" ht="15.75" hidden="1" customHeight="1">
      <c r="A5130" s="20">
        <v>5139</v>
      </c>
      <c r="B5130" s="1069">
        <v>44592</v>
      </c>
      <c r="C5130" s="1006" t="s">
        <v>17427</v>
      </c>
      <c r="D5130" s="11" t="s">
        <v>6</v>
      </c>
      <c r="E5130" s="818" t="s">
        <v>13338</v>
      </c>
      <c r="F5130" s="1006" t="s">
        <v>13364</v>
      </c>
      <c r="G5130" s="1193" t="s">
        <v>8999</v>
      </c>
      <c r="H5130" s="818" t="s">
        <v>3898</v>
      </c>
      <c r="I5130" s="222" t="s">
        <v>281</v>
      </c>
      <c r="J5130" s="222" t="s">
        <v>17428</v>
      </c>
      <c r="K5130" s="222" t="s">
        <v>17429</v>
      </c>
      <c r="L5130" s="222" t="s">
        <v>1</v>
      </c>
      <c r="M5130" s="222">
        <v>6</v>
      </c>
      <c r="N5130" s="222">
        <v>1</v>
      </c>
      <c r="O5130" s="222">
        <v>6</v>
      </c>
      <c r="P5130" s="222">
        <v>0</v>
      </c>
      <c r="Q5130" s="222">
        <v>0</v>
      </c>
      <c r="R5130" s="1195" t="s">
        <v>17430</v>
      </c>
      <c r="S5130" s="1195" t="s">
        <v>17431</v>
      </c>
      <c r="T5130" s="222" t="s">
        <v>14752</v>
      </c>
      <c r="U5130" s="1901" t="s">
        <v>10628</v>
      </c>
      <c r="V5130" s="222" t="s">
        <v>5575</v>
      </c>
      <c r="W5130" s="2168" t="s">
        <v>17432</v>
      </c>
      <c r="X5130" s="818"/>
      <c r="Y5130" s="1161"/>
    </row>
    <row r="5131" spans="1:52" ht="15.75" hidden="1" customHeight="1">
      <c r="A5131" s="20">
        <v>5140</v>
      </c>
      <c r="B5131" s="1069">
        <v>44592</v>
      </c>
      <c r="C5131" s="1006" t="s">
        <v>17433</v>
      </c>
      <c r="D5131" s="11" t="s">
        <v>6</v>
      </c>
      <c r="E5131" s="818" t="s">
        <v>13338</v>
      </c>
      <c r="F5131" s="1006" t="s">
        <v>13364</v>
      </c>
      <c r="G5131" s="1193" t="s">
        <v>17434</v>
      </c>
      <c r="H5131" s="818" t="s">
        <v>2944</v>
      </c>
      <c r="I5131" s="222" t="s">
        <v>281</v>
      </c>
      <c r="J5131" s="222" t="s">
        <v>6547</v>
      </c>
      <c r="K5131" s="222" t="s">
        <v>6546</v>
      </c>
      <c r="L5131" s="222" t="s">
        <v>17375</v>
      </c>
      <c r="M5131" s="222">
        <v>15</v>
      </c>
      <c r="N5131" s="222">
        <v>1</v>
      </c>
      <c r="O5131" s="222">
        <v>15</v>
      </c>
      <c r="P5131" s="222">
        <v>0</v>
      </c>
      <c r="Q5131" s="222">
        <v>0</v>
      </c>
      <c r="R5131" s="1195" t="s">
        <v>17435</v>
      </c>
      <c r="S5131" s="1195" t="s">
        <v>17436</v>
      </c>
      <c r="T5131" s="222" t="s">
        <v>14752</v>
      </c>
      <c r="U5131" s="1901" t="s">
        <v>10628</v>
      </c>
      <c r="V5131" s="222" t="s">
        <v>5575</v>
      </c>
      <c r="W5131" s="727" t="s">
        <v>17437</v>
      </c>
      <c r="X5131" s="818"/>
      <c r="Y5131" s="1161"/>
    </row>
    <row r="5132" spans="1:52" ht="15.75" hidden="1" customHeight="1">
      <c r="A5132" s="222">
        <v>5141</v>
      </c>
      <c r="B5132" s="858">
        <v>44593</v>
      </c>
      <c r="C5132" s="129" t="s">
        <v>12500</v>
      </c>
      <c r="D5132" s="8" t="s">
        <v>6</v>
      </c>
      <c r="E5132" s="818" t="s">
        <v>4951</v>
      </c>
      <c r="F5132" s="1006" t="s">
        <v>16260</v>
      </c>
      <c r="G5132" s="863" t="s">
        <v>12540</v>
      </c>
      <c r="H5132" s="222" t="s">
        <v>366</v>
      </c>
      <c r="I5132" s="222" t="s">
        <v>366</v>
      </c>
      <c r="J5132" s="183" t="s">
        <v>9151</v>
      </c>
      <c r="K5132" s="183" t="s">
        <v>9151</v>
      </c>
      <c r="L5132" s="613" t="s">
        <v>12503</v>
      </c>
      <c r="M5132" s="183">
        <v>16</v>
      </c>
      <c r="N5132" s="183">
        <v>1</v>
      </c>
      <c r="O5132" s="222">
        <v>20</v>
      </c>
      <c r="P5132" s="222">
        <v>0</v>
      </c>
      <c r="Q5132" s="222">
        <v>20</v>
      </c>
      <c r="R5132" s="1195">
        <v>180</v>
      </c>
      <c r="S5132" s="1195">
        <v>3600</v>
      </c>
      <c r="T5132" s="222" t="s">
        <v>14752</v>
      </c>
      <c r="U5132" s="1527" t="s">
        <v>9101</v>
      </c>
      <c r="V5132" s="222" t="s">
        <v>7780</v>
      </c>
      <c r="W5132" s="2155" t="s">
        <v>17438</v>
      </c>
      <c r="X5132" s="818"/>
      <c r="Y5132" s="1161"/>
    </row>
    <row r="5133" spans="1:52" ht="15.75" hidden="1" customHeight="1">
      <c r="A5133" s="222">
        <v>5142</v>
      </c>
      <c r="B5133" s="858">
        <v>44593</v>
      </c>
      <c r="C5133" s="129" t="s">
        <v>17439</v>
      </c>
      <c r="D5133" s="11" t="s">
        <v>6</v>
      </c>
      <c r="E5133" s="818" t="s">
        <v>13338</v>
      </c>
      <c r="F5133" s="1006" t="s">
        <v>13364</v>
      </c>
      <c r="G5133" s="863" t="s">
        <v>17440</v>
      </c>
      <c r="H5133" s="222" t="s">
        <v>2868</v>
      </c>
      <c r="I5133" s="222" t="s">
        <v>2868</v>
      </c>
      <c r="J5133" s="183">
        <v>22020100180</v>
      </c>
      <c r="K5133" s="183">
        <v>22020100180</v>
      </c>
      <c r="L5133" s="613"/>
      <c r="M5133" s="183">
        <v>2</v>
      </c>
      <c r="N5133" s="183">
        <v>1</v>
      </c>
      <c r="O5133" s="222">
        <v>5</v>
      </c>
      <c r="P5133" s="222">
        <v>0</v>
      </c>
      <c r="Q5133" s="222">
        <v>3</v>
      </c>
      <c r="R5133" s="1195">
        <v>102891</v>
      </c>
      <c r="S5133" s="1195">
        <v>102891</v>
      </c>
      <c r="T5133" s="222" t="s">
        <v>14752</v>
      </c>
      <c r="U5133" s="1527" t="s">
        <v>10628</v>
      </c>
      <c r="V5133" s="222" t="s">
        <v>5575</v>
      </c>
      <c r="W5133" s="2155" t="s">
        <v>5265</v>
      </c>
      <c r="X5133" s="818"/>
      <c r="Y5133" s="1161"/>
    </row>
    <row r="5134" spans="1:52" s="850" customFormat="1" ht="15.75" hidden="1" customHeight="1">
      <c r="A5134" s="646">
        <v>5143</v>
      </c>
      <c r="B5134" s="1416">
        <v>44593</v>
      </c>
      <c r="C5134" s="1489" t="s">
        <v>9962</v>
      </c>
      <c r="D5134" s="231" t="s">
        <v>6</v>
      </c>
      <c r="E5134" s="1485" t="s">
        <v>62</v>
      </c>
      <c r="F5134" s="1043" t="s">
        <v>2143</v>
      </c>
      <c r="G5134" s="1417" t="s">
        <v>16623</v>
      </c>
      <c r="H5134" s="646" t="s">
        <v>4646</v>
      </c>
      <c r="I5134" s="646" t="s">
        <v>4646</v>
      </c>
      <c r="J5134" s="646"/>
      <c r="K5134" s="646"/>
      <c r="L5134" s="608"/>
      <c r="M5134" s="646">
        <v>1</v>
      </c>
      <c r="N5134" s="646">
        <v>1</v>
      </c>
      <c r="O5134" s="646">
        <v>1</v>
      </c>
      <c r="P5134" s="646">
        <v>0</v>
      </c>
      <c r="Q5134" s="646">
        <v>0</v>
      </c>
      <c r="R5134" s="1486">
        <v>120</v>
      </c>
      <c r="S5134" s="1486">
        <v>120</v>
      </c>
      <c r="T5134" s="646" t="s">
        <v>5448</v>
      </c>
      <c r="U5134" s="1966" t="s">
        <v>118</v>
      </c>
      <c r="V5134" s="646" t="s">
        <v>16621</v>
      </c>
      <c r="W5134" s="2166"/>
      <c r="X5134" s="1485"/>
      <c r="Y5134" s="1490"/>
      <c r="Z5134" s="459"/>
      <c r="AA5134" s="459"/>
      <c r="AB5134" s="459"/>
      <c r="AC5134" s="459"/>
      <c r="AD5134" s="459"/>
      <c r="AE5134" s="459"/>
      <c r="AF5134" s="459"/>
      <c r="AG5134" s="459"/>
      <c r="AH5134" s="459"/>
      <c r="AI5134" s="459"/>
      <c r="AJ5134" s="459"/>
      <c r="AK5134" s="459"/>
      <c r="AL5134" s="459"/>
      <c r="AM5134" s="459"/>
      <c r="AN5134" s="459"/>
      <c r="AO5134" s="459"/>
      <c r="AP5134" s="459"/>
      <c r="AQ5134" s="459"/>
      <c r="AR5134" s="459"/>
      <c r="AS5134" s="459"/>
      <c r="AT5134" s="459"/>
      <c r="AU5134" s="459"/>
      <c r="AV5134" s="459"/>
      <c r="AW5134" s="459"/>
      <c r="AX5134" s="459"/>
      <c r="AY5134" s="459"/>
      <c r="AZ5134" s="459"/>
    </row>
    <row r="5135" spans="1:52" ht="15.75" hidden="1" customHeight="1">
      <c r="A5135" s="222">
        <v>5144</v>
      </c>
      <c r="B5135" s="858">
        <v>44594</v>
      </c>
      <c r="C5135" s="129" t="s">
        <v>17441</v>
      </c>
      <c r="D5135" s="10"/>
      <c r="E5135" s="818" t="s">
        <v>62</v>
      </c>
      <c r="F5135" s="1006" t="s">
        <v>2143</v>
      </c>
      <c r="G5135" s="863" t="s">
        <v>10390</v>
      </c>
      <c r="H5135" s="222" t="s">
        <v>9894</v>
      </c>
      <c r="I5135" s="222" t="s">
        <v>76</v>
      </c>
      <c r="J5135" s="183">
        <v>9703807</v>
      </c>
      <c r="K5135" s="183" t="s">
        <v>17442</v>
      </c>
      <c r="L5135" s="613"/>
      <c r="M5135" s="183">
        <v>2</v>
      </c>
      <c r="N5135" s="183">
        <v>1</v>
      </c>
      <c r="O5135" s="222">
        <v>2</v>
      </c>
      <c r="P5135" s="222">
        <v>0</v>
      </c>
      <c r="Q5135" s="222">
        <v>0</v>
      </c>
      <c r="R5135" s="1195">
        <v>925</v>
      </c>
      <c r="S5135" s="1195">
        <f>R5135*O5135</f>
        <v>1850</v>
      </c>
      <c r="T5135" s="222"/>
      <c r="U5135" s="1527"/>
      <c r="V5135" s="222" t="s">
        <v>10617</v>
      </c>
      <c r="W5135" s="2155" t="s">
        <v>17443</v>
      </c>
      <c r="X5135" s="818"/>
      <c r="Y5135" s="1161"/>
    </row>
    <row r="5136" spans="1:52" ht="15.75" hidden="1" customHeight="1">
      <c r="A5136" s="222">
        <v>5145</v>
      </c>
      <c r="B5136" s="858">
        <v>44594</v>
      </c>
      <c r="C5136" s="129" t="s">
        <v>17444</v>
      </c>
      <c r="D5136" s="10"/>
      <c r="E5136" s="818" t="s">
        <v>62</v>
      </c>
      <c r="F5136" s="1006" t="s">
        <v>2143</v>
      </c>
      <c r="G5136" s="863" t="s">
        <v>17445</v>
      </c>
      <c r="H5136" s="222" t="s">
        <v>17446</v>
      </c>
      <c r="I5136" s="222" t="s">
        <v>76</v>
      </c>
      <c r="J5136" s="183">
        <v>2845041</v>
      </c>
      <c r="K5136" s="183" t="s">
        <v>17447</v>
      </c>
      <c r="L5136" s="613"/>
      <c r="M5136" s="183">
        <v>2</v>
      </c>
      <c r="N5136" s="183">
        <v>1</v>
      </c>
      <c r="O5136" s="222">
        <v>2</v>
      </c>
      <c r="P5136" s="222">
        <v>0</v>
      </c>
      <c r="Q5136" s="222">
        <v>0</v>
      </c>
      <c r="R5136" s="1195">
        <v>328</v>
      </c>
      <c r="S5136" s="1195">
        <f>R5136*O5136</f>
        <v>656</v>
      </c>
      <c r="T5136" s="222"/>
      <c r="U5136" s="1527"/>
      <c r="V5136" s="222" t="s">
        <v>10617</v>
      </c>
      <c r="W5136" s="2155" t="s">
        <v>17448</v>
      </c>
      <c r="X5136" s="818"/>
      <c r="Y5136" s="1161"/>
    </row>
    <row r="5137" spans="1:25" ht="15.75" hidden="1" customHeight="1">
      <c r="A5137" s="222">
        <v>5146</v>
      </c>
      <c r="B5137" s="858">
        <v>44622</v>
      </c>
      <c r="C5137" s="129" t="s">
        <v>17449</v>
      </c>
      <c r="D5137" s="11" t="s">
        <v>6</v>
      </c>
      <c r="E5137" s="818" t="s">
        <v>62</v>
      </c>
      <c r="F5137" s="1006" t="s">
        <v>2876</v>
      </c>
      <c r="G5137" s="863" t="s">
        <v>16749</v>
      </c>
      <c r="H5137" s="222" t="s">
        <v>16750</v>
      </c>
      <c r="I5137" s="222" t="s">
        <v>16751</v>
      </c>
      <c r="J5137" s="183" t="s">
        <v>17450</v>
      </c>
      <c r="K5137" s="183" t="s">
        <v>17450</v>
      </c>
      <c r="L5137" s="613" t="s">
        <v>16753</v>
      </c>
      <c r="M5137" s="183" t="s">
        <v>16754</v>
      </c>
      <c r="N5137" s="183"/>
      <c r="O5137" s="222"/>
      <c r="P5137" s="222"/>
      <c r="Q5137" s="222"/>
      <c r="R5137" s="1195"/>
      <c r="S5137" s="1195">
        <v>46700</v>
      </c>
      <c r="T5137" s="222" t="s">
        <v>12330</v>
      </c>
      <c r="U5137" s="1527" t="s">
        <v>17451</v>
      </c>
      <c r="V5137" s="222" t="s">
        <v>16755</v>
      </c>
      <c r="W5137" s="2155" t="s">
        <v>16756</v>
      </c>
      <c r="X5137" s="818"/>
      <c r="Y5137" s="1161"/>
    </row>
    <row r="5138" spans="1:25" ht="15.75" hidden="1" customHeight="1">
      <c r="A5138" s="222">
        <v>5147</v>
      </c>
      <c r="B5138" s="858">
        <v>44622</v>
      </c>
      <c r="C5138" s="129" t="s">
        <v>17452</v>
      </c>
      <c r="D5138" s="11" t="s">
        <v>6</v>
      </c>
      <c r="E5138" s="818" t="s">
        <v>62</v>
      </c>
      <c r="F5138" s="1006" t="s">
        <v>2876</v>
      </c>
      <c r="G5138" s="863" t="s">
        <v>17453</v>
      </c>
      <c r="H5138" s="222" t="s">
        <v>1002</v>
      </c>
      <c r="I5138" s="222" t="s">
        <v>1002</v>
      </c>
      <c r="J5138" s="183">
        <v>22020100222</v>
      </c>
      <c r="K5138" s="183"/>
      <c r="L5138" s="613"/>
      <c r="M5138" s="183">
        <v>2</v>
      </c>
      <c r="N5138" s="183">
        <v>1</v>
      </c>
      <c r="O5138" s="222">
        <v>4</v>
      </c>
      <c r="P5138" s="222">
        <v>0</v>
      </c>
      <c r="Q5138" s="222">
        <v>2</v>
      </c>
      <c r="R5138" s="1195"/>
      <c r="S5138" s="1195">
        <v>74293</v>
      </c>
      <c r="T5138" s="222" t="s">
        <v>12330</v>
      </c>
      <c r="U5138" s="1527" t="s">
        <v>17454</v>
      </c>
      <c r="V5138" s="222" t="s">
        <v>17455</v>
      </c>
      <c r="W5138" s="2155" t="s">
        <v>17456</v>
      </c>
      <c r="X5138" s="818"/>
      <c r="Y5138" s="1161"/>
    </row>
    <row r="5139" spans="1:25" ht="15.75" hidden="1" customHeight="1">
      <c r="A5139" s="222">
        <v>5148</v>
      </c>
      <c r="B5139" s="858">
        <v>44596</v>
      </c>
      <c r="C5139" s="129" t="s">
        <v>17457</v>
      </c>
      <c r="D5139" s="8"/>
      <c r="E5139" s="818" t="s">
        <v>17458</v>
      </c>
      <c r="F5139" s="1006" t="s">
        <v>7046</v>
      </c>
      <c r="G5139" s="863" t="s">
        <v>17459</v>
      </c>
      <c r="H5139" s="222" t="s">
        <v>287</v>
      </c>
      <c r="I5139" s="222" t="s">
        <v>287</v>
      </c>
      <c r="J5139" s="183" t="s">
        <v>17460</v>
      </c>
      <c r="K5139" s="183" t="s">
        <v>17460</v>
      </c>
      <c r="L5139" s="613"/>
      <c r="M5139" s="183">
        <v>5</v>
      </c>
      <c r="N5139" s="183">
        <v>1</v>
      </c>
      <c r="O5139" s="222">
        <v>5</v>
      </c>
      <c r="P5139" s="222">
        <v>0</v>
      </c>
      <c r="Q5139" s="222">
        <v>4</v>
      </c>
      <c r="R5139" s="1195">
        <v>28228</v>
      </c>
      <c r="S5139" s="1195">
        <v>28228</v>
      </c>
      <c r="T5139" s="222" t="s">
        <v>12425</v>
      </c>
      <c r="U5139" s="1527" t="s">
        <v>17461</v>
      </c>
      <c r="V5139" s="222" t="s">
        <v>17216</v>
      </c>
      <c r="W5139" s="2155" t="s">
        <v>5265</v>
      </c>
      <c r="X5139" s="818"/>
      <c r="Y5139" s="1161"/>
    </row>
    <row r="5140" spans="1:25" ht="15.75" hidden="1" customHeight="1">
      <c r="A5140" s="222">
        <v>5149</v>
      </c>
      <c r="B5140" s="858">
        <v>44599</v>
      </c>
      <c r="C5140" s="129" t="s">
        <v>17462</v>
      </c>
      <c r="D5140" s="8"/>
      <c r="E5140" s="818" t="s">
        <v>17463</v>
      </c>
      <c r="F5140" s="1006" t="s">
        <v>16260</v>
      </c>
      <c r="G5140" s="863" t="s">
        <v>17464</v>
      </c>
      <c r="H5140" s="222" t="s">
        <v>17465</v>
      </c>
      <c r="I5140" s="222" t="s">
        <v>322</v>
      </c>
      <c r="J5140" s="183">
        <v>49504596</v>
      </c>
      <c r="K5140" s="183" t="s">
        <v>17466</v>
      </c>
      <c r="L5140" s="613" t="s">
        <v>12503</v>
      </c>
      <c r="M5140" s="183">
        <v>1</v>
      </c>
      <c r="N5140" s="183">
        <v>1</v>
      </c>
      <c r="O5140" s="222">
        <v>1</v>
      </c>
      <c r="P5140" s="222">
        <v>0</v>
      </c>
      <c r="Q5140" s="222">
        <v>1</v>
      </c>
      <c r="R5140" s="1195">
        <v>649</v>
      </c>
      <c r="S5140" s="1195">
        <v>649</v>
      </c>
      <c r="T5140" s="222" t="s">
        <v>14752</v>
      </c>
      <c r="U5140" s="1527" t="s">
        <v>9101</v>
      </c>
      <c r="V5140" s="222" t="s">
        <v>7780</v>
      </c>
      <c r="W5140" s="2155" t="s">
        <v>17467</v>
      </c>
      <c r="X5140" s="818"/>
      <c r="Y5140" s="1161"/>
    </row>
    <row r="5141" spans="1:25" ht="15.75" hidden="1" customHeight="1">
      <c r="A5141" s="222">
        <v>5150</v>
      </c>
      <c r="B5141" s="858">
        <v>44596</v>
      </c>
      <c r="C5141" s="129" t="s">
        <v>17468</v>
      </c>
      <c r="D5141" s="11" t="s">
        <v>6</v>
      </c>
      <c r="E5141" s="818" t="s">
        <v>62</v>
      </c>
      <c r="F5141" s="1006" t="s">
        <v>15653</v>
      </c>
      <c r="G5141" s="863" t="s">
        <v>17469</v>
      </c>
      <c r="H5141" s="222" t="s">
        <v>1865</v>
      </c>
      <c r="I5141" s="222" t="s">
        <v>10641</v>
      </c>
      <c r="J5141" s="183" t="s">
        <v>17470</v>
      </c>
      <c r="K5141" s="183" t="s">
        <v>17471</v>
      </c>
      <c r="L5141" s="613"/>
      <c r="M5141" s="183">
        <v>20</v>
      </c>
      <c r="N5141" s="183">
        <v>1</v>
      </c>
      <c r="O5141" s="222">
        <v>100</v>
      </c>
      <c r="P5141" s="222">
        <v>1</v>
      </c>
      <c r="Q5141" s="222">
        <v>101</v>
      </c>
      <c r="R5141" s="1195">
        <v>167</v>
      </c>
      <c r="S5141" s="1196">
        <v>16769</v>
      </c>
      <c r="T5141" s="222" t="s">
        <v>6037</v>
      </c>
      <c r="U5141" s="1527"/>
      <c r="V5141" s="222" t="s">
        <v>10617</v>
      </c>
      <c r="W5141" s="2276" t="s">
        <v>17472</v>
      </c>
      <c r="X5141" s="818"/>
      <c r="Y5141" s="1161"/>
    </row>
    <row r="5142" spans="1:25" ht="15.75" hidden="1" customHeight="1">
      <c r="A5142" s="222">
        <v>5151</v>
      </c>
      <c r="B5142" s="858">
        <v>44596</v>
      </c>
      <c r="C5142" s="1006" t="s">
        <v>17473</v>
      </c>
      <c r="D5142" s="11" t="s">
        <v>6</v>
      </c>
      <c r="E5142" s="818" t="s">
        <v>17463</v>
      </c>
      <c r="F5142" s="1006" t="s">
        <v>1989</v>
      </c>
      <c r="G5142" s="1193" t="s">
        <v>17474</v>
      </c>
      <c r="H5142" s="818" t="s">
        <v>2868</v>
      </c>
      <c r="I5142" s="222" t="s">
        <v>2868</v>
      </c>
      <c r="J5142" s="222">
        <v>22020400044</v>
      </c>
      <c r="K5142" s="222">
        <v>22020400044</v>
      </c>
      <c r="L5142" s="222"/>
      <c r="M5142" s="222">
        <v>2</v>
      </c>
      <c r="N5142" s="222">
        <v>1</v>
      </c>
      <c r="O5142" s="222">
        <v>4</v>
      </c>
      <c r="P5142" s="222">
        <v>0</v>
      </c>
      <c r="Q5142" s="222">
        <v>2</v>
      </c>
      <c r="R5142" s="1195">
        <v>104970</v>
      </c>
      <c r="S5142" s="1195">
        <v>104970</v>
      </c>
      <c r="T5142" s="222" t="s">
        <v>14752</v>
      </c>
      <c r="U5142" s="1901" t="s">
        <v>138</v>
      </c>
      <c r="V5142" s="222" t="s">
        <v>5575</v>
      </c>
      <c r="W5142" s="2155" t="s">
        <v>5265</v>
      </c>
      <c r="X5142" s="818"/>
      <c r="Y5142" s="1161"/>
    </row>
    <row r="5143" spans="1:25" ht="15.75" hidden="1" customHeight="1">
      <c r="A5143" s="222">
        <v>5152</v>
      </c>
      <c r="B5143" s="858">
        <v>44596</v>
      </c>
      <c r="C5143" s="129" t="s">
        <v>17475</v>
      </c>
      <c r="D5143" s="10" t="s">
        <v>6</v>
      </c>
      <c r="E5143" s="1006" t="s">
        <v>572</v>
      </c>
      <c r="F5143" s="1006" t="s">
        <v>784</v>
      </c>
      <c r="G5143" s="863" t="s">
        <v>17476</v>
      </c>
      <c r="H5143" s="222" t="s">
        <v>429</v>
      </c>
      <c r="I5143" s="222" t="s">
        <v>429</v>
      </c>
      <c r="J5143" s="183" t="s">
        <v>17477</v>
      </c>
      <c r="K5143" s="183" t="s">
        <v>17477</v>
      </c>
      <c r="L5143" s="613"/>
      <c r="M5143" s="183">
        <v>1</v>
      </c>
      <c r="N5143" s="183">
        <v>1</v>
      </c>
      <c r="O5143" s="222">
        <v>1</v>
      </c>
      <c r="P5143" s="222">
        <v>0</v>
      </c>
      <c r="Q5143" s="222">
        <v>0</v>
      </c>
      <c r="R5143" s="1195">
        <v>10020</v>
      </c>
      <c r="S5143" s="1195">
        <f>R5143*N5143</f>
        <v>10020</v>
      </c>
      <c r="T5143" s="222" t="s">
        <v>10016</v>
      </c>
      <c r="U5143" s="1967" t="s">
        <v>7934</v>
      </c>
      <c r="V5143" s="222" t="s">
        <v>7705</v>
      </c>
      <c r="W5143" s="2155"/>
      <c r="X5143" s="818"/>
      <c r="Y5143" s="1161"/>
    </row>
    <row r="5144" spans="1:25" ht="15.75" hidden="1" customHeight="1">
      <c r="A5144" s="222">
        <v>5153</v>
      </c>
      <c r="B5144" s="858">
        <v>44597</v>
      </c>
      <c r="C5144" s="129" t="s">
        <v>17478</v>
      </c>
      <c r="D5144" s="8"/>
      <c r="E5144" s="818" t="s">
        <v>17479</v>
      </c>
      <c r="F5144" s="1006" t="s">
        <v>10651</v>
      </c>
      <c r="G5144" s="863" t="s">
        <v>17480</v>
      </c>
      <c r="H5144" s="222" t="s">
        <v>429</v>
      </c>
      <c r="I5144" s="222" t="s">
        <v>429</v>
      </c>
      <c r="J5144" s="183" t="s">
        <v>17481</v>
      </c>
      <c r="K5144" s="183" t="s">
        <v>17481</v>
      </c>
      <c r="L5144" s="613"/>
      <c r="M5144" s="183">
        <v>1</v>
      </c>
      <c r="N5144" s="183">
        <v>1</v>
      </c>
      <c r="O5144" s="222">
        <v>1</v>
      </c>
      <c r="P5144" s="222">
        <v>0</v>
      </c>
      <c r="Q5144" s="222">
        <v>0</v>
      </c>
      <c r="R5144" s="1195">
        <v>10901</v>
      </c>
      <c r="S5144" s="1195">
        <v>10901</v>
      </c>
      <c r="T5144" s="222" t="s">
        <v>12425</v>
      </c>
      <c r="U5144" s="1527" t="s">
        <v>17352</v>
      </c>
      <c r="V5144" s="222" t="s">
        <v>17455</v>
      </c>
      <c r="W5144" s="2155" t="s">
        <v>17482</v>
      </c>
      <c r="X5144" s="818"/>
      <c r="Y5144" s="1161"/>
    </row>
    <row r="5145" spans="1:25" ht="15.75" hidden="1" customHeight="1">
      <c r="A5145" s="222">
        <v>5154</v>
      </c>
      <c r="B5145" s="858">
        <v>44597</v>
      </c>
      <c r="C5145" s="129" t="s">
        <v>17483</v>
      </c>
      <c r="D5145" s="8"/>
      <c r="E5145" s="818" t="s">
        <v>17479</v>
      </c>
      <c r="F5145" s="1006" t="s">
        <v>10651</v>
      </c>
      <c r="G5145" s="863" t="s">
        <v>17483</v>
      </c>
      <c r="H5145" s="222" t="s">
        <v>429</v>
      </c>
      <c r="I5145" s="222" t="s">
        <v>429</v>
      </c>
      <c r="J5145" s="183" t="s">
        <v>17484</v>
      </c>
      <c r="K5145" s="183" t="s">
        <v>17484</v>
      </c>
      <c r="L5145" s="613"/>
      <c r="M5145" s="183">
        <v>8</v>
      </c>
      <c r="N5145" s="183">
        <v>1</v>
      </c>
      <c r="O5145" s="222">
        <v>8</v>
      </c>
      <c r="P5145" s="222">
        <v>0</v>
      </c>
      <c r="Q5145" s="222">
        <v>0</v>
      </c>
      <c r="R5145" s="1196">
        <v>21</v>
      </c>
      <c r="S5145" s="1196">
        <v>387</v>
      </c>
      <c r="T5145" s="222" t="s">
        <v>12425</v>
      </c>
      <c r="U5145" s="1527" t="s">
        <v>17352</v>
      </c>
      <c r="V5145" s="222" t="s">
        <v>17455</v>
      </c>
      <c r="W5145" s="2155" t="s">
        <v>17485</v>
      </c>
      <c r="X5145" s="818"/>
      <c r="Y5145" s="1161"/>
    </row>
    <row r="5146" spans="1:25" ht="15.75" hidden="1" customHeight="1">
      <c r="A5146" s="222">
        <v>5155</v>
      </c>
      <c r="B5146" s="858">
        <v>44599</v>
      </c>
      <c r="C5146" s="129" t="s">
        <v>5484</v>
      </c>
      <c r="D5146" s="11" t="s">
        <v>6</v>
      </c>
      <c r="E5146" s="818" t="s">
        <v>17486</v>
      </c>
      <c r="F5146" s="1006" t="s">
        <v>131</v>
      </c>
      <c r="G5146" s="863" t="s">
        <v>17487</v>
      </c>
      <c r="H5146" s="222" t="s">
        <v>11399</v>
      </c>
      <c r="I5146" s="222" t="s">
        <v>17488</v>
      </c>
      <c r="J5146" s="183" t="s">
        <v>16092</v>
      </c>
      <c r="K5146" s="183" t="s">
        <v>10327</v>
      </c>
      <c r="L5146" s="613"/>
      <c r="M5146" s="183">
        <v>3</v>
      </c>
      <c r="N5146" s="183">
        <v>1</v>
      </c>
      <c r="O5146" s="222">
        <v>2</v>
      </c>
      <c r="P5146" s="222">
        <v>1</v>
      </c>
      <c r="Q5146" s="222">
        <v>0</v>
      </c>
      <c r="R5146" s="1195">
        <v>99899</v>
      </c>
      <c r="S5146" s="1195">
        <f>R5146*O5146</f>
        <v>199798</v>
      </c>
      <c r="T5146" s="222" t="s">
        <v>10016</v>
      </c>
      <c r="U5146" s="1527" t="s">
        <v>5484</v>
      </c>
      <c r="V5146" s="222" t="s">
        <v>17455</v>
      </c>
      <c r="W5146" s="2155" t="s">
        <v>17489</v>
      </c>
      <c r="X5146" s="818"/>
      <c r="Y5146" s="1161"/>
    </row>
    <row r="5147" spans="1:25" ht="15.75" hidden="1" customHeight="1">
      <c r="A5147" s="222">
        <v>5156</v>
      </c>
      <c r="B5147" s="858">
        <v>44600</v>
      </c>
      <c r="C5147" s="129" t="s">
        <v>17490</v>
      </c>
      <c r="D5147" s="11" t="s">
        <v>6</v>
      </c>
      <c r="E5147" s="818" t="s">
        <v>17491</v>
      </c>
      <c r="F5147" s="1006" t="s">
        <v>2143</v>
      </c>
      <c r="G5147" s="863" t="s">
        <v>17492</v>
      </c>
      <c r="H5147" s="222" t="s">
        <v>17493</v>
      </c>
      <c r="I5147" s="222" t="s">
        <v>17494</v>
      </c>
      <c r="J5147" s="183">
        <v>1031629096</v>
      </c>
      <c r="K5147" s="222" t="s">
        <v>17495</v>
      </c>
      <c r="L5147" s="613"/>
      <c r="M5147" s="183">
        <v>1</v>
      </c>
      <c r="N5147" s="183">
        <v>1</v>
      </c>
      <c r="O5147" s="222">
        <v>1</v>
      </c>
      <c r="P5147" s="222">
        <v>0</v>
      </c>
      <c r="Q5147" s="222">
        <v>1</v>
      </c>
      <c r="R5147" s="1195">
        <v>17840</v>
      </c>
      <c r="S5147" s="1195">
        <v>17840</v>
      </c>
      <c r="T5147" s="222" t="s">
        <v>4897</v>
      </c>
      <c r="U5147" s="1527" t="s">
        <v>4897</v>
      </c>
      <c r="V5147" s="222" t="s">
        <v>10617</v>
      </c>
      <c r="W5147" s="2155" t="s">
        <v>17496</v>
      </c>
      <c r="X5147" s="818"/>
      <c r="Y5147" s="1161"/>
    </row>
    <row r="5148" spans="1:25" ht="15.75" hidden="1" customHeight="1">
      <c r="A5148" s="222">
        <v>5157</v>
      </c>
      <c r="B5148" s="858">
        <v>44601</v>
      </c>
      <c r="C5148" s="129" t="s">
        <v>13528</v>
      </c>
      <c r="D5148" s="11" t="s">
        <v>6</v>
      </c>
      <c r="E5148" s="818" t="s">
        <v>17491</v>
      </c>
      <c r="F5148" s="1006" t="s">
        <v>2143</v>
      </c>
      <c r="G5148" s="863" t="s">
        <v>17497</v>
      </c>
      <c r="H5148" s="222" t="s">
        <v>4115</v>
      </c>
      <c r="I5148" s="222" t="s">
        <v>4115</v>
      </c>
      <c r="J5148" s="183" t="s">
        <v>17498</v>
      </c>
      <c r="K5148" s="183" t="s">
        <v>17498</v>
      </c>
      <c r="L5148" s="613"/>
      <c r="M5148" s="183">
        <v>1</v>
      </c>
      <c r="N5148" s="183">
        <v>1</v>
      </c>
      <c r="O5148" s="222">
        <v>1</v>
      </c>
      <c r="P5148" s="222">
        <v>0</v>
      </c>
      <c r="Q5148" s="222">
        <v>1</v>
      </c>
      <c r="R5148" s="1195">
        <v>290400</v>
      </c>
      <c r="S5148" s="1195">
        <v>290400</v>
      </c>
      <c r="T5148" s="222" t="s">
        <v>4897</v>
      </c>
      <c r="U5148" s="1527" t="s">
        <v>4897</v>
      </c>
      <c r="V5148" s="222" t="s">
        <v>10617</v>
      </c>
      <c r="W5148" s="2155"/>
      <c r="X5148" s="818" t="s">
        <v>17499</v>
      </c>
      <c r="Y5148" s="1161"/>
    </row>
    <row r="5149" spans="1:25" ht="15.75" hidden="1" customHeight="1">
      <c r="A5149" s="222" t="s">
        <v>17500</v>
      </c>
      <c r="B5149" s="858">
        <v>44602</v>
      </c>
      <c r="C5149" s="129" t="s">
        <v>17501</v>
      </c>
      <c r="D5149" s="8"/>
      <c r="E5149" s="818" t="s">
        <v>62</v>
      </c>
      <c r="F5149" s="1006" t="s">
        <v>9454</v>
      </c>
      <c r="G5149" s="863" t="s">
        <v>17502</v>
      </c>
      <c r="H5149" s="222" t="s">
        <v>1388</v>
      </c>
      <c r="I5149" s="222" t="s">
        <v>1388</v>
      </c>
      <c r="J5149" s="183"/>
      <c r="K5149" s="183"/>
      <c r="L5149" s="613"/>
      <c r="M5149" s="183">
        <v>1</v>
      </c>
      <c r="N5149" s="183">
        <v>1</v>
      </c>
      <c r="O5149" s="222">
        <v>1</v>
      </c>
      <c r="P5149" s="222">
        <v>0</v>
      </c>
      <c r="Q5149" s="222">
        <v>0</v>
      </c>
      <c r="R5149" s="1195">
        <v>3484</v>
      </c>
      <c r="S5149" s="1195">
        <v>3484</v>
      </c>
      <c r="T5149" s="222" t="s">
        <v>3961</v>
      </c>
      <c r="U5149" s="1527" t="s">
        <v>301</v>
      </c>
      <c r="V5149" s="222" t="s">
        <v>352</v>
      </c>
      <c r="W5149" s="2155"/>
      <c r="X5149" s="818"/>
      <c r="Y5149" s="1161"/>
    </row>
    <row r="5150" spans="1:25" ht="15.75" hidden="1" customHeight="1">
      <c r="A5150" s="222">
        <v>5159</v>
      </c>
      <c r="B5150" s="858">
        <v>44602</v>
      </c>
      <c r="C5150" s="129" t="s">
        <v>17503</v>
      </c>
      <c r="D5150" s="8"/>
      <c r="E5150" s="818" t="s">
        <v>62</v>
      </c>
      <c r="F5150" s="1006" t="s">
        <v>10651</v>
      </c>
      <c r="G5150" s="129" t="s">
        <v>17504</v>
      </c>
      <c r="H5150" s="222" t="s">
        <v>429</v>
      </c>
      <c r="I5150" s="222" t="s">
        <v>429</v>
      </c>
      <c r="J5150" s="183" t="s">
        <v>17505</v>
      </c>
      <c r="K5150" s="183" t="s">
        <v>17505</v>
      </c>
      <c r="L5150" s="613"/>
      <c r="M5150" s="183">
        <v>8</v>
      </c>
      <c r="N5150" s="183">
        <v>1</v>
      </c>
      <c r="O5150" s="222">
        <v>8</v>
      </c>
      <c r="P5150" s="222">
        <v>0</v>
      </c>
      <c r="Q5150" s="222">
        <v>0</v>
      </c>
      <c r="R5150" s="1195">
        <v>74</v>
      </c>
      <c r="S5150" s="1195">
        <v>651</v>
      </c>
      <c r="T5150" s="222" t="s">
        <v>12425</v>
      </c>
      <c r="U5150" s="1527" t="s">
        <v>301</v>
      </c>
      <c r="V5150" s="222" t="s">
        <v>17455</v>
      </c>
      <c r="W5150" s="2155" t="s">
        <v>17506</v>
      </c>
      <c r="X5150" s="818"/>
      <c r="Y5150" s="1161"/>
    </row>
    <row r="5151" spans="1:25" ht="15.75" hidden="1" customHeight="1">
      <c r="A5151" s="222">
        <v>5160</v>
      </c>
      <c r="B5151" s="858">
        <v>44602</v>
      </c>
      <c r="C5151" s="129" t="s">
        <v>17503</v>
      </c>
      <c r="D5151" s="8"/>
      <c r="E5151" s="818" t="s">
        <v>62</v>
      </c>
      <c r="F5151" s="1006" t="s">
        <v>10651</v>
      </c>
      <c r="G5151" s="129" t="s">
        <v>17507</v>
      </c>
      <c r="H5151" s="222" t="s">
        <v>429</v>
      </c>
      <c r="I5151" s="222" t="s">
        <v>429</v>
      </c>
      <c r="J5151" s="183" t="s">
        <v>17508</v>
      </c>
      <c r="K5151" s="183" t="s">
        <v>17508</v>
      </c>
      <c r="L5151" s="613"/>
      <c r="M5151" s="183">
        <v>12</v>
      </c>
      <c r="N5151" s="183">
        <v>1</v>
      </c>
      <c r="O5151" s="222">
        <v>12</v>
      </c>
      <c r="P5151" s="222">
        <v>0</v>
      </c>
      <c r="Q5151" s="222">
        <v>0</v>
      </c>
      <c r="R5151" s="1195">
        <v>30</v>
      </c>
      <c r="S5151" s="1195">
        <v>396</v>
      </c>
      <c r="T5151" s="222" t="s">
        <v>12425</v>
      </c>
      <c r="U5151" s="1527" t="s">
        <v>301</v>
      </c>
      <c r="V5151" s="222" t="s">
        <v>17455</v>
      </c>
      <c r="W5151" s="2155" t="s">
        <v>17509</v>
      </c>
      <c r="X5151" s="818"/>
      <c r="Y5151" s="1161"/>
    </row>
    <row r="5152" spans="1:25" ht="15.75" hidden="1" customHeight="1">
      <c r="A5152" s="222">
        <v>5161</v>
      </c>
      <c r="B5152" s="858">
        <v>44602</v>
      </c>
      <c r="C5152" s="129" t="s">
        <v>17510</v>
      </c>
      <c r="D5152" s="8"/>
      <c r="E5152" s="818" t="s">
        <v>62</v>
      </c>
      <c r="F5152" s="1006" t="s">
        <v>10651</v>
      </c>
      <c r="G5152" s="863" t="s">
        <v>17511</v>
      </c>
      <c r="H5152" s="222" t="s">
        <v>17512</v>
      </c>
      <c r="I5152" s="222" t="s">
        <v>429</v>
      </c>
      <c r="J5152" s="183" t="s">
        <v>17513</v>
      </c>
      <c r="K5152" s="183" t="s">
        <v>17513</v>
      </c>
      <c r="L5152" s="613"/>
      <c r="M5152" s="183">
        <v>1</v>
      </c>
      <c r="N5152" s="183">
        <v>1</v>
      </c>
      <c r="O5152" s="222">
        <v>1</v>
      </c>
      <c r="P5152" s="222">
        <v>0</v>
      </c>
      <c r="Q5152" s="222">
        <v>0</v>
      </c>
      <c r="R5152" s="1195">
        <v>10289</v>
      </c>
      <c r="S5152" s="1195">
        <v>10289</v>
      </c>
      <c r="T5152" s="222" t="s">
        <v>12425</v>
      </c>
      <c r="U5152" s="1527" t="s">
        <v>301</v>
      </c>
      <c r="V5152" s="222" t="s">
        <v>17455</v>
      </c>
      <c r="W5152" s="2155" t="s">
        <v>17514</v>
      </c>
      <c r="X5152" s="818"/>
      <c r="Y5152" s="1161"/>
    </row>
    <row r="5153" spans="1:52" s="850" customFormat="1" ht="15.75" hidden="1" customHeight="1">
      <c r="A5153" s="646">
        <v>5162</v>
      </c>
      <c r="B5153" s="1416">
        <v>44605</v>
      </c>
      <c r="C5153" s="1491" t="s">
        <v>17515</v>
      </c>
      <c r="D5153" s="231"/>
      <c r="E5153" s="1485" t="s">
        <v>13338</v>
      </c>
      <c r="F5153" s="1043" t="s">
        <v>404</v>
      </c>
      <c r="G5153" s="1417" t="s">
        <v>17516</v>
      </c>
      <c r="H5153" s="646" t="s">
        <v>17517</v>
      </c>
      <c r="I5153" s="646" t="s">
        <v>574</v>
      </c>
      <c r="J5153" s="646" t="s">
        <v>17518</v>
      </c>
      <c r="K5153" s="646" t="s">
        <v>17519</v>
      </c>
      <c r="L5153" s="608"/>
      <c r="M5153" s="646">
        <v>4</v>
      </c>
      <c r="N5153" s="646">
        <v>1</v>
      </c>
      <c r="O5153" s="646">
        <v>4</v>
      </c>
      <c r="P5153" s="646">
        <v>0</v>
      </c>
      <c r="Q5153" s="646">
        <v>0</v>
      </c>
      <c r="R5153" s="1486">
        <v>1888</v>
      </c>
      <c r="S5153" s="1486">
        <v>7552</v>
      </c>
      <c r="T5153" s="646" t="s">
        <v>311</v>
      </c>
      <c r="U5153" s="1966" t="s">
        <v>7057</v>
      </c>
      <c r="V5153" s="646" t="s">
        <v>17455</v>
      </c>
      <c r="W5153" s="2166" t="s">
        <v>17520</v>
      </c>
      <c r="X5153" s="1485"/>
      <c r="Y5153" s="1490"/>
      <c r="Z5153" s="459"/>
      <c r="AA5153" s="459"/>
      <c r="AB5153" s="459"/>
      <c r="AC5153" s="459"/>
      <c r="AD5153" s="459"/>
      <c r="AE5153" s="459"/>
      <c r="AF5153" s="459"/>
      <c r="AG5153" s="459"/>
      <c r="AH5153" s="459"/>
      <c r="AI5153" s="459"/>
      <c r="AJ5153" s="459"/>
      <c r="AK5153" s="459"/>
      <c r="AL5153" s="459"/>
      <c r="AM5153" s="459"/>
      <c r="AN5153" s="459"/>
      <c r="AO5153" s="459"/>
      <c r="AP5153" s="459"/>
      <c r="AQ5153" s="459"/>
      <c r="AR5153" s="459"/>
      <c r="AS5153" s="459"/>
      <c r="AT5153" s="459"/>
      <c r="AU5153" s="459"/>
      <c r="AV5153" s="459"/>
      <c r="AW5153" s="459"/>
      <c r="AX5153" s="459"/>
      <c r="AY5153" s="459"/>
      <c r="AZ5153" s="459"/>
    </row>
    <row r="5154" spans="1:52" ht="15.75" hidden="1" customHeight="1">
      <c r="A5154" s="222">
        <v>5163</v>
      </c>
      <c r="B5154" s="858">
        <v>44606</v>
      </c>
      <c r="C5154" s="129" t="s">
        <v>17521</v>
      </c>
      <c r="D5154" s="10"/>
      <c r="E5154" s="818" t="s">
        <v>17522</v>
      </c>
      <c r="F5154" s="1006" t="s">
        <v>404</v>
      </c>
      <c r="G5154" s="859" t="s">
        <v>17523</v>
      </c>
      <c r="H5154" s="222" t="s">
        <v>13087</v>
      </c>
      <c r="I5154" s="222" t="s">
        <v>1022</v>
      </c>
      <c r="J5154" s="183" t="s">
        <v>17524</v>
      </c>
      <c r="K5154" s="183" t="s">
        <v>17525</v>
      </c>
      <c r="L5154" s="613"/>
      <c r="M5154" s="183">
        <v>1</v>
      </c>
      <c r="N5154" s="183">
        <v>1</v>
      </c>
      <c r="O5154" s="222">
        <v>1</v>
      </c>
      <c r="P5154" s="222">
        <v>0</v>
      </c>
      <c r="Q5154" s="222">
        <v>0</v>
      </c>
      <c r="R5154" s="1195">
        <v>6599</v>
      </c>
      <c r="S5154" s="1195">
        <v>6599</v>
      </c>
      <c r="T5154" s="222" t="s">
        <v>87</v>
      </c>
      <c r="U5154" s="1527" t="s">
        <v>13331</v>
      </c>
      <c r="V5154" s="222" t="s">
        <v>2875</v>
      </c>
      <c r="W5154" s="2155" t="s">
        <v>17526</v>
      </c>
      <c r="X5154" s="818"/>
      <c r="Y5154" s="1161"/>
    </row>
    <row r="5155" spans="1:52" ht="27" hidden="1" customHeight="1">
      <c r="A5155" s="222">
        <v>5164</v>
      </c>
      <c r="B5155" s="858">
        <v>44606</v>
      </c>
      <c r="C5155" s="129" t="s">
        <v>5484</v>
      </c>
      <c r="D5155" s="10"/>
      <c r="E5155" s="818" t="s">
        <v>17522</v>
      </c>
      <c r="F5155" s="1006" t="s">
        <v>404</v>
      </c>
      <c r="G5155" s="859" t="s">
        <v>17527</v>
      </c>
      <c r="H5155" s="222" t="s">
        <v>17528</v>
      </c>
      <c r="I5155" s="222" t="s">
        <v>1022</v>
      </c>
      <c r="J5155" s="183" t="s">
        <v>17529</v>
      </c>
      <c r="K5155" s="183" t="s">
        <v>16729</v>
      </c>
      <c r="L5155" s="613"/>
      <c r="M5155" s="183">
        <v>1</v>
      </c>
      <c r="N5155" s="183">
        <v>1</v>
      </c>
      <c r="O5155" s="222">
        <v>1</v>
      </c>
      <c r="P5155" s="222">
        <v>0</v>
      </c>
      <c r="Q5155" s="222">
        <v>0</v>
      </c>
      <c r="R5155" s="1195">
        <v>4997</v>
      </c>
      <c r="S5155" s="1195">
        <v>4997</v>
      </c>
      <c r="T5155" s="222" t="s">
        <v>87</v>
      </c>
      <c r="U5155" s="1527" t="s">
        <v>13331</v>
      </c>
      <c r="V5155" s="222" t="s">
        <v>2875</v>
      </c>
      <c r="W5155" s="2155" t="s">
        <v>17530</v>
      </c>
      <c r="X5155" s="818"/>
      <c r="Y5155" s="1161"/>
    </row>
    <row r="5156" spans="1:52" ht="15.75" hidden="1" customHeight="1">
      <c r="A5156" s="222">
        <v>5165</v>
      </c>
      <c r="B5156" s="858">
        <v>44606</v>
      </c>
      <c r="C5156" s="129" t="s">
        <v>17531</v>
      </c>
      <c r="D5156" s="10"/>
      <c r="E5156" s="818" t="s">
        <v>17522</v>
      </c>
      <c r="F5156" s="1006" t="s">
        <v>404</v>
      </c>
      <c r="G5156" s="863" t="s">
        <v>17532</v>
      </c>
      <c r="H5156" s="222" t="s">
        <v>17533</v>
      </c>
      <c r="I5156" s="222" t="s">
        <v>1022</v>
      </c>
      <c r="J5156" s="458" t="s">
        <v>17534</v>
      </c>
      <c r="K5156" s="183" t="s">
        <v>17535</v>
      </c>
      <c r="L5156" s="613"/>
      <c r="M5156" s="183">
        <v>1</v>
      </c>
      <c r="N5156" s="183">
        <v>1</v>
      </c>
      <c r="O5156" s="222">
        <v>1</v>
      </c>
      <c r="P5156" s="222">
        <v>0</v>
      </c>
      <c r="Q5156" s="222">
        <v>0</v>
      </c>
      <c r="R5156" s="1195">
        <v>10660</v>
      </c>
      <c r="S5156" s="1195">
        <v>10660</v>
      </c>
      <c r="T5156" s="222" t="s">
        <v>87</v>
      </c>
      <c r="U5156" s="1527" t="s">
        <v>13331</v>
      </c>
      <c r="V5156" s="222" t="s">
        <v>2875</v>
      </c>
      <c r="W5156" s="2155" t="s">
        <v>17536</v>
      </c>
      <c r="X5156" s="818"/>
      <c r="Y5156" s="1161"/>
    </row>
    <row r="5157" spans="1:52" ht="30" hidden="1" customHeight="1">
      <c r="A5157" s="222">
        <v>5166</v>
      </c>
      <c r="B5157" s="858">
        <v>44606</v>
      </c>
      <c r="C5157" s="129" t="s">
        <v>17537</v>
      </c>
      <c r="D5157" s="10"/>
      <c r="E5157" s="818" t="s">
        <v>17522</v>
      </c>
      <c r="F5157" s="1006" t="s">
        <v>404</v>
      </c>
      <c r="G5157" s="859" t="s">
        <v>17538</v>
      </c>
      <c r="H5157" s="222" t="s">
        <v>17539</v>
      </c>
      <c r="I5157" s="222" t="s">
        <v>1022</v>
      </c>
      <c r="J5157" s="183" t="s">
        <v>17540</v>
      </c>
      <c r="K5157" s="183" t="s">
        <v>17541</v>
      </c>
      <c r="L5157" s="613"/>
      <c r="M5157" s="183">
        <v>1</v>
      </c>
      <c r="N5157" s="183">
        <v>1</v>
      </c>
      <c r="O5157" s="222">
        <v>1</v>
      </c>
      <c r="P5157" s="222">
        <v>0</v>
      </c>
      <c r="Q5157" s="222">
        <v>0</v>
      </c>
      <c r="R5157" s="1195">
        <v>8800</v>
      </c>
      <c r="S5157" s="1195">
        <v>8800</v>
      </c>
      <c r="T5157" s="222" t="s">
        <v>87</v>
      </c>
      <c r="U5157" s="1527" t="s">
        <v>13331</v>
      </c>
      <c r="V5157" s="222" t="s">
        <v>2875</v>
      </c>
      <c r="W5157" s="2155" t="s">
        <v>17542</v>
      </c>
      <c r="X5157" s="818"/>
      <c r="Y5157" s="1161"/>
    </row>
    <row r="5158" spans="1:52" ht="15.75" hidden="1" customHeight="1">
      <c r="A5158" s="222">
        <v>5167</v>
      </c>
      <c r="B5158" s="858">
        <v>44606</v>
      </c>
      <c r="C5158" s="129" t="s">
        <v>17543</v>
      </c>
      <c r="D5158" s="8"/>
      <c r="E5158" s="818" t="s">
        <v>17522</v>
      </c>
      <c r="F5158" s="1006" t="s">
        <v>404</v>
      </c>
      <c r="G5158" s="863" t="s">
        <v>17544</v>
      </c>
      <c r="H5158" s="222" t="s">
        <v>17545</v>
      </c>
      <c r="I5158" s="222" t="s">
        <v>17545</v>
      </c>
      <c r="J5158" s="183" t="s">
        <v>1</v>
      </c>
      <c r="K5158" s="183" t="s">
        <v>1</v>
      </c>
      <c r="L5158" s="613"/>
      <c r="M5158" s="183">
        <v>100</v>
      </c>
      <c r="N5158" s="183">
        <v>1</v>
      </c>
      <c r="O5158" s="222">
        <v>100</v>
      </c>
      <c r="P5158" s="222">
        <v>0</v>
      </c>
      <c r="Q5158" s="222">
        <v>0</v>
      </c>
      <c r="R5158" s="1195">
        <v>413</v>
      </c>
      <c r="S5158" s="1195">
        <v>41370</v>
      </c>
      <c r="T5158" s="222" t="s">
        <v>87</v>
      </c>
      <c r="U5158" s="1527" t="s">
        <v>13331</v>
      </c>
      <c r="V5158" s="222" t="s">
        <v>2875</v>
      </c>
      <c r="W5158" s="2155" t="s">
        <v>17546</v>
      </c>
      <c r="X5158" s="818"/>
      <c r="Y5158" s="1161"/>
    </row>
    <row r="5159" spans="1:52" ht="15.75" hidden="1" customHeight="1">
      <c r="A5159" s="222">
        <v>5168</v>
      </c>
      <c r="B5159" s="858">
        <v>44606</v>
      </c>
      <c r="C5159" s="129" t="s">
        <v>17547</v>
      </c>
      <c r="D5159" s="8"/>
      <c r="E5159" s="818" t="s">
        <v>17522</v>
      </c>
      <c r="F5159" s="1006" t="s">
        <v>404</v>
      </c>
      <c r="G5159" s="863" t="s">
        <v>17548</v>
      </c>
      <c r="H5159" s="222" t="s">
        <v>17545</v>
      </c>
      <c r="I5159" s="222" t="s">
        <v>17545</v>
      </c>
      <c r="J5159" s="183" t="s">
        <v>1</v>
      </c>
      <c r="K5159" s="183" t="s">
        <v>1</v>
      </c>
      <c r="L5159" s="613"/>
      <c r="M5159" s="183">
        <v>15</v>
      </c>
      <c r="N5159" s="183">
        <v>1</v>
      </c>
      <c r="O5159" s="222">
        <v>20</v>
      </c>
      <c r="P5159" s="222">
        <v>0</v>
      </c>
      <c r="Q5159" s="222">
        <v>5</v>
      </c>
      <c r="R5159" s="1195">
        <v>4940</v>
      </c>
      <c r="S5159" s="1195">
        <v>4940</v>
      </c>
      <c r="T5159" s="222" t="s">
        <v>87</v>
      </c>
      <c r="U5159" s="1527" t="s">
        <v>13331</v>
      </c>
      <c r="V5159" s="222" t="s">
        <v>2875</v>
      </c>
      <c r="W5159" s="2155" t="s">
        <v>17549</v>
      </c>
      <c r="X5159" s="818"/>
      <c r="Y5159" s="1161"/>
    </row>
    <row r="5160" spans="1:52" ht="27.75" hidden="1" customHeight="1">
      <c r="A5160" s="222">
        <v>5169</v>
      </c>
      <c r="B5160" s="858">
        <v>44606</v>
      </c>
      <c r="C5160" s="129" t="s">
        <v>17550</v>
      </c>
      <c r="D5160" s="10"/>
      <c r="E5160" s="818" t="s">
        <v>17522</v>
      </c>
      <c r="F5160" s="1006" t="s">
        <v>404</v>
      </c>
      <c r="G5160" s="859" t="s">
        <v>17551</v>
      </c>
      <c r="H5160" s="222" t="s">
        <v>17552</v>
      </c>
      <c r="I5160" s="222" t="s">
        <v>1022</v>
      </c>
      <c r="J5160" s="183" t="s">
        <v>17553</v>
      </c>
      <c r="K5160" s="183" t="s">
        <v>17554</v>
      </c>
      <c r="L5160" s="613"/>
      <c r="M5160" s="183">
        <v>1</v>
      </c>
      <c r="N5160" s="183">
        <v>1</v>
      </c>
      <c r="O5160" s="222">
        <v>1</v>
      </c>
      <c r="P5160" s="222">
        <v>0</v>
      </c>
      <c r="Q5160" s="222">
        <v>0</v>
      </c>
      <c r="R5160" s="1195">
        <v>1380</v>
      </c>
      <c r="S5160" s="1195">
        <v>1380</v>
      </c>
      <c r="T5160" s="222" t="s">
        <v>87</v>
      </c>
      <c r="U5160" s="1527" t="s">
        <v>13331</v>
      </c>
      <c r="V5160" s="222" t="s">
        <v>2875</v>
      </c>
      <c r="W5160" s="2155" t="s">
        <v>17555</v>
      </c>
      <c r="X5160" s="818"/>
      <c r="Y5160" s="1161"/>
    </row>
    <row r="5161" spans="1:52" ht="15.75" hidden="1" customHeight="1">
      <c r="A5161" s="222">
        <v>5170</v>
      </c>
      <c r="B5161" s="858">
        <v>44607</v>
      </c>
      <c r="C5161" s="129" t="s">
        <v>17556</v>
      </c>
      <c r="D5161" s="11" t="s">
        <v>6</v>
      </c>
      <c r="E5161" s="818" t="s">
        <v>62</v>
      </c>
      <c r="F5161" s="1006" t="s">
        <v>2143</v>
      </c>
      <c r="G5161" s="863" t="s">
        <v>17557</v>
      </c>
      <c r="H5161" s="222" t="s">
        <v>17558</v>
      </c>
      <c r="I5161" s="222" t="s">
        <v>17558</v>
      </c>
      <c r="J5161" s="183"/>
      <c r="K5161" s="183"/>
      <c r="L5161" s="613"/>
      <c r="M5161" s="183">
        <v>1</v>
      </c>
      <c r="N5161" s="183">
        <v>1</v>
      </c>
      <c r="O5161" s="222">
        <v>1</v>
      </c>
      <c r="P5161" s="222">
        <v>0</v>
      </c>
      <c r="Q5161" s="222">
        <v>0</v>
      </c>
      <c r="R5161" s="1195">
        <v>40941</v>
      </c>
      <c r="S5161" s="1195">
        <v>40941</v>
      </c>
      <c r="T5161" s="222" t="s">
        <v>4897</v>
      </c>
      <c r="U5161" s="1527" t="s">
        <v>4897</v>
      </c>
      <c r="V5161" s="222" t="s">
        <v>1</v>
      </c>
      <c r="W5161" s="2155"/>
      <c r="X5161" s="818"/>
      <c r="Y5161" s="1161"/>
    </row>
    <row r="5162" spans="1:52" ht="15.75" hidden="1" customHeight="1">
      <c r="A5162" s="222">
        <v>5171</v>
      </c>
      <c r="B5162" s="858">
        <v>44607</v>
      </c>
      <c r="C5162" s="129" t="s">
        <v>17559</v>
      </c>
      <c r="D5162" s="8"/>
      <c r="E5162" s="818" t="s">
        <v>17458</v>
      </c>
      <c r="F5162" s="1006" t="s">
        <v>10651</v>
      </c>
      <c r="G5162" s="863" t="s">
        <v>17560</v>
      </c>
      <c r="H5162" s="222" t="s">
        <v>366</v>
      </c>
      <c r="I5162" s="222" t="s">
        <v>366</v>
      </c>
      <c r="K5162" s="183" t="s">
        <v>17561</v>
      </c>
      <c r="L5162" s="613"/>
      <c r="M5162" s="183">
        <v>50</v>
      </c>
      <c r="N5162" s="183"/>
      <c r="O5162" s="222"/>
      <c r="P5162" s="222"/>
      <c r="Q5162" s="222"/>
      <c r="R5162" s="1195"/>
      <c r="S5162" s="1195"/>
      <c r="T5162" s="222"/>
      <c r="U5162" s="1527"/>
      <c r="W5162" s="2155"/>
      <c r="X5162" s="818"/>
      <c r="Y5162" s="1161"/>
    </row>
    <row r="5163" spans="1:52" ht="15.75" hidden="1" customHeight="1">
      <c r="A5163" s="222">
        <v>5172</v>
      </c>
      <c r="B5163" s="858">
        <v>44608</v>
      </c>
      <c r="C5163" s="129" t="s">
        <v>15703</v>
      </c>
      <c r="D5163" s="11" t="s">
        <v>6</v>
      </c>
      <c r="E5163" s="818" t="s">
        <v>17562</v>
      </c>
      <c r="F5163" s="1006" t="s">
        <v>131</v>
      </c>
      <c r="G5163" s="863" t="s">
        <v>15703</v>
      </c>
      <c r="H5163" s="222" t="s">
        <v>17563</v>
      </c>
      <c r="I5163" s="222" t="s">
        <v>1063</v>
      </c>
      <c r="J5163" s="183" t="s">
        <v>15705</v>
      </c>
      <c r="K5163" s="183" t="s">
        <v>15706</v>
      </c>
      <c r="L5163" s="613"/>
      <c r="M5163" s="183">
        <v>1</v>
      </c>
      <c r="N5163" s="183">
        <v>1</v>
      </c>
      <c r="O5163" s="222">
        <v>1</v>
      </c>
      <c r="P5163" s="222">
        <v>0</v>
      </c>
      <c r="Q5163" s="222">
        <v>1</v>
      </c>
      <c r="R5163" s="1195">
        <v>2940</v>
      </c>
      <c r="S5163" s="1195">
        <v>2940</v>
      </c>
      <c r="T5163" s="222" t="s">
        <v>5448</v>
      </c>
      <c r="U5163" s="1527" t="s">
        <v>5939</v>
      </c>
      <c r="V5163" s="222" t="s">
        <v>118</v>
      </c>
      <c r="W5163" s="2155" t="s">
        <v>15708</v>
      </c>
      <c r="X5163" s="818"/>
      <c r="Y5163" s="1161"/>
    </row>
    <row r="5164" spans="1:52" ht="15.75" hidden="1" customHeight="1">
      <c r="A5164" s="222">
        <v>5173</v>
      </c>
      <c r="B5164" s="858">
        <v>44608</v>
      </c>
      <c r="C5164" s="129" t="s">
        <v>17564</v>
      </c>
      <c r="D5164" s="11" t="s">
        <v>6</v>
      </c>
      <c r="E5164" s="818" t="s">
        <v>62</v>
      </c>
      <c r="F5164" s="1006" t="s">
        <v>2143</v>
      </c>
      <c r="G5164" s="863" t="s">
        <v>17565</v>
      </c>
      <c r="H5164" s="222" t="s">
        <v>511</v>
      </c>
      <c r="I5164" s="222" t="s">
        <v>11707</v>
      </c>
      <c r="J5164" s="183" t="s">
        <v>17566</v>
      </c>
      <c r="K5164" s="183" t="s">
        <v>17566</v>
      </c>
      <c r="L5164" s="613"/>
      <c r="M5164" s="183">
        <v>1</v>
      </c>
      <c r="N5164" s="183">
        <v>1</v>
      </c>
      <c r="O5164" s="222">
        <v>1</v>
      </c>
      <c r="P5164" s="222">
        <v>0</v>
      </c>
      <c r="Q5164" s="222">
        <v>1</v>
      </c>
      <c r="R5164" s="1195">
        <v>99800</v>
      </c>
      <c r="S5164" s="1195">
        <v>99800</v>
      </c>
      <c r="T5164" s="222" t="s">
        <v>5448</v>
      </c>
      <c r="U5164" s="1527" t="s">
        <v>118</v>
      </c>
      <c r="V5164" s="222" t="s">
        <v>104</v>
      </c>
      <c r="W5164" s="2155"/>
      <c r="X5164" s="818"/>
      <c r="Y5164" s="1161"/>
    </row>
    <row r="5165" spans="1:52" ht="15.75" hidden="1" customHeight="1">
      <c r="A5165" s="222">
        <v>5174</v>
      </c>
      <c r="B5165" s="858">
        <v>44608</v>
      </c>
      <c r="C5165" s="129" t="s">
        <v>17567</v>
      </c>
      <c r="D5165" s="11" t="s">
        <v>6</v>
      </c>
      <c r="E5165" s="818" t="s">
        <v>17562</v>
      </c>
      <c r="F5165" s="1006" t="s">
        <v>131</v>
      </c>
      <c r="G5165" s="863" t="s">
        <v>17568</v>
      </c>
      <c r="H5165" s="1193" t="s">
        <v>6194</v>
      </c>
      <c r="I5165" s="222" t="s">
        <v>1063</v>
      </c>
      <c r="J5165" s="183" t="s">
        <v>17569</v>
      </c>
      <c r="K5165" s="183" t="s">
        <v>17570</v>
      </c>
      <c r="L5165" s="613"/>
      <c r="M5165" s="183">
        <v>1</v>
      </c>
      <c r="N5165" s="183">
        <v>1</v>
      </c>
      <c r="O5165" s="222">
        <v>1</v>
      </c>
      <c r="P5165" s="222">
        <v>0</v>
      </c>
      <c r="Q5165" s="222">
        <v>1</v>
      </c>
      <c r="R5165" s="1195">
        <v>130</v>
      </c>
      <c r="S5165" s="1195">
        <v>130</v>
      </c>
      <c r="T5165" s="222" t="s">
        <v>5448</v>
      </c>
      <c r="U5165" s="1527" t="s">
        <v>5939</v>
      </c>
      <c r="V5165" s="222" t="s">
        <v>118</v>
      </c>
      <c r="W5165" s="2155" t="s">
        <v>17571</v>
      </c>
      <c r="X5165" s="818"/>
      <c r="Y5165" s="1161"/>
    </row>
    <row r="5166" spans="1:52" ht="15.75" hidden="1" customHeight="1">
      <c r="A5166" s="222">
        <v>5175</v>
      </c>
      <c r="B5166" s="858">
        <v>44608</v>
      </c>
      <c r="C5166" s="129" t="s">
        <v>17572</v>
      </c>
      <c r="D5166" s="11" t="s">
        <v>6</v>
      </c>
      <c r="E5166" s="818" t="s">
        <v>17562</v>
      </c>
      <c r="F5166" s="1006" t="s">
        <v>131</v>
      </c>
      <c r="G5166" s="863" t="s">
        <v>17573</v>
      </c>
      <c r="H5166" s="1193" t="s">
        <v>6194</v>
      </c>
      <c r="I5166" s="222" t="s">
        <v>1063</v>
      </c>
      <c r="J5166" s="183" t="s">
        <v>17574</v>
      </c>
      <c r="K5166" s="222" t="s">
        <v>17575</v>
      </c>
      <c r="L5166" s="613"/>
      <c r="M5166" s="183">
        <v>2</v>
      </c>
      <c r="N5166" s="183">
        <v>1</v>
      </c>
      <c r="O5166" s="222">
        <v>2</v>
      </c>
      <c r="P5166" s="222">
        <v>0</v>
      </c>
      <c r="Q5166" s="222">
        <v>2</v>
      </c>
      <c r="R5166" s="1195">
        <v>1500</v>
      </c>
      <c r="S5166" s="1195">
        <v>3000</v>
      </c>
      <c r="T5166" s="222" t="s">
        <v>5448</v>
      </c>
      <c r="U5166" s="1527" t="s">
        <v>5939</v>
      </c>
      <c r="V5166" s="222" t="s">
        <v>118</v>
      </c>
      <c r="W5166" s="2155" t="s">
        <v>17576</v>
      </c>
      <c r="X5166" s="818"/>
      <c r="Y5166" s="1161"/>
    </row>
    <row r="5167" spans="1:52" ht="15.75" hidden="1" customHeight="1">
      <c r="A5167" s="222">
        <v>5176</v>
      </c>
      <c r="B5167" s="858">
        <v>44608</v>
      </c>
      <c r="C5167" s="129" t="s">
        <v>17577</v>
      </c>
      <c r="D5167" s="11" t="s">
        <v>6</v>
      </c>
      <c r="E5167" s="818" t="s">
        <v>17562</v>
      </c>
      <c r="F5167" s="1006" t="s">
        <v>131</v>
      </c>
      <c r="G5167" s="863" t="s">
        <v>17578</v>
      </c>
      <c r="H5167" s="222" t="s">
        <v>1063</v>
      </c>
      <c r="I5167" s="222" t="s">
        <v>1063</v>
      </c>
      <c r="J5167" s="183" t="s">
        <v>17579</v>
      </c>
      <c r="K5167" s="183" t="s">
        <v>17580</v>
      </c>
      <c r="L5167" s="613"/>
      <c r="M5167" s="183">
        <v>1</v>
      </c>
      <c r="N5167" s="183">
        <v>1</v>
      </c>
      <c r="O5167" s="222">
        <v>2</v>
      </c>
      <c r="P5167" s="222">
        <v>0</v>
      </c>
      <c r="Q5167" s="222">
        <v>1</v>
      </c>
      <c r="R5167" s="1195">
        <v>480</v>
      </c>
      <c r="S5167" s="1195">
        <f>R5167*2</f>
        <v>960</v>
      </c>
      <c r="T5167" s="222" t="s">
        <v>5448</v>
      </c>
      <c r="U5167" s="1527" t="s">
        <v>5939</v>
      </c>
      <c r="V5167" s="222" t="s">
        <v>118</v>
      </c>
      <c r="W5167" s="2155" t="s">
        <v>17581</v>
      </c>
      <c r="X5167" s="818"/>
      <c r="Y5167" s="1161"/>
    </row>
    <row r="5168" spans="1:52" ht="15.75" hidden="1" customHeight="1">
      <c r="A5168" s="222">
        <v>5177</v>
      </c>
      <c r="B5168" s="858">
        <v>44608</v>
      </c>
      <c r="C5168" s="129" t="s">
        <v>17582</v>
      </c>
      <c r="D5168" s="11" t="s">
        <v>6</v>
      </c>
      <c r="E5168" s="818" t="s">
        <v>17562</v>
      </c>
      <c r="F5168" s="1006" t="s">
        <v>131</v>
      </c>
      <c r="G5168" s="863" t="s">
        <v>17583</v>
      </c>
      <c r="H5168" s="222" t="s">
        <v>17584</v>
      </c>
      <c r="I5168" s="222" t="s">
        <v>429</v>
      </c>
      <c r="J5168" s="183" t="s">
        <v>17585</v>
      </c>
      <c r="K5168" s="183" t="s">
        <v>17585</v>
      </c>
      <c r="L5168" s="613"/>
      <c r="M5168" s="183">
        <v>1</v>
      </c>
      <c r="N5168" s="183">
        <v>1</v>
      </c>
      <c r="O5168" s="222">
        <v>1</v>
      </c>
      <c r="P5168" s="222">
        <v>0</v>
      </c>
      <c r="Q5168" s="222">
        <v>0</v>
      </c>
      <c r="R5168" s="1195">
        <v>9888</v>
      </c>
      <c r="S5168" s="1195">
        <v>9888</v>
      </c>
      <c r="T5168" s="222" t="s">
        <v>5448</v>
      </c>
      <c r="U5168" s="1527" t="s">
        <v>5939</v>
      </c>
      <c r="V5168" s="222" t="s">
        <v>118</v>
      </c>
      <c r="W5168" s="2155" t="s">
        <v>17586</v>
      </c>
      <c r="X5168" s="818"/>
      <c r="Y5168" s="1161"/>
    </row>
    <row r="5169" spans="1:25" ht="15.75" hidden="1" customHeight="1">
      <c r="A5169" s="222">
        <v>5178</v>
      </c>
      <c r="B5169" s="858">
        <v>44608</v>
      </c>
      <c r="C5169" s="129" t="s">
        <v>17582</v>
      </c>
      <c r="D5169" s="11" t="s">
        <v>6</v>
      </c>
      <c r="E5169" s="818" t="s">
        <v>17562</v>
      </c>
      <c r="F5169" s="1006" t="s">
        <v>131</v>
      </c>
      <c r="G5169" s="863" t="s">
        <v>17587</v>
      </c>
      <c r="H5169" s="222" t="s">
        <v>17584</v>
      </c>
      <c r="I5169" s="222" t="s">
        <v>429</v>
      </c>
      <c r="J5169" s="183" t="s">
        <v>17588</v>
      </c>
      <c r="K5169" s="183" t="s">
        <v>17588</v>
      </c>
      <c r="L5169" s="613"/>
      <c r="M5169" s="183">
        <v>1</v>
      </c>
      <c r="N5169" s="183">
        <v>1</v>
      </c>
      <c r="O5169" s="222">
        <v>1</v>
      </c>
      <c r="P5169" s="222">
        <v>0</v>
      </c>
      <c r="Q5169" s="222">
        <v>0</v>
      </c>
      <c r="R5169" s="1195">
        <v>11738</v>
      </c>
      <c r="S5169" s="1195">
        <v>11738</v>
      </c>
      <c r="T5169" s="222" t="s">
        <v>5448</v>
      </c>
      <c r="U5169" s="1527" t="s">
        <v>5939</v>
      </c>
      <c r="V5169" s="222" t="s">
        <v>118</v>
      </c>
      <c r="W5169" s="2155" t="s">
        <v>17589</v>
      </c>
      <c r="X5169" s="818"/>
      <c r="Y5169" s="1161"/>
    </row>
    <row r="5170" spans="1:25" ht="15.75" hidden="1" customHeight="1">
      <c r="A5170" s="222">
        <v>5179</v>
      </c>
      <c r="B5170" s="858">
        <v>44608</v>
      </c>
      <c r="C5170" s="129" t="s">
        <v>17582</v>
      </c>
      <c r="D5170" s="11" t="s">
        <v>6</v>
      </c>
      <c r="E5170" s="818" t="s">
        <v>17562</v>
      </c>
      <c r="F5170" s="1006" t="s">
        <v>131</v>
      </c>
      <c r="G5170" s="863" t="s">
        <v>17590</v>
      </c>
      <c r="H5170" s="222" t="s">
        <v>17584</v>
      </c>
      <c r="I5170" s="222" t="s">
        <v>429</v>
      </c>
      <c r="J5170" s="183" t="s">
        <v>17591</v>
      </c>
      <c r="K5170" s="183" t="s">
        <v>17591</v>
      </c>
      <c r="L5170" s="613"/>
      <c r="M5170" s="183">
        <v>2</v>
      </c>
      <c r="N5170" s="183">
        <v>1</v>
      </c>
      <c r="O5170" s="222">
        <v>2</v>
      </c>
      <c r="P5170" s="222">
        <v>0</v>
      </c>
      <c r="Q5170" s="222">
        <v>0</v>
      </c>
      <c r="R5170" s="1195">
        <v>11738</v>
      </c>
      <c r="S5170" s="1195">
        <f>R5170*2</f>
        <v>23476</v>
      </c>
      <c r="T5170" s="222" t="s">
        <v>5448</v>
      </c>
      <c r="U5170" s="1527" t="s">
        <v>5939</v>
      </c>
      <c r="V5170" s="222" t="s">
        <v>118</v>
      </c>
      <c r="W5170" s="2155" t="s">
        <v>17589</v>
      </c>
      <c r="X5170" s="818"/>
      <c r="Y5170" s="1161"/>
    </row>
    <row r="5171" spans="1:25" ht="15.75" hidden="1" customHeight="1">
      <c r="A5171" s="222">
        <v>5180</v>
      </c>
      <c r="B5171" s="858">
        <v>44608</v>
      </c>
      <c r="C5171" s="129" t="s">
        <v>17592</v>
      </c>
      <c r="D5171" s="11" t="s">
        <v>6</v>
      </c>
      <c r="E5171" s="818" t="s">
        <v>62</v>
      </c>
      <c r="F5171" s="1006" t="s">
        <v>2876</v>
      </c>
      <c r="G5171" s="1006" t="s">
        <v>17593</v>
      </c>
      <c r="H5171" s="222" t="s">
        <v>17594</v>
      </c>
      <c r="I5171" s="222" t="s">
        <v>84</v>
      </c>
      <c r="J5171" s="183"/>
      <c r="K5171" s="1420">
        <v>26354256</v>
      </c>
      <c r="L5171" s="613" t="s">
        <v>17214</v>
      </c>
      <c r="M5171" s="183" t="s">
        <v>17595</v>
      </c>
      <c r="N5171" s="183">
        <v>1</v>
      </c>
      <c r="O5171" s="222">
        <v>1</v>
      </c>
      <c r="P5171" s="222">
        <v>0</v>
      </c>
      <c r="Q5171" s="222" t="s">
        <v>17596</v>
      </c>
      <c r="R5171" s="1195">
        <v>1690</v>
      </c>
      <c r="S5171" s="1195">
        <v>1690</v>
      </c>
      <c r="T5171" s="222" t="s">
        <v>12330</v>
      </c>
      <c r="U5171" s="1527" t="s">
        <v>8481</v>
      </c>
      <c r="V5171" s="222" t="s">
        <v>17455</v>
      </c>
      <c r="W5171" s="2155" t="s">
        <v>17597</v>
      </c>
      <c r="X5171" s="818"/>
      <c r="Y5171" s="1161"/>
    </row>
    <row r="5172" spans="1:25" ht="15.75" hidden="1" customHeight="1">
      <c r="A5172" s="222">
        <v>5181</v>
      </c>
      <c r="B5172" s="858">
        <v>44609</v>
      </c>
      <c r="C5172" s="1193" t="s">
        <v>7143</v>
      </c>
      <c r="D5172" s="11" t="s">
        <v>6</v>
      </c>
      <c r="E5172" s="818" t="s">
        <v>7498</v>
      </c>
      <c r="F5172" s="1006" t="s">
        <v>2143</v>
      </c>
      <c r="G5172" s="863" t="s">
        <v>7143</v>
      </c>
      <c r="H5172" s="222" t="s">
        <v>1073</v>
      </c>
      <c r="I5172" s="222" t="s">
        <v>574</v>
      </c>
      <c r="J5172" s="222" t="s">
        <v>530</v>
      </c>
      <c r="K5172" s="222" t="s">
        <v>531</v>
      </c>
      <c r="L5172" s="613" t="s">
        <v>8392</v>
      </c>
      <c r="M5172" s="183">
        <v>20</v>
      </c>
      <c r="N5172" s="183">
        <v>1</v>
      </c>
      <c r="O5172" s="222">
        <v>20</v>
      </c>
      <c r="P5172" s="222">
        <v>0</v>
      </c>
      <c r="Q5172" s="222">
        <v>0</v>
      </c>
      <c r="R5172" s="1195">
        <v>513.70000000000005</v>
      </c>
      <c r="S5172" s="1195">
        <v>10274</v>
      </c>
      <c r="T5172" s="222" t="s">
        <v>15908</v>
      </c>
      <c r="U5172" s="1527" t="s">
        <v>11183</v>
      </c>
      <c r="V5172" s="222" t="s">
        <v>16621</v>
      </c>
      <c r="W5172" s="2155"/>
      <c r="X5172" s="818"/>
      <c r="Y5172" s="1161"/>
    </row>
    <row r="5173" spans="1:25" ht="15.75" hidden="1" customHeight="1">
      <c r="A5173" s="222">
        <v>5182</v>
      </c>
      <c r="B5173" s="858">
        <v>44609</v>
      </c>
      <c r="C5173" s="1193" t="s">
        <v>16586</v>
      </c>
      <c r="D5173" s="11" t="s">
        <v>6</v>
      </c>
      <c r="E5173" s="818" t="s">
        <v>7498</v>
      </c>
      <c r="F5173" s="1006" t="s">
        <v>2143</v>
      </c>
      <c r="G5173" s="863" t="s">
        <v>16586</v>
      </c>
      <c r="H5173" s="222" t="s">
        <v>1865</v>
      </c>
      <c r="I5173" s="222" t="s">
        <v>574</v>
      </c>
      <c r="J5173" s="222" t="s">
        <v>17598</v>
      </c>
      <c r="K5173" s="222" t="s">
        <v>16588</v>
      </c>
      <c r="L5173" s="613" t="s">
        <v>17599</v>
      </c>
      <c r="M5173" s="183">
        <v>20</v>
      </c>
      <c r="N5173" s="183">
        <v>1</v>
      </c>
      <c r="O5173" s="222">
        <v>20</v>
      </c>
      <c r="P5173" s="222">
        <v>0</v>
      </c>
      <c r="Q5173" s="222">
        <v>0</v>
      </c>
      <c r="R5173" s="1195">
        <v>46.4</v>
      </c>
      <c r="S5173" s="1195">
        <v>928</v>
      </c>
      <c r="T5173" s="222" t="s">
        <v>15908</v>
      </c>
      <c r="U5173" s="1527" t="s">
        <v>11183</v>
      </c>
      <c r="V5173" s="222" t="s">
        <v>16621</v>
      </c>
      <c r="W5173" s="2155"/>
      <c r="X5173" s="818"/>
      <c r="Y5173" s="1161"/>
    </row>
    <row r="5174" spans="1:25" ht="15.75" hidden="1" customHeight="1">
      <c r="A5174" s="222">
        <v>5183</v>
      </c>
      <c r="B5174" s="858">
        <v>44609</v>
      </c>
      <c r="C5174" s="1193" t="s">
        <v>17600</v>
      </c>
      <c r="D5174" s="11" t="s">
        <v>6</v>
      </c>
      <c r="E5174" s="818" t="s">
        <v>7498</v>
      </c>
      <c r="F5174" s="1006" t="s">
        <v>2143</v>
      </c>
      <c r="G5174" s="863" t="s">
        <v>17600</v>
      </c>
      <c r="H5174" s="222" t="s">
        <v>6567</v>
      </c>
      <c r="I5174" s="222" t="s">
        <v>574</v>
      </c>
      <c r="J5174" s="222" t="s">
        <v>17601</v>
      </c>
      <c r="K5174" s="222" t="s">
        <v>17602</v>
      </c>
      <c r="L5174" s="613" t="s">
        <v>17603</v>
      </c>
      <c r="M5174" s="183">
        <v>20</v>
      </c>
      <c r="N5174" s="183">
        <v>1</v>
      </c>
      <c r="O5174" s="222">
        <v>20</v>
      </c>
      <c r="P5174" s="222">
        <v>0</v>
      </c>
      <c r="Q5174" s="222">
        <v>0</v>
      </c>
      <c r="R5174" s="1195">
        <v>57.9</v>
      </c>
      <c r="S5174" s="1195">
        <v>2316</v>
      </c>
      <c r="T5174" s="222" t="s">
        <v>15908</v>
      </c>
      <c r="U5174" s="1527" t="s">
        <v>11183</v>
      </c>
      <c r="V5174" s="222" t="s">
        <v>16621</v>
      </c>
      <c r="W5174" s="2155"/>
      <c r="X5174" s="818"/>
      <c r="Y5174" s="1161"/>
    </row>
    <row r="5175" spans="1:25" ht="15.75" hidden="1" customHeight="1">
      <c r="A5175" s="222">
        <v>5184</v>
      </c>
      <c r="B5175" s="858">
        <v>44609</v>
      </c>
      <c r="C5175" s="1193" t="s">
        <v>17604</v>
      </c>
      <c r="D5175" s="11" t="s">
        <v>6</v>
      </c>
      <c r="E5175" s="818" t="s">
        <v>7498</v>
      </c>
      <c r="F5175" s="1006" t="s">
        <v>2143</v>
      </c>
      <c r="G5175" s="863" t="s">
        <v>17604</v>
      </c>
      <c r="H5175" s="222" t="s">
        <v>2008</v>
      </c>
      <c r="I5175" s="222" t="s">
        <v>574</v>
      </c>
      <c r="J5175" s="222" t="s">
        <v>17605</v>
      </c>
      <c r="K5175" s="222" t="s">
        <v>17606</v>
      </c>
      <c r="L5175" s="613">
        <v>1608</v>
      </c>
      <c r="M5175" s="183">
        <v>20</v>
      </c>
      <c r="N5175" s="183">
        <v>1</v>
      </c>
      <c r="O5175" s="222">
        <v>20</v>
      </c>
      <c r="P5175" s="222">
        <v>0</v>
      </c>
      <c r="Q5175" s="222">
        <v>0</v>
      </c>
      <c r="R5175" s="1195">
        <v>3.7</v>
      </c>
      <c r="S5175" s="1195">
        <v>74</v>
      </c>
      <c r="T5175" s="222" t="s">
        <v>15908</v>
      </c>
      <c r="U5175" s="1527" t="s">
        <v>11183</v>
      </c>
      <c r="V5175" s="222" t="s">
        <v>16621</v>
      </c>
      <c r="W5175" s="2155"/>
      <c r="X5175" s="818"/>
      <c r="Y5175" s="1161"/>
    </row>
    <row r="5176" spans="1:25" ht="15.75" hidden="1" customHeight="1">
      <c r="A5176" s="222">
        <v>5185</v>
      </c>
      <c r="B5176" s="858">
        <v>44609</v>
      </c>
      <c r="C5176" s="1193" t="s">
        <v>17607</v>
      </c>
      <c r="D5176" s="11" t="s">
        <v>6</v>
      </c>
      <c r="E5176" s="818" t="s">
        <v>7498</v>
      </c>
      <c r="F5176" s="1006" t="s">
        <v>2143</v>
      </c>
      <c r="G5176" s="863" t="s">
        <v>17607</v>
      </c>
      <c r="H5176" s="222" t="s">
        <v>17608</v>
      </c>
      <c r="I5176" s="222" t="s">
        <v>574</v>
      </c>
      <c r="J5176" s="222" t="s">
        <v>17609</v>
      </c>
      <c r="K5176" s="222" t="s">
        <v>17610</v>
      </c>
      <c r="L5176" s="613">
        <v>1608</v>
      </c>
      <c r="M5176" s="183">
        <v>20</v>
      </c>
      <c r="N5176" s="183">
        <v>1</v>
      </c>
      <c r="O5176" s="222">
        <v>20</v>
      </c>
      <c r="P5176" s="222">
        <v>0</v>
      </c>
      <c r="Q5176" s="222">
        <v>0</v>
      </c>
      <c r="R5176" s="1195">
        <v>10.6</v>
      </c>
      <c r="S5176" s="1195">
        <v>212</v>
      </c>
      <c r="T5176" s="222" t="s">
        <v>15908</v>
      </c>
      <c r="U5176" s="1527" t="s">
        <v>11183</v>
      </c>
      <c r="V5176" s="222" t="s">
        <v>16621</v>
      </c>
      <c r="W5176" s="2155"/>
      <c r="X5176" s="818"/>
      <c r="Y5176" s="1161"/>
    </row>
    <row r="5177" spans="1:25" ht="15.75" hidden="1" customHeight="1">
      <c r="A5177" s="222">
        <v>5186</v>
      </c>
      <c r="B5177" s="858">
        <v>44609</v>
      </c>
      <c r="C5177" s="1193" t="s">
        <v>17611</v>
      </c>
      <c r="D5177" s="11" t="s">
        <v>6</v>
      </c>
      <c r="E5177" s="818" t="s">
        <v>7498</v>
      </c>
      <c r="F5177" s="1006" t="s">
        <v>2143</v>
      </c>
      <c r="G5177" s="863" t="s">
        <v>17611</v>
      </c>
      <c r="H5177" s="222" t="s">
        <v>5550</v>
      </c>
      <c r="I5177" s="222" t="s">
        <v>574</v>
      </c>
      <c r="J5177" s="222" t="s">
        <v>17612</v>
      </c>
      <c r="K5177" s="222" t="s">
        <v>17613</v>
      </c>
      <c r="L5177" s="613">
        <v>1608</v>
      </c>
      <c r="M5177" s="183">
        <v>20</v>
      </c>
      <c r="N5177" s="183">
        <v>1</v>
      </c>
      <c r="O5177" s="222">
        <v>20</v>
      </c>
      <c r="P5177" s="222">
        <v>0</v>
      </c>
      <c r="Q5177" s="222">
        <v>0</v>
      </c>
      <c r="R5177" s="1195">
        <v>26.4</v>
      </c>
      <c r="S5177" s="1195">
        <v>528</v>
      </c>
      <c r="T5177" s="222" t="s">
        <v>15908</v>
      </c>
      <c r="U5177" s="1527" t="s">
        <v>11183</v>
      </c>
      <c r="V5177" s="222" t="s">
        <v>16621</v>
      </c>
      <c r="W5177" s="2155"/>
      <c r="X5177" s="818"/>
      <c r="Y5177" s="1161"/>
    </row>
    <row r="5178" spans="1:25" ht="15.75" hidden="1" customHeight="1">
      <c r="A5178" s="222">
        <v>5187</v>
      </c>
      <c r="B5178" s="858">
        <v>44609</v>
      </c>
      <c r="C5178" s="1193" t="s">
        <v>17614</v>
      </c>
      <c r="D5178" s="11" t="s">
        <v>6</v>
      </c>
      <c r="E5178" s="818" t="s">
        <v>7498</v>
      </c>
      <c r="F5178" s="1006" t="s">
        <v>2143</v>
      </c>
      <c r="G5178" s="863" t="s">
        <v>17614</v>
      </c>
      <c r="H5178" s="222" t="s">
        <v>1216</v>
      </c>
      <c r="I5178" s="222" t="s">
        <v>574</v>
      </c>
      <c r="J5178" s="222" t="s">
        <v>17615</v>
      </c>
      <c r="K5178" s="222" t="s">
        <v>17616</v>
      </c>
      <c r="L5178" s="613">
        <v>1608</v>
      </c>
      <c r="M5178" s="183">
        <v>20</v>
      </c>
      <c r="N5178" s="183">
        <v>1</v>
      </c>
      <c r="O5178" s="222">
        <v>20</v>
      </c>
      <c r="P5178" s="222">
        <v>0</v>
      </c>
      <c r="Q5178" s="222">
        <v>0</v>
      </c>
      <c r="R5178" s="1195">
        <v>27.1</v>
      </c>
      <c r="S5178" s="1195">
        <v>542</v>
      </c>
      <c r="T5178" s="222" t="s">
        <v>15908</v>
      </c>
      <c r="U5178" s="1527" t="s">
        <v>11183</v>
      </c>
      <c r="V5178" s="222" t="s">
        <v>16621</v>
      </c>
      <c r="W5178" s="2155"/>
      <c r="X5178" s="818"/>
      <c r="Y5178" s="1161"/>
    </row>
    <row r="5179" spans="1:25" ht="15.75" hidden="1" customHeight="1">
      <c r="A5179" s="222">
        <v>5188</v>
      </c>
      <c r="B5179" s="858">
        <v>44609</v>
      </c>
      <c r="C5179" s="1193" t="s">
        <v>17617</v>
      </c>
      <c r="D5179" s="11" t="s">
        <v>6</v>
      </c>
      <c r="E5179" s="818" t="s">
        <v>7498</v>
      </c>
      <c r="F5179" s="1006" t="s">
        <v>2143</v>
      </c>
      <c r="G5179" s="863" t="s">
        <v>17617</v>
      </c>
      <c r="H5179" s="222" t="s">
        <v>1098</v>
      </c>
      <c r="I5179" s="222" t="s">
        <v>574</v>
      </c>
      <c r="J5179" s="222" t="s">
        <v>17618</v>
      </c>
      <c r="K5179" s="222" t="s">
        <v>17619</v>
      </c>
      <c r="L5179" s="613">
        <v>1608</v>
      </c>
      <c r="M5179" s="183">
        <v>20</v>
      </c>
      <c r="N5179" s="183">
        <v>1</v>
      </c>
      <c r="O5179" s="222">
        <v>20</v>
      </c>
      <c r="P5179" s="222">
        <v>0</v>
      </c>
      <c r="Q5179" s="222">
        <v>0</v>
      </c>
      <c r="R5179" s="1195">
        <v>35.799999999999997</v>
      </c>
      <c r="S5179" s="1195">
        <v>716</v>
      </c>
      <c r="T5179" s="222" t="s">
        <v>15908</v>
      </c>
      <c r="U5179" s="1527" t="s">
        <v>11183</v>
      </c>
      <c r="V5179" s="222" t="s">
        <v>16621</v>
      </c>
      <c r="W5179" s="2155"/>
      <c r="X5179" s="818"/>
      <c r="Y5179" s="1161"/>
    </row>
    <row r="5180" spans="1:25" ht="15.75" hidden="1" customHeight="1">
      <c r="A5180" s="222">
        <v>5189</v>
      </c>
      <c r="B5180" s="858">
        <v>44609</v>
      </c>
      <c r="C5180" s="1193" t="s">
        <v>17620</v>
      </c>
      <c r="D5180" s="11" t="s">
        <v>6</v>
      </c>
      <c r="E5180" s="818" t="s">
        <v>7498</v>
      </c>
      <c r="F5180" s="1006" t="s">
        <v>2143</v>
      </c>
      <c r="G5180" s="863" t="s">
        <v>17620</v>
      </c>
      <c r="H5180" s="222" t="s">
        <v>1853</v>
      </c>
      <c r="I5180" s="222" t="s">
        <v>574</v>
      </c>
      <c r="J5180" s="222" t="s">
        <v>17621</v>
      </c>
      <c r="K5180" s="222" t="s">
        <v>17622</v>
      </c>
      <c r="L5180" s="613" t="s">
        <v>17623</v>
      </c>
      <c r="M5180" s="183">
        <v>20</v>
      </c>
      <c r="N5180" s="183">
        <v>1</v>
      </c>
      <c r="O5180" s="222">
        <v>20</v>
      </c>
      <c r="P5180" s="222">
        <v>0</v>
      </c>
      <c r="Q5180" s="222">
        <v>0</v>
      </c>
      <c r="R5180" s="1195">
        <v>22.3</v>
      </c>
      <c r="S5180" s="1195">
        <v>446</v>
      </c>
      <c r="T5180" s="222" t="s">
        <v>15908</v>
      </c>
      <c r="U5180" s="1527" t="s">
        <v>11183</v>
      </c>
      <c r="V5180" s="222" t="s">
        <v>16621</v>
      </c>
      <c r="W5180" s="2155"/>
      <c r="X5180" s="818"/>
      <c r="Y5180" s="1161"/>
    </row>
    <row r="5181" spans="1:25" ht="15.75" hidden="1" customHeight="1">
      <c r="A5181" s="222">
        <v>5190</v>
      </c>
      <c r="B5181" s="858">
        <v>44609</v>
      </c>
      <c r="C5181" s="1193" t="s">
        <v>17624</v>
      </c>
      <c r="D5181" s="10"/>
      <c r="E5181" s="818" t="s">
        <v>62</v>
      </c>
      <c r="F5181" s="1006" t="s">
        <v>2143</v>
      </c>
      <c r="G5181" s="863" t="s">
        <v>17625</v>
      </c>
      <c r="H5181" s="222" t="s">
        <v>287</v>
      </c>
      <c r="I5181" s="222" t="s">
        <v>287</v>
      </c>
      <c r="J5181" s="183"/>
      <c r="K5181" s="183"/>
      <c r="L5181" s="613"/>
      <c r="M5181" s="183">
        <v>1</v>
      </c>
      <c r="N5181" s="183">
        <v>1</v>
      </c>
      <c r="O5181" s="222">
        <v>1</v>
      </c>
      <c r="P5181" s="222">
        <v>0</v>
      </c>
      <c r="Q5181" s="222">
        <v>0</v>
      </c>
      <c r="R5181" s="1195">
        <v>64681</v>
      </c>
      <c r="S5181" s="1195">
        <v>64681</v>
      </c>
      <c r="T5181" s="222" t="s">
        <v>15908</v>
      </c>
      <c r="U5181" s="1527" t="s">
        <v>11183</v>
      </c>
      <c r="V5181" s="222" t="s">
        <v>16621</v>
      </c>
      <c r="W5181" s="2155"/>
      <c r="X5181" s="818"/>
      <c r="Y5181" s="1161"/>
    </row>
    <row r="5182" spans="1:25" ht="15.75" hidden="1" customHeight="1">
      <c r="A5182" s="222">
        <v>5191</v>
      </c>
      <c r="B5182" s="858">
        <v>44609</v>
      </c>
      <c r="C5182" s="129" t="s">
        <v>17626</v>
      </c>
      <c r="D5182" s="11" t="s">
        <v>6</v>
      </c>
      <c r="E5182" s="818" t="s">
        <v>17562</v>
      </c>
      <c r="F5182" s="1006" t="s">
        <v>131</v>
      </c>
      <c r="G5182" s="863" t="s">
        <v>17627</v>
      </c>
      <c r="H5182" s="222" t="s">
        <v>14528</v>
      </c>
      <c r="I5182" s="222" t="s">
        <v>1063</v>
      </c>
      <c r="J5182" s="183" t="s">
        <v>15414</v>
      </c>
      <c r="K5182" s="183" t="s">
        <v>5471</v>
      </c>
      <c r="L5182" s="613"/>
      <c r="M5182" s="183">
        <v>2</v>
      </c>
      <c r="N5182" s="183">
        <v>1</v>
      </c>
      <c r="O5182" s="222">
        <v>2</v>
      </c>
      <c r="P5182" s="222">
        <v>0</v>
      </c>
      <c r="Q5182" s="222">
        <v>0</v>
      </c>
      <c r="R5182" s="1195">
        <v>2650</v>
      </c>
      <c r="S5182" s="1195">
        <f>2650*2</f>
        <v>5300</v>
      </c>
      <c r="T5182" s="222" t="s">
        <v>17628</v>
      </c>
      <c r="U5182" s="1527" t="s">
        <v>17629</v>
      </c>
      <c r="V5182" s="222">
        <v>409</v>
      </c>
      <c r="W5182" s="2155" t="s">
        <v>15415</v>
      </c>
      <c r="X5182" s="818"/>
      <c r="Y5182" s="1161"/>
    </row>
    <row r="5183" spans="1:25" ht="15.75" hidden="1" customHeight="1">
      <c r="A5183" s="222">
        <v>5192</v>
      </c>
      <c r="B5183" s="858">
        <v>44609</v>
      </c>
      <c r="C5183" s="129" t="s">
        <v>17630</v>
      </c>
      <c r="D5183" s="11"/>
      <c r="E5183" t="s">
        <v>17631</v>
      </c>
      <c r="F5183" s="1006" t="s">
        <v>16624</v>
      </c>
      <c r="G5183" s="863" t="s">
        <v>17632</v>
      </c>
      <c r="H5183" s="222" t="s">
        <v>1928</v>
      </c>
      <c r="I5183" s="222" t="s">
        <v>39</v>
      </c>
      <c r="J5183" s="183" t="s">
        <v>15759</v>
      </c>
      <c r="K5183" s="183" t="s">
        <v>15759</v>
      </c>
      <c r="L5183" s="613"/>
      <c r="M5183" s="183">
        <v>5</v>
      </c>
      <c r="N5183" s="183">
        <v>5</v>
      </c>
      <c r="O5183" s="222">
        <v>5</v>
      </c>
      <c r="P5183" s="222">
        <v>0</v>
      </c>
      <c r="Q5183" s="222">
        <v>2</v>
      </c>
      <c r="R5183" s="1195">
        <v>614</v>
      </c>
      <c r="S5183" s="1195">
        <f>+R5183*M5183</f>
        <v>3070</v>
      </c>
      <c r="T5183" s="222" t="s">
        <v>12425</v>
      </c>
      <c r="U5183" s="1527" t="s">
        <v>17633</v>
      </c>
      <c r="V5183" s="222" t="s">
        <v>17634</v>
      </c>
      <c r="W5183" s="2155" t="s">
        <v>17635</v>
      </c>
      <c r="X5183" s="818"/>
      <c r="Y5183" s="1161"/>
    </row>
    <row r="5184" spans="1:25" ht="15.75" hidden="1" customHeight="1">
      <c r="A5184" s="222">
        <v>5193</v>
      </c>
      <c r="B5184" s="858">
        <v>44609</v>
      </c>
      <c r="C5184" s="129" t="s">
        <v>17636</v>
      </c>
      <c r="D5184" s="11"/>
      <c r="E5184" t="s">
        <v>17631</v>
      </c>
      <c r="F5184" s="1006" t="s">
        <v>16624</v>
      </c>
      <c r="G5184" s="863" t="s">
        <v>17637</v>
      </c>
      <c r="H5184" s="222" t="s">
        <v>1928</v>
      </c>
      <c r="I5184" s="222" t="s">
        <v>39</v>
      </c>
      <c r="J5184" s="183" t="s">
        <v>14994</v>
      </c>
      <c r="K5184" s="183" t="s">
        <v>14994</v>
      </c>
      <c r="L5184" s="613"/>
      <c r="M5184" s="183">
        <v>5</v>
      </c>
      <c r="N5184" s="183">
        <v>5</v>
      </c>
      <c r="O5184" s="222">
        <v>5</v>
      </c>
      <c r="P5184" s="222">
        <v>0</v>
      </c>
      <c r="Q5184" s="222">
        <v>2</v>
      </c>
      <c r="R5184" s="1195">
        <v>737</v>
      </c>
      <c r="S5184" s="1195">
        <f>+R5184*M5184</f>
        <v>3685</v>
      </c>
      <c r="T5184" s="222" t="s">
        <v>12425</v>
      </c>
      <c r="U5184" s="1527" t="s">
        <v>17633</v>
      </c>
      <c r="V5184" s="222" t="s">
        <v>17634</v>
      </c>
      <c r="W5184" s="2155" t="s">
        <v>17638</v>
      </c>
      <c r="X5184" s="818" t="s">
        <v>17639</v>
      </c>
      <c r="Y5184" s="1161"/>
    </row>
    <row r="5185" spans="1:25" ht="15.75" hidden="1" customHeight="1">
      <c r="A5185" s="222">
        <v>5194</v>
      </c>
      <c r="B5185" s="858">
        <v>44609</v>
      </c>
      <c r="C5185" s="129" t="s">
        <v>17640</v>
      </c>
      <c r="D5185" s="11" t="s">
        <v>6</v>
      </c>
      <c r="E5185" t="s">
        <v>17631</v>
      </c>
      <c r="F5185" s="1006" t="s">
        <v>16624</v>
      </c>
      <c r="G5185" s="1006" t="s">
        <v>17641</v>
      </c>
      <c r="H5185" s="222" t="s">
        <v>2786</v>
      </c>
      <c r="I5185" s="222" t="s">
        <v>39</v>
      </c>
      <c r="J5185" s="222" t="s">
        <v>17642</v>
      </c>
      <c r="K5185" s="222" t="s">
        <v>8335</v>
      </c>
      <c r="L5185" s="222" t="s">
        <v>17643</v>
      </c>
      <c r="M5185" s="183">
        <v>1</v>
      </c>
      <c r="N5185" s="183">
        <v>50</v>
      </c>
      <c r="O5185" s="222">
        <v>50</v>
      </c>
      <c r="P5185" s="222">
        <v>0</v>
      </c>
      <c r="Q5185" s="222">
        <v>49</v>
      </c>
      <c r="R5185" s="1195">
        <v>63.22</v>
      </c>
      <c r="S5185" s="1195">
        <f t="shared" ref="S5185:S5191" si="289">O5185*R5185</f>
        <v>3161</v>
      </c>
      <c r="T5185" s="222" t="s">
        <v>12425</v>
      </c>
      <c r="U5185" s="1527" t="s">
        <v>17644</v>
      </c>
      <c r="V5185" s="222" t="s">
        <v>17634</v>
      </c>
      <c r="W5185" s="2155" t="s">
        <v>17645</v>
      </c>
      <c r="X5185" s="818"/>
      <c r="Y5185" s="1161"/>
    </row>
    <row r="5186" spans="1:25" ht="15.75" hidden="1" customHeight="1">
      <c r="A5186" s="222">
        <v>5195</v>
      </c>
      <c r="B5186" s="858">
        <v>44609</v>
      </c>
      <c r="C5186" s="129" t="s">
        <v>17646</v>
      </c>
      <c r="D5186" s="11" t="s">
        <v>6</v>
      </c>
      <c r="E5186" t="s">
        <v>17631</v>
      </c>
      <c r="F5186" s="1006" t="s">
        <v>16624</v>
      </c>
      <c r="G5186" s="1006" t="s">
        <v>17647</v>
      </c>
      <c r="H5186" s="222" t="s">
        <v>2786</v>
      </c>
      <c r="I5186" s="222" t="s">
        <v>39</v>
      </c>
      <c r="J5186" s="222" t="s">
        <v>17648</v>
      </c>
      <c r="K5186" s="222" t="s">
        <v>8834</v>
      </c>
      <c r="L5186" s="222" t="s">
        <v>17643</v>
      </c>
      <c r="M5186" s="183">
        <v>1</v>
      </c>
      <c r="N5186" s="183">
        <v>100</v>
      </c>
      <c r="O5186" s="222">
        <v>100</v>
      </c>
      <c r="P5186" s="222">
        <v>0</v>
      </c>
      <c r="Q5186" s="222">
        <v>99</v>
      </c>
      <c r="R5186" s="1195">
        <v>37.799999999999997</v>
      </c>
      <c r="S5186" s="1195">
        <f t="shared" si="289"/>
        <v>3779.9999999999995</v>
      </c>
      <c r="T5186" s="222" t="s">
        <v>12425</v>
      </c>
      <c r="U5186" s="1527" t="s">
        <v>17644</v>
      </c>
      <c r="V5186" s="222" t="s">
        <v>17634</v>
      </c>
      <c r="W5186" s="2155" t="s">
        <v>17649</v>
      </c>
      <c r="X5186" s="818"/>
      <c r="Y5186" s="1161"/>
    </row>
    <row r="5187" spans="1:25" ht="15.75" hidden="1" customHeight="1">
      <c r="A5187" s="222">
        <v>5196</v>
      </c>
      <c r="B5187" s="858">
        <v>44609</v>
      </c>
      <c r="C5187" s="129" t="s">
        <v>17650</v>
      </c>
      <c r="D5187" s="11"/>
      <c r="E5187" t="s">
        <v>17631</v>
      </c>
      <c r="F5187" s="1006" t="s">
        <v>16624</v>
      </c>
      <c r="G5187" s="1006" t="s">
        <v>17651</v>
      </c>
      <c r="H5187" s="222" t="s">
        <v>2786</v>
      </c>
      <c r="I5187" s="222" t="s">
        <v>39</v>
      </c>
      <c r="J5187" s="222" t="s">
        <v>17652</v>
      </c>
      <c r="K5187" s="222" t="s">
        <v>17653</v>
      </c>
      <c r="L5187" s="222" t="s">
        <v>17654</v>
      </c>
      <c r="M5187" s="183">
        <v>1</v>
      </c>
      <c r="N5187" s="183">
        <v>100</v>
      </c>
      <c r="O5187" s="222">
        <v>100</v>
      </c>
      <c r="P5187" s="222">
        <v>0</v>
      </c>
      <c r="Q5187" s="222">
        <v>99</v>
      </c>
      <c r="R5187" s="1195">
        <v>1.17</v>
      </c>
      <c r="S5187" s="1195">
        <f t="shared" si="289"/>
        <v>117</v>
      </c>
      <c r="T5187" s="222" t="s">
        <v>12425</v>
      </c>
      <c r="U5187" s="1527" t="s">
        <v>17644</v>
      </c>
      <c r="V5187" s="222" t="s">
        <v>17634</v>
      </c>
      <c r="W5187" s="2155" t="s">
        <v>17655</v>
      </c>
      <c r="X5187" s="818"/>
      <c r="Y5187" s="1161"/>
    </row>
    <row r="5188" spans="1:25" ht="15.75" hidden="1" customHeight="1">
      <c r="A5188" s="222">
        <v>5197</v>
      </c>
      <c r="B5188" s="858">
        <v>44609</v>
      </c>
      <c r="C5188" s="129" t="s">
        <v>17656</v>
      </c>
      <c r="D5188" s="11" t="s">
        <v>6</v>
      </c>
      <c r="E5188" t="s">
        <v>17631</v>
      </c>
      <c r="F5188" s="1006" t="s">
        <v>16624</v>
      </c>
      <c r="G5188" s="1006" t="s">
        <v>17657</v>
      </c>
      <c r="H5188" s="222" t="s">
        <v>2786</v>
      </c>
      <c r="I5188" s="222" t="s">
        <v>574</v>
      </c>
      <c r="J5188" s="1465" t="s">
        <v>17658</v>
      </c>
      <c r="K5188" s="222" t="s">
        <v>8878</v>
      </c>
      <c r="L5188" s="222" t="s">
        <v>17659</v>
      </c>
      <c r="M5188" s="183">
        <v>1</v>
      </c>
      <c r="N5188" s="183">
        <v>15</v>
      </c>
      <c r="O5188" s="222">
        <v>15</v>
      </c>
      <c r="P5188" s="222">
        <v>0</v>
      </c>
      <c r="Q5188" s="222">
        <v>14</v>
      </c>
      <c r="R5188" s="1195">
        <v>12</v>
      </c>
      <c r="S5188" s="1195">
        <f t="shared" si="289"/>
        <v>180</v>
      </c>
      <c r="T5188" s="222" t="s">
        <v>12425</v>
      </c>
      <c r="U5188" s="1527" t="s">
        <v>17644</v>
      </c>
      <c r="V5188" s="222" t="s">
        <v>17634</v>
      </c>
      <c r="W5188" s="2155" t="s">
        <v>17660</v>
      </c>
      <c r="X5188" s="818"/>
      <c r="Y5188" s="1161"/>
    </row>
    <row r="5189" spans="1:25" ht="15.75" hidden="1" customHeight="1">
      <c r="A5189" s="222">
        <v>5198</v>
      </c>
      <c r="B5189" s="858">
        <v>44609</v>
      </c>
      <c r="C5189" s="129" t="s">
        <v>17661</v>
      </c>
      <c r="D5189" s="11" t="s">
        <v>6</v>
      </c>
      <c r="E5189" t="s">
        <v>17631</v>
      </c>
      <c r="F5189" s="1006" t="s">
        <v>16624</v>
      </c>
      <c r="G5189" s="1006" t="s">
        <v>17662</v>
      </c>
      <c r="H5189" s="222" t="s">
        <v>2786</v>
      </c>
      <c r="I5189" s="222" t="s">
        <v>39</v>
      </c>
      <c r="J5189" s="222" t="s">
        <v>17663</v>
      </c>
      <c r="K5189" s="222" t="s">
        <v>8882</v>
      </c>
      <c r="L5189" s="222" t="s">
        <v>17659</v>
      </c>
      <c r="M5189" s="183">
        <v>1</v>
      </c>
      <c r="N5189" s="183">
        <v>100</v>
      </c>
      <c r="O5189" s="222">
        <v>100</v>
      </c>
      <c r="P5189" s="222">
        <v>0</v>
      </c>
      <c r="Q5189" s="222">
        <v>99</v>
      </c>
      <c r="R5189" s="1195">
        <v>15.43</v>
      </c>
      <c r="S5189" s="1195">
        <f t="shared" si="289"/>
        <v>1543</v>
      </c>
      <c r="T5189" s="222" t="s">
        <v>12425</v>
      </c>
      <c r="U5189" s="1527" t="s">
        <v>17644</v>
      </c>
      <c r="V5189" s="222" t="s">
        <v>17634</v>
      </c>
      <c r="W5189" s="2155" t="s">
        <v>17664</v>
      </c>
      <c r="X5189" s="818"/>
      <c r="Y5189" s="1161"/>
    </row>
    <row r="5190" spans="1:25" ht="15.75" hidden="1" customHeight="1">
      <c r="A5190" s="222">
        <v>5199</v>
      </c>
      <c r="B5190" s="858">
        <v>44609</v>
      </c>
      <c r="C5190" s="129" t="s">
        <v>17665</v>
      </c>
      <c r="D5190" s="11" t="s">
        <v>6</v>
      </c>
      <c r="E5190" t="s">
        <v>17631</v>
      </c>
      <c r="F5190" s="1006" t="s">
        <v>16624</v>
      </c>
      <c r="G5190" s="1006" t="s">
        <v>17666</v>
      </c>
      <c r="H5190" s="222" t="s">
        <v>2786</v>
      </c>
      <c r="I5190" s="222" t="s">
        <v>574</v>
      </c>
      <c r="J5190" s="1465" t="s">
        <v>17667</v>
      </c>
      <c r="K5190" s="1465" t="s">
        <v>17668</v>
      </c>
      <c r="L5190" s="613">
        <v>402</v>
      </c>
      <c r="M5190" s="183">
        <v>1</v>
      </c>
      <c r="N5190" s="183">
        <v>15</v>
      </c>
      <c r="O5190" s="222">
        <v>15</v>
      </c>
      <c r="P5190" s="222">
        <v>0</v>
      </c>
      <c r="Q5190" s="222">
        <v>14</v>
      </c>
      <c r="R5190" s="1195">
        <v>12</v>
      </c>
      <c r="S5190" s="1195">
        <f t="shared" si="289"/>
        <v>180</v>
      </c>
      <c r="T5190" s="222" t="s">
        <v>12425</v>
      </c>
      <c r="U5190" s="1527" t="s">
        <v>17644</v>
      </c>
      <c r="V5190" s="222" t="s">
        <v>17634</v>
      </c>
      <c r="W5190" s="2155" t="s">
        <v>17669</v>
      </c>
      <c r="X5190" s="818"/>
      <c r="Y5190" s="1161"/>
    </row>
    <row r="5191" spans="1:25" ht="15.75" hidden="1" customHeight="1">
      <c r="A5191" s="222">
        <v>5200</v>
      </c>
      <c r="B5191" s="858">
        <v>44609</v>
      </c>
      <c r="C5191" s="129" t="s">
        <v>17670</v>
      </c>
      <c r="D5191" s="11" t="s">
        <v>6</v>
      </c>
      <c r="E5191" t="s">
        <v>17631</v>
      </c>
      <c r="F5191" s="1006" t="s">
        <v>16624</v>
      </c>
      <c r="G5191" s="863" t="s">
        <v>17671</v>
      </c>
      <c r="H5191" s="222" t="s">
        <v>1928</v>
      </c>
      <c r="I5191" s="222" t="s">
        <v>39</v>
      </c>
      <c r="J5191" s="183" t="s">
        <v>17672</v>
      </c>
      <c r="K5191" s="183" t="s">
        <v>17672</v>
      </c>
      <c r="L5191" s="613"/>
      <c r="M5191" s="183">
        <v>3</v>
      </c>
      <c r="N5191" s="183">
        <v>3</v>
      </c>
      <c r="O5191" s="222">
        <v>3</v>
      </c>
      <c r="P5191" s="222">
        <v>0</v>
      </c>
      <c r="Q5191" s="222">
        <v>0</v>
      </c>
      <c r="R5191" s="1195">
        <v>3116</v>
      </c>
      <c r="S5191" s="1195">
        <f t="shared" si="289"/>
        <v>9348</v>
      </c>
      <c r="T5191" s="222" t="s">
        <v>12425</v>
      </c>
      <c r="U5191" s="1527" t="s">
        <v>17633</v>
      </c>
      <c r="V5191" s="222" t="s">
        <v>17634</v>
      </c>
      <c r="W5191" s="2155" t="s">
        <v>17673</v>
      </c>
      <c r="X5191" s="818"/>
      <c r="Y5191" s="1161"/>
    </row>
    <row r="5192" spans="1:25" ht="15.75" hidden="1" customHeight="1">
      <c r="A5192" s="222">
        <v>5201</v>
      </c>
      <c r="B5192" s="858">
        <v>44609</v>
      </c>
      <c r="C5192" s="129" t="s">
        <v>17674</v>
      </c>
      <c r="D5192" s="11" t="s">
        <v>6</v>
      </c>
      <c r="E5192" s="818" t="s">
        <v>17631</v>
      </c>
      <c r="F5192" s="1006" t="s">
        <v>16624</v>
      </c>
      <c r="G5192" s="1420" t="s">
        <v>17675</v>
      </c>
      <c r="H5192" s="222" t="s">
        <v>17676</v>
      </c>
      <c r="I5192" s="222" t="s">
        <v>5690</v>
      </c>
      <c r="J5192" s="222" t="s">
        <v>17677</v>
      </c>
      <c r="K5192" s="222" t="s">
        <v>17677</v>
      </c>
      <c r="L5192" s="222" t="s">
        <v>17678</v>
      </c>
      <c r="M5192" s="183">
        <v>1</v>
      </c>
      <c r="N5192" s="183">
        <v>1</v>
      </c>
      <c r="O5192" s="222">
        <v>1</v>
      </c>
      <c r="P5192" s="222">
        <v>0</v>
      </c>
      <c r="Q5192" s="222">
        <v>1</v>
      </c>
      <c r="R5192" s="1195">
        <v>1090</v>
      </c>
      <c r="S5192" s="1195">
        <v>1090</v>
      </c>
      <c r="T5192" s="222" t="s">
        <v>12425</v>
      </c>
      <c r="U5192" s="1527" t="s">
        <v>17679</v>
      </c>
      <c r="V5192" s="222" t="s">
        <v>17634</v>
      </c>
      <c r="W5192" s="2155" t="s">
        <v>17680</v>
      </c>
      <c r="X5192" s="818"/>
      <c r="Y5192" s="1161"/>
    </row>
    <row r="5193" spans="1:25" ht="15.75" hidden="1" customHeight="1">
      <c r="A5193" s="222">
        <v>5202</v>
      </c>
      <c r="B5193" s="858">
        <v>44610</v>
      </c>
      <c r="C5193" s="129" t="s">
        <v>17681</v>
      </c>
      <c r="D5193" s="11" t="s">
        <v>6</v>
      </c>
      <c r="E5193" s="818" t="s">
        <v>62</v>
      </c>
      <c r="F5193" s="1006" t="s">
        <v>11438</v>
      </c>
      <c r="G5193" s="863" t="s">
        <v>100</v>
      </c>
      <c r="H5193" s="222" t="s">
        <v>101</v>
      </c>
      <c r="I5193" s="222" t="s">
        <v>84</v>
      </c>
      <c r="J5193" s="183">
        <v>10065264</v>
      </c>
      <c r="K5193" s="183">
        <v>107</v>
      </c>
      <c r="L5193" s="613" t="s">
        <v>1</v>
      </c>
      <c r="M5193" s="183">
        <v>5</v>
      </c>
      <c r="N5193" s="183">
        <v>200</v>
      </c>
      <c r="O5193" s="222">
        <v>200</v>
      </c>
      <c r="P5193" s="222">
        <v>0</v>
      </c>
      <c r="Q5193" s="222">
        <v>155</v>
      </c>
      <c r="R5193" s="1195">
        <v>3638</v>
      </c>
      <c r="S5193" s="1195">
        <v>3638</v>
      </c>
      <c r="T5193" s="222" t="s">
        <v>3961</v>
      </c>
      <c r="U5193" s="1527" t="s">
        <v>448</v>
      </c>
      <c r="V5193" s="222" t="s">
        <v>801</v>
      </c>
      <c r="W5193" s="2155" t="s">
        <v>16532</v>
      </c>
      <c r="X5193" s="818"/>
      <c r="Y5193" s="1161"/>
    </row>
    <row r="5194" spans="1:25" ht="15.75" hidden="1" customHeight="1">
      <c r="A5194" s="222">
        <v>5203</v>
      </c>
      <c r="B5194" s="858">
        <v>44610</v>
      </c>
      <c r="C5194" s="129" t="s">
        <v>797</v>
      </c>
      <c r="D5194" s="11" t="s">
        <v>6</v>
      </c>
      <c r="E5194" s="818" t="s">
        <v>62</v>
      </c>
      <c r="F5194" s="1006" t="s">
        <v>11438</v>
      </c>
      <c r="G5194" s="863" t="s">
        <v>5689</v>
      </c>
      <c r="H5194" s="222" t="s">
        <v>799</v>
      </c>
      <c r="I5194" s="222" t="s">
        <v>84</v>
      </c>
      <c r="J5194" s="183">
        <v>33240313</v>
      </c>
      <c r="K5194" s="183" t="s">
        <v>5691</v>
      </c>
      <c r="L5194" s="613" t="s">
        <v>1</v>
      </c>
      <c r="M5194" s="183">
        <v>1</v>
      </c>
      <c r="N5194" s="183">
        <v>1</v>
      </c>
      <c r="O5194" s="222">
        <v>1</v>
      </c>
      <c r="P5194" s="222">
        <v>0</v>
      </c>
      <c r="Q5194" s="222">
        <v>1</v>
      </c>
      <c r="R5194" s="1195">
        <v>10900</v>
      </c>
      <c r="S5194" s="1195">
        <v>10900</v>
      </c>
      <c r="T5194" s="222" t="s">
        <v>3961</v>
      </c>
      <c r="U5194" s="1527" t="s">
        <v>448</v>
      </c>
      <c r="V5194" s="222" t="s">
        <v>801</v>
      </c>
      <c r="W5194" s="2155" t="s">
        <v>802</v>
      </c>
      <c r="X5194" s="818"/>
      <c r="Y5194" s="1161"/>
    </row>
    <row r="5195" spans="1:25" ht="15.75" hidden="1" customHeight="1">
      <c r="A5195" s="222">
        <v>5204</v>
      </c>
      <c r="B5195" s="858">
        <v>44613</v>
      </c>
      <c r="C5195" s="129" t="s">
        <v>17682</v>
      </c>
      <c r="D5195" s="11" t="s">
        <v>6</v>
      </c>
      <c r="E5195" s="818" t="s">
        <v>17683</v>
      </c>
      <c r="F5195" s="1006" t="s">
        <v>2143</v>
      </c>
      <c r="G5195" s="863" t="s">
        <v>17684</v>
      </c>
      <c r="H5195" s="222" t="s">
        <v>9894</v>
      </c>
      <c r="I5195" s="222" t="s">
        <v>11707</v>
      </c>
      <c r="J5195" s="183"/>
      <c r="K5195" s="183" t="s">
        <v>17685</v>
      </c>
      <c r="L5195" s="613"/>
      <c r="M5195" s="183">
        <v>1</v>
      </c>
      <c r="N5195" s="183">
        <v>1</v>
      </c>
      <c r="O5195" s="222">
        <v>1</v>
      </c>
      <c r="P5195" s="222">
        <v>0</v>
      </c>
      <c r="Q5195" s="222">
        <v>0</v>
      </c>
      <c r="R5195" s="1195">
        <v>1862</v>
      </c>
      <c r="S5195" s="1195">
        <v>1862</v>
      </c>
      <c r="T5195" s="222" t="s">
        <v>5448</v>
      </c>
      <c r="U5195" s="1527" t="s">
        <v>118</v>
      </c>
      <c r="V5195" s="222" t="s">
        <v>104</v>
      </c>
      <c r="W5195" s="2155"/>
      <c r="X5195" s="818"/>
      <c r="Y5195" s="1161"/>
    </row>
    <row r="5196" spans="1:25" ht="15.75" hidden="1" customHeight="1">
      <c r="A5196" s="222">
        <v>5205</v>
      </c>
      <c r="B5196" s="858">
        <v>44613</v>
      </c>
      <c r="C5196" s="129" t="s">
        <v>3425</v>
      </c>
      <c r="D5196" s="11" t="s">
        <v>6</v>
      </c>
      <c r="E5196" s="818" t="s">
        <v>17683</v>
      </c>
      <c r="F5196" s="1006" t="s">
        <v>2143</v>
      </c>
      <c r="G5196" s="863" t="s">
        <v>17686</v>
      </c>
      <c r="H5196" s="222" t="s">
        <v>7518</v>
      </c>
      <c r="I5196" s="222" t="s">
        <v>11707</v>
      </c>
      <c r="J5196" s="183"/>
      <c r="K5196" s="183" t="s">
        <v>17687</v>
      </c>
      <c r="L5196" s="613"/>
      <c r="M5196" s="183">
        <v>1</v>
      </c>
      <c r="N5196" s="183">
        <v>1</v>
      </c>
      <c r="O5196" s="222">
        <v>1</v>
      </c>
      <c r="P5196" s="222">
        <v>0</v>
      </c>
      <c r="Q5196" s="222">
        <v>0</v>
      </c>
      <c r="R5196" s="1195">
        <v>557</v>
      </c>
      <c r="S5196" s="1195">
        <v>557</v>
      </c>
      <c r="T5196" s="222" t="s">
        <v>5448</v>
      </c>
      <c r="U5196" s="1527" t="s">
        <v>118</v>
      </c>
      <c r="V5196" s="222" t="s">
        <v>104</v>
      </c>
      <c r="W5196" s="2155"/>
      <c r="X5196" s="818"/>
      <c r="Y5196" s="1161"/>
    </row>
    <row r="5197" spans="1:25" ht="15.75" hidden="1" customHeight="1">
      <c r="A5197" s="222">
        <v>5206</v>
      </c>
      <c r="B5197" s="858">
        <v>44610</v>
      </c>
      <c r="C5197" s="129" t="s">
        <v>17688</v>
      </c>
      <c r="D5197" s="11" t="s">
        <v>6</v>
      </c>
      <c r="E5197" s="818" t="s">
        <v>17689</v>
      </c>
      <c r="F5197" s="1006" t="s">
        <v>131</v>
      </c>
      <c r="G5197" s="863" t="s">
        <v>17688</v>
      </c>
      <c r="H5197" s="222"/>
      <c r="I5197" s="222" t="s">
        <v>117</v>
      </c>
      <c r="J5197" s="183"/>
      <c r="K5197" s="183"/>
      <c r="L5197" s="613"/>
      <c r="M5197" s="183">
        <v>1</v>
      </c>
      <c r="N5197" s="183">
        <v>1</v>
      </c>
      <c r="O5197" s="222">
        <v>1</v>
      </c>
      <c r="P5197" s="222">
        <v>0</v>
      </c>
      <c r="Q5197" s="222">
        <v>0</v>
      </c>
      <c r="R5197" s="1195">
        <v>262</v>
      </c>
      <c r="S5197" s="1195">
        <v>262</v>
      </c>
      <c r="T5197" s="222" t="s">
        <v>5448</v>
      </c>
      <c r="U5197" s="1527" t="s">
        <v>5939</v>
      </c>
      <c r="V5197" s="222" t="s">
        <v>1987</v>
      </c>
      <c r="W5197" s="2155"/>
      <c r="X5197" s="818"/>
      <c r="Y5197" s="1161"/>
    </row>
    <row r="5198" spans="1:25" ht="15.75" hidden="1" customHeight="1">
      <c r="A5198" s="222">
        <v>5207</v>
      </c>
      <c r="B5198" s="858">
        <v>44610</v>
      </c>
      <c r="C5198" s="129" t="s">
        <v>17690</v>
      </c>
      <c r="D5198" s="11" t="s">
        <v>6</v>
      </c>
      <c r="E5198" s="818" t="s">
        <v>17689</v>
      </c>
      <c r="F5198" s="1006" t="s">
        <v>131</v>
      </c>
      <c r="G5198" s="863" t="s">
        <v>17691</v>
      </c>
      <c r="H5198" s="222"/>
      <c r="I5198" s="222" t="s">
        <v>117</v>
      </c>
      <c r="J5198" s="183"/>
      <c r="K5198" s="183"/>
      <c r="L5198" s="613"/>
      <c r="M5198" s="183">
        <v>1</v>
      </c>
      <c r="N5198" s="183">
        <v>1</v>
      </c>
      <c r="O5198" s="222">
        <v>1</v>
      </c>
      <c r="P5198" s="222">
        <v>0</v>
      </c>
      <c r="Q5198" s="222">
        <v>0</v>
      </c>
      <c r="R5198" s="1195">
        <v>778</v>
      </c>
      <c r="S5198" s="1195">
        <v>778</v>
      </c>
      <c r="T5198" s="222" t="s">
        <v>5448</v>
      </c>
      <c r="U5198" s="1527" t="s">
        <v>5939</v>
      </c>
      <c r="V5198" s="222" t="s">
        <v>1987</v>
      </c>
      <c r="W5198" s="2155"/>
      <c r="X5198" s="818"/>
      <c r="Y5198" s="1161"/>
    </row>
    <row r="5199" spans="1:25" ht="15.75" hidden="1" customHeight="1">
      <c r="A5199" s="222">
        <v>5208</v>
      </c>
      <c r="B5199" s="858">
        <v>44610</v>
      </c>
      <c r="C5199" s="129" t="s">
        <v>1142</v>
      </c>
      <c r="D5199" s="11" t="s">
        <v>6</v>
      </c>
      <c r="E5199" s="818" t="s">
        <v>17689</v>
      </c>
      <c r="F5199" s="1006" t="s">
        <v>131</v>
      </c>
      <c r="G5199" s="863" t="s">
        <v>17691</v>
      </c>
      <c r="H5199" s="222"/>
      <c r="I5199" s="222" t="s">
        <v>117</v>
      </c>
      <c r="J5199" s="183"/>
      <c r="K5199" s="183"/>
      <c r="L5199" s="613"/>
      <c r="M5199" s="183">
        <v>1</v>
      </c>
      <c r="N5199" s="183">
        <v>1</v>
      </c>
      <c r="O5199" s="222">
        <v>1</v>
      </c>
      <c r="P5199" s="222">
        <v>0</v>
      </c>
      <c r="Q5199" s="222">
        <v>0</v>
      </c>
      <c r="R5199" s="1195">
        <v>99</v>
      </c>
      <c r="S5199" s="1195">
        <v>99</v>
      </c>
      <c r="T5199" s="222" t="s">
        <v>5448</v>
      </c>
      <c r="U5199" s="1527" t="s">
        <v>5939</v>
      </c>
      <c r="V5199" s="222" t="s">
        <v>1987</v>
      </c>
      <c r="W5199" s="2155"/>
      <c r="X5199" s="818"/>
      <c r="Y5199" s="1161"/>
    </row>
    <row r="5200" spans="1:25" ht="15.75" hidden="1" customHeight="1">
      <c r="A5200" s="222">
        <v>5209</v>
      </c>
      <c r="B5200" s="858">
        <v>44610</v>
      </c>
      <c r="C5200" s="129" t="s">
        <v>6144</v>
      </c>
      <c r="D5200" s="11" t="s">
        <v>6</v>
      </c>
      <c r="E5200" s="818" t="s">
        <v>17689</v>
      </c>
      <c r="F5200" s="1006" t="s">
        <v>131</v>
      </c>
      <c r="G5200" s="863" t="s">
        <v>17691</v>
      </c>
      <c r="H5200" s="222"/>
      <c r="I5200" s="222" t="s">
        <v>117</v>
      </c>
      <c r="J5200" s="183"/>
      <c r="K5200" s="183"/>
      <c r="L5200" s="613"/>
      <c r="M5200" s="183">
        <v>1</v>
      </c>
      <c r="N5200" s="183">
        <v>1</v>
      </c>
      <c r="O5200" s="222">
        <v>1</v>
      </c>
      <c r="P5200" s="222">
        <v>0</v>
      </c>
      <c r="Q5200" s="222">
        <v>0</v>
      </c>
      <c r="R5200" s="1195">
        <v>95</v>
      </c>
      <c r="S5200" s="1195">
        <v>95</v>
      </c>
      <c r="T5200" s="222" t="s">
        <v>5448</v>
      </c>
      <c r="U5200" s="1527" t="s">
        <v>5939</v>
      </c>
      <c r="V5200" s="222" t="s">
        <v>1987</v>
      </c>
      <c r="W5200" s="2155"/>
      <c r="X5200" s="818"/>
      <c r="Y5200" s="1161"/>
    </row>
    <row r="5201" spans="1:25" ht="15.75" hidden="1" customHeight="1">
      <c r="A5201" s="222">
        <v>5210</v>
      </c>
      <c r="B5201" s="858">
        <v>44610</v>
      </c>
      <c r="C5201" s="129" t="s">
        <v>17692</v>
      </c>
      <c r="D5201" s="11" t="s">
        <v>6</v>
      </c>
      <c r="E5201" s="818" t="s">
        <v>17689</v>
      </c>
      <c r="F5201" s="1006" t="s">
        <v>131</v>
      </c>
      <c r="G5201" s="863" t="s">
        <v>17693</v>
      </c>
      <c r="H5201" s="222"/>
      <c r="I5201" s="222" t="s">
        <v>117</v>
      </c>
      <c r="J5201" s="183"/>
      <c r="K5201" s="183"/>
      <c r="L5201" s="613"/>
      <c r="M5201" s="183">
        <v>1</v>
      </c>
      <c r="N5201" s="183">
        <v>1</v>
      </c>
      <c r="O5201" s="222">
        <v>1</v>
      </c>
      <c r="P5201" s="222">
        <v>0</v>
      </c>
      <c r="Q5201" s="222">
        <v>0</v>
      </c>
      <c r="R5201" s="1195">
        <v>1130</v>
      </c>
      <c r="S5201" s="1195">
        <v>1130</v>
      </c>
      <c r="T5201" s="222" t="s">
        <v>5448</v>
      </c>
      <c r="U5201" s="1527" t="s">
        <v>5939</v>
      </c>
      <c r="V5201" s="222" t="s">
        <v>1987</v>
      </c>
      <c r="W5201" s="2155"/>
      <c r="X5201" s="818"/>
      <c r="Y5201" s="1161"/>
    </row>
    <row r="5202" spans="1:25" ht="15.75" hidden="1" customHeight="1">
      <c r="A5202" s="222">
        <v>5211</v>
      </c>
      <c r="B5202" s="858">
        <v>44610</v>
      </c>
      <c r="C5202" s="129" t="s">
        <v>17694</v>
      </c>
      <c r="D5202" s="11" t="s">
        <v>6</v>
      </c>
      <c r="E5202" s="818" t="s">
        <v>17689</v>
      </c>
      <c r="F5202" s="1006" t="s">
        <v>131</v>
      </c>
      <c r="G5202" s="863"/>
      <c r="H5202" s="222"/>
      <c r="I5202" s="222" t="s">
        <v>117</v>
      </c>
      <c r="J5202" s="183"/>
      <c r="K5202" s="183"/>
      <c r="L5202" s="613"/>
      <c r="M5202" s="183">
        <v>1</v>
      </c>
      <c r="N5202" s="183">
        <v>1</v>
      </c>
      <c r="O5202" s="222">
        <v>1</v>
      </c>
      <c r="P5202" s="222">
        <v>0</v>
      </c>
      <c r="Q5202" s="222">
        <v>0</v>
      </c>
      <c r="R5202" s="1195">
        <v>258</v>
      </c>
      <c r="S5202" s="1195">
        <v>258</v>
      </c>
      <c r="T5202" s="222" t="s">
        <v>5448</v>
      </c>
      <c r="U5202" s="1527" t="s">
        <v>5939</v>
      </c>
      <c r="V5202" s="222" t="s">
        <v>1987</v>
      </c>
      <c r="W5202" s="2155"/>
      <c r="X5202" s="818"/>
      <c r="Y5202" s="1161"/>
    </row>
    <row r="5203" spans="1:25" ht="15.75" hidden="1" customHeight="1">
      <c r="A5203" s="222">
        <v>5212</v>
      </c>
      <c r="B5203" s="858">
        <v>44614</v>
      </c>
      <c r="C5203" s="1422" t="s">
        <v>17695</v>
      </c>
      <c r="D5203" s="11" t="s">
        <v>6</v>
      </c>
      <c r="E5203" s="1421" t="s">
        <v>16488</v>
      </c>
      <c r="F5203" s="1423" t="s">
        <v>10005</v>
      </c>
      <c r="G5203" s="881" t="s">
        <v>17696</v>
      </c>
      <c r="H5203" s="881" t="s">
        <v>2103</v>
      </c>
      <c r="I5203" s="881" t="s">
        <v>2103</v>
      </c>
      <c r="J5203" s="881" t="s">
        <v>149</v>
      </c>
      <c r="K5203" s="881" t="s">
        <v>149</v>
      </c>
      <c r="L5203" s="879" t="s">
        <v>149</v>
      </c>
      <c r="M5203" s="879" t="s">
        <v>149</v>
      </c>
      <c r="N5203" s="879" t="s">
        <v>149</v>
      </c>
      <c r="O5203" s="879" t="s">
        <v>149</v>
      </c>
      <c r="P5203" s="879" t="s">
        <v>149</v>
      </c>
      <c r="Q5203" s="879" t="s">
        <v>149</v>
      </c>
      <c r="R5203" s="1423" t="s">
        <v>17697</v>
      </c>
      <c r="S5203" s="1424" t="s">
        <v>17697</v>
      </c>
      <c r="T5203" s="881" t="s">
        <v>4220</v>
      </c>
      <c r="U5203" s="1955" t="s">
        <v>4220</v>
      </c>
      <c r="V5203" s="222" t="s">
        <v>689</v>
      </c>
      <c r="W5203" s="2155"/>
      <c r="X5203" s="818"/>
      <c r="Y5203" s="1161"/>
    </row>
    <row r="5204" spans="1:25" ht="15.75" hidden="1" customHeight="1">
      <c r="A5204" s="222">
        <v>5213</v>
      </c>
      <c r="B5204" s="858">
        <v>44615</v>
      </c>
      <c r="C5204" s="1005" t="s">
        <v>17515</v>
      </c>
      <c r="D5204" s="8" t="s">
        <v>6</v>
      </c>
      <c r="E5204" s="818" t="s">
        <v>17683</v>
      </c>
      <c r="F5204" s="1006" t="s">
        <v>404</v>
      </c>
      <c r="G5204" s="863" t="s">
        <v>17516</v>
      </c>
      <c r="H5204" s="222" t="s">
        <v>17517</v>
      </c>
      <c r="I5204" s="222" t="s">
        <v>17698</v>
      </c>
      <c r="J5204" s="222" t="s">
        <v>17699</v>
      </c>
      <c r="K5204" s="183" t="s">
        <v>17519</v>
      </c>
      <c r="L5204" s="613"/>
      <c r="M5204" s="183">
        <v>4</v>
      </c>
      <c r="N5204" s="183">
        <v>1</v>
      </c>
      <c r="O5204" s="222">
        <v>4</v>
      </c>
      <c r="P5204" s="222">
        <v>0</v>
      </c>
      <c r="Q5204" s="222">
        <v>0</v>
      </c>
      <c r="R5204" s="1195">
        <v>763.71</v>
      </c>
      <c r="S5204" s="1195">
        <f>R5204*4</f>
        <v>3054.84</v>
      </c>
      <c r="T5204" s="222" t="s">
        <v>311</v>
      </c>
      <c r="U5204" s="1527" t="s">
        <v>7057</v>
      </c>
      <c r="V5204" s="222" t="s">
        <v>17455</v>
      </c>
      <c r="W5204" s="2155" t="s">
        <v>17700</v>
      </c>
      <c r="X5204" s="818"/>
      <c r="Y5204" s="1161"/>
    </row>
    <row r="5205" spans="1:25" ht="15.75" hidden="1" customHeight="1">
      <c r="A5205" s="222">
        <v>5214</v>
      </c>
      <c r="B5205" s="858">
        <v>44615</v>
      </c>
      <c r="C5205" s="129" t="s">
        <v>17701</v>
      </c>
      <c r="D5205" s="11" t="s">
        <v>6</v>
      </c>
      <c r="E5205" s="818" t="s">
        <v>17683</v>
      </c>
      <c r="F5205" s="1006" t="s">
        <v>11441</v>
      </c>
      <c r="G5205" s="863" t="s">
        <v>17702</v>
      </c>
      <c r="H5205" s="222" t="s">
        <v>17703</v>
      </c>
      <c r="I5205" s="222" t="s">
        <v>15288</v>
      </c>
      <c r="J5205" s="183"/>
      <c r="K5205" s="183"/>
      <c r="L5205" s="613"/>
      <c r="M5205" s="183">
        <v>1</v>
      </c>
      <c r="N5205" s="183">
        <v>2</v>
      </c>
      <c r="O5205" s="222">
        <v>2</v>
      </c>
      <c r="P5205" s="222">
        <v>0</v>
      </c>
      <c r="Q5205" s="222">
        <v>2</v>
      </c>
      <c r="R5205" s="1195">
        <v>7850</v>
      </c>
      <c r="S5205" s="1195">
        <v>7850</v>
      </c>
      <c r="T5205" s="222" t="s">
        <v>3961</v>
      </c>
      <c r="U5205" s="1527" t="s">
        <v>17704</v>
      </c>
      <c r="V5205" s="222" t="s">
        <v>17705</v>
      </c>
      <c r="W5205" s="2169" t="s">
        <v>17706</v>
      </c>
      <c r="X5205" s="818"/>
      <c r="Y5205" s="1161"/>
    </row>
    <row r="5206" spans="1:25" ht="15.75" hidden="1" customHeight="1">
      <c r="A5206" s="222">
        <v>5215</v>
      </c>
      <c r="B5206" s="858">
        <v>44616</v>
      </c>
      <c r="C5206" s="940" t="s">
        <v>16205</v>
      </c>
      <c r="D5206" s="11" t="s">
        <v>6</v>
      </c>
      <c r="E5206" s="818" t="s">
        <v>17631</v>
      </c>
      <c r="F5206" s="1006" t="s">
        <v>11323</v>
      </c>
      <c r="G5206" s="239" t="s">
        <v>16202</v>
      </c>
      <c r="H5206" s="239" t="s">
        <v>12071</v>
      </c>
      <c r="I5206" s="239" t="s">
        <v>76</v>
      </c>
      <c r="J5206" s="239">
        <v>1260069</v>
      </c>
      <c r="K5206" s="239"/>
      <c r="L5206" s="613"/>
      <c r="M5206" s="239">
        <v>10</v>
      </c>
      <c r="N5206" s="239">
        <v>1</v>
      </c>
      <c r="O5206" s="239">
        <v>10</v>
      </c>
      <c r="P5206" s="239">
        <v>0</v>
      </c>
      <c r="Q5206" s="572">
        <v>10</v>
      </c>
      <c r="R5206" s="1209">
        <v>871</v>
      </c>
      <c r="S5206" s="1209">
        <f>R5206*O5206</f>
        <v>8710</v>
      </c>
      <c r="T5206" s="239" t="s">
        <v>16203</v>
      </c>
      <c r="U5206" s="1901" t="s">
        <v>3637</v>
      </c>
      <c r="V5206" s="572" t="s">
        <v>801</v>
      </c>
      <c r="W5206" s="1184" t="s">
        <v>16206</v>
      </c>
      <c r="X5206" s="818"/>
    </row>
    <row r="5207" spans="1:25" ht="15.75" hidden="1" customHeight="1">
      <c r="A5207" s="222">
        <v>5216</v>
      </c>
      <c r="B5207" s="858">
        <v>44616</v>
      </c>
      <c r="C5207" s="940" t="s">
        <v>16207</v>
      </c>
      <c r="D5207" s="11" t="s">
        <v>6</v>
      </c>
      <c r="E5207" s="818" t="s">
        <v>17631</v>
      </c>
      <c r="F5207" s="1006" t="s">
        <v>11323</v>
      </c>
      <c r="G5207" s="239" t="s">
        <v>16202</v>
      </c>
      <c r="H5207" s="239" t="s">
        <v>12071</v>
      </c>
      <c r="I5207" s="239" t="s">
        <v>76</v>
      </c>
      <c r="J5207" s="239">
        <v>1260078</v>
      </c>
      <c r="K5207" s="239"/>
      <c r="L5207" s="613"/>
      <c r="M5207" s="239">
        <v>10</v>
      </c>
      <c r="N5207" s="239">
        <v>1</v>
      </c>
      <c r="O5207" s="239">
        <v>10</v>
      </c>
      <c r="P5207" s="239">
        <v>2</v>
      </c>
      <c r="Q5207" s="572">
        <v>12</v>
      </c>
      <c r="R5207" s="1209">
        <v>871</v>
      </c>
      <c r="S5207" s="1209">
        <f>R5207*O5207</f>
        <v>8710</v>
      </c>
      <c r="T5207" s="239" t="s">
        <v>16203</v>
      </c>
      <c r="U5207" s="1901" t="s">
        <v>3637</v>
      </c>
      <c r="V5207" s="572" t="s">
        <v>801</v>
      </c>
      <c r="W5207" s="1184" t="s">
        <v>16208</v>
      </c>
      <c r="X5207" s="818"/>
    </row>
    <row r="5208" spans="1:25" ht="15.75" hidden="1" customHeight="1">
      <c r="A5208" s="222">
        <v>5217</v>
      </c>
      <c r="B5208" s="858">
        <v>44616</v>
      </c>
      <c r="C5208" s="940" t="s">
        <v>11828</v>
      </c>
      <c r="D5208" s="11" t="s">
        <v>6</v>
      </c>
      <c r="E5208" s="818" t="s">
        <v>17631</v>
      </c>
      <c r="F5208" s="1190" t="s">
        <v>11323</v>
      </c>
      <c r="G5208" s="1187" t="s">
        <v>11829</v>
      </c>
      <c r="H5208" s="1187" t="s">
        <v>11830</v>
      </c>
      <c r="I5208" s="26" t="s">
        <v>84</v>
      </c>
      <c r="J5208" s="1187">
        <v>10330311</v>
      </c>
      <c r="K5208" s="1187" t="s">
        <v>11831</v>
      </c>
      <c r="L5208" s="1426"/>
      <c r="M5208" s="1187">
        <v>1</v>
      </c>
      <c r="N5208" s="1187">
        <v>1</v>
      </c>
      <c r="O5208" s="1187">
        <v>1</v>
      </c>
      <c r="P5208" s="1187">
        <v>2</v>
      </c>
      <c r="Q5208" s="1157">
        <v>52</v>
      </c>
      <c r="R5208" s="1209">
        <v>4990</v>
      </c>
      <c r="S5208" s="1209">
        <v>4990</v>
      </c>
      <c r="T5208" s="239" t="s">
        <v>16203</v>
      </c>
      <c r="U5208" s="1901" t="s">
        <v>3637</v>
      </c>
      <c r="V5208" s="572" t="s">
        <v>801</v>
      </c>
      <c r="W5208" s="804" t="s">
        <v>11835</v>
      </c>
      <c r="X5208" s="818"/>
    </row>
    <row r="5209" spans="1:25" ht="15.75" hidden="1" customHeight="1">
      <c r="A5209" s="222">
        <v>5218</v>
      </c>
      <c r="B5209" s="858">
        <v>44616</v>
      </c>
      <c r="C5209" s="129" t="s">
        <v>17707</v>
      </c>
      <c r="D5209" s="11" t="s">
        <v>6</v>
      </c>
      <c r="E5209" s="818" t="s">
        <v>17631</v>
      </c>
      <c r="F5209" s="1006" t="s">
        <v>2876</v>
      </c>
      <c r="G5209" s="543" t="s">
        <v>17708</v>
      </c>
      <c r="H5209" s="222" t="s">
        <v>13249</v>
      </c>
      <c r="I5209" s="1431" t="s">
        <v>4634</v>
      </c>
      <c r="J5209" s="543" t="s">
        <v>8897</v>
      </c>
      <c r="K5209" s="543" t="s">
        <v>8898</v>
      </c>
      <c r="L5209" s="613"/>
      <c r="M5209" s="183">
        <v>4</v>
      </c>
      <c r="N5209" s="183">
        <v>1</v>
      </c>
      <c r="O5209" s="222">
        <v>16</v>
      </c>
      <c r="P5209" s="222">
        <v>0</v>
      </c>
      <c r="Q5209" s="222">
        <v>12</v>
      </c>
      <c r="R5209" s="1425">
        <v>739.2</v>
      </c>
      <c r="S5209" s="1209">
        <f t="shared" ref="S5209:S5215" si="290">O5209*R5209</f>
        <v>11827.2</v>
      </c>
      <c r="T5209" s="222" t="s">
        <v>17709</v>
      </c>
      <c r="U5209" s="1527" t="s">
        <v>3637</v>
      </c>
      <c r="V5209" s="222" t="s">
        <v>17216</v>
      </c>
      <c r="W5209" s="2155" t="s">
        <v>11123</v>
      </c>
      <c r="X5209" s="818" t="s">
        <v>7919</v>
      </c>
      <c r="Y5209" s="1161"/>
    </row>
    <row r="5210" spans="1:25" ht="15.75" hidden="1" customHeight="1">
      <c r="A5210" s="222">
        <v>5219</v>
      </c>
      <c r="B5210" s="858">
        <v>44616</v>
      </c>
      <c r="C5210" s="129" t="s">
        <v>17710</v>
      </c>
      <c r="D5210" s="11" t="s">
        <v>6</v>
      </c>
      <c r="E5210" s="818" t="s">
        <v>17631</v>
      </c>
      <c r="F5210" s="1006" t="s">
        <v>2876</v>
      </c>
      <c r="G5210" s="1478" t="s">
        <v>17711</v>
      </c>
      <c r="H5210" s="222" t="s">
        <v>4110</v>
      </c>
      <c r="I5210" s="1431" t="s">
        <v>574</v>
      </c>
      <c r="J5210" s="1478" t="s">
        <v>16133</v>
      </c>
      <c r="K5210" s="1478" t="s">
        <v>16134</v>
      </c>
      <c r="L5210" s="613"/>
      <c r="M5210" s="183">
        <v>4</v>
      </c>
      <c r="N5210" s="183">
        <v>1</v>
      </c>
      <c r="O5210" s="222">
        <v>7</v>
      </c>
      <c r="P5210" s="222">
        <v>1</v>
      </c>
      <c r="Q5210" s="222">
        <v>8</v>
      </c>
      <c r="R5210" s="1425">
        <v>635</v>
      </c>
      <c r="S5210" s="1209">
        <f t="shared" si="290"/>
        <v>4445</v>
      </c>
      <c r="T5210" s="222" t="s">
        <v>17709</v>
      </c>
      <c r="U5210" s="1527" t="s">
        <v>3637</v>
      </c>
      <c r="V5210" s="222" t="s">
        <v>17234</v>
      </c>
      <c r="W5210" s="2155" t="s">
        <v>17712</v>
      </c>
      <c r="X5210" s="818" t="s">
        <v>7919</v>
      </c>
      <c r="Y5210" s="1161"/>
    </row>
    <row r="5211" spans="1:25" ht="15.75" hidden="1" customHeight="1">
      <c r="A5211" s="222">
        <v>5220</v>
      </c>
      <c r="B5211" s="858">
        <v>44616</v>
      </c>
      <c r="C5211" s="129" t="s">
        <v>17713</v>
      </c>
      <c r="D5211" s="11" t="s">
        <v>6</v>
      </c>
      <c r="E5211" s="818" t="s">
        <v>17631</v>
      </c>
      <c r="F5211" s="1006" t="s">
        <v>2876</v>
      </c>
      <c r="G5211" s="543" t="s">
        <v>17714</v>
      </c>
      <c r="H5211" s="543" t="s">
        <v>17715</v>
      </c>
      <c r="I5211" s="1431" t="s">
        <v>4634</v>
      </c>
      <c r="J5211" s="543" t="s">
        <v>17716</v>
      </c>
      <c r="K5211" s="543" t="s">
        <v>8112</v>
      </c>
      <c r="L5211" s="613"/>
      <c r="M5211" s="183">
        <v>9</v>
      </c>
      <c r="N5211" s="183">
        <v>1</v>
      </c>
      <c r="O5211" s="222">
        <v>7</v>
      </c>
      <c r="P5211" s="222">
        <v>2</v>
      </c>
      <c r="Q5211" s="222">
        <v>0</v>
      </c>
      <c r="R5211" s="1425">
        <v>473.6</v>
      </c>
      <c r="S5211" s="1195">
        <f t="shared" si="290"/>
        <v>3315.2000000000003</v>
      </c>
      <c r="T5211" s="222" t="s">
        <v>17709</v>
      </c>
      <c r="U5211" s="1527" t="s">
        <v>3637</v>
      </c>
      <c r="V5211" s="222" t="s">
        <v>17234</v>
      </c>
      <c r="W5211" s="2155" t="s">
        <v>15686</v>
      </c>
      <c r="X5211" s="818" t="s">
        <v>7919</v>
      </c>
      <c r="Y5211" s="1161"/>
    </row>
    <row r="5212" spans="1:25" ht="15.75" hidden="1" customHeight="1">
      <c r="A5212" s="222">
        <v>5221</v>
      </c>
      <c r="B5212" s="858">
        <v>44616</v>
      </c>
      <c r="C5212" s="129" t="s">
        <v>13169</v>
      </c>
      <c r="D5212" s="11" t="s">
        <v>6</v>
      </c>
      <c r="E5212" s="818" t="s">
        <v>17631</v>
      </c>
      <c r="F5212" s="1006" t="s">
        <v>2876</v>
      </c>
      <c r="G5212" s="543" t="s">
        <v>17717</v>
      </c>
      <c r="H5212" s="222" t="s">
        <v>184</v>
      </c>
      <c r="I5212" s="1431" t="s">
        <v>39</v>
      </c>
      <c r="J5212" s="543" t="s">
        <v>17718</v>
      </c>
      <c r="K5212" s="183" t="s">
        <v>15684</v>
      </c>
      <c r="L5212" s="613"/>
      <c r="M5212" s="183">
        <v>10</v>
      </c>
      <c r="N5212" s="183">
        <v>25</v>
      </c>
      <c r="O5212" s="222">
        <v>30</v>
      </c>
      <c r="P5212" s="222">
        <v>2</v>
      </c>
      <c r="Q5212" s="222">
        <v>22</v>
      </c>
      <c r="R5212" s="1425">
        <v>39.96</v>
      </c>
      <c r="S5212" s="1195">
        <f t="shared" si="290"/>
        <v>1198.8</v>
      </c>
      <c r="T5212" s="222" t="s">
        <v>17709</v>
      </c>
      <c r="U5212" s="1527" t="s">
        <v>3637</v>
      </c>
      <c r="V5212" s="222" t="s">
        <v>17234</v>
      </c>
      <c r="W5212" s="2155" t="s">
        <v>17719</v>
      </c>
      <c r="X5212" s="818" t="s">
        <v>7919</v>
      </c>
      <c r="Y5212" s="1161"/>
    </row>
    <row r="5213" spans="1:25" ht="15.75" hidden="1" customHeight="1">
      <c r="A5213" s="222">
        <v>5222</v>
      </c>
      <c r="B5213" s="858">
        <v>44616</v>
      </c>
      <c r="C5213" s="129" t="s">
        <v>17720</v>
      </c>
      <c r="D5213" s="11" t="s">
        <v>6</v>
      </c>
      <c r="E5213" s="818" t="s">
        <v>17631</v>
      </c>
      <c r="F5213" s="1006" t="s">
        <v>2876</v>
      </c>
      <c r="G5213" s="1478" t="s">
        <v>17721</v>
      </c>
      <c r="H5213" s="222" t="s">
        <v>17722</v>
      </c>
      <c r="I5213" s="1431" t="s">
        <v>574</v>
      </c>
      <c r="J5213" s="1482" t="s">
        <v>17723</v>
      </c>
      <c r="K5213" s="1478" t="s">
        <v>17724</v>
      </c>
      <c r="L5213" s="613"/>
      <c r="M5213" s="183">
        <v>27</v>
      </c>
      <c r="N5213" s="183">
        <v>1</v>
      </c>
      <c r="O5213" s="222">
        <v>50</v>
      </c>
      <c r="P5213" s="222">
        <v>6</v>
      </c>
      <c r="Q5213" s="222">
        <v>33</v>
      </c>
      <c r="R5213" s="1425">
        <v>160.69999999999999</v>
      </c>
      <c r="S5213" s="1195">
        <f t="shared" si="290"/>
        <v>8034.9999999999991</v>
      </c>
      <c r="T5213" s="222" t="s">
        <v>17709</v>
      </c>
      <c r="U5213" s="1527" t="s">
        <v>3637</v>
      </c>
      <c r="V5213" s="222" t="s">
        <v>17234</v>
      </c>
      <c r="W5213" s="2155" t="s">
        <v>17725</v>
      </c>
      <c r="X5213" s="818" t="s">
        <v>7919</v>
      </c>
      <c r="Y5213" s="1161"/>
    </row>
    <row r="5214" spans="1:25" ht="15.75" hidden="1" customHeight="1">
      <c r="A5214" s="222">
        <v>5223</v>
      </c>
      <c r="B5214" s="858">
        <v>44616</v>
      </c>
      <c r="C5214" s="129" t="s">
        <v>188</v>
      </c>
      <c r="D5214" s="11" t="s">
        <v>6</v>
      </c>
      <c r="E5214" s="818" t="s">
        <v>17631</v>
      </c>
      <c r="F5214" s="1006" t="s">
        <v>2876</v>
      </c>
      <c r="G5214" s="543" t="s">
        <v>17726</v>
      </c>
      <c r="H5214" s="222" t="s">
        <v>17727</v>
      </c>
      <c r="I5214" s="1431" t="s">
        <v>5445</v>
      </c>
      <c r="J5214" s="543" t="s">
        <v>11132</v>
      </c>
      <c r="K5214" s="543" t="s">
        <v>6026</v>
      </c>
      <c r="L5214" s="613"/>
      <c r="M5214" s="183">
        <v>3</v>
      </c>
      <c r="N5214" s="183">
        <v>1</v>
      </c>
      <c r="O5214" s="222">
        <v>15</v>
      </c>
      <c r="P5214" s="222">
        <v>3</v>
      </c>
      <c r="Q5214" s="222">
        <v>15</v>
      </c>
      <c r="R5214" s="1425">
        <v>8</v>
      </c>
      <c r="S5214" s="1195">
        <f t="shared" si="290"/>
        <v>120</v>
      </c>
      <c r="T5214" s="222" t="s">
        <v>17709</v>
      </c>
      <c r="U5214" s="1527" t="s">
        <v>3637</v>
      </c>
      <c r="V5214" s="222" t="s">
        <v>17234</v>
      </c>
      <c r="W5214" s="2155" t="s">
        <v>17728</v>
      </c>
      <c r="X5214" s="818" t="s">
        <v>7919</v>
      </c>
      <c r="Y5214" s="1161"/>
    </row>
    <row r="5215" spans="1:25" ht="15.75" hidden="1" customHeight="1">
      <c r="A5215" s="222">
        <v>5224</v>
      </c>
      <c r="B5215" s="858">
        <v>44616</v>
      </c>
      <c r="C5215" s="129" t="s">
        <v>17729</v>
      </c>
      <c r="D5215" s="11" t="s">
        <v>6</v>
      </c>
      <c r="E5215" s="818" t="s">
        <v>17631</v>
      </c>
      <c r="F5215" s="1006" t="s">
        <v>2876</v>
      </c>
      <c r="G5215" s="1429" t="s">
        <v>17730</v>
      </c>
      <c r="H5215" s="222" t="s">
        <v>305</v>
      </c>
      <c r="I5215" s="1431" t="s">
        <v>5445</v>
      </c>
      <c r="J5215" s="543" t="s">
        <v>16148</v>
      </c>
      <c r="K5215" s="543" t="s">
        <v>16149</v>
      </c>
      <c r="L5215" s="613"/>
      <c r="M5215" s="183">
        <v>4</v>
      </c>
      <c r="N5215" s="183">
        <v>1</v>
      </c>
      <c r="O5215" s="222">
        <v>10</v>
      </c>
      <c r="P5215" s="222">
        <v>6</v>
      </c>
      <c r="Q5215" s="222">
        <v>0</v>
      </c>
      <c r="R5215" s="1425">
        <v>217.7</v>
      </c>
      <c r="S5215" s="1195">
        <f t="shared" si="290"/>
        <v>2177</v>
      </c>
      <c r="T5215" s="222" t="s">
        <v>17709</v>
      </c>
      <c r="U5215" s="1527" t="s">
        <v>3637</v>
      </c>
      <c r="V5215" s="222" t="s">
        <v>17234</v>
      </c>
      <c r="W5215" s="1815" t="s">
        <v>16150</v>
      </c>
      <c r="X5215" s="818" t="s">
        <v>7919</v>
      </c>
      <c r="Y5215" s="1161"/>
    </row>
    <row r="5216" spans="1:25" ht="15.75" hidden="1" customHeight="1">
      <c r="A5216" s="222">
        <v>5225</v>
      </c>
      <c r="B5216" s="858">
        <v>44621</v>
      </c>
      <c r="C5216" s="129" t="s">
        <v>17731</v>
      </c>
      <c r="D5216" s="11" t="s">
        <v>6</v>
      </c>
      <c r="E5216" s="1430" t="s">
        <v>1602</v>
      </c>
      <c r="F5216" s="1006" t="s">
        <v>17732</v>
      </c>
      <c r="G5216" s="818" t="s">
        <v>17733</v>
      </c>
      <c r="H5216" s="222" t="s">
        <v>17734</v>
      </c>
      <c r="I5216" s="1122" t="s">
        <v>17734</v>
      </c>
      <c r="J5216" s="225" t="s">
        <v>17735</v>
      </c>
      <c r="K5216" s="225" t="s">
        <v>17735</v>
      </c>
      <c r="L5216" s="1427"/>
      <c r="M5216" s="225">
        <v>1</v>
      </c>
      <c r="N5216" s="225">
        <v>1</v>
      </c>
      <c r="O5216" s="1428">
        <v>1</v>
      </c>
      <c r="P5216" s="1428">
        <v>0</v>
      </c>
      <c r="Q5216" s="1428">
        <v>0</v>
      </c>
      <c r="R5216" s="1195">
        <v>6600</v>
      </c>
      <c r="S5216" s="1195">
        <v>6600</v>
      </c>
      <c r="T5216" s="222" t="s">
        <v>1</v>
      </c>
      <c r="U5216" s="1527" t="s">
        <v>1</v>
      </c>
      <c r="V5216" s="222" t="s">
        <v>10617</v>
      </c>
      <c r="W5216" s="2155" t="s">
        <v>17736</v>
      </c>
      <c r="X5216" s="818"/>
      <c r="Y5216" s="1161"/>
    </row>
    <row r="5217" spans="1:25" ht="15.75" hidden="1" customHeight="1">
      <c r="A5217" s="222">
        <v>5226</v>
      </c>
      <c r="B5217" s="858">
        <v>44621</v>
      </c>
      <c r="C5217" s="934" t="s">
        <v>13544</v>
      </c>
      <c r="D5217" s="10"/>
      <c r="E5217" s="204" t="s">
        <v>13338</v>
      </c>
      <c r="F5217" s="934" t="s">
        <v>2143</v>
      </c>
      <c r="G5217" s="204" t="s">
        <v>13545</v>
      </c>
      <c r="H5217" s="204" t="s">
        <v>5480</v>
      </c>
      <c r="I5217" s="204" t="s">
        <v>574</v>
      </c>
      <c r="J5217" s="204" t="s">
        <v>13546</v>
      </c>
      <c r="K5217" s="204" t="s">
        <v>13544</v>
      </c>
      <c r="L5217" s="204"/>
      <c r="M5217" s="204">
        <v>3</v>
      </c>
      <c r="N5217" s="204">
        <v>1</v>
      </c>
      <c r="O5217" s="204">
        <v>10</v>
      </c>
      <c r="P5217" s="204">
        <v>0</v>
      </c>
      <c r="Q5217" s="572">
        <v>2</v>
      </c>
      <c r="R5217" s="1209">
        <v>281</v>
      </c>
      <c r="S5217" s="1209">
        <f t="shared" ref="S5217:S5218" si="291">R5217*O5217</f>
        <v>2810</v>
      </c>
      <c r="T5217" s="204" t="s">
        <v>17737</v>
      </c>
      <c r="U5217" s="1901" t="s">
        <v>118</v>
      </c>
      <c r="V5217" s="572" t="s">
        <v>118</v>
      </c>
      <c r="W5217" s="681" t="s">
        <v>13547</v>
      </c>
      <c r="X5217" s="818"/>
      <c r="Y5217" s="1161"/>
    </row>
    <row r="5218" spans="1:25" ht="15.75" hidden="1" customHeight="1">
      <c r="A5218" s="222">
        <v>5227</v>
      </c>
      <c r="B5218" s="858">
        <v>44621</v>
      </c>
      <c r="C5218" s="934" t="s">
        <v>17738</v>
      </c>
      <c r="D5218" s="10"/>
      <c r="E5218" s="204" t="s">
        <v>13338</v>
      </c>
      <c r="F5218" s="934" t="s">
        <v>2143</v>
      </c>
      <c r="G5218" s="204" t="s">
        <v>17739</v>
      </c>
      <c r="H5218" s="204" t="s">
        <v>9928</v>
      </c>
      <c r="I5218" s="204" t="s">
        <v>574</v>
      </c>
      <c r="J5218" s="204" t="s">
        <v>17740</v>
      </c>
      <c r="K5218" s="204" t="s">
        <v>17741</v>
      </c>
      <c r="L5218" s="204"/>
      <c r="M5218" s="204">
        <v>1</v>
      </c>
      <c r="N5218" s="204">
        <v>1</v>
      </c>
      <c r="O5218" s="204">
        <v>1</v>
      </c>
      <c r="P5218" s="204">
        <v>0</v>
      </c>
      <c r="Q5218" s="572">
        <v>0</v>
      </c>
      <c r="R5218" s="1209">
        <v>462</v>
      </c>
      <c r="S5218" s="1209">
        <f t="shared" si="291"/>
        <v>462</v>
      </c>
      <c r="T5218" s="204" t="s">
        <v>17737</v>
      </c>
      <c r="U5218" s="1901" t="s">
        <v>118</v>
      </c>
      <c r="V5218" s="572" t="s">
        <v>118</v>
      </c>
      <c r="W5218" s="681" t="s">
        <v>13552</v>
      </c>
      <c r="X5218" s="818"/>
      <c r="Y5218" s="1161"/>
    </row>
    <row r="5219" spans="1:25" ht="15.75" hidden="1" customHeight="1">
      <c r="A5219" s="222">
        <v>5228</v>
      </c>
      <c r="B5219" s="858">
        <v>44621</v>
      </c>
      <c r="C5219" s="934" t="s">
        <v>13559</v>
      </c>
      <c r="D5219" s="10"/>
      <c r="E5219" s="204" t="s">
        <v>13338</v>
      </c>
      <c r="F5219" s="934" t="s">
        <v>2143</v>
      </c>
      <c r="G5219" s="204" t="s">
        <v>13560</v>
      </c>
      <c r="H5219" s="204" t="s">
        <v>13561</v>
      </c>
      <c r="I5219" s="204" t="s">
        <v>574</v>
      </c>
      <c r="J5219" s="204" t="s">
        <v>13562</v>
      </c>
      <c r="K5219" s="204" t="s">
        <v>13563</v>
      </c>
      <c r="L5219" s="204"/>
      <c r="M5219" s="204">
        <v>1</v>
      </c>
      <c r="N5219" s="204">
        <v>1</v>
      </c>
      <c r="O5219" s="204">
        <v>1</v>
      </c>
      <c r="P5219" s="204">
        <v>0</v>
      </c>
      <c r="Q5219" s="572">
        <v>0</v>
      </c>
      <c r="R5219" s="1209">
        <v>743</v>
      </c>
      <c r="S5219" s="1209">
        <f>R5219*O5219</f>
        <v>743</v>
      </c>
      <c r="T5219" s="204" t="s">
        <v>17737</v>
      </c>
      <c r="U5219" s="1901" t="s">
        <v>118</v>
      </c>
      <c r="V5219" s="572" t="s">
        <v>118</v>
      </c>
      <c r="W5219" s="681" t="s">
        <v>13564</v>
      </c>
      <c r="X5219" s="818"/>
      <c r="Y5219" s="1161"/>
    </row>
    <row r="5220" spans="1:25" ht="15.75" hidden="1" customHeight="1">
      <c r="A5220" s="222">
        <v>5229</v>
      </c>
      <c r="B5220" s="858">
        <v>44621</v>
      </c>
      <c r="C5220" s="934" t="s">
        <v>13565</v>
      </c>
      <c r="D5220" s="10"/>
      <c r="E5220" s="204" t="s">
        <v>13338</v>
      </c>
      <c r="F5220" s="934" t="s">
        <v>2143</v>
      </c>
      <c r="G5220" s="204" t="s">
        <v>13566</v>
      </c>
      <c r="H5220" s="204" t="s">
        <v>8952</v>
      </c>
      <c r="I5220" s="204" t="s">
        <v>574</v>
      </c>
      <c r="J5220" s="204" t="s">
        <v>13567</v>
      </c>
      <c r="K5220" s="204" t="s">
        <v>13568</v>
      </c>
      <c r="L5220" s="204"/>
      <c r="M5220" s="204">
        <v>3</v>
      </c>
      <c r="N5220" s="204">
        <v>1</v>
      </c>
      <c r="O5220" s="204">
        <v>10</v>
      </c>
      <c r="P5220" s="204">
        <v>0</v>
      </c>
      <c r="Q5220" s="572">
        <v>2</v>
      </c>
      <c r="R5220" s="1209">
        <v>183</v>
      </c>
      <c r="S5220" s="1209">
        <f>R5220*O5220</f>
        <v>1830</v>
      </c>
      <c r="T5220" s="204" t="s">
        <v>17737</v>
      </c>
      <c r="U5220" s="1901" t="s">
        <v>118</v>
      </c>
      <c r="V5220" s="572" t="s">
        <v>118</v>
      </c>
      <c r="W5220" s="681" t="s">
        <v>13569</v>
      </c>
      <c r="X5220" s="818"/>
      <c r="Y5220" s="1161"/>
    </row>
    <row r="5221" spans="1:25" ht="15.75" hidden="1" customHeight="1">
      <c r="A5221" s="1120">
        <v>5230</v>
      </c>
      <c r="B5221" s="858">
        <v>44621</v>
      </c>
      <c r="C5221" s="1060" t="s">
        <v>13570</v>
      </c>
      <c r="D5221" s="10"/>
      <c r="E5221" s="239" t="s">
        <v>13338</v>
      </c>
      <c r="F5221" s="1060" t="s">
        <v>2143</v>
      </c>
      <c r="G5221" s="457" t="s">
        <v>13571</v>
      </c>
      <c r="H5221" s="457" t="s">
        <v>8952</v>
      </c>
      <c r="I5221" s="457" t="s">
        <v>574</v>
      </c>
      <c r="J5221" s="457" t="s">
        <v>13572</v>
      </c>
      <c r="K5221" s="457" t="s">
        <v>13573</v>
      </c>
      <c r="L5221" s="457"/>
      <c r="M5221" s="457">
        <v>3</v>
      </c>
      <c r="N5221" s="457">
        <v>1</v>
      </c>
      <c r="O5221" s="457">
        <v>10</v>
      </c>
      <c r="P5221" s="457">
        <v>0</v>
      </c>
      <c r="Q5221" s="1157">
        <v>2</v>
      </c>
      <c r="R5221" s="1379">
        <v>151</v>
      </c>
      <c r="S5221" s="1379">
        <f>R5221*O5221</f>
        <v>1510</v>
      </c>
      <c r="T5221" s="204" t="s">
        <v>17737</v>
      </c>
      <c r="U5221" s="1968" t="s">
        <v>118</v>
      </c>
      <c r="V5221" s="572" t="s">
        <v>118</v>
      </c>
      <c r="W5221" s="2170" t="s">
        <v>13574</v>
      </c>
      <c r="X5221" s="818"/>
      <c r="Y5221" s="1161"/>
    </row>
    <row r="5222" spans="1:25" ht="15.75" hidden="1" customHeight="1">
      <c r="A5222" s="222">
        <v>5231</v>
      </c>
      <c r="B5222" s="858">
        <v>44621</v>
      </c>
      <c r="C5222" s="1132" t="s">
        <v>17742</v>
      </c>
      <c r="D5222" s="11" t="s">
        <v>6</v>
      </c>
      <c r="E5222" s="874" t="s">
        <v>16270</v>
      </c>
      <c r="F5222" s="1039" t="s">
        <v>10005</v>
      </c>
      <c r="G5222" s="874" t="s">
        <v>17743</v>
      </c>
      <c r="H5222" s="874" t="s">
        <v>2103</v>
      </c>
      <c r="I5222" s="874" t="s">
        <v>2103</v>
      </c>
      <c r="J5222" s="874" t="s">
        <v>149</v>
      </c>
      <c r="K5222" s="874" t="s">
        <v>149</v>
      </c>
      <c r="L5222" s="873" t="s">
        <v>149</v>
      </c>
      <c r="M5222" s="873" t="s">
        <v>149</v>
      </c>
      <c r="N5222" s="873" t="s">
        <v>149</v>
      </c>
      <c r="O5222" s="873" t="s">
        <v>149</v>
      </c>
      <c r="P5222" s="873" t="s">
        <v>149</v>
      </c>
      <c r="Q5222" s="873" t="s">
        <v>149</v>
      </c>
      <c r="R5222" s="870" t="s">
        <v>17744</v>
      </c>
      <c r="S5222" s="1436" t="s">
        <v>17744</v>
      </c>
      <c r="T5222" s="874" t="s">
        <v>4220</v>
      </c>
      <c r="U5222" s="1969" t="s">
        <v>4220</v>
      </c>
      <c r="V5222" s="924" t="s">
        <v>689</v>
      </c>
      <c r="W5222" s="819"/>
      <c r="X5222" s="819"/>
      <c r="Y5222" s="1161"/>
    </row>
    <row r="5223" spans="1:25" ht="15.75" hidden="1" customHeight="1">
      <c r="A5223" s="1428">
        <v>5232</v>
      </c>
      <c r="B5223" s="1434">
        <v>44623</v>
      </c>
      <c r="C5223" s="1492" t="s">
        <v>17745</v>
      </c>
      <c r="D5223" s="10"/>
      <c r="E5223" s="1432" t="s">
        <v>572</v>
      </c>
      <c r="F5223" s="1438" t="s">
        <v>784</v>
      </c>
      <c r="G5223" s="1439" t="s">
        <v>17746</v>
      </c>
      <c r="H5223" s="1440" t="s">
        <v>429</v>
      </c>
      <c r="I5223" s="1428" t="s">
        <v>429</v>
      </c>
      <c r="J5223" s="225" t="s">
        <v>149</v>
      </c>
      <c r="K5223" s="225" t="s">
        <v>149</v>
      </c>
      <c r="L5223" s="1427" t="s">
        <v>149</v>
      </c>
      <c r="M5223" s="225">
        <v>1</v>
      </c>
      <c r="N5223" s="225">
        <v>1</v>
      </c>
      <c r="O5223" s="1428">
        <v>1</v>
      </c>
      <c r="P5223" s="1428">
        <v>0</v>
      </c>
      <c r="Q5223" s="1428">
        <v>0</v>
      </c>
      <c r="R5223" s="1435">
        <v>2860</v>
      </c>
      <c r="S5223" s="1435">
        <f>R5223*O5223</f>
        <v>2860</v>
      </c>
      <c r="T5223" s="1428" t="s">
        <v>10016</v>
      </c>
      <c r="U5223" s="1513" t="s">
        <v>10016</v>
      </c>
      <c r="V5223" s="222" t="s">
        <v>10323</v>
      </c>
      <c r="W5223" s="811"/>
      <c r="X5223" s="818"/>
      <c r="Y5223" s="1161"/>
    </row>
    <row r="5224" spans="1:25" ht="15.75" hidden="1" customHeight="1">
      <c r="A5224" s="222">
        <v>5233</v>
      </c>
      <c r="B5224" s="1434">
        <v>44623</v>
      </c>
      <c r="C5224" s="129" t="s">
        <v>17747</v>
      </c>
      <c r="D5224" s="11"/>
      <c r="E5224" s="1430" t="s">
        <v>62</v>
      </c>
      <c r="F5224" s="1006" t="s">
        <v>16624</v>
      </c>
      <c r="G5224" s="1006" t="s">
        <v>17748</v>
      </c>
      <c r="H5224" s="1006" t="s">
        <v>17749</v>
      </c>
      <c r="I5224" s="1122" t="s">
        <v>574</v>
      </c>
      <c r="J5224" s="1465" t="s">
        <v>17750</v>
      </c>
      <c r="K5224" s="1465" t="s">
        <v>17751</v>
      </c>
      <c r="L5224" s="613" t="s">
        <v>7002</v>
      </c>
      <c r="M5224" s="183">
        <v>2</v>
      </c>
      <c r="N5224" s="183">
        <v>1</v>
      </c>
      <c r="O5224" s="222">
        <v>6</v>
      </c>
      <c r="P5224" s="222">
        <v>0</v>
      </c>
      <c r="Q5224" s="222">
        <v>5</v>
      </c>
      <c r="R5224" s="1195">
        <v>42</v>
      </c>
      <c r="S5224" s="1195">
        <f>O5224*R5224</f>
        <v>252</v>
      </c>
      <c r="T5224" s="222" t="s">
        <v>12330</v>
      </c>
      <c r="U5224" s="1527" t="s">
        <v>17752</v>
      </c>
      <c r="V5224" s="222" t="s">
        <v>5990</v>
      </c>
      <c r="W5224" s="1815" t="s">
        <v>17753</v>
      </c>
      <c r="X5224" s="818"/>
      <c r="Y5224" s="1161"/>
    </row>
    <row r="5225" spans="1:25" ht="15.75" hidden="1" customHeight="1">
      <c r="A5225" s="222">
        <v>5234</v>
      </c>
      <c r="B5225" s="1434">
        <v>44623</v>
      </c>
      <c r="C5225" s="129" t="s">
        <v>17754</v>
      </c>
      <c r="D5225" s="11" t="s">
        <v>6</v>
      </c>
      <c r="E5225" s="1430" t="s">
        <v>62</v>
      </c>
      <c r="F5225" s="1006" t="s">
        <v>16624</v>
      </c>
      <c r="G5225" s="1006" t="s">
        <v>17755</v>
      </c>
      <c r="H5225" s="1006" t="s">
        <v>17756</v>
      </c>
      <c r="I5225" s="1122" t="s">
        <v>39</v>
      </c>
      <c r="J5225" s="183" t="s">
        <v>17757</v>
      </c>
      <c r="K5225" s="183" t="s">
        <v>17758</v>
      </c>
      <c r="L5225" s="613" t="s">
        <v>149</v>
      </c>
      <c r="M5225" s="183">
        <v>1</v>
      </c>
      <c r="N5225" s="183">
        <v>1</v>
      </c>
      <c r="O5225" s="222">
        <v>1</v>
      </c>
      <c r="P5225" s="222">
        <v>0</v>
      </c>
      <c r="Q5225" s="222">
        <v>1</v>
      </c>
      <c r="R5225" s="1195">
        <v>1500</v>
      </c>
      <c r="S5225" s="1195">
        <f>O5225*R5225</f>
        <v>1500</v>
      </c>
      <c r="T5225" s="222" t="s">
        <v>12330</v>
      </c>
      <c r="U5225" s="1527" t="s">
        <v>17759</v>
      </c>
      <c r="V5225" s="222" t="s">
        <v>5990</v>
      </c>
      <c r="W5225" s="1815" t="s">
        <v>17760</v>
      </c>
      <c r="X5225" s="818"/>
      <c r="Y5225" s="1161"/>
    </row>
    <row r="5226" spans="1:25" ht="25.5" hidden="1" customHeight="1">
      <c r="A5226" s="222">
        <v>5235</v>
      </c>
      <c r="B5226" s="1434">
        <v>44623</v>
      </c>
      <c r="C5226" s="129" t="s">
        <v>17761</v>
      </c>
      <c r="D5226" s="11" t="s">
        <v>6</v>
      </c>
      <c r="E5226" s="1430" t="s">
        <v>62</v>
      </c>
      <c r="F5226" s="1006" t="s">
        <v>16624</v>
      </c>
      <c r="G5226" s="1006" t="s">
        <v>17762</v>
      </c>
      <c r="H5226" s="1006" t="s">
        <v>17763</v>
      </c>
      <c r="I5226" s="1122" t="s">
        <v>39</v>
      </c>
      <c r="J5226" s="183" t="s">
        <v>17764</v>
      </c>
      <c r="K5226" s="183" t="s">
        <v>17765</v>
      </c>
      <c r="L5226" s="613" t="s">
        <v>149</v>
      </c>
      <c r="M5226" s="183">
        <v>1</v>
      </c>
      <c r="N5226" s="183">
        <v>1</v>
      </c>
      <c r="O5226" s="222">
        <v>1</v>
      </c>
      <c r="P5226" s="222">
        <v>0</v>
      </c>
      <c r="Q5226" s="222">
        <v>1</v>
      </c>
      <c r="R5226" s="1195">
        <v>2700</v>
      </c>
      <c r="S5226" s="1195">
        <f>O5226*R5226</f>
        <v>2700</v>
      </c>
      <c r="T5226" s="222" t="s">
        <v>12330</v>
      </c>
      <c r="U5226" s="1527" t="s">
        <v>17759</v>
      </c>
      <c r="V5226" s="222" t="s">
        <v>5990</v>
      </c>
      <c r="W5226" s="1815" t="s">
        <v>17766</v>
      </c>
      <c r="X5226" s="818"/>
      <c r="Y5226" s="1161"/>
    </row>
    <row r="5227" spans="1:25" ht="15.75" hidden="1" customHeight="1">
      <c r="A5227" s="222">
        <v>5236</v>
      </c>
      <c r="B5227" s="1434">
        <v>44623</v>
      </c>
      <c r="C5227" s="129" t="s">
        <v>17767</v>
      </c>
      <c r="D5227" s="11" t="s">
        <v>6</v>
      </c>
      <c r="E5227" s="1430" t="s">
        <v>62</v>
      </c>
      <c r="F5227" s="1006" t="s">
        <v>16624</v>
      </c>
      <c r="G5227" s="1006" t="s">
        <v>17768</v>
      </c>
      <c r="H5227" s="1006" t="s">
        <v>2379</v>
      </c>
      <c r="I5227" s="1122" t="s">
        <v>39</v>
      </c>
      <c r="J5227" s="183" t="s">
        <v>17769</v>
      </c>
      <c r="K5227" s="183" t="s">
        <v>11261</v>
      </c>
      <c r="L5227" s="613" t="s">
        <v>149</v>
      </c>
      <c r="M5227" s="183">
        <v>1</v>
      </c>
      <c r="N5227" s="183">
        <v>1</v>
      </c>
      <c r="O5227" s="222">
        <v>4</v>
      </c>
      <c r="P5227" s="222">
        <v>0</v>
      </c>
      <c r="Q5227" s="222">
        <v>4</v>
      </c>
      <c r="R5227" s="1195">
        <v>607</v>
      </c>
      <c r="S5227" s="1195">
        <f t="shared" ref="S5227:S5229" si="292">O5227*R5227</f>
        <v>2428</v>
      </c>
      <c r="T5227" s="222" t="s">
        <v>12330</v>
      </c>
      <c r="U5227" s="1527" t="s">
        <v>17759</v>
      </c>
      <c r="V5227" s="222" t="s">
        <v>5990</v>
      </c>
      <c r="W5227" s="1815" t="s">
        <v>17770</v>
      </c>
      <c r="X5227" s="818"/>
      <c r="Y5227" s="1161"/>
    </row>
    <row r="5228" spans="1:25" ht="15.75" hidden="1" customHeight="1">
      <c r="A5228" s="222">
        <v>5237</v>
      </c>
      <c r="B5228" s="1434">
        <v>44623</v>
      </c>
      <c r="C5228" s="129" t="s">
        <v>17771</v>
      </c>
      <c r="D5228" s="11" t="s">
        <v>6</v>
      </c>
      <c r="E5228" s="1430" t="s">
        <v>62</v>
      </c>
      <c r="F5228" s="1006" t="s">
        <v>16624</v>
      </c>
      <c r="G5228" s="1006" t="s">
        <v>17772</v>
      </c>
      <c r="H5228" s="1006" t="s">
        <v>2379</v>
      </c>
      <c r="I5228" s="1122" t="s">
        <v>39</v>
      </c>
      <c r="J5228" s="183" t="s">
        <v>17773</v>
      </c>
      <c r="K5228" s="183" t="s">
        <v>7758</v>
      </c>
      <c r="L5228" s="613" t="s">
        <v>149</v>
      </c>
      <c r="M5228" s="183">
        <v>1</v>
      </c>
      <c r="N5228" s="183">
        <v>1</v>
      </c>
      <c r="O5228" s="222">
        <v>4</v>
      </c>
      <c r="P5228" s="222">
        <v>0</v>
      </c>
      <c r="Q5228" s="222">
        <v>4</v>
      </c>
      <c r="R5228" s="1195">
        <v>320</v>
      </c>
      <c r="S5228" s="1195">
        <f t="shared" si="292"/>
        <v>1280</v>
      </c>
      <c r="T5228" s="222" t="s">
        <v>12330</v>
      </c>
      <c r="U5228" s="1527" t="s">
        <v>17759</v>
      </c>
      <c r="V5228" s="222" t="s">
        <v>5990</v>
      </c>
      <c r="W5228" s="1815" t="s">
        <v>17774</v>
      </c>
      <c r="X5228" s="818"/>
      <c r="Y5228" s="1161"/>
    </row>
    <row r="5229" spans="1:25" ht="15.75" hidden="1" customHeight="1">
      <c r="A5229" s="222">
        <v>5238</v>
      </c>
      <c r="B5229" s="1434">
        <v>44623</v>
      </c>
      <c r="C5229" s="129" t="s">
        <v>17775</v>
      </c>
      <c r="D5229" s="11" t="s">
        <v>6</v>
      </c>
      <c r="E5229" s="1430" t="s">
        <v>62</v>
      </c>
      <c r="F5229" s="1006" t="s">
        <v>16624</v>
      </c>
      <c r="G5229" s="1006" t="s">
        <v>17776</v>
      </c>
      <c r="H5229" s="1006" t="s">
        <v>154</v>
      </c>
      <c r="I5229" s="1122" t="s">
        <v>39</v>
      </c>
      <c r="J5229" s="183" t="s">
        <v>4289</v>
      </c>
      <c r="K5229" s="183" t="s">
        <v>4290</v>
      </c>
      <c r="L5229" s="613">
        <v>603</v>
      </c>
      <c r="M5229" s="183">
        <v>5</v>
      </c>
      <c r="N5229" s="183">
        <v>50</v>
      </c>
      <c r="O5229" s="222">
        <v>50</v>
      </c>
      <c r="P5229" s="222">
        <v>0</v>
      </c>
      <c r="Q5229" s="222">
        <v>45</v>
      </c>
      <c r="R5229" s="222">
        <v>4.22</v>
      </c>
      <c r="S5229" s="1195">
        <f t="shared" si="292"/>
        <v>211</v>
      </c>
      <c r="T5229" s="222" t="s">
        <v>12330</v>
      </c>
      <c r="U5229" s="1527" t="s">
        <v>17777</v>
      </c>
      <c r="V5229" s="222" t="s">
        <v>5990</v>
      </c>
      <c r="W5229" s="1815" t="s">
        <v>17778</v>
      </c>
      <c r="X5229" s="818"/>
      <c r="Y5229" s="1161"/>
    </row>
    <row r="5230" spans="1:25" ht="15.75" hidden="1" customHeight="1">
      <c r="A5230" s="222">
        <v>5239</v>
      </c>
      <c r="B5230" s="1434">
        <v>44623</v>
      </c>
      <c r="C5230" s="129" t="s">
        <v>10495</v>
      </c>
      <c r="D5230" s="11" t="s">
        <v>6</v>
      </c>
      <c r="E5230" s="1430" t="s">
        <v>62</v>
      </c>
      <c r="F5230" s="1006" t="s">
        <v>17779</v>
      </c>
      <c r="G5230" s="1006" t="s">
        <v>14219</v>
      </c>
      <c r="H5230" s="1006" t="s">
        <v>752</v>
      </c>
      <c r="I5230" s="1122" t="s">
        <v>4634</v>
      </c>
      <c r="J5230" s="222" t="s">
        <v>17780</v>
      </c>
      <c r="K5230" s="222" t="s">
        <v>14221</v>
      </c>
      <c r="L5230" s="222" t="s">
        <v>14222</v>
      </c>
      <c r="M5230" s="222">
        <v>2</v>
      </c>
      <c r="N5230" s="222">
        <v>1</v>
      </c>
      <c r="O5230" s="222">
        <v>3</v>
      </c>
      <c r="P5230" s="222">
        <v>1</v>
      </c>
      <c r="Q5230" s="222">
        <v>2</v>
      </c>
      <c r="R5230" s="222">
        <v>2319</v>
      </c>
      <c r="S5230" s="222">
        <v>6957</v>
      </c>
      <c r="T5230" s="222" t="s">
        <v>12330</v>
      </c>
      <c r="U5230" s="1527" t="s">
        <v>14027</v>
      </c>
      <c r="V5230" s="222" t="s">
        <v>5990</v>
      </c>
      <c r="W5230" s="886" t="s">
        <v>17781</v>
      </c>
      <c r="X5230" s="818"/>
      <c r="Y5230" s="1161"/>
    </row>
    <row r="5231" spans="1:25" ht="15.75" hidden="1" customHeight="1">
      <c r="A5231" s="222">
        <v>5240</v>
      </c>
      <c r="B5231" s="1434">
        <v>44623</v>
      </c>
      <c r="C5231" s="129" t="s">
        <v>14101</v>
      </c>
      <c r="D5231" s="11" t="s">
        <v>6</v>
      </c>
      <c r="E5231" s="1430" t="s">
        <v>62</v>
      </c>
      <c r="F5231" s="1006" t="s">
        <v>17779</v>
      </c>
      <c r="G5231" s="1006" t="s">
        <v>14102</v>
      </c>
      <c r="H5231" s="1006" t="s">
        <v>452</v>
      </c>
      <c r="I5231" s="1122" t="s">
        <v>4634</v>
      </c>
      <c r="J5231" s="222" t="s">
        <v>11139</v>
      </c>
      <c r="K5231" s="222" t="s">
        <v>6455</v>
      </c>
      <c r="L5231" s="222" t="s">
        <v>14103</v>
      </c>
      <c r="M5231" s="222">
        <v>10</v>
      </c>
      <c r="N5231" s="222">
        <v>10</v>
      </c>
      <c r="O5231" s="222">
        <v>30</v>
      </c>
      <c r="P5231" s="222">
        <v>3</v>
      </c>
      <c r="Q5231" s="222">
        <v>23</v>
      </c>
      <c r="R5231" s="222">
        <v>22</v>
      </c>
      <c r="S5231" s="222">
        <v>660</v>
      </c>
      <c r="T5231" s="222" t="s">
        <v>12330</v>
      </c>
      <c r="U5231" s="1527" t="s">
        <v>14027</v>
      </c>
      <c r="V5231" s="222" t="s">
        <v>5990</v>
      </c>
      <c r="W5231" s="1437" t="s">
        <v>11140</v>
      </c>
      <c r="X5231" s="818"/>
      <c r="Y5231" s="1161"/>
    </row>
    <row r="5232" spans="1:25" ht="15.75" hidden="1" customHeight="1">
      <c r="A5232" s="222">
        <v>5241</v>
      </c>
      <c r="B5232" s="1434">
        <v>44623</v>
      </c>
      <c r="C5232" s="129" t="s">
        <v>17782</v>
      </c>
      <c r="D5232" s="11" t="s">
        <v>6</v>
      </c>
      <c r="E5232" s="1430" t="s">
        <v>62</v>
      </c>
      <c r="F5232" s="1006" t="s">
        <v>17779</v>
      </c>
      <c r="G5232" s="1006" t="s">
        <v>17783</v>
      </c>
      <c r="H5232" s="1006" t="s">
        <v>17784</v>
      </c>
      <c r="I5232" s="1122" t="s">
        <v>4634</v>
      </c>
      <c r="J5232" s="222" t="s">
        <v>17785</v>
      </c>
      <c r="K5232" s="222" t="s">
        <v>4746</v>
      </c>
      <c r="L5232" s="222" t="s">
        <v>1</v>
      </c>
      <c r="M5232" s="222">
        <v>1</v>
      </c>
      <c r="N5232" s="222">
        <v>1</v>
      </c>
      <c r="O5232" s="222">
        <v>2</v>
      </c>
      <c r="P5232" s="222">
        <v>0</v>
      </c>
      <c r="Q5232" s="222">
        <v>1</v>
      </c>
      <c r="R5232" s="222">
        <v>369</v>
      </c>
      <c r="S5232" s="222">
        <v>738</v>
      </c>
      <c r="T5232" s="222" t="s">
        <v>12330</v>
      </c>
      <c r="U5232" s="1527" t="s">
        <v>14027</v>
      </c>
      <c r="V5232" s="222" t="s">
        <v>5990</v>
      </c>
      <c r="W5232" s="1437" t="s">
        <v>17786</v>
      </c>
      <c r="X5232" s="818"/>
      <c r="Y5232" s="1161"/>
    </row>
    <row r="5233" spans="1:25" ht="15.75" hidden="1" customHeight="1">
      <c r="A5233" s="222">
        <v>5242</v>
      </c>
      <c r="B5233" s="1434">
        <v>44623</v>
      </c>
      <c r="C5233" s="129" t="s">
        <v>17787</v>
      </c>
      <c r="D5233" s="11" t="s">
        <v>6</v>
      </c>
      <c r="E5233" s="1430" t="s">
        <v>62</v>
      </c>
      <c r="F5233" s="1006" t="s">
        <v>17779</v>
      </c>
      <c r="G5233" s="1006" t="s">
        <v>17788</v>
      </c>
      <c r="H5233" s="1006" t="s">
        <v>17789</v>
      </c>
      <c r="I5233" s="1122" t="s">
        <v>4634</v>
      </c>
      <c r="J5233" s="222" t="s">
        <v>17790</v>
      </c>
      <c r="K5233" s="222" t="s">
        <v>17791</v>
      </c>
      <c r="L5233" s="222" t="s">
        <v>1</v>
      </c>
      <c r="M5233" s="222">
        <v>1</v>
      </c>
      <c r="N5233" s="222">
        <v>1</v>
      </c>
      <c r="O5233" s="222">
        <v>1</v>
      </c>
      <c r="P5233" s="222">
        <v>0</v>
      </c>
      <c r="Q5233" s="222">
        <v>0</v>
      </c>
      <c r="R5233" s="222">
        <v>541</v>
      </c>
      <c r="S5233" s="222">
        <v>541</v>
      </c>
      <c r="T5233" s="222" t="s">
        <v>12330</v>
      </c>
      <c r="U5233" s="1527" t="s">
        <v>14027</v>
      </c>
      <c r="V5233" s="222" t="s">
        <v>5990</v>
      </c>
      <c r="W5233" s="1437" t="s">
        <v>17786</v>
      </c>
      <c r="X5233" s="818"/>
      <c r="Y5233" s="1161"/>
    </row>
    <row r="5234" spans="1:25" ht="15.75" hidden="1" customHeight="1">
      <c r="A5234" s="222">
        <v>5243</v>
      </c>
      <c r="B5234" s="1434">
        <v>44623</v>
      </c>
      <c r="C5234" s="129" t="s">
        <v>17792</v>
      </c>
      <c r="D5234" s="11" t="s">
        <v>6</v>
      </c>
      <c r="E5234" s="1430" t="s">
        <v>62</v>
      </c>
      <c r="F5234" s="1006" t="s">
        <v>16624</v>
      </c>
      <c r="G5234" s="1006" t="s">
        <v>17793</v>
      </c>
      <c r="H5234" s="1006" t="s">
        <v>17794</v>
      </c>
      <c r="I5234" s="1122" t="s">
        <v>39</v>
      </c>
      <c r="J5234" s="222"/>
      <c r="K5234" s="222" t="s">
        <v>17795</v>
      </c>
      <c r="L5234" s="222">
        <v>1206</v>
      </c>
      <c r="M5234" s="222">
        <v>5</v>
      </c>
      <c r="N5234" s="183">
        <v>50</v>
      </c>
      <c r="O5234" s="222">
        <v>50</v>
      </c>
      <c r="P5234" s="222">
        <v>0</v>
      </c>
      <c r="Q5234" s="222">
        <v>45</v>
      </c>
      <c r="R5234" s="1195">
        <v>9.3800000000000008</v>
      </c>
      <c r="S5234" s="1195">
        <f>O5234*R5234</f>
        <v>469.00000000000006</v>
      </c>
      <c r="T5234" s="222" t="s">
        <v>12330</v>
      </c>
      <c r="U5234" s="1527" t="s">
        <v>17796</v>
      </c>
      <c r="V5234" s="222" t="s">
        <v>5990</v>
      </c>
      <c r="W5234" s="1815" t="s">
        <v>17797</v>
      </c>
      <c r="X5234" s="818"/>
      <c r="Y5234" s="1161"/>
    </row>
    <row r="5235" spans="1:25" ht="15.75" hidden="1" customHeight="1">
      <c r="A5235" s="222">
        <v>5244</v>
      </c>
      <c r="B5235" s="1434">
        <v>44623</v>
      </c>
      <c r="C5235" s="129" t="s">
        <v>17798</v>
      </c>
      <c r="D5235" s="11" t="s">
        <v>6</v>
      </c>
      <c r="E5235" s="1430" t="s">
        <v>62</v>
      </c>
      <c r="F5235" s="1006" t="s">
        <v>16624</v>
      </c>
      <c r="G5235" s="1006" t="s">
        <v>17799</v>
      </c>
      <c r="H5235" s="1006" t="s">
        <v>17800</v>
      </c>
      <c r="I5235" s="1122" t="s">
        <v>15288</v>
      </c>
      <c r="J5235" s="183" t="s">
        <v>149</v>
      </c>
      <c r="K5235" s="183" t="s">
        <v>13682</v>
      </c>
      <c r="L5235" s="613" t="s">
        <v>149</v>
      </c>
      <c r="M5235" s="183">
        <v>1</v>
      </c>
      <c r="N5235" s="183">
        <v>1</v>
      </c>
      <c r="O5235" s="222">
        <v>1</v>
      </c>
      <c r="P5235" s="222">
        <v>0</v>
      </c>
      <c r="Q5235" s="222">
        <v>1</v>
      </c>
      <c r="R5235" s="1195">
        <v>1054</v>
      </c>
      <c r="S5235" s="1195">
        <f>O5235*R5235</f>
        <v>1054</v>
      </c>
      <c r="T5235" s="222" t="s">
        <v>12330</v>
      </c>
      <c r="U5235" s="1527" t="s">
        <v>2454</v>
      </c>
      <c r="V5235" s="222" t="s">
        <v>5990</v>
      </c>
      <c r="W5235" s="1815" t="s">
        <v>17801</v>
      </c>
      <c r="X5235" s="818"/>
      <c r="Y5235" s="1161"/>
    </row>
    <row r="5236" spans="1:25" ht="15.75" hidden="1" customHeight="1">
      <c r="A5236" s="222">
        <v>5245</v>
      </c>
      <c r="B5236" s="1434">
        <v>44623</v>
      </c>
      <c r="C5236" s="129" t="s">
        <v>17802</v>
      </c>
      <c r="D5236" s="11" t="s">
        <v>6</v>
      </c>
      <c r="E5236" s="1430" t="s">
        <v>62</v>
      </c>
      <c r="F5236" s="1006" t="s">
        <v>16624</v>
      </c>
      <c r="G5236" s="1006" t="s">
        <v>17803</v>
      </c>
      <c r="H5236" s="1006" t="s">
        <v>149</v>
      </c>
      <c r="I5236" s="1122" t="s">
        <v>1022</v>
      </c>
      <c r="J5236" s="183" t="s">
        <v>149</v>
      </c>
      <c r="K5236" s="183" t="s">
        <v>17804</v>
      </c>
      <c r="L5236" s="613" t="s">
        <v>149</v>
      </c>
      <c r="M5236" s="183">
        <v>1</v>
      </c>
      <c r="N5236" s="183">
        <v>1</v>
      </c>
      <c r="O5236" s="222">
        <v>2</v>
      </c>
      <c r="P5236" s="222">
        <v>0</v>
      </c>
      <c r="Q5236" s="222">
        <v>1</v>
      </c>
      <c r="R5236" s="1195">
        <v>999</v>
      </c>
      <c r="S5236" s="1195">
        <f>O5236*R5236</f>
        <v>1998</v>
      </c>
      <c r="T5236" s="222" t="s">
        <v>12330</v>
      </c>
      <c r="U5236" s="1527" t="s">
        <v>17805</v>
      </c>
      <c r="V5236" s="222" t="s">
        <v>5990</v>
      </c>
      <c r="W5236" s="1815" t="s">
        <v>17806</v>
      </c>
      <c r="X5236" s="818"/>
      <c r="Y5236" s="1161"/>
    </row>
    <row r="5237" spans="1:25" ht="23.25" hidden="1" customHeight="1">
      <c r="A5237" s="222">
        <v>5246</v>
      </c>
      <c r="B5237" s="1434">
        <v>44623</v>
      </c>
      <c r="C5237" s="129" t="s">
        <v>17807</v>
      </c>
      <c r="D5237" s="11" t="s">
        <v>6</v>
      </c>
      <c r="E5237" s="1430" t="s">
        <v>62</v>
      </c>
      <c r="F5237" s="1006" t="s">
        <v>16624</v>
      </c>
      <c r="G5237" s="1006" t="s">
        <v>17808</v>
      </c>
      <c r="H5237" s="1006" t="s">
        <v>17809</v>
      </c>
      <c r="I5237" s="1122" t="s">
        <v>1022</v>
      </c>
      <c r="J5237" s="183" t="s">
        <v>149</v>
      </c>
      <c r="K5237" s="183" t="s">
        <v>17810</v>
      </c>
      <c r="L5237" s="613" t="s">
        <v>149</v>
      </c>
      <c r="M5237" s="183">
        <v>1</v>
      </c>
      <c r="N5237" s="183">
        <v>1</v>
      </c>
      <c r="O5237" s="222">
        <v>1</v>
      </c>
      <c r="P5237" s="222">
        <v>0</v>
      </c>
      <c r="Q5237" s="222">
        <v>1</v>
      </c>
      <c r="R5237" s="1195">
        <v>9079</v>
      </c>
      <c r="S5237" s="1195">
        <f>O5237*R5237</f>
        <v>9079</v>
      </c>
      <c r="T5237" s="222" t="s">
        <v>12330</v>
      </c>
      <c r="U5237" s="1527" t="s">
        <v>17805</v>
      </c>
      <c r="V5237" s="222" t="s">
        <v>5990</v>
      </c>
      <c r="W5237" s="1815" t="s">
        <v>17811</v>
      </c>
      <c r="X5237" s="818"/>
      <c r="Y5237" s="1161"/>
    </row>
    <row r="5238" spans="1:25" ht="15.75" hidden="1" customHeight="1">
      <c r="A5238" s="222">
        <v>5247</v>
      </c>
      <c r="B5238" s="858">
        <v>44627</v>
      </c>
      <c r="C5238" s="129" t="s">
        <v>17812</v>
      </c>
      <c r="D5238" s="1445" t="s">
        <v>6</v>
      </c>
      <c r="E5238" s="818" t="s">
        <v>17689</v>
      </c>
      <c r="F5238" s="1432" t="s">
        <v>7782</v>
      </c>
      <c r="G5238" s="1433" t="s">
        <v>17813</v>
      </c>
      <c r="H5238" s="1428" t="s">
        <v>17814</v>
      </c>
      <c r="I5238" s="222" t="s">
        <v>4634</v>
      </c>
      <c r="J5238" s="183" t="s">
        <v>17815</v>
      </c>
      <c r="K5238" s="183" t="s">
        <v>17816</v>
      </c>
      <c r="L5238" s="613" t="s">
        <v>1</v>
      </c>
      <c r="M5238" s="183">
        <v>1</v>
      </c>
      <c r="N5238" s="183">
        <v>1</v>
      </c>
      <c r="O5238" s="222">
        <v>1</v>
      </c>
      <c r="P5238" s="222">
        <v>0</v>
      </c>
      <c r="Q5238" s="222">
        <v>0</v>
      </c>
      <c r="R5238" s="1195">
        <v>20320</v>
      </c>
      <c r="S5238" s="1195">
        <v>20320</v>
      </c>
      <c r="T5238" s="222" t="s">
        <v>5448</v>
      </c>
      <c r="U5238" s="1527" t="s">
        <v>17817</v>
      </c>
      <c r="V5238" s="222" t="s">
        <v>5990</v>
      </c>
      <c r="W5238" s="2155" t="s">
        <v>17818</v>
      </c>
      <c r="X5238" s="818"/>
      <c r="Y5238" s="1161"/>
    </row>
    <row r="5239" spans="1:25" ht="15.75" hidden="1" customHeight="1">
      <c r="A5239" s="222">
        <v>5248</v>
      </c>
      <c r="B5239" s="858">
        <v>44627</v>
      </c>
      <c r="C5239" s="129" t="s">
        <v>17819</v>
      </c>
      <c r="D5239" s="1445" t="s">
        <v>6</v>
      </c>
      <c r="E5239" s="818" t="s">
        <v>17689</v>
      </c>
      <c r="F5239" s="1006" t="s">
        <v>7782</v>
      </c>
      <c r="G5239" s="863" t="s">
        <v>17820</v>
      </c>
      <c r="H5239" s="1428" t="s">
        <v>17814</v>
      </c>
      <c r="I5239" s="222" t="s">
        <v>4634</v>
      </c>
      <c r="J5239" s="183" t="s">
        <v>17821</v>
      </c>
      <c r="K5239" s="183" t="s">
        <v>17822</v>
      </c>
      <c r="L5239" s="613" t="s">
        <v>1</v>
      </c>
      <c r="M5239" s="183">
        <v>1</v>
      </c>
      <c r="N5239" s="183">
        <v>1</v>
      </c>
      <c r="O5239" s="222">
        <v>1</v>
      </c>
      <c r="P5239" s="222">
        <v>0</v>
      </c>
      <c r="Q5239" s="222">
        <v>0</v>
      </c>
      <c r="R5239" s="1195">
        <v>4697</v>
      </c>
      <c r="S5239" s="1195">
        <v>4697</v>
      </c>
      <c r="T5239" s="222" t="s">
        <v>5448</v>
      </c>
      <c r="U5239" s="1527" t="s">
        <v>17817</v>
      </c>
      <c r="V5239" s="222" t="s">
        <v>5990</v>
      </c>
      <c r="W5239" s="2155" t="s">
        <v>17823</v>
      </c>
      <c r="X5239" s="818"/>
      <c r="Y5239" s="1161"/>
    </row>
    <row r="5240" spans="1:25" ht="15.75" hidden="1" customHeight="1">
      <c r="A5240" s="222">
        <v>5249</v>
      </c>
      <c r="B5240" s="858">
        <v>44627</v>
      </c>
      <c r="C5240" s="129" t="s">
        <v>17824</v>
      </c>
      <c r="D5240" s="1445" t="s">
        <v>6</v>
      </c>
      <c r="E5240" s="818" t="s">
        <v>17689</v>
      </c>
      <c r="F5240" s="1006" t="s">
        <v>7782</v>
      </c>
      <c r="G5240" s="863" t="s">
        <v>17825</v>
      </c>
      <c r="H5240" s="1428" t="s">
        <v>17814</v>
      </c>
      <c r="I5240" s="222" t="s">
        <v>4634</v>
      </c>
      <c r="J5240" s="183" t="s">
        <v>17826</v>
      </c>
      <c r="K5240" s="183" t="s">
        <v>17827</v>
      </c>
      <c r="L5240" s="613" t="s">
        <v>1</v>
      </c>
      <c r="M5240" s="183">
        <v>1</v>
      </c>
      <c r="N5240" s="183">
        <v>1</v>
      </c>
      <c r="O5240" s="222">
        <v>1</v>
      </c>
      <c r="P5240" s="222">
        <v>0</v>
      </c>
      <c r="Q5240" s="222">
        <v>0</v>
      </c>
      <c r="R5240" s="1195">
        <v>4422</v>
      </c>
      <c r="S5240" s="1195">
        <v>4422</v>
      </c>
      <c r="T5240" s="222" t="s">
        <v>5448</v>
      </c>
      <c r="U5240" s="1527" t="s">
        <v>17817</v>
      </c>
      <c r="V5240" s="222" t="s">
        <v>5990</v>
      </c>
      <c r="W5240" s="2155" t="s">
        <v>17828</v>
      </c>
      <c r="X5240" s="818"/>
      <c r="Y5240" s="1161"/>
    </row>
    <row r="5241" spans="1:25" ht="15.75" hidden="1" customHeight="1">
      <c r="A5241" s="222">
        <v>5250</v>
      </c>
      <c r="B5241" s="858">
        <v>44627</v>
      </c>
      <c r="C5241" s="129" t="s">
        <v>17829</v>
      </c>
      <c r="D5241" s="1445" t="s">
        <v>6</v>
      </c>
      <c r="E5241" s="818" t="s">
        <v>17689</v>
      </c>
      <c r="F5241" s="1006" t="s">
        <v>7782</v>
      </c>
      <c r="G5241" s="863" t="s">
        <v>17830</v>
      </c>
      <c r="H5241" s="222" t="s">
        <v>17831</v>
      </c>
      <c r="I5241" s="222" t="s">
        <v>1022</v>
      </c>
      <c r="J5241" s="183" t="s">
        <v>17832</v>
      </c>
      <c r="K5241" s="183" t="s">
        <v>17832</v>
      </c>
      <c r="L5241" s="613" t="s">
        <v>1</v>
      </c>
      <c r="M5241" s="183">
        <v>1</v>
      </c>
      <c r="N5241" s="183">
        <v>1</v>
      </c>
      <c r="O5241" s="222">
        <v>1</v>
      </c>
      <c r="P5241" s="222">
        <v>0</v>
      </c>
      <c r="Q5241" s="222">
        <v>0</v>
      </c>
      <c r="R5241" s="1195">
        <v>3570</v>
      </c>
      <c r="S5241" s="1195">
        <v>3570</v>
      </c>
      <c r="T5241" s="222" t="s">
        <v>5448</v>
      </c>
      <c r="U5241" s="1527" t="s">
        <v>17817</v>
      </c>
      <c r="V5241" s="222" t="s">
        <v>5990</v>
      </c>
      <c r="W5241" s="2155" t="s">
        <v>17833</v>
      </c>
      <c r="X5241" s="818" t="s">
        <v>17834</v>
      </c>
      <c r="Y5241" s="1161"/>
    </row>
    <row r="5242" spans="1:25" ht="15.75" hidden="1" customHeight="1">
      <c r="A5242" s="222">
        <v>5251</v>
      </c>
      <c r="B5242" s="858">
        <v>44627</v>
      </c>
      <c r="C5242" s="129" t="s">
        <v>17835</v>
      </c>
      <c r="D5242" s="11" t="s">
        <v>6</v>
      </c>
      <c r="E5242" s="818" t="s">
        <v>17689</v>
      </c>
      <c r="F5242" s="1006" t="s">
        <v>7046</v>
      </c>
      <c r="G5242" s="863" t="s">
        <v>17836</v>
      </c>
      <c r="H5242" s="222" t="s">
        <v>17837</v>
      </c>
      <c r="I5242" s="222" t="s">
        <v>84</v>
      </c>
      <c r="J5242" s="183">
        <v>9206154</v>
      </c>
      <c r="K5242" s="183" t="s">
        <v>12999</v>
      </c>
      <c r="L5242" s="613" t="s">
        <v>1</v>
      </c>
      <c r="M5242" s="183">
        <v>1</v>
      </c>
      <c r="N5242" s="183">
        <v>1</v>
      </c>
      <c r="O5242" s="222">
        <v>1</v>
      </c>
      <c r="P5242" s="222">
        <v>0</v>
      </c>
      <c r="Q5242" s="222">
        <v>0</v>
      </c>
      <c r="R5242" s="1195">
        <v>799</v>
      </c>
      <c r="S5242" s="1195">
        <f t="shared" ref="S5242:S5252" si="293">O5242*R5242</f>
        <v>799</v>
      </c>
      <c r="T5242" s="222" t="s">
        <v>12330</v>
      </c>
      <c r="U5242" s="1527" t="s">
        <v>17805</v>
      </c>
      <c r="V5242" s="222" t="s">
        <v>5990</v>
      </c>
      <c r="W5242" s="2155" t="s">
        <v>13000</v>
      </c>
      <c r="X5242" s="818"/>
      <c r="Y5242" s="1161"/>
    </row>
    <row r="5243" spans="1:25" ht="15.75" hidden="1" customHeight="1">
      <c r="A5243" s="222">
        <v>5252</v>
      </c>
      <c r="B5243" s="858">
        <v>44627</v>
      </c>
      <c r="C5243" s="129" t="s">
        <v>17838</v>
      </c>
      <c r="D5243" s="11" t="s">
        <v>6</v>
      </c>
      <c r="E5243" s="818" t="s">
        <v>17689</v>
      </c>
      <c r="F5243" s="1006" t="s">
        <v>7046</v>
      </c>
      <c r="G5243" s="863" t="s">
        <v>17839</v>
      </c>
      <c r="H5243" s="222" t="s">
        <v>12842</v>
      </c>
      <c r="I5243" s="222" t="s">
        <v>84</v>
      </c>
      <c r="J5243" s="183">
        <v>9207046</v>
      </c>
      <c r="K5243" s="183">
        <v>4140</v>
      </c>
      <c r="L5243" s="613" t="s">
        <v>1</v>
      </c>
      <c r="M5243" s="183">
        <v>3</v>
      </c>
      <c r="N5243" s="183">
        <v>3</v>
      </c>
      <c r="O5243" s="222">
        <v>3</v>
      </c>
      <c r="P5243" s="222">
        <v>0</v>
      </c>
      <c r="Q5243" s="222">
        <v>0</v>
      </c>
      <c r="R5243" s="1195">
        <v>499</v>
      </c>
      <c r="S5243" s="1195">
        <f t="shared" si="293"/>
        <v>1497</v>
      </c>
      <c r="T5243" s="222" t="s">
        <v>12330</v>
      </c>
      <c r="U5243" s="1527" t="s">
        <v>17805</v>
      </c>
      <c r="V5243" s="222" t="s">
        <v>5990</v>
      </c>
      <c r="W5243" s="2155" t="s">
        <v>17840</v>
      </c>
      <c r="X5243" s="818"/>
      <c r="Y5243" s="1161"/>
    </row>
    <row r="5244" spans="1:25" ht="15.75" hidden="1" customHeight="1">
      <c r="A5244" s="222">
        <v>5253</v>
      </c>
      <c r="B5244" s="858">
        <v>44627</v>
      </c>
      <c r="C5244" s="129" t="s">
        <v>17841</v>
      </c>
      <c r="D5244" s="11" t="s">
        <v>6</v>
      </c>
      <c r="E5244" s="818" t="s">
        <v>17689</v>
      </c>
      <c r="F5244" s="1006" t="s">
        <v>7046</v>
      </c>
      <c r="G5244" s="863" t="s">
        <v>17842</v>
      </c>
      <c r="H5244" s="222" t="s">
        <v>39</v>
      </c>
      <c r="I5244" s="222" t="s">
        <v>39</v>
      </c>
      <c r="J5244" s="183" t="s">
        <v>17843</v>
      </c>
      <c r="K5244" s="129" t="s">
        <v>17843</v>
      </c>
      <c r="L5244" s="613" t="s">
        <v>1</v>
      </c>
      <c r="M5244" s="183">
        <v>5</v>
      </c>
      <c r="N5244" s="183">
        <v>5</v>
      </c>
      <c r="O5244" s="222">
        <v>5</v>
      </c>
      <c r="P5244" s="222">
        <v>0</v>
      </c>
      <c r="Q5244" s="222">
        <v>0</v>
      </c>
      <c r="R5244" s="1195">
        <v>147</v>
      </c>
      <c r="S5244" s="1195">
        <f t="shared" si="293"/>
        <v>735</v>
      </c>
      <c r="T5244" s="222" t="s">
        <v>12330</v>
      </c>
      <c r="U5244" s="1527" t="s">
        <v>17805</v>
      </c>
      <c r="V5244" s="222" t="s">
        <v>5990</v>
      </c>
      <c r="W5244" s="2155" t="s">
        <v>17844</v>
      </c>
      <c r="X5244" s="818"/>
      <c r="Y5244" s="1161"/>
    </row>
    <row r="5245" spans="1:25" ht="15.75" hidden="1" customHeight="1">
      <c r="A5245" s="222">
        <v>5254</v>
      </c>
      <c r="B5245" s="858">
        <v>44627</v>
      </c>
      <c r="C5245" s="129" t="s">
        <v>17845</v>
      </c>
      <c r="D5245" s="11" t="s">
        <v>6</v>
      </c>
      <c r="E5245" s="818" t="s">
        <v>17689</v>
      </c>
      <c r="F5245" s="1006" t="s">
        <v>7046</v>
      </c>
      <c r="G5245" s="863" t="s">
        <v>17846</v>
      </c>
      <c r="H5245" s="222" t="s">
        <v>17847</v>
      </c>
      <c r="I5245" s="222" t="s">
        <v>39</v>
      </c>
      <c r="J5245" s="183" t="s">
        <v>17848</v>
      </c>
      <c r="K5245" s="129" t="s">
        <v>17849</v>
      </c>
      <c r="L5245" s="613" t="s">
        <v>1</v>
      </c>
      <c r="M5245" s="183">
        <v>5</v>
      </c>
      <c r="N5245" s="183">
        <v>5</v>
      </c>
      <c r="O5245" s="222">
        <v>5</v>
      </c>
      <c r="P5245" s="222">
        <v>0</v>
      </c>
      <c r="Q5245" s="222">
        <v>0</v>
      </c>
      <c r="R5245" s="1195">
        <v>829</v>
      </c>
      <c r="S5245" s="1195">
        <f t="shared" si="293"/>
        <v>4145</v>
      </c>
      <c r="T5245" s="222" t="s">
        <v>12330</v>
      </c>
      <c r="U5245" s="1527" t="s">
        <v>17805</v>
      </c>
      <c r="V5245" s="222" t="s">
        <v>5990</v>
      </c>
      <c r="W5245" s="2155" t="s">
        <v>17850</v>
      </c>
      <c r="X5245" s="818"/>
      <c r="Y5245" s="1161"/>
    </row>
    <row r="5246" spans="1:25" ht="15.75" hidden="1" customHeight="1">
      <c r="A5246" s="222">
        <v>5255</v>
      </c>
      <c r="B5246" s="858">
        <v>44627</v>
      </c>
      <c r="C5246" s="129" t="s">
        <v>17851</v>
      </c>
      <c r="D5246" s="11" t="s">
        <v>6</v>
      </c>
      <c r="E5246" s="818" t="s">
        <v>17689</v>
      </c>
      <c r="F5246" s="1006" t="s">
        <v>7046</v>
      </c>
      <c r="G5246" s="863" t="s">
        <v>17852</v>
      </c>
      <c r="H5246" s="222" t="s">
        <v>17853</v>
      </c>
      <c r="I5246" s="222" t="s">
        <v>1022</v>
      </c>
      <c r="J5246" s="183" t="s">
        <v>17854</v>
      </c>
      <c r="K5246" s="183" t="s">
        <v>17855</v>
      </c>
      <c r="L5246" s="613" t="s">
        <v>1</v>
      </c>
      <c r="M5246" s="183">
        <v>2</v>
      </c>
      <c r="N5246" s="183">
        <v>2</v>
      </c>
      <c r="O5246" s="222">
        <v>2</v>
      </c>
      <c r="P5246" s="222">
        <v>1</v>
      </c>
      <c r="Q5246" s="222">
        <v>1</v>
      </c>
      <c r="R5246" s="1195">
        <v>529</v>
      </c>
      <c r="S5246" s="1195">
        <f t="shared" si="293"/>
        <v>1058</v>
      </c>
      <c r="T5246" s="222" t="s">
        <v>12330</v>
      </c>
      <c r="U5246" s="1527" t="s">
        <v>17805</v>
      </c>
      <c r="V5246" s="222" t="s">
        <v>5990</v>
      </c>
      <c r="W5246" s="2155" t="s">
        <v>17856</v>
      </c>
      <c r="X5246" s="818"/>
      <c r="Y5246" s="1161"/>
    </row>
    <row r="5247" spans="1:25" ht="15.75" hidden="1" customHeight="1">
      <c r="A5247" s="222">
        <v>5256</v>
      </c>
      <c r="B5247" s="858">
        <v>44627</v>
      </c>
      <c r="C5247" s="129" t="s">
        <v>17857</v>
      </c>
      <c r="D5247" s="11" t="s">
        <v>6</v>
      </c>
      <c r="E5247" s="818" t="s">
        <v>17689</v>
      </c>
      <c r="F5247" s="1006" t="s">
        <v>7046</v>
      </c>
      <c r="G5247" s="863" t="s">
        <v>17858</v>
      </c>
      <c r="H5247" s="222" t="s">
        <v>17859</v>
      </c>
      <c r="I5247" s="222" t="s">
        <v>4634</v>
      </c>
      <c r="J5247" s="183" t="s">
        <v>17860</v>
      </c>
      <c r="K5247" s="183" t="s">
        <v>17861</v>
      </c>
      <c r="L5247" s="613" t="s">
        <v>1</v>
      </c>
      <c r="M5247" s="183">
        <v>2</v>
      </c>
      <c r="N5247" s="183">
        <v>2</v>
      </c>
      <c r="O5247" s="222">
        <v>2</v>
      </c>
      <c r="P5247" s="222">
        <v>0</v>
      </c>
      <c r="Q5247" s="222">
        <v>0</v>
      </c>
      <c r="R5247" s="1195">
        <v>3813</v>
      </c>
      <c r="S5247" s="1195">
        <f t="shared" si="293"/>
        <v>7626</v>
      </c>
      <c r="T5247" s="222" t="s">
        <v>12330</v>
      </c>
      <c r="U5247" s="1527" t="s">
        <v>17805</v>
      </c>
      <c r="V5247" s="222" t="s">
        <v>5990</v>
      </c>
      <c r="W5247" s="2155" t="s">
        <v>17862</v>
      </c>
      <c r="X5247" s="818"/>
      <c r="Y5247" s="1161"/>
    </row>
    <row r="5248" spans="1:25" ht="15.75" hidden="1" customHeight="1">
      <c r="A5248" s="222">
        <v>5257</v>
      </c>
      <c r="B5248" s="858">
        <v>44627</v>
      </c>
      <c r="C5248" s="129" t="s">
        <v>3750</v>
      </c>
      <c r="D5248" s="10"/>
      <c r="E5248" s="818" t="s">
        <v>17689</v>
      </c>
      <c r="F5248" s="1006" t="s">
        <v>7046</v>
      </c>
      <c r="G5248" s="129" t="s">
        <v>3750</v>
      </c>
      <c r="H5248" s="222" t="s">
        <v>6242</v>
      </c>
      <c r="I5248" s="222" t="s">
        <v>84</v>
      </c>
      <c r="J5248" s="183">
        <v>34665565</v>
      </c>
      <c r="K5248" s="183">
        <v>34665565</v>
      </c>
      <c r="L5248" s="613" t="s">
        <v>1</v>
      </c>
      <c r="M5248" s="183">
        <v>1</v>
      </c>
      <c r="N5248" s="183">
        <v>1</v>
      </c>
      <c r="O5248" s="222">
        <v>1</v>
      </c>
      <c r="P5248" s="222">
        <v>0</v>
      </c>
      <c r="Q5248" s="222">
        <v>0</v>
      </c>
      <c r="R5248" s="1195">
        <v>699</v>
      </c>
      <c r="S5248" s="1195">
        <f t="shared" si="293"/>
        <v>699</v>
      </c>
      <c r="T5248" s="222" t="s">
        <v>12330</v>
      </c>
      <c r="U5248" s="1527" t="s">
        <v>17805</v>
      </c>
      <c r="V5248" s="222" t="s">
        <v>5990</v>
      </c>
      <c r="W5248" s="2155" t="s">
        <v>17863</v>
      </c>
      <c r="X5248" s="818"/>
      <c r="Y5248" s="1161"/>
    </row>
    <row r="5249" spans="1:25" ht="15.75" hidden="1" customHeight="1">
      <c r="A5249" s="222">
        <v>5258</v>
      </c>
      <c r="B5249" s="858">
        <v>44627</v>
      </c>
      <c r="C5249" s="129" t="s">
        <v>17864</v>
      </c>
      <c r="D5249" s="11" t="s">
        <v>6</v>
      </c>
      <c r="E5249" s="818" t="s">
        <v>17689</v>
      </c>
      <c r="F5249" s="1006" t="s">
        <v>7046</v>
      </c>
      <c r="G5249" s="863" t="s">
        <v>17864</v>
      </c>
      <c r="H5249" s="222" t="s">
        <v>4651</v>
      </c>
      <c r="I5249" s="222" t="s">
        <v>84</v>
      </c>
      <c r="J5249" s="183">
        <v>31485292</v>
      </c>
      <c r="K5249" s="183" t="s">
        <v>17865</v>
      </c>
      <c r="L5249" s="613" t="s">
        <v>1</v>
      </c>
      <c r="M5249" s="183">
        <v>1</v>
      </c>
      <c r="N5249" s="183">
        <v>1</v>
      </c>
      <c r="O5249" s="222">
        <v>1</v>
      </c>
      <c r="P5249" s="222">
        <v>0</v>
      </c>
      <c r="Q5249" s="222">
        <v>0</v>
      </c>
      <c r="R5249" s="1195">
        <v>2590</v>
      </c>
      <c r="S5249" s="1195">
        <f t="shared" si="293"/>
        <v>2590</v>
      </c>
      <c r="T5249" s="222" t="s">
        <v>12330</v>
      </c>
      <c r="U5249" s="1527" t="s">
        <v>17805</v>
      </c>
      <c r="V5249" s="222" t="s">
        <v>5990</v>
      </c>
      <c r="W5249" s="2155" t="s">
        <v>17866</v>
      </c>
      <c r="X5249" s="818"/>
      <c r="Y5249" s="1161"/>
    </row>
    <row r="5250" spans="1:25" ht="15.75" hidden="1" customHeight="1">
      <c r="A5250" s="222">
        <v>5259</v>
      </c>
      <c r="B5250" s="858">
        <v>44627</v>
      </c>
      <c r="C5250" s="129" t="s">
        <v>17867</v>
      </c>
      <c r="D5250" s="11" t="s">
        <v>6</v>
      </c>
      <c r="E5250" s="818" t="s">
        <v>17689</v>
      </c>
      <c r="F5250" s="1006" t="s">
        <v>7046</v>
      </c>
      <c r="G5250" s="863" t="s">
        <v>17868</v>
      </c>
      <c r="H5250" s="222" t="s">
        <v>4651</v>
      </c>
      <c r="I5250" s="222" t="s">
        <v>84</v>
      </c>
      <c r="J5250" s="183">
        <v>31484845</v>
      </c>
      <c r="K5250" s="183" t="s">
        <v>17869</v>
      </c>
      <c r="L5250" s="613" t="s">
        <v>1</v>
      </c>
      <c r="M5250" s="183">
        <v>1</v>
      </c>
      <c r="N5250" s="183">
        <v>1</v>
      </c>
      <c r="O5250" s="222">
        <v>1</v>
      </c>
      <c r="P5250" s="222">
        <v>0</v>
      </c>
      <c r="Q5250" s="222">
        <v>0</v>
      </c>
      <c r="R5250" s="1195">
        <v>1590</v>
      </c>
      <c r="S5250" s="1195">
        <f t="shared" si="293"/>
        <v>1590</v>
      </c>
      <c r="T5250" s="222" t="s">
        <v>12330</v>
      </c>
      <c r="U5250" s="1527" t="s">
        <v>17805</v>
      </c>
      <c r="V5250" s="222" t="s">
        <v>5990</v>
      </c>
      <c r="W5250" s="2155" t="s">
        <v>17870</v>
      </c>
      <c r="X5250" s="818"/>
      <c r="Y5250" s="1161"/>
    </row>
    <row r="5251" spans="1:25" ht="15.75" hidden="1" customHeight="1">
      <c r="A5251" s="222">
        <v>5260</v>
      </c>
      <c r="B5251" s="858">
        <v>44627</v>
      </c>
      <c r="C5251" s="129" t="s">
        <v>17867</v>
      </c>
      <c r="D5251" s="11" t="s">
        <v>6</v>
      </c>
      <c r="E5251" s="818" t="s">
        <v>17689</v>
      </c>
      <c r="F5251" s="1006" t="s">
        <v>7046</v>
      </c>
      <c r="G5251" s="863" t="s">
        <v>17868</v>
      </c>
      <c r="H5251" s="222" t="s">
        <v>4651</v>
      </c>
      <c r="I5251" s="222" t="s">
        <v>84</v>
      </c>
      <c r="J5251" s="183">
        <v>31484897</v>
      </c>
      <c r="K5251" s="183" t="s">
        <v>17871</v>
      </c>
      <c r="L5251" s="613" t="s">
        <v>1</v>
      </c>
      <c r="M5251" s="183">
        <v>1</v>
      </c>
      <c r="N5251" s="183">
        <v>1</v>
      </c>
      <c r="O5251" s="222">
        <v>1</v>
      </c>
      <c r="P5251" s="222">
        <v>0</v>
      </c>
      <c r="Q5251" s="222">
        <v>0</v>
      </c>
      <c r="R5251" s="1195">
        <v>1490</v>
      </c>
      <c r="S5251" s="1195">
        <f t="shared" si="293"/>
        <v>1490</v>
      </c>
      <c r="T5251" s="222" t="s">
        <v>12330</v>
      </c>
      <c r="U5251" s="1527" t="s">
        <v>17805</v>
      </c>
      <c r="V5251" s="222" t="s">
        <v>5990</v>
      </c>
      <c r="W5251" s="2155" t="s">
        <v>17872</v>
      </c>
      <c r="X5251" s="818"/>
      <c r="Y5251" s="1161"/>
    </row>
    <row r="5252" spans="1:25" ht="15.75" hidden="1" customHeight="1">
      <c r="A5252" s="222">
        <v>5261</v>
      </c>
      <c r="B5252" s="858">
        <v>44627</v>
      </c>
      <c r="C5252" s="129" t="s">
        <v>17867</v>
      </c>
      <c r="D5252" s="11" t="s">
        <v>6</v>
      </c>
      <c r="E5252" s="818" t="s">
        <v>17689</v>
      </c>
      <c r="F5252" s="1006" t="s">
        <v>7046</v>
      </c>
      <c r="G5252" s="863" t="s">
        <v>17873</v>
      </c>
      <c r="H5252" s="222" t="s">
        <v>4651</v>
      </c>
      <c r="I5252" s="222" t="s">
        <v>84</v>
      </c>
      <c r="J5252" s="183">
        <v>31485046</v>
      </c>
      <c r="K5252" s="183" t="s">
        <v>17874</v>
      </c>
      <c r="L5252" s="613" t="s">
        <v>1</v>
      </c>
      <c r="M5252" s="183">
        <v>1</v>
      </c>
      <c r="N5252" s="183">
        <v>1</v>
      </c>
      <c r="O5252" s="222">
        <v>1</v>
      </c>
      <c r="P5252" s="222">
        <v>0</v>
      </c>
      <c r="Q5252" s="222">
        <v>0</v>
      </c>
      <c r="R5252" s="1195">
        <v>769</v>
      </c>
      <c r="S5252" s="1195">
        <f t="shared" si="293"/>
        <v>769</v>
      </c>
      <c r="T5252" s="222" t="s">
        <v>12330</v>
      </c>
      <c r="U5252" s="1527" t="s">
        <v>17805</v>
      </c>
      <c r="V5252" s="222" t="s">
        <v>5990</v>
      </c>
      <c r="W5252" s="2155" t="s">
        <v>17875</v>
      </c>
      <c r="X5252" s="818"/>
      <c r="Y5252" s="1161"/>
    </row>
    <row r="5253" spans="1:25" ht="15.75" hidden="1" customHeight="1">
      <c r="A5253" s="222">
        <v>5262</v>
      </c>
      <c r="B5253" s="858">
        <v>44628</v>
      </c>
      <c r="C5253" s="129" t="s">
        <v>17876</v>
      </c>
      <c r="D5253" s="11" t="s">
        <v>6</v>
      </c>
      <c r="E5253" s="818" t="s">
        <v>62</v>
      </c>
      <c r="F5253" s="1006" t="s">
        <v>17877</v>
      </c>
      <c r="G5253" s="863" t="s">
        <v>17878</v>
      </c>
      <c r="H5253" s="222" t="s">
        <v>1002</v>
      </c>
      <c r="I5253" s="222" t="s">
        <v>1002</v>
      </c>
      <c r="J5253" s="183">
        <v>22030800152</v>
      </c>
      <c r="K5253" s="183">
        <v>22030800152</v>
      </c>
      <c r="L5253" s="613" t="s">
        <v>1</v>
      </c>
      <c r="M5253" s="183">
        <v>4</v>
      </c>
      <c r="N5253" s="183">
        <v>1</v>
      </c>
      <c r="O5253" s="222">
        <v>4</v>
      </c>
      <c r="P5253" s="222">
        <v>0</v>
      </c>
      <c r="Q5253" s="222">
        <v>0</v>
      </c>
      <c r="R5253" s="1195">
        <v>23713</v>
      </c>
      <c r="S5253" s="1195">
        <v>23713</v>
      </c>
      <c r="T5253" s="222" t="s">
        <v>14752</v>
      </c>
      <c r="U5253" s="1527" t="s">
        <v>14752</v>
      </c>
      <c r="W5253" s="2155" t="s">
        <v>5265</v>
      </c>
      <c r="X5253" s="818"/>
      <c r="Y5253" s="1161"/>
    </row>
    <row r="5254" spans="1:25" ht="15.75" hidden="1" customHeight="1">
      <c r="A5254" s="222">
        <v>5263</v>
      </c>
      <c r="B5254" s="858">
        <v>44629</v>
      </c>
      <c r="C5254" s="129" t="s">
        <v>17879</v>
      </c>
      <c r="D5254" s="8" t="s">
        <v>6</v>
      </c>
      <c r="E5254" s="818" t="s">
        <v>62</v>
      </c>
      <c r="F5254" s="1006" t="s">
        <v>17880</v>
      </c>
      <c r="G5254" s="863" t="s">
        <v>17881</v>
      </c>
      <c r="H5254" s="222" t="s">
        <v>1002</v>
      </c>
      <c r="I5254" s="222" t="s">
        <v>1002</v>
      </c>
      <c r="J5254" s="458">
        <v>22030900204</v>
      </c>
      <c r="K5254" s="458">
        <v>22030900204</v>
      </c>
      <c r="L5254" s="613" t="s">
        <v>1</v>
      </c>
      <c r="M5254" s="183">
        <v>4</v>
      </c>
      <c r="N5254" s="183">
        <v>1</v>
      </c>
      <c r="O5254" s="222">
        <v>4</v>
      </c>
      <c r="P5254" s="222">
        <v>0</v>
      </c>
      <c r="Q5254" s="222">
        <v>0</v>
      </c>
      <c r="R5254" s="1195">
        <v>48101</v>
      </c>
      <c r="S5254" s="1195">
        <v>48101</v>
      </c>
      <c r="T5254" s="222" t="s">
        <v>14752</v>
      </c>
      <c r="U5254" s="1527" t="s">
        <v>14752</v>
      </c>
      <c r="W5254" s="2155" t="s">
        <v>5265</v>
      </c>
      <c r="X5254" s="818"/>
      <c r="Y5254" s="1161"/>
    </row>
    <row r="5255" spans="1:25" ht="15.75" hidden="1" customHeight="1">
      <c r="A5255" s="222">
        <v>5264</v>
      </c>
      <c r="B5255" s="858">
        <v>44630</v>
      </c>
      <c r="C5255" s="129" t="s">
        <v>17882</v>
      </c>
      <c r="D5255" s="8" t="s">
        <v>6</v>
      </c>
      <c r="E5255" s="818" t="s">
        <v>62</v>
      </c>
      <c r="F5255" s="1006" t="s">
        <v>17880</v>
      </c>
      <c r="G5255" s="863" t="s">
        <v>17883</v>
      </c>
      <c r="H5255" s="222" t="s">
        <v>17884</v>
      </c>
      <c r="I5255" s="222" t="s">
        <v>1022</v>
      </c>
      <c r="J5255" s="183"/>
      <c r="K5255" s="183"/>
      <c r="L5255" s="613" t="s">
        <v>1</v>
      </c>
      <c r="M5255" s="183">
        <v>1</v>
      </c>
      <c r="N5255" s="183">
        <v>1</v>
      </c>
      <c r="O5255" s="222">
        <v>1</v>
      </c>
      <c r="P5255" s="222">
        <v>0</v>
      </c>
      <c r="Q5255" s="222">
        <v>0</v>
      </c>
      <c r="R5255" s="1195">
        <v>1931</v>
      </c>
      <c r="S5255" s="1195">
        <v>1931</v>
      </c>
      <c r="T5255" s="222" t="s">
        <v>14752</v>
      </c>
      <c r="U5255" s="1527" t="s">
        <v>14752</v>
      </c>
      <c r="W5255" s="2155" t="s">
        <v>17885</v>
      </c>
      <c r="X5255" s="818"/>
      <c r="Y5255" s="1161"/>
    </row>
    <row r="5256" spans="1:25" ht="15.75" hidden="1" customHeight="1">
      <c r="A5256" s="222">
        <v>5265</v>
      </c>
      <c r="B5256" s="858">
        <v>44630</v>
      </c>
      <c r="C5256" s="129" t="s">
        <v>17886</v>
      </c>
      <c r="D5256" s="8" t="s">
        <v>6</v>
      </c>
      <c r="E5256" s="1191" t="s">
        <v>62</v>
      </c>
      <c r="F5256" s="1006" t="s">
        <v>17880</v>
      </c>
      <c r="G5256" s="863" t="s">
        <v>1</v>
      </c>
      <c r="H5256" s="222" t="s">
        <v>2868</v>
      </c>
      <c r="I5256" s="222" t="s">
        <v>2868</v>
      </c>
      <c r="J5256" s="183">
        <v>22031000171</v>
      </c>
      <c r="K5256" s="183">
        <v>22031000171</v>
      </c>
      <c r="L5256" s="613" t="s">
        <v>1</v>
      </c>
      <c r="M5256" s="183">
        <v>1</v>
      </c>
      <c r="N5256" s="183">
        <v>1</v>
      </c>
      <c r="O5256" s="222">
        <v>1</v>
      </c>
      <c r="P5256" s="222" t="s">
        <v>1</v>
      </c>
      <c r="Q5256" s="222" t="s">
        <v>1</v>
      </c>
      <c r="R5256" s="1195">
        <v>13750</v>
      </c>
      <c r="S5256" s="1195">
        <v>13750</v>
      </c>
      <c r="T5256" s="222" t="s">
        <v>14752</v>
      </c>
      <c r="U5256" s="1527" t="s">
        <v>14752</v>
      </c>
      <c r="W5256" s="2155" t="s">
        <v>5265</v>
      </c>
      <c r="X5256" s="818"/>
      <c r="Y5256" s="1161"/>
    </row>
    <row r="5257" spans="1:25" ht="15.75" hidden="1" customHeight="1">
      <c r="A5257" s="222">
        <v>5266</v>
      </c>
      <c r="B5257" s="858">
        <v>44634</v>
      </c>
      <c r="C5257" s="1173" t="s">
        <v>17887</v>
      </c>
      <c r="D5257" s="11" t="s">
        <v>6</v>
      </c>
      <c r="E5257" s="1443" t="s">
        <v>62</v>
      </c>
      <c r="F5257" s="1039" t="s">
        <v>10005</v>
      </c>
      <c r="G5257" s="871" t="s">
        <v>17888</v>
      </c>
      <c r="H5257" s="871" t="s">
        <v>12019</v>
      </c>
      <c r="I5257" s="871" t="s">
        <v>17889</v>
      </c>
      <c r="J5257" s="871" t="s">
        <v>17890</v>
      </c>
      <c r="K5257" s="871" t="s">
        <v>17891</v>
      </c>
      <c r="L5257" s="869" t="s">
        <v>149</v>
      </c>
      <c r="M5257" s="871">
        <v>3</v>
      </c>
      <c r="N5257" s="871">
        <v>1</v>
      </c>
      <c r="O5257" s="871">
        <v>3</v>
      </c>
      <c r="P5257" s="871">
        <v>0</v>
      </c>
      <c r="Q5257" s="871">
        <v>0</v>
      </c>
      <c r="R5257" s="870" t="s">
        <v>17892</v>
      </c>
      <c r="S5257" s="871" t="s">
        <v>17893</v>
      </c>
      <c r="T5257" s="871" t="s">
        <v>4220</v>
      </c>
      <c r="U5257" s="1953" t="s">
        <v>4220</v>
      </c>
      <c r="V5257" s="183" t="s">
        <v>689</v>
      </c>
      <c r="W5257" s="898" t="s">
        <v>17894</v>
      </c>
      <c r="X5257" s="818"/>
      <c r="Y5257" s="1161"/>
    </row>
    <row r="5258" spans="1:25" ht="15.75" hidden="1" customHeight="1">
      <c r="A5258" s="222">
        <v>5267</v>
      </c>
      <c r="B5258" s="858">
        <v>44634</v>
      </c>
      <c r="C5258" s="1441" t="s">
        <v>7018</v>
      </c>
      <c r="D5258" s="11" t="s">
        <v>6</v>
      </c>
      <c r="E5258" s="1443" t="s">
        <v>62</v>
      </c>
      <c r="F5258" s="1040" t="s">
        <v>10005</v>
      </c>
      <c r="G5258" s="703" t="s">
        <v>7019</v>
      </c>
      <c r="H5258" s="282" t="s">
        <v>7020</v>
      </c>
      <c r="I5258" s="282" t="s">
        <v>1022</v>
      </c>
      <c r="J5258" s="282" t="s">
        <v>7022</v>
      </c>
      <c r="K5258" s="282" t="s">
        <v>7021</v>
      </c>
      <c r="L5258" s="1442" t="s">
        <v>149</v>
      </c>
      <c r="M5258" s="900">
        <v>1</v>
      </c>
      <c r="N5258" s="900">
        <v>1</v>
      </c>
      <c r="O5258" s="900">
        <v>1</v>
      </c>
      <c r="P5258" s="900">
        <v>0</v>
      </c>
      <c r="Q5258" s="900">
        <v>0</v>
      </c>
      <c r="R5258" s="899" t="s">
        <v>17895</v>
      </c>
      <c r="S5258" s="900" t="s">
        <v>17895</v>
      </c>
      <c r="T5258" s="900" t="s">
        <v>4220</v>
      </c>
      <c r="U5258" s="1497" t="s">
        <v>4220</v>
      </c>
      <c r="V5258" s="183" t="s">
        <v>689</v>
      </c>
      <c r="W5258" s="898" t="s">
        <v>17896</v>
      </c>
      <c r="X5258" s="818"/>
      <c r="Y5258" s="1161"/>
    </row>
    <row r="5259" spans="1:25" ht="15.75" hidden="1" customHeight="1">
      <c r="A5259" s="222">
        <v>5268</v>
      </c>
      <c r="B5259" s="858">
        <v>44634</v>
      </c>
      <c r="C5259" s="1441" t="s">
        <v>17897</v>
      </c>
      <c r="D5259" s="11" t="s">
        <v>6</v>
      </c>
      <c r="E5259" s="1443" t="s">
        <v>62</v>
      </c>
      <c r="F5259" s="1040" t="s">
        <v>10005</v>
      </c>
      <c r="G5259" s="900" t="s">
        <v>17898</v>
      </c>
      <c r="H5259" s="900" t="s">
        <v>17899</v>
      </c>
      <c r="I5259" s="900" t="s">
        <v>84</v>
      </c>
      <c r="J5259" s="900">
        <v>34982577</v>
      </c>
      <c r="K5259" s="900" t="s">
        <v>17900</v>
      </c>
      <c r="L5259" s="900" t="s">
        <v>17901</v>
      </c>
      <c r="M5259" s="900">
        <v>1</v>
      </c>
      <c r="N5259" s="900">
        <v>1</v>
      </c>
      <c r="O5259" s="900">
        <v>1</v>
      </c>
      <c r="P5259" s="900">
        <v>0</v>
      </c>
      <c r="Q5259" s="900">
        <v>1</v>
      </c>
      <c r="R5259" s="899" t="s">
        <v>17902</v>
      </c>
      <c r="S5259" s="900" t="s">
        <v>17902</v>
      </c>
      <c r="T5259" s="900" t="s">
        <v>4220</v>
      </c>
      <c r="U5259" s="1497" t="s">
        <v>4220</v>
      </c>
      <c r="V5259" s="183" t="s">
        <v>689</v>
      </c>
      <c r="W5259" s="886" t="s">
        <v>17903</v>
      </c>
      <c r="X5259" s="818"/>
      <c r="Y5259" s="1161"/>
    </row>
    <row r="5260" spans="1:25" ht="15.75" hidden="1" customHeight="1">
      <c r="A5260" s="222">
        <v>5269</v>
      </c>
      <c r="B5260" s="858">
        <v>44634</v>
      </c>
      <c r="C5260" s="1441" t="s">
        <v>15801</v>
      </c>
      <c r="D5260" s="11" t="s">
        <v>6</v>
      </c>
      <c r="E5260" s="1443" t="s">
        <v>62</v>
      </c>
      <c r="F5260" s="1040" t="s">
        <v>10005</v>
      </c>
      <c r="G5260" s="900" t="s">
        <v>15802</v>
      </c>
      <c r="H5260" s="900" t="s">
        <v>366</v>
      </c>
      <c r="I5260" s="900" t="s">
        <v>366</v>
      </c>
      <c r="J5260" s="900" t="s">
        <v>15803</v>
      </c>
      <c r="K5260" s="900" t="s">
        <v>15803</v>
      </c>
      <c r="L5260" s="1442" t="s">
        <v>149</v>
      </c>
      <c r="M5260" s="900">
        <v>2</v>
      </c>
      <c r="N5260" s="900">
        <v>1</v>
      </c>
      <c r="O5260" s="900">
        <v>2</v>
      </c>
      <c r="P5260" s="900">
        <v>0</v>
      </c>
      <c r="Q5260" s="900">
        <v>0</v>
      </c>
      <c r="R5260" s="899" t="s">
        <v>17904</v>
      </c>
      <c r="S5260" s="900" t="s">
        <v>17905</v>
      </c>
      <c r="T5260" s="1442" t="s">
        <v>17906</v>
      </c>
      <c r="U5260" s="1970" t="s">
        <v>4220</v>
      </c>
      <c r="V5260" s="1841" t="s">
        <v>689</v>
      </c>
      <c r="W5260" s="898" t="s">
        <v>17907</v>
      </c>
      <c r="X5260" s="818"/>
      <c r="Y5260" s="1161"/>
    </row>
    <row r="5261" spans="1:25" ht="15.75" hidden="1" customHeight="1">
      <c r="A5261" s="222">
        <v>5270</v>
      </c>
      <c r="B5261" s="858">
        <v>44634</v>
      </c>
      <c r="C5261" s="1441" t="s">
        <v>17908</v>
      </c>
      <c r="D5261" s="11" t="s">
        <v>6</v>
      </c>
      <c r="E5261" s="1443" t="s">
        <v>62</v>
      </c>
      <c r="F5261" s="1040" t="s">
        <v>10005</v>
      </c>
      <c r="G5261" s="900" t="s">
        <v>17909</v>
      </c>
      <c r="H5261" s="900" t="s">
        <v>17910</v>
      </c>
      <c r="I5261" s="900" t="s">
        <v>17911</v>
      </c>
      <c r="J5261" s="899" t="s">
        <v>17912</v>
      </c>
      <c r="K5261" s="900" t="s">
        <v>17913</v>
      </c>
      <c r="L5261" s="900" t="s">
        <v>17914</v>
      </c>
      <c r="M5261" s="900">
        <v>1</v>
      </c>
      <c r="N5261" s="900">
        <v>1</v>
      </c>
      <c r="O5261" s="900">
        <v>1</v>
      </c>
      <c r="P5261" s="900">
        <v>1</v>
      </c>
      <c r="Q5261" s="900">
        <v>1</v>
      </c>
      <c r="R5261" s="899" t="s">
        <v>17915</v>
      </c>
      <c r="S5261" s="900" t="s">
        <v>17915</v>
      </c>
      <c r="T5261" s="1442" t="s">
        <v>17916</v>
      </c>
      <c r="U5261" s="1970" t="s">
        <v>4220</v>
      </c>
      <c r="V5261" s="1841" t="s">
        <v>689</v>
      </c>
      <c r="W5261" s="898" t="s">
        <v>17917</v>
      </c>
      <c r="X5261" s="818"/>
      <c r="Y5261" s="1161"/>
    </row>
    <row r="5262" spans="1:25" ht="15.75" hidden="1" customHeight="1">
      <c r="A5262" s="646">
        <v>5271</v>
      </c>
      <c r="B5262" s="1416">
        <v>44634</v>
      </c>
      <c r="C5262" s="1446" t="s">
        <v>17918</v>
      </c>
      <c r="D5262" s="231" t="s">
        <v>6</v>
      </c>
      <c r="E5262" s="1447" t="s">
        <v>62</v>
      </c>
      <c r="F5262" s="1448" t="s">
        <v>10005</v>
      </c>
      <c r="G5262" s="1449" t="s">
        <v>17919</v>
      </c>
      <c r="H5262" s="1449" t="s">
        <v>17910</v>
      </c>
      <c r="I5262" s="1449" t="s">
        <v>17911</v>
      </c>
      <c r="J5262" s="1450" t="s">
        <v>1</v>
      </c>
      <c r="K5262" s="1450" t="s">
        <v>1</v>
      </c>
      <c r="L5262" s="1175" t="s">
        <v>149</v>
      </c>
      <c r="M5262" s="1449">
        <v>2</v>
      </c>
      <c r="N5262" s="1449">
        <v>1</v>
      </c>
      <c r="O5262" s="1449">
        <v>6</v>
      </c>
      <c r="P5262" s="1449">
        <v>0</v>
      </c>
      <c r="Q5262" s="1449">
        <v>4</v>
      </c>
      <c r="R5262" s="1451" t="s">
        <v>17920</v>
      </c>
      <c r="S5262" s="1449" t="s">
        <v>17921</v>
      </c>
      <c r="T5262" s="1175" t="s">
        <v>17916</v>
      </c>
      <c r="U5262" s="1971" t="s">
        <v>4220</v>
      </c>
      <c r="V5262" s="1842" t="s">
        <v>689</v>
      </c>
      <c r="W5262" s="1452" t="s">
        <v>17922</v>
      </c>
      <c r="X5262" s="818"/>
      <c r="Y5262" s="1161"/>
    </row>
    <row r="5263" spans="1:25" ht="15.75" hidden="1" customHeight="1">
      <c r="A5263" s="222">
        <v>5272</v>
      </c>
      <c r="B5263" s="858">
        <v>44634</v>
      </c>
      <c r="C5263" s="129" t="s">
        <v>17923</v>
      </c>
      <c r="D5263" s="11" t="s">
        <v>6</v>
      </c>
      <c r="E5263" s="1444" t="s">
        <v>13338</v>
      </c>
      <c r="F5263" s="1006" t="s">
        <v>2143</v>
      </c>
      <c r="G5263" s="863" t="s">
        <v>17924</v>
      </c>
      <c r="H5263" s="222" t="s">
        <v>17925</v>
      </c>
      <c r="I5263" s="222" t="s">
        <v>17925</v>
      </c>
      <c r="J5263" s="183" t="s">
        <v>1</v>
      </c>
      <c r="K5263" s="183" t="s">
        <v>1</v>
      </c>
      <c r="L5263" s="613" t="s">
        <v>1</v>
      </c>
      <c r="M5263" s="183">
        <v>1</v>
      </c>
      <c r="N5263" s="183">
        <v>1</v>
      </c>
      <c r="O5263" s="222">
        <v>1</v>
      </c>
      <c r="P5263" s="222">
        <v>0</v>
      </c>
      <c r="Q5263" s="222">
        <v>0</v>
      </c>
      <c r="R5263" s="1195">
        <v>95000</v>
      </c>
      <c r="S5263" s="1195">
        <v>95000</v>
      </c>
      <c r="T5263" s="222" t="s">
        <v>17737</v>
      </c>
      <c r="U5263" s="1527" t="s">
        <v>118</v>
      </c>
      <c r="V5263" s="222" t="s">
        <v>17926</v>
      </c>
      <c r="W5263" s="2155"/>
      <c r="X5263" s="818"/>
      <c r="Y5263" s="1161"/>
    </row>
    <row r="5264" spans="1:25" ht="15.75" hidden="1" customHeight="1">
      <c r="A5264" s="222">
        <v>5273</v>
      </c>
      <c r="B5264" s="858">
        <v>44635</v>
      </c>
      <c r="C5264" s="129" t="s">
        <v>17927</v>
      </c>
      <c r="D5264" s="10"/>
      <c r="E5264" s="818" t="s">
        <v>62</v>
      </c>
      <c r="F5264" s="1006" t="s">
        <v>11323</v>
      </c>
      <c r="G5264" s="863" t="s">
        <v>17928</v>
      </c>
      <c r="H5264" s="222" t="s">
        <v>9029</v>
      </c>
      <c r="I5264" s="222" t="s">
        <v>9029</v>
      </c>
      <c r="J5264" s="183"/>
      <c r="K5264" s="183"/>
      <c r="L5264" s="613"/>
      <c r="M5264" s="183"/>
      <c r="N5264" s="183"/>
      <c r="O5264" s="222"/>
      <c r="P5264" s="222"/>
      <c r="Q5264" s="222"/>
      <c r="R5264" s="1195">
        <v>2900</v>
      </c>
      <c r="S5264" s="1195">
        <v>2900</v>
      </c>
      <c r="T5264" s="222" t="s">
        <v>7644</v>
      </c>
      <c r="U5264" s="1527" t="s">
        <v>3637</v>
      </c>
      <c r="W5264" s="2155"/>
      <c r="X5264" s="818"/>
      <c r="Y5264" s="1161"/>
    </row>
    <row r="5265" spans="1:25" ht="15.75" hidden="1" customHeight="1">
      <c r="A5265" s="222">
        <v>5274</v>
      </c>
      <c r="B5265" s="858">
        <v>44635</v>
      </c>
      <c r="C5265" s="1006" t="s">
        <v>17358</v>
      </c>
      <c r="D5265" s="11" t="s">
        <v>6</v>
      </c>
      <c r="E5265" s="818" t="s">
        <v>62</v>
      </c>
      <c r="F5265" s="1006" t="s">
        <v>1989</v>
      </c>
      <c r="G5265" s="1193" t="s">
        <v>17929</v>
      </c>
      <c r="H5265" s="818" t="s">
        <v>2868</v>
      </c>
      <c r="I5265" s="222" t="s">
        <v>2868</v>
      </c>
      <c r="J5265" s="183">
        <v>22031500132</v>
      </c>
      <c r="K5265" s="183">
        <v>22031500132</v>
      </c>
      <c r="L5265" s="613"/>
      <c r="M5265" s="222">
        <v>2</v>
      </c>
      <c r="N5265" s="222">
        <v>1</v>
      </c>
      <c r="O5265" s="222">
        <v>4</v>
      </c>
      <c r="P5265" s="222">
        <v>0</v>
      </c>
      <c r="Q5265" s="222">
        <v>2</v>
      </c>
      <c r="R5265" s="1195">
        <v>44187</v>
      </c>
      <c r="S5265" s="1195">
        <v>44187</v>
      </c>
      <c r="T5265" s="222" t="s">
        <v>14752</v>
      </c>
      <c r="U5265" s="1527" t="s">
        <v>448</v>
      </c>
      <c r="V5265" s="222" t="s">
        <v>5575</v>
      </c>
      <c r="W5265" s="2155" t="s">
        <v>5265</v>
      </c>
      <c r="X5265" s="818"/>
      <c r="Y5265" s="1161"/>
    </row>
    <row r="5266" spans="1:25" ht="15.75" hidden="1" customHeight="1">
      <c r="A5266" s="222">
        <v>5275</v>
      </c>
      <c r="B5266" s="858">
        <v>44638</v>
      </c>
      <c r="C5266" s="129" t="s">
        <v>17930</v>
      </c>
      <c r="D5266" s="11" t="s">
        <v>6</v>
      </c>
      <c r="E5266" s="818" t="s">
        <v>62</v>
      </c>
      <c r="F5266" s="1006" t="s">
        <v>17931</v>
      </c>
      <c r="G5266" s="863" t="s">
        <v>17932</v>
      </c>
      <c r="H5266" s="222" t="s">
        <v>7066</v>
      </c>
      <c r="I5266" s="222" t="s">
        <v>4634</v>
      </c>
      <c r="J5266" s="183" t="s">
        <v>17933</v>
      </c>
      <c r="K5266" s="183" t="s">
        <v>17934</v>
      </c>
      <c r="L5266" s="613"/>
      <c r="M5266" s="183">
        <v>2</v>
      </c>
      <c r="N5266" s="183">
        <v>2</v>
      </c>
      <c r="O5266" s="222">
        <v>2</v>
      </c>
      <c r="P5266" s="222">
        <v>0</v>
      </c>
      <c r="Q5266" s="222">
        <v>0</v>
      </c>
      <c r="R5266" s="1195">
        <v>5857.3</v>
      </c>
      <c r="S5266" s="1195">
        <f>O5266*R5266</f>
        <v>11714.6</v>
      </c>
      <c r="T5266" s="222" t="s">
        <v>12330</v>
      </c>
      <c r="U5266" s="1527" t="s">
        <v>1896</v>
      </c>
      <c r="V5266" s="222" t="s">
        <v>5575</v>
      </c>
      <c r="W5266" s="2155" t="s">
        <v>17935</v>
      </c>
      <c r="X5266" s="818"/>
      <c r="Y5266" s="1161"/>
    </row>
    <row r="5267" spans="1:25" ht="15.75" hidden="1" customHeight="1">
      <c r="A5267" s="222">
        <v>5276</v>
      </c>
      <c r="B5267" s="858">
        <v>44638</v>
      </c>
      <c r="C5267" s="129" t="s">
        <v>17936</v>
      </c>
      <c r="D5267" s="11" t="s">
        <v>6</v>
      </c>
      <c r="E5267" s="818" t="s">
        <v>62</v>
      </c>
      <c r="F5267" s="1006" t="s">
        <v>17931</v>
      </c>
      <c r="G5267" s="863" t="s">
        <v>17937</v>
      </c>
      <c r="H5267" s="222" t="s">
        <v>7066</v>
      </c>
      <c r="I5267" s="222" t="s">
        <v>4634</v>
      </c>
      <c r="J5267" s="183" t="s">
        <v>17938</v>
      </c>
      <c r="K5267" s="183" t="s">
        <v>17939</v>
      </c>
      <c r="L5267" s="613"/>
      <c r="M5267" s="183">
        <v>3</v>
      </c>
      <c r="N5267" s="183">
        <v>3</v>
      </c>
      <c r="O5267" s="222">
        <v>3</v>
      </c>
      <c r="P5267" s="222">
        <v>1</v>
      </c>
      <c r="Q5267" s="222">
        <v>1</v>
      </c>
      <c r="R5267" s="1195">
        <v>2353</v>
      </c>
      <c r="S5267" s="1195">
        <f>O5267*R5267</f>
        <v>7059</v>
      </c>
      <c r="T5267" s="222" t="s">
        <v>12330</v>
      </c>
      <c r="U5267" s="1527" t="s">
        <v>1896</v>
      </c>
      <c r="V5267" s="222" t="s">
        <v>5575</v>
      </c>
      <c r="W5267" s="2155" t="s">
        <v>17940</v>
      </c>
      <c r="X5267" s="818"/>
      <c r="Y5267" s="1161"/>
    </row>
    <row r="5268" spans="1:25" ht="15.75" hidden="1" customHeight="1">
      <c r="A5268" s="222">
        <v>5277</v>
      </c>
      <c r="B5268" s="858">
        <v>44638</v>
      </c>
      <c r="C5268" s="129" t="s">
        <v>17941</v>
      </c>
      <c r="D5268" s="11" t="s">
        <v>6</v>
      </c>
      <c r="E5268" s="818" t="s">
        <v>62</v>
      </c>
      <c r="F5268" s="1006" t="s">
        <v>17931</v>
      </c>
      <c r="G5268" s="863" t="s">
        <v>17941</v>
      </c>
      <c r="H5268" s="222" t="s">
        <v>17942</v>
      </c>
      <c r="I5268" s="222" t="s">
        <v>4634</v>
      </c>
      <c r="J5268" s="183" t="s">
        <v>17943</v>
      </c>
      <c r="K5268" s="183" t="s">
        <v>17944</v>
      </c>
      <c r="L5268" s="613"/>
      <c r="M5268" s="183">
        <v>3</v>
      </c>
      <c r="N5268" s="183">
        <v>3</v>
      </c>
      <c r="O5268" s="222">
        <v>3</v>
      </c>
      <c r="P5268" s="222">
        <v>1</v>
      </c>
      <c r="Q5268" s="222">
        <v>1</v>
      </c>
      <c r="R5268" s="1195">
        <v>706</v>
      </c>
      <c r="S5268" s="1195">
        <f>O5268*R5268</f>
        <v>2118</v>
      </c>
      <c r="T5268" s="222" t="s">
        <v>12330</v>
      </c>
      <c r="U5268" s="1527" t="s">
        <v>1896</v>
      </c>
      <c r="V5268" s="222" t="s">
        <v>5575</v>
      </c>
      <c r="W5268" s="2155" t="s">
        <v>17945</v>
      </c>
      <c r="X5268" s="818"/>
      <c r="Y5268" s="1161"/>
    </row>
    <row r="5269" spans="1:25" ht="15.75" hidden="1" customHeight="1">
      <c r="A5269" s="222">
        <v>5278</v>
      </c>
      <c r="B5269" s="858">
        <v>44643</v>
      </c>
      <c r="C5269" s="872" t="s">
        <v>17946</v>
      </c>
      <c r="D5269" s="11" t="s">
        <v>6</v>
      </c>
      <c r="E5269" s="818" t="s">
        <v>62</v>
      </c>
      <c r="F5269" s="1040" t="s">
        <v>10005</v>
      </c>
      <c r="G5269" s="872" t="s">
        <v>17947</v>
      </c>
      <c r="H5269" s="873" t="s">
        <v>13625</v>
      </c>
      <c r="I5269" s="873" t="s">
        <v>84</v>
      </c>
      <c r="J5269" s="874">
        <v>55142755</v>
      </c>
      <c r="K5269" s="874">
        <v>3310</v>
      </c>
      <c r="L5269" s="874" t="s">
        <v>17901</v>
      </c>
      <c r="M5269" s="874">
        <v>1</v>
      </c>
      <c r="N5269" s="874">
        <v>1</v>
      </c>
      <c r="O5269" s="874">
        <v>2</v>
      </c>
      <c r="P5269" s="874">
        <v>0</v>
      </c>
      <c r="Q5269" s="874">
        <v>1</v>
      </c>
      <c r="R5269" s="1039" t="s">
        <v>17948</v>
      </c>
      <c r="S5269" s="874" t="s">
        <v>17949</v>
      </c>
      <c r="T5269" s="874" t="s">
        <v>4220</v>
      </c>
      <c r="U5269" s="1969" t="s">
        <v>4220</v>
      </c>
      <c r="V5269" s="924" t="s">
        <v>689</v>
      </c>
      <c r="W5269" s="886" t="s">
        <v>17950</v>
      </c>
      <c r="X5269" s="818"/>
      <c r="Y5269" s="1161"/>
    </row>
    <row r="5270" spans="1:25" ht="15.75" hidden="1" customHeight="1">
      <c r="A5270" s="222">
        <v>5279</v>
      </c>
      <c r="B5270" s="858">
        <v>44643</v>
      </c>
      <c r="C5270" s="1139" t="s">
        <v>17951</v>
      </c>
      <c r="D5270" s="11" t="s">
        <v>6</v>
      </c>
      <c r="E5270" s="818" t="s">
        <v>62</v>
      </c>
      <c r="F5270" s="1040" t="s">
        <v>10005</v>
      </c>
      <c r="G5270" s="1139" t="s">
        <v>17952</v>
      </c>
      <c r="H5270" s="1041" t="s">
        <v>17953</v>
      </c>
      <c r="I5270" s="1128" t="s">
        <v>84</v>
      </c>
      <c r="J5270" s="1041">
        <v>30517594</v>
      </c>
      <c r="K5270" s="1041" t="s">
        <v>17954</v>
      </c>
      <c r="L5270" s="1041" t="s">
        <v>15651</v>
      </c>
      <c r="M5270" s="1041">
        <v>1</v>
      </c>
      <c r="N5270" s="1041">
        <v>1</v>
      </c>
      <c r="O5270" s="1041">
        <v>1</v>
      </c>
      <c r="P5270" s="1041">
        <v>0</v>
      </c>
      <c r="Q5270" s="1041">
        <v>1</v>
      </c>
      <c r="R5270" s="1040" t="s">
        <v>17955</v>
      </c>
      <c r="S5270" s="1041" t="s">
        <v>17955</v>
      </c>
      <c r="T5270" s="1041" t="s">
        <v>4220</v>
      </c>
      <c r="U5270" s="1972" t="s">
        <v>4220</v>
      </c>
      <c r="V5270" s="924" t="s">
        <v>689</v>
      </c>
      <c r="W5270" s="890" t="s">
        <v>17956</v>
      </c>
      <c r="X5270" s="818"/>
      <c r="Y5270" s="1161"/>
    </row>
    <row r="5271" spans="1:25" ht="15.75" hidden="1" customHeight="1">
      <c r="A5271" s="222">
        <v>5280</v>
      </c>
      <c r="B5271" s="858">
        <v>44643</v>
      </c>
      <c r="C5271" s="1139" t="s">
        <v>17957</v>
      </c>
      <c r="D5271" s="11" t="s">
        <v>6</v>
      </c>
      <c r="E5271" s="818" t="s">
        <v>62</v>
      </c>
      <c r="F5271" s="1040" t="s">
        <v>10005</v>
      </c>
      <c r="G5271" s="1139" t="s">
        <v>17958</v>
      </c>
      <c r="H5271" s="1041" t="s">
        <v>17959</v>
      </c>
      <c r="I5271" s="1128" t="s">
        <v>84</v>
      </c>
      <c r="J5271" s="1041">
        <v>64394716</v>
      </c>
      <c r="K5271" s="1041" t="s">
        <v>17960</v>
      </c>
      <c r="L5271" s="1041" t="s">
        <v>149</v>
      </c>
      <c r="M5271" s="1041">
        <v>1</v>
      </c>
      <c r="N5271" s="1041">
        <v>1</v>
      </c>
      <c r="O5271" s="1041">
        <v>1</v>
      </c>
      <c r="P5271" s="1041">
        <v>1</v>
      </c>
      <c r="Q5271" s="1041">
        <v>2</v>
      </c>
      <c r="R5271" s="1040" t="s">
        <v>17961</v>
      </c>
      <c r="S5271" s="1041" t="s">
        <v>17961</v>
      </c>
      <c r="T5271" s="1041" t="s">
        <v>4220</v>
      </c>
      <c r="U5271" s="1972" t="s">
        <v>4220</v>
      </c>
      <c r="V5271" s="924" t="s">
        <v>689</v>
      </c>
      <c r="W5271" s="890" t="s">
        <v>17962</v>
      </c>
      <c r="X5271" s="818"/>
      <c r="Y5271" s="1161"/>
    </row>
    <row r="5272" spans="1:25" ht="15.75" hidden="1" customHeight="1">
      <c r="A5272" s="222">
        <v>5281</v>
      </c>
      <c r="B5272" s="858">
        <v>44643</v>
      </c>
      <c r="C5272" s="1139" t="s">
        <v>17957</v>
      </c>
      <c r="D5272" s="11" t="s">
        <v>6</v>
      </c>
      <c r="E5272" s="818" t="s">
        <v>62</v>
      </c>
      <c r="F5272" s="1040" t="s">
        <v>10005</v>
      </c>
      <c r="G5272" s="1139" t="s">
        <v>17963</v>
      </c>
      <c r="H5272" s="1041" t="s">
        <v>9417</v>
      </c>
      <c r="I5272" s="1128" t="s">
        <v>84</v>
      </c>
      <c r="J5272" s="1041">
        <v>37151746</v>
      </c>
      <c r="K5272" s="1041" t="s">
        <v>17964</v>
      </c>
      <c r="L5272" s="1041" t="s">
        <v>149</v>
      </c>
      <c r="M5272" s="1041">
        <v>1</v>
      </c>
      <c r="N5272" s="1041">
        <v>1</v>
      </c>
      <c r="O5272" s="1041">
        <v>1</v>
      </c>
      <c r="P5272" s="1041">
        <v>0</v>
      </c>
      <c r="Q5272" s="1041">
        <v>0</v>
      </c>
      <c r="R5272" s="1040" t="s">
        <v>17965</v>
      </c>
      <c r="S5272" s="1041" t="s">
        <v>17965</v>
      </c>
      <c r="T5272" s="1041" t="s">
        <v>4220</v>
      </c>
      <c r="U5272" s="1972" t="s">
        <v>4220</v>
      </c>
      <c r="V5272" s="924" t="s">
        <v>689</v>
      </c>
      <c r="W5272" s="890" t="s">
        <v>17966</v>
      </c>
      <c r="X5272" s="818"/>
      <c r="Y5272" s="1161"/>
    </row>
    <row r="5273" spans="1:25" ht="15.75" hidden="1" customHeight="1">
      <c r="A5273" s="222">
        <v>5282</v>
      </c>
      <c r="B5273" s="858">
        <v>44648</v>
      </c>
      <c r="C5273" s="129" t="s">
        <v>17967</v>
      </c>
      <c r="D5273" s="11" t="s">
        <v>6</v>
      </c>
      <c r="E5273" s="818" t="s">
        <v>17683</v>
      </c>
      <c r="F5273" s="1006"/>
      <c r="G5273" s="863" t="s">
        <v>6112</v>
      </c>
      <c r="H5273" s="222" t="s">
        <v>17968</v>
      </c>
      <c r="I5273" s="222" t="s">
        <v>17968</v>
      </c>
      <c r="J5273" s="183" t="s">
        <v>17969</v>
      </c>
      <c r="K5273" t="s">
        <v>17970</v>
      </c>
      <c r="L5273" s="613" t="s">
        <v>1606</v>
      </c>
      <c r="M5273" s="129">
        <v>1</v>
      </c>
      <c r="N5273" s="183">
        <v>1</v>
      </c>
      <c r="O5273" s="222">
        <v>3</v>
      </c>
      <c r="P5273" s="222">
        <v>0</v>
      </c>
      <c r="Q5273" s="222">
        <v>0</v>
      </c>
      <c r="R5273" s="1195">
        <v>135666.6666</v>
      </c>
      <c r="S5273" s="1195">
        <f>O5273*R5273</f>
        <v>406999.99979999999</v>
      </c>
      <c r="T5273" s="1041" t="s">
        <v>4220</v>
      </c>
      <c r="U5273" s="1972" t="s">
        <v>4220</v>
      </c>
      <c r="V5273" s="924" t="s">
        <v>4482</v>
      </c>
      <c r="W5273" s="1543" t="s">
        <v>17971</v>
      </c>
      <c r="X5273" s="818"/>
      <c r="Y5273" s="1161"/>
    </row>
    <row r="5274" spans="1:25" ht="15.75" hidden="1" customHeight="1">
      <c r="A5274" s="222">
        <v>5283</v>
      </c>
      <c r="B5274" s="858">
        <v>44650</v>
      </c>
      <c r="C5274" s="129" t="s">
        <v>17972</v>
      </c>
      <c r="D5274" s="8" t="s">
        <v>6</v>
      </c>
      <c r="E5274" s="818" t="s">
        <v>62</v>
      </c>
      <c r="F5274" s="1006" t="s">
        <v>16537</v>
      </c>
      <c r="G5274" s="863" t="s">
        <v>17973</v>
      </c>
      <c r="H5274" s="222" t="s">
        <v>17974</v>
      </c>
      <c r="I5274" s="222" t="s">
        <v>17974</v>
      </c>
      <c r="J5274" s="183" t="s">
        <v>17973</v>
      </c>
      <c r="K5274" s="183" t="s">
        <v>17973</v>
      </c>
      <c r="L5274" s="613"/>
      <c r="M5274" s="183"/>
      <c r="N5274" s="183"/>
      <c r="O5274" s="222"/>
      <c r="P5274" s="222"/>
      <c r="Q5274" s="222"/>
      <c r="R5274" s="1195"/>
      <c r="S5274" s="1195"/>
      <c r="T5274" s="222" t="s">
        <v>311</v>
      </c>
      <c r="U5274" s="1527" t="s">
        <v>311</v>
      </c>
      <c r="V5274" s="222" t="s">
        <v>16540</v>
      </c>
      <c r="W5274" s="2155" t="s">
        <v>17975</v>
      </c>
      <c r="X5274" s="818"/>
      <c r="Y5274" s="1161"/>
    </row>
    <row r="5275" spans="1:25" ht="15.75" hidden="1" customHeight="1">
      <c r="A5275" s="222">
        <v>5284</v>
      </c>
      <c r="B5275" s="858">
        <v>44650</v>
      </c>
      <c r="C5275" s="129" t="s">
        <v>17976</v>
      </c>
      <c r="D5275" s="8" t="s">
        <v>6</v>
      </c>
      <c r="E5275" s="818" t="s">
        <v>62</v>
      </c>
      <c r="F5275" s="1006" t="s">
        <v>16537</v>
      </c>
      <c r="G5275" s="129" t="s">
        <v>17976</v>
      </c>
      <c r="H5275" s="222" t="s">
        <v>17977</v>
      </c>
      <c r="I5275" s="222" t="s">
        <v>1022</v>
      </c>
      <c r="J5275" s="183">
        <v>14882</v>
      </c>
      <c r="K5275" s="183">
        <v>14882</v>
      </c>
      <c r="L5275" s="1041" t="s">
        <v>149</v>
      </c>
      <c r="M5275" s="183">
        <v>2</v>
      </c>
      <c r="N5275" s="183">
        <v>2</v>
      </c>
      <c r="O5275" s="222">
        <v>2</v>
      </c>
      <c r="P5275" s="222">
        <v>0</v>
      </c>
      <c r="Q5275" s="222">
        <v>0</v>
      </c>
      <c r="R5275" s="1195">
        <v>1760</v>
      </c>
      <c r="S5275" s="1195">
        <f>O5275*R5275</f>
        <v>3520</v>
      </c>
      <c r="T5275" s="222" t="s">
        <v>311</v>
      </c>
      <c r="U5275" s="1527" t="s">
        <v>311</v>
      </c>
      <c r="V5275" s="222" t="s">
        <v>16540</v>
      </c>
      <c r="W5275" s="2155" t="s">
        <v>17978</v>
      </c>
      <c r="X5275" s="818"/>
      <c r="Y5275" s="1161"/>
    </row>
    <row r="5276" spans="1:25" ht="15.75" hidden="1" customHeight="1">
      <c r="A5276" s="222">
        <v>5285</v>
      </c>
      <c r="B5276" s="858">
        <v>44650</v>
      </c>
      <c r="C5276" s="129" t="s">
        <v>17979</v>
      </c>
      <c r="D5276" s="8" t="s">
        <v>6</v>
      </c>
      <c r="E5276" s="818" t="s">
        <v>62</v>
      </c>
      <c r="F5276" s="1006" t="s">
        <v>16537</v>
      </c>
      <c r="G5276" s="863" t="s">
        <v>17979</v>
      </c>
      <c r="H5276" s="222" t="s">
        <v>17980</v>
      </c>
      <c r="I5276" s="222" t="s">
        <v>17981</v>
      </c>
      <c r="J5276" s="183" t="s">
        <v>17982</v>
      </c>
      <c r="K5276" s="183" t="s">
        <v>17983</v>
      </c>
      <c r="L5276" s="1041" t="s">
        <v>149</v>
      </c>
      <c r="M5276" s="183">
        <v>2</v>
      </c>
      <c r="N5276" s="183">
        <v>2</v>
      </c>
      <c r="O5276" s="222">
        <v>2</v>
      </c>
      <c r="P5276" s="222">
        <v>0</v>
      </c>
      <c r="Q5276" s="222">
        <v>0</v>
      </c>
      <c r="R5276" s="1195">
        <v>1900</v>
      </c>
      <c r="S5276" s="1195">
        <f>R5276*O5276</f>
        <v>3800</v>
      </c>
      <c r="T5276" s="222" t="s">
        <v>311</v>
      </c>
      <c r="U5276" s="1527" t="s">
        <v>311</v>
      </c>
      <c r="V5276" s="222" t="s">
        <v>16540</v>
      </c>
      <c r="W5276" s="1815" t="s">
        <v>17984</v>
      </c>
      <c r="X5276" s="818"/>
      <c r="Y5276" s="1161"/>
    </row>
    <row r="5277" spans="1:25" ht="15.75" hidden="1" customHeight="1">
      <c r="A5277" s="222">
        <v>5286</v>
      </c>
      <c r="B5277" s="858">
        <v>44650</v>
      </c>
      <c r="C5277" s="863" t="s">
        <v>17985</v>
      </c>
      <c r="D5277" s="8" t="s">
        <v>6</v>
      </c>
      <c r="E5277" s="818" t="s">
        <v>62</v>
      </c>
      <c r="F5277" s="1006" t="s">
        <v>16537</v>
      </c>
      <c r="G5277" s="863" t="s">
        <v>17985</v>
      </c>
      <c r="H5277" s="222" t="s">
        <v>17986</v>
      </c>
      <c r="I5277" s="222" t="s">
        <v>17981</v>
      </c>
      <c r="J5277" s="183" t="s">
        <v>10157</v>
      </c>
      <c r="K5277" s="183" t="s">
        <v>2030</v>
      </c>
      <c r="L5277" s="1041" t="s">
        <v>149</v>
      </c>
      <c r="M5277" s="183">
        <v>2</v>
      </c>
      <c r="N5277" s="183">
        <v>2</v>
      </c>
      <c r="O5277" s="222">
        <v>2</v>
      </c>
      <c r="P5277" s="222">
        <v>0</v>
      </c>
      <c r="Q5277" s="222">
        <v>0</v>
      </c>
      <c r="R5277" s="1195">
        <v>3000</v>
      </c>
      <c r="S5277" s="1195">
        <f>R5277*O5277</f>
        <v>6000</v>
      </c>
      <c r="T5277" s="222" t="s">
        <v>311</v>
      </c>
      <c r="U5277" s="1527" t="s">
        <v>311</v>
      </c>
      <c r="V5277" s="222" t="s">
        <v>16540</v>
      </c>
      <c r="W5277" s="2155" t="s">
        <v>10158</v>
      </c>
      <c r="X5277" s="818"/>
      <c r="Y5277" s="1161"/>
    </row>
    <row r="5278" spans="1:25" ht="15.75" hidden="1" customHeight="1">
      <c r="A5278" s="222">
        <v>5287</v>
      </c>
      <c r="B5278" s="858">
        <v>44650</v>
      </c>
      <c r="C5278" s="129" t="s">
        <v>7516</v>
      </c>
      <c r="D5278" s="11" t="s">
        <v>6</v>
      </c>
      <c r="E5278" s="818" t="s">
        <v>17683</v>
      </c>
      <c r="F5278" s="1006" t="s">
        <v>2143</v>
      </c>
      <c r="G5278" s="863" t="s">
        <v>17987</v>
      </c>
      <c r="H5278" s="222" t="s">
        <v>9894</v>
      </c>
      <c r="I5278" s="222" t="s">
        <v>84</v>
      </c>
      <c r="J5278" s="183">
        <v>60895014</v>
      </c>
      <c r="K5278" s="183" t="s">
        <v>17988</v>
      </c>
      <c r="L5278" s="613"/>
      <c r="M5278" s="183">
        <v>1</v>
      </c>
      <c r="N5278" s="183">
        <v>1</v>
      </c>
      <c r="O5278" s="222">
        <v>1</v>
      </c>
      <c r="P5278" s="222">
        <v>0</v>
      </c>
      <c r="Q5278" s="222">
        <v>0</v>
      </c>
      <c r="R5278" s="1195">
        <v>1790</v>
      </c>
      <c r="S5278" s="1195">
        <v>1790</v>
      </c>
      <c r="T5278" s="222" t="s">
        <v>5448</v>
      </c>
      <c r="U5278" s="1527" t="s">
        <v>118</v>
      </c>
      <c r="V5278" s="222" t="s">
        <v>118</v>
      </c>
      <c r="W5278" s="2155" t="s">
        <v>17989</v>
      </c>
      <c r="X5278" s="818"/>
      <c r="Y5278" s="1161"/>
    </row>
    <row r="5279" spans="1:25" ht="15.75" hidden="1" customHeight="1">
      <c r="A5279" s="222">
        <v>5288</v>
      </c>
      <c r="B5279" s="858">
        <v>44650</v>
      </c>
      <c r="C5279" s="129" t="s">
        <v>17990</v>
      </c>
      <c r="D5279" s="11" t="s">
        <v>6</v>
      </c>
      <c r="E5279" s="818" t="s">
        <v>17683</v>
      </c>
      <c r="F5279" s="1006" t="s">
        <v>2143</v>
      </c>
      <c r="G5279" s="863" t="s">
        <v>17991</v>
      </c>
      <c r="H5279" s="222" t="s">
        <v>12609</v>
      </c>
      <c r="I5279" s="222" t="s">
        <v>84</v>
      </c>
      <c r="J5279" s="183">
        <v>9502552</v>
      </c>
      <c r="K5279" s="183" t="s">
        <v>17992</v>
      </c>
      <c r="L5279" s="613"/>
      <c r="M5279" s="183">
        <v>1</v>
      </c>
      <c r="N5279" s="183">
        <v>1</v>
      </c>
      <c r="O5279" s="222">
        <v>1</v>
      </c>
      <c r="P5279" s="222">
        <v>0</v>
      </c>
      <c r="Q5279" s="222">
        <v>0</v>
      </c>
      <c r="R5279" s="1195">
        <v>1490</v>
      </c>
      <c r="S5279" s="1195">
        <v>1490</v>
      </c>
      <c r="T5279" s="222" t="s">
        <v>5448</v>
      </c>
      <c r="U5279" s="1527" t="s">
        <v>118</v>
      </c>
      <c r="V5279" s="222" t="s">
        <v>118</v>
      </c>
      <c r="W5279" s="2155" t="s">
        <v>17993</v>
      </c>
      <c r="X5279" s="818"/>
      <c r="Y5279" s="1161"/>
    </row>
    <row r="5280" spans="1:25" ht="15.75" hidden="1" customHeight="1">
      <c r="A5280" s="222">
        <v>5289</v>
      </c>
      <c r="B5280" s="858">
        <v>44650</v>
      </c>
      <c r="C5280" s="129" t="s">
        <v>17994</v>
      </c>
      <c r="D5280" s="8" t="s">
        <v>6</v>
      </c>
      <c r="E5280" s="818" t="s">
        <v>62</v>
      </c>
      <c r="F5280" s="1006" t="s">
        <v>16537</v>
      </c>
      <c r="G5280" s="863" t="s">
        <v>17994</v>
      </c>
      <c r="H5280" s="222" t="s">
        <v>17980</v>
      </c>
      <c r="I5280" s="222" t="s">
        <v>17981</v>
      </c>
      <c r="J5280" s="183" t="s">
        <v>17995</v>
      </c>
      <c r="K5280" s="183" t="s">
        <v>17996</v>
      </c>
      <c r="L5280" s="1041" t="s">
        <v>149</v>
      </c>
      <c r="M5280" s="183">
        <v>2</v>
      </c>
      <c r="N5280" s="183">
        <v>2</v>
      </c>
      <c r="O5280" s="222">
        <v>2</v>
      </c>
      <c r="P5280" s="222"/>
      <c r="Q5280" s="222"/>
      <c r="R5280" s="1195">
        <v>6350</v>
      </c>
      <c r="S5280" s="1195">
        <f>O5280*R5280</f>
        <v>12700</v>
      </c>
      <c r="T5280" s="222" t="s">
        <v>311</v>
      </c>
      <c r="U5280" s="1527" t="s">
        <v>311</v>
      </c>
      <c r="V5280" s="222" t="s">
        <v>311</v>
      </c>
      <c r="W5280" s="2155" t="s">
        <v>17997</v>
      </c>
      <c r="X5280" s="818"/>
      <c r="Y5280" s="1161"/>
    </row>
    <row r="5281" spans="1:25" ht="15.75" hidden="1" customHeight="1">
      <c r="A5281" s="222">
        <v>5290</v>
      </c>
      <c r="B5281" s="858">
        <v>44651</v>
      </c>
      <c r="C5281" s="129" t="s">
        <v>17998</v>
      </c>
      <c r="D5281" s="1445"/>
      <c r="E5281" s="818" t="s">
        <v>17683</v>
      </c>
      <c r="F5281" s="1006" t="s">
        <v>17999</v>
      </c>
      <c r="G5281" s="863"/>
      <c r="H5281" s="222" t="s">
        <v>18000</v>
      </c>
      <c r="I5281" s="222" t="s">
        <v>18000</v>
      </c>
      <c r="J5281" s="183">
        <v>22033100125</v>
      </c>
      <c r="K5281" s="183"/>
      <c r="L5281" s="613"/>
      <c r="M5281" s="183">
        <v>1</v>
      </c>
      <c r="N5281" s="183">
        <v>1</v>
      </c>
      <c r="O5281" s="222">
        <v>4</v>
      </c>
      <c r="P5281" s="222">
        <v>0</v>
      </c>
      <c r="Q5281" s="222">
        <v>3</v>
      </c>
      <c r="R5281" s="1195"/>
      <c r="S5281" s="1195">
        <v>55753</v>
      </c>
      <c r="T5281" s="222" t="s">
        <v>13856</v>
      </c>
      <c r="U5281" s="1527"/>
      <c r="W5281" s="2155"/>
      <c r="X5281" s="818"/>
      <c r="Y5281" s="1161"/>
    </row>
    <row r="5282" spans="1:25" ht="15.75" hidden="1" customHeight="1">
      <c r="A5282" s="222">
        <v>5291</v>
      </c>
      <c r="B5282" s="858">
        <v>44651</v>
      </c>
      <c r="C5282" s="129" t="s">
        <v>18001</v>
      </c>
      <c r="D5282" s="1445"/>
      <c r="E5282" s="818" t="s">
        <v>17683</v>
      </c>
      <c r="F5282" s="1006" t="s">
        <v>17999</v>
      </c>
      <c r="G5282" s="863"/>
      <c r="H5282" s="222" t="s">
        <v>18000</v>
      </c>
      <c r="I5282" s="222" t="s">
        <v>18000</v>
      </c>
      <c r="J5282" s="183">
        <v>22033100139</v>
      </c>
      <c r="K5282" s="183"/>
      <c r="L5282" s="613"/>
      <c r="M5282" s="183">
        <v>1</v>
      </c>
      <c r="N5282" s="183">
        <v>1</v>
      </c>
      <c r="O5282" s="222">
        <v>4</v>
      </c>
      <c r="P5282" s="222">
        <v>0</v>
      </c>
      <c r="Q5282" s="222">
        <v>3</v>
      </c>
      <c r="R5282" s="1195"/>
      <c r="S5282" s="1195">
        <v>38159</v>
      </c>
      <c r="T5282" s="222" t="s">
        <v>13856</v>
      </c>
      <c r="U5282" s="1527"/>
      <c r="W5282" s="2155"/>
      <c r="X5282" s="818"/>
      <c r="Y5282" s="1161"/>
    </row>
    <row r="5283" spans="1:25" ht="15.75" hidden="1" customHeight="1">
      <c r="A5283" s="222">
        <v>5292</v>
      </c>
      <c r="B5283" s="858">
        <v>44651</v>
      </c>
      <c r="C5283" s="129" t="s">
        <v>18002</v>
      </c>
      <c r="D5283" s="1445"/>
      <c r="E5283" s="818" t="s">
        <v>17683</v>
      </c>
      <c r="F5283" s="1006" t="s">
        <v>17999</v>
      </c>
      <c r="G5283" s="863"/>
      <c r="H5283" s="222" t="s">
        <v>18000</v>
      </c>
      <c r="I5283" s="222" t="s">
        <v>18000</v>
      </c>
      <c r="J5283" s="183" t="s">
        <v>18003</v>
      </c>
      <c r="K5283" s="183"/>
      <c r="L5283" s="613"/>
      <c r="M5283" s="183">
        <v>1</v>
      </c>
      <c r="N5283" s="183">
        <v>1</v>
      </c>
      <c r="O5283" s="222">
        <v>4</v>
      </c>
      <c r="P5283" s="222">
        <v>0</v>
      </c>
      <c r="Q5283" s="222">
        <v>3</v>
      </c>
      <c r="R5283" s="1195"/>
      <c r="S5283" s="1195">
        <v>39210</v>
      </c>
      <c r="T5283" s="222" t="s">
        <v>13856</v>
      </c>
      <c r="U5283" s="1527"/>
      <c r="W5283" s="2155"/>
      <c r="X5283" s="818"/>
      <c r="Y5283" s="1161"/>
    </row>
    <row r="5284" spans="1:25" ht="15.75" hidden="1" customHeight="1">
      <c r="A5284" s="222">
        <v>5293</v>
      </c>
      <c r="B5284" s="858">
        <v>44651</v>
      </c>
      <c r="C5284" s="129" t="s">
        <v>18004</v>
      </c>
      <c r="D5284" s="1445"/>
      <c r="E5284" s="818" t="s">
        <v>17683</v>
      </c>
      <c r="F5284" s="1006" t="s">
        <v>17999</v>
      </c>
      <c r="G5284" s="863"/>
      <c r="H5284" s="222" t="s">
        <v>18000</v>
      </c>
      <c r="I5284" s="222" t="s">
        <v>18000</v>
      </c>
      <c r="J5284" s="183" t="s">
        <v>18005</v>
      </c>
      <c r="K5284" s="183"/>
      <c r="L5284" s="613"/>
      <c r="M5284" s="183">
        <v>1</v>
      </c>
      <c r="N5284" s="183">
        <v>1</v>
      </c>
      <c r="O5284" s="222">
        <v>4</v>
      </c>
      <c r="P5284" s="222">
        <v>0</v>
      </c>
      <c r="Q5284" s="222">
        <v>3</v>
      </c>
      <c r="R5284" s="1195"/>
      <c r="S5284" s="1195">
        <v>39210</v>
      </c>
      <c r="T5284" s="222" t="s">
        <v>13856</v>
      </c>
      <c r="U5284" s="1527"/>
      <c r="W5284" s="2155"/>
      <c r="X5284" s="818"/>
      <c r="Y5284" s="1161"/>
    </row>
    <row r="5285" spans="1:25" ht="15.75" hidden="1" customHeight="1">
      <c r="A5285" s="222">
        <v>5294</v>
      </c>
      <c r="B5285" s="858">
        <v>44651</v>
      </c>
      <c r="C5285" s="129" t="s">
        <v>18006</v>
      </c>
      <c r="D5285" s="1445"/>
      <c r="E5285" s="818" t="s">
        <v>17683</v>
      </c>
      <c r="F5285" s="1006" t="s">
        <v>17999</v>
      </c>
      <c r="G5285" s="863"/>
      <c r="H5285" s="222" t="s">
        <v>18000</v>
      </c>
      <c r="I5285" s="222" t="s">
        <v>18000</v>
      </c>
      <c r="J5285" s="183" t="s">
        <v>18007</v>
      </c>
      <c r="K5285" s="183"/>
      <c r="L5285" s="613"/>
      <c r="M5285" s="183">
        <v>1</v>
      </c>
      <c r="N5285" s="183">
        <v>1</v>
      </c>
      <c r="O5285" s="222">
        <v>4</v>
      </c>
      <c r="P5285" s="222">
        <v>0</v>
      </c>
      <c r="Q5285" s="222">
        <v>3</v>
      </c>
      <c r="R5285" s="1195"/>
      <c r="S5285" s="1195">
        <v>38331</v>
      </c>
      <c r="T5285" s="222" t="s">
        <v>13856</v>
      </c>
      <c r="U5285" s="1527"/>
      <c r="W5285" s="2155"/>
      <c r="X5285" s="818"/>
      <c r="Y5285" s="1161"/>
    </row>
    <row r="5286" spans="1:25" ht="15.75" hidden="1" customHeight="1">
      <c r="A5286" s="222">
        <v>5295</v>
      </c>
      <c r="B5286" s="858">
        <v>44651</v>
      </c>
      <c r="C5286" s="129" t="s">
        <v>18008</v>
      </c>
      <c r="D5286" s="1445"/>
      <c r="E5286" s="818" t="s">
        <v>17683</v>
      </c>
      <c r="F5286" s="1006" t="s">
        <v>17999</v>
      </c>
      <c r="G5286" s="863"/>
      <c r="H5286" s="222" t="s">
        <v>18000</v>
      </c>
      <c r="I5286" s="222" t="s">
        <v>18000</v>
      </c>
      <c r="J5286" s="183">
        <v>22033100147</v>
      </c>
      <c r="K5286" s="183"/>
      <c r="L5286" s="613"/>
      <c r="M5286" s="183">
        <v>1</v>
      </c>
      <c r="N5286" s="183">
        <v>1</v>
      </c>
      <c r="O5286" s="222">
        <v>4</v>
      </c>
      <c r="P5286" s="222">
        <v>0</v>
      </c>
      <c r="Q5286" s="222">
        <v>3</v>
      </c>
      <c r="R5286" s="1195"/>
      <c r="S5286" s="1195">
        <v>38331</v>
      </c>
      <c r="T5286" s="222" t="s">
        <v>13856</v>
      </c>
      <c r="U5286" s="1527"/>
      <c r="W5286" s="2155"/>
      <c r="X5286" s="818"/>
      <c r="Y5286" s="1161"/>
    </row>
    <row r="5287" spans="1:25" ht="15.75" hidden="1" customHeight="1">
      <c r="A5287" s="222">
        <v>5296</v>
      </c>
      <c r="B5287" s="858">
        <v>44651</v>
      </c>
      <c r="C5287" s="129" t="s">
        <v>18009</v>
      </c>
      <c r="D5287" s="11" t="s">
        <v>6</v>
      </c>
      <c r="E5287" s="818" t="s">
        <v>17683</v>
      </c>
      <c r="F5287" s="1006" t="s">
        <v>2143</v>
      </c>
      <c r="G5287" s="863" t="s">
        <v>18010</v>
      </c>
      <c r="H5287" s="222" t="s">
        <v>18011</v>
      </c>
      <c r="I5287" s="222" t="s">
        <v>5690</v>
      </c>
      <c r="J5287" s="183">
        <v>88217744</v>
      </c>
      <c r="K5287" s="183" t="s">
        <v>18012</v>
      </c>
      <c r="L5287" s="613"/>
      <c r="M5287" s="183">
        <v>2</v>
      </c>
      <c r="N5287" s="183">
        <v>1</v>
      </c>
      <c r="O5287" s="222">
        <v>2</v>
      </c>
      <c r="P5287" s="222">
        <v>0</v>
      </c>
      <c r="Q5287" s="222">
        <v>0</v>
      </c>
      <c r="R5287" s="1195">
        <v>3990</v>
      </c>
      <c r="S5287" s="1195">
        <f>R5287*O5287</f>
        <v>7980</v>
      </c>
      <c r="T5287" s="222" t="s">
        <v>5448</v>
      </c>
      <c r="U5287" s="1527" t="s">
        <v>118</v>
      </c>
      <c r="V5287" s="222" t="s">
        <v>118</v>
      </c>
      <c r="W5287" s="2155" t="s">
        <v>18013</v>
      </c>
      <c r="X5287" s="818"/>
      <c r="Y5287" s="1161"/>
    </row>
    <row r="5288" spans="1:25" ht="15.75" hidden="1" customHeight="1">
      <c r="A5288" s="222">
        <v>5297</v>
      </c>
      <c r="B5288" s="858">
        <v>44651</v>
      </c>
      <c r="C5288" s="129" t="s">
        <v>18014</v>
      </c>
      <c r="D5288" s="11" t="s">
        <v>6</v>
      </c>
      <c r="E5288" s="818" t="s">
        <v>17683</v>
      </c>
      <c r="F5288" s="1006" t="s">
        <v>2143</v>
      </c>
      <c r="G5288" s="863"/>
      <c r="H5288" s="222" t="s">
        <v>18011</v>
      </c>
      <c r="I5288" s="222" t="s">
        <v>5690</v>
      </c>
      <c r="J5288" s="183">
        <v>88359354</v>
      </c>
      <c r="K5288" s="183" t="s">
        <v>18015</v>
      </c>
      <c r="L5288" s="613"/>
      <c r="M5288" s="183">
        <v>2</v>
      </c>
      <c r="N5288" s="183">
        <v>1</v>
      </c>
      <c r="O5288" s="222">
        <v>2</v>
      </c>
      <c r="P5288" s="222">
        <v>0</v>
      </c>
      <c r="Q5288" s="222">
        <v>0</v>
      </c>
      <c r="R5288" s="1195">
        <v>2990</v>
      </c>
      <c r="S5288" s="1195">
        <f>R5288*O5288</f>
        <v>5980</v>
      </c>
      <c r="T5288" s="222" t="s">
        <v>5448</v>
      </c>
      <c r="U5288" s="1527" t="s">
        <v>118</v>
      </c>
      <c r="V5288" s="222" t="s">
        <v>118</v>
      </c>
      <c r="W5288" s="2155" t="s">
        <v>18016</v>
      </c>
      <c r="X5288" s="818"/>
      <c r="Y5288" s="1161"/>
    </row>
    <row r="5289" spans="1:25" ht="15.75" hidden="1" customHeight="1">
      <c r="A5289" s="222">
        <v>5298</v>
      </c>
      <c r="B5289" s="858">
        <v>44651</v>
      </c>
      <c r="C5289" s="129" t="s">
        <v>18017</v>
      </c>
      <c r="D5289" s="11" t="s">
        <v>6</v>
      </c>
      <c r="E5289" s="818" t="s">
        <v>17683</v>
      </c>
      <c r="F5289" s="1006" t="s">
        <v>2143</v>
      </c>
      <c r="G5289" s="863"/>
      <c r="H5289" s="222" t="s">
        <v>18011</v>
      </c>
      <c r="I5289" s="222" t="s">
        <v>5690</v>
      </c>
      <c r="J5289" s="183">
        <v>88358453</v>
      </c>
      <c r="K5289" s="183" t="s">
        <v>18018</v>
      </c>
      <c r="L5289" s="613"/>
      <c r="M5289" s="183">
        <v>2</v>
      </c>
      <c r="N5289" s="183">
        <v>1</v>
      </c>
      <c r="O5289" s="222">
        <v>2</v>
      </c>
      <c r="P5289" s="222">
        <v>0</v>
      </c>
      <c r="Q5289" s="222">
        <v>0</v>
      </c>
      <c r="R5289" s="1195">
        <v>699</v>
      </c>
      <c r="S5289" s="1195">
        <f>R5289*O5289</f>
        <v>1398</v>
      </c>
      <c r="T5289" s="222" t="s">
        <v>5448</v>
      </c>
      <c r="U5289" s="1527" t="s">
        <v>118</v>
      </c>
      <c r="V5289" s="222" t="s">
        <v>118</v>
      </c>
      <c r="W5289" s="2155" t="s">
        <v>18019</v>
      </c>
      <c r="X5289" s="818"/>
      <c r="Y5289" s="1161"/>
    </row>
    <row r="5290" spans="1:25" ht="15.75" hidden="1" customHeight="1">
      <c r="A5290" s="222">
        <v>5299</v>
      </c>
      <c r="B5290" s="858">
        <v>44651</v>
      </c>
      <c r="C5290" s="129" t="s">
        <v>18020</v>
      </c>
      <c r="D5290" s="11" t="s">
        <v>6</v>
      </c>
      <c r="E5290" s="818" t="s">
        <v>17683</v>
      </c>
      <c r="F5290" s="1006" t="s">
        <v>2143</v>
      </c>
      <c r="G5290" s="863" t="s">
        <v>18021</v>
      </c>
      <c r="H5290" s="222" t="s">
        <v>113</v>
      </c>
      <c r="I5290" s="222" t="s">
        <v>113</v>
      </c>
      <c r="J5290" s="183">
        <v>41501803</v>
      </c>
      <c r="K5290" s="183">
        <v>41501803</v>
      </c>
      <c r="L5290" s="613"/>
      <c r="M5290" s="183">
        <v>10</v>
      </c>
      <c r="N5290" s="183">
        <v>1</v>
      </c>
      <c r="O5290" s="222">
        <v>10</v>
      </c>
      <c r="P5290" s="222">
        <v>0</v>
      </c>
      <c r="Q5290" s="222">
        <v>0</v>
      </c>
      <c r="R5290" s="1195">
        <v>159</v>
      </c>
      <c r="S5290" s="1195">
        <v>1590</v>
      </c>
      <c r="T5290" s="222" t="s">
        <v>5448</v>
      </c>
      <c r="U5290" s="1527" t="s">
        <v>118</v>
      </c>
      <c r="V5290" s="222" t="s">
        <v>118</v>
      </c>
      <c r="W5290" s="2155" t="s">
        <v>18022</v>
      </c>
      <c r="X5290" s="818"/>
      <c r="Y5290" s="1161"/>
    </row>
    <row r="5291" spans="1:25" ht="15.75" hidden="1" customHeight="1">
      <c r="A5291" s="222">
        <v>5300</v>
      </c>
      <c r="B5291" s="858">
        <v>44651</v>
      </c>
      <c r="C5291" s="129" t="s">
        <v>18023</v>
      </c>
      <c r="D5291" s="11" t="s">
        <v>6</v>
      </c>
      <c r="E5291" s="818" t="s">
        <v>17683</v>
      </c>
      <c r="F5291" s="1006" t="s">
        <v>2143</v>
      </c>
      <c r="G5291" s="863" t="s">
        <v>18024</v>
      </c>
      <c r="H5291" s="222" t="s">
        <v>113</v>
      </c>
      <c r="I5291" s="222" t="s">
        <v>113</v>
      </c>
      <c r="J5291" s="183">
        <v>46425366</v>
      </c>
      <c r="K5291" s="183" t="s">
        <v>18025</v>
      </c>
      <c r="L5291" s="613"/>
      <c r="M5291" s="183">
        <v>1</v>
      </c>
      <c r="N5291" s="183">
        <v>1</v>
      </c>
      <c r="O5291" s="222">
        <v>1</v>
      </c>
      <c r="P5291" s="222">
        <v>0</v>
      </c>
      <c r="Q5291" s="222">
        <v>0</v>
      </c>
      <c r="R5291" s="1195">
        <v>769</v>
      </c>
      <c r="S5291" s="1195">
        <v>769</v>
      </c>
      <c r="T5291" s="222" t="s">
        <v>5448</v>
      </c>
      <c r="U5291" s="1527" t="s">
        <v>118</v>
      </c>
      <c r="V5291" s="222" t="s">
        <v>118</v>
      </c>
      <c r="W5291" s="2155" t="s">
        <v>18026</v>
      </c>
      <c r="X5291" s="818"/>
      <c r="Y5291" s="1161"/>
    </row>
    <row r="5292" spans="1:25" ht="15.75" hidden="1" customHeight="1">
      <c r="A5292" s="222">
        <v>5301</v>
      </c>
      <c r="B5292" s="858">
        <v>44651</v>
      </c>
      <c r="C5292" s="129" t="s">
        <v>18027</v>
      </c>
      <c r="D5292" s="11" t="s">
        <v>6</v>
      </c>
      <c r="E5292" s="818" t="s">
        <v>17683</v>
      </c>
      <c r="F5292" s="1006" t="s">
        <v>2143</v>
      </c>
      <c r="G5292" s="863" t="s">
        <v>18028</v>
      </c>
      <c r="H5292" s="222" t="s">
        <v>18011</v>
      </c>
      <c r="I5292" s="222" t="s">
        <v>5690</v>
      </c>
      <c r="J5292" s="183">
        <v>88221016</v>
      </c>
      <c r="K5292" s="183" t="s">
        <v>18029</v>
      </c>
      <c r="L5292" s="613"/>
      <c r="M5292" s="183">
        <v>2</v>
      </c>
      <c r="N5292" s="183">
        <v>1</v>
      </c>
      <c r="O5292" s="222">
        <v>2</v>
      </c>
      <c r="P5292" s="222">
        <v>0</v>
      </c>
      <c r="Q5292" s="222">
        <v>0</v>
      </c>
      <c r="R5292" s="1195">
        <v>608</v>
      </c>
      <c r="S5292" s="222">
        <v>1216</v>
      </c>
      <c r="T5292" s="222" t="s">
        <v>5448</v>
      </c>
      <c r="U5292" s="1527" t="s">
        <v>118</v>
      </c>
      <c r="V5292" s="222" t="s">
        <v>118</v>
      </c>
      <c r="W5292" s="2155" t="s">
        <v>18030</v>
      </c>
      <c r="X5292" s="818"/>
      <c r="Y5292" s="1161"/>
    </row>
    <row r="5293" spans="1:25" ht="15.75" hidden="1" customHeight="1">
      <c r="A5293" s="222">
        <v>5302</v>
      </c>
      <c r="B5293" s="858">
        <v>44608</v>
      </c>
      <c r="C5293" s="129" t="s">
        <v>17564</v>
      </c>
      <c r="D5293" s="11" t="s">
        <v>6</v>
      </c>
      <c r="E5293" s="818" t="s">
        <v>17683</v>
      </c>
      <c r="F5293" s="1006" t="s">
        <v>2143</v>
      </c>
      <c r="G5293" s="863" t="s">
        <v>17565</v>
      </c>
      <c r="H5293" s="222" t="s">
        <v>511</v>
      </c>
      <c r="I5293" s="222" t="s">
        <v>11707</v>
      </c>
      <c r="J5293" s="183" t="s">
        <v>17566</v>
      </c>
      <c r="K5293" s="183" t="s">
        <v>17566</v>
      </c>
      <c r="L5293" s="613"/>
      <c r="M5293" s="183">
        <v>1</v>
      </c>
      <c r="N5293" s="183">
        <v>1</v>
      </c>
      <c r="O5293" s="222">
        <v>1</v>
      </c>
      <c r="P5293" s="222">
        <v>0</v>
      </c>
      <c r="Q5293" s="222">
        <v>1</v>
      </c>
      <c r="R5293" s="1195">
        <v>99900</v>
      </c>
      <c r="S5293" s="1195">
        <v>99900</v>
      </c>
      <c r="T5293" s="222" t="s">
        <v>5448</v>
      </c>
      <c r="U5293" s="1527" t="s">
        <v>118</v>
      </c>
      <c r="V5293" s="222" t="s">
        <v>104</v>
      </c>
      <c r="W5293" s="2155"/>
      <c r="X5293" s="818"/>
      <c r="Y5293" s="1161"/>
    </row>
    <row r="5294" spans="1:25" ht="15.75" hidden="1" customHeight="1">
      <c r="A5294" s="222">
        <v>5303</v>
      </c>
      <c r="B5294" s="858">
        <v>44656</v>
      </c>
      <c r="C5294" s="1193" t="s">
        <v>12585</v>
      </c>
      <c r="D5294" s="11" t="s">
        <v>6</v>
      </c>
      <c r="E5294" s="1453" t="s">
        <v>18031</v>
      </c>
      <c r="F5294" s="1006" t="s">
        <v>404</v>
      </c>
      <c r="G5294" s="863" t="s">
        <v>18032</v>
      </c>
      <c r="H5294" s="863" t="s">
        <v>4125</v>
      </c>
      <c r="I5294" s="863" t="s">
        <v>1</v>
      </c>
      <c r="J5294" s="863" t="s">
        <v>1</v>
      </c>
      <c r="K5294" s="863" t="s">
        <v>1</v>
      </c>
      <c r="L5294" s="863" t="s">
        <v>1</v>
      </c>
      <c r="M5294" s="863" t="s">
        <v>1</v>
      </c>
      <c r="N5294" s="863" t="s">
        <v>1</v>
      </c>
      <c r="O5294" s="863" t="s">
        <v>1</v>
      </c>
      <c r="P5294" s="863" t="s">
        <v>1</v>
      </c>
      <c r="Q5294" s="863" t="s">
        <v>1</v>
      </c>
      <c r="R5294" s="863" t="s">
        <v>18033</v>
      </c>
      <c r="S5294" s="863" t="s">
        <v>18033</v>
      </c>
      <c r="T5294" s="863" t="s">
        <v>311</v>
      </c>
      <c r="U5294" s="867" t="s">
        <v>1</v>
      </c>
      <c r="V5294" s="863" t="s">
        <v>1</v>
      </c>
      <c r="W5294" s="2171" t="s">
        <v>16488</v>
      </c>
      <c r="X5294" s="863" t="s">
        <v>16488</v>
      </c>
      <c r="Y5294" s="1161"/>
    </row>
    <row r="5295" spans="1:25" ht="15.75" hidden="1" customHeight="1">
      <c r="A5295" s="222">
        <v>5304</v>
      </c>
      <c r="B5295" s="858">
        <v>44656</v>
      </c>
      <c r="C5295" s="1193" t="s">
        <v>18034</v>
      </c>
      <c r="D5295" s="8" t="s">
        <v>6</v>
      </c>
      <c r="E5295" s="1454" t="s">
        <v>18035</v>
      </c>
      <c r="F5295" s="1006" t="s">
        <v>404</v>
      </c>
      <c r="G5295" s="863" t="s">
        <v>18036</v>
      </c>
      <c r="H5295" s="863" t="s">
        <v>4125</v>
      </c>
      <c r="I5295" s="863" t="s">
        <v>1</v>
      </c>
      <c r="J5295" s="863" t="s">
        <v>1</v>
      </c>
      <c r="K5295" s="863" t="s">
        <v>1</v>
      </c>
      <c r="L5295" s="863" t="s">
        <v>1</v>
      </c>
      <c r="M5295" s="863" t="s">
        <v>1</v>
      </c>
      <c r="N5295" s="863" t="s">
        <v>1</v>
      </c>
      <c r="O5295" s="863" t="s">
        <v>1</v>
      </c>
      <c r="P5295" s="863" t="s">
        <v>1</v>
      </c>
      <c r="Q5295" s="863" t="s">
        <v>1</v>
      </c>
      <c r="R5295" s="863" t="s">
        <v>18037</v>
      </c>
      <c r="S5295" s="863" t="s">
        <v>18037</v>
      </c>
      <c r="T5295" s="863" t="s">
        <v>311</v>
      </c>
      <c r="U5295" s="867" t="s">
        <v>1</v>
      </c>
      <c r="V5295" s="863" t="s">
        <v>1</v>
      </c>
      <c r="W5295" s="2171" t="s">
        <v>16488</v>
      </c>
      <c r="X5295" s="863" t="s">
        <v>16488</v>
      </c>
      <c r="Y5295" s="1161"/>
    </row>
    <row r="5296" spans="1:25" ht="15.75" hidden="1" customHeight="1">
      <c r="A5296" s="222">
        <v>5305</v>
      </c>
      <c r="B5296" s="858">
        <v>44656</v>
      </c>
      <c r="C5296" s="1193" t="s">
        <v>12587</v>
      </c>
      <c r="D5296" s="11" t="s">
        <v>6</v>
      </c>
      <c r="E5296" s="1454" t="s">
        <v>18038</v>
      </c>
      <c r="F5296" s="1006" t="s">
        <v>404</v>
      </c>
      <c r="G5296" s="863" t="s">
        <v>18032</v>
      </c>
      <c r="H5296" s="863" t="s">
        <v>4125</v>
      </c>
      <c r="I5296" s="863" t="s">
        <v>1</v>
      </c>
      <c r="J5296" s="863" t="s">
        <v>1</v>
      </c>
      <c r="K5296" s="863" t="s">
        <v>1</v>
      </c>
      <c r="L5296" s="863" t="s">
        <v>1</v>
      </c>
      <c r="M5296" s="863" t="s">
        <v>1</v>
      </c>
      <c r="N5296" s="863" t="s">
        <v>1</v>
      </c>
      <c r="O5296" s="863" t="s">
        <v>1</v>
      </c>
      <c r="P5296" s="863" t="s">
        <v>1</v>
      </c>
      <c r="Q5296" s="863" t="s">
        <v>1</v>
      </c>
      <c r="R5296" s="863" t="s">
        <v>18037</v>
      </c>
      <c r="S5296" s="863" t="s">
        <v>18037</v>
      </c>
      <c r="T5296" s="863" t="s">
        <v>311</v>
      </c>
      <c r="U5296" s="867" t="s">
        <v>1</v>
      </c>
      <c r="V5296" s="863" t="s">
        <v>1</v>
      </c>
      <c r="W5296" s="2171" t="s">
        <v>16488</v>
      </c>
      <c r="X5296" s="863" t="s">
        <v>16488</v>
      </c>
      <c r="Y5296" s="1161"/>
    </row>
    <row r="5297" spans="1:25" ht="15.75" hidden="1" customHeight="1">
      <c r="A5297" s="222">
        <v>5306</v>
      </c>
      <c r="B5297" s="858">
        <v>44656</v>
      </c>
      <c r="C5297" s="1193" t="s">
        <v>18039</v>
      </c>
      <c r="D5297" s="8" t="s">
        <v>6</v>
      </c>
      <c r="E5297" s="1454" t="s">
        <v>18040</v>
      </c>
      <c r="F5297" s="1006" t="s">
        <v>404</v>
      </c>
      <c r="G5297" s="863" t="s">
        <v>18041</v>
      </c>
      <c r="H5297" s="863" t="s">
        <v>4125</v>
      </c>
      <c r="I5297" s="863" t="s">
        <v>1</v>
      </c>
      <c r="J5297" s="863" t="s">
        <v>1</v>
      </c>
      <c r="K5297" s="863" t="s">
        <v>1</v>
      </c>
      <c r="L5297" s="863" t="s">
        <v>1</v>
      </c>
      <c r="M5297" s="863" t="s">
        <v>1</v>
      </c>
      <c r="N5297" s="863" t="s">
        <v>1</v>
      </c>
      <c r="O5297" s="863" t="s">
        <v>1</v>
      </c>
      <c r="P5297" s="863" t="s">
        <v>1</v>
      </c>
      <c r="Q5297" s="863" t="s">
        <v>1</v>
      </c>
      <c r="R5297" s="863" t="s">
        <v>18037</v>
      </c>
      <c r="S5297" s="863" t="s">
        <v>18037</v>
      </c>
      <c r="T5297" s="863" t="s">
        <v>311</v>
      </c>
      <c r="U5297" s="867" t="s">
        <v>1</v>
      </c>
      <c r="V5297" s="863" t="s">
        <v>1</v>
      </c>
      <c r="W5297" s="2171" t="s">
        <v>16488</v>
      </c>
      <c r="X5297" s="863" t="s">
        <v>16488</v>
      </c>
      <c r="Y5297" s="1161"/>
    </row>
    <row r="5298" spans="1:25" ht="15.75" hidden="1" customHeight="1">
      <c r="A5298" s="222">
        <v>5307</v>
      </c>
      <c r="B5298" s="858">
        <v>44656</v>
      </c>
      <c r="C5298" s="129" t="s">
        <v>18042</v>
      </c>
      <c r="D5298" s="11" t="s">
        <v>6</v>
      </c>
      <c r="E5298" s="818" t="s">
        <v>18035</v>
      </c>
      <c r="F5298" s="1006" t="s">
        <v>2143</v>
      </c>
      <c r="G5298" s="863"/>
      <c r="H5298" s="222"/>
      <c r="I5298" s="222" t="s">
        <v>117</v>
      </c>
      <c r="J5298" s="183"/>
      <c r="K5298" s="183"/>
      <c r="L5298" s="613"/>
      <c r="M5298" s="183">
        <v>1</v>
      </c>
      <c r="N5298" s="183">
        <v>1</v>
      </c>
      <c r="O5298" s="222">
        <v>1</v>
      </c>
      <c r="P5298" s="222">
        <v>0</v>
      </c>
      <c r="Q5298" s="222">
        <v>0</v>
      </c>
      <c r="R5298" s="1195">
        <v>110</v>
      </c>
      <c r="S5298" s="1195">
        <v>110</v>
      </c>
      <c r="T5298" s="222" t="s">
        <v>5448</v>
      </c>
      <c r="U5298" s="1527" t="s">
        <v>118</v>
      </c>
      <c r="V5298" s="222" t="s">
        <v>12981</v>
      </c>
      <c r="W5298" s="2155"/>
      <c r="X5298" s="818"/>
      <c r="Y5298" s="1161"/>
    </row>
    <row r="5299" spans="1:25" ht="15.75" hidden="1" customHeight="1">
      <c r="A5299" s="222">
        <v>5308</v>
      </c>
      <c r="B5299" s="858">
        <v>44656</v>
      </c>
      <c r="C5299" s="129" t="s">
        <v>18043</v>
      </c>
      <c r="D5299" s="11" t="s">
        <v>6</v>
      </c>
      <c r="E5299" s="818" t="s">
        <v>18035</v>
      </c>
      <c r="F5299" s="1006" t="s">
        <v>2143</v>
      </c>
      <c r="G5299" s="863"/>
      <c r="H5299" s="222"/>
      <c r="I5299" s="222" t="s">
        <v>117</v>
      </c>
      <c r="J5299" s="183"/>
      <c r="K5299" s="183"/>
      <c r="L5299" s="613"/>
      <c r="M5299" s="183">
        <v>1</v>
      </c>
      <c r="N5299" s="183">
        <v>1</v>
      </c>
      <c r="O5299" s="222">
        <v>1</v>
      </c>
      <c r="P5299" s="222">
        <v>0</v>
      </c>
      <c r="Q5299" s="222">
        <v>0</v>
      </c>
      <c r="R5299" s="1195">
        <v>110</v>
      </c>
      <c r="S5299" s="1195">
        <v>110</v>
      </c>
      <c r="T5299" s="222" t="s">
        <v>5448</v>
      </c>
      <c r="U5299" s="1527" t="s">
        <v>118</v>
      </c>
      <c r="V5299" s="222" t="s">
        <v>12981</v>
      </c>
      <c r="W5299" s="2155"/>
      <c r="X5299" s="818"/>
      <c r="Y5299" s="1161"/>
    </row>
    <row r="5300" spans="1:25" ht="15.75" hidden="1" customHeight="1">
      <c r="A5300" s="222">
        <v>5309</v>
      </c>
      <c r="B5300" s="858">
        <v>44656</v>
      </c>
      <c r="C5300" s="129" t="s">
        <v>18044</v>
      </c>
      <c r="D5300" s="11" t="s">
        <v>6</v>
      </c>
      <c r="E5300" s="818" t="s">
        <v>18035</v>
      </c>
      <c r="F5300" s="1006" t="s">
        <v>2143</v>
      </c>
      <c r="G5300" s="863"/>
      <c r="H5300" s="222"/>
      <c r="I5300" s="222" t="s">
        <v>117</v>
      </c>
      <c r="J5300" s="183"/>
      <c r="K5300" s="183"/>
      <c r="L5300" s="613"/>
      <c r="M5300" s="183">
        <v>1</v>
      </c>
      <c r="N5300" s="183">
        <v>1</v>
      </c>
      <c r="O5300" s="222">
        <v>1</v>
      </c>
      <c r="P5300" s="222">
        <v>0</v>
      </c>
      <c r="Q5300" s="222">
        <v>0</v>
      </c>
      <c r="R5300" s="1195">
        <v>437</v>
      </c>
      <c r="S5300" s="1195">
        <v>437</v>
      </c>
      <c r="T5300" s="222" t="s">
        <v>5448</v>
      </c>
      <c r="U5300" s="1527" t="s">
        <v>118</v>
      </c>
      <c r="V5300" s="222" t="s">
        <v>12981</v>
      </c>
      <c r="W5300" s="2155"/>
      <c r="X5300" s="818"/>
      <c r="Y5300" s="1161"/>
    </row>
    <row r="5301" spans="1:25" ht="15.75" hidden="1" customHeight="1">
      <c r="A5301" s="222">
        <v>5310</v>
      </c>
      <c r="B5301" s="858">
        <v>44656</v>
      </c>
      <c r="C5301" s="129" t="s">
        <v>18045</v>
      </c>
      <c r="D5301" s="11" t="s">
        <v>6</v>
      </c>
      <c r="E5301" s="818" t="s">
        <v>18035</v>
      </c>
      <c r="F5301" s="1006" t="s">
        <v>2143</v>
      </c>
      <c r="G5301" s="863"/>
      <c r="H5301" s="222"/>
      <c r="I5301" s="222" t="s">
        <v>117</v>
      </c>
      <c r="J5301" s="183"/>
      <c r="K5301" s="183"/>
      <c r="L5301" s="613"/>
      <c r="M5301" s="183">
        <v>1</v>
      </c>
      <c r="N5301" s="183">
        <v>1</v>
      </c>
      <c r="O5301" s="222">
        <v>1</v>
      </c>
      <c r="P5301" s="222">
        <v>0</v>
      </c>
      <c r="Q5301" s="222">
        <v>0</v>
      </c>
      <c r="R5301" s="1195">
        <v>710</v>
      </c>
      <c r="S5301" s="1195">
        <v>710</v>
      </c>
      <c r="T5301" s="222" t="s">
        <v>5448</v>
      </c>
      <c r="U5301" s="1527" t="s">
        <v>118</v>
      </c>
      <c r="V5301" s="222" t="s">
        <v>12981</v>
      </c>
      <c r="W5301" s="2155"/>
      <c r="X5301" s="818"/>
      <c r="Y5301" s="1161"/>
    </row>
    <row r="5302" spans="1:25" ht="15.75" hidden="1" customHeight="1">
      <c r="A5302" s="222">
        <v>5311</v>
      </c>
      <c r="B5302" s="858">
        <v>44656</v>
      </c>
      <c r="C5302" s="129" t="s">
        <v>18046</v>
      </c>
      <c r="D5302" s="11" t="s">
        <v>6</v>
      </c>
      <c r="E5302" s="818" t="s">
        <v>18035</v>
      </c>
      <c r="F5302" s="1006" t="s">
        <v>2143</v>
      </c>
      <c r="G5302" s="863"/>
      <c r="H5302" s="222"/>
      <c r="I5302" s="222" t="s">
        <v>117</v>
      </c>
      <c r="J5302" s="183"/>
      <c r="K5302" s="183"/>
      <c r="L5302" s="613"/>
      <c r="M5302" s="183">
        <v>1</v>
      </c>
      <c r="N5302" s="183">
        <v>1</v>
      </c>
      <c r="O5302" s="222">
        <v>1</v>
      </c>
      <c r="P5302" s="222">
        <v>0</v>
      </c>
      <c r="Q5302" s="222">
        <v>0</v>
      </c>
      <c r="R5302" s="1195">
        <v>448</v>
      </c>
      <c r="S5302" s="1195">
        <v>448</v>
      </c>
      <c r="T5302" s="222" t="s">
        <v>5448</v>
      </c>
      <c r="U5302" s="1527" t="s">
        <v>118</v>
      </c>
      <c r="V5302" s="222" t="s">
        <v>12981</v>
      </c>
      <c r="W5302" s="2155"/>
      <c r="X5302" s="818"/>
      <c r="Y5302" s="1161"/>
    </row>
    <row r="5303" spans="1:25" ht="15.75" hidden="1" customHeight="1">
      <c r="A5303" s="222">
        <v>5312</v>
      </c>
      <c r="B5303" s="858">
        <v>44656</v>
      </c>
      <c r="C5303" s="129" t="s">
        <v>18047</v>
      </c>
      <c r="D5303" s="11" t="s">
        <v>6</v>
      </c>
      <c r="E5303" s="818" t="s">
        <v>18035</v>
      </c>
      <c r="F5303" s="1006" t="s">
        <v>2143</v>
      </c>
      <c r="G5303" s="863"/>
      <c r="H5303" s="222"/>
      <c r="I5303" s="222" t="s">
        <v>117</v>
      </c>
      <c r="J5303" s="183"/>
      <c r="K5303" s="183"/>
      <c r="L5303" s="613"/>
      <c r="M5303" s="183">
        <v>1</v>
      </c>
      <c r="N5303" s="183">
        <v>1</v>
      </c>
      <c r="O5303" s="222">
        <v>1</v>
      </c>
      <c r="P5303" s="222">
        <v>0</v>
      </c>
      <c r="Q5303" s="222">
        <v>0</v>
      </c>
      <c r="R5303" s="1195">
        <v>62</v>
      </c>
      <c r="S5303" s="1195">
        <v>62</v>
      </c>
      <c r="T5303" s="222" t="s">
        <v>5448</v>
      </c>
      <c r="U5303" s="1527" t="s">
        <v>118</v>
      </c>
      <c r="V5303" s="222" t="s">
        <v>12981</v>
      </c>
      <c r="W5303" s="2155"/>
      <c r="X5303" s="818"/>
      <c r="Y5303" s="1161"/>
    </row>
    <row r="5304" spans="1:25" ht="15.75" hidden="1" customHeight="1">
      <c r="A5304" s="222">
        <v>5313</v>
      </c>
      <c r="B5304" s="858">
        <v>44656</v>
      </c>
      <c r="C5304" s="129" t="s">
        <v>18048</v>
      </c>
      <c r="D5304" s="11" t="s">
        <v>6</v>
      </c>
      <c r="E5304" s="818" t="s">
        <v>18035</v>
      </c>
      <c r="F5304" s="1006" t="s">
        <v>2143</v>
      </c>
      <c r="G5304" s="863"/>
      <c r="H5304" s="222"/>
      <c r="I5304" s="222" t="s">
        <v>117</v>
      </c>
      <c r="J5304" s="183"/>
      <c r="K5304" s="183"/>
      <c r="L5304" s="613"/>
      <c r="M5304" s="183">
        <v>1</v>
      </c>
      <c r="N5304" s="183">
        <v>1</v>
      </c>
      <c r="O5304" s="222">
        <v>1</v>
      </c>
      <c r="P5304" s="222">
        <v>0</v>
      </c>
      <c r="Q5304" s="222">
        <v>0</v>
      </c>
      <c r="R5304" s="1195">
        <v>6500</v>
      </c>
      <c r="S5304" s="1195">
        <v>6500</v>
      </c>
      <c r="T5304" s="222" t="s">
        <v>5448</v>
      </c>
      <c r="U5304" s="1527" t="s">
        <v>118</v>
      </c>
      <c r="V5304" s="222" t="s">
        <v>12981</v>
      </c>
      <c r="W5304" s="2155"/>
      <c r="X5304" s="818"/>
      <c r="Y5304" s="1161"/>
    </row>
    <row r="5305" spans="1:25" ht="15.75" hidden="1" customHeight="1">
      <c r="A5305" s="222">
        <v>5314</v>
      </c>
      <c r="B5305" s="858">
        <v>44656</v>
      </c>
      <c r="C5305" s="129" t="s">
        <v>3425</v>
      </c>
      <c r="D5305" s="11" t="s">
        <v>6</v>
      </c>
      <c r="E5305" s="818" t="s">
        <v>18035</v>
      </c>
      <c r="F5305" s="1006" t="s">
        <v>2143</v>
      </c>
      <c r="G5305" s="863" t="s">
        <v>18049</v>
      </c>
      <c r="H5305" s="222" t="s">
        <v>9894</v>
      </c>
      <c r="I5305" s="222" t="s">
        <v>84</v>
      </c>
      <c r="J5305" s="183">
        <v>23756328</v>
      </c>
      <c r="K5305" s="183" t="s">
        <v>18050</v>
      </c>
      <c r="L5305" s="613" t="s">
        <v>18051</v>
      </c>
      <c r="M5305" s="183">
        <v>1</v>
      </c>
      <c r="N5305" s="183">
        <v>1</v>
      </c>
      <c r="O5305" s="222">
        <v>1</v>
      </c>
      <c r="P5305" s="222">
        <v>0</v>
      </c>
      <c r="Q5305" s="222">
        <v>0</v>
      </c>
      <c r="R5305" s="1195">
        <v>10900</v>
      </c>
      <c r="S5305" s="1195">
        <v>10900</v>
      </c>
      <c r="T5305" s="222" t="s">
        <v>5448</v>
      </c>
      <c r="U5305" s="1527" t="s">
        <v>118</v>
      </c>
      <c r="V5305" s="222" t="s">
        <v>12981</v>
      </c>
      <c r="W5305" s="2155" t="s">
        <v>18052</v>
      </c>
      <c r="X5305" s="818"/>
      <c r="Y5305" s="1161"/>
    </row>
    <row r="5306" spans="1:25" ht="15.75" hidden="1" customHeight="1">
      <c r="A5306" s="222">
        <v>5315</v>
      </c>
      <c r="B5306" s="858">
        <v>44656</v>
      </c>
      <c r="C5306" s="129" t="s">
        <v>3436</v>
      </c>
      <c r="D5306" s="11" t="s">
        <v>6</v>
      </c>
      <c r="E5306" s="818" t="s">
        <v>18035</v>
      </c>
      <c r="F5306" s="1006" t="s">
        <v>2143</v>
      </c>
      <c r="G5306" s="863" t="s">
        <v>18053</v>
      </c>
      <c r="H5306" s="222" t="s">
        <v>9894</v>
      </c>
      <c r="I5306" s="222" t="s">
        <v>84</v>
      </c>
      <c r="J5306" s="183">
        <v>64975496</v>
      </c>
      <c r="K5306" s="183" t="s">
        <v>18054</v>
      </c>
      <c r="L5306" s="613" t="s">
        <v>18055</v>
      </c>
      <c r="M5306" s="183">
        <v>1</v>
      </c>
      <c r="N5306" s="183">
        <v>1</v>
      </c>
      <c r="O5306" s="222">
        <v>1</v>
      </c>
      <c r="P5306" s="222">
        <v>0</v>
      </c>
      <c r="Q5306" s="222">
        <v>0</v>
      </c>
      <c r="R5306" s="1195">
        <v>1990</v>
      </c>
      <c r="S5306" s="1195">
        <v>1990</v>
      </c>
      <c r="T5306" s="222" t="s">
        <v>5448</v>
      </c>
      <c r="U5306" s="1527" t="s">
        <v>118</v>
      </c>
      <c r="V5306" s="222" t="s">
        <v>12981</v>
      </c>
      <c r="W5306" s="2155" t="s">
        <v>18052</v>
      </c>
      <c r="X5306" s="818"/>
      <c r="Y5306" s="1161"/>
    </row>
    <row r="5307" spans="1:25" ht="15.75" hidden="1" customHeight="1">
      <c r="A5307" s="222">
        <v>5316</v>
      </c>
      <c r="B5307" s="858">
        <v>44656</v>
      </c>
      <c r="C5307" s="129" t="s">
        <v>18056</v>
      </c>
      <c r="D5307" s="11" t="s">
        <v>6</v>
      </c>
      <c r="E5307" s="818" t="s">
        <v>18035</v>
      </c>
      <c r="F5307" s="1006" t="s">
        <v>2143</v>
      </c>
      <c r="G5307" s="863" t="s">
        <v>18057</v>
      </c>
      <c r="H5307" s="222" t="s">
        <v>1059</v>
      </c>
      <c r="I5307" s="222" t="s">
        <v>574</v>
      </c>
      <c r="J5307" s="183" t="s">
        <v>18058</v>
      </c>
      <c r="K5307" s="183" t="s">
        <v>18059</v>
      </c>
      <c r="L5307" s="613"/>
      <c r="M5307" s="183">
        <v>1</v>
      </c>
      <c r="N5307" s="183">
        <v>1</v>
      </c>
      <c r="O5307" s="222">
        <v>1</v>
      </c>
      <c r="P5307" s="222">
        <v>0</v>
      </c>
      <c r="Q5307" s="222">
        <v>0</v>
      </c>
      <c r="R5307" s="1195">
        <v>7360</v>
      </c>
      <c r="S5307" s="1195">
        <v>7360</v>
      </c>
      <c r="T5307" s="222" t="s">
        <v>5448</v>
      </c>
      <c r="U5307" s="1527" t="s">
        <v>118</v>
      </c>
      <c r="V5307" s="222" t="s">
        <v>18060</v>
      </c>
      <c r="W5307" s="2155" t="s">
        <v>18061</v>
      </c>
      <c r="X5307" s="818"/>
      <c r="Y5307" s="1161"/>
    </row>
    <row r="5308" spans="1:25" ht="15.75" hidden="1" customHeight="1">
      <c r="A5308" s="222">
        <v>5317</v>
      </c>
      <c r="B5308" s="858">
        <v>44656</v>
      </c>
      <c r="C5308" s="129" t="s">
        <v>18062</v>
      </c>
      <c r="D5308" s="11" t="s">
        <v>6</v>
      </c>
      <c r="E5308" s="818" t="s">
        <v>18035</v>
      </c>
      <c r="F5308" s="1006" t="s">
        <v>2143</v>
      </c>
      <c r="G5308" s="458" t="s">
        <v>18063</v>
      </c>
      <c r="H5308" s="222" t="s">
        <v>1085</v>
      </c>
      <c r="I5308" s="222" t="s">
        <v>574</v>
      </c>
      <c r="J5308" s="183" t="s">
        <v>18064</v>
      </c>
      <c r="K5308" s="183" t="s">
        <v>18065</v>
      </c>
      <c r="L5308" s="613"/>
      <c r="M5308" s="183">
        <v>1</v>
      </c>
      <c r="N5308" s="183">
        <v>1</v>
      </c>
      <c r="O5308" s="222">
        <v>3</v>
      </c>
      <c r="P5308" s="222">
        <v>0</v>
      </c>
      <c r="Q5308" s="222">
        <v>0</v>
      </c>
      <c r="R5308" s="1195">
        <v>1778</v>
      </c>
      <c r="S5308" s="1195">
        <f>R5308*O5308</f>
        <v>5334</v>
      </c>
      <c r="T5308" s="222" t="s">
        <v>5448</v>
      </c>
      <c r="U5308" s="1527" t="s">
        <v>118</v>
      </c>
      <c r="V5308" s="222" t="s">
        <v>18060</v>
      </c>
      <c r="W5308" s="2155" t="s">
        <v>18066</v>
      </c>
      <c r="X5308" s="818"/>
      <c r="Y5308" s="1161"/>
    </row>
    <row r="5309" spans="1:25" ht="15.75" hidden="1" customHeight="1">
      <c r="A5309" s="222">
        <v>5318</v>
      </c>
      <c r="B5309" s="858">
        <v>44656</v>
      </c>
      <c r="C5309" s="129" t="s">
        <v>6657</v>
      </c>
      <c r="D5309" s="1445"/>
      <c r="E5309" s="818" t="s">
        <v>17683</v>
      </c>
      <c r="F5309" s="1006" t="s">
        <v>11323</v>
      </c>
      <c r="G5309" s="863" t="s">
        <v>18067</v>
      </c>
      <c r="H5309" s="222" t="s">
        <v>3898</v>
      </c>
      <c r="I5309" s="222" t="s">
        <v>15627</v>
      </c>
      <c r="J5309" s="183" t="s">
        <v>15628</v>
      </c>
      <c r="K5309" s="183" t="s">
        <v>8112</v>
      </c>
      <c r="L5309" s="613"/>
      <c r="M5309" s="183">
        <v>0</v>
      </c>
      <c r="N5309" s="183">
        <v>5</v>
      </c>
      <c r="O5309" s="222">
        <v>20</v>
      </c>
      <c r="P5309" s="222">
        <v>6</v>
      </c>
      <c r="Q5309" s="222">
        <v>26</v>
      </c>
      <c r="R5309" s="1195">
        <v>25400</v>
      </c>
      <c r="S5309" s="1195">
        <v>25400</v>
      </c>
      <c r="T5309" s="222" t="s">
        <v>18068</v>
      </c>
      <c r="U5309" s="1527" t="s">
        <v>3637</v>
      </c>
      <c r="V5309" s="222" t="s">
        <v>3504</v>
      </c>
      <c r="W5309" s="2155" t="s">
        <v>15909</v>
      </c>
      <c r="X5309" s="818"/>
      <c r="Y5309" s="1161"/>
    </row>
    <row r="5310" spans="1:25" ht="15.75" hidden="1" customHeight="1">
      <c r="A5310" s="222">
        <v>5319</v>
      </c>
      <c r="B5310" s="858">
        <v>44656</v>
      </c>
      <c r="C5310" s="129" t="s">
        <v>18069</v>
      </c>
      <c r="D5310" s="1445"/>
      <c r="E5310" s="818" t="s">
        <v>17683</v>
      </c>
      <c r="F5310" s="1006" t="s">
        <v>11323</v>
      </c>
      <c r="G5310" s="863" t="s">
        <v>18070</v>
      </c>
      <c r="H5310" s="222" t="s">
        <v>18071</v>
      </c>
      <c r="I5310" s="222" t="s">
        <v>574</v>
      </c>
      <c r="J5310" s="183" t="s">
        <v>18072</v>
      </c>
      <c r="K5310" s="183" t="s">
        <v>18073</v>
      </c>
      <c r="L5310" s="613"/>
      <c r="M5310" s="183">
        <v>4</v>
      </c>
      <c r="N5310" s="183">
        <v>1</v>
      </c>
      <c r="O5310" s="222">
        <v>10</v>
      </c>
      <c r="P5310" s="222">
        <v>0</v>
      </c>
      <c r="Q5310" s="222">
        <v>10</v>
      </c>
      <c r="R5310" s="1195">
        <v>453</v>
      </c>
      <c r="S5310" s="1195">
        <v>4537</v>
      </c>
      <c r="T5310" s="222" t="s">
        <v>15908</v>
      </c>
      <c r="U5310" s="1527" t="s">
        <v>3637</v>
      </c>
      <c r="V5310" s="222" t="s">
        <v>3504</v>
      </c>
      <c r="W5310" s="2155" t="s">
        <v>18074</v>
      </c>
      <c r="X5310" s="818"/>
      <c r="Y5310" s="1161"/>
    </row>
    <row r="5311" spans="1:25" ht="15.75" hidden="1" customHeight="1">
      <c r="A5311" s="222">
        <v>5320</v>
      </c>
      <c r="B5311" s="858">
        <v>44656</v>
      </c>
      <c r="C5311" s="129" t="s">
        <v>18069</v>
      </c>
      <c r="D5311" s="1445"/>
      <c r="E5311" s="818" t="s">
        <v>17683</v>
      </c>
      <c r="F5311" s="1006" t="s">
        <v>11323</v>
      </c>
      <c r="G5311" s="863" t="s">
        <v>18075</v>
      </c>
      <c r="H5311" s="222" t="s">
        <v>18071</v>
      </c>
      <c r="I5311" s="222" t="s">
        <v>574</v>
      </c>
      <c r="J5311" s="183" t="s">
        <v>18076</v>
      </c>
      <c r="K5311" s="183" t="s">
        <v>18077</v>
      </c>
      <c r="L5311" s="613"/>
      <c r="M5311" s="183">
        <v>2</v>
      </c>
      <c r="N5311" s="183">
        <v>1</v>
      </c>
      <c r="O5311" s="222">
        <v>10</v>
      </c>
      <c r="P5311" s="222">
        <v>0</v>
      </c>
      <c r="Q5311" s="222">
        <v>10</v>
      </c>
      <c r="R5311" s="1195">
        <v>780</v>
      </c>
      <c r="S5311" s="1195">
        <v>7801</v>
      </c>
      <c r="T5311" s="222" t="s">
        <v>15908</v>
      </c>
      <c r="U5311" s="1527" t="s">
        <v>3637</v>
      </c>
      <c r="V5311" s="222" t="s">
        <v>3504</v>
      </c>
      <c r="W5311" s="2155" t="s">
        <v>18078</v>
      </c>
      <c r="X5311" s="818"/>
      <c r="Y5311" s="1161"/>
    </row>
    <row r="5312" spans="1:25" ht="15.75" hidden="1" customHeight="1">
      <c r="A5312" s="222">
        <v>5321</v>
      </c>
      <c r="B5312" s="858">
        <v>44656</v>
      </c>
      <c r="C5312" s="129" t="s">
        <v>13490</v>
      </c>
      <c r="D5312" s="1445"/>
      <c r="E5312" s="818" t="s">
        <v>17683</v>
      </c>
      <c r="F5312" s="1006" t="s">
        <v>11323</v>
      </c>
      <c r="G5312" s="863" t="s">
        <v>18079</v>
      </c>
      <c r="H5312" s="1193" t="s">
        <v>18080</v>
      </c>
      <c r="I5312" s="222" t="s">
        <v>574</v>
      </c>
      <c r="J5312" s="183" t="s">
        <v>461</v>
      </c>
      <c r="K5312" s="183" t="s">
        <v>462</v>
      </c>
      <c r="L5312" s="613"/>
      <c r="M5312" s="183">
        <v>10</v>
      </c>
      <c r="N5312" s="183">
        <v>1</v>
      </c>
      <c r="O5312" s="222">
        <v>35</v>
      </c>
      <c r="P5312" s="222">
        <v>6</v>
      </c>
      <c r="Q5312" s="222">
        <v>41</v>
      </c>
      <c r="R5312" s="1195">
        <v>142</v>
      </c>
      <c r="S5312" s="1195">
        <v>4972</v>
      </c>
      <c r="T5312" s="222" t="s">
        <v>15908</v>
      </c>
      <c r="U5312" s="1527" t="s">
        <v>3637</v>
      </c>
      <c r="V5312" s="222" t="s">
        <v>3504</v>
      </c>
      <c r="W5312" s="2155" t="s">
        <v>18081</v>
      </c>
      <c r="X5312" s="818"/>
      <c r="Y5312" s="1161"/>
    </row>
    <row r="5313" spans="1:52" ht="15.75" hidden="1" customHeight="1">
      <c r="A5313" s="222">
        <v>5322</v>
      </c>
      <c r="B5313" s="858">
        <v>44656</v>
      </c>
      <c r="C5313" s="129" t="s">
        <v>18082</v>
      </c>
      <c r="D5313" s="1445"/>
      <c r="E5313" s="818" t="s">
        <v>17683</v>
      </c>
      <c r="F5313" s="1006" t="s">
        <v>11323</v>
      </c>
      <c r="G5313" s="863" t="s">
        <v>18083</v>
      </c>
      <c r="H5313" s="222" t="s">
        <v>468</v>
      </c>
      <c r="I5313" s="222" t="s">
        <v>113</v>
      </c>
      <c r="J5313" s="183">
        <v>11317172</v>
      </c>
      <c r="K5313" s="183" t="s">
        <v>469</v>
      </c>
      <c r="L5313" s="613"/>
      <c r="M5313" s="183">
        <v>10</v>
      </c>
      <c r="N5313" s="183">
        <v>10</v>
      </c>
      <c r="O5313" s="222">
        <v>50</v>
      </c>
      <c r="P5313" s="222">
        <v>10</v>
      </c>
      <c r="Q5313" s="222">
        <v>60</v>
      </c>
      <c r="R5313" s="1195">
        <v>699</v>
      </c>
      <c r="S5313" s="1195">
        <v>3495</v>
      </c>
      <c r="T5313" s="222" t="s">
        <v>15908</v>
      </c>
      <c r="U5313" s="1527" t="s">
        <v>3637</v>
      </c>
      <c r="V5313" s="222" t="s">
        <v>3504</v>
      </c>
      <c r="W5313" s="2155" t="s">
        <v>18084</v>
      </c>
      <c r="X5313" s="818"/>
      <c r="Y5313" s="1161"/>
    </row>
    <row r="5314" spans="1:52" ht="15.75" hidden="1" customHeight="1">
      <c r="A5314" s="222">
        <v>5323</v>
      </c>
      <c r="B5314" s="858">
        <v>44656</v>
      </c>
      <c r="C5314" s="129" t="s">
        <v>1824</v>
      </c>
      <c r="D5314" s="8" t="s">
        <v>6</v>
      </c>
      <c r="E5314" s="818" t="s">
        <v>17683</v>
      </c>
      <c r="F5314" s="1006" t="s">
        <v>11323</v>
      </c>
      <c r="G5314" s="863" t="s">
        <v>18085</v>
      </c>
      <c r="H5314" s="1193" t="s">
        <v>18086</v>
      </c>
      <c r="I5314" s="222" t="s">
        <v>18087</v>
      </c>
      <c r="J5314" s="183" t="s">
        <v>453</v>
      </c>
      <c r="K5314" s="183" t="s">
        <v>454</v>
      </c>
      <c r="L5314" s="613"/>
      <c r="M5314" s="183">
        <v>20</v>
      </c>
      <c r="N5314" s="183">
        <v>1</v>
      </c>
      <c r="O5314" s="222">
        <v>50</v>
      </c>
      <c r="P5314" s="222">
        <v>0</v>
      </c>
      <c r="Q5314" s="222">
        <v>50</v>
      </c>
      <c r="R5314" s="1195">
        <v>55.5</v>
      </c>
      <c r="S5314" s="1195">
        <v>2830</v>
      </c>
      <c r="T5314" s="222" t="s">
        <v>15908</v>
      </c>
      <c r="U5314" s="1527" t="s">
        <v>3637</v>
      </c>
      <c r="V5314" s="222" t="s">
        <v>3504</v>
      </c>
      <c r="W5314" s="2155" t="s">
        <v>18088</v>
      </c>
      <c r="X5314" s="818"/>
      <c r="Y5314" s="1161"/>
    </row>
    <row r="5315" spans="1:52" ht="15.75" hidden="1" customHeight="1">
      <c r="A5315" s="222">
        <v>5324</v>
      </c>
      <c r="B5315" s="858">
        <v>44657</v>
      </c>
      <c r="C5315" s="129" t="s">
        <v>9855</v>
      </c>
      <c r="D5315" s="11" t="s">
        <v>6</v>
      </c>
      <c r="E5315" s="818" t="s">
        <v>17683</v>
      </c>
      <c r="F5315" s="1006" t="s">
        <v>13277</v>
      </c>
      <c r="G5315" s="863" t="s">
        <v>18089</v>
      </c>
      <c r="H5315" s="222" t="s">
        <v>9466</v>
      </c>
      <c r="I5315" s="222" t="s">
        <v>113</v>
      </c>
      <c r="J5315" s="183">
        <v>37099754</v>
      </c>
      <c r="K5315" s="183" t="s">
        <v>9467</v>
      </c>
      <c r="L5315" s="613"/>
      <c r="M5315" s="183">
        <v>3</v>
      </c>
      <c r="N5315" s="183">
        <v>1</v>
      </c>
      <c r="O5315" s="222">
        <v>10</v>
      </c>
      <c r="P5315" s="222">
        <v>0</v>
      </c>
      <c r="Q5315" s="222">
        <v>7</v>
      </c>
      <c r="R5315" s="1195">
        <v>699</v>
      </c>
      <c r="S5315" s="1195">
        <f>R5315*O5315</f>
        <v>6990</v>
      </c>
      <c r="T5315" s="222" t="s">
        <v>6634</v>
      </c>
      <c r="U5315" s="1527" t="s">
        <v>18090</v>
      </c>
      <c r="V5315" s="222" t="s">
        <v>18091</v>
      </c>
      <c r="W5315" s="2155" t="s">
        <v>18092</v>
      </c>
      <c r="X5315" s="818"/>
      <c r="Y5315" s="1161"/>
    </row>
    <row r="5316" spans="1:52" ht="15.75" hidden="1" customHeight="1">
      <c r="A5316" s="222">
        <v>5325</v>
      </c>
      <c r="B5316" s="858">
        <v>44657</v>
      </c>
      <c r="C5316" s="129" t="s">
        <v>18093</v>
      </c>
      <c r="D5316" s="11" t="s">
        <v>6</v>
      </c>
      <c r="E5316" s="818" t="s">
        <v>17683</v>
      </c>
      <c r="F5316" s="1006" t="s">
        <v>13277</v>
      </c>
      <c r="G5316" s="859" t="s">
        <v>18094</v>
      </c>
      <c r="H5316" s="1193" t="s">
        <v>18095</v>
      </c>
      <c r="I5316" s="222" t="s">
        <v>18087</v>
      </c>
      <c r="J5316" s="129" t="s">
        <v>18096</v>
      </c>
      <c r="K5316" s="183" t="s">
        <v>18097</v>
      </c>
      <c r="L5316" s="613" t="s">
        <v>18098</v>
      </c>
      <c r="M5316" s="183">
        <v>5</v>
      </c>
      <c r="N5316" s="183">
        <v>1</v>
      </c>
      <c r="O5316" s="222">
        <v>10</v>
      </c>
      <c r="P5316" s="222">
        <v>5</v>
      </c>
      <c r="Q5316" s="222">
        <v>5</v>
      </c>
      <c r="R5316" s="1195">
        <v>859.8</v>
      </c>
      <c r="S5316" s="1195">
        <f>R5316*O5316</f>
        <v>8598</v>
      </c>
      <c r="T5316" s="222" t="s">
        <v>6634</v>
      </c>
      <c r="U5316" s="1527" t="s">
        <v>18090</v>
      </c>
      <c r="V5316" s="222" t="s">
        <v>18091</v>
      </c>
      <c r="W5316" s="2155" t="s">
        <v>18099</v>
      </c>
      <c r="X5316" s="818"/>
      <c r="Y5316" s="1161"/>
    </row>
    <row r="5317" spans="1:52" s="850" customFormat="1" ht="15.75" hidden="1" customHeight="1">
      <c r="A5317" s="646">
        <v>5326</v>
      </c>
      <c r="B5317" s="1416">
        <v>44657</v>
      </c>
      <c r="C5317" s="1489" t="s">
        <v>18100</v>
      </c>
      <c r="D5317" s="417"/>
      <c r="E5317" s="1485" t="s">
        <v>17683</v>
      </c>
      <c r="F5317" s="1043" t="s">
        <v>13277</v>
      </c>
      <c r="G5317" s="1489" t="s">
        <v>18100</v>
      </c>
      <c r="H5317" s="646" t="s">
        <v>18101</v>
      </c>
      <c r="I5317" s="646" t="s">
        <v>76</v>
      </c>
      <c r="J5317" s="646" t="s">
        <v>18102</v>
      </c>
      <c r="K5317" s="646" t="s">
        <v>18103</v>
      </c>
      <c r="L5317" s="608"/>
      <c r="M5317" s="646">
        <v>4</v>
      </c>
      <c r="N5317" s="646">
        <v>1</v>
      </c>
      <c r="O5317" s="646">
        <v>4</v>
      </c>
      <c r="P5317" s="646">
        <v>0</v>
      </c>
      <c r="Q5317" s="646">
        <v>0</v>
      </c>
      <c r="R5317" s="1486">
        <v>4855</v>
      </c>
      <c r="S5317" s="1486">
        <f>R5317*O5317</f>
        <v>19420</v>
      </c>
      <c r="T5317" s="646" t="s">
        <v>18104</v>
      </c>
      <c r="U5317" s="1966" t="s">
        <v>18090</v>
      </c>
      <c r="V5317" s="646" t="s">
        <v>5990</v>
      </c>
      <c r="W5317" s="2166" t="s">
        <v>18105</v>
      </c>
      <c r="X5317" s="818" t="s">
        <v>18106</v>
      </c>
      <c r="Y5317" s="1490"/>
      <c r="Z5317" s="459"/>
      <c r="AA5317" s="459"/>
      <c r="AB5317" s="459"/>
      <c r="AC5317" s="459"/>
      <c r="AD5317" s="459"/>
      <c r="AE5317" s="459"/>
      <c r="AF5317" s="459"/>
      <c r="AG5317" s="459"/>
      <c r="AH5317" s="459"/>
      <c r="AI5317" s="459"/>
      <c r="AJ5317" s="459"/>
      <c r="AK5317" s="459"/>
      <c r="AL5317" s="459"/>
      <c r="AM5317" s="459"/>
      <c r="AN5317" s="459"/>
      <c r="AO5317" s="459"/>
      <c r="AP5317" s="459"/>
      <c r="AQ5317" s="459"/>
      <c r="AR5317" s="459"/>
      <c r="AS5317" s="459"/>
      <c r="AT5317" s="459"/>
      <c r="AU5317" s="459"/>
      <c r="AV5317" s="459"/>
      <c r="AW5317" s="459"/>
      <c r="AX5317" s="459"/>
      <c r="AY5317" s="459"/>
      <c r="AZ5317" s="459"/>
    </row>
    <row r="5318" spans="1:52" ht="15.75" hidden="1" customHeight="1">
      <c r="A5318" s="222">
        <v>5327</v>
      </c>
      <c r="B5318" s="858">
        <v>44657</v>
      </c>
      <c r="C5318" s="129" t="s">
        <v>18107</v>
      </c>
      <c r="D5318" s="11" t="s">
        <v>6</v>
      </c>
      <c r="E5318" s="818" t="s">
        <v>17683</v>
      </c>
      <c r="F5318" s="1006" t="s">
        <v>13277</v>
      </c>
      <c r="G5318" s="863" t="s">
        <v>18108</v>
      </c>
      <c r="H5318" s="222" t="s">
        <v>18109</v>
      </c>
      <c r="I5318" s="222" t="s">
        <v>4148</v>
      </c>
      <c r="J5318" s="183" t="s">
        <v>18110</v>
      </c>
      <c r="K5318" s="183" t="s">
        <v>18111</v>
      </c>
      <c r="L5318" s="613"/>
      <c r="M5318" s="183">
        <v>1</v>
      </c>
      <c r="N5318" s="183">
        <v>1</v>
      </c>
      <c r="O5318" s="222">
        <v>2</v>
      </c>
      <c r="P5318" s="222">
        <v>0</v>
      </c>
      <c r="Q5318" s="222">
        <v>1</v>
      </c>
      <c r="R5318" s="1195">
        <v>799</v>
      </c>
      <c r="S5318" s="1195">
        <f>R5318*O5318</f>
        <v>1598</v>
      </c>
      <c r="T5318" s="222" t="s">
        <v>6634</v>
      </c>
      <c r="U5318" s="1527" t="s">
        <v>18090</v>
      </c>
      <c r="V5318" s="222" t="s">
        <v>18091</v>
      </c>
      <c r="W5318" s="2155" t="s">
        <v>18112</v>
      </c>
      <c r="X5318" s="818"/>
      <c r="Y5318" s="1161"/>
    </row>
    <row r="5319" spans="1:52" ht="15.75" hidden="1" customHeight="1">
      <c r="A5319" s="222">
        <v>5328</v>
      </c>
      <c r="B5319" s="858">
        <v>44658</v>
      </c>
      <c r="C5319" s="129" t="s">
        <v>4644</v>
      </c>
      <c r="D5319" s="8" t="s">
        <v>6</v>
      </c>
      <c r="E5319" s="818" t="s">
        <v>62</v>
      </c>
      <c r="F5319" s="1006" t="s">
        <v>13447</v>
      </c>
      <c r="G5319" s="863"/>
      <c r="H5319" s="222"/>
      <c r="I5319" s="222" t="s">
        <v>4646</v>
      </c>
      <c r="J5319" s="183"/>
      <c r="K5319" s="183"/>
      <c r="L5319" s="613"/>
      <c r="M5319" s="183"/>
      <c r="N5319" s="183"/>
      <c r="O5319" s="222"/>
      <c r="P5319" s="222"/>
      <c r="Q5319" s="222"/>
      <c r="S5319" s="1195">
        <v>12900</v>
      </c>
      <c r="T5319" s="222" t="s">
        <v>3961</v>
      </c>
      <c r="U5319" s="1527"/>
      <c r="W5319" s="2155"/>
      <c r="X5319" s="818"/>
      <c r="Y5319" s="1161"/>
    </row>
    <row r="5320" spans="1:52" ht="15.75" hidden="1" customHeight="1">
      <c r="A5320" s="222">
        <v>5329</v>
      </c>
      <c r="B5320" s="858">
        <v>44658</v>
      </c>
      <c r="C5320" s="129" t="s">
        <v>4832</v>
      </c>
      <c r="D5320" s="11" t="s">
        <v>6</v>
      </c>
      <c r="E5320" s="818" t="s">
        <v>18035</v>
      </c>
      <c r="F5320" s="1006" t="s">
        <v>2143</v>
      </c>
      <c r="G5320" s="863" t="s">
        <v>18113</v>
      </c>
      <c r="H5320" s="222"/>
      <c r="I5320" s="222"/>
      <c r="J5320" s="183"/>
      <c r="K5320" s="183"/>
      <c r="L5320" s="613"/>
      <c r="M5320" s="183">
        <v>1</v>
      </c>
      <c r="N5320" s="183">
        <v>1</v>
      </c>
      <c r="O5320" s="222">
        <v>1</v>
      </c>
      <c r="P5320" s="222">
        <v>0</v>
      </c>
      <c r="Q5320" s="222">
        <v>0</v>
      </c>
      <c r="R5320" s="1195">
        <v>119</v>
      </c>
      <c r="S5320" s="1195">
        <v>119</v>
      </c>
      <c r="T5320" s="222" t="s">
        <v>5448</v>
      </c>
      <c r="U5320" s="1527" t="s">
        <v>18114</v>
      </c>
      <c r="V5320" s="222" t="s">
        <v>2875</v>
      </c>
      <c r="W5320" s="2155"/>
      <c r="X5320" s="818"/>
      <c r="Y5320" s="1161"/>
    </row>
    <row r="5321" spans="1:52" ht="15.75" hidden="1" customHeight="1">
      <c r="A5321" s="222">
        <v>5330</v>
      </c>
      <c r="B5321" s="858">
        <v>44662</v>
      </c>
      <c r="C5321" s="129" t="s">
        <v>18115</v>
      </c>
      <c r="D5321" s="8" t="s">
        <v>6</v>
      </c>
      <c r="E5321" s="818" t="s">
        <v>62</v>
      </c>
      <c r="F5321" s="1006" t="s">
        <v>13447</v>
      </c>
      <c r="G5321" s="863" t="s">
        <v>18116</v>
      </c>
      <c r="H5321" s="222" t="s">
        <v>482</v>
      </c>
      <c r="I5321" s="222" t="s">
        <v>482</v>
      </c>
      <c r="J5321" s="183">
        <v>8444710</v>
      </c>
      <c r="K5321" s="183"/>
      <c r="L5321" s="613"/>
      <c r="M5321" s="183">
        <v>3</v>
      </c>
      <c r="N5321" s="183">
        <v>1</v>
      </c>
      <c r="O5321" s="222">
        <v>3</v>
      </c>
      <c r="P5321" s="222">
        <v>1</v>
      </c>
      <c r="Q5321" s="222">
        <v>4</v>
      </c>
      <c r="R5321" s="1195">
        <v>249</v>
      </c>
      <c r="S5321" s="1195">
        <f>R5321*O5321</f>
        <v>747</v>
      </c>
      <c r="T5321" s="222" t="s">
        <v>3961</v>
      </c>
      <c r="U5321" s="1527"/>
      <c r="V5321" s="222" t="s">
        <v>801</v>
      </c>
      <c r="W5321" s="2155" t="s">
        <v>18117</v>
      </c>
      <c r="X5321" s="818"/>
      <c r="Y5321" s="1161"/>
    </row>
    <row r="5322" spans="1:52" ht="15.75" hidden="1" customHeight="1">
      <c r="A5322" s="222">
        <v>5331</v>
      </c>
      <c r="B5322" s="858">
        <v>44662</v>
      </c>
      <c r="C5322" s="129" t="s">
        <v>18118</v>
      </c>
      <c r="D5322" s="10"/>
      <c r="E5322" s="818" t="s">
        <v>17683</v>
      </c>
      <c r="F5322" s="1006" t="s">
        <v>13277</v>
      </c>
      <c r="G5322" s="859" t="s">
        <v>18119</v>
      </c>
      <c r="H5322" s="222" t="s">
        <v>7066</v>
      </c>
      <c r="I5322" s="222" t="s">
        <v>18087</v>
      </c>
      <c r="J5322" s="129" t="s">
        <v>18120</v>
      </c>
      <c r="K5322" s="183" t="s">
        <v>18121</v>
      </c>
      <c r="L5322" s="613" t="s">
        <v>18122</v>
      </c>
      <c r="M5322" s="183">
        <v>3</v>
      </c>
      <c r="N5322" s="183">
        <v>1</v>
      </c>
      <c r="O5322" s="222">
        <v>5</v>
      </c>
      <c r="P5322" s="222">
        <v>0</v>
      </c>
      <c r="Q5322" s="222">
        <f>O5322-M5322</f>
        <v>2</v>
      </c>
      <c r="R5322" s="1195">
        <v>3944.6</v>
      </c>
      <c r="S5322" s="1195">
        <f>R5322*O5322</f>
        <v>19723</v>
      </c>
      <c r="T5322" s="222" t="s">
        <v>12425</v>
      </c>
      <c r="U5322" s="1527" t="s">
        <v>18090</v>
      </c>
      <c r="V5322" s="222" t="s">
        <v>5990</v>
      </c>
      <c r="W5322" s="2155" t="s">
        <v>18123</v>
      </c>
      <c r="X5322" s="818"/>
      <c r="Y5322" s="1161"/>
    </row>
    <row r="5323" spans="1:52" ht="15.75" hidden="1" customHeight="1">
      <c r="A5323" s="222">
        <v>5332</v>
      </c>
      <c r="B5323" s="858">
        <v>44662</v>
      </c>
      <c r="C5323" s="129" t="s">
        <v>18124</v>
      </c>
      <c r="D5323" s="11" t="s">
        <v>6</v>
      </c>
      <c r="E5323" s="818" t="s">
        <v>683</v>
      </c>
      <c r="F5323" s="1006" t="s">
        <v>73</v>
      </c>
      <c r="G5323" s="863" t="s">
        <v>18125</v>
      </c>
      <c r="H5323" s="222" t="s">
        <v>366</v>
      </c>
      <c r="I5323" s="222" t="s">
        <v>366</v>
      </c>
      <c r="J5323" s="183" t="s">
        <v>18126</v>
      </c>
      <c r="K5323" s="183" t="s">
        <v>18126</v>
      </c>
      <c r="L5323" s="613"/>
      <c r="M5323" s="183">
        <v>1</v>
      </c>
      <c r="N5323" s="183">
        <v>1</v>
      </c>
      <c r="O5323" s="222">
        <v>1</v>
      </c>
      <c r="P5323" s="222">
        <v>0</v>
      </c>
      <c r="Q5323" s="222">
        <v>0</v>
      </c>
      <c r="R5323" s="1195">
        <v>10101</v>
      </c>
      <c r="S5323" s="1195">
        <v>10101</v>
      </c>
      <c r="T5323" s="222" t="s">
        <v>12328</v>
      </c>
      <c r="U5323" s="1527"/>
      <c r="V5323" s="222" t="s">
        <v>12768</v>
      </c>
      <c r="W5323" s="2155" t="s">
        <v>18127</v>
      </c>
      <c r="X5323" s="818"/>
      <c r="Y5323" s="1161"/>
    </row>
    <row r="5324" spans="1:52" ht="15.75" hidden="1" customHeight="1">
      <c r="A5324" s="222">
        <v>5333</v>
      </c>
      <c r="B5324" s="858">
        <v>44662</v>
      </c>
      <c r="C5324" s="129" t="s">
        <v>18124</v>
      </c>
      <c r="D5324" s="11" t="s">
        <v>6</v>
      </c>
      <c r="E5324" s="818" t="s">
        <v>683</v>
      </c>
      <c r="F5324" s="1006" t="s">
        <v>73</v>
      </c>
      <c r="G5324" s="863" t="s">
        <v>18128</v>
      </c>
      <c r="H5324" s="222" t="s">
        <v>366</v>
      </c>
      <c r="I5324" s="222" t="s">
        <v>366</v>
      </c>
      <c r="J5324" s="183" t="s">
        <v>18129</v>
      </c>
      <c r="K5324" s="183" t="s">
        <v>18129</v>
      </c>
      <c r="L5324" s="613"/>
      <c r="M5324" s="183">
        <v>1</v>
      </c>
      <c r="N5324" s="183">
        <v>1</v>
      </c>
      <c r="O5324" s="222">
        <v>1</v>
      </c>
      <c r="P5324" s="222">
        <v>0</v>
      </c>
      <c r="Q5324" s="222">
        <v>0</v>
      </c>
      <c r="R5324" s="1195">
        <v>12057</v>
      </c>
      <c r="S5324" s="1195">
        <v>12057</v>
      </c>
      <c r="T5324" s="222" t="s">
        <v>12328</v>
      </c>
      <c r="U5324" s="1527"/>
      <c r="V5324" s="222" t="s">
        <v>12768</v>
      </c>
      <c r="W5324" s="2155" t="s">
        <v>18127</v>
      </c>
      <c r="X5324" s="818"/>
      <c r="Y5324" s="1161"/>
    </row>
    <row r="5325" spans="1:52" ht="15.75" hidden="1" customHeight="1">
      <c r="A5325" s="222">
        <v>5334</v>
      </c>
      <c r="B5325" s="858">
        <v>44666</v>
      </c>
      <c r="C5325" s="129" t="s">
        <v>18130</v>
      </c>
      <c r="D5325" s="10"/>
      <c r="E5325" s="818" t="s">
        <v>18035</v>
      </c>
      <c r="F5325" s="1006" t="s">
        <v>2143</v>
      </c>
      <c r="G5325" s="129" t="s">
        <v>18130</v>
      </c>
      <c r="H5325" s="222" t="s">
        <v>18131</v>
      </c>
      <c r="I5325" s="222" t="s">
        <v>76</v>
      </c>
      <c r="J5325" s="183">
        <v>3478260</v>
      </c>
      <c r="K5325" s="183" t="s">
        <v>18132</v>
      </c>
      <c r="L5325" s="613"/>
      <c r="M5325" s="183">
        <v>1</v>
      </c>
      <c r="N5325" s="183">
        <v>1</v>
      </c>
      <c r="O5325" s="222">
        <v>1</v>
      </c>
      <c r="P5325" s="222">
        <v>0</v>
      </c>
      <c r="Q5325" s="222">
        <v>0</v>
      </c>
      <c r="R5325" s="1195">
        <v>1542</v>
      </c>
      <c r="S5325" s="1195">
        <v>1542</v>
      </c>
      <c r="T5325" s="222" t="s">
        <v>5949</v>
      </c>
      <c r="U5325" s="1527" t="s">
        <v>1</v>
      </c>
      <c r="V5325" s="222" t="s">
        <v>18133</v>
      </c>
      <c r="W5325" s="2155" t="s">
        <v>18134</v>
      </c>
      <c r="X5325" s="818"/>
      <c r="Y5325" s="1161"/>
    </row>
    <row r="5326" spans="1:52" ht="15.75" hidden="1" customHeight="1">
      <c r="A5326" s="222">
        <v>5335</v>
      </c>
      <c r="B5326" s="858">
        <v>44669</v>
      </c>
      <c r="C5326" s="1179" t="s">
        <v>13635</v>
      </c>
      <c r="D5326" s="11" t="s">
        <v>6</v>
      </c>
      <c r="E5326" s="818" t="s">
        <v>683</v>
      </c>
      <c r="F5326" s="869" t="s">
        <v>10005</v>
      </c>
      <c r="G5326" s="869" t="s">
        <v>18135</v>
      </c>
      <c r="H5326" s="869" t="s">
        <v>13637</v>
      </c>
      <c r="I5326" s="869" t="s">
        <v>84</v>
      </c>
      <c r="J5326" s="869" t="s">
        <v>149</v>
      </c>
      <c r="K5326" s="869" t="s">
        <v>18136</v>
      </c>
      <c r="L5326" s="869" t="s">
        <v>13626</v>
      </c>
      <c r="M5326" s="869" t="s">
        <v>18137</v>
      </c>
      <c r="N5326" s="869">
        <v>1</v>
      </c>
      <c r="O5326" s="869">
        <v>1</v>
      </c>
      <c r="P5326" s="869" t="s">
        <v>18138</v>
      </c>
      <c r="Q5326" s="869" t="s">
        <v>18139</v>
      </c>
      <c r="R5326" s="869" t="s">
        <v>18140</v>
      </c>
      <c r="S5326" s="1458" t="s">
        <v>18140</v>
      </c>
      <c r="T5326" s="869" t="s">
        <v>4220</v>
      </c>
      <c r="U5326" s="1963" t="s">
        <v>4220</v>
      </c>
      <c r="V5326" s="1841" t="s">
        <v>5604</v>
      </c>
      <c r="W5326" s="1455" t="s">
        <v>18141</v>
      </c>
      <c r="X5326" s="818"/>
      <c r="Y5326" s="1161"/>
    </row>
    <row r="5327" spans="1:52" ht="15.75" hidden="1" customHeight="1">
      <c r="A5327" s="222">
        <v>5336</v>
      </c>
      <c r="B5327" s="858">
        <v>44669</v>
      </c>
      <c r="C5327" s="1441" t="s">
        <v>18142</v>
      </c>
      <c r="D5327" s="11" t="s">
        <v>6</v>
      </c>
      <c r="E5327" s="818" t="s">
        <v>683</v>
      </c>
      <c r="F5327" s="900" t="s">
        <v>10005</v>
      </c>
      <c r="G5327" s="900" t="s">
        <v>18143</v>
      </c>
      <c r="H5327" s="900" t="s">
        <v>18144</v>
      </c>
      <c r="I5327" s="900" t="s">
        <v>84</v>
      </c>
      <c r="J5327" s="900" t="s">
        <v>149</v>
      </c>
      <c r="K5327" s="900" t="s">
        <v>18145</v>
      </c>
      <c r="L5327" s="900" t="s">
        <v>149</v>
      </c>
      <c r="M5327" s="900" t="s">
        <v>18146</v>
      </c>
      <c r="N5327" s="900">
        <v>1</v>
      </c>
      <c r="O5327" s="900">
        <v>3</v>
      </c>
      <c r="P5327" s="900">
        <v>0</v>
      </c>
      <c r="Q5327" s="900">
        <v>1</v>
      </c>
      <c r="R5327" s="1442" t="s">
        <v>18147</v>
      </c>
      <c r="S5327" s="1459" t="s">
        <v>18148</v>
      </c>
      <c r="T5327" s="1442" t="s">
        <v>4220</v>
      </c>
      <c r="U5327" s="1970" t="s">
        <v>4220</v>
      </c>
      <c r="V5327" s="1841" t="s">
        <v>5604</v>
      </c>
      <c r="W5327" s="890" t="s">
        <v>18149</v>
      </c>
      <c r="X5327" s="818"/>
      <c r="Y5327" s="1161"/>
    </row>
    <row r="5328" spans="1:52" ht="15.75" hidden="1" customHeight="1">
      <c r="A5328" s="222">
        <v>5337</v>
      </c>
      <c r="B5328" s="858">
        <v>44669</v>
      </c>
      <c r="C5328" s="1441" t="s">
        <v>18150</v>
      </c>
      <c r="D5328" s="11" t="s">
        <v>6</v>
      </c>
      <c r="E5328" s="818" t="s">
        <v>683</v>
      </c>
      <c r="F5328" s="900" t="s">
        <v>10005</v>
      </c>
      <c r="G5328" s="900" t="s">
        <v>18151</v>
      </c>
      <c r="H5328" s="900" t="s">
        <v>18144</v>
      </c>
      <c r="I5328" s="900" t="s">
        <v>84</v>
      </c>
      <c r="J5328" s="900" t="s">
        <v>149</v>
      </c>
      <c r="K5328" s="900" t="s">
        <v>18152</v>
      </c>
      <c r="L5328" s="900" t="s">
        <v>149</v>
      </c>
      <c r="M5328" s="900" t="s">
        <v>18146</v>
      </c>
      <c r="N5328" s="900">
        <v>1</v>
      </c>
      <c r="O5328" s="900">
        <v>2</v>
      </c>
      <c r="P5328" s="900">
        <v>0</v>
      </c>
      <c r="Q5328" s="900">
        <v>1</v>
      </c>
      <c r="R5328" s="1442" t="s">
        <v>18153</v>
      </c>
      <c r="S5328" s="1459" t="s">
        <v>18154</v>
      </c>
      <c r="T5328" s="1442" t="s">
        <v>4220</v>
      </c>
      <c r="U5328" s="1970" t="s">
        <v>4220</v>
      </c>
      <c r="V5328" s="1841" t="s">
        <v>5604</v>
      </c>
      <c r="W5328" s="890" t="s">
        <v>18155</v>
      </c>
      <c r="X5328" s="818"/>
      <c r="Y5328" s="1161"/>
    </row>
    <row r="5329" spans="1:25" ht="15.75" hidden="1" customHeight="1">
      <c r="A5329" s="222">
        <v>5338</v>
      </c>
      <c r="B5329" s="858">
        <v>44669</v>
      </c>
      <c r="C5329" s="1441" t="s">
        <v>18156</v>
      </c>
      <c r="D5329" s="11" t="s">
        <v>6</v>
      </c>
      <c r="E5329" s="818" t="s">
        <v>683</v>
      </c>
      <c r="F5329" s="900" t="s">
        <v>10005</v>
      </c>
      <c r="G5329" s="900" t="s">
        <v>18157</v>
      </c>
      <c r="H5329" s="900" t="s">
        <v>18144</v>
      </c>
      <c r="I5329" s="900" t="s">
        <v>84</v>
      </c>
      <c r="J5329" s="900" t="s">
        <v>149</v>
      </c>
      <c r="K5329" s="1457" t="s">
        <v>18158</v>
      </c>
      <c r="L5329" s="900" t="s">
        <v>149</v>
      </c>
      <c r="M5329" s="900" t="s">
        <v>18146</v>
      </c>
      <c r="N5329" s="900">
        <v>1</v>
      </c>
      <c r="O5329" s="900">
        <v>2</v>
      </c>
      <c r="P5329" s="900">
        <v>0</v>
      </c>
      <c r="Q5329" s="900">
        <v>2</v>
      </c>
      <c r="R5329" s="1442" t="s">
        <v>18159</v>
      </c>
      <c r="S5329" s="1459" t="s">
        <v>18160</v>
      </c>
      <c r="T5329" s="1442" t="s">
        <v>4220</v>
      </c>
      <c r="U5329" s="1970" t="s">
        <v>4220</v>
      </c>
      <c r="V5329" s="1841" t="s">
        <v>5604</v>
      </c>
      <c r="W5329" s="898" t="s">
        <v>18161</v>
      </c>
      <c r="X5329" s="818"/>
      <c r="Y5329" s="1161"/>
    </row>
    <row r="5330" spans="1:25" ht="15.75" hidden="1" customHeight="1">
      <c r="A5330" s="222">
        <v>5339</v>
      </c>
      <c r="B5330" s="858">
        <v>44669</v>
      </c>
      <c r="C5330" s="1441" t="s">
        <v>18162</v>
      </c>
      <c r="D5330" s="11" t="s">
        <v>6</v>
      </c>
      <c r="E5330" s="818" t="s">
        <v>683</v>
      </c>
      <c r="F5330" s="900" t="s">
        <v>10005</v>
      </c>
      <c r="G5330" s="900" t="s">
        <v>18151</v>
      </c>
      <c r="H5330" s="900" t="s">
        <v>18144</v>
      </c>
      <c r="I5330" s="900" t="s">
        <v>84</v>
      </c>
      <c r="J5330" s="1497" t="s">
        <v>149</v>
      </c>
      <c r="K5330" s="183" t="s">
        <v>18163</v>
      </c>
      <c r="L5330" s="900" t="s">
        <v>149</v>
      </c>
      <c r="M5330" s="900" t="s">
        <v>18146</v>
      </c>
      <c r="N5330" s="900">
        <v>1</v>
      </c>
      <c r="O5330" s="900">
        <v>2</v>
      </c>
      <c r="P5330" s="900">
        <v>0</v>
      </c>
      <c r="Q5330" s="900">
        <v>2</v>
      </c>
      <c r="R5330" s="1442" t="s">
        <v>18164</v>
      </c>
      <c r="S5330" s="1459" t="s">
        <v>18165</v>
      </c>
      <c r="T5330" s="1442" t="s">
        <v>4220</v>
      </c>
      <c r="U5330" s="1970" t="s">
        <v>4220</v>
      </c>
      <c r="V5330" s="1841" t="s">
        <v>5604</v>
      </c>
      <c r="W5330" s="898" t="s">
        <v>18166</v>
      </c>
      <c r="X5330" s="818"/>
      <c r="Y5330" s="1161"/>
    </row>
    <row r="5331" spans="1:25" ht="15.75" hidden="1" customHeight="1">
      <c r="A5331" s="222">
        <v>5340</v>
      </c>
      <c r="B5331" s="858">
        <v>44669</v>
      </c>
      <c r="C5331" s="1441" t="s">
        <v>18167</v>
      </c>
      <c r="D5331" s="11" t="s">
        <v>6</v>
      </c>
      <c r="E5331" s="818" t="s">
        <v>683</v>
      </c>
      <c r="F5331" s="900" t="s">
        <v>10005</v>
      </c>
      <c r="G5331" s="900" t="s">
        <v>18168</v>
      </c>
      <c r="H5331" s="900" t="s">
        <v>18144</v>
      </c>
      <c r="I5331" s="900" t="s">
        <v>84</v>
      </c>
      <c r="J5331" s="1497" t="s">
        <v>149</v>
      </c>
      <c r="K5331" s="183" t="s">
        <v>18169</v>
      </c>
      <c r="L5331" s="900" t="s">
        <v>149</v>
      </c>
      <c r="M5331" s="900" t="s">
        <v>18146</v>
      </c>
      <c r="N5331" s="900">
        <v>1</v>
      </c>
      <c r="O5331" s="900">
        <v>2</v>
      </c>
      <c r="P5331" s="900">
        <v>0</v>
      </c>
      <c r="Q5331" s="900">
        <v>2</v>
      </c>
      <c r="R5331" s="1442" t="s">
        <v>18170</v>
      </c>
      <c r="S5331" s="1459" t="s">
        <v>18171</v>
      </c>
      <c r="T5331" s="1442" t="s">
        <v>4220</v>
      </c>
      <c r="U5331" s="1970" t="s">
        <v>4220</v>
      </c>
      <c r="V5331" s="1841" t="s">
        <v>5604</v>
      </c>
      <c r="W5331" s="898" t="s">
        <v>18172</v>
      </c>
      <c r="X5331" s="818"/>
      <c r="Y5331" s="1161"/>
    </row>
    <row r="5332" spans="1:25" ht="15.75" hidden="1" customHeight="1">
      <c r="A5332" s="222">
        <v>5341</v>
      </c>
      <c r="B5332" s="858">
        <v>44669</v>
      </c>
      <c r="C5332" s="1441" t="s">
        <v>18173</v>
      </c>
      <c r="D5332" s="8" t="s">
        <v>6</v>
      </c>
      <c r="E5332" s="818" t="s">
        <v>683</v>
      </c>
      <c r="F5332" s="900" t="s">
        <v>10005</v>
      </c>
      <c r="G5332" s="900" t="s">
        <v>18157</v>
      </c>
      <c r="H5332" s="900" t="s">
        <v>18144</v>
      </c>
      <c r="I5332" s="900" t="s">
        <v>84</v>
      </c>
      <c r="J5332" s="1497" t="s">
        <v>149</v>
      </c>
      <c r="K5332" s="183" t="s">
        <v>18174</v>
      </c>
      <c r="L5332" s="900" t="s">
        <v>149</v>
      </c>
      <c r="M5332" s="900" t="s">
        <v>18146</v>
      </c>
      <c r="N5332" s="900">
        <v>1</v>
      </c>
      <c r="O5332" s="900">
        <v>2</v>
      </c>
      <c r="P5332" s="900">
        <v>0</v>
      </c>
      <c r="Q5332" s="900">
        <v>2</v>
      </c>
      <c r="R5332" s="1442" t="s">
        <v>18175</v>
      </c>
      <c r="S5332" s="1459" t="s">
        <v>18176</v>
      </c>
      <c r="T5332" s="1442" t="s">
        <v>4220</v>
      </c>
      <c r="U5332" s="1970" t="s">
        <v>4220</v>
      </c>
      <c r="V5332" s="1841" t="s">
        <v>5604</v>
      </c>
      <c r="W5332" s="898" t="s">
        <v>18177</v>
      </c>
      <c r="X5332" s="818"/>
      <c r="Y5332" s="1161"/>
    </row>
    <row r="5333" spans="1:25" ht="15.75" hidden="1" customHeight="1">
      <c r="A5333" s="222">
        <v>5342</v>
      </c>
      <c r="B5333" s="858">
        <v>44669</v>
      </c>
      <c r="C5333" s="1456" t="s">
        <v>18178</v>
      </c>
      <c r="D5333" s="8" t="s">
        <v>6</v>
      </c>
      <c r="E5333" s="818" t="s">
        <v>683</v>
      </c>
      <c r="F5333" s="900" t="s">
        <v>10005</v>
      </c>
      <c r="G5333" s="900" t="s">
        <v>18168</v>
      </c>
      <c r="H5333" s="900" t="s">
        <v>18144</v>
      </c>
      <c r="I5333" s="900" t="s">
        <v>84</v>
      </c>
      <c r="J5333" s="1497" t="s">
        <v>149</v>
      </c>
      <c r="K5333" s="183" t="s">
        <v>18179</v>
      </c>
      <c r="L5333" s="900" t="s">
        <v>149</v>
      </c>
      <c r="M5333" s="900" t="s">
        <v>18146</v>
      </c>
      <c r="N5333" s="900">
        <v>1</v>
      </c>
      <c r="O5333" s="900">
        <v>2</v>
      </c>
      <c r="P5333" s="900">
        <v>0</v>
      </c>
      <c r="Q5333" s="900">
        <v>2</v>
      </c>
      <c r="R5333" s="1442" t="s">
        <v>18180</v>
      </c>
      <c r="S5333" s="1459" t="s">
        <v>18181</v>
      </c>
      <c r="T5333" s="1442" t="s">
        <v>4220</v>
      </c>
      <c r="U5333" s="1970" t="s">
        <v>4220</v>
      </c>
      <c r="V5333" s="1841" t="s">
        <v>5604</v>
      </c>
      <c r="W5333" s="898" t="s">
        <v>18182</v>
      </c>
      <c r="X5333" s="818"/>
      <c r="Y5333" s="1161"/>
    </row>
    <row r="5334" spans="1:25" ht="15.75" hidden="1" customHeight="1">
      <c r="A5334" s="222">
        <v>5343</v>
      </c>
      <c r="B5334" s="1394">
        <v>44669</v>
      </c>
      <c r="C5334" s="183" t="s">
        <v>18183</v>
      </c>
      <c r="D5334" s="11" t="s">
        <v>6</v>
      </c>
      <c r="E5334" s="818" t="s">
        <v>683</v>
      </c>
      <c r="F5334" s="900" t="s">
        <v>10005</v>
      </c>
      <c r="G5334" s="900" t="s">
        <v>18184</v>
      </c>
      <c r="H5334" s="900" t="s">
        <v>18144</v>
      </c>
      <c r="I5334" s="900" t="s">
        <v>84</v>
      </c>
      <c r="J5334" s="1497" t="s">
        <v>149</v>
      </c>
      <c r="K5334" s="183" t="s">
        <v>18185</v>
      </c>
      <c r="L5334" s="1457" t="s">
        <v>18186</v>
      </c>
      <c r="M5334" s="1457" t="s">
        <v>18187</v>
      </c>
      <c r="N5334" s="900">
        <v>1</v>
      </c>
      <c r="O5334" s="900">
        <v>12</v>
      </c>
      <c r="P5334" s="900">
        <v>0</v>
      </c>
      <c r="Q5334" s="900">
        <v>6</v>
      </c>
      <c r="R5334" s="1442" t="s">
        <v>18188</v>
      </c>
      <c r="S5334" s="1459" t="s">
        <v>18189</v>
      </c>
      <c r="T5334" s="1442" t="s">
        <v>4220</v>
      </c>
      <c r="U5334" s="1970" t="s">
        <v>4220</v>
      </c>
      <c r="V5334" s="1841" t="s">
        <v>5604</v>
      </c>
      <c r="W5334" s="898" t="s">
        <v>18190</v>
      </c>
      <c r="X5334" s="818"/>
      <c r="Y5334" s="1161"/>
    </row>
    <row r="5335" spans="1:25" ht="15.75" hidden="1" customHeight="1">
      <c r="A5335" s="222">
        <v>5344</v>
      </c>
      <c r="B5335" s="1394">
        <v>44669</v>
      </c>
      <c r="C5335" s="183" t="s">
        <v>18191</v>
      </c>
      <c r="D5335" s="11" t="s">
        <v>6</v>
      </c>
      <c r="E5335" s="818" t="s">
        <v>683</v>
      </c>
      <c r="F5335" s="900" t="s">
        <v>10005</v>
      </c>
      <c r="G5335" s="900" t="s">
        <v>18184</v>
      </c>
      <c r="H5335" s="900" t="s">
        <v>18144</v>
      </c>
      <c r="I5335" s="900" t="s">
        <v>84</v>
      </c>
      <c r="J5335" s="1497" t="s">
        <v>149</v>
      </c>
      <c r="K5335" s="183" t="s">
        <v>18192</v>
      </c>
      <c r="L5335" s="1457" t="s">
        <v>149</v>
      </c>
      <c r="M5335" s="1457" t="s">
        <v>18137</v>
      </c>
      <c r="N5335" s="900">
        <v>1</v>
      </c>
      <c r="O5335" s="900">
        <v>12</v>
      </c>
      <c r="P5335" s="900">
        <v>0</v>
      </c>
      <c r="Q5335" s="900">
        <v>6</v>
      </c>
      <c r="R5335" s="1442" t="s">
        <v>18193</v>
      </c>
      <c r="S5335" s="1459" t="s">
        <v>18194</v>
      </c>
      <c r="T5335" s="1442" t="s">
        <v>4220</v>
      </c>
      <c r="U5335" s="1970" t="s">
        <v>4220</v>
      </c>
      <c r="V5335" s="1841" t="s">
        <v>5604</v>
      </c>
      <c r="W5335" s="898" t="s">
        <v>18195</v>
      </c>
      <c r="X5335" s="818"/>
      <c r="Y5335" s="1161"/>
    </row>
    <row r="5336" spans="1:25" ht="15.75" hidden="1" customHeight="1">
      <c r="A5336" s="222">
        <v>5345</v>
      </c>
      <c r="B5336" s="858">
        <v>44669</v>
      </c>
      <c r="C5336" s="1441" t="s">
        <v>18196</v>
      </c>
      <c r="D5336" s="11" t="s">
        <v>6</v>
      </c>
      <c r="E5336" s="818" t="s">
        <v>683</v>
      </c>
      <c r="F5336" s="871" t="s">
        <v>10005</v>
      </c>
      <c r="G5336" s="871" t="s">
        <v>18197</v>
      </c>
      <c r="H5336" s="871" t="s">
        <v>366</v>
      </c>
      <c r="I5336" s="871" t="s">
        <v>366</v>
      </c>
      <c r="J5336" s="871" t="s">
        <v>149</v>
      </c>
      <c r="K5336" s="900" t="s">
        <v>18198</v>
      </c>
      <c r="L5336" s="871" t="s">
        <v>149</v>
      </c>
      <c r="M5336" s="871" t="s">
        <v>18146</v>
      </c>
      <c r="N5336" s="871">
        <v>1</v>
      </c>
      <c r="O5336" s="871">
        <v>2</v>
      </c>
      <c r="P5336" s="871">
        <v>0</v>
      </c>
      <c r="Q5336" s="871">
        <v>1</v>
      </c>
      <c r="R5336" s="869" t="s">
        <v>18199</v>
      </c>
      <c r="S5336" s="1458" t="s">
        <v>18200</v>
      </c>
      <c r="T5336" s="869" t="s">
        <v>4220</v>
      </c>
      <c r="U5336" s="1963" t="s">
        <v>4220</v>
      </c>
      <c r="V5336" s="1841" t="s">
        <v>5604</v>
      </c>
      <c r="W5336" s="886" t="s">
        <v>18201</v>
      </c>
      <c r="X5336" s="818"/>
      <c r="Y5336" s="1161"/>
    </row>
    <row r="5337" spans="1:25" ht="15.75" hidden="1" customHeight="1">
      <c r="A5337" s="222">
        <v>5346</v>
      </c>
      <c r="B5337" s="858">
        <v>44669</v>
      </c>
      <c r="C5337" s="1441" t="s">
        <v>18202</v>
      </c>
      <c r="D5337" s="8" t="s">
        <v>6</v>
      </c>
      <c r="E5337" s="818" t="s">
        <v>683</v>
      </c>
      <c r="F5337" s="900" t="s">
        <v>10005</v>
      </c>
      <c r="G5337" s="900" t="s">
        <v>18203</v>
      </c>
      <c r="H5337" s="900" t="s">
        <v>18204</v>
      </c>
      <c r="I5337" s="900" t="s">
        <v>18205</v>
      </c>
      <c r="J5337" s="900" t="s">
        <v>149</v>
      </c>
      <c r="K5337" s="900" t="s">
        <v>18206</v>
      </c>
      <c r="L5337" s="900" t="s">
        <v>149</v>
      </c>
      <c r="M5337" s="900">
        <v>1</v>
      </c>
      <c r="N5337" s="900">
        <v>1</v>
      </c>
      <c r="O5337" s="900">
        <v>1</v>
      </c>
      <c r="P5337" s="900">
        <v>0</v>
      </c>
      <c r="Q5337" s="900">
        <v>1</v>
      </c>
      <c r="R5337" s="1442" t="s">
        <v>17915</v>
      </c>
      <c r="S5337" s="1459" t="s">
        <v>17915</v>
      </c>
      <c r="T5337" s="1442" t="s">
        <v>18207</v>
      </c>
      <c r="U5337" s="1970" t="s">
        <v>18207</v>
      </c>
      <c r="V5337" s="1841" t="s">
        <v>5604</v>
      </c>
      <c r="W5337" s="889" t="s">
        <v>18208</v>
      </c>
      <c r="X5337" s="818"/>
      <c r="Y5337" s="1161"/>
    </row>
    <row r="5338" spans="1:25" ht="15.75" hidden="1" customHeight="1">
      <c r="A5338" s="222">
        <v>5347</v>
      </c>
      <c r="B5338" s="858">
        <v>44669</v>
      </c>
      <c r="C5338" s="1441" t="s">
        <v>18209</v>
      </c>
      <c r="D5338" s="11" t="s">
        <v>6</v>
      </c>
      <c r="E5338" s="818" t="s">
        <v>683</v>
      </c>
      <c r="F5338" s="900" t="s">
        <v>10005</v>
      </c>
      <c r="G5338" s="900" t="s">
        <v>18210</v>
      </c>
      <c r="H5338" s="900" t="s">
        <v>18204</v>
      </c>
      <c r="I5338" s="900" t="s">
        <v>18205</v>
      </c>
      <c r="J5338" s="900" t="s">
        <v>149</v>
      </c>
      <c r="K5338" s="900" t="s">
        <v>18211</v>
      </c>
      <c r="L5338" s="900" t="s">
        <v>149</v>
      </c>
      <c r="M5338" s="900">
        <v>1</v>
      </c>
      <c r="N5338" s="900">
        <v>1</v>
      </c>
      <c r="O5338" s="900">
        <v>1</v>
      </c>
      <c r="P5338" s="900">
        <v>0</v>
      </c>
      <c r="Q5338" s="900">
        <v>1</v>
      </c>
      <c r="R5338" s="1442" t="s">
        <v>18212</v>
      </c>
      <c r="S5338" s="1459" t="s">
        <v>18212</v>
      </c>
      <c r="T5338" s="1442" t="s">
        <v>4220</v>
      </c>
      <c r="U5338" s="1970" t="s">
        <v>4220</v>
      </c>
      <c r="V5338" s="1841" t="s">
        <v>5604</v>
      </c>
      <c r="W5338" s="889" t="s">
        <v>18208</v>
      </c>
      <c r="X5338" s="818"/>
      <c r="Y5338" s="1161"/>
    </row>
    <row r="5339" spans="1:25" ht="15.75" hidden="1" customHeight="1">
      <c r="A5339" s="222">
        <v>5348</v>
      </c>
      <c r="B5339" s="858">
        <v>44669</v>
      </c>
      <c r="C5339" s="1441" t="s">
        <v>18213</v>
      </c>
      <c r="D5339" s="11" t="s">
        <v>6</v>
      </c>
      <c r="E5339" s="818" t="s">
        <v>683</v>
      </c>
      <c r="F5339" s="900" t="s">
        <v>10005</v>
      </c>
      <c r="G5339" s="900" t="s">
        <v>18214</v>
      </c>
      <c r="H5339" s="900" t="s">
        <v>18204</v>
      </c>
      <c r="I5339" s="900" t="s">
        <v>18205</v>
      </c>
      <c r="J5339" s="900" t="s">
        <v>149</v>
      </c>
      <c r="K5339" s="900" t="s">
        <v>18215</v>
      </c>
      <c r="L5339" s="900" t="s">
        <v>149</v>
      </c>
      <c r="M5339" s="900">
        <v>1</v>
      </c>
      <c r="N5339" s="900">
        <v>1</v>
      </c>
      <c r="O5339" s="900">
        <v>1</v>
      </c>
      <c r="P5339" s="900">
        <v>0</v>
      </c>
      <c r="Q5339" s="900">
        <v>0</v>
      </c>
      <c r="R5339" s="1442" t="s">
        <v>17895</v>
      </c>
      <c r="S5339" s="1459" t="s">
        <v>17895</v>
      </c>
      <c r="T5339" s="1442" t="s">
        <v>4220</v>
      </c>
      <c r="U5339" s="1970" t="s">
        <v>4220</v>
      </c>
      <c r="V5339" s="1841" t="s">
        <v>5604</v>
      </c>
      <c r="W5339" s="889" t="s">
        <v>18208</v>
      </c>
      <c r="X5339" s="818"/>
      <c r="Y5339" s="1161"/>
    </row>
    <row r="5340" spans="1:25" ht="15.75" hidden="1" customHeight="1">
      <c r="A5340" s="222">
        <v>5349</v>
      </c>
      <c r="B5340" s="858">
        <v>44669</v>
      </c>
      <c r="C5340" s="1441" t="s">
        <v>18216</v>
      </c>
      <c r="D5340" s="11" t="s">
        <v>6</v>
      </c>
      <c r="E5340" s="818" t="s">
        <v>683</v>
      </c>
      <c r="F5340" s="900" t="s">
        <v>10005</v>
      </c>
      <c r="G5340" s="900" t="s">
        <v>18217</v>
      </c>
      <c r="H5340" s="900" t="s">
        <v>18204</v>
      </c>
      <c r="I5340" s="900" t="s">
        <v>18205</v>
      </c>
      <c r="J5340" s="900" t="s">
        <v>149</v>
      </c>
      <c r="K5340" s="900" t="s">
        <v>18218</v>
      </c>
      <c r="L5340" s="900" t="s">
        <v>149</v>
      </c>
      <c r="M5340" s="900">
        <v>1</v>
      </c>
      <c r="N5340" s="900">
        <v>1</v>
      </c>
      <c r="O5340" s="900">
        <v>1</v>
      </c>
      <c r="P5340" s="900">
        <v>0</v>
      </c>
      <c r="Q5340" s="900">
        <v>0</v>
      </c>
      <c r="R5340" s="1442" t="s">
        <v>18219</v>
      </c>
      <c r="S5340" s="1459" t="s">
        <v>18219</v>
      </c>
      <c r="T5340" s="1442" t="s">
        <v>4220</v>
      </c>
      <c r="U5340" s="1970" t="s">
        <v>4220</v>
      </c>
      <c r="V5340" s="1841" t="s">
        <v>5604</v>
      </c>
      <c r="W5340" s="889" t="s">
        <v>18208</v>
      </c>
      <c r="X5340" s="818"/>
      <c r="Y5340" s="1161"/>
    </row>
    <row r="5341" spans="1:25" ht="15.75" hidden="1" customHeight="1">
      <c r="A5341" s="222">
        <v>5350</v>
      </c>
      <c r="B5341" s="858">
        <v>44669</v>
      </c>
      <c r="C5341" s="1441" t="s">
        <v>18220</v>
      </c>
      <c r="D5341" s="11" t="s">
        <v>6</v>
      </c>
      <c r="E5341" s="818" t="s">
        <v>683</v>
      </c>
      <c r="F5341" s="900" t="s">
        <v>10005</v>
      </c>
      <c r="G5341" s="900" t="s">
        <v>18221</v>
      </c>
      <c r="H5341" s="900" t="s">
        <v>18204</v>
      </c>
      <c r="I5341" s="900" t="s">
        <v>18205</v>
      </c>
      <c r="J5341" s="900" t="s">
        <v>149</v>
      </c>
      <c r="K5341" s="900" t="s">
        <v>18221</v>
      </c>
      <c r="L5341" s="900" t="s">
        <v>149</v>
      </c>
      <c r="M5341" s="900">
        <v>1</v>
      </c>
      <c r="N5341" s="900">
        <v>1</v>
      </c>
      <c r="O5341" s="900">
        <v>1</v>
      </c>
      <c r="P5341" s="900">
        <v>0</v>
      </c>
      <c r="Q5341" s="900">
        <v>0</v>
      </c>
      <c r="R5341" s="1442" t="s">
        <v>18222</v>
      </c>
      <c r="S5341" s="1459" t="s">
        <v>18222</v>
      </c>
      <c r="T5341" s="1442" t="s">
        <v>4220</v>
      </c>
      <c r="U5341" s="1970" t="s">
        <v>4220</v>
      </c>
      <c r="V5341" s="1841" t="s">
        <v>5604</v>
      </c>
      <c r="W5341" s="889" t="s">
        <v>18208</v>
      </c>
      <c r="X5341" s="818"/>
      <c r="Y5341" s="1161"/>
    </row>
    <row r="5342" spans="1:25" ht="15.75" hidden="1" customHeight="1">
      <c r="A5342" s="222">
        <v>5351</v>
      </c>
      <c r="B5342" s="858">
        <v>44670</v>
      </c>
      <c r="C5342" s="129" t="s">
        <v>515</v>
      </c>
      <c r="D5342" s="11" t="s">
        <v>6</v>
      </c>
      <c r="E5342" s="818" t="s">
        <v>62</v>
      </c>
      <c r="F5342" s="1006" t="s">
        <v>15653</v>
      </c>
      <c r="G5342" s="859">
        <v>263</v>
      </c>
      <c r="H5342" s="1193" t="s">
        <v>18223</v>
      </c>
      <c r="I5342" s="222" t="s">
        <v>15627</v>
      </c>
      <c r="J5342" s="129" t="s">
        <v>18224</v>
      </c>
      <c r="K5342" s="183" t="s">
        <v>18225</v>
      </c>
      <c r="L5342" s="613" t="s">
        <v>344</v>
      </c>
      <c r="M5342" s="183">
        <v>32</v>
      </c>
      <c r="N5342" s="183">
        <v>1</v>
      </c>
      <c r="O5342" s="222">
        <v>41</v>
      </c>
      <c r="P5342" s="222">
        <v>0</v>
      </c>
      <c r="Q5342" s="222">
        <v>41</v>
      </c>
      <c r="R5342" s="1195">
        <v>454</v>
      </c>
      <c r="S5342" s="1195">
        <v>18614</v>
      </c>
      <c r="T5342" s="683" t="s">
        <v>311</v>
      </c>
      <c r="U5342" s="740" t="s">
        <v>311</v>
      </c>
      <c r="V5342" s="204" t="s">
        <v>3187</v>
      </c>
      <c r="W5342" s="2155" t="s">
        <v>18226</v>
      </c>
      <c r="X5342" s="818"/>
      <c r="Y5342" s="1161"/>
    </row>
    <row r="5343" spans="1:25" ht="15.75" hidden="1" customHeight="1">
      <c r="A5343" s="222">
        <v>5352</v>
      </c>
      <c r="B5343" s="858">
        <v>44670</v>
      </c>
      <c r="C5343" s="129" t="s">
        <v>18227</v>
      </c>
      <c r="D5343" s="11" t="s">
        <v>6</v>
      </c>
      <c r="E5343" s="818" t="s">
        <v>62</v>
      </c>
      <c r="F5343" s="1006" t="s">
        <v>15653</v>
      </c>
      <c r="G5343" s="863" t="s">
        <v>18228</v>
      </c>
      <c r="H5343" s="222" t="s">
        <v>201</v>
      </c>
      <c r="I5343" s="222" t="s">
        <v>39</v>
      </c>
      <c r="J5343" s="183" t="s">
        <v>18229</v>
      </c>
      <c r="K5343" s="183" t="s">
        <v>18230</v>
      </c>
      <c r="L5343" s="613" t="s">
        <v>18231</v>
      </c>
      <c r="M5343" s="183">
        <v>8</v>
      </c>
      <c r="N5343" s="183">
        <v>10</v>
      </c>
      <c r="O5343" s="183">
        <v>10</v>
      </c>
      <c r="P5343" s="222">
        <v>0</v>
      </c>
      <c r="Q5343" s="222">
        <v>10</v>
      </c>
      <c r="R5343" s="1195">
        <v>45</v>
      </c>
      <c r="S5343" s="1195">
        <v>456</v>
      </c>
      <c r="T5343" s="683" t="s">
        <v>311</v>
      </c>
      <c r="U5343" s="740" t="s">
        <v>311</v>
      </c>
      <c r="V5343" s="204" t="s">
        <v>3187</v>
      </c>
      <c r="W5343" s="2155" t="s">
        <v>18232</v>
      </c>
      <c r="X5343" s="818"/>
      <c r="Y5343" s="1161"/>
    </row>
    <row r="5344" spans="1:25" ht="15.75" hidden="1" customHeight="1">
      <c r="A5344" s="222">
        <v>5353</v>
      </c>
      <c r="B5344" s="858">
        <v>44670</v>
      </c>
      <c r="C5344" s="129" t="s">
        <v>18233</v>
      </c>
      <c r="D5344" s="11" t="s">
        <v>6</v>
      </c>
      <c r="E5344" s="818" t="s">
        <v>62</v>
      </c>
      <c r="F5344" s="1006" t="s">
        <v>15653</v>
      </c>
      <c r="G5344" s="863" t="s">
        <v>18234</v>
      </c>
      <c r="H5344" s="222" t="s">
        <v>166</v>
      </c>
      <c r="I5344" s="222" t="s">
        <v>39</v>
      </c>
      <c r="J5344" s="183" t="s">
        <v>18235</v>
      </c>
      <c r="K5344" s="183" t="s">
        <v>18236</v>
      </c>
      <c r="L5344" s="613" t="s">
        <v>18237</v>
      </c>
      <c r="M5344" s="183">
        <v>48</v>
      </c>
      <c r="N5344" s="183">
        <v>10</v>
      </c>
      <c r="O5344" s="222">
        <v>50</v>
      </c>
      <c r="P5344" s="222">
        <v>0</v>
      </c>
      <c r="Q5344" s="222">
        <v>50</v>
      </c>
      <c r="R5344" s="1195">
        <v>71</v>
      </c>
      <c r="S5344" s="1195">
        <v>3585</v>
      </c>
      <c r="T5344" s="683" t="s">
        <v>311</v>
      </c>
      <c r="U5344" s="740" t="s">
        <v>311</v>
      </c>
      <c r="V5344" s="204" t="s">
        <v>3187</v>
      </c>
      <c r="W5344" s="2155" t="s">
        <v>18238</v>
      </c>
      <c r="X5344" s="818"/>
      <c r="Y5344" s="1161"/>
    </row>
    <row r="5345" spans="1:25" ht="15.75" hidden="1" customHeight="1">
      <c r="A5345" s="222">
        <v>5354</v>
      </c>
      <c r="B5345" s="858">
        <v>44670</v>
      </c>
      <c r="C5345" s="129" t="s">
        <v>18239</v>
      </c>
      <c r="D5345" s="11" t="s">
        <v>6</v>
      </c>
      <c r="E5345" s="818" t="s">
        <v>62</v>
      </c>
      <c r="F5345" s="1006" t="s">
        <v>15653</v>
      </c>
      <c r="G5345" s="863" t="s">
        <v>18240</v>
      </c>
      <c r="H5345" s="222" t="s">
        <v>460</v>
      </c>
      <c r="I5345" s="222" t="s">
        <v>39</v>
      </c>
      <c r="J5345" s="183" t="s">
        <v>4757</v>
      </c>
      <c r="K5345" s="183" t="s">
        <v>4758</v>
      </c>
      <c r="L5345" s="613" t="s">
        <v>4753</v>
      </c>
      <c r="M5345" s="183">
        <v>2</v>
      </c>
      <c r="N5345" s="183">
        <v>5</v>
      </c>
      <c r="O5345" s="183">
        <v>5</v>
      </c>
      <c r="P5345" s="222">
        <v>0</v>
      </c>
      <c r="Q5345" s="222">
        <v>5</v>
      </c>
      <c r="R5345" s="1195">
        <v>101</v>
      </c>
      <c r="S5345" s="1195">
        <v>507</v>
      </c>
      <c r="T5345" s="683" t="s">
        <v>311</v>
      </c>
      <c r="U5345" s="740" t="s">
        <v>311</v>
      </c>
      <c r="V5345" s="204" t="s">
        <v>3187</v>
      </c>
      <c r="W5345" s="2155" t="s">
        <v>18241</v>
      </c>
      <c r="X5345" s="818"/>
      <c r="Y5345" s="1161"/>
    </row>
    <row r="5346" spans="1:25" ht="15.75" hidden="1" customHeight="1">
      <c r="A5346" s="222">
        <v>5355</v>
      </c>
      <c r="B5346" s="858">
        <v>44670</v>
      </c>
      <c r="C5346" s="129" t="s">
        <v>8425</v>
      </c>
      <c r="D5346" s="11" t="s">
        <v>6</v>
      </c>
      <c r="E5346" s="818" t="s">
        <v>62</v>
      </c>
      <c r="F5346" s="1006" t="s">
        <v>15653</v>
      </c>
      <c r="G5346" s="863" t="s">
        <v>18242</v>
      </c>
      <c r="H5346" s="222" t="s">
        <v>2701</v>
      </c>
      <c r="I5346" s="222" t="s">
        <v>39</v>
      </c>
      <c r="J5346" s="183" t="s">
        <v>18243</v>
      </c>
      <c r="K5346" s="183" t="s">
        <v>18244</v>
      </c>
      <c r="L5346" s="613" t="s">
        <v>1088</v>
      </c>
      <c r="M5346" s="183">
        <v>2</v>
      </c>
      <c r="N5346" s="183">
        <v>5</v>
      </c>
      <c r="O5346" s="222">
        <v>5</v>
      </c>
      <c r="P5346" s="222">
        <v>0</v>
      </c>
      <c r="Q5346" s="222">
        <v>5</v>
      </c>
      <c r="R5346" s="1195">
        <v>50</v>
      </c>
      <c r="S5346" s="1195">
        <v>254</v>
      </c>
      <c r="T5346" s="222"/>
      <c r="U5346" s="1527"/>
      <c r="W5346" s="2155"/>
      <c r="X5346" s="818"/>
      <c r="Y5346" s="1161"/>
    </row>
    <row r="5347" spans="1:25" ht="15.75" hidden="1" customHeight="1">
      <c r="A5347" s="222">
        <v>5356</v>
      </c>
      <c r="B5347" s="858">
        <v>44671</v>
      </c>
      <c r="C5347" s="1132" t="s">
        <v>18245</v>
      </c>
      <c r="D5347" s="11" t="s">
        <v>6</v>
      </c>
      <c r="E5347" s="874" t="s">
        <v>16270</v>
      </c>
      <c r="F5347" s="874" t="s">
        <v>10005</v>
      </c>
      <c r="G5347" s="874" t="s">
        <v>18246</v>
      </c>
      <c r="H5347" s="874" t="s">
        <v>1614</v>
      </c>
      <c r="I5347" s="874" t="s">
        <v>18247</v>
      </c>
      <c r="J5347" s="874" t="s">
        <v>149</v>
      </c>
      <c r="K5347" s="1461" t="s">
        <v>1</v>
      </c>
      <c r="L5347" s="874" t="s">
        <v>149</v>
      </c>
      <c r="M5347" s="874">
        <v>3</v>
      </c>
      <c r="N5347" s="874">
        <v>1</v>
      </c>
      <c r="O5347" s="874">
        <v>2</v>
      </c>
      <c r="P5347" s="1461" t="s">
        <v>1</v>
      </c>
      <c r="Q5347" s="1461" t="s">
        <v>1</v>
      </c>
      <c r="R5347" s="869" t="s">
        <v>18248</v>
      </c>
      <c r="S5347" s="1458" t="s">
        <v>18249</v>
      </c>
      <c r="T5347" s="869" t="s">
        <v>18250</v>
      </c>
      <c r="U5347" s="1963" t="s">
        <v>4220</v>
      </c>
      <c r="V5347" s="1841" t="s">
        <v>5604</v>
      </c>
      <c r="W5347" s="1460" t="s">
        <v>1614</v>
      </c>
      <c r="X5347" s="818"/>
      <c r="Y5347" s="1161"/>
    </row>
    <row r="5348" spans="1:25" ht="15.75" hidden="1" customHeight="1">
      <c r="A5348" s="222">
        <v>5357</v>
      </c>
      <c r="B5348" s="858">
        <v>44671</v>
      </c>
      <c r="C5348" s="129" t="s">
        <v>18251</v>
      </c>
      <c r="D5348" s="10"/>
      <c r="E5348" s="818" t="s">
        <v>62</v>
      </c>
      <c r="F5348" s="1006" t="s">
        <v>13854</v>
      </c>
      <c r="G5348" s="863"/>
      <c r="H5348" s="222" t="s">
        <v>18000</v>
      </c>
      <c r="I5348" s="222" t="s">
        <v>18000</v>
      </c>
      <c r="J5348" s="183">
        <v>22042000085</v>
      </c>
      <c r="K5348" s="183"/>
      <c r="L5348" s="613"/>
      <c r="M5348" s="183">
        <v>1</v>
      </c>
      <c r="N5348" s="183">
        <v>1</v>
      </c>
      <c r="O5348" s="222">
        <v>4</v>
      </c>
      <c r="P5348" s="222"/>
      <c r="Q5348" s="222"/>
      <c r="R5348" s="1195">
        <v>117812</v>
      </c>
      <c r="S5348" s="1195">
        <v>117812</v>
      </c>
      <c r="T5348" s="222" t="s">
        <v>15109</v>
      </c>
      <c r="U5348" s="1527" t="s">
        <v>1896</v>
      </c>
      <c r="V5348" s="222" t="s">
        <v>3140</v>
      </c>
      <c r="W5348" s="2155"/>
      <c r="X5348" s="818"/>
      <c r="Y5348" s="1161"/>
    </row>
    <row r="5349" spans="1:25" ht="15.75" hidden="1" customHeight="1">
      <c r="A5349" s="222">
        <v>5358</v>
      </c>
      <c r="B5349" s="858">
        <v>44671</v>
      </c>
      <c r="C5349" s="129" t="s">
        <v>18252</v>
      </c>
      <c r="D5349" s="10"/>
      <c r="E5349" s="818" t="s">
        <v>62</v>
      </c>
      <c r="F5349" s="1006" t="s">
        <v>2143</v>
      </c>
      <c r="G5349" s="863" t="s">
        <v>18253</v>
      </c>
      <c r="H5349" s="222" t="s">
        <v>18254</v>
      </c>
      <c r="I5349" s="1120" t="s">
        <v>18254</v>
      </c>
      <c r="J5349" s="1500"/>
      <c r="K5349" s="1500"/>
      <c r="L5349" s="1426"/>
      <c r="M5349" s="183">
        <v>1</v>
      </c>
      <c r="N5349" s="183">
        <v>1</v>
      </c>
      <c r="O5349" s="222">
        <v>1</v>
      </c>
      <c r="P5349" s="222">
        <v>0</v>
      </c>
      <c r="Q5349" s="222">
        <v>0</v>
      </c>
      <c r="R5349" s="1195">
        <v>620400</v>
      </c>
      <c r="S5349" s="1195">
        <v>620400</v>
      </c>
      <c r="T5349" s="222" t="s">
        <v>5448</v>
      </c>
      <c r="U5349" s="1527" t="s">
        <v>16072</v>
      </c>
      <c r="V5349" s="222" t="s">
        <v>12981</v>
      </c>
      <c r="W5349" s="2155"/>
      <c r="X5349" s="818"/>
      <c r="Y5349" s="1161"/>
    </row>
    <row r="5350" spans="1:25" ht="15.75" hidden="1" customHeight="1">
      <c r="A5350" s="222">
        <v>5359</v>
      </c>
      <c r="B5350" s="858">
        <v>44671</v>
      </c>
      <c r="C5350" s="204" t="s">
        <v>10327</v>
      </c>
      <c r="D5350" s="1515" t="s">
        <v>6</v>
      </c>
      <c r="E5350" s="683" t="s">
        <v>572</v>
      </c>
      <c r="F5350" s="683" t="s">
        <v>11344</v>
      </c>
      <c r="G5350" s="683" t="s">
        <v>16089</v>
      </c>
      <c r="H5350" s="740" t="s">
        <v>12804</v>
      </c>
      <c r="I5350" s="204" t="s">
        <v>4148</v>
      </c>
      <c r="J5350" s="1495" t="s">
        <v>18255</v>
      </c>
      <c r="K5350" s="1512" t="s">
        <v>18256</v>
      </c>
      <c r="L5350" s="204" t="s">
        <v>863</v>
      </c>
      <c r="M5350" s="683">
        <v>1</v>
      </c>
      <c r="N5350" s="683">
        <v>1</v>
      </c>
      <c r="O5350" s="683">
        <v>1</v>
      </c>
      <c r="P5350" s="683">
        <v>0</v>
      </c>
      <c r="Q5350" s="669">
        <v>0</v>
      </c>
      <c r="R5350" s="1511">
        <v>197144</v>
      </c>
      <c r="S5350" s="1493">
        <v>197144</v>
      </c>
      <c r="T5350" s="683" t="s">
        <v>311</v>
      </c>
      <c r="U5350" s="1909" t="s">
        <v>311</v>
      </c>
      <c r="V5350" s="572" t="s">
        <v>11783</v>
      </c>
      <c r="W5350" s="2093" t="s">
        <v>18257</v>
      </c>
      <c r="X5350" s="222"/>
      <c r="Y5350" s="1161"/>
    </row>
    <row r="5351" spans="1:25" ht="15.75" hidden="1" customHeight="1">
      <c r="A5351" s="222">
        <v>5360</v>
      </c>
      <c r="B5351" s="858">
        <v>44671</v>
      </c>
      <c r="C5351" s="204" t="s">
        <v>11343</v>
      </c>
      <c r="D5351" s="1515" t="s">
        <v>6</v>
      </c>
      <c r="E5351" s="683" t="s">
        <v>572</v>
      </c>
      <c r="F5351" s="683" t="s">
        <v>11344</v>
      </c>
      <c r="G5351" s="683" t="s">
        <v>11345</v>
      </c>
      <c r="H5351" s="740" t="s">
        <v>18258</v>
      </c>
      <c r="I5351" s="204" t="s">
        <v>4148</v>
      </c>
      <c r="J5351" s="1495" t="s">
        <v>18259</v>
      </c>
      <c r="K5351" s="204" t="s">
        <v>11348</v>
      </c>
      <c r="L5351" s="204" t="s">
        <v>11349</v>
      </c>
      <c r="M5351" s="683">
        <v>1</v>
      </c>
      <c r="N5351" s="683">
        <v>1</v>
      </c>
      <c r="O5351" s="683">
        <v>1</v>
      </c>
      <c r="P5351" s="683">
        <v>0</v>
      </c>
      <c r="Q5351" s="669">
        <v>0</v>
      </c>
      <c r="R5351" s="1494">
        <v>26980</v>
      </c>
      <c r="S5351" s="1494">
        <v>26980</v>
      </c>
      <c r="T5351" s="683" t="s">
        <v>311</v>
      </c>
      <c r="U5351" s="1909" t="s">
        <v>311</v>
      </c>
      <c r="V5351" s="572" t="s">
        <v>11783</v>
      </c>
      <c r="W5351" s="1184" t="s">
        <v>18260</v>
      </c>
      <c r="X5351" s="222"/>
      <c r="Y5351" s="1161"/>
    </row>
    <row r="5352" spans="1:25" ht="15.75" hidden="1" customHeight="1">
      <c r="A5352" s="222">
        <v>5361</v>
      </c>
      <c r="B5352" s="858">
        <v>44671</v>
      </c>
      <c r="C5352" s="129" t="s">
        <v>18261</v>
      </c>
      <c r="D5352" s="1515" t="s">
        <v>6</v>
      </c>
      <c r="E5352" s="683" t="s">
        <v>572</v>
      </c>
      <c r="F5352" s="1006" t="s">
        <v>11344</v>
      </c>
      <c r="G5352" s="863" t="s">
        <v>18262</v>
      </c>
      <c r="H5352" s="1120" t="s">
        <v>18263</v>
      </c>
      <c r="I5352" s="1513" t="s">
        <v>4148</v>
      </c>
      <c r="J5352" s="1514" t="s">
        <v>18264</v>
      </c>
      <c r="K5352" s="1516" t="s">
        <v>18265</v>
      </c>
      <c r="L5352" s="1427" t="s">
        <v>149</v>
      </c>
      <c r="M5352" s="183">
        <v>2</v>
      </c>
      <c r="N5352" s="183">
        <v>1</v>
      </c>
      <c r="O5352" s="222">
        <v>2</v>
      </c>
      <c r="P5352" s="222">
        <v>0</v>
      </c>
      <c r="Q5352" s="222">
        <v>1</v>
      </c>
      <c r="R5352" s="1195">
        <v>1280</v>
      </c>
      <c r="S5352" s="1195">
        <v>1280</v>
      </c>
      <c r="T5352" s="222" t="s">
        <v>311</v>
      </c>
      <c r="U5352" s="1527" t="s">
        <v>311</v>
      </c>
      <c r="V5352" s="222" t="s">
        <v>11783</v>
      </c>
      <c r="W5352" s="2172" t="s">
        <v>18266</v>
      </c>
      <c r="X5352" s="222"/>
      <c r="Y5352" s="1161"/>
    </row>
    <row r="5353" spans="1:25" ht="15.75" hidden="1" customHeight="1">
      <c r="A5353" s="222">
        <v>5362</v>
      </c>
      <c r="B5353" s="858">
        <v>44671</v>
      </c>
      <c r="C5353" s="129" t="s">
        <v>18267</v>
      </c>
      <c r="D5353" s="1515" t="s">
        <v>6</v>
      </c>
      <c r="E5353" s="683" t="s">
        <v>572</v>
      </c>
      <c r="F5353" s="1006" t="s">
        <v>11344</v>
      </c>
      <c r="G5353" s="1496" t="s">
        <v>18268</v>
      </c>
      <c r="H5353" s="1495" t="s">
        <v>18269</v>
      </c>
      <c r="I5353" s="1431" t="s">
        <v>4148</v>
      </c>
      <c r="J5353" s="1495" t="s">
        <v>18270</v>
      </c>
      <c r="K5353" s="678" t="s">
        <v>149</v>
      </c>
      <c r="L5353" s="613" t="s">
        <v>149</v>
      </c>
      <c r="M5353" s="183">
        <v>1</v>
      </c>
      <c r="N5353" s="183">
        <v>1</v>
      </c>
      <c r="O5353" s="222">
        <v>1</v>
      </c>
      <c r="P5353" s="222">
        <v>0</v>
      </c>
      <c r="Q5353" s="222">
        <v>0</v>
      </c>
      <c r="R5353" s="1195">
        <v>1950</v>
      </c>
      <c r="S5353" s="1195">
        <v>1950</v>
      </c>
      <c r="T5353" s="222" t="s">
        <v>311</v>
      </c>
      <c r="U5353" s="1527" t="s">
        <v>311</v>
      </c>
      <c r="V5353" s="222" t="s">
        <v>11783</v>
      </c>
      <c r="W5353" s="2172" t="s">
        <v>18271</v>
      </c>
      <c r="X5353" s="222"/>
      <c r="Y5353" s="1161"/>
    </row>
    <row r="5354" spans="1:25" ht="15.75" hidden="1" customHeight="1">
      <c r="A5354" s="222">
        <v>5363</v>
      </c>
      <c r="B5354" s="858">
        <v>44306</v>
      </c>
      <c r="C5354" s="129" t="s">
        <v>18272</v>
      </c>
      <c r="D5354" s="11" t="s">
        <v>6</v>
      </c>
      <c r="E5354" s="222" t="s">
        <v>62</v>
      </c>
      <c r="F5354" s="1006" t="s">
        <v>15653</v>
      </c>
      <c r="G5354" s="863" t="s">
        <v>18273</v>
      </c>
      <c r="H5354" s="1428" t="s">
        <v>1379</v>
      </c>
      <c r="I5354" s="222" t="s">
        <v>1379</v>
      </c>
      <c r="J5354" s="225"/>
      <c r="K5354" s="183"/>
      <c r="L5354" s="613"/>
      <c r="M5354" s="183">
        <v>2</v>
      </c>
      <c r="N5354" s="183">
        <v>1</v>
      </c>
      <c r="O5354" s="222">
        <v>2</v>
      </c>
      <c r="P5354" s="222">
        <v>0</v>
      </c>
      <c r="Q5354" s="222">
        <v>2</v>
      </c>
      <c r="R5354" s="1195"/>
      <c r="S5354" s="1195">
        <v>58333</v>
      </c>
      <c r="T5354" s="222" t="s">
        <v>311</v>
      </c>
      <c r="U5354" s="1527" t="s">
        <v>311</v>
      </c>
      <c r="V5354" s="204" t="s">
        <v>3187</v>
      </c>
      <c r="W5354" s="2172"/>
      <c r="X5354" s="222"/>
      <c r="Y5354" s="1161"/>
    </row>
    <row r="5355" spans="1:25" ht="15.75" hidden="1" customHeight="1">
      <c r="A5355" s="222">
        <v>5364</v>
      </c>
      <c r="B5355" s="858">
        <v>44672</v>
      </c>
      <c r="C5355" s="129" t="s">
        <v>18274</v>
      </c>
      <c r="D5355" s="11" t="s">
        <v>6</v>
      </c>
      <c r="E5355" s="222" t="s">
        <v>18035</v>
      </c>
      <c r="F5355" s="1006" t="s">
        <v>11441</v>
      </c>
      <c r="G5355" s="863" t="s">
        <v>18275</v>
      </c>
      <c r="H5355" s="222" t="s">
        <v>18276</v>
      </c>
      <c r="I5355" s="222" t="s">
        <v>18277</v>
      </c>
      <c r="J5355" s="183" t="s">
        <v>18278</v>
      </c>
      <c r="K5355" s="183" t="s">
        <v>18279</v>
      </c>
      <c r="L5355" s="613" t="s">
        <v>149</v>
      </c>
      <c r="M5355" s="183">
        <v>2</v>
      </c>
      <c r="N5355" s="183">
        <v>1</v>
      </c>
      <c r="O5355" s="222">
        <v>2</v>
      </c>
      <c r="P5355" s="222">
        <v>0</v>
      </c>
      <c r="Q5355" s="222">
        <v>1</v>
      </c>
      <c r="R5355" s="1195">
        <v>2536</v>
      </c>
      <c r="S5355" s="1195">
        <f>O5355*R5355</f>
        <v>5072</v>
      </c>
      <c r="T5355" s="222" t="s">
        <v>311</v>
      </c>
      <c r="U5355" s="1527" t="s">
        <v>311</v>
      </c>
      <c r="V5355" s="222" t="s">
        <v>11783</v>
      </c>
      <c r="W5355" s="2172" t="s">
        <v>18280</v>
      </c>
      <c r="X5355" s="222"/>
      <c r="Y5355" s="1161"/>
    </row>
    <row r="5356" spans="1:25" ht="15.75" hidden="1" customHeight="1">
      <c r="A5356" s="222">
        <v>5365</v>
      </c>
      <c r="B5356" s="858">
        <v>44672</v>
      </c>
      <c r="C5356" s="129" t="s">
        <v>3402</v>
      </c>
      <c r="D5356" s="11" t="s">
        <v>6</v>
      </c>
      <c r="E5356" s="222" t="s">
        <v>18035</v>
      </c>
      <c r="F5356" s="1006" t="s">
        <v>11441</v>
      </c>
      <c r="G5356" s="863" t="s">
        <v>18281</v>
      </c>
      <c r="H5356" s="222" t="s">
        <v>3097</v>
      </c>
      <c r="I5356" s="222" t="s">
        <v>4634</v>
      </c>
      <c r="J5356" s="183" t="s">
        <v>18282</v>
      </c>
      <c r="K5356" s="183" t="s">
        <v>18283</v>
      </c>
      <c r="L5356" s="613" t="s">
        <v>149</v>
      </c>
      <c r="M5356" s="183">
        <v>2</v>
      </c>
      <c r="N5356" s="183">
        <v>1</v>
      </c>
      <c r="O5356" s="222">
        <v>5</v>
      </c>
      <c r="P5356" s="222">
        <v>0</v>
      </c>
      <c r="Q5356" s="222">
        <v>3</v>
      </c>
      <c r="R5356" s="1195">
        <v>178</v>
      </c>
      <c r="S5356" s="1195">
        <f>O5356*R5356</f>
        <v>890</v>
      </c>
      <c r="T5356" s="222" t="s">
        <v>311</v>
      </c>
      <c r="U5356" s="1527" t="s">
        <v>311</v>
      </c>
      <c r="V5356" s="222" t="s">
        <v>11783</v>
      </c>
      <c r="W5356" s="2172" t="s">
        <v>18284</v>
      </c>
      <c r="X5356" s="222"/>
      <c r="Y5356" s="1161"/>
    </row>
    <row r="5357" spans="1:25" ht="15.75" hidden="1" customHeight="1">
      <c r="A5357" s="222">
        <v>5366</v>
      </c>
      <c r="B5357" s="858">
        <v>44673</v>
      </c>
      <c r="C5357" s="129" t="s">
        <v>18285</v>
      </c>
      <c r="D5357" s="10"/>
      <c r="E5357" s="222" t="s">
        <v>17683</v>
      </c>
      <c r="F5357" s="1006" t="s">
        <v>18286</v>
      </c>
      <c r="G5357" s="863" t="s">
        <v>18287</v>
      </c>
      <c r="H5357" s="222"/>
      <c r="I5357" s="222"/>
      <c r="J5357" s="183"/>
      <c r="K5357" s="183"/>
      <c r="L5357" s="613"/>
      <c r="M5357" s="183">
        <v>1</v>
      </c>
      <c r="N5357" s="183">
        <v>1</v>
      </c>
      <c r="O5357" s="222">
        <v>1</v>
      </c>
      <c r="P5357" s="222">
        <v>0</v>
      </c>
      <c r="Q5357" s="222">
        <v>0</v>
      </c>
      <c r="R5357" s="1195">
        <v>799000</v>
      </c>
      <c r="S5357" s="1195">
        <v>799000</v>
      </c>
      <c r="T5357" s="222" t="s">
        <v>14752</v>
      </c>
      <c r="U5357" s="1527" t="s">
        <v>1896</v>
      </c>
      <c r="V5357" s="222" t="s">
        <v>3140</v>
      </c>
      <c r="W5357" s="2172"/>
      <c r="X5357" s="222"/>
      <c r="Y5357" s="1161"/>
    </row>
    <row r="5358" spans="1:25" ht="15.75" hidden="1" customHeight="1">
      <c r="A5358" s="222">
        <v>5367</v>
      </c>
      <c r="B5358" s="858">
        <v>44676</v>
      </c>
      <c r="C5358" s="129" t="s">
        <v>18288</v>
      </c>
      <c r="D5358" s="11" t="s">
        <v>6</v>
      </c>
      <c r="E5358" s="222" t="s">
        <v>683</v>
      </c>
      <c r="F5358" s="1006" t="s">
        <v>73</v>
      </c>
      <c r="G5358" s="863" t="s">
        <v>18289</v>
      </c>
      <c r="H5358" s="222" t="s">
        <v>10477</v>
      </c>
      <c r="I5358" s="222" t="s">
        <v>10478</v>
      </c>
      <c r="J5358" s="1498" t="s">
        <v>18290</v>
      </c>
      <c r="K5358" s="1498" t="s">
        <v>18290</v>
      </c>
      <c r="L5358" s="613"/>
      <c r="M5358" s="183">
        <v>2</v>
      </c>
      <c r="N5358" s="183">
        <v>1</v>
      </c>
      <c r="O5358" s="222">
        <v>5</v>
      </c>
      <c r="P5358" s="222">
        <v>0</v>
      </c>
      <c r="Q5358" s="222">
        <v>3</v>
      </c>
      <c r="R5358" s="1195">
        <v>11000</v>
      </c>
      <c r="S5358" s="1195">
        <v>55000</v>
      </c>
      <c r="T5358" s="222" t="s">
        <v>4220</v>
      </c>
      <c r="U5358" s="1527" t="s">
        <v>4220</v>
      </c>
      <c r="V5358" s="222" t="s">
        <v>689</v>
      </c>
      <c r="W5358" s="2172"/>
      <c r="X5358" s="222"/>
      <c r="Y5358" s="1161"/>
    </row>
    <row r="5359" spans="1:25" ht="15.75" hidden="1" customHeight="1">
      <c r="A5359" s="222">
        <v>5368</v>
      </c>
      <c r="B5359" s="858">
        <v>44676</v>
      </c>
      <c r="C5359" s="129" t="s">
        <v>285</v>
      </c>
      <c r="D5359" s="11" t="s">
        <v>6</v>
      </c>
      <c r="E5359" s="222" t="s">
        <v>62</v>
      </c>
      <c r="F5359" s="1006" t="s">
        <v>2006</v>
      </c>
      <c r="G5359" s="863" t="s">
        <v>18291</v>
      </c>
      <c r="H5359" s="222" t="s">
        <v>1002</v>
      </c>
      <c r="I5359" s="222" t="s">
        <v>1002</v>
      </c>
      <c r="J5359" s="183"/>
      <c r="K5359" s="183" t="s">
        <v>1</v>
      </c>
      <c r="L5359" s="613" t="s">
        <v>1</v>
      </c>
      <c r="M5359" s="183" t="s">
        <v>1</v>
      </c>
      <c r="N5359" s="183" t="s">
        <v>1</v>
      </c>
      <c r="O5359" s="222">
        <v>4</v>
      </c>
      <c r="P5359" s="222" t="s">
        <v>1</v>
      </c>
      <c r="Q5359" s="222" t="s">
        <v>1</v>
      </c>
      <c r="R5359" s="1195" t="s">
        <v>1</v>
      </c>
      <c r="S5359" s="1195">
        <v>103844</v>
      </c>
      <c r="T5359" s="222" t="s">
        <v>311</v>
      </c>
      <c r="U5359" s="1527" t="s">
        <v>311</v>
      </c>
      <c r="V5359" s="222" t="s">
        <v>3187</v>
      </c>
      <c r="W5359" s="2155"/>
      <c r="X5359" s="818"/>
      <c r="Y5359" s="1161"/>
    </row>
    <row r="5360" spans="1:25" ht="15.75" hidden="1" customHeight="1">
      <c r="A5360" s="222">
        <v>5369</v>
      </c>
      <c r="B5360" s="858">
        <v>44676</v>
      </c>
      <c r="C5360" s="129" t="s">
        <v>1819</v>
      </c>
      <c r="D5360" s="11" t="s">
        <v>6</v>
      </c>
      <c r="E5360" s="222" t="s">
        <v>62</v>
      </c>
      <c r="F5360" s="1006" t="s">
        <v>15653</v>
      </c>
      <c r="G5360" s="863" t="s">
        <v>18292</v>
      </c>
      <c r="H5360" s="222" t="s">
        <v>1478</v>
      </c>
      <c r="I5360" s="222" t="s">
        <v>4804</v>
      </c>
      <c r="J5360" s="183" t="s">
        <v>4805</v>
      </c>
      <c r="K5360" s="183" t="s">
        <v>4806</v>
      </c>
      <c r="L5360" s="613" t="s">
        <v>12884</v>
      </c>
      <c r="M5360" s="183">
        <v>2</v>
      </c>
      <c r="N5360" s="183">
        <v>1</v>
      </c>
      <c r="O5360" s="222">
        <v>5</v>
      </c>
      <c r="P5360" s="222">
        <v>0</v>
      </c>
      <c r="Q5360" s="222">
        <v>2</v>
      </c>
      <c r="R5360" s="1195">
        <v>80</v>
      </c>
      <c r="S5360" s="1195">
        <v>400</v>
      </c>
      <c r="T5360" s="222" t="s">
        <v>311</v>
      </c>
      <c r="U5360" s="1527" t="s">
        <v>311</v>
      </c>
      <c r="V5360" s="222" t="s">
        <v>3187</v>
      </c>
      <c r="W5360" s="2155" t="s">
        <v>11845</v>
      </c>
      <c r="X5360" s="818"/>
      <c r="Y5360" s="1161"/>
    </row>
    <row r="5361" spans="1:25" ht="15.75" hidden="1" customHeight="1">
      <c r="A5361" s="222">
        <v>5370</v>
      </c>
      <c r="B5361" s="858">
        <v>44676</v>
      </c>
      <c r="C5361" s="129" t="s">
        <v>8556</v>
      </c>
      <c r="D5361" s="11" t="s">
        <v>6</v>
      </c>
      <c r="E5361" s="222" t="s">
        <v>62</v>
      </c>
      <c r="F5361" s="1006" t="s">
        <v>15653</v>
      </c>
      <c r="G5361" s="863" t="s">
        <v>18293</v>
      </c>
      <c r="H5361" s="222" t="s">
        <v>1478</v>
      </c>
      <c r="I5361" s="222" t="s">
        <v>4804</v>
      </c>
      <c r="J5361" s="183" t="s">
        <v>1479</v>
      </c>
      <c r="K5361" s="183" t="s">
        <v>1480</v>
      </c>
      <c r="L5361" s="613" t="s">
        <v>18294</v>
      </c>
      <c r="M5361" s="183">
        <v>2</v>
      </c>
      <c r="N5361" s="183">
        <v>1</v>
      </c>
      <c r="O5361" s="222">
        <v>5</v>
      </c>
      <c r="P5361" s="222">
        <v>0</v>
      </c>
      <c r="Q5361" s="222">
        <v>2</v>
      </c>
      <c r="R5361" s="1195">
        <v>35</v>
      </c>
      <c r="S5361" s="1195">
        <v>175</v>
      </c>
      <c r="T5361" s="222" t="s">
        <v>311</v>
      </c>
      <c r="U5361" s="1527" t="s">
        <v>311</v>
      </c>
      <c r="V5361" s="222" t="s">
        <v>3187</v>
      </c>
      <c r="W5361" s="2155" t="s">
        <v>10998</v>
      </c>
      <c r="X5361" s="818"/>
      <c r="Y5361" s="1161"/>
    </row>
    <row r="5362" spans="1:25" ht="15.75" hidden="1" customHeight="1">
      <c r="A5362" s="222">
        <v>5371</v>
      </c>
      <c r="B5362" s="858">
        <v>44676</v>
      </c>
      <c r="C5362" s="129" t="s">
        <v>18295</v>
      </c>
      <c r="D5362" s="11" t="s">
        <v>6</v>
      </c>
      <c r="E5362" s="222" t="s">
        <v>62</v>
      </c>
      <c r="F5362" s="1006" t="s">
        <v>15653</v>
      </c>
      <c r="G5362" s="863" t="s">
        <v>18296</v>
      </c>
      <c r="H5362" s="222" t="s">
        <v>4828</v>
      </c>
      <c r="I5362" s="222" t="s">
        <v>4804</v>
      </c>
      <c r="J5362" s="183" t="s">
        <v>4829</v>
      </c>
      <c r="K5362" s="183" t="s">
        <v>4830</v>
      </c>
      <c r="L5362" s="613" t="s">
        <v>149</v>
      </c>
      <c r="M5362" s="183">
        <v>3</v>
      </c>
      <c r="N5362" s="183">
        <v>1</v>
      </c>
      <c r="O5362" s="222">
        <v>5</v>
      </c>
      <c r="P5362" s="222">
        <v>1</v>
      </c>
      <c r="Q5362" s="222">
        <v>2</v>
      </c>
      <c r="R5362" s="1195">
        <v>100</v>
      </c>
      <c r="S5362" s="1195">
        <v>500</v>
      </c>
      <c r="T5362" s="222" t="s">
        <v>311</v>
      </c>
      <c r="U5362" s="1527" t="s">
        <v>311</v>
      </c>
      <c r="V5362" s="222" t="s">
        <v>3187</v>
      </c>
      <c r="W5362" s="2155" t="s">
        <v>18297</v>
      </c>
      <c r="X5362" s="818"/>
      <c r="Y5362" s="1161"/>
    </row>
    <row r="5363" spans="1:25" ht="15.75" hidden="1" customHeight="1">
      <c r="A5363" s="222">
        <v>5372</v>
      </c>
      <c r="B5363" s="858">
        <v>44676</v>
      </c>
      <c r="C5363" s="129" t="s">
        <v>18298</v>
      </c>
      <c r="D5363" s="11" t="s">
        <v>6</v>
      </c>
      <c r="E5363" s="222" t="s">
        <v>62</v>
      </c>
      <c r="F5363" s="1006" t="s">
        <v>15653</v>
      </c>
      <c r="G5363" s="859" t="s">
        <v>18299</v>
      </c>
      <c r="H5363" s="222" t="s">
        <v>4817</v>
      </c>
      <c r="I5363" s="222" t="s">
        <v>4804</v>
      </c>
      <c r="J5363" s="183" t="s">
        <v>4818</v>
      </c>
      <c r="K5363" s="183" t="s">
        <v>4819</v>
      </c>
      <c r="L5363" s="613" t="s">
        <v>18300</v>
      </c>
      <c r="M5363" s="183">
        <v>2</v>
      </c>
      <c r="N5363" s="183">
        <v>1</v>
      </c>
      <c r="O5363" s="222">
        <v>6</v>
      </c>
      <c r="P5363" s="222">
        <v>0</v>
      </c>
      <c r="Q5363" s="222">
        <v>4</v>
      </c>
      <c r="R5363" s="1195">
        <v>20</v>
      </c>
      <c r="S5363" s="1195">
        <v>120</v>
      </c>
      <c r="T5363" s="222" t="s">
        <v>311</v>
      </c>
      <c r="U5363" s="1527" t="s">
        <v>311</v>
      </c>
      <c r="V5363" s="222" t="s">
        <v>3187</v>
      </c>
      <c r="W5363" s="2155" t="s">
        <v>15433</v>
      </c>
      <c r="X5363" s="818"/>
      <c r="Y5363" s="1161"/>
    </row>
    <row r="5364" spans="1:25" ht="15.75" hidden="1" customHeight="1">
      <c r="A5364" s="222">
        <v>5373</v>
      </c>
      <c r="B5364" s="858">
        <v>44676</v>
      </c>
      <c r="C5364" s="1499" t="s">
        <v>18301</v>
      </c>
      <c r="D5364" s="11" t="s">
        <v>6</v>
      </c>
      <c r="E5364" s="222" t="s">
        <v>62</v>
      </c>
      <c r="F5364" s="1190" t="s">
        <v>15653</v>
      </c>
      <c r="G5364" s="855" t="s">
        <v>18302</v>
      </c>
      <c r="H5364" s="1120" t="s">
        <v>18303</v>
      </c>
      <c r="I5364" s="1120" t="s">
        <v>4804</v>
      </c>
      <c r="J5364" s="1500" t="s">
        <v>15414</v>
      </c>
      <c r="K5364" s="1500" t="s">
        <v>5471</v>
      </c>
      <c r="L5364" s="1426" t="s">
        <v>18304</v>
      </c>
      <c r="M5364" s="1500">
        <v>2</v>
      </c>
      <c r="N5364" s="1500">
        <v>1</v>
      </c>
      <c r="O5364" s="1120">
        <v>2</v>
      </c>
      <c r="P5364" s="1120">
        <v>1</v>
      </c>
      <c r="Q5364" s="1120">
        <v>3</v>
      </c>
      <c r="R5364" s="1501">
        <v>2700</v>
      </c>
      <c r="S5364" s="1501">
        <v>5400</v>
      </c>
      <c r="T5364" s="1120" t="s">
        <v>311</v>
      </c>
      <c r="U5364" s="1965" t="s">
        <v>311</v>
      </c>
      <c r="V5364" s="222" t="s">
        <v>3187</v>
      </c>
      <c r="W5364" s="2155" t="s">
        <v>15415</v>
      </c>
      <c r="X5364" s="818"/>
      <c r="Y5364" s="1161"/>
    </row>
    <row r="5365" spans="1:25" ht="15.75" hidden="1" customHeight="1">
      <c r="A5365" s="222">
        <v>5374</v>
      </c>
      <c r="B5365" s="1394">
        <v>44677</v>
      </c>
      <c r="C5365" s="1429" t="s">
        <v>18305</v>
      </c>
      <c r="D5365" s="11" t="s">
        <v>6</v>
      </c>
      <c r="E5365" s="222" t="s">
        <v>62</v>
      </c>
      <c r="F5365" s="1502" t="s">
        <v>2876</v>
      </c>
      <c r="G5365" s="1429" t="s">
        <v>18306</v>
      </c>
      <c r="H5365" s="1429" t="s">
        <v>154</v>
      </c>
      <c r="I5365" s="1429" t="s">
        <v>2513</v>
      </c>
      <c r="J5365" s="1429" t="s">
        <v>18307</v>
      </c>
      <c r="K5365" s="1429" t="s">
        <v>18308</v>
      </c>
      <c r="L5365" s="1429" t="s">
        <v>18309</v>
      </c>
      <c r="M5365" s="1429">
        <v>2</v>
      </c>
      <c r="N5365" s="1429">
        <v>1</v>
      </c>
      <c r="O5365" s="1429">
        <v>10</v>
      </c>
      <c r="P5365" s="1429">
        <v>0</v>
      </c>
      <c r="Q5365" s="1429">
        <v>8</v>
      </c>
      <c r="R5365" s="1501">
        <v>116.2</v>
      </c>
      <c r="S5365" s="1501">
        <f>R5365*O5365</f>
        <v>1162</v>
      </c>
      <c r="T5365" s="1510" t="s">
        <v>12330</v>
      </c>
      <c r="U5365" s="1973" t="s">
        <v>18310</v>
      </c>
      <c r="V5365" s="1510" t="s">
        <v>16193</v>
      </c>
      <c r="W5365" s="1543" t="s">
        <v>18311</v>
      </c>
      <c r="X5365" s="1429"/>
      <c r="Y5365" s="1161"/>
    </row>
    <row r="5366" spans="1:25" ht="15.75" hidden="1" customHeight="1">
      <c r="A5366" s="222">
        <v>5375</v>
      </c>
      <c r="B5366" s="1394">
        <v>44677</v>
      </c>
      <c r="C5366" s="1429" t="s">
        <v>18312</v>
      </c>
      <c r="D5366" s="11" t="s">
        <v>6</v>
      </c>
      <c r="E5366" s="222" t="s">
        <v>62</v>
      </c>
      <c r="F5366" s="1502" t="s">
        <v>2876</v>
      </c>
      <c r="G5366" s="1429" t="s">
        <v>18313</v>
      </c>
      <c r="H5366" s="1429" t="s">
        <v>154</v>
      </c>
      <c r="I5366" s="1429" t="s">
        <v>2513</v>
      </c>
      <c r="J5366" s="1429" t="s">
        <v>18314</v>
      </c>
      <c r="K5366" s="1429" t="s">
        <v>9730</v>
      </c>
      <c r="L5366" s="1429" t="s">
        <v>18315</v>
      </c>
      <c r="M5366" s="1429">
        <v>2</v>
      </c>
      <c r="N5366" s="1429">
        <v>1</v>
      </c>
      <c r="O5366" s="1429">
        <v>10</v>
      </c>
      <c r="P5366" s="1429">
        <v>0</v>
      </c>
      <c r="Q5366" s="1429">
        <v>8</v>
      </c>
      <c r="R5366" s="1501">
        <v>266.89999999999998</v>
      </c>
      <c r="S5366" s="1501">
        <f>R5366*O5366</f>
        <v>2669</v>
      </c>
      <c r="T5366" s="1510" t="s">
        <v>12330</v>
      </c>
      <c r="U5366" s="1973" t="s">
        <v>18316</v>
      </c>
      <c r="V5366" s="1510" t="s">
        <v>16193</v>
      </c>
      <c r="W5366" s="1543" t="s">
        <v>18317</v>
      </c>
      <c r="X5366" s="1429"/>
      <c r="Y5366" s="1161"/>
    </row>
    <row r="5367" spans="1:25" ht="15.75" hidden="1" customHeight="1">
      <c r="A5367" s="222">
        <v>5376</v>
      </c>
      <c r="B5367" s="1394">
        <v>44677</v>
      </c>
      <c r="C5367" s="1429" t="s">
        <v>18318</v>
      </c>
      <c r="D5367" s="11" t="s">
        <v>6</v>
      </c>
      <c r="E5367" s="222" t="s">
        <v>62</v>
      </c>
      <c r="F5367" s="1502" t="s">
        <v>2876</v>
      </c>
      <c r="G5367" s="1429" t="s">
        <v>18318</v>
      </c>
      <c r="H5367" s="1429" t="s">
        <v>154</v>
      </c>
      <c r="I5367" s="1429" t="s">
        <v>2513</v>
      </c>
      <c r="J5367" s="1429" t="s">
        <v>18319</v>
      </c>
      <c r="K5367" s="1429" t="s">
        <v>9738</v>
      </c>
      <c r="L5367" s="1429" t="s">
        <v>18320</v>
      </c>
      <c r="M5367" s="1429">
        <v>2</v>
      </c>
      <c r="N5367" s="1429">
        <v>1</v>
      </c>
      <c r="O5367" s="1429">
        <v>10</v>
      </c>
      <c r="P5367" s="1429">
        <v>0</v>
      </c>
      <c r="Q5367" s="1429">
        <v>8</v>
      </c>
      <c r="R5367" s="1501">
        <v>17.2</v>
      </c>
      <c r="S5367" s="1501">
        <f>R5367*O5367</f>
        <v>172</v>
      </c>
      <c r="T5367" s="1510" t="s">
        <v>12330</v>
      </c>
      <c r="U5367" s="1973" t="s">
        <v>18321</v>
      </c>
      <c r="V5367" s="1510" t="s">
        <v>16193</v>
      </c>
      <c r="W5367" s="2173" t="s">
        <v>18322</v>
      </c>
      <c r="X5367" s="1429"/>
      <c r="Y5367" s="1161"/>
    </row>
    <row r="5368" spans="1:25" ht="15.75" hidden="1" customHeight="1">
      <c r="A5368" s="222">
        <v>5377</v>
      </c>
      <c r="B5368" s="1394">
        <v>44679</v>
      </c>
      <c r="C5368" s="1504" t="s">
        <v>18323</v>
      </c>
      <c r="D5368" s="11" t="s">
        <v>6</v>
      </c>
      <c r="E5368" s="1006" t="s">
        <v>683</v>
      </c>
      <c r="F5368" s="882" t="s">
        <v>10005</v>
      </c>
      <c r="G5368" s="882" t="s">
        <v>18324</v>
      </c>
      <c r="H5368" s="882" t="s">
        <v>18204</v>
      </c>
      <c r="I5368" s="882" t="s">
        <v>18205</v>
      </c>
      <c r="J5368" s="882" t="s">
        <v>149</v>
      </c>
      <c r="K5368" s="882" t="s">
        <v>18325</v>
      </c>
      <c r="L5368" s="882" t="s">
        <v>149</v>
      </c>
      <c r="M5368" s="882">
        <v>1</v>
      </c>
      <c r="N5368" s="882">
        <v>1</v>
      </c>
      <c r="O5368" s="882">
        <v>1</v>
      </c>
      <c r="P5368" s="882">
        <v>0</v>
      </c>
      <c r="Q5368" s="882">
        <v>0</v>
      </c>
      <c r="R5368" s="880" t="s">
        <v>18326</v>
      </c>
      <c r="S5368" s="1507" t="s">
        <v>18326</v>
      </c>
      <c r="T5368" s="882" t="s">
        <v>18207</v>
      </c>
      <c r="U5368" s="1974" t="s">
        <v>18207</v>
      </c>
      <c r="V5368" s="1411" t="s">
        <v>5604</v>
      </c>
      <c r="W5368" s="1421" t="s">
        <v>18208</v>
      </c>
      <c r="X5368" s="818"/>
      <c r="Y5368" s="1161"/>
    </row>
    <row r="5369" spans="1:25" ht="15.75" hidden="1" customHeight="1">
      <c r="A5369" s="222">
        <v>5378</v>
      </c>
      <c r="B5369" s="1394">
        <v>44679</v>
      </c>
      <c r="C5369" s="1505" t="s">
        <v>18327</v>
      </c>
      <c r="D5369" s="11" t="s">
        <v>6</v>
      </c>
      <c r="E5369" s="1006" t="s">
        <v>683</v>
      </c>
      <c r="F5369" s="1506" t="s">
        <v>10005</v>
      </c>
      <c r="G5369" s="1506" t="s">
        <v>18328</v>
      </c>
      <c r="H5369" s="1506" t="s">
        <v>18204</v>
      </c>
      <c r="I5369" s="1506" t="s">
        <v>18205</v>
      </c>
      <c r="J5369" s="1506" t="s">
        <v>149</v>
      </c>
      <c r="K5369" s="1506" t="s">
        <v>18329</v>
      </c>
      <c r="L5369" s="1506" t="s">
        <v>149</v>
      </c>
      <c r="M5369" s="1506">
        <v>2</v>
      </c>
      <c r="N5369" s="1506">
        <v>1</v>
      </c>
      <c r="O5369" s="1506">
        <v>2</v>
      </c>
      <c r="P5369" s="1506">
        <v>0</v>
      </c>
      <c r="Q5369" s="1506">
        <v>0</v>
      </c>
      <c r="R5369" s="1508" t="s">
        <v>18330</v>
      </c>
      <c r="S5369" s="1509" t="s">
        <v>18331</v>
      </c>
      <c r="T5369" s="1506" t="s">
        <v>18207</v>
      </c>
      <c r="U5369" s="1975" t="s">
        <v>18207</v>
      </c>
      <c r="V5369" s="1411" t="s">
        <v>5604</v>
      </c>
      <c r="W5369" s="1503" t="s">
        <v>18208</v>
      </c>
      <c r="X5369" s="818"/>
      <c r="Y5369" s="1161"/>
    </row>
    <row r="5370" spans="1:25" ht="15.75" hidden="1" customHeight="1">
      <c r="A5370" s="222">
        <v>5379</v>
      </c>
      <c r="B5370" s="858">
        <v>44681</v>
      </c>
      <c r="C5370" s="129" t="s">
        <v>18332</v>
      </c>
      <c r="D5370" s="11" t="s">
        <v>6</v>
      </c>
      <c r="E5370" s="222" t="s">
        <v>18333</v>
      </c>
      <c r="F5370" s="1006" t="s">
        <v>2143</v>
      </c>
      <c r="G5370" s="863" t="s">
        <v>18334</v>
      </c>
      <c r="H5370" s="222"/>
      <c r="I5370" s="222"/>
      <c r="J5370" s="183"/>
      <c r="K5370" s="183"/>
      <c r="L5370" s="613"/>
      <c r="M5370" s="183">
        <v>1</v>
      </c>
      <c r="N5370" s="183">
        <v>1</v>
      </c>
      <c r="O5370" s="222">
        <v>1</v>
      </c>
      <c r="P5370" s="222">
        <v>0</v>
      </c>
      <c r="Q5370" s="222">
        <v>0</v>
      </c>
      <c r="R5370" s="1195">
        <v>230923</v>
      </c>
      <c r="S5370" s="1195">
        <v>230923</v>
      </c>
      <c r="T5370" s="222" t="s">
        <v>311</v>
      </c>
      <c r="U5370" s="1527" t="s">
        <v>4897</v>
      </c>
      <c r="W5370" s="2155"/>
      <c r="X5370" s="818"/>
      <c r="Y5370" s="1161"/>
    </row>
    <row r="5371" spans="1:25" ht="15.75" hidden="1" customHeight="1">
      <c r="A5371" s="222">
        <v>5380</v>
      </c>
      <c r="B5371" s="858">
        <v>44682</v>
      </c>
      <c r="C5371" s="129" t="s">
        <v>18335</v>
      </c>
      <c r="D5371" s="11" t="s">
        <v>6</v>
      </c>
      <c r="E5371" s="818" t="s">
        <v>18035</v>
      </c>
      <c r="F5371" s="1006" t="s">
        <v>2143</v>
      </c>
      <c r="G5371" s="863" t="s">
        <v>18336</v>
      </c>
      <c r="H5371" s="222"/>
      <c r="I5371" s="222" t="s">
        <v>429</v>
      </c>
      <c r="J5371" s="183" t="s">
        <v>18337</v>
      </c>
      <c r="K5371" s="183" t="s">
        <v>18337</v>
      </c>
      <c r="L5371" s="613"/>
      <c r="M5371" s="183">
        <v>1</v>
      </c>
      <c r="N5371" s="183">
        <v>1</v>
      </c>
      <c r="O5371" s="222">
        <v>1</v>
      </c>
      <c r="P5371" s="222">
        <v>0</v>
      </c>
      <c r="Q5371" s="222">
        <v>0</v>
      </c>
      <c r="R5371" s="1195">
        <v>430</v>
      </c>
      <c r="S5371" s="1195">
        <v>430</v>
      </c>
      <c r="T5371" s="222" t="s">
        <v>5448</v>
      </c>
      <c r="U5371" s="1527" t="s">
        <v>5881</v>
      </c>
      <c r="W5371" s="2155" t="s">
        <v>18338</v>
      </c>
      <c r="X5371" s="818"/>
      <c r="Y5371" s="1161"/>
    </row>
    <row r="5372" spans="1:25" ht="15.75" hidden="1" customHeight="1">
      <c r="A5372" s="222">
        <v>5381</v>
      </c>
      <c r="B5372" s="858" t="s">
        <v>18339</v>
      </c>
      <c r="C5372" s="129" t="s">
        <v>18340</v>
      </c>
      <c r="D5372" s="8" t="s">
        <v>6</v>
      </c>
      <c r="E5372" s="818" t="s">
        <v>62</v>
      </c>
      <c r="F5372" s="1006" t="s">
        <v>16770</v>
      </c>
      <c r="G5372" s="863" t="s">
        <v>18341</v>
      </c>
      <c r="H5372" s="222" t="s">
        <v>133</v>
      </c>
      <c r="I5372" s="222" t="s">
        <v>133</v>
      </c>
      <c r="J5372" s="183"/>
      <c r="K5372" s="183"/>
      <c r="L5372" s="613"/>
      <c r="M5372" s="183">
        <v>1</v>
      </c>
      <c r="N5372" s="183">
        <v>1</v>
      </c>
      <c r="O5372" s="222">
        <v>1</v>
      </c>
      <c r="P5372" s="222">
        <v>0</v>
      </c>
      <c r="Q5372" s="222">
        <v>0</v>
      </c>
      <c r="R5372" s="1195">
        <v>10000</v>
      </c>
      <c r="S5372" s="1195">
        <v>10000</v>
      </c>
      <c r="T5372" s="222" t="s">
        <v>12425</v>
      </c>
      <c r="U5372" s="1527" t="s">
        <v>1896</v>
      </c>
      <c r="W5372" s="2155"/>
      <c r="X5372" s="818"/>
      <c r="Y5372" s="1161"/>
    </row>
    <row r="5373" spans="1:25" ht="15.75" hidden="1" customHeight="1">
      <c r="A5373" s="222">
        <v>5382</v>
      </c>
      <c r="B5373" s="858">
        <v>44683</v>
      </c>
      <c r="C5373" s="1504" t="s">
        <v>18342</v>
      </c>
      <c r="D5373" s="1445" t="s">
        <v>6</v>
      </c>
      <c r="E5373" s="882" t="s">
        <v>683</v>
      </c>
      <c r="F5373" s="882" t="s">
        <v>10005</v>
      </c>
      <c r="G5373" s="882" t="s">
        <v>18246</v>
      </c>
      <c r="H5373" s="882" t="s">
        <v>1614</v>
      </c>
      <c r="I5373" s="882" t="s">
        <v>18247</v>
      </c>
      <c r="J5373" s="882" t="s">
        <v>149</v>
      </c>
      <c r="K5373" s="1517" t="s">
        <v>1</v>
      </c>
      <c r="L5373" s="882" t="s">
        <v>149</v>
      </c>
      <c r="M5373" s="882">
        <v>2</v>
      </c>
      <c r="N5373" s="882">
        <v>1</v>
      </c>
      <c r="O5373" s="882">
        <v>2</v>
      </c>
      <c r="P5373" s="1517" t="s">
        <v>1</v>
      </c>
      <c r="Q5373" s="1517" t="s">
        <v>1</v>
      </c>
      <c r="R5373" s="880" t="s">
        <v>18248</v>
      </c>
      <c r="S5373" s="1507" t="s">
        <v>18249</v>
      </c>
      <c r="T5373" s="880" t="s">
        <v>14509</v>
      </c>
      <c r="U5373" s="1976" t="s">
        <v>4220</v>
      </c>
      <c r="V5373" s="1411" t="s">
        <v>5604</v>
      </c>
      <c r="W5373" s="1421" t="s">
        <v>1614</v>
      </c>
      <c r="X5373" s="818"/>
      <c r="Y5373" s="1161"/>
    </row>
    <row r="5374" spans="1:25" ht="15.75" hidden="1" customHeight="1">
      <c r="A5374" s="222">
        <v>5383</v>
      </c>
      <c r="B5374" s="858">
        <v>44687</v>
      </c>
      <c r="C5374" s="129" t="s">
        <v>18343</v>
      </c>
      <c r="D5374" s="1445" t="s">
        <v>6</v>
      </c>
      <c r="E5374" s="882" t="s">
        <v>62</v>
      </c>
      <c r="F5374" s="1006" t="s">
        <v>11323</v>
      </c>
      <c r="G5374" s="863" t="s">
        <v>18343</v>
      </c>
      <c r="H5374" s="222"/>
      <c r="I5374" s="222"/>
      <c r="J5374" s="183"/>
      <c r="K5374" s="183"/>
      <c r="L5374" s="613"/>
      <c r="M5374" s="183">
        <v>1</v>
      </c>
      <c r="N5374" s="183">
        <v>1</v>
      </c>
      <c r="O5374" s="222">
        <v>1</v>
      </c>
      <c r="P5374" s="222">
        <v>0</v>
      </c>
      <c r="Q5374" s="222">
        <v>1</v>
      </c>
      <c r="R5374" s="1195">
        <v>1500</v>
      </c>
      <c r="S5374" s="1195">
        <v>1500</v>
      </c>
      <c r="T5374" s="222" t="s">
        <v>18344</v>
      </c>
      <c r="U5374" s="1527" t="s">
        <v>18345</v>
      </c>
      <c r="V5374" s="222" t="s">
        <v>1720</v>
      </c>
      <c r="W5374" s="1815"/>
      <c r="X5374" s="818"/>
      <c r="Y5374" s="1161"/>
    </row>
    <row r="5375" spans="1:25" ht="15.75" hidden="1" customHeight="1">
      <c r="A5375" s="222">
        <v>5384</v>
      </c>
      <c r="B5375" s="858">
        <v>44687</v>
      </c>
      <c r="C5375" s="129" t="s">
        <v>18346</v>
      </c>
      <c r="D5375" s="1445" t="s">
        <v>6</v>
      </c>
      <c r="E5375" s="818" t="s">
        <v>17683</v>
      </c>
      <c r="F5375" s="1006" t="s">
        <v>18347</v>
      </c>
      <c r="G5375" s="882" t="s">
        <v>18348</v>
      </c>
      <c r="H5375" s="222"/>
      <c r="I5375" s="1519" t="s">
        <v>18349</v>
      </c>
      <c r="J5375" s="183" t="s">
        <v>149</v>
      </c>
      <c r="K5375" s="183" t="s">
        <v>149</v>
      </c>
      <c r="L5375" s="613"/>
      <c r="M5375" s="183">
        <v>1</v>
      </c>
      <c r="N5375" s="183">
        <v>1</v>
      </c>
      <c r="O5375" s="222">
        <v>1</v>
      </c>
      <c r="P5375" s="222">
        <v>0</v>
      </c>
      <c r="Q5375" s="222">
        <v>0</v>
      </c>
      <c r="R5375" s="1195">
        <v>5925.5</v>
      </c>
      <c r="S5375" s="1195">
        <v>5925.5</v>
      </c>
      <c r="T5375" s="222" t="s">
        <v>18350</v>
      </c>
      <c r="U5375" s="1527" t="s">
        <v>18351</v>
      </c>
      <c r="V5375" s="222" t="s">
        <v>18352</v>
      </c>
      <c r="W5375" s="2155" t="s">
        <v>18353</v>
      </c>
      <c r="X5375" s="818"/>
      <c r="Y5375" s="1161"/>
    </row>
    <row r="5376" spans="1:25" ht="15.75" hidden="1" customHeight="1">
      <c r="A5376" s="222">
        <v>5385</v>
      </c>
      <c r="B5376" s="858">
        <v>44687</v>
      </c>
      <c r="C5376" s="129" t="s">
        <v>18354</v>
      </c>
      <c r="D5376" s="1445"/>
      <c r="E5376" s="818" t="s">
        <v>17683</v>
      </c>
      <c r="F5376" s="1006" t="s">
        <v>18347</v>
      </c>
      <c r="G5376" s="1518" t="s">
        <v>18355</v>
      </c>
      <c r="H5376" s="222"/>
      <c r="I5376" t="s">
        <v>18356</v>
      </c>
      <c r="J5376" s="183" t="s">
        <v>149</v>
      </c>
      <c r="K5376" s="183" t="s">
        <v>18357</v>
      </c>
      <c r="L5376" s="613"/>
      <c r="M5376" s="183">
        <v>1</v>
      </c>
      <c r="N5376" s="183">
        <v>1</v>
      </c>
      <c r="O5376" s="222">
        <v>1</v>
      </c>
      <c r="P5376" s="222">
        <v>0</v>
      </c>
      <c r="Q5376" s="222">
        <v>0</v>
      </c>
      <c r="R5376" s="1195">
        <v>23100</v>
      </c>
      <c r="S5376" s="1195">
        <v>23100</v>
      </c>
      <c r="T5376" s="222" t="s">
        <v>18350</v>
      </c>
      <c r="U5376" s="1527" t="s">
        <v>18351</v>
      </c>
      <c r="V5376" s="222" t="s">
        <v>18358</v>
      </c>
      <c r="W5376" s="2155" t="s">
        <v>18359</v>
      </c>
      <c r="X5376" s="818"/>
      <c r="Y5376" s="1161"/>
    </row>
    <row r="5377" spans="1:25" ht="15.75" hidden="1" customHeight="1">
      <c r="A5377" s="222">
        <v>5386</v>
      </c>
      <c r="B5377" s="858">
        <v>44690</v>
      </c>
      <c r="C5377" s="1193" t="s">
        <v>12422</v>
      </c>
      <c r="D5377" s="8" t="s">
        <v>6</v>
      </c>
      <c r="E5377" s="818" t="s">
        <v>17683</v>
      </c>
      <c r="F5377" s="222" t="s">
        <v>10651</v>
      </c>
      <c r="G5377" s="458" t="s">
        <v>16823</v>
      </c>
      <c r="H5377" s="222"/>
      <c r="I5377" s="222" t="s">
        <v>429</v>
      </c>
      <c r="J5377" s="222" t="s">
        <v>18360</v>
      </c>
      <c r="K5377" s="222"/>
      <c r="L5377" s="613"/>
      <c r="M5377" s="222">
        <v>50</v>
      </c>
      <c r="N5377" s="222">
        <v>1</v>
      </c>
      <c r="O5377" s="222">
        <v>80</v>
      </c>
      <c r="P5377" s="222">
        <v>0</v>
      </c>
      <c r="Q5377" s="222">
        <v>0</v>
      </c>
      <c r="R5377" s="1195">
        <v>46</v>
      </c>
      <c r="S5377" s="1195">
        <v>405</v>
      </c>
      <c r="T5377" s="222"/>
      <c r="U5377" s="1527"/>
      <c r="W5377" s="2155"/>
      <c r="X5377" s="818"/>
      <c r="Y5377" s="1161"/>
    </row>
    <row r="5378" spans="1:25" ht="15.75" hidden="1" customHeight="1">
      <c r="A5378" s="222">
        <v>5387</v>
      </c>
      <c r="B5378" s="858">
        <v>44690</v>
      </c>
      <c r="C5378" s="1193" t="s">
        <v>12422</v>
      </c>
      <c r="D5378" s="8" t="s">
        <v>6</v>
      </c>
      <c r="E5378" s="818" t="s">
        <v>17683</v>
      </c>
      <c r="F5378" s="222" t="s">
        <v>10651</v>
      </c>
      <c r="G5378" s="222" t="s">
        <v>18361</v>
      </c>
      <c r="H5378" s="222"/>
      <c r="I5378" s="222" t="s">
        <v>429</v>
      </c>
      <c r="J5378" s="222" t="s">
        <v>12435</v>
      </c>
      <c r="K5378" s="222"/>
      <c r="L5378" s="613"/>
      <c r="M5378" s="222">
        <v>4</v>
      </c>
      <c r="N5378" s="222">
        <v>1</v>
      </c>
      <c r="O5378" s="222">
        <v>8</v>
      </c>
      <c r="P5378" s="222">
        <v>0</v>
      </c>
      <c r="Q5378" s="222">
        <v>0</v>
      </c>
      <c r="R5378" s="1195">
        <v>180</v>
      </c>
      <c r="S5378" s="1195">
        <v>6732</v>
      </c>
      <c r="T5378" s="222"/>
      <c r="U5378" s="1527"/>
      <c r="W5378" s="2155"/>
      <c r="X5378" s="818"/>
      <c r="Y5378" s="1161"/>
    </row>
    <row r="5379" spans="1:25" ht="15.75" hidden="1" customHeight="1">
      <c r="A5379" s="222">
        <v>5388</v>
      </c>
      <c r="B5379" s="858">
        <v>44690</v>
      </c>
      <c r="C5379" s="1193" t="s">
        <v>12422</v>
      </c>
      <c r="D5379" s="8" t="s">
        <v>6</v>
      </c>
      <c r="E5379" s="818" t="s">
        <v>17683</v>
      </c>
      <c r="F5379" s="222" t="s">
        <v>10651</v>
      </c>
      <c r="G5379" s="222" t="s">
        <v>18362</v>
      </c>
      <c r="H5379" s="222"/>
      <c r="I5379" s="222" t="s">
        <v>429</v>
      </c>
      <c r="J5379" s="222" t="s">
        <v>370</v>
      </c>
      <c r="K5379" s="222"/>
      <c r="L5379" s="613"/>
      <c r="M5379" s="222">
        <v>30</v>
      </c>
      <c r="N5379" s="222">
        <v>1</v>
      </c>
      <c r="O5379" s="222">
        <v>34</v>
      </c>
      <c r="P5379" s="222">
        <v>0</v>
      </c>
      <c r="Q5379" s="222">
        <v>0</v>
      </c>
      <c r="R5379" s="1195">
        <v>82</v>
      </c>
      <c r="S5379" s="1195">
        <v>1804</v>
      </c>
      <c r="T5379" s="222"/>
      <c r="U5379" s="1527"/>
      <c r="W5379" s="2155"/>
      <c r="X5379" s="818"/>
      <c r="Y5379" s="1161"/>
    </row>
    <row r="5380" spans="1:25" ht="15.75" hidden="1" customHeight="1">
      <c r="A5380" s="222">
        <v>5389</v>
      </c>
      <c r="B5380" s="858">
        <v>44690</v>
      </c>
      <c r="C5380" s="1193" t="s">
        <v>12422</v>
      </c>
      <c r="D5380" s="8" t="s">
        <v>6</v>
      </c>
      <c r="E5380" s="818" t="s">
        <v>17683</v>
      </c>
      <c r="F5380" s="222" t="s">
        <v>10651</v>
      </c>
      <c r="G5380" s="222" t="s">
        <v>18363</v>
      </c>
      <c r="H5380" s="222"/>
      <c r="I5380" s="222" t="s">
        <v>429</v>
      </c>
      <c r="J5380" s="222" t="s">
        <v>18364</v>
      </c>
      <c r="K5380" s="222"/>
      <c r="L5380" s="613"/>
      <c r="M5380" s="222">
        <v>15</v>
      </c>
      <c r="N5380" s="222">
        <v>1</v>
      </c>
      <c r="O5380" s="222">
        <v>20</v>
      </c>
      <c r="P5380" s="222">
        <v>0</v>
      </c>
      <c r="Q5380" s="222">
        <v>0</v>
      </c>
      <c r="R5380" s="1195">
        <v>81</v>
      </c>
      <c r="S5380" s="1195">
        <v>713</v>
      </c>
      <c r="T5380" s="222"/>
      <c r="U5380" s="1527"/>
      <c r="W5380" s="2155"/>
      <c r="X5380" s="818"/>
      <c r="Y5380" s="1161"/>
    </row>
    <row r="5381" spans="1:25" ht="15.75" hidden="1" customHeight="1">
      <c r="A5381" s="222">
        <v>5390</v>
      </c>
      <c r="B5381" s="858">
        <v>44690</v>
      </c>
      <c r="C5381" s="1193" t="s">
        <v>18365</v>
      </c>
      <c r="D5381" s="8" t="s">
        <v>6</v>
      </c>
      <c r="E5381" s="818" t="s">
        <v>17683</v>
      </c>
      <c r="F5381" s="222" t="s">
        <v>10651</v>
      </c>
      <c r="G5381" s="222" t="s">
        <v>18366</v>
      </c>
      <c r="H5381" s="222"/>
      <c r="I5381" s="222" t="s">
        <v>429</v>
      </c>
      <c r="J5381" s="222" t="s">
        <v>18367</v>
      </c>
      <c r="K5381" s="222"/>
      <c r="L5381" s="613"/>
      <c r="M5381" s="222">
        <v>4</v>
      </c>
      <c r="N5381" s="222">
        <v>1</v>
      </c>
      <c r="O5381" s="222">
        <v>8</v>
      </c>
      <c r="P5381" s="222">
        <v>0</v>
      </c>
      <c r="Q5381" s="222">
        <v>0</v>
      </c>
      <c r="R5381" s="1195">
        <v>54</v>
      </c>
      <c r="S5381" s="1195">
        <v>1188</v>
      </c>
      <c r="T5381" s="222"/>
      <c r="U5381" s="1527"/>
      <c r="W5381" s="2155"/>
      <c r="X5381" s="818"/>
      <c r="Y5381" s="1161"/>
    </row>
    <row r="5382" spans="1:25" ht="15.75" hidden="1" customHeight="1">
      <c r="A5382" s="222">
        <v>5391</v>
      </c>
      <c r="B5382" s="858">
        <v>44690</v>
      </c>
      <c r="C5382" s="1193" t="s">
        <v>18365</v>
      </c>
      <c r="D5382" s="8" t="s">
        <v>6</v>
      </c>
      <c r="E5382" s="818" t="s">
        <v>17683</v>
      </c>
      <c r="F5382" s="222" t="s">
        <v>10651</v>
      </c>
      <c r="G5382" s="222" t="s">
        <v>18368</v>
      </c>
      <c r="H5382" s="222"/>
      <c r="I5382" s="222" t="s">
        <v>429</v>
      </c>
      <c r="J5382" s="222" t="s">
        <v>18369</v>
      </c>
      <c r="K5382" s="222"/>
      <c r="L5382" s="613"/>
      <c r="M5382" s="222">
        <v>12</v>
      </c>
      <c r="N5382" s="222">
        <v>1</v>
      </c>
      <c r="O5382" s="222">
        <v>20</v>
      </c>
      <c r="P5382" s="222">
        <v>0</v>
      </c>
      <c r="Q5382" s="222">
        <v>0</v>
      </c>
      <c r="R5382" s="1195">
        <v>95</v>
      </c>
      <c r="S5382" s="1195">
        <v>836</v>
      </c>
      <c r="T5382" s="222"/>
      <c r="U5382" s="1527"/>
      <c r="W5382" s="2155"/>
      <c r="X5382" s="818"/>
      <c r="Y5382" s="1161"/>
    </row>
    <row r="5383" spans="1:25" ht="15.75" hidden="1" customHeight="1">
      <c r="A5383" s="222">
        <v>5392</v>
      </c>
      <c r="B5383" s="858">
        <v>44690</v>
      </c>
      <c r="C5383" s="1193" t="s">
        <v>18365</v>
      </c>
      <c r="D5383" s="8" t="s">
        <v>6</v>
      </c>
      <c r="E5383" s="818" t="s">
        <v>17683</v>
      </c>
      <c r="F5383" s="222" t="s">
        <v>10651</v>
      </c>
      <c r="G5383" s="222" t="s">
        <v>18370</v>
      </c>
      <c r="H5383" s="222"/>
      <c r="I5383" s="222" t="s">
        <v>429</v>
      </c>
      <c r="J5383" s="222" t="s">
        <v>18371</v>
      </c>
      <c r="K5383" s="222"/>
      <c r="L5383" s="613"/>
      <c r="M5383" s="222">
        <v>4</v>
      </c>
      <c r="N5383" s="222">
        <v>1</v>
      </c>
      <c r="O5383" s="222">
        <v>8</v>
      </c>
      <c r="P5383" s="222">
        <v>0</v>
      </c>
      <c r="Q5383" s="222">
        <v>0</v>
      </c>
      <c r="R5383" s="1195">
        <v>42</v>
      </c>
      <c r="S5383" s="1195">
        <v>739</v>
      </c>
      <c r="T5383" s="222"/>
      <c r="U5383" s="1527"/>
      <c r="W5383" s="2155"/>
      <c r="X5383" s="818"/>
      <c r="Y5383" s="1161"/>
    </row>
    <row r="5384" spans="1:25" ht="15.75" hidden="1" customHeight="1">
      <c r="A5384" s="222">
        <v>5393</v>
      </c>
      <c r="B5384" s="858">
        <v>44690</v>
      </c>
      <c r="C5384" s="1193" t="s">
        <v>18365</v>
      </c>
      <c r="D5384" s="8" t="s">
        <v>6</v>
      </c>
      <c r="E5384" s="818" t="s">
        <v>17683</v>
      </c>
      <c r="F5384" s="222" t="s">
        <v>10651</v>
      </c>
      <c r="G5384" s="222" t="s">
        <v>18372</v>
      </c>
      <c r="H5384" s="222"/>
      <c r="I5384" s="222" t="s">
        <v>429</v>
      </c>
      <c r="J5384" s="222" t="s">
        <v>16839</v>
      </c>
      <c r="K5384" s="222"/>
      <c r="L5384" s="613"/>
      <c r="M5384" s="222">
        <v>8</v>
      </c>
      <c r="N5384" s="222">
        <v>1</v>
      </c>
      <c r="O5384" s="222">
        <v>16</v>
      </c>
      <c r="P5384" s="222">
        <v>0</v>
      </c>
      <c r="Q5384" s="222">
        <v>0</v>
      </c>
      <c r="R5384" s="1195">
        <v>45</v>
      </c>
      <c r="S5384" s="1195">
        <v>792</v>
      </c>
      <c r="T5384" s="222"/>
      <c r="U5384" s="1527"/>
      <c r="W5384" s="2155"/>
      <c r="X5384" s="818"/>
      <c r="Y5384" s="1161"/>
    </row>
    <row r="5385" spans="1:25" ht="15.75" hidden="1" customHeight="1">
      <c r="A5385" s="222">
        <v>5394</v>
      </c>
      <c r="B5385" s="858">
        <v>44690</v>
      </c>
      <c r="C5385" s="1193" t="s">
        <v>18365</v>
      </c>
      <c r="D5385" s="8" t="s">
        <v>6</v>
      </c>
      <c r="E5385" s="818" t="s">
        <v>17683</v>
      </c>
      <c r="F5385" s="222" t="s">
        <v>10651</v>
      </c>
      <c r="G5385" s="222" t="s">
        <v>18373</v>
      </c>
      <c r="H5385" s="222"/>
      <c r="I5385" s="222" t="s">
        <v>429</v>
      </c>
      <c r="J5385" s="222" t="s">
        <v>16844</v>
      </c>
      <c r="K5385" s="222"/>
      <c r="L5385" s="613"/>
      <c r="M5385" s="222">
        <v>8</v>
      </c>
      <c r="N5385" s="222">
        <v>1</v>
      </c>
      <c r="O5385" s="222">
        <v>16</v>
      </c>
      <c r="P5385" s="222">
        <v>0</v>
      </c>
      <c r="Q5385" s="222">
        <v>0</v>
      </c>
      <c r="R5385" s="1195">
        <v>49</v>
      </c>
      <c r="S5385" s="1195">
        <v>431</v>
      </c>
      <c r="T5385" s="222"/>
      <c r="U5385" s="1527"/>
      <c r="W5385" s="2155"/>
      <c r="X5385" s="818"/>
      <c r="Y5385" s="1161"/>
    </row>
    <row r="5386" spans="1:25" ht="15.75" hidden="1" customHeight="1">
      <c r="A5386" s="222">
        <v>5395</v>
      </c>
      <c r="B5386" s="858">
        <v>44690</v>
      </c>
      <c r="C5386" s="1193" t="s">
        <v>18365</v>
      </c>
      <c r="D5386" s="8" t="s">
        <v>6</v>
      </c>
      <c r="E5386" s="818" t="s">
        <v>17683</v>
      </c>
      <c r="F5386" s="222" t="s">
        <v>10651</v>
      </c>
      <c r="G5386" s="222" t="s">
        <v>18374</v>
      </c>
      <c r="H5386" s="222"/>
      <c r="I5386" s="222" t="s">
        <v>429</v>
      </c>
      <c r="J5386" s="222" t="s">
        <v>17255</v>
      </c>
      <c r="K5386" s="222"/>
      <c r="L5386" s="613"/>
      <c r="M5386" s="222">
        <v>4</v>
      </c>
      <c r="N5386" s="222">
        <v>1</v>
      </c>
      <c r="O5386" s="222">
        <v>8</v>
      </c>
      <c r="P5386" s="222">
        <v>0</v>
      </c>
      <c r="Q5386" s="222">
        <v>0</v>
      </c>
      <c r="R5386" s="1195">
        <v>24</v>
      </c>
      <c r="S5386" s="1195">
        <v>634</v>
      </c>
      <c r="T5386" s="222"/>
      <c r="U5386" s="1527"/>
      <c r="W5386" s="2155"/>
      <c r="X5386" s="818"/>
      <c r="Y5386" s="1161"/>
    </row>
    <row r="5387" spans="1:25" ht="15.75" hidden="1" customHeight="1">
      <c r="A5387" s="222">
        <v>5396</v>
      </c>
      <c r="B5387" s="858">
        <v>44690</v>
      </c>
      <c r="C5387" s="1193" t="s">
        <v>18365</v>
      </c>
      <c r="D5387" s="8" t="s">
        <v>6</v>
      </c>
      <c r="E5387" s="818" t="s">
        <v>17683</v>
      </c>
      <c r="F5387" s="222" t="s">
        <v>10651</v>
      </c>
      <c r="G5387" s="222" t="s">
        <v>16783</v>
      </c>
      <c r="H5387" s="222"/>
      <c r="I5387" s="222" t="s">
        <v>429</v>
      </c>
      <c r="J5387" s="222" t="s">
        <v>16784</v>
      </c>
      <c r="K5387" s="222"/>
      <c r="L5387" s="613"/>
      <c r="M5387" s="222">
        <v>12</v>
      </c>
      <c r="N5387" s="222">
        <v>1</v>
      </c>
      <c r="O5387" s="222">
        <v>24</v>
      </c>
      <c r="P5387" s="222">
        <v>0</v>
      </c>
      <c r="Q5387" s="222">
        <v>0</v>
      </c>
      <c r="R5387" s="1195">
        <v>99</v>
      </c>
      <c r="S5387" s="1195">
        <v>436</v>
      </c>
      <c r="T5387" s="222"/>
      <c r="U5387" s="1527"/>
      <c r="W5387" s="2155"/>
      <c r="X5387" s="818"/>
      <c r="Y5387" s="1161"/>
    </row>
    <row r="5388" spans="1:25" ht="15.75" hidden="1" customHeight="1">
      <c r="A5388" s="222">
        <v>5397</v>
      </c>
      <c r="B5388" s="858">
        <v>44690</v>
      </c>
      <c r="C5388" s="1193" t="s">
        <v>18375</v>
      </c>
      <c r="D5388" s="8" t="s">
        <v>6</v>
      </c>
      <c r="E5388" s="818" t="s">
        <v>17683</v>
      </c>
      <c r="F5388" s="222" t="s">
        <v>10651</v>
      </c>
      <c r="G5388" s="222" t="s">
        <v>18376</v>
      </c>
      <c r="H5388" s="222"/>
      <c r="I5388" s="222" t="s">
        <v>429</v>
      </c>
      <c r="J5388" s="222" t="s">
        <v>17505</v>
      </c>
      <c r="K5388" s="222"/>
      <c r="L5388" s="613"/>
      <c r="M5388" s="222">
        <v>4</v>
      </c>
      <c r="N5388" s="222">
        <v>1</v>
      </c>
      <c r="O5388" s="222">
        <v>4</v>
      </c>
      <c r="P5388" s="222">
        <v>0</v>
      </c>
      <c r="Q5388" s="222">
        <v>0</v>
      </c>
      <c r="R5388" s="1195">
        <v>244</v>
      </c>
      <c r="S5388" s="1195">
        <v>1610</v>
      </c>
      <c r="T5388" s="222"/>
      <c r="U5388" s="1527"/>
      <c r="W5388" s="2155"/>
      <c r="X5388" s="818"/>
      <c r="Y5388" s="1161"/>
    </row>
    <row r="5389" spans="1:25" ht="15.75" hidden="1" customHeight="1">
      <c r="A5389" s="222">
        <v>5398</v>
      </c>
      <c r="B5389" s="858">
        <v>44690</v>
      </c>
      <c r="C5389" s="1193" t="s">
        <v>15523</v>
      </c>
      <c r="D5389" s="8" t="s">
        <v>6</v>
      </c>
      <c r="E5389" s="818" t="s">
        <v>17683</v>
      </c>
      <c r="F5389" s="222" t="s">
        <v>10651</v>
      </c>
      <c r="G5389" s="222" t="s">
        <v>18377</v>
      </c>
      <c r="H5389" s="222"/>
      <c r="I5389" s="222" t="s">
        <v>429</v>
      </c>
      <c r="J5389" s="222" t="s">
        <v>16777</v>
      </c>
      <c r="K5389" s="222"/>
      <c r="L5389" s="613"/>
      <c r="M5389" s="222">
        <v>4</v>
      </c>
      <c r="N5389" s="222">
        <v>1</v>
      </c>
      <c r="O5389" s="222">
        <v>6</v>
      </c>
      <c r="P5389" s="222">
        <v>0</v>
      </c>
      <c r="Q5389" s="222">
        <v>0</v>
      </c>
      <c r="R5389" s="1195">
        <v>76</v>
      </c>
      <c r="S5389" s="1195">
        <v>1672</v>
      </c>
      <c r="T5389" s="222"/>
      <c r="U5389" s="1527"/>
      <c r="W5389" s="2155"/>
      <c r="X5389" s="818"/>
      <c r="Y5389" s="1161"/>
    </row>
    <row r="5390" spans="1:25" ht="15.75" hidden="1" customHeight="1">
      <c r="A5390" s="222">
        <v>5399</v>
      </c>
      <c r="B5390" s="858">
        <v>44690</v>
      </c>
      <c r="C5390" s="1193" t="s">
        <v>13524</v>
      </c>
      <c r="D5390" s="8" t="s">
        <v>6</v>
      </c>
      <c r="E5390" s="818" t="s">
        <v>17683</v>
      </c>
      <c r="F5390" s="222" t="s">
        <v>10651</v>
      </c>
      <c r="G5390" s="222" t="s">
        <v>18378</v>
      </c>
      <c r="H5390" s="222"/>
      <c r="I5390" s="222" t="s">
        <v>429</v>
      </c>
      <c r="J5390" s="222" t="s">
        <v>4132</v>
      </c>
      <c r="K5390" s="222"/>
      <c r="L5390" s="613"/>
      <c r="M5390" s="222">
        <v>15</v>
      </c>
      <c r="N5390" s="222">
        <v>1</v>
      </c>
      <c r="O5390" s="222">
        <v>30</v>
      </c>
      <c r="P5390" s="222">
        <v>0</v>
      </c>
      <c r="Q5390" s="222">
        <v>0</v>
      </c>
      <c r="R5390" s="1195">
        <v>76</v>
      </c>
      <c r="S5390" s="1195">
        <v>1672</v>
      </c>
      <c r="T5390" s="222"/>
      <c r="U5390" s="1527"/>
      <c r="W5390" s="2155"/>
      <c r="X5390" s="818"/>
      <c r="Y5390" s="1161"/>
    </row>
    <row r="5391" spans="1:25" ht="15.75" hidden="1" customHeight="1">
      <c r="A5391" s="222">
        <v>5400</v>
      </c>
      <c r="B5391" s="858"/>
      <c r="C5391" s="1193"/>
      <c r="D5391" s="22"/>
      <c r="E5391" s="818"/>
      <c r="F5391" s="222" t="s">
        <v>10651</v>
      </c>
      <c r="G5391" s="222" t="s">
        <v>18379</v>
      </c>
      <c r="H5391" s="222"/>
      <c r="I5391" s="222" t="s">
        <v>429</v>
      </c>
      <c r="J5391" s="222" t="s">
        <v>379</v>
      </c>
      <c r="K5391" s="222"/>
      <c r="L5391" s="613"/>
      <c r="M5391" s="222">
        <v>22</v>
      </c>
      <c r="N5391" s="222">
        <v>1</v>
      </c>
      <c r="O5391" s="222">
        <v>30</v>
      </c>
      <c r="P5391" s="222">
        <v>0</v>
      </c>
      <c r="Q5391" s="222">
        <v>0</v>
      </c>
      <c r="R5391" s="1195"/>
      <c r="S5391" s="1195"/>
      <c r="T5391" s="222"/>
      <c r="U5391" s="1527"/>
      <c r="W5391" s="2155"/>
      <c r="X5391" s="818"/>
      <c r="Y5391" s="1161"/>
    </row>
    <row r="5392" spans="1:25" ht="15.75" hidden="1" customHeight="1">
      <c r="A5392" s="222">
        <v>5401</v>
      </c>
      <c r="B5392" s="858">
        <v>44693</v>
      </c>
      <c r="C5392" s="940" t="s">
        <v>16201</v>
      </c>
      <c r="D5392" s="8" t="s">
        <v>6</v>
      </c>
      <c r="E5392" s="882" t="s">
        <v>683</v>
      </c>
      <c r="F5392" s="940" t="s">
        <v>9454</v>
      </c>
      <c r="G5392" s="239" t="s">
        <v>16202</v>
      </c>
      <c r="H5392" s="239" t="s">
        <v>12071</v>
      </c>
      <c r="I5392" s="239" t="s">
        <v>76</v>
      </c>
      <c r="J5392" s="239">
        <v>1260050</v>
      </c>
      <c r="K5392" s="239"/>
      <c r="L5392" s="239"/>
      <c r="M5392" s="239">
        <v>5</v>
      </c>
      <c r="N5392" s="239">
        <v>1</v>
      </c>
      <c r="O5392" s="239">
        <v>5</v>
      </c>
      <c r="P5392" s="239">
        <v>4</v>
      </c>
      <c r="Q5392" s="572">
        <v>9</v>
      </c>
      <c r="R5392" s="1209">
        <v>958</v>
      </c>
      <c r="S5392" s="1209">
        <f>R5392*O5392</f>
        <v>4790</v>
      </c>
      <c r="T5392" s="239" t="s">
        <v>16203</v>
      </c>
      <c r="U5392" s="1901" t="s">
        <v>301</v>
      </c>
      <c r="V5392" s="572" t="s">
        <v>801</v>
      </c>
      <c r="W5392" s="1184" t="s">
        <v>16204</v>
      </c>
      <c r="X5392" s="818"/>
      <c r="Y5392" s="1161"/>
    </row>
    <row r="5393" spans="1:25" ht="15.75" hidden="1" customHeight="1">
      <c r="A5393" s="222">
        <v>5402</v>
      </c>
      <c r="B5393" s="858">
        <v>44693</v>
      </c>
      <c r="C5393" s="940" t="s">
        <v>16205</v>
      </c>
      <c r="D5393" s="8" t="s">
        <v>6</v>
      </c>
      <c r="E5393" s="882" t="s">
        <v>683</v>
      </c>
      <c r="F5393" s="940" t="s">
        <v>9454</v>
      </c>
      <c r="G5393" s="239" t="s">
        <v>16202</v>
      </c>
      <c r="H5393" s="239" t="s">
        <v>12071</v>
      </c>
      <c r="I5393" s="239" t="s">
        <v>76</v>
      </c>
      <c r="J5393" s="239">
        <v>1260069</v>
      </c>
      <c r="K5393" s="239"/>
      <c r="L5393" s="239"/>
      <c r="M5393" s="239">
        <v>10</v>
      </c>
      <c r="N5393" s="239">
        <v>1</v>
      </c>
      <c r="O5393" s="239">
        <v>10</v>
      </c>
      <c r="P5393" s="239">
        <v>0</v>
      </c>
      <c r="Q5393" s="572">
        <v>10</v>
      </c>
      <c r="R5393" s="1209">
        <v>958</v>
      </c>
      <c r="S5393" s="1209">
        <f>R5393*O5393</f>
        <v>9580</v>
      </c>
      <c r="T5393" s="239" t="s">
        <v>16203</v>
      </c>
      <c r="U5393" s="1901" t="s">
        <v>301</v>
      </c>
      <c r="V5393" s="572" t="s">
        <v>801</v>
      </c>
      <c r="W5393" s="1184" t="s">
        <v>16206</v>
      </c>
      <c r="X5393" s="818"/>
      <c r="Y5393" s="1161"/>
    </row>
    <row r="5394" spans="1:25" ht="15.75" hidden="1" customHeight="1">
      <c r="A5394" s="222">
        <v>5403</v>
      </c>
      <c r="B5394" s="858">
        <v>44693</v>
      </c>
      <c r="C5394" s="940" t="s">
        <v>16207</v>
      </c>
      <c r="D5394" s="8" t="s">
        <v>6</v>
      </c>
      <c r="E5394" s="882" t="s">
        <v>683</v>
      </c>
      <c r="F5394" s="940" t="s">
        <v>9454</v>
      </c>
      <c r="G5394" s="239" t="s">
        <v>16202</v>
      </c>
      <c r="H5394" s="239" t="s">
        <v>12071</v>
      </c>
      <c r="I5394" s="239" t="s">
        <v>76</v>
      </c>
      <c r="J5394" s="239">
        <v>1260078</v>
      </c>
      <c r="K5394" s="239"/>
      <c r="L5394" s="239"/>
      <c r="M5394" s="239">
        <v>5</v>
      </c>
      <c r="N5394" s="239">
        <v>1</v>
      </c>
      <c r="O5394" s="239">
        <v>5</v>
      </c>
      <c r="P5394" s="239">
        <v>4</v>
      </c>
      <c r="Q5394" s="572">
        <v>9</v>
      </c>
      <c r="R5394" s="1209">
        <v>958</v>
      </c>
      <c r="S5394" s="1209">
        <f>R5394*O5394</f>
        <v>4790</v>
      </c>
      <c r="T5394" s="239" t="s">
        <v>16203</v>
      </c>
      <c r="U5394" s="1901" t="s">
        <v>301</v>
      </c>
      <c r="V5394" s="572" t="s">
        <v>801</v>
      </c>
      <c r="W5394" s="1184" t="s">
        <v>16208</v>
      </c>
      <c r="X5394" s="818"/>
      <c r="Y5394" s="1161"/>
    </row>
    <row r="5395" spans="1:25" ht="15.75" hidden="1" customHeight="1">
      <c r="A5395" s="222">
        <v>5404</v>
      </c>
      <c r="B5395" s="858">
        <v>44694</v>
      </c>
      <c r="C5395" s="1504" t="s">
        <v>18380</v>
      </c>
      <c r="D5395" s="11" t="s">
        <v>6</v>
      </c>
      <c r="E5395" s="882" t="s">
        <v>683</v>
      </c>
      <c r="F5395" s="882" t="s">
        <v>10005</v>
      </c>
      <c r="G5395" s="882" t="s">
        <v>18381</v>
      </c>
      <c r="H5395" s="882" t="s">
        <v>18205</v>
      </c>
      <c r="I5395" s="882" t="s">
        <v>18205</v>
      </c>
      <c r="J5395" s="882" t="s">
        <v>149</v>
      </c>
      <c r="K5395" s="1517" t="s">
        <v>1</v>
      </c>
      <c r="L5395" s="882" t="s">
        <v>15651</v>
      </c>
      <c r="M5395" s="882">
        <v>1</v>
      </c>
      <c r="N5395" s="882">
        <v>1</v>
      </c>
      <c r="O5395" s="882">
        <v>1</v>
      </c>
      <c r="P5395" s="882">
        <v>0</v>
      </c>
      <c r="Q5395" s="882">
        <v>0</v>
      </c>
      <c r="R5395" s="880" t="s">
        <v>18382</v>
      </c>
      <c r="S5395" s="1507" t="s">
        <v>18382</v>
      </c>
      <c r="T5395" s="880" t="s">
        <v>4220</v>
      </c>
      <c r="U5395" s="1974" t="s">
        <v>18207</v>
      </c>
      <c r="V5395" s="1411" t="s">
        <v>5604</v>
      </c>
      <c r="W5395" s="1421" t="s">
        <v>18208</v>
      </c>
      <c r="X5395" s="818"/>
      <c r="Y5395" s="1161"/>
    </row>
    <row r="5396" spans="1:25" ht="15.75" hidden="1" customHeight="1">
      <c r="A5396" s="222">
        <v>5405</v>
      </c>
      <c r="B5396" s="1520">
        <v>44694</v>
      </c>
      <c r="C5396" s="940" t="s">
        <v>15637</v>
      </c>
      <c r="D5396" s="8" t="s">
        <v>6</v>
      </c>
      <c r="E5396" s="222" t="s">
        <v>14758</v>
      </c>
      <c r="F5396" s="940" t="s">
        <v>404</v>
      </c>
      <c r="G5396" s="239" t="s">
        <v>18383</v>
      </c>
      <c r="H5396" s="239" t="s">
        <v>543</v>
      </c>
      <c r="I5396" s="239" t="s">
        <v>15640</v>
      </c>
      <c r="J5396" s="239" t="s">
        <v>18384</v>
      </c>
      <c r="K5396" s="239" t="s">
        <v>15635</v>
      </c>
      <c r="L5396" s="239"/>
      <c r="M5396" s="239">
        <v>5</v>
      </c>
      <c r="N5396" s="239">
        <v>1</v>
      </c>
      <c r="O5396" s="239">
        <v>5</v>
      </c>
      <c r="P5396" s="239">
        <v>0</v>
      </c>
      <c r="Q5396" s="572">
        <v>0</v>
      </c>
      <c r="R5396" s="1209">
        <v>1616</v>
      </c>
      <c r="S5396" s="1209">
        <f>R5396*O5396</f>
        <v>8080</v>
      </c>
      <c r="T5396" s="239" t="s">
        <v>18385</v>
      </c>
      <c r="U5396" s="1901" t="s">
        <v>10628</v>
      </c>
      <c r="V5396" s="572" t="s">
        <v>7780</v>
      </c>
      <c r="W5396" s="681" t="s">
        <v>15642</v>
      </c>
      <c r="X5396" s="18"/>
      <c r="Y5396" s="1161"/>
    </row>
    <row r="5397" spans="1:25" ht="15.75" hidden="1" customHeight="1">
      <c r="A5397" s="222">
        <v>5406</v>
      </c>
      <c r="B5397" s="1520">
        <v>44694</v>
      </c>
      <c r="C5397" s="940" t="s">
        <v>18386</v>
      </c>
      <c r="D5397" s="10" t="s">
        <v>6</v>
      </c>
      <c r="E5397" s="222" t="s">
        <v>14758</v>
      </c>
      <c r="F5397" s="940" t="s">
        <v>404</v>
      </c>
      <c r="G5397" s="239" t="s">
        <v>18387</v>
      </c>
      <c r="H5397" s="239" t="s">
        <v>543</v>
      </c>
      <c r="I5397" s="239" t="s">
        <v>15640</v>
      </c>
      <c r="J5397" s="239" t="s">
        <v>18388</v>
      </c>
      <c r="K5397" s="239" t="s">
        <v>15635</v>
      </c>
      <c r="L5397" s="239"/>
      <c r="M5397" s="239">
        <v>5</v>
      </c>
      <c r="N5397" s="239">
        <v>1</v>
      </c>
      <c r="O5397" s="239">
        <v>5</v>
      </c>
      <c r="P5397" s="239">
        <v>0</v>
      </c>
      <c r="Q5397" s="572">
        <v>0</v>
      </c>
      <c r="R5397" s="1209">
        <v>1616</v>
      </c>
      <c r="S5397" s="1209">
        <f>R5397*O5397</f>
        <v>8080</v>
      </c>
      <c r="T5397" s="239" t="s">
        <v>18385</v>
      </c>
      <c r="U5397" s="1901" t="s">
        <v>10628</v>
      </c>
      <c r="V5397" s="572" t="s">
        <v>7780</v>
      </c>
      <c r="W5397" s="681" t="s">
        <v>15642</v>
      </c>
      <c r="X5397" s="818"/>
      <c r="Y5397" s="1161"/>
    </row>
    <row r="5398" spans="1:25" ht="15.75" hidden="1" customHeight="1">
      <c r="A5398" s="222">
        <v>5407</v>
      </c>
      <c r="B5398" s="1520">
        <v>44694</v>
      </c>
      <c r="C5398" s="129" t="s">
        <v>18389</v>
      </c>
      <c r="D5398" s="11" t="s">
        <v>6</v>
      </c>
      <c r="E5398" s="818" t="s">
        <v>17683</v>
      </c>
      <c r="F5398" s="1006" t="s">
        <v>2876</v>
      </c>
      <c r="G5398" s="1521" t="s">
        <v>18390</v>
      </c>
      <c r="H5398" s="239" t="s">
        <v>18391</v>
      </c>
      <c r="I5398" s="222" t="s">
        <v>1022</v>
      </c>
      <c r="J5398" s="183" t="s">
        <v>149</v>
      </c>
      <c r="K5398" s="183" t="s">
        <v>149</v>
      </c>
      <c r="L5398" s="613" t="s">
        <v>149</v>
      </c>
      <c r="M5398" s="183">
        <v>1</v>
      </c>
      <c r="N5398" s="183">
        <v>1</v>
      </c>
      <c r="O5398" s="222">
        <v>1</v>
      </c>
      <c r="P5398" s="222">
        <v>0</v>
      </c>
      <c r="Q5398" s="222">
        <v>0</v>
      </c>
      <c r="R5398" s="1195">
        <v>2580</v>
      </c>
      <c r="S5398" s="1195">
        <f>O5398*R5398</f>
        <v>2580</v>
      </c>
      <c r="T5398" s="222" t="s">
        <v>18392</v>
      </c>
      <c r="U5398" s="1527" t="s">
        <v>4220</v>
      </c>
      <c r="V5398" s="222" t="s">
        <v>18393</v>
      </c>
      <c r="W5398" s="2155" t="s">
        <v>18394</v>
      </c>
      <c r="X5398" s="818"/>
      <c r="Y5398" s="1161"/>
    </row>
    <row r="5399" spans="1:25" ht="15.75" hidden="1" customHeight="1">
      <c r="A5399" s="222">
        <v>5408</v>
      </c>
      <c r="B5399" s="1520">
        <v>44694</v>
      </c>
      <c r="C5399" s="129" t="s">
        <v>18395</v>
      </c>
      <c r="D5399" s="8" t="s">
        <v>6</v>
      </c>
      <c r="E5399" s="818" t="s">
        <v>17683</v>
      </c>
      <c r="F5399" s="1006" t="s">
        <v>2876</v>
      </c>
      <c r="G5399" s="863" t="s">
        <v>18396</v>
      </c>
      <c r="H5399" s="222" t="s">
        <v>1954</v>
      </c>
      <c r="I5399" s="222" t="s">
        <v>18397</v>
      </c>
      <c r="J5399" s="183">
        <v>1394673</v>
      </c>
      <c r="K5399" s="183" t="s">
        <v>1954</v>
      </c>
      <c r="L5399" s="613" t="s">
        <v>149</v>
      </c>
      <c r="M5399" s="183">
        <v>2</v>
      </c>
      <c r="N5399" s="183">
        <v>2</v>
      </c>
      <c r="O5399" s="222">
        <v>4</v>
      </c>
      <c r="P5399" s="222">
        <v>0</v>
      </c>
      <c r="Q5399" s="222">
        <v>2</v>
      </c>
      <c r="R5399" s="1195">
        <v>1301</v>
      </c>
      <c r="S5399" s="1195">
        <f>O5399*R5399</f>
        <v>5204</v>
      </c>
      <c r="T5399" s="222" t="s">
        <v>18398</v>
      </c>
      <c r="U5399" s="1527" t="s">
        <v>18399</v>
      </c>
      <c r="V5399" s="222" t="s">
        <v>18393</v>
      </c>
      <c r="W5399" s="2155" t="s">
        <v>18400</v>
      </c>
      <c r="X5399" s="818"/>
      <c r="Y5399" s="1161"/>
    </row>
    <row r="5400" spans="1:25" ht="15.75" hidden="1" customHeight="1">
      <c r="A5400" s="222">
        <v>5409</v>
      </c>
      <c r="B5400" s="858">
        <v>44694</v>
      </c>
      <c r="C5400" s="129" t="s">
        <v>18401</v>
      </c>
      <c r="D5400" s="11" t="s">
        <v>6</v>
      </c>
      <c r="E5400" s="818" t="s">
        <v>17683</v>
      </c>
      <c r="F5400" s="1006" t="s">
        <v>2006</v>
      </c>
      <c r="G5400" s="863" t="s">
        <v>18402</v>
      </c>
      <c r="H5400" s="222" t="s">
        <v>18403</v>
      </c>
      <c r="I5400" s="222" t="s">
        <v>84</v>
      </c>
      <c r="J5400" s="1522" t="s">
        <v>18404</v>
      </c>
      <c r="K5400" s="183" t="s">
        <v>18405</v>
      </c>
      <c r="L5400" s="613" t="s">
        <v>149</v>
      </c>
      <c r="M5400" s="183">
        <v>1</v>
      </c>
      <c r="N5400" s="183">
        <v>1</v>
      </c>
      <c r="O5400" s="222">
        <v>1</v>
      </c>
      <c r="P5400" s="222">
        <v>0</v>
      </c>
      <c r="Q5400" s="222">
        <v>1</v>
      </c>
      <c r="R5400" s="1195">
        <v>999</v>
      </c>
      <c r="S5400" s="1195">
        <v>999</v>
      </c>
      <c r="T5400" s="222" t="s">
        <v>8074</v>
      </c>
      <c r="U5400" s="1527" t="s">
        <v>448</v>
      </c>
      <c r="V5400" s="222" t="s">
        <v>18406</v>
      </c>
      <c r="W5400" s="2155" t="s">
        <v>18407</v>
      </c>
      <c r="X5400" s="818"/>
      <c r="Y5400" s="1161"/>
    </row>
    <row r="5401" spans="1:25" ht="15.75" hidden="1" customHeight="1">
      <c r="A5401" s="222">
        <v>5410</v>
      </c>
      <c r="B5401" s="858">
        <v>44694</v>
      </c>
      <c r="C5401" s="129" t="s">
        <v>18401</v>
      </c>
      <c r="D5401" s="11" t="s">
        <v>6</v>
      </c>
      <c r="E5401" s="818" t="s">
        <v>17683</v>
      </c>
      <c r="F5401" s="1006" t="s">
        <v>2006</v>
      </c>
      <c r="G5401" s="863" t="s">
        <v>18408</v>
      </c>
      <c r="H5401" s="222" t="s">
        <v>18403</v>
      </c>
      <c r="I5401" s="222" t="s">
        <v>84</v>
      </c>
      <c r="J5401" s="1522" t="s">
        <v>18409</v>
      </c>
      <c r="K5401" s="183" t="s">
        <v>18405</v>
      </c>
      <c r="L5401" s="613" t="s">
        <v>149</v>
      </c>
      <c r="M5401" s="183">
        <v>1</v>
      </c>
      <c r="N5401" s="183">
        <v>1</v>
      </c>
      <c r="O5401" s="222">
        <v>1</v>
      </c>
      <c r="P5401" s="222">
        <v>0</v>
      </c>
      <c r="Q5401" s="222">
        <v>1</v>
      </c>
      <c r="R5401" s="1195">
        <v>889</v>
      </c>
      <c r="S5401" s="1195">
        <v>889</v>
      </c>
      <c r="T5401" s="222" t="s">
        <v>8074</v>
      </c>
      <c r="U5401" s="1527" t="s">
        <v>448</v>
      </c>
      <c r="V5401" s="222" t="s">
        <v>18406</v>
      </c>
      <c r="W5401" s="2155" t="s">
        <v>18410</v>
      </c>
      <c r="X5401" s="818"/>
      <c r="Y5401" s="1161"/>
    </row>
    <row r="5402" spans="1:25" ht="15.75" hidden="1" customHeight="1">
      <c r="A5402" s="222">
        <v>5411</v>
      </c>
      <c r="B5402" s="858">
        <v>44696</v>
      </c>
      <c r="C5402" s="129" t="s">
        <v>18411</v>
      </c>
      <c r="D5402" s="1445" t="s">
        <v>6</v>
      </c>
      <c r="E5402" s="818" t="s">
        <v>62</v>
      </c>
      <c r="F5402" s="1006" t="s">
        <v>11323</v>
      </c>
      <c r="G5402" s="1193" t="s">
        <v>18411</v>
      </c>
      <c r="H5402" s="222" t="s">
        <v>9029</v>
      </c>
      <c r="I5402" s="222" t="s">
        <v>9029</v>
      </c>
      <c r="J5402" s="183"/>
      <c r="K5402" s="183"/>
      <c r="L5402" s="613"/>
      <c r="M5402" s="183">
        <v>1</v>
      </c>
      <c r="N5402" s="183">
        <v>1</v>
      </c>
      <c r="O5402" s="222">
        <v>1</v>
      </c>
      <c r="P5402" s="222">
        <v>0</v>
      </c>
      <c r="Q5402" s="222">
        <v>1</v>
      </c>
      <c r="R5402" s="1195">
        <v>10600</v>
      </c>
      <c r="S5402" s="1195">
        <f>Q5402*R5402</f>
        <v>10600</v>
      </c>
      <c r="T5402" s="222" t="s">
        <v>18412</v>
      </c>
      <c r="U5402" s="1527" t="s">
        <v>18345</v>
      </c>
      <c r="W5402" s="2155"/>
      <c r="X5402" s="818"/>
      <c r="Y5402" s="1161"/>
    </row>
    <row r="5403" spans="1:25" ht="15.75" hidden="1" customHeight="1">
      <c r="A5403" s="222">
        <v>5412</v>
      </c>
      <c r="B5403" s="858">
        <v>44696</v>
      </c>
      <c r="C5403" s="129" t="s">
        <v>18413</v>
      </c>
      <c r="D5403" s="1445" t="s">
        <v>6</v>
      </c>
      <c r="E5403" s="818" t="s">
        <v>62</v>
      </c>
      <c r="F5403" s="1006" t="s">
        <v>11323</v>
      </c>
      <c r="G5403" s="1193" t="s">
        <v>18413</v>
      </c>
      <c r="H5403" s="222" t="s">
        <v>9029</v>
      </c>
      <c r="I5403" s="222" t="s">
        <v>9029</v>
      </c>
      <c r="J5403" s="183"/>
      <c r="K5403" s="183"/>
      <c r="L5403" s="613"/>
      <c r="M5403" s="183">
        <v>3</v>
      </c>
      <c r="N5403" s="183">
        <v>3</v>
      </c>
      <c r="O5403" s="222">
        <v>3</v>
      </c>
      <c r="P5403" s="222">
        <v>0</v>
      </c>
      <c r="Q5403" s="222">
        <v>3</v>
      </c>
      <c r="R5403" s="1195">
        <v>27500</v>
      </c>
      <c r="S5403" s="1195">
        <f>Q5403*R5403</f>
        <v>82500</v>
      </c>
      <c r="T5403" s="222" t="s">
        <v>18412</v>
      </c>
      <c r="U5403" s="1527" t="s">
        <v>18345</v>
      </c>
      <c r="W5403" s="2155"/>
      <c r="X5403" s="818"/>
      <c r="Y5403" s="1161"/>
    </row>
    <row r="5404" spans="1:25" ht="15.75" hidden="1" customHeight="1">
      <c r="A5404" s="222">
        <v>5413</v>
      </c>
      <c r="B5404" s="858">
        <v>44698</v>
      </c>
      <c r="C5404" s="1006" t="s">
        <v>17328</v>
      </c>
      <c r="D5404" s="10" t="s">
        <v>6</v>
      </c>
      <c r="E5404" s="222" t="s">
        <v>14758</v>
      </c>
      <c r="F5404" s="1006" t="s">
        <v>404</v>
      </c>
      <c r="G5404" s="222" t="s">
        <v>18414</v>
      </c>
      <c r="H5404" s="818" t="s">
        <v>14238</v>
      </c>
      <c r="I5404" s="222" t="s">
        <v>14238</v>
      </c>
      <c r="J5404" s="222" t="s">
        <v>18415</v>
      </c>
      <c r="K5404" s="222" t="s">
        <v>18415</v>
      </c>
      <c r="L5404" s="222"/>
      <c r="M5404" s="222">
        <v>4</v>
      </c>
      <c r="N5404" s="222">
        <v>1</v>
      </c>
      <c r="O5404" s="222">
        <v>5</v>
      </c>
      <c r="P5404" s="222">
        <v>1</v>
      </c>
      <c r="Q5404" s="222">
        <v>0</v>
      </c>
      <c r="R5404" s="1195">
        <v>12743</v>
      </c>
      <c r="S5404" s="1195">
        <v>12743</v>
      </c>
      <c r="T5404" s="222" t="s">
        <v>18416</v>
      </c>
      <c r="U5404" s="1527" t="s">
        <v>12265</v>
      </c>
      <c r="V5404" s="222" t="s">
        <v>5575</v>
      </c>
      <c r="W5404" s="2155" t="s">
        <v>12266</v>
      </c>
      <c r="X5404" s="818"/>
      <c r="Y5404" s="1161"/>
    </row>
    <row r="5405" spans="1:25" ht="15.75" hidden="1" customHeight="1">
      <c r="A5405" s="222">
        <v>5414</v>
      </c>
      <c r="B5405" s="858">
        <v>44700</v>
      </c>
      <c r="C5405" s="129" t="s">
        <v>18417</v>
      </c>
      <c r="D5405" s="1445" t="s">
        <v>6</v>
      </c>
      <c r="E5405" s="818" t="s">
        <v>17683</v>
      </c>
      <c r="F5405" s="1006" t="s">
        <v>2876</v>
      </c>
      <c r="G5405" s="863" t="s">
        <v>18418</v>
      </c>
      <c r="H5405" s="222" t="s">
        <v>786</v>
      </c>
      <c r="I5405" s="222" t="s">
        <v>786</v>
      </c>
      <c r="J5405" s="183" t="s">
        <v>18419</v>
      </c>
      <c r="K5405" s="183" t="s">
        <v>18420</v>
      </c>
      <c r="L5405" s="613" t="s">
        <v>18421</v>
      </c>
      <c r="M5405" s="183">
        <v>1</v>
      </c>
      <c r="N5405" s="183">
        <v>1</v>
      </c>
      <c r="O5405" s="222">
        <v>1</v>
      </c>
      <c r="P5405" s="222">
        <v>0</v>
      </c>
      <c r="Q5405" s="222">
        <v>0</v>
      </c>
      <c r="R5405" s="1195">
        <v>40200</v>
      </c>
      <c r="S5405" s="1195">
        <v>40200</v>
      </c>
      <c r="T5405" s="222" t="s">
        <v>12330</v>
      </c>
      <c r="U5405" s="1527" t="s">
        <v>448</v>
      </c>
      <c r="V5405" s="222" t="s">
        <v>5575</v>
      </c>
      <c r="W5405" s="2155" t="s">
        <v>149</v>
      </c>
      <c r="X5405" s="818"/>
      <c r="Y5405" s="1161"/>
    </row>
    <row r="5406" spans="1:25" ht="15.75" hidden="1" customHeight="1">
      <c r="A5406" s="222">
        <v>5415</v>
      </c>
      <c r="B5406" s="858">
        <v>44700</v>
      </c>
      <c r="C5406" s="129" t="s">
        <v>18422</v>
      </c>
      <c r="D5406" s="8" t="s">
        <v>6</v>
      </c>
      <c r="E5406" s="818" t="s">
        <v>18423</v>
      </c>
      <c r="F5406" s="1006" t="s">
        <v>11323</v>
      </c>
      <c r="G5406" s="863" t="s">
        <v>18424</v>
      </c>
      <c r="H5406" s="222" t="s">
        <v>786</v>
      </c>
      <c r="I5406" s="222" t="s">
        <v>786</v>
      </c>
      <c r="J5406" s="183"/>
      <c r="K5406" s="183"/>
      <c r="L5406" s="613"/>
      <c r="M5406" s="183" t="s">
        <v>1</v>
      </c>
      <c r="N5406" s="183" t="s">
        <v>1</v>
      </c>
      <c r="O5406" s="222" t="s">
        <v>1</v>
      </c>
      <c r="P5406" s="222" t="s">
        <v>1</v>
      </c>
      <c r="Q5406" s="222" t="s">
        <v>1</v>
      </c>
      <c r="R5406" s="1195">
        <v>289690</v>
      </c>
      <c r="S5406" s="1195">
        <v>289690</v>
      </c>
      <c r="T5406" s="222" t="s">
        <v>3961</v>
      </c>
      <c r="U5406" s="1527" t="s">
        <v>4615</v>
      </c>
      <c r="V5406" s="222" t="s">
        <v>3504</v>
      </c>
      <c r="W5406" s="2155"/>
      <c r="X5406" s="818"/>
      <c r="Y5406" s="1161"/>
    </row>
    <row r="5407" spans="1:25" ht="15.75" hidden="1" customHeight="1">
      <c r="A5407" s="222">
        <v>5416</v>
      </c>
      <c r="B5407" s="858">
        <v>44700</v>
      </c>
      <c r="C5407" s="1524" t="s">
        <v>5270</v>
      </c>
      <c r="D5407" s="11" t="s">
        <v>6</v>
      </c>
      <c r="E5407" s="818" t="s">
        <v>17683</v>
      </c>
      <c r="F5407" s="1006" t="s">
        <v>18425</v>
      </c>
      <c r="G5407" s="1525" t="s">
        <v>5271</v>
      </c>
      <c r="H5407" s="1523" t="s">
        <v>3898</v>
      </c>
      <c r="I5407" s="222" t="s">
        <v>2513</v>
      </c>
      <c r="J5407" s="1500" t="s">
        <v>17716</v>
      </c>
      <c r="K5407" s="1500" t="s">
        <v>8112</v>
      </c>
      <c r="L5407" s="613" t="s">
        <v>3636</v>
      </c>
      <c r="M5407" s="183">
        <v>76</v>
      </c>
      <c r="N5407" s="183">
        <v>10</v>
      </c>
      <c r="O5407" s="222">
        <v>60</v>
      </c>
      <c r="P5407" s="222">
        <v>19</v>
      </c>
      <c r="Q5407" s="222">
        <v>3</v>
      </c>
      <c r="R5407" s="1526">
        <v>503</v>
      </c>
      <c r="S5407" s="1526">
        <f t="shared" ref="S5407:S5412" si="294">R5407*O5407</f>
        <v>30180</v>
      </c>
      <c r="T5407" s="222" t="s">
        <v>18426</v>
      </c>
      <c r="U5407" s="1527" t="s">
        <v>678</v>
      </c>
      <c r="V5407" s="222" t="s">
        <v>18427</v>
      </c>
      <c r="W5407" s="2155" t="s">
        <v>18428</v>
      </c>
      <c r="X5407" s="818"/>
      <c r="Y5407" s="1161"/>
    </row>
    <row r="5408" spans="1:25" ht="15.75" hidden="1" customHeight="1">
      <c r="A5408" s="222">
        <v>5417</v>
      </c>
      <c r="B5408" s="858">
        <v>44700</v>
      </c>
      <c r="C5408" s="1524" t="s">
        <v>5992</v>
      </c>
      <c r="D5408" s="11" t="s">
        <v>6</v>
      </c>
      <c r="E5408" s="818" t="s">
        <v>17683</v>
      </c>
      <c r="F5408" s="1006" t="s">
        <v>18425</v>
      </c>
      <c r="G5408" s="1525" t="s">
        <v>18429</v>
      </c>
      <c r="H5408" s="1523" t="s">
        <v>3898</v>
      </c>
      <c r="I5408" s="1527" t="s">
        <v>2513</v>
      </c>
      <c r="J5408" s="613" t="s">
        <v>18430</v>
      </c>
      <c r="K5408" s="613" t="s">
        <v>5995</v>
      </c>
      <c r="L5408" s="780" t="s">
        <v>3636</v>
      </c>
      <c r="M5408" s="183">
        <v>40</v>
      </c>
      <c r="N5408" s="183">
        <v>10</v>
      </c>
      <c r="O5408" s="222">
        <v>40</v>
      </c>
      <c r="P5408" s="222">
        <v>10</v>
      </c>
      <c r="Q5408" s="222">
        <v>10</v>
      </c>
      <c r="R5408" s="1526">
        <v>167.2</v>
      </c>
      <c r="S5408" s="1526">
        <f t="shared" si="294"/>
        <v>6688</v>
      </c>
      <c r="T5408" s="222" t="s">
        <v>18431</v>
      </c>
      <c r="U5408" s="1527" t="s">
        <v>678</v>
      </c>
      <c r="V5408" s="222" t="s">
        <v>18427</v>
      </c>
      <c r="W5408" s="2155" t="s">
        <v>18432</v>
      </c>
      <c r="X5408" s="818"/>
      <c r="Y5408" s="1161"/>
    </row>
    <row r="5409" spans="1:25" ht="15.75" hidden="1" customHeight="1">
      <c r="A5409" s="222">
        <v>5418</v>
      </c>
      <c r="B5409" s="858">
        <v>44700</v>
      </c>
      <c r="C5409" s="129" t="s">
        <v>18433</v>
      </c>
      <c r="D5409" s="11" t="s">
        <v>6</v>
      </c>
      <c r="E5409" s="818" t="s">
        <v>14758</v>
      </c>
      <c r="F5409" s="1006" t="s">
        <v>11441</v>
      </c>
      <c r="G5409" s="863" t="s">
        <v>18434</v>
      </c>
      <c r="H5409" s="1193" t="s">
        <v>18435</v>
      </c>
      <c r="I5409" s="222" t="s">
        <v>574</v>
      </c>
      <c r="J5409" s="225" t="s">
        <v>18436</v>
      </c>
      <c r="K5409" s="225" t="s">
        <v>18437</v>
      </c>
      <c r="L5409" s="613"/>
      <c r="M5409" s="183">
        <v>2</v>
      </c>
      <c r="N5409" s="183">
        <v>1</v>
      </c>
      <c r="O5409" s="222">
        <v>2</v>
      </c>
      <c r="P5409" s="222">
        <v>0</v>
      </c>
      <c r="Q5409" s="222">
        <v>0</v>
      </c>
      <c r="R5409" s="1195">
        <v>2640</v>
      </c>
      <c r="S5409" s="1195">
        <f t="shared" si="294"/>
        <v>5280</v>
      </c>
      <c r="T5409" s="222" t="s">
        <v>3961</v>
      </c>
      <c r="U5409" s="1527" t="s">
        <v>12081</v>
      </c>
      <c r="V5409" s="222" t="s">
        <v>11783</v>
      </c>
      <c r="W5409" s="2155" t="s">
        <v>18438</v>
      </c>
      <c r="X5409" s="818"/>
      <c r="Y5409" s="1161"/>
    </row>
    <row r="5410" spans="1:25" ht="15.75" hidden="1" customHeight="1">
      <c r="A5410" s="222">
        <v>5419</v>
      </c>
      <c r="B5410" s="858">
        <v>44700</v>
      </c>
      <c r="C5410" s="129" t="s">
        <v>612</v>
      </c>
      <c r="D5410" s="11" t="s">
        <v>6</v>
      </c>
      <c r="E5410" s="818" t="s">
        <v>14758</v>
      </c>
      <c r="F5410" s="1006" t="s">
        <v>11441</v>
      </c>
      <c r="G5410" s="863" t="s">
        <v>18439</v>
      </c>
      <c r="H5410" s="1528" t="s">
        <v>18435</v>
      </c>
      <c r="I5410" s="222" t="s">
        <v>574</v>
      </c>
      <c r="J5410" s="183" t="s">
        <v>18440</v>
      </c>
      <c r="K5410" s="183" t="s">
        <v>18441</v>
      </c>
      <c r="L5410" s="613"/>
      <c r="M5410" s="183">
        <v>2</v>
      </c>
      <c r="N5410" s="183">
        <v>1</v>
      </c>
      <c r="O5410" s="222">
        <v>2</v>
      </c>
      <c r="P5410" s="222">
        <v>0</v>
      </c>
      <c r="Q5410" s="222">
        <v>0</v>
      </c>
      <c r="R5410" s="1195">
        <v>2319</v>
      </c>
      <c r="S5410" s="1195">
        <f t="shared" si="294"/>
        <v>4638</v>
      </c>
      <c r="T5410" s="222" t="s">
        <v>3961</v>
      </c>
      <c r="U5410" s="1527" t="s">
        <v>12081</v>
      </c>
      <c r="V5410" s="222" t="s">
        <v>11783</v>
      </c>
      <c r="W5410" s="2155" t="s">
        <v>18442</v>
      </c>
      <c r="X5410" s="818"/>
      <c r="Y5410" s="1161"/>
    </row>
    <row r="5411" spans="1:25" ht="15.75" hidden="1" customHeight="1">
      <c r="A5411" s="222">
        <v>5420</v>
      </c>
      <c r="B5411" s="858">
        <v>44701</v>
      </c>
      <c r="C5411" s="129" t="s">
        <v>18443</v>
      </c>
      <c r="D5411" s="10"/>
      <c r="E5411" s="818" t="s">
        <v>18444</v>
      </c>
      <c r="F5411" s="1006" t="s">
        <v>784</v>
      </c>
      <c r="G5411" s="863" t="s">
        <v>18445</v>
      </c>
      <c r="H5411" s="222" t="s">
        <v>5261</v>
      </c>
      <c r="I5411" s="222" t="s">
        <v>5261</v>
      </c>
      <c r="J5411" s="183" t="s">
        <v>18446</v>
      </c>
      <c r="K5411" s="183" t="s">
        <v>18446</v>
      </c>
      <c r="L5411" s="613" t="s">
        <v>149</v>
      </c>
      <c r="M5411" s="183">
        <v>1</v>
      </c>
      <c r="N5411" s="183">
        <v>1</v>
      </c>
      <c r="O5411" s="222">
        <v>1</v>
      </c>
      <c r="P5411" s="222">
        <v>0</v>
      </c>
      <c r="Q5411" s="222">
        <v>0</v>
      </c>
      <c r="R5411" s="1195">
        <v>53000</v>
      </c>
      <c r="S5411" s="1195">
        <f t="shared" si="294"/>
        <v>53000</v>
      </c>
      <c r="T5411" s="222" t="s">
        <v>10016</v>
      </c>
      <c r="U5411" s="1527" t="s">
        <v>10016</v>
      </c>
      <c r="V5411" s="222" t="s">
        <v>18447</v>
      </c>
      <c r="W5411" s="2155"/>
      <c r="X5411" s="818"/>
      <c r="Y5411" s="1161"/>
    </row>
    <row r="5412" spans="1:25" ht="15.75" hidden="1" customHeight="1">
      <c r="A5412" s="222">
        <v>5421</v>
      </c>
      <c r="B5412" s="858">
        <v>44701</v>
      </c>
      <c r="C5412" s="129" t="s">
        <v>18448</v>
      </c>
      <c r="D5412" s="10"/>
      <c r="E5412" s="818" t="s">
        <v>18444</v>
      </c>
      <c r="F5412" s="1006" t="s">
        <v>784</v>
      </c>
      <c r="G5412" s="863" t="s">
        <v>18448</v>
      </c>
      <c r="H5412" s="222" t="s">
        <v>39</v>
      </c>
      <c r="I5412" s="222" t="s">
        <v>39</v>
      </c>
      <c r="J5412" s="183" t="s">
        <v>18449</v>
      </c>
      <c r="K5412" s="183" t="s">
        <v>18449</v>
      </c>
      <c r="L5412" s="613" t="s">
        <v>149</v>
      </c>
      <c r="M5412" s="183">
        <v>1</v>
      </c>
      <c r="N5412" s="183">
        <v>1</v>
      </c>
      <c r="O5412" s="222">
        <v>1</v>
      </c>
      <c r="P5412" s="222">
        <v>0</v>
      </c>
      <c r="Q5412" s="222">
        <v>0</v>
      </c>
      <c r="R5412" s="1195">
        <v>8791</v>
      </c>
      <c r="S5412" s="1195">
        <f t="shared" si="294"/>
        <v>8791</v>
      </c>
      <c r="T5412" s="222" t="s">
        <v>10016</v>
      </c>
      <c r="U5412" s="1527" t="s">
        <v>10016</v>
      </c>
      <c r="V5412" s="222" t="s">
        <v>18447</v>
      </c>
      <c r="W5412" s="2155"/>
      <c r="X5412" s="818"/>
      <c r="Y5412" s="1161"/>
    </row>
    <row r="5413" spans="1:25" ht="15.75" hidden="1" customHeight="1">
      <c r="A5413" s="222">
        <v>5422</v>
      </c>
      <c r="B5413" s="858">
        <v>44701</v>
      </c>
      <c r="C5413" s="129" t="s">
        <v>18450</v>
      </c>
      <c r="D5413" s="11" t="s">
        <v>6</v>
      </c>
      <c r="E5413" s="818" t="s">
        <v>17683</v>
      </c>
      <c r="F5413" s="1006" t="s">
        <v>73</v>
      </c>
      <c r="G5413" s="863" t="s">
        <v>18451</v>
      </c>
      <c r="H5413" s="222" t="s">
        <v>18452</v>
      </c>
      <c r="I5413" s="222" t="s">
        <v>18452</v>
      </c>
      <c r="J5413" s="183" t="s">
        <v>14981</v>
      </c>
      <c r="K5413" s="183" t="s">
        <v>14981</v>
      </c>
      <c r="L5413" s="613"/>
      <c r="M5413" s="183">
        <v>10</v>
      </c>
      <c r="N5413" s="183">
        <v>1</v>
      </c>
      <c r="O5413" s="222">
        <v>10</v>
      </c>
      <c r="P5413" s="222">
        <v>0</v>
      </c>
      <c r="Q5413" s="222">
        <v>10</v>
      </c>
      <c r="R5413" s="1195">
        <v>395</v>
      </c>
      <c r="S5413" s="1195">
        <v>3950</v>
      </c>
      <c r="T5413" s="222" t="s">
        <v>4220</v>
      </c>
      <c r="U5413" s="1527" t="s">
        <v>4220</v>
      </c>
      <c r="V5413" s="222" t="s">
        <v>18453</v>
      </c>
      <c r="W5413" s="2155" t="s">
        <v>18454</v>
      </c>
      <c r="X5413" s="818"/>
      <c r="Y5413" s="1161"/>
    </row>
    <row r="5414" spans="1:25" ht="15.75" hidden="1" customHeight="1">
      <c r="A5414" s="222">
        <v>5423</v>
      </c>
      <c r="B5414" s="858">
        <v>44701</v>
      </c>
      <c r="C5414" s="1006" t="s">
        <v>17423</v>
      </c>
      <c r="D5414" s="10" t="s">
        <v>6</v>
      </c>
      <c r="E5414" s="818" t="s">
        <v>14758</v>
      </c>
      <c r="F5414" s="1006" t="s">
        <v>404</v>
      </c>
      <c r="G5414" s="1193" t="s">
        <v>17424</v>
      </c>
      <c r="H5414" s="818" t="s">
        <v>3293</v>
      </c>
      <c r="I5414" s="222" t="s">
        <v>281</v>
      </c>
      <c r="J5414" s="222" t="s">
        <v>17425</v>
      </c>
      <c r="K5414" s="222">
        <v>1096</v>
      </c>
      <c r="L5414" s="222" t="s">
        <v>1</v>
      </c>
      <c r="M5414" s="222">
        <v>2</v>
      </c>
      <c r="N5414" s="222">
        <v>1</v>
      </c>
      <c r="O5414" s="222">
        <v>3</v>
      </c>
      <c r="P5414" s="222">
        <v>0</v>
      </c>
      <c r="Q5414" s="222">
        <v>1</v>
      </c>
      <c r="R5414" s="1195">
        <v>467</v>
      </c>
      <c r="S5414" s="1195">
        <f>R5414*3</f>
        <v>1401</v>
      </c>
      <c r="T5414" s="222" t="s">
        <v>14752</v>
      </c>
      <c r="U5414" s="1901" t="s">
        <v>10628</v>
      </c>
      <c r="V5414" s="222" t="s">
        <v>5575</v>
      </c>
      <c r="W5414" s="2167" t="s">
        <v>17426</v>
      </c>
      <c r="X5414" s="818"/>
      <c r="Y5414" s="1161"/>
    </row>
    <row r="5415" spans="1:25" ht="15.75" hidden="1" customHeight="1">
      <c r="A5415" s="222">
        <v>5424</v>
      </c>
      <c r="B5415" s="858">
        <v>44701</v>
      </c>
      <c r="C5415" s="1006" t="s">
        <v>17427</v>
      </c>
      <c r="D5415" s="10" t="s">
        <v>6</v>
      </c>
      <c r="E5415" s="818" t="s">
        <v>14758</v>
      </c>
      <c r="F5415" s="1006" t="s">
        <v>404</v>
      </c>
      <c r="G5415" s="1193" t="s">
        <v>18455</v>
      </c>
      <c r="H5415" s="818" t="s">
        <v>2920</v>
      </c>
      <c r="I5415" s="222" t="s">
        <v>281</v>
      </c>
      <c r="J5415" s="222" t="s">
        <v>17428</v>
      </c>
      <c r="K5415" s="222" t="s">
        <v>3950</v>
      </c>
      <c r="L5415" s="222" t="s">
        <v>1</v>
      </c>
      <c r="M5415" s="222">
        <v>2</v>
      </c>
      <c r="N5415" s="222">
        <v>1</v>
      </c>
      <c r="O5415" s="222">
        <v>4</v>
      </c>
      <c r="P5415" s="222">
        <v>0</v>
      </c>
      <c r="Q5415" s="222">
        <v>2</v>
      </c>
      <c r="R5415" s="1195">
        <v>555</v>
      </c>
      <c r="S5415" s="1195">
        <f>R5415*O5415</f>
        <v>2220</v>
      </c>
      <c r="T5415" s="222" t="s">
        <v>14752</v>
      </c>
      <c r="U5415" s="1901" t="s">
        <v>10628</v>
      </c>
      <c r="V5415" s="222" t="s">
        <v>5575</v>
      </c>
      <c r="W5415" s="2155" t="s">
        <v>18456</v>
      </c>
      <c r="X5415" s="818"/>
      <c r="Y5415" s="1161"/>
    </row>
    <row r="5416" spans="1:25" ht="15.75" hidden="1" customHeight="1">
      <c r="A5416" s="222">
        <v>5425</v>
      </c>
      <c r="B5416" s="858">
        <v>44701</v>
      </c>
      <c r="C5416" s="1006" t="s">
        <v>17433</v>
      </c>
      <c r="D5416" s="10" t="s">
        <v>6</v>
      </c>
      <c r="E5416" s="818" t="s">
        <v>14758</v>
      </c>
      <c r="F5416" s="1006" t="s">
        <v>404</v>
      </c>
      <c r="G5416" s="1193" t="s">
        <v>17434</v>
      </c>
      <c r="H5416" s="818" t="s">
        <v>2944</v>
      </c>
      <c r="I5416" s="222" t="s">
        <v>281</v>
      </c>
      <c r="J5416" s="222" t="s">
        <v>6547</v>
      </c>
      <c r="K5416" s="222" t="s">
        <v>6546</v>
      </c>
      <c r="L5416" s="222" t="s">
        <v>17375</v>
      </c>
      <c r="M5416" s="222">
        <v>8</v>
      </c>
      <c r="N5416" s="222">
        <v>1</v>
      </c>
      <c r="O5416" s="222">
        <v>10</v>
      </c>
      <c r="P5416" s="222">
        <v>4</v>
      </c>
      <c r="Q5416" s="222">
        <v>6</v>
      </c>
      <c r="R5416" s="1195">
        <v>95.6</v>
      </c>
      <c r="S5416" s="1195">
        <f>R5416*O5416</f>
        <v>956</v>
      </c>
      <c r="T5416" s="222" t="s">
        <v>14752</v>
      </c>
      <c r="U5416" s="1901" t="s">
        <v>10628</v>
      </c>
      <c r="V5416" s="222" t="s">
        <v>5575</v>
      </c>
      <c r="W5416" s="727" t="s">
        <v>17437</v>
      </c>
      <c r="X5416" s="818"/>
      <c r="Y5416" s="1161"/>
    </row>
    <row r="5417" spans="1:25" ht="15.75" hidden="1" customHeight="1">
      <c r="A5417" s="222">
        <v>5426</v>
      </c>
      <c r="B5417" s="858">
        <v>44701</v>
      </c>
      <c r="C5417" s="1006" t="s">
        <v>17427</v>
      </c>
      <c r="D5417" s="10" t="s">
        <v>6</v>
      </c>
      <c r="E5417" s="818" t="s">
        <v>14758</v>
      </c>
      <c r="F5417" s="1006" t="s">
        <v>404</v>
      </c>
      <c r="G5417" s="1193" t="s">
        <v>18457</v>
      </c>
      <c r="H5417" s="818" t="s">
        <v>4508</v>
      </c>
      <c r="I5417" s="222" t="s">
        <v>281</v>
      </c>
      <c r="J5417" s="222" t="s">
        <v>18458</v>
      </c>
      <c r="K5417" s="222" t="s">
        <v>18459</v>
      </c>
      <c r="L5417" s="222" t="s">
        <v>1</v>
      </c>
      <c r="M5417" s="222">
        <v>2</v>
      </c>
      <c r="N5417" s="222">
        <v>1</v>
      </c>
      <c r="O5417" s="222">
        <v>4</v>
      </c>
      <c r="P5417" s="222">
        <v>0</v>
      </c>
      <c r="Q5417" s="222">
        <v>2</v>
      </c>
      <c r="R5417" s="1195">
        <v>1454</v>
      </c>
      <c r="S5417" s="1195">
        <f>R5417*O5417</f>
        <v>5816</v>
      </c>
      <c r="T5417" s="222" t="s">
        <v>14752</v>
      </c>
      <c r="U5417" s="1901" t="s">
        <v>10628</v>
      </c>
      <c r="V5417" s="222" t="s">
        <v>5575</v>
      </c>
      <c r="W5417" s="2155" t="s">
        <v>18460</v>
      </c>
      <c r="X5417" s="818"/>
      <c r="Y5417" s="1161"/>
    </row>
    <row r="5418" spans="1:25" ht="15.75" hidden="1" customHeight="1">
      <c r="A5418" s="222">
        <v>5427</v>
      </c>
      <c r="B5418" s="858">
        <v>44701</v>
      </c>
      <c r="C5418" s="940" t="s">
        <v>15771</v>
      </c>
      <c r="D5418" s="10" t="s">
        <v>6</v>
      </c>
      <c r="E5418" s="818" t="s">
        <v>14758</v>
      </c>
      <c r="F5418" s="940" t="s">
        <v>404</v>
      </c>
      <c r="G5418" s="239" t="s">
        <v>15824</v>
      </c>
      <c r="H5418" s="239" t="s">
        <v>2128</v>
      </c>
      <c r="I5418" s="239" t="s">
        <v>281</v>
      </c>
      <c r="J5418" s="239" t="s">
        <v>15825</v>
      </c>
      <c r="K5418" s="239" t="s">
        <v>15826</v>
      </c>
      <c r="L5418" s="239" t="s">
        <v>1</v>
      </c>
      <c r="M5418" s="239">
        <v>5</v>
      </c>
      <c r="N5418" s="239">
        <v>1</v>
      </c>
      <c r="O5418" s="239">
        <v>5</v>
      </c>
      <c r="P5418" s="239">
        <v>0</v>
      </c>
      <c r="Q5418" s="572">
        <v>0</v>
      </c>
      <c r="R5418" s="1319">
        <v>4686</v>
      </c>
      <c r="S5418" s="1319">
        <f>R5418*5</f>
        <v>23430</v>
      </c>
      <c r="T5418" s="239" t="s">
        <v>14362</v>
      </c>
      <c r="U5418" s="1901" t="s">
        <v>10628</v>
      </c>
      <c r="V5418" s="572"/>
      <c r="W5418" s="681" t="s">
        <v>15827</v>
      </c>
      <c r="X5418" s="18"/>
      <c r="Y5418" s="1161"/>
    </row>
    <row r="5419" spans="1:25" ht="15.75" hidden="1" customHeight="1">
      <c r="A5419" s="222">
        <v>5428</v>
      </c>
      <c r="B5419" s="858">
        <v>44701</v>
      </c>
      <c r="C5419" s="1006" t="s">
        <v>17371</v>
      </c>
      <c r="D5419" s="10" t="s">
        <v>6</v>
      </c>
      <c r="E5419" s="818" t="s">
        <v>14758</v>
      </c>
      <c r="F5419" s="1006" t="s">
        <v>404</v>
      </c>
      <c r="G5419" s="1193" t="s">
        <v>17372</v>
      </c>
      <c r="H5419" s="818" t="s">
        <v>4508</v>
      </c>
      <c r="I5419" s="222" t="s">
        <v>84</v>
      </c>
      <c r="J5419" s="222">
        <v>48457947</v>
      </c>
      <c r="K5419" s="222" t="s">
        <v>17374</v>
      </c>
      <c r="L5419" s="222" t="s">
        <v>17375</v>
      </c>
      <c r="M5419" s="222">
        <v>8</v>
      </c>
      <c r="N5419" s="222">
        <v>1</v>
      </c>
      <c r="O5419" s="222">
        <v>8</v>
      </c>
      <c r="P5419" s="222">
        <v>4</v>
      </c>
      <c r="Q5419" s="222">
        <v>4</v>
      </c>
      <c r="R5419" s="1195">
        <v>2690</v>
      </c>
      <c r="S5419" s="1195">
        <f>R5419*8</f>
        <v>21520</v>
      </c>
      <c r="T5419" s="222" t="s">
        <v>14752</v>
      </c>
      <c r="U5419" s="1901" t="s">
        <v>10628</v>
      </c>
      <c r="V5419" s="222" t="s">
        <v>5575</v>
      </c>
      <c r="W5419" s="2155" t="s">
        <v>18461</v>
      </c>
      <c r="X5419" s="818"/>
      <c r="Y5419" s="1161"/>
    </row>
    <row r="5420" spans="1:25" ht="15.75" hidden="1" customHeight="1">
      <c r="A5420" s="222">
        <v>5429</v>
      </c>
      <c r="B5420" s="858">
        <v>44701</v>
      </c>
      <c r="C5420" s="1006" t="s">
        <v>17371</v>
      </c>
      <c r="D5420" s="10" t="s">
        <v>6</v>
      </c>
      <c r="E5420" s="818" t="s">
        <v>14758</v>
      </c>
      <c r="F5420" s="1006" t="s">
        <v>404</v>
      </c>
      <c r="G5420" s="1193" t="s">
        <v>17372</v>
      </c>
      <c r="H5420" s="818" t="s">
        <v>4508</v>
      </c>
      <c r="I5420" s="222" t="s">
        <v>1022</v>
      </c>
      <c r="J5420" s="222" t="s">
        <v>18462</v>
      </c>
      <c r="K5420" s="222" t="s">
        <v>18463</v>
      </c>
      <c r="L5420" s="222" t="s">
        <v>17375</v>
      </c>
      <c r="M5420" s="222">
        <v>8</v>
      </c>
      <c r="N5420" s="222">
        <v>1</v>
      </c>
      <c r="O5420" s="222">
        <v>8</v>
      </c>
      <c r="P5420" s="222">
        <v>4</v>
      </c>
      <c r="Q5420" s="222">
        <v>4</v>
      </c>
      <c r="R5420" s="1195">
        <v>1661</v>
      </c>
      <c r="S5420" s="1195">
        <f>R5420*8</f>
        <v>13288</v>
      </c>
      <c r="T5420" s="222" t="s">
        <v>14752</v>
      </c>
      <c r="U5420" s="1901" t="s">
        <v>10628</v>
      </c>
      <c r="V5420" s="222" t="s">
        <v>5575</v>
      </c>
      <c r="W5420" s="2155" t="s">
        <v>18464</v>
      </c>
      <c r="X5420" s="818"/>
      <c r="Y5420" s="1161"/>
    </row>
    <row r="5421" spans="1:25" ht="15.75" hidden="1" customHeight="1">
      <c r="A5421" s="222">
        <v>5430</v>
      </c>
      <c r="B5421" s="858">
        <v>44701</v>
      </c>
      <c r="C5421" s="129" t="s">
        <v>18465</v>
      </c>
      <c r="D5421" s="10" t="s">
        <v>6</v>
      </c>
      <c r="E5421" s="818" t="s">
        <v>14758</v>
      </c>
      <c r="F5421" s="1006" t="s">
        <v>404</v>
      </c>
      <c r="G5421" s="863" t="s">
        <v>18466</v>
      </c>
      <c r="H5421" s="222" t="s">
        <v>18467</v>
      </c>
      <c r="I5421" s="222" t="s">
        <v>1022</v>
      </c>
      <c r="J5421" s="183" t="s">
        <v>18468</v>
      </c>
      <c r="K5421" s="183" t="s">
        <v>18469</v>
      </c>
      <c r="L5421" s="613"/>
      <c r="M5421" s="183">
        <v>4</v>
      </c>
      <c r="N5421" s="183">
        <v>4</v>
      </c>
      <c r="O5421" s="222">
        <v>0</v>
      </c>
      <c r="P5421" s="222">
        <v>0</v>
      </c>
      <c r="Q5421" s="222">
        <v>0</v>
      </c>
      <c r="R5421" s="1195">
        <v>2936</v>
      </c>
      <c r="S5421" s="1195">
        <f>2936+499</f>
        <v>3435</v>
      </c>
      <c r="T5421" s="222" t="s">
        <v>14752</v>
      </c>
      <c r="U5421" s="1901" t="s">
        <v>10628</v>
      </c>
      <c r="V5421" s="222" t="s">
        <v>5575</v>
      </c>
      <c r="W5421" s="2155" t="s">
        <v>18470</v>
      </c>
      <c r="X5421" s="818"/>
      <c r="Y5421" s="1161"/>
    </row>
    <row r="5422" spans="1:25" ht="15.75" hidden="1" customHeight="1">
      <c r="A5422" s="222">
        <v>5431</v>
      </c>
      <c r="B5422" s="858">
        <v>44702</v>
      </c>
      <c r="C5422" s="129" t="s">
        <v>18471</v>
      </c>
      <c r="D5422" s="8" t="s">
        <v>6</v>
      </c>
      <c r="E5422" s="818" t="s">
        <v>17683</v>
      </c>
      <c r="F5422" s="1006" t="s">
        <v>13364</v>
      </c>
      <c r="G5422" s="239" t="s">
        <v>18472</v>
      </c>
      <c r="H5422" s="239" t="s">
        <v>287</v>
      </c>
      <c r="I5422" s="239" t="s">
        <v>287</v>
      </c>
      <c r="J5422" s="239">
        <v>22052100014</v>
      </c>
      <c r="K5422" s="239">
        <v>22052100014</v>
      </c>
      <c r="L5422" s="239" t="s">
        <v>1</v>
      </c>
      <c r="M5422" s="239">
        <v>2</v>
      </c>
      <c r="N5422" s="239">
        <v>1</v>
      </c>
      <c r="O5422" s="239">
        <v>5</v>
      </c>
      <c r="P5422" s="239">
        <v>0</v>
      </c>
      <c r="Q5422" s="572">
        <v>3</v>
      </c>
      <c r="R5422" s="1209">
        <v>130311</v>
      </c>
      <c r="S5422" s="1209">
        <v>130311</v>
      </c>
      <c r="T5422" s="222" t="s">
        <v>14752</v>
      </c>
      <c r="U5422" s="1901" t="s">
        <v>14498</v>
      </c>
      <c r="V5422" s="222" t="s">
        <v>5575</v>
      </c>
      <c r="W5422" s="804" t="s">
        <v>5265</v>
      </c>
      <c r="X5422" s="18"/>
      <c r="Y5422" s="1161"/>
    </row>
    <row r="5423" spans="1:25" ht="15.75" hidden="1" customHeight="1">
      <c r="A5423" s="222">
        <v>5432</v>
      </c>
      <c r="B5423" s="858">
        <v>44702</v>
      </c>
      <c r="C5423" s="129" t="s">
        <v>18473</v>
      </c>
      <c r="D5423" s="8" t="s">
        <v>6</v>
      </c>
      <c r="E5423" s="818" t="s">
        <v>17683</v>
      </c>
      <c r="F5423" s="1006" t="s">
        <v>13364</v>
      </c>
      <c r="G5423" s="239" t="s">
        <v>14501</v>
      </c>
      <c r="H5423" s="239" t="s">
        <v>287</v>
      </c>
      <c r="I5423" s="239" t="s">
        <v>287</v>
      </c>
      <c r="J5423" s="239">
        <v>22052100015</v>
      </c>
      <c r="K5423" s="239">
        <v>22052100015</v>
      </c>
      <c r="L5423" s="239" t="s">
        <v>1</v>
      </c>
      <c r="M5423" s="239">
        <v>2</v>
      </c>
      <c r="N5423" s="239">
        <v>1</v>
      </c>
      <c r="O5423" s="239">
        <v>5</v>
      </c>
      <c r="P5423" s="239">
        <v>0</v>
      </c>
      <c r="Q5423" s="572">
        <v>3</v>
      </c>
      <c r="R5423" s="1209">
        <v>105150</v>
      </c>
      <c r="S5423" s="1209">
        <v>105150</v>
      </c>
      <c r="T5423" s="222" t="s">
        <v>14752</v>
      </c>
      <c r="U5423" s="1901" t="s">
        <v>14498</v>
      </c>
      <c r="V5423" s="222" t="s">
        <v>5575</v>
      </c>
      <c r="W5423" s="804" t="s">
        <v>5265</v>
      </c>
      <c r="X5423" s="18"/>
      <c r="Y5423" s="1161"/>
    </row>
    <row r="5424" spans="1:25" ht="15.75" hidden="1" customHeight="1">
      <c r="A5424" s="222">
        <v>5433</v>
      </c>
      <c r="B5424" s="858">
        <v>44705</v>
      </c>
      <c r="C5424" s="129" t="s">
        <v>18474</v>
      </c>
      <c r="D5424" s="10" t="s">
        <v>6</v>
      </c>
      <c r="E5424" s="818" t="s">
        <v>17683</v>
      </c>
      <c r="F5424" s="1006" t="s">
        <v>1989</v>
      </c>
      <c r="G5424" s="863" t="s">
        <v>18475</v>
      </c>
      <c r="H5424" s="222" t="s">
        <v>287</v>
      </c>
      <c r="I5424" s="222" t="s">
        <v>287</v>
      </c>
      <c r="J5424" s="183">
        <v>22052400211</v>
      </c>
      <c r="K5424" s="183">
        <v>22052400211</v>
      </c>
      <c r="L5424" s="613" t="s">
        <v>1</v>
      </c>
      <c r="M5424" s="183">
        <v>2</v>
      </c>
      <c r="N5424" s="183">
        <v>1</v>
      </c>
      <c r="O5424" s="222">
        <v>4</v>
      </c>
      <c r="P5424" s="222">
        <v>0</v>
      </c>
      <c r="Q5424" s="222">
        <v>2</v>
      </c>
      <c r="R5424" s="1195">
        <v>88465</v>
      </c>
      <c r="S5424" s="1195">
        <v>88465</v>
      </c>
      <c r="T5424" s="222" t="s">
        <v>14752</v>
      </c>
      <c r="U5424" s="1527"/>
      <c r="W5424" s="2155"/>
      <c r="X5424" s="818"/>
      <c r="Y5424" s="1161"/>
    </row>
    <row r="5425" spans="1:25" ht="15.75" hidden="1" customHeight="1">
      <c r="A5425" s="222">
        <v>5434</v>
      </c>
      <c r="B5425" s="858">
        <v>44706</v>
      </c>
      <c r="C5425" s="129" t="s">
        <v>18476</v>
      </c>
      <c r="D5425" s="11" t="s">
        <v>6</v>
      </c>
      <c r="E5425" s="818" t="s">
        <v>17683</v>
      </c>
      <c r="F5425" s="1006" t="s">
        <v>15653</v>
      </c>
      <c r="G5425" s="863" t="s">
        <v>10769</v>
      </c>
      <c r="H5425" s="222" t="s">
        <v>460</v>
      </c>
      <c r="I5425" s="222" t="s">
        <v>53</v>
      </c>
      <c r="J5425" s="129" t="s">
        <v>18477</v>
      </c>
      <c r="K5425" s="129" t="s">
        <v>18478</v>
      </c>
      <c r="L5425" s="222" t="s">
        <v>17375</v>
      </c>
      <c r="M5425" s="183">
        <v>8</v>
      </c>
      <c r="N5425" s="183">
        <v>1</v>
      </c>
      <c r="O5425" s="222">
        <v>10</v>
      </c>
      <c r="P5425" s="222">
        <v>0</v>
      </c>
      <c r="Q5425" s="222">
        <v>2</v>
      </c>
      <c r="R5425" s="1195">
        <v>1302</v>
      </c>
      <c r="S5425" s="1195">
        <v>14321</v>
      </c>
      <c r="T5425" s="222" t="s">
        <v>18479</v>
      </c>
      <c r="U5425" s="1527" t="s">
        <v>2703</v>
      </c>
      <c r="V5425" s="222" t="s">
        <v>12577</v>
      </c>
      <c r="W5425" s="2161" t="s">
        <v>18480</v>
      </c>
      <c r="X5425" s="818"/>
      <c r="Y5425" s="1161"/>
    </row>
    <row r="5426" spans="1:25" s="1005" customFormat="1" ht="15.75" hidden="1" customHeight="1">
      <c r="A5426" s="1006">
        <v>5435</v>
      </c>
      <c r="B5426" s="858">
        <v>44711</v>
      </c>
      <c r="C5426" s="934" t="s">
        <v>18481</v>
      </c>
      <c r="D5426" s="11" t="s">
        <v>6</v>
      </c>
      <c r="E5426" s="1006" t="s">
        <v>683</v>
      </c>
      <c r="F5426" s="1006" t="s">
        <v>73</v>
      </c>
      <c r="G5426" s="1531" t="s">
        <v>18482</v>
      </c>
      <c r="H5426" s="985" t="s">
        <v>961</v>
      </c>
      <c r="I5426" s="1054" t="s">
        <v>961</v>
      </c>
      <c r="J5426" s="1532" t="s">
        <v>3195</v>
      </c>
      <c r="K5426" s="1532" t="s">
        <v>3195</v>
      </c>
      <c r="L5426" s="1060" t="s">
        <v>1</v>
      </c>
      <c r="M5426" s="985">
        <v>16</v>
      </c>
      <c r="N5426" s="934">
        <v>1</v>
      </c>
      <c r="O5426" s="1006">
        <v>16</v>
      </c>
      <c r="P5426" s="1006">
        <v>4</v>
      </c>
      <c r="Q5426" s="1006">
        <v>4</v>
      </c>
      <c r="R5426" s="1529">
        <v>78</v>
      </c>
      <c r="S5426" s="1529">
        <v>1248</v>
      </c>
      <c r="T5426" s="934" t="s">
        <v>4220</v>
      </c>
      <c r="U5426" s="1533" t="s">
        <v>4220</v>
      </c>
      <c r="V5426" s="957" t="s">
        <v>18453</v>
      </c>
      <c r="W5426" s="2153" t="s">
        <v>18483</v>
      </c>
      <c r="X5426" s="1534"/>
      <c r="Y5426" s="1535"/>
    </row>
    <row r="5427" spans="1:25" ht="15.75" hidden="1" customHeight="1">
      <c r="A5427" s="222">
        <v>5436</v>
      </c>
      <c r="B5427" s="858">
        <v>44711</v>
      </c>
      <c r="C5427" s="1536" t="s">
        <v>18484</v>
      </c>
      <c r="D5427" s="11" t="s">
        <v>6</v>
      </c>
      <c r="E5427" s="818" t="s">
        <v>17683</v>
      </c>
      <c r="F5427" s="1006" t="s">
        <v>18485</v>
      </c>
      <c r="G5427" s="1536" t="s">
        <v>18486</v>
      </c>
      <c r="H5427" s="1581" t="s">
        <v>4540</v>
      </c>
      <c r="I5427" s="1" t="s">
        <v>574</v>
      </c>
      <c r="J5427" s="1538" t="s">
        <v>18487</v>
      </c>
      <c r="K5427" s="1538" t="s">
        <v>18488</v>
      </c>
      <c r="L5427" s="1584" t="s">
        <v>1</v>
      </c>
      <c r="M5427" s="298">
        <v>4</v>
      </c>
      <c r="N5427" s="297">
        <v>1</v>
      </c>
      <c r="O5427" s="222">
        <v>4</v>
      </c>
      <c r="P5427" s="222">
        <v>0</v>
      </c>
      <c r="Q5427" s="222">
        <v>0</v>
      </c>
      <c r="R5427" s="1529">
        <v>3176</v>
      </c>
      <c r="S5427" s="1195">
        <v>12704</v>
      </c>
      <c r="T5427" s="297" t="s">
        <v>311</v>
      </c>
      <c r="U5427" s="432" t="s">
        <v>311</v>
      </c>
      <c r="V5427" s="572" t="s">
        <v>3187</v>
      </c>
      <c r="W5427" s="2174" t="s">
        <v>18489</v>
      </c>
      <c r="X5427" s="819"/>
      <c r="Y5427" s="1161"/>
    </row>
    <row r="5428" spans="1:25" ht="15.75" hidden="1" customHeight="1">
      <c r="A5428" s="222">
        <v>5437</v>
      </c>
      <c r="B5428" s="858">
        <v>44711</v>
      </c>
      <c r="C5428" s="1540" t="s">
        <v>18490</v>
      </c>
      <c r="D5428" s="8" t="s">
        <v>6</v>
      </c>
      <c r="E5428" s="818" t="s">
        <v>17683</v>
      </c>
      <c r="F5428" s="1006" t="s">
        <v>18485</v>
      </c>
      <c r="G5428" s="1540" t="s">
        <v>18491</v>
      </c>
      <c r="H5428" s="1541" t="s">
        <v>3097</v>
      </c>
      <c r="I5428" s="1582" t="s">
        <v>574</v>
      </c>
      <c r="J5428" s="1538" t="s">
        <v>18492</v>
      </c>
      <c r="K5428" s="1583" t="s">
        <v>18492</v>
      </c>
      <c r="L5428" s="298" t="s">
        <v>18493</v>
      </c>
      <c r="M5428" s="298">
        <v>1</v>
      </c>
      <c r="N5428" s="297">
        <v>1</v>
      </c>
      <c r="O5428" s="222">
        <v>1</v>
      </c>
      <c r="P5428" s="222">
        <v>0</v>
      </c>
      <c r="Q5428" s="222">
        <v>0</v>
      </c>
      <c r="R5428" s="1195">
        <v>221</v>
      </c>
      <c r="S5428" s="1195">
        <v>221</v>
      </c>
      <c r="T5428" s="297" t="s">
        <v>311</v>
      </c>
      <c r="U5428" s="432" t="s">
        <v>311</v>
      </c>
      <c r="V5428" s="572" t="s">
        <v>3187</v>
      </c>
      <c r="W5428" s="2174" t="s">
        <v>18494</v>
      </c>
      <c r="X5428" s="819"/>
      <c r="Y5428" s="1161"/>
    </row>
    <row r="5429" spans="1:25" ht="15.75" hidden="1" customHeight="1">
      <c r="A5429" s="222">
        <v>5438</v>
      </c>
      <c r="B5429" s="858">
        <v>44711</v>
      </c>
      <c r="C5429" s="204" t="s">
        <v>18495</v>
      </c>
      <c r="D5429" s="11" t="s">
        <v>6</v>
      </c>
      <c r="E5429" s="818" t="s">
        <v>17683</v>
      </c>
      <c r="F5429" s="1539" t="s">
        <v>18485</v>
      </c>
      <c r="G5429" s="204" t="s">
        <v>18496</v>
      </c>
      <c r="H5429" s="204" t="s">
        <v>14282</v>
      </c>
      <c r="I5429" s="1" t="s">
        <v>574</v>
      </c>
      <c r="J5429" s="1427" t="s">
        <v>18497</v>
      </c>
      <c r="K5429" s="613" t="s">
        <v>18498</v>
      </c>
      <c r="L5429" s="297" t="s">
        <v>1</v>
      </c>
      <c r="M5429" s="298">
        <v>2</v>
      </c>
      <c r="N5429" s="297">
        <v>1</v>
      </c>
      <c r="O5429" s="222">
        <v>2</v>
      </c>
      <c r="P5429" s="222">
        <v>0</v>
      </c>
      <c r="Q5429" s="222">
        <v>0</v>
      </c>
      <c r="R5429" s="1195">
        <v>1881</v>
      </c>
      <c r="S5429" s="1195">
        <v>3762</v>
      </c>
      <c r="T5429" s="297" t="s">
        <v>311</v>
      </c>
      <c r="U5429" s="432" t="s">
        <v>311</v>
      </c>
      <c r="V5429" s="572" t="s">
        <v>3187</v>
      </c>
      <c r="W5429" s="2255" t="s">
        <v>18499</v>
      </c>
      <c r="X5429" s="818"/>
      <c r="Y5429" s="1161"/>
    </row>
    <row r="5430" spans="1:25" ht="15.75" hidden="1" customHeight="1">
      <c r="A5430" s="222">
        <v>5439</v>
      </c>
      <c r="B5430" s="858">
        <v>44711</v>
      </c>
      <c r="C5430" s="613" t="s">
        <v>18500</v>
      </c>
      <c r="D5430" s="8" t="s">
        <v>6</v>
      </c>
      <c r="E5430" s="818" t="s">
        <v>17683</v>
      </c>
      <c r="F5430" s="1539" t="s">
        <v>18485</v>
      </c>
      <c r="G5430" s="613" t="s">
        <v>18501</v>
      </c>
      <c r="H5430" s="204" t="s">
        <v>574</v>
      </c>
      <c r="I5430" s="1" t="s">
        <v>574</v>
      </c>
      <c r="J5430" s="613" t="s">
        <v>18502</v>
      </c>
      <c r="K5430" s="613" t="s">
        <v>18502</v>
      </c>
      <c r="L5430" s="298" t="s">
        <v>1</v>
      </c>
      <c r="M5430" s="298">
        <v>1</v>
      </c>
      <c r="N5430" s="297">
        <v>1</v>
      </c>
      <c r="O5430" s="222">
        <v>1</v>
      </c>
      <c r="P5430" s="222">
        <v>0</v>
      </c>
      <c r="Q5430" s="222">
        <v>0</v>
      </c>
      <c r="R5430" s="1195">
        <v>379</v>
      </c>
      <c r="S5430" s="1195">
        <v>379</v>
      </c>
      <c r="T5430" s="297" t="s">
        <v>311</v>
      </c>
      <c r="U5430" s="432" t="s">
        <v>311</v>
      </c>
      <c r="V5430" s="572" t="s">
        <v>3187</v>
      </c>
      <c r="W5430" s="2155" t="s">
        <v>18503</v>
      </c>
      <c r="X5430" s="818"/>
      <c r="Y5430" s="1161"/>
    </row>
    <row r="5431" spans="1:25" ht="15.75" hidden="1" customHeight="1">
      <c r="A5431" s="222">
        <v>5440</v>
      </c>
      <c r="B5431" s="858">
        <v>44711</v>
      </c>
      <c r="C5431" s="613" t="s">
        <v>14655</v>
      </c>
      <c r="D5431" s="8" t="s">
        <v>6</v>
      </c>
      <c r="E5431" s="818" t="s">
        <v>17683</v>
      </c>
      <c r="F5431" s="1539" t="s">
        <v>18485</v>
      </c>
      <c r="G5431" s="613" t="s">
        <v>14655</v>
      </c>
      <c r="H5431" s="204" t="s">
        <v>460</v>
      </c>
      <c r="I5431" s="1" t="s">
        <v>574</v>
      </c>
      <c r="J5431" s="683" t="s">
        <v>18504</v>
      </c>
      <c r="K5431" s="683" t="s">
        <v>18505</v>
      </c>
      <c r="L5431" s="298" t="s">
        <v>18493</v>
      </c>
      <c r="M5431" s="298">
        <v>1</v>
      </c>
      <c r="N5431" s="297">
        <v>1</v>
      </c>
      <c r="O5431" s="222">
        <v>1</v>
      </c>
      <c r="P5431" s="222">
        <v>0</v>
      </c>
      <c r="Q5431" s="222">
        <v>0</v>
      </c>
      <c r="R5431" s="1501">
        <v>33.200000000000003</v>
      </c>
      <c r="S5431" s="1195">
        <v>33.200000000000003</v>
      </c>
      <c r="T5431" s="297" t="s">
        <v>311</v>
      </c>
      <c r="U5431" s="432" t="s">
        <v>311</v>
      </c>
      <c r="V5431" s="572" t="s">
        <v>3187</v>
      </c>
      <c r="W5431" s="2155" t="s">
        <v>18506</v>
      </c>
      <c r="X5431" s="818"/>
      <c r="Y5431" s="1161"/>
    </row>
    <row r="5432" spans="1:25" ht="15.75" hidden="1" customHeight="1">
      <c r="A5432" s="222">
        <v>5441</v>
      </c>
      <c r="B5432" s="858">
        <v>44711</v>
      </c>
      <c r="C5432" s="613" t="s">
        <v>18507</v>
      </c>
      <c r="D5432" s="11" t="s">
        <v>6</v>
      </c>
      <c r="E5432" s="818" t="s">
        <v>17683</v>
      </c>
      <c r="F5432" s="1539" t="s">
        <v>18485</v>
      </c>
      <c r="G5432" s="613" t="s">
        <v>18508</v>
      </c>
      <c r="H5432" s="204" t="s">
        <v>429</v>
      </c>
      <c r="I5432" s="204" t="s">
        <v>429</v>
      </c>
      <c r="J5432" s="1551" t="s">
        <v>18509</v>
      </c>
      <c r="K5432" s="1551" t="s">
        <v>18509</v>
      </c>
      <c r="L5432" s="298" t="s">
        <v>1</v>
      </c>
      <c r="M5432" s="298">
        <v>4</v>
      </c>
      <c r="N5432" s="297">
        <v>1</v>
      </c>
      <c r="O5432" s="222">
        <v>4</v>
      </c>
      <c r="P5432" s="222">
        <v>0</v>
      </c>
      <c r="Q5432" s="1527">
        <v>0</v>
      </c>
      <c r="R5432" s="1195">
        <v>351</v>
      </c>
      <c r="S5432" s="1425">
        <v>1404</v>
      </c>
      <c r="T5432" s="297" t="s">
        <v>311</v>
      </c>
      <c r="U5432" s="432" t="s">
        <v>311</v>
      </c>
      <c r="V5432" s="572" t="s">
        <v>3187</v>
      </c>
      <c r="W5432" s="2155" t="s">
        <v>18510</v>
      </c>
      <c r="X5432" s="818"/>
      <c r="Y5432" s="1161"/>
    </row>
    <row r="5433" spans="1:25" ht="15.75" hidden="1" customHeight="1">
      <c r="A5433" s="222">
        <v>5442</v>
      </c>
      <c r="B5433" s="858">
        <v>44711</v>
      </c>
      <c r="C5433" s="613" t="s">
        <v>18507</v>
      </c>
      <c r="D5433" s="11" t="s">
        <v>6</v>
      </c>
      <c r="E5433" s="818" t="s">
        <v>17683</v>
      </c>
      <c r="F5433" s="1539" t="s">
        <v>18485</v>
      </c>
      <c r="G5433" s="613" t="s">
        <v>18511</v>
      </c>
      <c r="H5433" s="204" t="s">
        <v>429</v>
      </c>
      <c r="I5433" s="1" t="s">
        <v>429</v>
      </c>
      <c r="J5433" s="204" t="s">
        <v>18512</v>
      </c>
      <c r="K5433" s="204" t="s">
        <v>18513</v>
      </c>
      <c r="L5433" s="298" t="s">
        <v>1</v>
      </c>
      <c r="M5433" s="298">
        <v>8</v>
      </c>
      <c r="N5433" s="297">
        <v>1</v>
      </c>
      <c r="O5433" s="222">
        <v>8</v>
      </c>
      <c r="P5433" s="222">
        <v>0</v>
      </c>
      <c r="Q5433" s="222">
        <v>0</v>
      </c>
      <c r="R5433" s="1435">
        <v>332</v>
      </c>
      <c r="S5433" s="1195">
        <v>2656</v>
      </c>
      <c r="T5433" s="297" t="s">
        <v>311</v>
      </c>
      <c r="U5433" s="432" t="s">
        <v>311</v>
      </c>
      <c r="V5433" s="572" t="s">
        <v>3187</v>
      </c>
      <c r="W5433" s="2155" t="s">
        <v>18510</v>
      </c>
      <c r="X5433" s="818"/>
      <c r="Y5433" s="1161"/>
    </row>
    <row r="5434" spans="1:25" ht="15.75" hidden="1" customHeight="1">
      <c r="A5434" s="222">
        <v>5443</v>
      </c>
      <c r="B5434" s="858">
        <v>44711</v>
      </c>
      <c r="C5434" s="204" t="s">
        <v>18514</v>
      </c>
      <c r="D5434" s="11" t="s">
        <v>6</v>
      </c>
      <c r="E5434" s="818" t="s">
        <v>17683</v>
      </c>
      <c r="F5434" s="1539" t="s">
        <v>18485</v>
      </c>
      <c r="G5434" s="204" t="s">
        <v>18515</v>
      </c>
      <c r="H5434" s="204" t="s">
        <v>429</v>
      </c>
      <c r="I5434" s="1" t="s">
        <v>429</v>
      </c>
      <c r="J5434" s="1550" t="s">
        <v>18516</v>
      </c>
      <c r="K5434" s="1550" t="s">
        <v>18517</v>
      </c>
      <c r="L5434" s="298" t="s">
        <v>1</v>
      </c>
      <c r="M5434" s="298">
        <v>30</v>
      </c>
      <c r="N5434" s="297">
        <v>1</v>
      </c>
      <c r="O5434" s="222">
        <v>30</v>
      </c>
      <c r="P5434" s="222">
        <v>0</v>
      </c>
      <c r="Q5434" s="222">
        <v>0</v>
      </c>
      <c r="R5434" s="1195">
        <v>29</v>
      </c>
      <c r="S5434" s="1195">
        <v>870</v>
      </c>
      <c r="T5434" s="297" t="s">
        <v>311</v>
      </c>
      <c r="U5434" s="432" t="s">
        <v>311</v>
      </c>
      <c r="V5434" s="572" t="s">
        <v>3187</v>
      </c>
      <c r="W5434" s="2155" t="s">
        <v>18518</v>
      </c>
      <c r="X5434" s="818"/>
      <c r="Y5434" s="1161"/>
    </row>
    <row r="5435" spans="1:25" ht="15.75" hidden="1" customHeight="1">
      <c r="A5435" s="222">
        <v>5444</v>
      </c>
      <c r="B5435" s="858">
        <v>44711</v>
      </c>
      <c r="C5435" s="1547" t="s">
        <v>18519</v>
      </c>
      <c r="D5435" s="1445" t="s">
        <v>6</v>
      </c>
      <c r="E5435" s="699" t="s">
        <v>18520</v>
      </c>
      <c r="F5435" s="699" t="s">
        <v>18521</v>
      </c>
      <c r="G5435" s="699" t="s">
        <v>354</v>
      </c>
      <c r="H5435" s="699" t="s">
        <v>315</v>
      </c>
      <c r="I5435" s="699" t="s">
        <v>315</v>
      </c>
      <c r="J5435" s="320" t="s">
        <v>355</v>
      </c>
      <c r="K5435" s="320" t="s">
        <v>355</v>
      </c>
      <c r="L5435" s="699" t="s">
        <v>1088</v>
      </c>
      <c r="M5435" s="699">
        <v>4</v>
      </c>
      <c r="N5435" s="699">
        <v>20</v>
      </c>
      <c r="O5435" s="699">
        <v>20</v>
      </c>
      <c r="P5435" s="699">
        <v>0</v>
      </c>
      <c r="Q5435" s="699">
        <v>16</v>
      </c>
      <c r="R5435" s="1546">
        <v>0.99</v>
      </c>
      <c r="S5435" s="1546">
        <v>19.8</v>
      </c>
      <c r="T5435" s="699" t="s">
        <v>14752</v>
      </c>
      <c r="U5435" s="1922" t="s">
        <v>138</v>
      </c>
      <c r="V5435" s="1547" t="s">
        <v>5575</v>
      </c>
      <c r="W5435" s="1543" t="s">
        <v>358</v>
      </c>
      <c r="X5435" s="818" t="s">
        <v>18522</v>
      </c>
      <c r="Y5435" s="1161"/>
    </row>
    <row r="5436" spans="1:25" ht="15.75" hidden="1" customHeight="1">
      <c r="A5436" s="222">
        <v>5445</v>
      </c>
      <c r="B5436" s="858">
        <v>44711</v>
      </c>
      <c r="C5436" s="1548" t="s">
        <v>18523</v>
      </c>
      <c r="D5436" s="1445" t="s">
        <v>6</v>
      </c>
      <c r="E5436" s="699" t="s">
        <v>18520</v>
      </c>
      <c r="F5436" s="320" t="s">
        <v>18521</v>
      </c>
      <c r="G5436" s="320" t="s">
        <v>13495</v>
      </c>
      <c r="H5436" s="320" t="s">
        <v>1078</v>
      </c>
      <c r="I5436" s="320" t="s">
        <v>805</v>
      </c>
      <c r="J5436" s="320" t="s">
        <v>14430</v>
      </c>
      <c r="K5436" s="320" t="s">
        <v>1080</v>
      </c>
      <c r="L5436" s="320" t="s">
        <v>1269</v>
      </c>
      <c r="M5436" s="320">
        <v>4</v>
      </c>
      <c r="N5436" s="320">
        <v>10</v>
      </c>
      <c r="O5436" s="320">
        <v>10</v>
      </c>
      <c r="P5436" s="320">
        <v>0</v>
      </c>
      <c r="Q5436" s="320">
        <v>6</v>
      </c>
      <c r="R5436" s="1435">
        <v>1088</v>
      </c>
      <c r="S5436" s="1195">
        <v>10880</v>
      </c>
      <c r="T5436" s="320" t="s">
        <v>14752</v>
      </c>
      <c r="U5436" s="1923" t="s">
        <v>138</v>
      </c>
      <c r="V5436" s="1547" t="s">
        <v>5575</v>
      </c>
      <c r="W5436" s="1544" t="s">
        <v>14431</v>
      </c>
      <c r="X5436" s="818"/>
      <c r="Y5436" s="1161"/>
    </row>
    <row r="5437" spans="1:25" ht="15.75" hidden="1" customHeight="1">
      <c r="A5437" s="222">
        <v>5446</v>
      </c>
      <c r="B5437" s="858">
        <v>44711</v>
      </c>
      <c r="C5437" s="1547" t="s">
        <v>3642</v>
      </c>
      <c r="D5437" s="1445" t="s">
        <v>6</v>
      </c>
      <c r="E5437" s="699" t="s">
        <v>18520</v>
      </c>
      <c r="F5437" s="699" t="s">
        <v>18521</v>
      </c>
      <c r="G5437" s="699" t="s">
        <v>13491</v>
      </c>
      <c r="H5437" s="699" t="s">
        <v>1073</v>
      </c>
      <c r="I5437" s="699" t="s">
        <v>4634</v>
      </c>
      <c r="J5437" s="699" t="s">
        <v>18524</v>
      </c>
      <c r="K5437" s="699" t="s">
        <v>1914</v>
      </c>
      <c r="L5437" s="699" t="s">
        <v>1256</v>
      </c>
      <c r="M5437" s="699">
        <v>2</v>
      </c>
      <c r="N5437" s="699">
        <v>10</v>
      </c>
      <c r="O5437" s="699">
        <v>10</v>
      </c>
      <c r="P5437" s="699">
        <v>0</v>
      </c>
      <c r="Q5437" s="699">
        <v>8</v>
      </c>
      <c r="R5437" s="1435">
        <v>368.1</v>
      </c>
      <c r="S5437" s="1435">
        <v>3681</v>
      </c>
      <c r="T5437" s="699" t="s">
        <v>14752</v>
      </c>
      <c r="U5437" s="1922" t="s">
        <v>138</v>
      </c>
      <c r="V5437" s="1547" t="s">
        <v>5575</v>
      </c>
      <c r="W5437" s="1545" t="s">
        <v>18525</v>
      </c>
      <c r="X5437" s="818"/>
      <c r="Y5437" s="1161"/>
    </row>
    <row r="5438" spans="1:25" ht="15.75" hidden="1" customHeight="1">
      <c r="A5438" s="222">
        <v>5447</v>
      </c>
      <c r="B5438" s="858">
        <v>44711</v>
      </c>
      <c r="C5438" s="1548" t="s">
        <v>18526</v>
      </c>
      <c r="D5438" s="1445" t="s">
        <v>6</v>
      </c>
      <c r="E5438" s="699" t="s">
        <v>18520</v>
      </c>
      <c r="F5438" s="320" t="s">
        <v>18521</v>
      </c>
      <c r="G5438" s="320" t="s">
        <v>14704</v>
      </c>
      <c r="H5438" s="320" t="s">
        <v>18527</v>
      </c>
      <c r="I5438" s="320" t="s">
        <v>281</v>
      </c>
      <c r="J5438" s="320" t="s">
        <v>18528</v>
      </c>
      <c r="K5438" s="320" t="s">
        <v>16628</v>
      </c>
      <c r="L5438" s="320" t="s">
        <v>1088</v>
      </c>
      <c r="M5438" s="320">
        <v>24</v>
      </c>
      <c r="N5438" s="320">
        <v>40</v>
      </c>
      <c r="O5438" s="320">
        <v>40</v>
      </c>
      <c r="P5438" s="320">
        <v>0</v>
      </c>
      <c r="Q5438" s="320">
        <v>16</v>
      </c>
      <c r="R5438" s="1435">
        <v>376.4</v>
      </c>
      <c r="S5438" s="1435">
        <v>15056</v>
      </c>
      <c r="T5438" s="320" t="s">
        <v>14752</v>
      </c>
      <c r="U5438" s="1923" t="s">
        <v>18529</v>
      </c>
      <c r="V5438" s="1547" t="s">
        <v>5575</v>
      </c>
      <c r="W5438" s="1544" t="s">
        <v>14709</v>
      </c>
      <c r="X5438" s="818"/>
      <c r="Y5438" s="1161"/>
    </row>
    <row r="5439" spans="1:25" ht="15.75" hidden="1" customHeight="1">
      <c r="A5439" s="222">
        <v>5448</v>
      </c>
      <c r="B5439" s="858">
        <v>44711</v>
      </c>
      <c r="C5439" s="1548" t="s">
        <v>18530</v>
      </c>
      <c r="D5439" s="1445" t="s">
        <v>6</v>
      </c>
      <c r="E5439" s="699" t="s">
        <v>18520</v>
      </c>
      <c r="F5439" s="320" t="s">
        <v>18521</v>
      </c>
      <c r="G5439" s="320" t="s">
        <v>3290</v>
      </c>
      <c r="H5439" s="320" t="s">
        <v>1085</v>
      </c>
      <c r="I5439" s="320" t="s">
        <v>281</v>
      </c>
      <c r="J5439" s="320" t="s">
        <v>1086</v>
      </c>
      <c r="K5439" s="320" t="s">
        <v>1087</v>
      </c>
      <c r="L5439" s="320" t="s">
        <v>1088</v>
      </c>
      <c r="M5439" s="320">
        <v>2</v>
      </c>
      <c r="N5439" s="320">
        <v>10</v>
      </c>
      <c r="O5439" s="320">
        <v>10</v>
      </c>
      <c r="P5439" s="320">
        <v>0</v>
      </c>
      <c r="Q5439" s="320">
        <v>8</v>
      </c>
      <c r="R5439" s="1435">
        <v>1853</v>
      </c>
      <c r="S5439" s="1435">
        <v>18530</v>
      </c>
      <c r="T5439" s="320" t="s">
        <v>14752</v>
      </c>
      <c r="U5439" s="1923" t="s">
        <v>138</v>
      </c>
      <c r="V5439" s="1547" t="s">
        <v>5575</v>
      </c>
      <c r="W5439" s="1544" t="s">
        <v>18531</v>
      </c>
      <c r="X5439" s="818"/>
      <c r="Y5439" s="1161"/>
    </row>
    <row r="5440" spans="1:25" ht="15.75" hidden="1" customHeight="1">
      <c r="A5440" s="222">
        <v>5449</v>
      </c>
      <c r="B5440" s="858">
        <v>44711</v>
      </c>
      <c r="C5440" s="1548" t="s">
        <v>18532</v>
      </c>
      <c r="D5440" s="1445" t="s">
        <v>6</v>
      </c>
      <c r="E5440" s="699" t="s">
        <v>18520</v>
      </c>
      <c r="F5440" s="320" t="s">
        <v>18521</v>
      </c>
      <c r="G5440" s="320" t="s">
        <v>4059</v>
      </c>
      <c r="H5440" s="320" t="s">
        <v>3676</v>
      </c>
      <c r="I5440" s="320" t="s">
        <v>281</v>
      </c>
      <c r="J5440" s="320" t="s">
        <v>4061</v>
      </c>
      <c r="K5440" s="320" t="s">
        <v>4062</v>
      </c>
      <c r="L5440" s="320" t="s">
        <v>18533</v>
      </c>
      <c r="M5440" s="320">
        <v>2</v>
      </c>
      <c r="N5440" s="320">
        <v>10</v>
      </c>
      <c r="O5440" s="320">
        <v>10</v>
      </c>
      <c r="P5440" s="320">
        <v>0</v>
      </c>
      <c r="Q5440" s="320">
        <v>8</v>
      </c>
      <c r="R5440" s="1435">
        <v>236</v>
      </c>
      <c r="S5440" s="1435">
        <v>2360</v>
      </c>
      <c r="T5440" s="320" t="s">
        <v>14752</v>
      </c>
      <c r="U5440" s="1923" t="s">
        <v>138</v>
      </c>
      <c r="V5440" s="1547" t="s">
        <v>5575</v>
      </c>
      <c r="W5440" s="1544" t="s">
        <v>4063</v>
      </c>
      <c r="X5440" s="818"/>
      <c r="Y5440" s="1161"/>
    </row>
    <row r="5441" spans="1:25" ht="15.75" hidden="1" customHeight="1">
      <c r="A5441" s="222">
        <v>5450</v>
      </c>
      <c r="B5441" s="858">
        <v>44711</v>
      </c>
      <c r="C5441" s="1548" t="s">
        <v>18534</v>
      </c>
      <c r="D5441" s="1445" t="s">
        <v>6</v>
      </c>
      <c r="E5441" s="699" t="s">
        <v>18520</v>
      </c>
      <c r="F5441" s="320" t="s">
        <v>18521</v>
      </c>
      <c r="G5441" s="320" t="s">
        <v>18535</v>
      </c>
      <c r="H5441" s="320" t="s">
        <v>5550</v>
      </c>
      <c r="I5441" s="320" t="s">
        <v>281</v>
      </c>
      <c r="J5441" s="320" t="s">
        <v>18536</v>
      </c>
      <c r="K5441" s="320" t="s">
        <v>18537</v>
      </c>
      <c r="L5441" s="320" t="s">
        <v>16346</v>
      </c>
      <c r="M5441" s="320">
        <v>2</v>
      </c>
      <c r="N5441" s="320">
        <v>10</v>
      </c>
      <c r="O5441" s="320">
        <v>10</v>
      </c>
      <c r="P5441" s="320">
        <v>0</v>
      </c>
      <c r="Q5441" s="320">
        <v>8</v>
      </c>
      <c r="R5441" s="1435">
        <v>3.6</v>
      </c>
      <c r="S5441" s="1435">
        <v>36</v>
      </c>
      <c r="T5441" s="320" t="s">
        <v>14752</v>
      </c>
      <c r="U5441" s="1923" t="s">
        <v>138</v>
      </c>
      <c r="V5441" s="1547" t="s">
        <v>5575</v>
      </c>
      <c r="W5441" s="1549" t="s">
        <v>18538</v>
      </c>
      <c r="X5441" s="818"/>
      <c r="Y5441" s="1161"/>
    </row>
    <row r="5442" spans="1:25" ht="15.75" hidden="1" customHeight="1">
      <c r="A5442" s="222">
        <v>5451</v>
      </c>
      <c r="B5442" s="858">
        <v>44711</v>
      </c>
      <c r="C5442" s="129" t="s">
        <v>18539</v>
      </c>
      <c r="D5442" s="8" t="s">
        <v>6</v>
      </c>
      <c r="E5442" s="818" t="s">
        <v>17683</v>
      </c>
      <c r="F5442" s="1006" t="s">
        <v>18540</v>
      </c>
      <c r="G5442" s="863" t="s">
        <v>18541</v>
      </c>
      <c r="H5442" s="222" t="s">
        <v>366</v>
      </c>
      <c r="I5442" s="222" t="s">
        <v>366</v>
      </c>
      <c r="J5442" s="183" t="s">
        <v>18542</v>
      </c>
      <c r="K5442" s="183" t="s">
        <v>18542</v>
      </c>
      <c r="L5442" s="613" t="s">
        <v>1</v>
      </c>
      <c r="M5442" s="183">
        <v>4</v>
      </c>
      <c r="N5442" s="183">
        <v>1</v>
      </c>
      <c r="O5442" s="222">
        <v>4</v>
      </c>
      <c r="P5442" s="222">
        <v>0</v>
      </c>
      <c r="Q5442" s="222">
        <v>0</v>
      </c>
      <c r="R5442" s="1195">
        <v>738</v>
      </c>
      <c r="S5442" s="1195">
        <v>2952</v>
      </c>
      <c r="T5442" s="222" t="s">
        <v>14752</v>
      </c>
      <c r="U5442" s="1527" t="s">
        <v>9101</v>
      </c>
      <c r="V5442" s="222" t="s">
        <v>5575</v>
      </c>
      <c r="W5442" s="1815" t="s">
        <v>18543</v>
      </c>
      <c r="X5442" s="818"/>
      <c r="Y5442" s="1161"/>
    </row>
    <row r="5443" spans="1:25" ht="15.75" hidden="1" customHeight="1">
      <c r="A5443" s="222">
        <v>5452</v>
      </c>
      <c r="B5443" s="1552">
        <v>44711</v>
      </c>
      <c r="C5443" s="1553" t="s">
        <v>4175</v>
      </c>
      <c r="D5443" s="1445" t="s">
        <v>6</v>
      </c>
      <c r="E5443" s="818" t="s">
        <v>17683</v>
      </c>
      <c r="F5443" s="629" t="s">
        <v>2876</v>
      </c>
      <c r="G5443" s="629" t="s">
        <v>4188</v>
      </c>
      <c r="H5443" s="629" t="s">
        <v>1104</v>
      </c>
      <c r="I5443" s="1554" t="s">
        <v>574</v>
      </c>
      <c r="J5443" s="1555" t="s">
        <v>4189</v>
      </c>
      <c r="K5443" s="1555" t="s">
        <v>4190</v>
      </c>
      <c r="L5443" s="249" t="s">
        <v>4179</v>
      </c>
      <c r="M5443" s="1556">
        <v>2</v>
      </c>
      <c r="N5443" s="1556">
        <v>1</v>
      </c>
      <c r="O5443" s="222">
        <v>10</v>
      </c>
      <c r="P5443" s="222">
        <v>0</v>
      </c>
      <c r="Q5443" s="222">
        <v>8</v>
      </c>
      <c r="R5443" s="1195">
        <v>82</v>
      </c>
      <c r="S5443" s="1195">
        <f>O5443*R5443</f>
        <v>820</v>
      </c>
      <c r="T5443" s="629" t="s">
        <v>14752</v>
      </c>
      <c r="U5443" s="1977" t="s">
        <v>8715</v>
      </c>
      <c r="V5443" s="572" t="s">
        <v>5990</v>
      </c>
      <c r="W5443" s="1557" t="s">
        <v>4191</v>
      </c>
      <c r="X5443" s="818"/>
      <c r="Y5443" s="1161"/>
    </row>
    <row r="5444" spans="1:25" ht="15.75" hidden="1" customHeight="1">
      <c r="A5444" s="222">
        <v>5453</v>
      </c>
      <c r="B5444" s="1558">
        <v>44711</v>
      </c>
      <c r="C5444" s="1559" t="s">
        <v>18544</v>
      </c>
      <c r="D5444" s="1445" t="s">
        <v>6</v>
      </c>
      <c r="E5444" s="818" t="s">
        <v>17683</v>
      </c>
      <c r="F5444" s="703" t="s">
        <v>2876</v>
      </c>
      <c r="G5444" s="703" t="s">
        <v>5566</v>
      </c>
      <c r="H5444" s="1560" t="s">
        <v>1111</v>
      </c>
      <c r="I5444" s="320" t="s">
        <v>281</v>
      </c>
      <c r="J5444" s="699" t="s">
        <v>1112</v>
      </c>
      <c r="K5444" s="1555" t="s">
        <v>1113</v>
      </c>
      <c r="L5444" s="1561" t="s">
        <v>4179</v>
      </c>
      <c r="M5444" s="699">
        <v>2</v>
      </c>
      <c r="N5444" s="1554">
        <v>1</v>
      </c>
      <c r="O5444" s="222">
        <v>10</v>
      </c>
      <c r="P5444" s="222">
        <v>0</v>
      </c>
      <c r="Q5444" s="222">
        <v>4</v>
      </c>
      <c r="R5444" s="1195">
        <v>299</v>
      </c>
      <c r="S5444" s="1195">
        <f>O5444*R5444</f>
        <v>2990</v>
      </c>
      <c r="T5444" s="703" t="s">
        <v>14752</v>
      </c>
      <c r="U5444" s="1577" t="s">
        <v>3962</v>
      </c>
      <c r="V5444" s="572" t="s">
        <v>5990</v>
      </c>
      <c r="W5444" s="1557" t="s">
        <v>1115</v>
      </c>
      <c r="X5444" s="818"/>
      <c r="Y5444" s="1161"/>
    </row>
    <row r="5445" spans="1:25" ht="15.75" hidden="1" customHeight="1">
      <c r="A5445" s="222">
        <v>5454</v>
      </c>
      <c r="B5445" s="1558">
        <v>44711</v>
      </c>
      <c r="C5445" s="1563" t="s">
        <v>18545</v>
      </c>
      <c r="D5445" s="1445" t="s">
        <v>6</v>
      </c>
      <c r="E5445" s="818" t="s">
        <v>17683</v>
      </c>
      <c r="F5445" s="1564" t="s">
        <v>2876</v>
      </c>
      <c r="G5445" s="703" t="s">
        <v>5659</v>
      </c>
      <c r="H5445" s="113" t="s">
        <v>5660</v>
      </c>
      <c r="I5445" s="320" t="s">
        <v>574</v>
      </c>
      <c r="J5445" s="1565" t="s">
        <v>5661</v>
      </c>
      <c r="K5445" s="1566" t="s">
        <v>5662</v>
      </c>
      <c r="L5445" s="1555" t="s">
        <v>4179</v>
      </c>
      <c r="M5445" s="1561">
        <v>6</v>
      </c>
      <c r="N5445" s="1562">
        <v>1</v>
      </c>
      <c r="O5445" s="222">
        <v>10</v>
      </c>
      <c r="P5445" s="222">
        <v>0</v>
      </c>
      <c r="Q5445" s="222">
        <v>4</v>
      </c>
      <c r="R5445" s="1195">
        <v>223</v>
      </c>
      <c r="S5445" s="1195">
        <f t="shared" ref="S5445:S5470" si="295">O5445*R5445</f>
        <v>2230</v>
      </c>
      <c r="T5445" s="703" t="s">
        <v>14752</v>
      </c>
      <c r="U5445" s="1577" t="s">
        <v>3962</v>
      </c>
      <c r="V5445" s="572" t="s">
        <v>5990</v>
      </c>
      <c r="W5445" s="1557" t="s">
        <v>5663</v>
      </c>
      <c r="X5445" s="818"/>
      <c r="Y5445" s="1161"/>
    </row>
    <row r="5446" spans="1:25" ht="15.75" hidden="1" customHeight="1">
      <c r="A5446" s="222">
        <v>5455</v>
      </c>
      <c r="B5446" s="1558">
        <v>44711</v>
      </c>
      <c r="C5446" s="1553" t="s">
        <v>18546</v>
      </c>
      <c r="D5446" s="11" t="s">
        <v>6</v>
      </c>
      <c r="E5446" s="818" t="s">
        <v>17683</v>
      </c>
      <c r="F5446" s="703" t="s">
        <v>2876</v>
      </c>
      <c r="G5446" s="703" t="s">
        <v>5682</v>
      </c>
      <c r="H5446" s="703" t="s">
        <v>1143</v>
      </c>
      <c r="I5446" s="1562" t="s">
        <v>39</v>
      </c>
      <c r="J5446" s="1562" t="s">
        <v>306</v>
      </c>
      <c r="K5446" s="1554" t="s">
        <v>307</v>
      </c>
      <c r="L5446" s="1554" t="s">
        <v>149</v>
      </c>
      <c r="M5446" s="1562">
        <v>16</v>
      </c>
      <c r="N5446" s="1562">
        <v>10</v>
      </c>
      <c r="O5446" s="222">
        <v>20</v>
      </c>
      <c r="P5446" s="222">
        <v>10</v>
      </c>
      <c r="Q5446" s="222">
        <v>14</v>
      </c>
      <c r="R5446" s="1195">
        <v>57</v>
      </c>
      <c r="S5446" s="1195">
        <f t="shared" si="295"/>
        <v>1140</v>
      </c>
      <c r="T5446" s="703" t="s">
        <v>18547</v>
      </c>
      <c r="U5446" s="1577" t="s">
        <v>3637</v>
      </c>
      <c r="V5446" s="572" t="s">
        <v>5990</v>
      </c>
      <c r="W5446" s="1557" t="s">
        <v>5684</v>
      </c>
      <c r="X5446" s="818"/>
      <c r="Y5446" s="1161"/>
    </row>
    <row r="5447" spans="1:25" ht="15.75" hidden="1" customHeight="1">
      <c r="A5447" s="222">
        <v>5456</v>
      </c>
      <c r="B5447" s="1558">
        <v>44711</v>
      </c>
      <c r="C5447" s="1559" t="s">
        <v>18548</v>
      </c>
      <c r="D5447" s="11" t="s">
        <v>6</v>
      </c>
      <c r="E5447" s="818" t="s">
        <v>17683</v>
      </c>
      <c r="F5447" s="703" t="s">
        <v>2876</v>
      </c>
      <c r="G5447" s="703" t="s">
        <v>5685</v>
      </c>
      <c r="H5447" s="1579" t="s">
        <v>5686</v>
      </c>
      <c r="I5447" s="1580" t="s">
        <v>574</v>
      </c>
      <c r="J5447" s="1580" t="s">
        <v>298</v>
      </c>
      <c r="K5447" s="1580" t="s">
        <v>299</v>
      </c>
      <c r="L5447" s="1580" t="s">
        <v>16283</v>
      </c>
      <c r="M5447" s="1580">
        <v>12</v>
      </c>
      <c r="N5447" s="1580">
        <v>1</v>
      </c>
      <c r="O5447" s="222">
        <v>30</v>
      </c>
      <c r="P5447" s="222">
        <v>6</v>
      </c>
      <c r="Q5447" s="222">
        <v>24</v>
      </c>
      <c r="R5447" s="1195">
        <v>199</v>
      </c>
      <c r="S5447" s="1195">
        <f t="shared" si="295"/>
        <v>5970</v>
      </c>
      <c r="T5447" s="1579" t="s">
        <v>18547</v>
      </c>
      <c r="U5447" s="1978" t="s">
        <v>18549</v>
      </c>
      <c r="V5447" s="572" t="s">
        <v>5990</v>
      </c>
      <c r="W5447" s="1567" t="s">
        <v>18550</v>
      </c>
      <c r="X5447" s="818"/>
      <c r="Y5447" s="1161"/>
    </row>
    <row r="5448" spans="1:25" ht="15.75" hidden="1" customHeight="1">
      <c r="A5448" s="222">
        <v>5457</v>
      </c>
      <c r="B5448" s="1558">
        <v>44711</v>
      </c>
      <c r="C5448" s="1559" t="s">
        <v>5907</v>
      </c>
      <c r="D5448" s="1445" t="s">
        <v>6</v>
      </c>
      <c r="E5448" s="818" t="s">
        <v>17683</v>
      </c>
      <c r="F5448" s="703" t="s">
        <v>2876</v>
      </c>
      <c r="G5448" s="1577" t="s">
        <v>5908</v>
      </c>
      <c r="H5448" s="133" t="s">
        <v>1143</v>
      </c>
      <c r="I5448" s="249" t="s">
        <v>574</v>
      </c>
      <c r="J5448" s="249" t="s">
        <v>1145</v>
      </c>
      <c r="K5448" s="249">
        <v>502128100</v>
      </c>
      <c r="L5448" s="249" t="s">
        <v>4179</v>
      </c>
      <c r="M5448" s="249">
        <v>24</v>
      </c>
      <c r="N5448" s="249">
        <v>1</v>
      </c>
      <c r="O5448" s="222">
        <v>70</v>
      </c>
      <c r="P5448" s="222">
        <v>10</v>
      </c>
      <c r="Q5448" s="222">
        <v>56</v>
      </c>
      <c r="R5448" s="1195">
        <v>47</v>
      </c>
      <c r="S5448" s="1195">
        <f t="shared" si="295"/>
        <v>3290</v>
      </c>
      <c r="T5448" s="133" t="s">
        <v>18547</v>
      </c>
      <c r="U5448" s="1979" t="s">
        <v>18551</v>
      </c>
      <c r="V5448" s="572" t="s">
        <v>5990</v>
      </c>
      <c r="W5448" s="2175" t="s">
        <v>1146</v>
      </c>
      <c r="X5448" s="819"/>
      <c r="Y5448" s="1161"/>
    </row>
    <row r="5449" spans="1:25" ht="15.75" hidden="1" customHeight="1">
      <c r="A5449" s="222">
        <v>5458</v>
      </c>
      <c r="B5449" s="1558">
        <v>44711</v>
      </c>
      <c r="C5449" s="1568" t="s">
        <v>10361</v>
      </c>
      <c r="D5449" s="1445" t="s">
        <v>6</v>
      </c>
      <c r="E5449" s="818" t="s">
        <v>17683</v>
      </c>
      <c r="F5449" s="298" t="s">
        <v>2876</v>
      </c>
      <c r="G5449" s="1577" t="s">
        <v>10362</v>
      </c>
      <c r="H5449" s="204" t="s">
        <v>10363</v>
      </c>
      <c r="I5449" s="1571" t="s">
        <v>574</v>
      </c>
      <c r="J5449" s="1571" t="s">
        <v>10204</v>
      </c>
      <c r="K5449" s="1571" t="s">
        <v>4542</v>
      </c>
      <c r="L5449" s="1571" t="s">
        <v>7002</v>
      </c>
      <c r="M5449" s="1571">
        <v>4</v>
      </c>
      <c r="N5449" s="1571">
        <v>1</v>
      </c>
      <c r="O5449" s="222">
        <v>10</v>
      </c>
      <c r="P5449" s="222">
        <v>3</v>
      </c>
      <c r="Q5449" s="222">
        <v>9</v>
      </c>
      <c r="R5449" s="1195">
        <v>904</v>
      </c>
      <c r="S5449" s="1195">
        <f t="shared" si="295"/>
        <v>9040</v>
      </c>
      <c r="T5449" s="133" t="s">
        <v>18547</v>
      </c>
      <c r="U5449" s="1979" t="s">
        <v>8715</v>
      </c>
      <c r="V5449" s="572" t="s">
        <v>5990</v>
      </c>
      <c r="W5449" s="2175" t="s">
        <v>18552</v>
      </c>
      <c r="X5449" s="819"/>
      <c r="Y5449" s="1161"/>
    </row>
    <row r="5450" spans="1:25" ht="15.75" hidden="1" customHeight="1">
      <c r="A5450" s="222">
        <v>5459</v>
      </c>
      <c r="B5450" s="1569">
        <v>44711</v>
      </c>
      <c r="C5450" s="1568" t="s">
        <v>18553</v>
      </c>
      <c r="D5450" s="1445" t="s">
        <v>6</v>
      </c>
      <c r="E5450" s="818" t="s">
        <v>17683</v>
      </c>
      <c r="F5450" s="298" t="s">
        <v>2876</v>
      </c>
      <c r="G5450" s="1577" t="s">
        <v>5993</v>
      </c>
      <c r="H5450" s="204" t="s">
        <v>3898</v>
      </c>
      <c r="I5450" s="1571" t="s">
        <v>281</v>
      </c>
      <c r="J5450" s="1571" t="s">
        <v>5994</v>
      </c>
      <c r="K5450" s="1571" t="s">
        <v>5995</v>
      </c>
      <c r="L5450" s="1571" t="s">
        <v>7002</v>
      </c>
      <c r="M5450" s="1571">
        <v>18</v>
      </c>
      <c r="N5450" s="1571">
        <v>1</v>
      </c>
      <c r="O5450" s="222">
        <v>36</v>
      </c>
      <c r="P5450" s="222">
        <v>30</v>
      </c>
      <c r="Q5450" s="222">
        <v>48</v>
      </c>
      <c r="R5450" s="1195">
        <v>276</v>
      </c>
      <c r="S5450" s="1195">
        <f t="shared" si="295"/>
        <v>9936</v>
      </c>
      <c r="T5450" s="204" t="s">
        <v>12425</v>
      </c>
      <c r="U5450" s="1901" t="s">
        <v>18554</v>
      </c>
      <c r="V5450" s="572" t="s">
        <v>5990</v>
      </c>
      <c r="W5450" s="2175" t="s">
        <v>18555</v>
      </c>
      <c r="X5450" s="819"/>
      <c r="Y5450" s="1161"/>
    </row>
    <row r="5451" spans="1:25" ht="15.75" hidden="1" customHeight="1">
      <c r="A5451" s="222">
        <v>5460</v>
      </c>
      <c r="B5451" s="1569">
        <v>44711</v>
      </c>
      <c r="C5451" s="1568" t="s">
        <v>18556</v>
      </c>
      <c r="D5451" s="1445" t="s">
        <v>6</v>
      </c>
      <c r="E5451" s="818" t="s">
        <v>17683</v>
      </c>
      <c r="F5451" s="298" t="s">
        <v>2876</v>
      </c>
      <c r="G5451" s="1577" t="s">
        <v>6024</v>
      </c>
      <c r="H5451" s="204" t="s">
        <v>5730</v>
      </c>
      <c r="I5451" s="1571" t="s">
        <v>281</v>
      </c>
      <c r="J5451" s="1571" t="s">
        <v>18557</v>
      </c>
      <c r="K5451" s="1571" t="s">
        <v>6026</v>
      </c>
      <c r="L5451" s="1571" t="s">
        <v>16283</v>
      </c>
      <c r="M5451" s="1571">
        <v>2</v>
      </c>
      <c r="N5451" s="1571">
        <v>1</v>
      </c>
      <c r="O5451" s="222">
        <v>10</v>
      </c>
      <c r="P5451" s="222">
        <v>2</v>
      </c>
      <c r="Q5451" s="222">
        <v>10</v>
      </c>
      <c r="R5451" s="1195">
        <v>11</v>
      </c>
      <c r="S5451" s="1195">
        <f t="shared" si="295"/>
        <v>110</v>
      </c>
      <c r="T5451" s="204" t="s">
        <v>12425</v>
      </c>
      <c r="U5451" s="1901" t="s">
        <v>18558</v>
      </c>
      <c r="V5451" s="572" t="s">
        <v>5990</v>
      </c>
      <c r="W5451" s="2175" t="s">
        <v>18559</v>
      </c>
      <c r="X5451" s="819"/>
      <c r="Y5451" s="1161"/>
    </row>
    <row r="5452" spans="1:25" ht="15.75" hidden="1" customHeight="1">
      <c r="A5452" s="222">
        <v>5461</v>
      </c>
      <c r="B5452" s="1569">
        <v>44711</v>
      </c>
      <c r="C5452" s="1568" t="s">
        <v>18560</v>
      </c>
      <c r="D5452" s="1445" t="s">
        <v>6</v>
      </c>
      <c r="E5452" s="818" t="s">
        <v>17683</v>
      </c>
      <c r="F5452" s="298" t="s">
        <v>2876</v>
      </c>
      <c r="G5452" s="1577" t="s">
        <v>3639</v>
      </c>
      <c r="H5452" s="204" t="s">
        <v>1143</v>
      </c>
      <c r="I5452" s="1571" t="s">
        <v>281</v>
      </c>
      <c r="J5452" s="1571" t="s">
        <v>3640</v>
      </c>
      <c r="K5452" s="1571">
        <v>554600272</v>
      </c>
      <c r="L5452" s="1571" t="s">
        <v>16283</v>
      </c>
      <c r="M5452" s="1571">
        <v>12</v>
      </c>
      <c r="N5452" s="1571">
        <v>1</v>
      </c>
      <c r="O5452" s="222">
        <v>20</v>
      </c>
      <c r="P5452" s="222">
        <v>4</v>
      </c>
      <c r="Q5452" s="222">
        <v>12</v>
      </c>
      <c r="R5452" s="1195">
        <v>149</v>
      </c>
      <c r="S5452" s="1195">
        <f t="shared" si="295"/>
        <v>2980</v>
      </c>
      <c r="T5452" s="204" t="s">
        <v>18561</v>
      </c>
      <c r="U5452" s="1901" t="s">
        <v>18554</v>
      </c>
      <c r="V5452" s="572" t="s">
        <v>5990</v>
      </c>
      <c r="W5452" s="2175" t="s">
        <v>16152</v>
      </c>
      <c r="X5452" s="819"/>
      <c r="Y5452" s="1161"/>
    </row>
    <row r="5453" spans="1:25" ht="15.75" hidden="1" customHeight="1">
      <c r="A5453" s="222">
        <v>5462</v>
      </c>
      <c r="B5453" s="1569">
        <v>44711</v>
      </c>
      <c r="C5453" s="1568" t="s">
        <v>18562</v>
      </c>
      <c r="D5453" s="1445" t="s">
        <v>6</v>
      </c>
      <c r="E5453" s="818" t="s">
        <v>17683</v>
      </c>
      <c r="F5453" s="298" t="s">
        <v>2876</v>
      </c>
      <c r="G5453" s="1577" t="s">
        <v>6011</v>
      </c>
      <c r="H5453" s="204" t="s">
        <v>452</v>
      </c>
      <c r="I5453" s="1571" t="s">
        <v>39</v>
      </c>
      <c r="J5453" s="1571" t="s">
        <v>18563</v>
      </c>
      <c r="K5453" s="1571" t="s">
        <v>6013</v>
      </c>
      <c r="L5453" s="1571" t="s">
        <v>4753</v>
      </c>
      <c r="M5453" s="1571">
        <v>2</v>
      </c>
      <c r="N5453" s="1571">
        <v>20</v>
      </c>
      <c r="O5453" s="222">
        <v>20</v>
      </c>
      <c r="P5453" s="222">
        <v>1</v>
      </c>
      <c r="Q5453" s="222">
        <v>19</v>
      </c>
      <c r="R5453" s="1195">
        <v>111</v>
      </c>
      <c r="S5453" s="1195">
        <f t="shared" si="295"/>
        <v>2220</v>
      </c>
      <c r="T5453" s="204" t="s">
        <v>12425</v>
      </c>
      <c r="U5453" s="1901" t="s">
        <v>18554</v>
      </c>
      <c r="V5453" s="572" t="s">
        <v>5990</v>
      </c>
      <c r="W5453" s="2175" t="s">
        <v>18564</v>
      </c>
      <c r="X5453" s="819"/>
      <c r="Y5453" s="1161"/>
    </row>
    <row r="5454" spans="1:25" ht="15.75" hidden="1" customHeight="1">
      <c r="A5454" s="222">
        <v>5463</v>
      </c>
      <c r="B5454" s="1558">
        <v>44711</v>
      </c>
      <c r="C5454" s="1568" t="s">
        <v>18565</v>
      </c>
      <c r="D5454" s="1445" t="s">
        <v>6</v>
      </c>
      <c r="E5454" s="818" t="s">
        <v>17683</v>
      </c>
      <c r="F5454" s="298" t="s">
        <v>2876</v>
      </c>
      <c r="G5454" s="1577" t="s">
        <v>14579</v>
      </c>
      <c r="H5454" s="204" t="s">
        <v>14580</v>
      </c>
      <c r="I5454" s="1571" t="s">
        <v>14581</v>
      </c>
      <c r="J5454" s="1572" t="s">
        <v>14582</v>
      </c>
      <c r="K5454" s="1571" t="s">
        <v>14583</v>
      </c>
      <c r="L5454" s="1571" t="s">
        <v>2011</v>
      </c>
      <c r="M5454" s="1571">
        <v>6</v>
      </c>
      <c r="N5454" s="1571">
        <v>1</v>
      </c>
      <c r="O5454" s="222">
        <v>30</v>
      </c>
      <c r="P5454" s="222">
        <v>12</v>
      </c>
      <c r="Q5454" s="222">
        <v>36</v>
      </c>
      <c r="R5454" s="1195">
        <v>37</v>
      </c>
      <c r="S5454" s="1195">
        <f t="shared" si="295"/>
        <v>1110</v>
      </c>
      <c r="T5454" s="204" t="s">
        <v>12425</v>
      </c>
      <c r="U5454" s="1901" t="s">
        <v>18554</v>
      </c>
      <c r="V5454" s="572" t="s">
        <v>5990</v>
      </c>
      <c r="W5454" s="2175" t="s">
        <v>18566</v>
      </c>
      <c r="X5454" s="819"/>
      <c r="Y5454" s="1161"/>
    </row>
    <row r="5455" spans="1:25" ht="15.75" hidden="1" customHeight="1">
      <c r="A5455" s="222">
        <v>5464</v>
      </c>
      <c r="B5455" s="1558">
        <v>44711</v>
      </c>
      <c r="C5455" s="1568" t="s">
        <v>18565</v>
      </c>
      <c r="D5455" s="8"/>
      <c r="E5455" s="818" t="s">
        <v>17683</v>
      </c>
      <c r="F5455" s="298" t="s">
        <v>2876</v>
      </c>
      <c r="G5455" s="1577" t="s">
        <v>14585</v>
      </c>
      <c r="H5455" s="204" t="s">
        <v>14580</v>
      </c>
      <c r="I5455" s="1571" t="s">
        <v>14581</v>
      </c>
      <c r="J5455" s="1572" t="s">
        <v>14586</v>
      </c>
      <c r="K5455" s="1571" t="s">
        <v>14586</v>
      </c>
      <c r="L5455" s="1571" t="s">
        <v>2011</v>
      </c>
      <c r="M5455" s="1571">
        <v>3</v>
      </c>
      <c r="N5455" s="1571">
        <v>1</v>
      </c>
      <c r="O5455" s="222">
        <v>20</v>
      </c>
      <c r="P5455" s="222">
        <v>8</v>
      </c>
      <c r="Q5455" s="222">
        <v>25</v>
      </c>
      <c r="R5455" s="1195">
        <v>44</v>
      </c>
      <c r="S5455" s="1195">
        <f t="shared" si="295"/>
        <v>880</v>
      </c>
      <c r="T5455" s="204" t="s">
        <v>12425</v>
      </c>
      <c r="U5455" s="1901" t="s">
        <v>18554</v>
      </c>
      <c r="V5455" s="572" t="s">
        <v>5990</v>
      </c>
      <c r="W5455" s="2175" t="s">
        <v>18567</v>
      </c>
      <c r="X5455" s="819"/>
      <c r="Y5455" s="1161"/>
    </row>
    <row r="5456" spans="1:25" ht="15.75" hidden="1" customHeight="1">
      <c r="A5456" s="222">
        <v>5465</v>
      </c>
      <c r="B5456" s="1558">
        <v>44711</v>
      </c>
      <c r="C5456" s="1568" t="s">
        <v>18565</v>
      </c>
      <c r="D5456" s="1445" t="s">
        <v>6</v>
      </c>
      <c r="E5456" s="818" t="s">
        <v>17683</v>
      </c>
      <c r="F5456" s="298" t="s">
        <v>2876</v>
      </c>
      <c r="G5456" s="1577" t="s">
        <v>14588</v>
      </c>
      <c r="H5456" s="204" t="s">
        <v>14580</v>
      </c>
      <c r="I5456" s="1571" t="s">
        <v>14581</v>
      </c>
      <c r="J5456" s="1572" t="s">
        <v>14589</v>
      </c>
      <c r="K5456" s="1571" t="s">
        <v>14590</v>
      </c>
      <c r="L5456" s="1571" t="s">
        <v>2011</v>
      </c>
      <c r="M5456" s="1571">
        <v>3</v>
      </c>
      <c r="N5456" s="1571">
        <v>1</v>
      </c>
      <c r="O5456" s="222">
        <v>20</v>
      </c>
      <c r="P5456" s="222">
        <v>12</v>
      </c>
      <c r="Q5456" s="222">
        <v>29</v>
      </c>
      <c r="R5456" s="1195">
        <v>29</v>
      </c>
      <c r="S5456" s="1195">
        <f t="shared" si="295"/>
        <v>580</v>
      </c>
      <c r="T5456" s="204" t="s">
        <v>12425</v>
      </c>
      <c r="U5456" s="1901" t="s">
        <v>18554</v>
      </c>
      <c r="V5456" s="572" t="s">
        <v>5990</v>
      </c>
      <c r="W5456" s="2175" t="s">
        <v>18568</v>
      </c>
      <c r="X5456" s="819"/>
      <c r="Y5456" s="1161"/>
    </row>
    <row r="5457" spans="1:25" ht="34.5" hidden="1" customHeight="1">
      <c r="A5457" s="222">
        <v>5466</v>
      </c>
      <c r="B5457" s="1558">
        <v>44711</v>
      </c>
      <c r="C5457" s="1568" t="s">
        <v>1072</v>
      </c>
      <c r="D5457" s="1445"/>
      <c r="E5457" s="818" t="s">
        <v>17683</v>
      </c>
      <c r="F5457" s="298" t="s">
        <v>2876</v>
      </c>
      <c r="G5457" s="1577" t="s">
        <v>14895</v>
      </c>
      <c r="H5457" s="204" t="s">
        <v>460</v>
      </c>
      <c r="I5457" s="1571" t="s">
        <v>14581</v>
      </c>
      <c r="J5457" s="1573" t="s">
        <v>14897</v>
      </c>
      <c r="K5457" s="1571" t="s">
        <v>462</v>
      </c>
      <c r="L5457" s="1571" t="s">
        <v>5416</v>
      </c>
      <c r="M5457" s="1571">
        <v>28</v>
      </c>
      <c r="N5457" s="1571">
        <v>1</v>
      </c>
      <c r="O5457" s="222">
        <v>35</v>
      </c>
      <c r="P5457" s="222">
        <v>10</v>
      </c>
      <c r="Q5457" s="222">
        <v>17</v>
      </c>
      <c r="R5457" s="1195">
        <v>153</v>
      </c>
      <c r="S5457" s="1195">
        <f t="shared" si="295"/>
        <v>5355</v>
      </c>
      <c r="T5457" s="204" t="s">
        <v>18561</v>
      </c>
      <c r="U5457" s="1901" t="s">
        <v>18569</v>
      </c>
      <c r="V5457" s="572" t="s">
        <v>5990</v>
      </c>
      <c r="W5457" s="2175" t="s">
        <v>18570</v>
      </c>
      <c r="X5457" s="819"/>
      <c r="Y5457" s="1161"/>
    </row>
    <row r="5458" spans="1:25" ht="15.75" hidden="1" customHeight="1">
      <c r="A5458" s="222">
        <v>5467</v>
      </c>
      <c r="B5458" s="1558">
        <v>44711</v>
      </c>
      <c r="C5458" s="1568" t="s">
        <v>18571</v>
      </c>
      <c r="D5458" s="1445" t="s">
        <v>6</v>
      </c>
      <c r="E5458" s="818" t="s">
        <v>17683</v>
      </c>
      <c r="F5458" s="298" t="s">
        <v>2876</v>
      </c>
      <c r="G5458" s="1577" t="s">
        <v>18572</v>
      </c>
      <c r="H5458" s="204" t="s">
        <v>220</v>
      </c>
      <c r="I5458" s="1571" t="s">
        <v>574</v>
      </c>
      <c r="J5458" s="1573" t="s">
        <v>4548</v>
      </c>
      <c r="K5458" s="1571" t="s">
        <v>4549</v>
      </c>
      <c r="L5458" s="1571" t="s">
        <v>18573</v>
      </c>
      <c r="M5458" s="1571">
        <v>54</v>
      </c>
      <c r="N5458" s="1571">
        <v>50</v>
      </c>
      <c r="O5458" s="222">
        <v>70</v>
      </c>
      <c r="P5458" s="222">
        <v>20</v>
      </c>
      <c r="Q5458" s="222">
        <v>36</v>
      </c>
      <c r="R5458" s="1195">
        <v>4</v>
      </c>
      <c r="S5458" s="1195">
        <f t="shared" si="295"/>
        <v>280</v>
      </c>
      <c r="T5458" s="204" t="s">
        <v>18561</v>
      </c>
      <c r="U5458" s="1901" t="s">
        <v>8715</v>
      </c>
      <c r="V5458" s="572" t="s">
        <v>5990</v>
      </c>
      <c r="W5458" s="2175" t="s">
        <v>18574</v>
      </c>
      <c r="X5458" s="819"/>
      <c r="Y5458" s="1161"/>
    </row>
    <row r="5459" spans="1:25" ht="15.75" hidden="1" customHeight="1">
      <c r="A5459" s="222">
        <v>5468</v>
      </c>
      <c r="B5459" s="1558">
        <v>44711</v>
      </c>
      <c r="C5459" s="1568" t="s">
        <v>16123</v>
      </c>
      <c r="D5459" s="1445" t="s">
        <v>6</v>
      </c>
      <c r="E5459" s="818" t="s">
        <v>17683</v>
      </c>
      <c r="F5459" s="298" t="s">
        <v>2876</v>
      </c>
      <c r="G5459" s="1570" t="s">
        <v>16124</v>
      </c>
      <c r="H5459" s="204" t="s">
        <v>3612</v>
      </c>
      <c r="I5459" s="1571" t="s">
        <v>53</v>
      </c>
      <c r="J5459" s="1574" t="s">
        <v>16126</v>
      </c>
      <c r="K5459" s="1574" t="s">
        <v>16127</v>
      </c>
      <c r="L5459" s="1571" t="s">
        <v>7002</v>
      </c>
      <c r="M5459" s="1571">
        <v>2</v>
      </c>
      <c r="N5459" s="1571">
        <v>1</v>
      </c>
      <c r="O5459" s="222">
        <v>6</v>
      </c>
      <c r="P5459" s="222">
        <v>2</v>
      </c>
      <c r="Q5459" s="222">
        <v>6</v>
      </c>
      <c r="R5459" s="1195">
        <v>216</v>
      </c>
      <c r="S5459" s="1195">
        <f t="shared" si="295"/>
        <v>1296</v>
      </c>
      <c r="T5459" s="204" t="s">
        <v>16128</v>
      </c>
      <c r="U5459" s="1901" t="s">
        <v>18554</v>
      </c>
      <c r="V5459" s="572" t="s">
        <v>5575</v>
      </c>
      <c r="W5459" s="2176" t="s">
        <v>16130</v>
      </c>
      <c r="X5459" s="819"/>
      <c r="Y5459" s="1161"/>
    </row>
    <row r="5460" spans="1:25" ht="15.75" hidden="1" customHeight="1">
      <c r="A5460" s="222">
        <v>5469</v>
      </c>
      <c r="B5460" s="1558">
        <v>44711</v>
      </c>
      <c r="C5460" s="1568" t="s">
        <v>16131</v>
      </c>
      <c r="D5460" s="1445" t="s">
        <v>6</v>
      </c>
      <c r="E5460" s="818" t="s">
        <v>17683</v>
      </c>
      <c r="F5460" s="298" t="s">
        <v>2876</v>
      </c>
      <c r="G5460" s="1570" t="s">
        <v>16132</v>
      </c>
      <c r="H5460" s="204" t="s">
        <v>4110</v>
      </c>
      <c r="I5460" s="1571" t="s">
        <v>53</v>
      </c>
      <c r="J5460" s="1574" t="s">
        <v>16133</v>
      </c>
      <c r="K5460" s="1574" t="s">
        <v>16134</v>
      </c>
      <c r="L5460" s="1571" t="s">
        <v>7002</v>
      </c>
      <c r="M5460" s="1571">
        <v>2</v>
      </c>
      <c r="N5460" s="1571">
        <v>1</v>
      </c>
      <c r="O5460" s="222">
        <v>6</v>
      </c>
      <c r="P5460" s="222">
        <v>2</v>
      </c>
      <c r="Q5460" s="222">
        <v>6</v>
      </c>
      <c r="R5460" s="1195">
        <v>697</v>
      </c>
      <c r="S5460" s="1195">
        <f t="shared" si="295"/>
        <v>4182</v>
      </c>
      <c r="T5460" s="204" t="s">
        <v>16128</v>
      </c>
      <c r="U5460" s="1901" t="s">
        <v>18554</v>
      </c>
      <c r="V5460" s="572" t="s">
        <v>5575</v>
      </c>
      <c r="W5460" s="2174" t="s">
        <v>16135</v>
      </c>
      <c r="X5460" s="819"/>
      <c r="Y5460" s="1161"/>
    </row>
    <row r="5461" spans="1:25" ht="15.75" hidden="1" customHeight="1">
      <c r="A5461" s="222">
        <v>5470</v>
      </c>
      <c r="B5461" s="1558">
        <v>44711</v>
      </c>
      <c r="C5461" s="1568" t="s">
        <v>16140</v>
      </c>
      <c r="D5461" s="1445" t="s">
        <v>6</v>
      </c>
      <c r="E5461" s="818" t="s">
        <v>17683</v>
      </c>
      <c r="F5461" s="298" t="s">
        <v>2876</v>
      </c>
      <c r="G5461" s="1570" t="s">
        <v>16141</v>
      </c>
      <c r="H5461" s="204" t="s">
        <v>10376</v>
      </c>
      <c r="I5461" s="1571" t="s">
        <v>3098</v>
      </c>
      <c r="J5461" s="1571" t="s">
        <v>16142</v>
      </c>
      <c r="K5461" s="1574" t="s">
        <v>16143</v>
      </c>
      <c r="L5461" s="1571" t="s">
        <v>16313</v>
      </c>
      <c r="M5461" s="1571">
        <v>4</v>
      </c>
      <c r="N5461" s="1571">
        <v>1</v>
      </c>
      <c r="O5461" s="222">
        <v>6</v>
      </c>
      <c r="P5461" s="222">
        <v>1</v>
      </c>
      <c r="Q5461" s="222">
        <v>3</v>
      </c>
      <c r="R5461" s="1195">
        <v>1024</v>
      </c>
      <c r="S5461" s="1195">
        <f t="shared" si="295"/>
        <v>6144</v>
      </c>
      <c r="T5461" s="204" t="s">
        <v>16128</v>
      </c>
      <c r="U5461" s="1901" t="s">
        <v>18575</v>
      </c>
      <c r="V5461" s="572" t="s">
        <v>5575</v>
      </c>
      <c r="W5461" s="2174" t="s">
        <v>16144</v>
      </c>
      <c r="X5461" s="819"/>
      <c r="Y5461" s="1161"/>
    </row>
    <row r="5462" spans="1:25" ht="15.75" hidden="1" customHeight="1">
      <c r="A5462" s="222">
        <v>5471</v>
      </c>
      <c r="B5462" s="1558">
        <v>44711</v>
      </c>
      <c r="C5462" s="1568" t="s">
        <v>16145</v>
      </c>
      <c r="D5462" s="1445" t="s">
        <v>6</v>
      </c>
      <c r="E5462" s="818" t="s">
        <v>17683</v>
      </c>
      <c r="F5462" s="1551" t="s">
        <v>2876</v>
      </c>
      <c r="G5462" s="1570" t="s">
        <v>16146</v>
      </c>
      <c r="H5462" s="204" t="s">
        <v>1143</v>
      </c>
      <c r="I5462" s="1571" t="s">
        <v>16147</v>
      </c>
      <c r="J5462" s="1573" t="s">
        <v>16148</v>
      </c>
      <c r="K5462" s="1573" t="s">
        <v>16149</v>
      </c>
      <c r="L5462" s="1571" t="s">
        <v>4179</v>
      </c>
      <c r="M5462" s="1571">
        <v>2</v>
      </c>
      <c r="N5462" s="1571">
        <v>1</v>
      </c>
      <c r="O5462" s="222">
        <v>6</v>
      </c>
      <c r="P5462" s="222">
        <v>2</v>
      </c>
      <c r="Q5462" s="222">
        <v>6</v>
      </c>
      <c r="R5462" s="1195">
        <v>320.3</v>
      </c>
      <c r="S5462" s="1195">
        <f t="shared" si="295"/>
        <v>1921.8000000000002</v>
      </c>
      <c r="T5462" s="204" t="s">
        <v>16128</v>
      </c>
      <c r="U5462" s="1901" t="s">
        <v>18575</v>
      </c>
      <c r="V5462" s="572" t="s">
        <v>5575</v>
      </c>
      <c r="W5462" s="2175" t="s">
        <v>16150</v>
      </c>
      <c r="X5462" s="819"/>
      <c r="Y5462" s="1161"/>
    </row>
    <row r="5463" spans="1:25" ht="15.75" hidden="1" customHeight="1">
      <c r="A5463" s="222">
        <v>5472</v>
      </c>
      <c r="B5463" s="1558">
        <v>44711</v>
      </c>
      <c r="C5463" s="1568" t="s">
        <v>16157</v>
      </c>
      <c r="D5463" s="1445" t="s">
        <v>6</v>
      </c>
      <c r="E5463" s="818" t="s">
        <v>17683</v>
      </c>
      <c r="F5463" s="683" t="s">
        <v>2876</v>
      </c>
      <c r="G5463" s="1578" t="s">
        <v>16158</v>
      </c>
      <c r="H5463" s="204" t="s">
        <v>184</v>
      </c>
      <c r="I5463" s="1571" t="s">
        <v>16155</v>
      </c>
      <c r="J5463" s="1574" t="s">
        <v>469</v>
      </c>
      <c r="K5463" s="1574" t="s">
        <v>16160</v>
      </c>
      <c r="L5463" s="1575" t="s">
        <v>5267</v>
      </c>
      <c r="M5463" s="1571">
        <v>10</v>
      </c>
      <c r="N5463" s="1571">
        <v>1</v>
      </c>
      <c r="O5463" s="222">
        <v>20</v>
      </c>
      <c r="P5463" s="222">
        <v>6</v>
      </c>
      <c r="Q5463" s="222">
        <v>16</v>
      </c>
      <c r="R5463" s="1195">
        <v>18</v>
      </c>
      <c r="S5463" s="1195">
        <f t="shared" si="295"/>
        <v>360</v>
      </c>
      <c r="T5463" s="204" t="s">
        <v>16128</v>
      </c>
      <c r="U5463" s="1901" t="s">
        <v>18575</v>
      </c>
      <c r="V5463" s="572" t="s">
        <v>5990</v>
      </c>
      <c r="W5463" s="2174" t="s">
        <v>8817</v>
      </c>
      <c r="X5463" s="819"/>
      <c r="Y5463" s="1161"/>
    </row>
    <row r="5464" spans="1:25" s="1568" customFormat="1" ht="15.75" hidden="1" customHeight="1">
      <c r="A5464" s="1568">
        <v>5473</v>
      </c>
      <c r="B5464" s="1568">
        <v>44711</v>
      </c>
      <c r="C5464" s="1568" t="s">
        <v>16188</v>
      </c>
      <c r="D5464" s="8"/>
      <c r="E5464" s="1568" t="s">
        <v>17683</v>
      </c>
      <c r="F5464" s="1568" t="s">
        <v>2876</v>
      </c>
      <c r="G5464" s="1568" t="s">
        <v>16189</v>
      </c>
      <c r="H5464" s="1568" t="s">
        <v>452</v>
      </c>
      <c r="I5464" s="1568" t="s">
        <v>574</v>
      </c>
      <c r="J5464" s="1568" t="s">
        <v>18576</v>
      </c>
      <c r="K5464" s="1568" t="s">
        <v>16191</v>
      </c>
      <c r="L5464" s="1568" t="s">
        <v>13355</v>
      </c>
      <c r="M5464" s="1568">
        <v>8</v>
      </c>
      <c r="N5464" s="1568">
        <v>1</v>
      </c>
      <c r="O5464" s="1568">
        <v>15</v>
      </c>
      <c r="P5464" s="1568">
        <v>5</v>
      </c>
      <c r="Q5464" s="1568">
        <v>12</v>
      </c>
      <c r="R5464" s="1568">
        <v>49</v>
      </c>
      <c r="S5464" s="1568">
        <f t="shared" si="295"/>
        <v>735</v>
      </c>
      <c r="T5464" s="1568" t="s">
        <v>16192</v>
      </c>
      <c r="U5464" s="1980" t="s">
        <v>8730</v>
      </c>
      <c r="V5464" s="1571" t="s">
        <v>5990</v>
      </c>
      <c r="W5464" s="1568" t="s">
        <v>18577</v>
      </c>
    </row>
    <row r="5465" spans="1:25" ht="15.75" hidden="1" customHeight="1">
      <c r="A5465" s="222">
        <v>5474</v>
      </c>
      <c r="B5465" s="1558">
        <v>44711</v>
      </c>
      <c r="C5465" s="1568" t="s">
        <v>15684</v>
      </c>
      <c r="D5465" s="1445" t="s">
        <v>6</v>
      </c>
      <c r="E5465" s="818" t="s">
        <v>17683</v>
      </c>
      <c r="F5465" s="298" t="s">
        <v>2876</v>
      </c>
      <c r="G5465" s="1537" t="s">
        <v>16246</v>
      </c>
      <c r="H5465" s="204" t="s">
        <v>184</v>
      </c>
      <c r="I5465" s="1571" t="s">
        <v>39</v>
      </c>
      <c r="J5465" s="1571" t="s">
        <v>15685</v>
      </c>
      <c r="K5465" s="1571" t="s">
        <v>15684</v>
      </c>
      <c r="L5465" s="1571" t="s">
        <v>1088</v>
      </c>
      <c r="M5465" s="1576">
        <v>30</v>
      </c>
      <c r="N5465" s="1571">
        <v>1</v>
      </c>
      <c r="O5465" s="222">
        <v>50</v>
      </c>
      <c r="P5465" s="222">
        <v>16</v>
      </c>
      <c r="Q5465" s="222">
        <v>36</v>
      </c>
      <c r="R5465" s="1195">
        <v>34</v>
      </c>
      <c r="S5465" s="1195">
        <f t="shared" si="295"/>
        <v>1700</v>
      </c>
      <c r="T5465" s="204" t="s">
        <v>16192</v>
      </c>
      <c r="U5465" s="1901" t="s">
        <v>8730</v>
      </c>
      <c r="V5465" s="572" t="s">
        <v>5990</v>
      </c>
      <c r="W5465" s="2175" t="s">
        <v>18578</v>
      </c>
      <c r="X5465" s="819" t="s">
        <v>18579</v>
      </c>
      <c r="Y5465" s="1161"/>
    </row>
    <row r="5466" spans="1:25" ht="15.75" hidden="1" customHeight="1">
      <c r="A5466" s="222">
        <v>5475</v>
      </c>
      <c r="B5466" s="1558">
        <v>44711</v>
      </c>
      <c r="C5466" s="1568" t="s">
        <v>15945</v>
      </c>
      <c r="D5466" s="8" t="s">
        <v>6</v>
      </c>
      <c r="E5466" s="818" t="s">
        <v>17683</v>
      </c>
      <c r="F5466" s="298" t="s">
        <v>2876</v>
      </c>
      <c r="G5466" s="1537" t="s">
        <v>16248</v>
      </c>
      <c r="H5466" s="204" t="s">
        <v>16249</v>
      </c>
      <c r="I5466" s="1571" t="s">
        <v>4634</v>
      </c>
      <c r="J5466" s="1571" t="s">
        <v>16250</v>
      </c>
      <c r="K5466" s="1571" t="s">
        <v>16251</v>
      </c>
      <c r="L5466" s="1571" t="s">
        <v>16252</v>
      </c>
      <c r="M5466" s="1571">
        <v>4</v>
      </c>
      <c r="N5466" s="1571">
        <v>1</v>
      </c>
      <c r="O5466" s="222">
        <v>20</v>
      </c>
      <c r="P5466" s="222">
        <v>0</v>
      </c>
      <c r="Q5466" s="222">
        <v>16</v>
      </c>
      <c r="R5466" s="1195">
        <v>127</v>
      </c>
      <c r="S5466" s="1195">
        <f t="shared" si="295"/>
        <v>2540</v>
      </c>
      <c r="T5466" s="204" t="s">
        <v>12330</v>
      </c>
      <c r="U5466" s="1901" t="s">
        <v>8730</v>
      </c>
      <c r="V5466" s="572" t="s">
        <v>5990</v>
      </c>
      <c r="W5466" s="2174" t="s">
        <v>16253</v>
      </c>
      <c r="X5466" s="819"/>
      <c r="Y5466" s="1161"/>
    </row>
    <row r="5467" spans="1:25" ht="15.75" hidden="1" customHeight="1">
      <c r="A5467" s="222">
        <v>5476</v>
      </c>
      <c r="B5467" s="1558">
        <v>44711</v>
      </c>
      <c r="C5467" s="1568" t="s">
        <v>18580</v>
      </c>
      <c r="D5467" s="1445" t="s">
        <v>6</v>
      </c>
      <c r="E5467" s="818" t="s">
        <v>17683</v>
      </c>
      <c r="F5467" s="298" t="s">
        <v>2876</v>
      </c>
      <c r="G5467" s="1537" t="s">
        <v>18581</v>
      </c>
      <c r="H5467" s="204" t="s">
        <v>220</v>
      </c>
      <c r="I5467" s="1571" t="s">
        <v>574</v>
      </c>
      <c r="J5467" s="210" t="s">
        <v>3958</v>
      </c>
      <c r="K5467" s="210" t="s">
        <v>3959</v>
      </c>
      <c r="L5467" s="1571" t="s">
        <v>4179</v>
      </c>
      <c r="M5467" s="1571">
        <v>2</v>
      </c>
      <c r="N5467" s="1571">
        <v>1</v>
      </c>
      <c r="O5467" s="222">
        <v>25</v>
      </c>
      <c r="P5467" s="222">
        <v>0</v>
      </c>
      <c r="Q5467" s="222">
        <v>23</v>
      </c>
      <c r="R5467" s="1195">
        <v>22</v>
      </c>
      <c r="S5467" s="1195">
        <f t="shared" si="295"/>
        <v>550</v>
      </c>
      <c r="T5467" s="204" t="s">
        <v>18582</v>
      </c>
      <c r="U5467" s="1901" t="s">
        <v>8715</v>
      </c>
      <c r="V5467" s="572" t="s">
        <v>5990</v>
      </c>
      <c r="W5467" s="2175" t="s">
        <v>18583</v>
      </c>
      <c r="X5467" s="819"/>
      <c r="Y5467" s="1161"/>
    </row>
    <row r="5468" spans="1:25" ht="15.75" hidden="1" customHeight="1">
      <c r="A5468" s="222">
        <v>5477</v>
      </c>
      <c r="B5468" s="1558">
        <v>44711</v>
      </c>
      <c r="C5468" s="1568" t="s">
        <v>18584</v>
      </c>
      <c r="D5468" s="1445" t="s">
        <v>6</v>
      </c>
      <c r="E5468" s="818" t="s">
        <v>17683</v>
      </c>
      <c r="F5468" s="298" t="s">
        <v>2876</v>
      </c>
      <c r="G5468" s="1537" t="s">
        <v>18585</v>
      </c>
      <c r="H5468" s="204" t="s">
        <v>220</v>
      </c>
      <c r="I5468" s="1571" t="s">
        <v>39</v>
      </c>
      <c r="J5468" s="210" t="s">
        <v>18586</v>
      </c>
      <c r="K5468" s="210" t="s">
        <v>7949</v>
      </c>
      <c r="L5468" s="1571" t="s">
        <v>4179</v>
      </c>
      <c r="M5468" s="1571">
        <v>4</v>
      </c>
      <c r="N5468" s="1571">
        <v>10</v>
      </c>
      <c r="O5468" s="222">
        <v>20</v>
      </c>
      <c r="P5468" s="222">
        <v>0</v>
      </c>
      <c r="Q5468" s="222">
        <v>16</v>
      </c>
      <c r="R5468" s="1195">
        <v>20</v>
      </c>
      <c r="S5468" s="1195">
        <f t="shared" si="295"/>
        <v>400</v>
      </c>
      <c r="T5468" s="204" t="s">
        <v>18587</v>
      </c>
      <c r="U5468" s="1901" t="s">
        <v>8715</v>
      </c>
      <c r="V5468" s="572" t="s">
        <v>5990</v>
      </c>
      <c r="W5468" s="2175" t="s">
        <v>18588</v>
      </c>
      <c r="X5468" s="819"/>
      <c r="Y5468" s="1161"/>
    </row>
    <row r="5469" spans="1:25" ht="15.75" hidden="1" customHeight="1">
      <c r="A5469" s="222">
        <v>5478</v>
      </c>
      <c r="B5469" s="1558">
        <v>44711</v>
      </c>
      <c r="C5469" s="1568" t="s">
        <v>18589</v>
      </c>
      <c r="D5469" s="1445" t="s">
        <v>6</v>
      </c>
      <c r="E5469" s="818" t="s">
        <v>17683</v>
      </c>
      <c r="F5469" s="298" t="s">
        <v>2876</v>
      </c>
      <c r="G5469" s="1537" t="s">
        <v>18590</v>
      </c>
      <c r="H5469" s="204" t="s">
        <v>220</v>
      </c>
      <c r="I5469" s="1571" t="s">
        <v>574</v>
      </c>
      <c r="J5469" s="129" t="s">
        <v>18591</v>
      </c>
      <c r="K5469" s="210" t="s">
        <v>7944</v>
      </c>
      <c r="L5469" s="1571" t="s">
        <v>4179</v>
      </c>
      <c r="M5469" s="1571">
        <v>2</v>
      </c>
      <c r="N5469" s="1571">
        <v>1</v>
      </c>
      <c r="O5469" s="222">
        <v>10</v>
      </c>
      <c r="P5469" s="222">
        <v>0</v>
      </c>
      <c r="Q5469" s="222">
        <v>8</v>
      </c>
      <c r="R5469" s="1195">
        <v>23</v>
      </c>
      <c r="S5469" s="1195">
        <f t="shared" si="295"/>
        <v>230</v>
      </c>
      <c r="T5469" s="204" t="s">
        <v>17709</v>
      </c>
      <c r="U5469" s="1901" t="s">
        <v>8715</v>
      </c>
      <c r="V5469" s="572" t="s">
        <v>5990</v>
      </c>
      <c r="W5469" s="2175" t="s">
        <v>18592</v>
      </c>
      <c r="X5469" s="819"/>
      <c r="Y5469" s="1161"/>
    </row>
    <row r="5470" spans="1:25" ht="15.75" hidden="1" customHeight="1">
      <c r="A5470" s="222">
        <v>5479</v>
      </c>
      <c r="B5470" s="1558">
        <v>44711</v>
      </c>
      <c r="C5470" s="129" t="s">
        <v>18593</v>
      </c>
      <c r="D5470" s="1445" t="s">
        <v>6</v>
      </c>
      <c r="E5470" s="818" t="s">
        <v>17683</v>
      </c>
      <c r="F5470" s="129" t="s">
        <v>2876</v>
      </c>
      <c r="G5470" s="129" t="s">
        <v>7924</v>
      </c>
      <c r="H5470" s="129" t="s">
        <v>3185</v>
      </c>
      <c r="I5470" s="129" t="s">
        <v>574</v>
      </c>
      <c r="J5470" s="183" t="s">
        <v>149</v>
      </c>
      <c r="K5470" s="183" t="s">
        <v>149</v>
      </c>
      <c r="L5470" s="183" t="s">
        <v>149</v>
      </c>
      <c r="M5470" s="183">
        <v>1</v>
      </c>
      <c r="N5470" s="183">
        <v>1</v>
      </c>
      <c r="O5470" s="222">
        <v>2</v>
      </c>
      <c r="P5470" s="222">
        <v>0</v>
      </c>
      <c r="Q5470" s="222">
        <v>1</v>
      </c>
      <c r="R5470" s="1195">
        <v>10030</v>
      </c>
      <c r="S5470" s="1195">
        <f t="shared" si="295"/>
        <v>20060</v>
      </c>
      <c r="T5470" s="222" t="s">
        <v>12330</v>
      </c>
      <c r="U5470" s="1901" t="s">
        <v>8715</v>
      </c>
      <c r="V5470" s="572" t="s">
        <v>5990</v>
      </c>
      <c r="W5470" s="2155" t="s">
        <v>16979</v>
      </c>
      <c r="X5470" s="819"/>
      <c r="Y5470" s="1161"/>
    </row>
    <row r="5471" spans="1:25" ht="15.75" hidden="1" customHeight="1">
      <c r="A5471" s="222">
        <v>5480</v>
      </c>
      <c r="B5471" s="858">
        <v>44713</v>
      </c>
      <c r="C5471" s="129" t="s">
        <v>18539</v>
      </c>
      <c r="D5471" s="11" t="s">
        <v>6</v>
      </c>
      <c r="E5471" s="818" t="s">
        <v>17683</v>
      </c>
      <c r="F5471" s="129" t="s">
        <v>73</v>
      </c>
      <c r="G5471" s="129" t="s">
        <v>18594</v>
      </c>
      <c r="H5471" s="129" t="s">
        <v>18595</v>
      </c>
      <c r="I5471" s="129" t="s">
        <v>18595</v>
      </c>
      <c r="J5471" s="183" t="s">
        <v>149</v>
      </c>
      <c r="K5471" s="183" t="s">
        <v>149</v>
      </c>
      <c r="L5471" s="183" t="s">
        <v>149</v>
      </c>
      <c r="M5471" s="225">
        <v>3</v>
      </c>
      <c r="N5471" s="225">
        <v>1</v>
      </c>
      <c r="O5471" s="1428">
        <v>3</v>
      </c>
      <c r="P5471" s="1428">
        <v>0</v>
      </c>
      <c r="Q5471" s="1428">
        <v>3</v>
      </c>
      <c r="R5471" s="1435">
        <v>25250</v>
      </c>
      <c r="S5471" s="1435">
        <v>75750</v>
      </c>
      <c r="T5471" s="222" t="s">
        <v>4220</v>
      </c>
      <c r="U5471" s="1527" t="s">
        <v>4220</v>
      </c>
      <c r="V5471" s="222" t="s">
        <v>12768</v>
      </c>
      <c r="W5471" s="811"/>
      <c r="X5471" s="818"/>
      <c r="Y5471" s="1161"/>
    </row>
    <row r="5472" spans="1:25" ht="15.75" hidden="1" customHeight="1">
      <c r="A5472" s="222">
        <v>5481</v>
      </c>
      <c r="B5472" s="858">
        <v>44713</v>
      </c>
      <c r="C5472" s="129" t="s">
        <v>18539</v>
      </c>
      <c r="D5472" s="11" t="s">
        <v>6</v>
      </c>
      <c r="E5472" s="818" t="s">
        <v>17683</v>
      </c>
      <c r="F5472" s="1006" t="s">
        <v>73</v>
      </c>
      <c r="G5472" s="129" t="s">
        <v>18596</v>
      </c>
      <c r="H5472" s="129" t="s">
        <v>18595</v>
      </c>
      <c r="I5472" s="129" t="s">
        <v>18595</v>
      </c>
      <c r="J5472" s="183" t="s">
        <v>149</v>
      </c>
      <c r="K5472" s="183" t="s">
        <v>149</v>
      </c>
      <c r="L5472" s="183" t="s">
        <v>149</v>
      </c>
      <c r="M5472" s="183">
        <v>3</v>
      </c>
      <c r="N5472" s="183">
        <v>1</v>
      </c>
      <c r="O5472" s="222">
        <v>3</v>
      </c>
      <c r="P5472" s="222">
        <v>0</v>
      </c>
      <c r="Q5472" s="222">
        <v>3</v>
      </c>
      <c r="R5472" s="1195">
        <v>25250</v>
      </c>
      <c r="S5472" s="1195">
        <v>75750</v>
      </c>
      <c r="T5472" s="222" t="s">
        <v>4220</v>
      </c>
      <c r="U5472" s="1527" t="s">
        <v>4220</v>
      </c>
      <c r="V5472" s="222" t="s">
        <v>12768</v>
      </c>
      <c r="W5472" s="2155"/>
      <c r="X5472" s="818"/>
      <c r="Y5472" s="1161"/>
    </row>
    <row r="5473" spans="1:25" ht="15.75" hidden="1" customHeight="1">
      <c r="A5473" s="222">
        <v>5482</v>
      </c>
      <c r="B5473" s="858">
        <v>44713</v>
      </c>
      <c r="C5473" s="129" t="s">
        <v>18597</v>
      </c>
      <c r="D5473" s="10"/>
      <c r="E5473" s="818" t="s">
        <v>18333</v>
      </c>
      <c r="F5473" s="1006" t="s">
        <v>2143</v>
      </c>
      <c r="G5473" s="863" t="s">
        <v>18598</v>
      </c>
      <c r="H5473" s="222" t="s">
        <v>18599</v>
      </c>
      <c r="I5473" s="222" t="s">
        <v>18599</v>
      </c>
      <c r="J5473" s="183" t="s">
        <v>149</v>
      </c>
      <c r="K5473" s="183" t="s">
        <v>149</v>
      </c>
      <c r="L5473" s="222" t="s">
        <v>149</v>
      </c>
      <c r="M5473" s="183">
        <v>4</v>
      </c>
      <c r="N5473" s="183">
        <v>1</v>
      </c>
      <c r="O5473" s="222">
        <v>4</v>
      </c>
      <c r="P5473" s="222">
        <v>0</v>
      </c>
      <c r="Q5473" s="222">
        <v>0</v>
      </c>
      <c r="R5473" s="1195">
        <f>30000/1.1</f>
        <v>27272.727272727272</v>
      </c>
      <c r="S5473" s="1195">
        <f t="shared" ref="S5473:S5483" si="296">R5473*O5473</f>
        <v>109090.90909090909</v>
      </c>
      <c r="T5473" s="1584" t="s">
        <v>311</v>
      </c>
      <c r="U5473" s="1981" t="s">
        <v>311</v>
      </c>
      <c r="V5473" s="572" t="s">
        <v>2875</v>
      </c>
      <c r="W5473" s="2155"/>
      <c r="X5473" s="818"/>
      <c r="Y5473" s="1161"/>
    </row>
    <row r="5474" spans="1:25" ht="15.75" hidden="1" customHeight="1">
      <c r="A5474" s="222">
        <v>5483</v>
      </c>
      <c r="B5474" s="858">
        <v>44713</v>
      </c>
      <c r="C5474" s="129" t="s">
        <v>18600</v>
      </c>
      <c r="D5474" s="10"/>
      <c r="E5474" s="818" t="s">
        <v>18333</v>
      </c>
      <c r="F5474" s="1006" t="s">
        <v>2143</v>
      </c>
      <c r="G5474" s="863" t="s">
        <v>18601</v>
      </c>
      <c r="H5474" s="222" t="s">
        <v>18599</v>
      </c>
      <c r="I5474" s="222" t="s">
        <v>18599</v>
      </c>
      <c r="J5474" s="183" t="s">
        <v>149</v>
      </c>
      <c r="K5474" s="183" t="s">
        <v>149</v>
      </c>
      <c r="L5474" s="222" t="s">
        <v>149</v>
      </c>
      <c r="M5474" s="183">
        <v>4</v>
      </c>
      <c r="N5474" s="183">
        <v>1</v>
      </c>
      <c r="O5474" s="222">
        <v>4</v>
      </c>
      <c r="P5474" s="222">
        <v>0</v>
      </c>
      <c r="Q5474" s="222">
        <v>0</v>
      </c>
      <c r="R5474" s="1195">
        <f>62000/1.1</f>
        <v>56363.63636363636</v>
      </c>
      <c r="S5474" s="1195">
        <f t="shared" si="296"/>
        <v>225454.54545454544</v>
      </c>
      <c r="T5474" s="1584" t="s">
        <v>311</v>
      </c>
      <c r="U5474" s="1981" t="s">
        <v>311</v>
      </c>
      <c r="V5474" s="572" t="s">
        <v>2875</v>
      </c>
      <c r="W5474" s="2155"/>
      <c r="X5474" s="818"/>
      <c r="Y5474" s="1161"/>
    </row>
    <row r="5475" spans="1:25" ht="15.75" hidden="1" customHeight="1">
      <c r="A5475" s="222">
        <v>5484</v>
      </c>
      <c r="B5475" s="858">
        <v>44714</v>
      </c>
      <c r="C5475" s="129" t="s">
        <v>18602</v>
      </c>
      <c r="D5475" s="11" t="s">
        <v>6</v>
      </c>
      <c r="E5475" s="818" t="s">
        <v>572</v>
      </c>
      <c r="F5475" s="1006" t="s">
        <v>18603</v>
      </c>
      <c r="G5475" s="863" t="s">
        <v>18604</v>
      </c>
      <c r="H5475" s="222" t="s">
        <v>18605</v>
      </c>
      <c r="I5475" s="222" t="s">
        <v>1022</v>
      </c>
      <c r="J5475" s="183" t="s">
        <v>18606</v>
      </c>
      <c r="K5475" s="183" t="s">
        <v>18606</v>
      </c>
      <c r="L5475" s="613"/>
      <c r="M5475" s="183">
        <v>4</v>
      </c>
      <c r="N5475" s="183">
        <v>1</v>
      </c>
      <c r="O5475" s="222">
        <v>4</v>
      </c>
      <c r="P5475" s="222">
        <v>0</v>
      </c>
      <c r="Q5475" s="222">
        <v>0</v>
      </c>
      <c r="R5475" s="1195">
        <v>48999</v>
      </c>
      <c r="S5475" s="1195">
        <f t="shared" si="296"/>
        <v>195996</v>
      </c>
      <c r="T5475" s="222" t="s">
        <v>18479</v>
      </c>
      <c r="U5475" s="1527" t="s">
        <v>18607</v>
      </c>
      <c r="V5475" s="222" t="s">
        <v>18608</v>
      </c>
      <c r="W5475" s="2155" t="s">
        <v>18609</v>
      </c>
      <c r="X5475" s="818"/>
      <c r="Y5475" s="1161"/>
    </row>
    <row r="5476" spans="1:25" ht="15.75" hidden="1" customHeight="1">
      <c r="A5476" s="222">
        <v>5485</v>
      </c>
      <c r="B5476" s="858">
        <v>44715</v>
      </c>
      <c r="C5476" s="129" t="s">
        <v>18610</v>
      </c>
      <c r="D5476" s="8" t="s">
        <v>6</v>
      </c>
      <c r="E5476" s="818" t="s">
        <v>62</v>
      </c>
      <c r="F5476" s="1006" t="s">
        <v>9454</v>
      </c>
      <c r="G5476" s="863" t="s">
        <v>18611</v>
      </c>
      <c r="H5476" s="222" t="s">
        <v>18612</v>
      </c>
      <c r="I5476" s="222" t="s">
        <v>18612</v>
      </c>
      <c r="J5476" s="183"/>
      <c r="K5476" s="183"/>
      <c r="L5476" s="613"/>
      <c r="M5476" s="183">
        <v>1</v>
      </c>
      <c r="N5476" s="183">
        <v>1</v>
      </c>
      <c r="O5476" s="222">
        <v>1</v>
      </c>
      <c r="P5476" s="222">
        <v>0</v>
      </c>
      <c r="Q5476" s="222">
        <v>0</v>
      </c>
      <c r="R5476" s="1195">
        <v>28530</v>
      </c>
      <c r="S5476" s="1195">
        <f t="shared" si="296"/>
        <v>28530</v>
      </c>
      <c r="T5476" s="222" t="s">
        <v>3961</v>
      </c>
      <c r="U5476" s="1527" t="s">
        <v>18613</v>
      </c>
      <c r="W5476" s="2155"/>
      <c r="X5476" s="818"/>
      <c r="Y5476" s="1161"/>
    </row>
    <row r="5477" spans="1:25" ht="15.75" hidden="1" customHeight="1">
      <c r="A5477" s="646">
        <v>5486</v>
      </c>
      <c r="B5477" s="1416">
        <v>44718</v>
      </c>
      <c r="C5477" s="1489" t="s">
        <v>1915</v>
      </c>
      <c r="D5477" s="222"/>
      <c r="E5477" s="646"/>
      <c r="F5477" s="1043" t="s">
        <v>18614</v>
      </c>
      <c r="G5477" s="1417" t="s">
        <v>18615</v>
      </c>
      <c r="H5477" s="646" t="s">
        <v>18616</v>
      </c>
      <c r="I5477" s="646" t="s">
        <v>18617</v>
      </c>
      <c r="J5477" s="646" t="s">
        <v>149</v>
      </c>
      <c r="K5477" s="646" t="s">
        <v>18618</v>
      </c>
      <c r="L5477" s="608" t="s">
        <v>149</v>
      </c>
      <c r="M5477" s="646">
        <v>5</v>
      </c>
      <c r="N5477" s="646">
        <v>1</v>
      </c>
      <c r="O5477" s="646">
        <v>5</v>
      </c>
      <c r="P5477" s="646">
        <v>0</v>
      </c>
      <c r="Q5477" s="646">
        <v>0</v>
      </c>
      <c r="R5477" s="1486">
        <v>915.91</v>
      </c>
      <c r="S5477" s="1486">
        <f t="shared" si="296"/>
        <v>4579.55</v>
      </c>
      <c r="T5477" s="646" t="s">
        <v>14752</v>
      </c>
      <c r="U5477" s="1966" t="s">
        <v>16713</v>
      </c>
      <c r="V5477" s="646" t="s">
        <v>5990</v>
      </c>
      <c r="W5477" s="2177" t="s">
        <v>18619</v>
      </c>
      <c r="X5477" s="1485"/>
      <c r="Y5477" s="1161"/>
    </row>
    <row r="5478" spans="1:25" ht="15.75" hidden="1" customHeight="1">
      <c r="A5478" s="222">
        <v>5487</v>
      </c>
      <c r="B5478" s="858">
        <v>44718</v>
      </c>
      <c r="C5478" s="129" t="s">
        <v>17215</v>
      </c>
      <c r="D5478" s="8" t="s">
        <v>6</v>
      </c>
      <c r="E5478" s="222" t="s">
        <v>14758</v>
      </c>
      <c r="F5478" s="1006" t="s">
        <v>18614</v>
      </c>
      <c r="G5478" s="863" t="s">
        <v>18620</v>
      </c>
      <c r="H5478" s="222" t="s">
        <v>18621</v>
      </c>
      <c r="I5478" s="222" t="s">
        <v>1022</v>
      </c>
      <c r="J5478" s="183" t="s">
        <v>18622</v>
      </c>
      <c r="K5478" s="183" t="s">
        <v>18623</v>
      </c>
      <c r="L5478" s="613" t="s">
        <v>149</v>
      </c>
      <c r="M5478" s="183">
        <v>5</v>
      </c>
      <c r="N5478" s="183">
        <v>1</v>
      </c>
      <c r="O5478" s="222">
        <v>5</v>
      </c>
      <c r="P5478" s="222">
        <v>0</v>
      </c>
      <c r="Q5478" s="222">
        <v>0</v>
      </c>
      <c r="R5478" s="1195">
        <v>2999</v>
      </c>
      <c r="S5478" s="1195">
        <f t="shared" si="296"/>
        <v>14995</v>
      </c>
      <c r="T5478" s="222" t="s">
        <v>14752</v>
      </c>
      <c r="U5478" s="1527" t="s">
        <v>16713</v>
      </c>
      <c r="V5478" s="222" t="s">
        <v>5990</v>
      </c>
      <c r="W5478" s="2178" t="s">
        <v>18624</v>
      </c>
      <c r="X5478" s="818"/>
      <c r="Y5478" s="1161"/>
    </row>
    <row r="5479" spans="1:25" ht="15.75" hidden="1" customHeight="1">
      <c r="A5479" s="222">
        <v>5488</v>
      </c>
      <c r="B5479" s="858">
        <v>44718</v>
      </c>
      <c r="C5479" s="129" t="s">
        <v>18625</v>
      </c>
      <c r="D5479" s="8" t="s">
        <v>6</v>
      </c>
      <c r="E5479" s="222" t="s">
        <v>14758</v>
      </c>
      <c r="F5479" s="1006" t="s">
        <v>18614</v>
      </c>
      <c r="G5479" s="863" t="s">
        <v>18626</v>
      </c>
      <c r="H5479" s="222" t="s">
        <v>18627</v>
      </c>
      <c r="I5479" s="222" t="s">
        <v>15640</v>
      </c>
      <c r="J5479" s="183" t="s">
        <v>149</v>
      </c>
      <c r="K5479" s="183" t="s">
        <v>18628</v>
      </c>
      <c r="L5479" s="613" t="s">
        <v>149</v>
      </c>
      <c r="M5479" s="183">
        <v>5</v>
      </c>
      <c r="N5479" s="183">
        <v>1</v>
      </c>
      <c r="O5479" s="222">
        <v>5</v>
      </c>
      <c r="P5479" s="222">
        <v>0</v>
      </c>
      <c r="Q5479" s="222">
        <v>0</v>
      </c>
      <c r="R5479" s="1195">
        <v>4164</v>
      </c>
      <c r="S5479" s="1195">
        <f t="shared" si="296"/>
        <v>20820</v>
      </c>
      <c r="T5479" s="222" t="s">
        <v>14752</v>
      </c>
      <c r="U5479" s="1527" t="s">
        <v>16713</v>
      </c>
      <c r="V5479" s="222" t="s">
        <v>5990</v>
      </c>
      <c r="W5479" s="2178" t="s">
        <v>18629</v>
      </c>
      <c r="X5479" s="818"/>
      <c r="Y5479" s="1161"/>
    </row>
    <row r="5480" spans="1:25" ht="15.75" hidden="1" customHeight="1">
      <c r="A5480" s="222">
        <v>5489</v>
      </c>
      <c r="B5480" s="858">
        <v>44718</v>
      </c>
      <c r="C5480" s="129" t="s">
        <v>18630</v>
      </c>
      <c r="D5480" s="1515" t="s">
        <v>6</v>
      </c>
      <c r="E5480" s="222" t="s">
        <v>14758</v>
      </c>
      <c r="F5480" s="1006" t="s">
        <v>18614</v>
      </c>
      <c r="G5480" s="863" t="s">
        <v>18631</v>
      </c>
      <c r="H5480" s="222" t="s">
        <v>14282</v>
      </c>
      <c r="I5480" s="222" t="s">
        <v>574</v>
      </c>
      <c r="J5480" s="183" t="s">
        <v>18632</v>
      </c>
      <c r="K5480" s="183" t="s">
        <v>18633</v>
      </c>
      <c r="L5480" s="613" t="s">
        <v>149</v>
      </c>
      <c r="M5480" s="183">
        <v>5</v>
      </c>
      <c r="N5480" s="183">
        <v>1</v>
      </c>
      <c r="O5480" s="222">
        <v>5</v>
      </c>
      <c r="P5480" s="222">
        <v>0</v>
      </c>
      <c r="Q5480" s="222">
        <v>0</v>
      </c>
      <c r="R5480" s="1195">
        <v>2684</v>
      </c>
      <c r="S5480" s="1195">
        <f t="shared" si="296"/>
        <v>13420</v>
      </c>
      <c r="T5480" s="222" t="s">
        <v>14752</v>
      </c>
      <c r="U5480" s="1527" t="s">
        <v>16713</v>
      </c>
      <c r="V5480" s="222" t="s">
        <v>5990</v>
      </c>
      <c r="W5480" s="2178" t="s">
        <v>18634</v>
      </c>
      <c r="X5480" s="818"/>
      <c r="Y5480" s="1161"/>
    </row>
    <row r="5481" spans="1:25" ht="15.75" hidden="1" customHeight="1">
      <c r="A5481" s="222">
        <v>5490</v>
      </c>
      <c r="B5481" s="858">
        <v>44718</v>
      </c>
      <c r="C5481" s="129" t="s">
        <v>18635</v>
      </c>
      <c r="D5481" s="1515" t="s">
        <v>6</v>
      </c>
      <c r="E5481" s="222" t="s">
        <v>14758</v>
      </c>
      <c r="F5481" s="1006" t="s">
        <v>18614</v>
      </c>
      <c r="G5481" s="863" t="s">
        <v>18636</v>
      </c>
      <c r="H5481" s="222" t="s">
        <v>2128</v>
      </c>
      <c r="I5481" s="222" t="s">
        <v>574</v>
      </c>
      <c r="J5481" s="183" t="s">
        <v>15825</v>
      </c>
      <c r="K5481" s="183" t="s">
        <v>15826</v>
      </c>
      <c r="L5481" s="613" t="s">
        <v>149</v>
      </c>
      <c r="M5481" s="183">
        <v>7</v>
      </c>
      <c r="N5481" s="183">
        <v>1</v>
      </c>
      <c r="O5481" s="222">
        <v>7</v>
      </c>
      <c r="P5481" s="222">
        <v>0</v>
      </c>
      <c r="Q5481" s="222">
        <v>0</v>
      </c>
      <c r="R5481" s="1195">
        <v>4497</v>
      </c>
      <c r="S5481" s="1195">
        <f t="shared" si="296"/>
        <v>31479</v>
      </c>
      <c r="T5481" s="222" t="s">
        <v>14752</v>
      </c>
      <c r="U5481" s="1527" t="s">
        <v>16713</v>
      </c>
      <c r="V5481" s="222" t="s">
        <v>5990</v>
      </c>
      <c r="W5481" s="2178" t="s">
        <v>18637</v>
      </c>
      <c r="X5481" s="818"/>
      <c r="Y5481" s="1161"/>
    </row>
    <row r="5482" spans="1:25" ht="15.75" hidden="1" customHeight="1">
      <c r="A5482" s="222">
        <v>5491</v>
      </c>
      <c r="B5482" s="858">
        <v>44718</v>
      </c>
      <c r="C5482" s="129" t="s">
        <v>18638</v>
      </c>
      <c r="D5482" s="1515" t="s">
        <v>6</v>
      </c>
      <c r="E5482" s="222" t="s">
        <v>14758</v>
      </c>
      <c r="F5482" s="1006" t="s">
        <v>18614</v>
      </c>
      <c r="G5482" s="863" t="s">
        <v>18639</v>
      </c>
      <c r="H5482" s="222" t="s">
        <v>14282</v>
      </c>
      <c r="I5482" s="222" t="s">
        <v>574</v>
      </c>
      <c r="J5482" s="183" t="s">
        <v>18640</v>
      </c>
      <c r="K5482" s="183" t="s">
        <v>18641</v>
      </c>
      <c r="L5482" s="613" t="s">
        <v>149</v>
      </c>
      <c r="M5482" s="183">
        <v>4</v>
      </c>
      <c r="N5482" s="183">
        <v>1</v>
      </c>
      <c r="O5482" s="222">
        <v>4</v>
      </c>
      <c r="P5482" s="222">
        <v>0</v>
      </c>
      <c r="Q5482" s="222">
        <v>0</v>
      </c>
      <c r="R5482" s="1195">
        <v>472</v>
      </c>
      <c r="S5482" s="1195">
        <f t="shared" si="296"/>
        <v>1888</v>
      </c>
      <c r="T5482" s="222" t="s">
        <v>14752</v>
      </c>
      <c r="U5482" s="1527" t="s">
        <v>16713</v>
      </c>
      <c r="V5482" s="222" t="s">
        <v>5990</v>
      </c>
      <c r="W5482" s="2178" t="s">
        <v>18642</v>
      </c>
      <c r="X5482" s="818"/>
      <c r="Y5482" s="1161"/>
    </row>
    <row r="5483" spans="1:25" ht="15.75" hidden="1" customHeight="1">
      <c r="A5483" s="222">
        <v>5492</v>
      </c>
      <c r="B5483" s="858">
        <v>44718</v>
      </c>
      <c r="C5483" s="129" t="s">
        <v>18643</v>
      </c>
      <c r="D5483" s="1515" t="s">
        <v>6</v>
      </c>
      <c r="E5483" s="222" t="s">
        <v>14758</v>
      </c>
      <c r="F5483" s="1006" t="s">
        <v>18614</v>
      </c>
      <c r="G5483" s="863" t="s">
        <v>18644</v>
      </c>
      <c r="H5483" s="222" t="s">
        <v>14528</v>
      </c>
      <c r="I5483" s="222" t="s">
        <v>574</v>
      </c>
      <c r="J5483" s="183" t="s">
        <v>5470</v>
      </c>
      <c r="K5483" s="183" t="s">
        <v>5471</v>
      </c>
      <c r="L5483" s="613" t="s">
        <v>149</v>
      </c>
      <c r="M5483" s="183">
        <v>2</v>
      </c>
      <c r="N5483" s="183">
        <v>1</v>
      </c>
      <c r="O5483" s="222">
        <v>2</v>
      </c>
      <c r="P5483" s="222">
        <v>0</v>
      </c>
      <c r="Q5483" s="222">
        <v>0</v>
      </c>
      <c r="R5483" s="1195">
        <v>3270</v>
      </c>
      <c r="S5483" s="1195">
        <f t="shared" si="296"/>
        <v>6540</v>
      </c>
      <c r="T5483" s="222" t="s">
        <v>14752</v>
      </c>
      <c r="U5483" s="1527" t="s">
        <v>16713</v>
      </c>
      <c r="V5483" s="222" t="s">
        <v>5990</v>
      </c>
      <c r="W5483" s="2179" t="s">
        <v>18645</v>
      </c>
      <c r="X5483" s="818"/>
      <c r="Y5483" s="1161"/>
    </row>
    <row r="5484" spans="1:25" ht="15.75" hidden="1" customHeight="1">
      <c r="A5484" s="222">
        <v>5493</v>
      </c>
      <c r="B5484" s="1594">
        <v>44718</v>
      </c>
      <c r="C5484" s="869" t="s">
        <v>152</v>
      </c>
      <c r="D5484" s="1445" t="s">
        <v>6</v>
      </c>
      <c r="E5484" s="869" t="s">
        <v>18646</v>
      </c>
      <c r="F5484" s="869" t="s">
        <v>18647</v>
      </c>
      <c r="G5484" s="1596" t="s">
        <v>16392</v>
      </c>
      <c r="H5484" s="869" t="s">
        <v>166</v>
      </c>
      <c r="I5484" s="869" t="s">
        <v>4634</v>
      </c>
      <c r="J5484" s="1596" t="s">
        <v>14084</v>
      </c>
      <c r="K5484" s="1596" t="s">
        <v>14085</v>
      </c>
      <c r="L5484" s="869" t="s">
        <v>8980</v>
      </c>
      <c r="M5484" s="869">
        <v>9</v>
      </c>
      <c r="N5484" s="1458">
        <v>10</v>
      </c>
      <c r="O5484" s="1458">
        <v>10</v>
      </c>
      <c r="P5484" s="869">
        <v>5</v>
      </c>
      <c r="Q5484" s="869">
        <v>6</v>
      </c>
      <c r="R5484" s="869">
        <v>33.1</v>
      </c>
      <c r="S5484" s="869">
        <v>331</v>
      </c>
      <c r="T5484" s="869" t="s">
        <v>12330</v>
      </c>
      <c r="U5484" s="1963" t="s">
        <v>14027</v>
      </c>
      <c r="V5484" s="1841" t="s">
        <v>5990</v>
      </c>
      <c r="W5484" s="1455" t="s">
        <v>14086</v>
      </c>
      <c r="X5484" s="1585" t="s">
        <v>16488</v>
      </c>
      <c r="Y5484" s="1161"/>
    </row>
    <row r="5485" spans="1:25" ht="15.75" hidden="1" customHeight="1">
      <c r="A5485" s="222">
        <v>5494</v>
      </c>
      <c r="B5485" s="1594">
        <v>44718</v>
      </c>
      <c r="C5485" s="1442" t="s">
        <v>152</v>
      </c>
      <c r="D5485" s="1445" t="s">
        <v>6</v>
      </c>
      <c r="E5485" s="869" t="s">
        <v>18646</v>
      </c>
      <c r="F5485" s="1442" t="s">
        <v>18647</v>
      </c>
      <c r="G5485" s="1597" t="s">
        <v>18648</v>
      </c>
      <c r="H5485" s="1442" t="s">
        <v>166</v>
      </c>
      <c r="I5485" s="1442" t="s">
        <v>4634</v>
      </c>
      <c r="J5485" s="1597" t="s">
        <v>14092</v>
      </c>
      <c r="K5485" s="1597" t="s">
        <v>14093</v>
      </c>
      <c r="L5485" s="1442" t="s">
        <v>8980</v>
      </c>
      <c r="M5485" s="1442">
        <v>8</v>
      </c>
      <c r="N5485" s="1459">
        <v>10</v>
      </c>
      <c r="O5485" s="1459">
        <v>10</v>
      </c>
      <c r="P5485" s="1442">
        <v>6</v>
      </c>
      <c r="Q5485" s="1442">
        <v>8</v>
      </c>
      <c r="R5485" s="1442">
        <v>10.1</v>
      </c>
      <c r="S5485" s="1442">
        <v>101</v>
      </c>
      <c r="T5485" s="1442" t="s">
        <v>12330</v>
      </c>
      <c r="U5485" s="1970" t="s">
        <v>14027</v>
      </c>
      <c r="V5485" s="1841" t="s">
        <v>5990</v>
      </c>
      <c r="W5485" s="1437" t="s">
        <v>14094</v>
      </c>
      <c r="X5485" s="1586" t="s">
        <v>16488</v>
      </c>
      <c r="Y5485" s="1161"/>
    </row>
    <row r="5486" spans="1:25" ht="15.75" hidden="1" customHeight="1">
      <c r="A5486" s="222">
        <v>5495</v>
      </c>
      <c r="B5486" s="1594">
        <v>44718</v>
      </c>
      <c r="C5486" s="1442" t="s">
        <v>152</v>
      </c>
      <c r="D5486" s="1445" t="s">
        <v>6</v>
      </c>
      <c r="E5486" s="869" t="s">
        <v>18646</v>
      </c>
      <c r="F5486" s="1442" t="s">
        <v>18647</v>
      </c>
      <c r="G5486" s="1597" t="s">
        <v>16383</v>
      </c>
      <c r="H5486" s="1442" t="s">
        <v>154</v>
      </c>
      <c r="I5486" s="1442" t="s">
        <v>4634</v>
      </c>
      <c r="J5486" s="1597" t="s">
        <v>14064</v>
      </c>
      <c r="K5486" s="1597" t="s">
        <v>14065</v>
      </c>
      <c r="L5486" s="1442" t="s">
        <v>8980</v>
      </c>
      <c r="M5486" s="1442">
        <v>6</v>
      </c>
      <c r="N5486" s="1459">
        <v>10</v>
      </c>
      <c r="O5486" s="1459">
        <v>10</v>
      </c>
      <c r="P5486" s="1442">
        <v>2</v>
      </c>
      <c r="Q5486" s="1442">
        <v>6</v>
      </c>
      <c r="R5486" s="1442">
        <v>79.5</v>
      </c>
      <c r="S5486" s="1442">
        <v>795</v>
      </c>
      <c r="T5486" s="1442" t="s">
        <v>12330</v>
      </c>
      <c r="U5486" s="1970" t="s">
        <v>14027</v>
      </c>
      <c r="V5486" s="1841" t="s">
        <v>5990</v>
      </c>
      <c r="W5486" s="1588" t="s">
        <v>14066</v>
      </c>
      <c r="X5486" s="1589" t="s">
        <v>16488</v>
      </c>
      <c r="Y5486" s="1161"/>
    </row>
    <row r="5487" spans="1:25" ht="15.75" hidden="1" customHeight="1">
      <c r="A5487" s="222">
        <v>5496</v>
      </c>
      <c r="B5487" s="1594">
        <v>44718</v>
      </c>
      <c r="C5487" s="1442" t="s">
        <v>5189</v>
      </c>
      <c r="D5487" s="1445" t="s">
        <v>6</v>
      </c>
      <c r="E5487" s="869" t="s">
        <v>18646</v>
      </c>
      <c r="F5487" s="1442" t="s">
        <v>18647</v>
      </c>
      <c r="G5487" s="1597" t="s">
        <v>14095</v>
      </c>
      <c r="H5487" s="1442" t="s">
        <v>14096</v>
      </c>
      <c r="I5487" s="1442" t="s">
        <v>4634</v>
      </c>
      <c r="J5487" s="1597" t="s">
        <v>14097</v>
      </c>
      <c r="K5487" s="1597" t="s">
        <v>14098</v>
      </c>
      <c r="L5487" s="1597" t="s">
        <v>14099</v>
      </c>
      <c r="M5487" s="1442">
        <v>2</v>
      </c>
      <c r="N5487" s="1459">
        <v>10</v>
      </c>
      <c r="O5487" s="1459">
        <v>10</v>
      </c>
      <c r="P5487" s="1442">
        <v>0</v>
      </c>
      <c r="Q5487" s="1442">
        <v>8</v>
      </c>
      <c r="R5487" s="1442">
        <v>45</v>
      </c>
      <c r="S5487" s="1442">
        <v>450</v>
      </c>
      <c r="T5487" s="1442" t="s">
        <v>12330</v>
      </c>
      <c r="U5487" s="1970" t="s">
        <v>14027</v>
      </c>
      <c r="V5487" s="1841" t="s">
        <v>5990</v>
      </c>
      <c r="W5487" s="1437" t="s">
        <v>14100</v>
      </c>
      <c r="X5487" s="1586" t="s">
        <v>16488</v>
      </c>
      <c r="Y5487" s="1161"/>
    </row>
    <row r="5488" spans="1:25" ht="15.75" hidden="1" customHeight="1">
      <c r="A5488" s="222">
        <v>5497</v>
      </c>
      <c r="B5488" s="1594">
        <v>44718</v>
      </c>
      <c r="C5488" s="1175" t="s">
        <v>14101</v>
      </c>
      <c r="D5488" s="231" t="s">
        <v>6</v>
      </c>
      <c r="E5488" s="1607" t="s">
        <v>18646</v>
      </c>
      <c r="F5488" s="1175" t="s">
        <v>18647</v>
      </c>
      <c r="G5488" s="1606" t="s">
        <v>14102</v>
      </c>
      <c r="H5488" s="1175" t="s">
        <v>452</v>
      </c>
      <c r="I5488" s="1175" t="s">
        <v>4634</v>
      </c>
      <c r="J5488" s="1606" t="s">
        <v>11139</v>
      </c>
      <c r="K5488" s="1606" t="s">
        <v>6455</v>
      </c>
      <c r="L5488" s="1606" t="s">
        <v>14103</v>
      </c>
      <c r="M5488" s="1175">
        <v>5</v>
      </c>
      <c r="N5488" s="1627">
        <v>10</v>
      </c>
      <c r="O5488" s="1627">
        <v>10</v>
      </c>
      <c r="P5488" s="1175">
        <v>3</v>
      </c>
      <c r="Q5488" s="1175">
        <v>8</v>
      </c>
      <c r="R5488" s="1175">
        <v>24.3</v>
      </c>
      <c r="S5488" s="1175">
        <v>243</v>
      </c>
      <c r="T5488" s="1175" t="s">
        <v>12330</v>
      </c>
      <c r="U5488" s="1971" t="s">
        <v>14027</v>
      </c>
      <c r="V5488" s="1842" t="s">
        <v>5990</v>
      </c>
      <c r="W5488" s="1631" t="s">
        <v>11140</v>
      </c>
      <c r="X5488" s="1586" t="s">
        <v>16488</v>
      </c>
      <c r="Y5488" s="1161"/>
    </row>
    <row r="5489" spans="1:25" ht="15.75" hidden="1" customHeight="1">
      <c r="A5489" s="222">
        <v>5498</v>
      </c>
      <c r="B5489" s="1594">
        <v>44718</v>
      </c>
      <c r="C5489" s="1597" t="s">
        <v>14116</v>
      </c>
      <c r="D5489" s="1445" t="s">
        <v>6</v>
      </c>
      <c r="E5489" s="869" t="s">
        <v>18646</v>
      </c>
      <c r="F5489" s="1442" t="s">
        <v>18647</v>
      </c>
      <c r="G5489" s="1597" t="s">
        <v>14117</v>
      </c>
      <c r="H5489" s="1442" t="s">
        <v>1460</v>
      </c>
      <c r="I5489" s="1442" t="s">
        <v>4634</v>
      </c>
      <c r="J5489" s="1597" t="s">
        <v>14118</v>
      </c>
      <c r="K5489" s="1597" t="s">
        <v>14119</v>
      </c>
      <c r="L5489" s="1442" t="s">
        <v>16499</v>
      </c>
      <c r="M5489" s="1442">
        <v>2</v>
      </c>
      <c r="N5489" s="1459">
        <v>3</v>
      </c>
      <c r="O5489" s="1459">
        <v>3</v>
      </c>
      <c r="P5489" s="1442">
        <v>1</v>
      </c>
      <c r="Q5489" s="1442">
        <v>2</v>
      </c>
      <c r="R5489" s="1442">
        <v>335.8</v>
      </c>
      <c r="S5489" s="1442">
        <v>1007.4</v>
      </c>
      <c r="T5489" s="1442" t="s">
        <v>12330</v>
      </c>
      <c r="U5489" s="1970" t="s">
        <v>14027</v>
      </c>
      <c r="V5489" s="1841" t="s">
        <v>5990</v>
      </c>
      <c r="W5489" s="1588" t="s">
        <v>14121</v>
      </c>
      <c r="X5489" s="1586" t="s">
        <v>16488</v>
      </c>
      <c r="Y5489" s="1161"/>
    </row>
    <row r="5490" spans="1:25" ht="15.75" hidden="1" customHeight="1">
      <c r="A5490" s="222">
        <v>5499</v>
      </c>
      <c r="B5490" s="1594">
        <v>44718</v>
      </c>
      <c r="C5490" s="1442" t="s">
        <v>10495</v>
      </c>
      <c r="D5490" s="1445" t="s">
        <v>6</v>
      </c>
      <c r="E5490" s="869" t="s">
        <v>18646</v>
      </c>
      <c r="F5490" s="1442" t="s">
        <v>18647</v>
      </c>
      <c r="G5490" s="1598" t="s">
        <v>14219</v>
      </c>
      <c r="H5490" s="1442" t="s">
        <v>752</v>
      </c>
      <c r="I5490" s="1442" t="s">
        <v>4634</v>
      </c>
      <c r="J5490" s="1599" t="s">
        <v>17780</v>
      </c>
      <c r="K5490" s="1599" t="s">
        <v>14221</v>
      </c>
      <c r="L5490" s="1600" t="s">
        <v>14222</v>
      </c>
      <c r="M5490" s="1442">
        <v>2</v>
      </c>
      <c r="N5490" s="1602">
        <v>1</v>
      </c>
      <c r="O5490" s="1602">
        <v>2</v>
      </c>
      <c r="P5490" s="1442">
        <v>0</v>
      </c>
      <c r="Q5490" s="1442">
        <v>0</v>
      </c>
      <c r="R5490" s="1442">
        <v>2912.6</v>
      </c>
      <c r="S5490" s="1442">
        <v>5825.2</v>
      </c>
      <c r="T5490" s="1442" t="s">
        <v>12330</v>
      </c>
      <c r="U5490" s="1970" t="s">
        <v>14027</v>
      </c>
      <c r="V5490" s="1841" t="s">
        <v>5990</v>
      </c>
      <c r="W5490" s="1437" t="s">
        <v>17781</v>
      </c>
      <c r="X5490" s="1586" t="s">
        <v>16488</v>
      </c>
      <c r="Y5490" s="1161"/>
    </row>
    <row r="5491" spans="1:25" ht="15.75" hidden="1" customHeight="1">
      <c r="A5491" s="222">
        <v>5500</v>
      </c>
      <c r="B5491" s="1594">
        <v>44718</v>
      </c>
      <c r="C5491" s="1459" t="s">
        <v>152</v>
      </c>
      <c r="D5491" s="1445" t="s">
        <v>6</v>
      </c>
      <c r="E5491" s="869" t="s">
        <v>18646</v>
      </c>
      <c r="F5491" s="1442" t="s">
        <v>18647</v>
      </c>
      <c r="G5491" s="1599" t="s">
        <v>15160</v>
      </c>
      <c r="H5491" s="1459" t="s">
        <v>166</v>
      </c>
      <c r="I5491" s="1442" t="s">
        <v>4634</v>
      </c>
      <c r="J5491" s="1597" t="s">
        <v>15161</v>
      </c>
      <c r="K5491" s="1597" t="s">
        <v>15162</v>
      </c>
      <c r="L5491" s="1459" t="s">
        <v>8980</v>
      </c>
      <c r="M5491" s="1459">
        <v>6</v>
      </c>
      <c r="N5491" s="1459">
        <v>10</v>
      </c>
      <c r="O5491" s="1459">
        <v>10</v>
      </c>
      <c r="P5491" s="1459">
        <v>4</v>
      </c>
      <c r="Q5491" s="1459">
        <v>8</v>
      </c>
      <c r="R5491" s="1459">
        <v>11.8</v>
      </c>
      <c r="S5491" s="1459">
        <v>118</v>
      </c>
      <c r="T5491" s="1459" t="s">
        <v>12330</v>
      </c>
      <c r="U5491" s="1982" t="s">
        <v>14027</v>
      </c>
      <c r="V5491" s="1843" t="s">
        <v>5990</v>
      </c>
      <c r="W5491" s="1587" t="s">
        <v>15163</v>
      </c>
      <c r="X5491" s="1587" t="s">
        <v>16488</v>
      </c>
      <c r="Y5491" s="1161"/>
    </row>
    <row r="5492" spans="1:25" ht="15.75" hidden="1" customHeight="1">
      <c r="A5492" s="222">
        <v>5501</v>
      </c>
      <c r="B5492" s="1594">
        <v>44718</v>
      </c>
      <c r="C5492" s="1627" t="s">
        <v>15195</v>
      </c>
      <c r="D5492" s="231" t="s">
        <v>6</v>
      </c>
      <c r="E5492" s="1607" t="s">
        <v>18646</v>
      </c>
      <c r="F5492" s="1175" t="s">
        <v>18647</v>
      </c>
      <c r="G5492" s="1627" t="s">
        <v>15196</v>
      </c>
      <c r="H5492" s="1175" t="s">
        <v>460</v>
      </c>
      <c r="I5492" s="1175" t="s">
        <v>4634</v>
      </c>
      <c r="J5492" s="1628" t="s">
        <v>15197</v>
      </c>
      <c r="K5492" s="1606" t="s">
        <v>15198</v>
      </c>
      <c r="L5492" s="1629" t="s">
        <v>15193</v>
      </c>
      <c r="M5492" s="1627">
        <v>3</v>
      </c>
      <c r="N5492" s="1627">
        <v>5</v>
      </c>
      <c r="O5492" s="1627">
        <v>5</v>
      </c>
      <c r="P5492" s="1627">
        <v>0</v>
      </c>
      <c r="Q5492" s="1175">
        <v>2</v>
      </c>
      <c r="R5492" s="1627">
        <v>60.4</v>
      </c>
      <c r="S5492" s="1608">
        <v>302</v>
      </c>
      <c r="T5492" s="1175" t="s">
        <v>12330</v>
      </c>
      <c r="U5492" s="1971" t="s">
        <v>14027</v>
      </c>
      <c r="V5492" s="1842" t="s">
        <v>5990</v>
      </c>
      <c r="W5492" s="1630" t="s">
        <v>15199</v>
      </c>
      <c r="X5492" s="1590" t="s">
        <v>16488</v>
      </c>
      <c r="Y5492" s="1161"/>
    </row>
    <row r="5493" spans="1:25" ht="15.75" hidden="1" customHeight="1">
      <c r="A5493" s="222">
        <v>5502</v>
      </c>
      <c r="B5493" s="1594">
        <v>44718</v>
      </c>
      <c r="C5493" s="1602" t="s">
        <v>18649</v>
      </c>
      <c r="D5493" s="1445" t="s">
        <v>6</v>
      </c>
      <c r="E5493" s="869" t="s">
        <v>18646</v>
      </c>
      <c r="F5493" s="1442" t="s">
        <v>18647</v>
      </c>
      <c r="G5493" s="1601" t="s">
        <v>18650</v>
      </c>
      <c r="H5493" s="1442" t="s">
        <v>511</v>
      </c>
      <c r="I5493" s="1442" t="s">
        <v>4634</v>
      </c>
      <c r="J5493" s="1602" t="s">
        <v>15202</v>
      </c>
      <c r="K5493" s="1602" t="s">
        <v>15203</v>
      </c>
      <c r="L5493" s="1603" t="s">
        <v>18651</v>
      </c>
      <c r="M5493" s="1442">
        <v>6</v>
      </c>
      <c r="N5493" s="1602">
        <v>10</v>
      </c>
      <c r="O5493" s="1602">
        <v>10</v>
      </c>
      <c r="P5493" s="1442">
        <v>2</v>
      </c>
      <c r="Q5493" s="1442">
        <v>6</v>
      </c>
      <c r="R5493" s="1602">
        <v>59.4</v>
      </c>
      <c r="S5493" s="1602">
        <v>594</v>
      </c>
      <c r="T5493" s="1442" t="s">
        <v>12330</v>
      </c>
      <c r="U5493" s="1970" t="s">
        <v>14027</v>
      </c>
      <c r="V5493" s="1841" t="s">
        <v>5990</v>
      </c>
      <c r="W5493" s="1588" t="s">
        <v>18652</v>
      </c>
      <c r="X5493" s="1590" t="s">
        <v>16488</v>
      </c>
      <c r="Y5493" s="1161"/>
    </row>
    <row r="5494" spans="1:25" ht="15.75" hidden="1" customHeight="1">
      <c r="A5494" s="222">
        <v>5503</v>
      </c>
      <c r="B5494" s="1594">
        <v>44718</v>
      </c>
      <c r="C5494" s="1606" t="s">
        <v>18653</v>
      </c>
      <c r="D5494" s="231" t="s">
        <v>6</v>
      </c>
      <c r="E5494" s="1607" t="s">
        <v>18646</v>
      </c>
      <c r="F5494" s="1175" t="s">
        <v>18647</v>
      </c>
      <c r="G5494" s="1606" t="s">
        <v>14209</v>
      </c>
      <c r="H5494" s="1175" t="s">
        <v>14210</v>
      </c>
      <c r="I5494" s="1175" t="s">
        <v>4634</v>
      </c>
      <c r="J5494" s="1606" t="s">
        <v>14211</v>
      </c>
      <c r="K5494" s="1606">
        <v>61302211021</v>
      </c>
      <c r="L5494" s="1175" t="s">
        <v>16499</v>
      </c>
      <c r="M5494" s="1175">
        <v>4</v>
      </c>
      <c r="N5494" s="1608">
        <v>10</v>
      </c>
      <c r="O5494" s="1608">
        <v>10</v>
      </c>
      <c r="P5494" s="1175">
        <v>0</v>
      </c>
      <c r="Q5494" s="1175">
        <v>6</v>
      </c>
      <c r="R5494" s="1175">
        <v>157.4</v>
      </c>
      <c r="S5494" s="1175">
        <v>1574</v>
      </c>
      <c r="T5494" s="1175" t="s">
        <v>12330</v>
      </c>
      <c r="U5494" s="1971" t="s">
        <v>14027</v>
      </c>
      <c r="V5494" s="1842" t="s">
        <v>5990</v>
      </c>
      <c r="W5494" s="1609" t="s">
        <v>14212</v>
      </c>
      <c r="X5494" s="1586" t="s">
        <v>16488</v>
      </c>
      <c r="Y5494" s="1161"/>
    </row>
    <row r="5495" spans="1:25" ht="15.75" hidden="1" customHeight="1">
      <c r="A5495" s="222">
        <v>5504</v>
      </c>
      <c r="B5495" s="1594">
        <v>44718</v>
      </c>
      <c r="C5495" s="1602" t="s">
        <v>16501</v>
      </c>
      <c r="D5495" s="1445" t="s">
        <v>6</v>
      </c>
      <c r="E5495" s="869" t="s">
        <v>18646</v>
      </c>
      <c r="F5495" s="1442" t="s">
        <v>18647</v>
      </c>
      <c r="G5495" s="1602" t="s">
        <v>16502</v>
      </c>
      <c r="H5495" s="1602" t="s">
        <v>10376</v>
      </c>
      <c r="I5495" s="1442" t="s">
        <v>4634</v>
      </c>
      <c r="J5495" s="1602" t="s">
        <v>16503</v>
      </c>
      <c r="K5495" s="1602" t="s">
        <v>16504</v>
      </c>
      <c r="L5495" s="1602" t="s">
        <v>7002</v>
      </c>
      <c r="M5495" s="1602">
        <v>2</v>
      </c>
      <c r="N5495" s="1602">
        <v>4</v>
      </c>
      <c r="O5495" s="1602">
        <v>4</v>
      </c>
      <c r="P5495" s="1602">
        <v>1</v>
      </c>
      <c r="Q5495" s="1442">
        <v>3</v>
      </c>
      <c r="R5495" s="1602">
        <v>1228</v>
      </c>
      <c r="S5495" s="1602">
        <v>4912</v>
      </c>
      <c r="T5495" s="1442" t="s">
        <v>12330</v>
      </c>
      <c r="U5495" s="1970" t="s">
        <v>14027</v>
      </c>
      <c r="V5495" s="1841" t="s">
        <v>5990</v>
      </c>
      <c r="W5495" s="1588" t="s">
        <v>16505</v>
      </c>
      <c r="X5495" s="1590" t="s">
        <v>16488</v>
      </c>
      <c r="Y5495" s="1161"/>
    </row>
    <row r="5496" spans="1:25" ht="15.75" hidden="1" customHeight="1">
      <c r="A5496" s="222">
        <v>5505</v>
      </c>
      <c r="B5496" s="1594">
        <v>44718</v>
      </c>
      <c r="C5496" s="1459" t="s">
        <v>16508</v>
      </c>
      <c r="D5496" s="1445" t="s">
        <v>6</v>
      </c>
      <c r="E5496" s="869" t="s">
        <v>18646</v>
      </c>
      <c r="F5496" s="1442" t="s">
        <v>18647</v>
      </c>
      <c r="G5496" s="1459" t="s">
        <v>15224</v>
      </c>
      <c r="H5496" s="1459" t="s">
        <v>249</v>
      </c>
      <c r="I5496" s="1442" t="s">
        <v>4634</v>
      </c>
      <c r="J5496" s="1597" t="s">
        <v>15225</v>
      </c>
      <c r="K5496" s="1597" t="s">
        <v>15226</v>
      </c>
      <c r="L5496" s="1442" t="s">
        <v>16499</v>
      </c>
      <c r="M5496" s="1459">
        <v>2</v>
      </c>
      <c r="N5496" s="1602">
        <v>10</v>
      </c>
      <c r="O5496" s="1459">
        <v>10</v>
      </c>
      <c r="P5496" s="1459">
        <v>0</v>
      </c>
      <c r="Q5496" s="1442">
        <v>8</v>
      </c>
      <c r="R5496" s="1459">
        <v>297.89999999999998</v>
      </c>
      <c r="S5496" s="1602">
        <v>2979</v>
      </c>
      <c r="T5496" s="1442" t="s">
        <v>12330</v>
      </c>
      <c r="U5496" s="1970" t="s">
        <v>14027</v>
      </c>
      <c r="V5496" s="1841" t="s">
        <v>5990</v>
      </c>
      <c r="W5496" s="1588" t="s">
        <v>15227</v>
      </c>
      <c r="X5496" s="1590" t="s">
        <v>16488</v>
      </c>
      <c r="Y5496" s="1161"/>
    </row>
    <row r="5497" spans="1:25" ht="15.75" hidden="1" customHeight="1">
      <c r="A5497" s="222">
        <v>5506</v>
      </c>
      <c r="B5497" s="1594">
        <v>44718</v>
      </c>
      <c r="C5497" s="1442" t="s">
        <v>329</v>
      </c>
      <c r="D5497" s="1445" t="s">
        <v>6</v>
      </c>
      <c r="E5497" s="869" t="s">
        <v>18646</v>
      </c>
      <c r="F5497" s="1442" t="s">
        <v>18647</v>
      </c>
      <c r="G5497" s="1597" t="s">
        <v>16494</v>
      </c>
      <c r="H5497" s="1442" t="s">
        <v>332</v>
      </c>
      <c r="I5497" s="1442" t="s">
        <v>4634</v>
      </c>
      <c r="J5497" s="1597" t="s">
        <v>15169</v>
      </c>
      <c r="K5497" s="1597" t="s">
        <v>15170</v>
      </c>
      <c r="L5497" s="1442" t="s">
        <v>8980</v>
      </c>
      <c r="M5497" s="1442">
        <v>6</v>
      </c>
      <c r="N5497" s="1459">
        <v>10</v>
      </c>
      <c r="O5497" s="1459">
        <v>10</v>
      </c>
      <c r="P5497" s="1442">
        <v>2</v>
      </c>
      <c r="Q5497" s="1442">
        <v>6</v>
      </c>
      <c r="R5497" s="1597">
        <v>12.8</v>
      </c>
      <c r="S5497" s="1442">
        <v>128</v>
      </c>
      <c r="T5497" s="1442" t="s">
        <v>12330</v>
      </c>
      <c r="U5497" s="1970" t="s">
        <v>14027</v>
      </c>
      <c r="V5497" s="1841" t="s">
        <v>5990</v>
      </c>
      <c r="W5497" s="1437" t="s">
        <v>15171</v>
      </c>
      <c r="X5497" s="1586" t="s">
        <v>16488</v>
      </c>
      <c r="Y5497" s="1161"/>
    </row>
    <row r="5498" spans="1:25" ht="15.75" hidden="1" customHeight="1">
      <c r="A5498" s="222">
        <v>5507</v>
      </c>
      <c r="B5498" s="1594">
        <v>44718</v>
      </c>
      <c r="C5498" s="1442" t="s">
        <v>152</v>
      </c>
      <c r="D5498" s="1445" t="s">
        <v>6</v>
      </c>
      <c r="E5498" s="869" t="s">
        <v>18646</v>
      </c>
      <c r="F5498" s="1442" t="s">
        <v>18647</v>
      </c>
      <c r="G5498" s="1597" t="s">
        <v>18654</v>
      </c>
      <c r="H5498" s="1442" t="s">
        <v>166</v>
      </c>
      <c r="I5498" s="1442" t="s">
        <v>4634</v>
      </c>
      <c r="J5498" s="1597" t="s">
        <v>18655</v>
      </c>
      <c r="K5498" s="1597" t="s">
        <v>18656</v>
      </c>
      <c r="L5498" s="1442" t="s">
        <v>8980</v>
      </c>
      <c r="M5498" s="1442">
        <v>26</v>
      </c>
      <c r="N5498" s="1459">
        <v>100</v>
      </c>
      <c r="O5498" s="1459">
        <v>100</v>
      </c>
      <c r="P5498" s="1442">
        <v>0</v>
      </c>
      <c r="Q5498" s="1442">
        <v>74</v>
      </c>
      <c r="R5498" s="1442">
        <v>4.5999999999999996</v>
      </c>
      <c r="S5498" s="1442">
        <v>460</v>
      </c>
      <c r="T5498" s="1442" t="s">
        <v>12330</v>
      </c>
      <c r="U5498" s="1970" t="s">
        <v>14027</v>
      </c>
      <c r="V5498" s="1841" t="s">
        <v>5990</v>
      </c>
      <c r="W5498" s="1588" t="s">
        <v>18657</v>
      </c>
      <c r="X5498" s="1589" t="s">
        <v>16488</v>
      </c>
      <c r="Y5498" s="1161"/>
    </row>
    <row r="5499" spans="1:25" ht="15.75" hidden="1" customHeight="1">
      <c r="A5499" s="222">
        <v>5508</v>
      </c>
      <c r="B5499" s="1594">
        <v>44718</v>
      </c>
      <c r="C5499" s="899" t="s">
        <v>16483</v>
      </c>
      <c r="D5499" s="1445" t="s">
        <v>6</v>
      </c>
      <c r="E5499" s="869" t="s">
        <v>18646</v>
      </c>
      <c r="F5499" s="899" t="s">
        <v>18647</v>
      </c>
      <c r="G5499" s="899" t="s">
        <v>14129</v>
      </c>
      <c r="H5499" s="899" t="s">
        <v>460</v>
      </c>
      <c r="I5499" s="899" t="s">
        <v>18658</v>
      </c>
      <c r="J5499" s="901" t="s">
        <v>12359</v>
      </c>
      <c r="K5499" s="901" t="s">
        <v>12359</v>
      </c>
      <c r="L5499" s="1604" t="s">
        <v>344</v>
      </c>
      <c r="M5499" s="899">
        <v>20</v>
      </c>
      <c r="N5499" s="900">
        <v>20</v>
      </c>
      <c r="O5499" s="900">
        <v>20</v>
      </c>
      <c r="P5499" s="899">
        <v>0</v>
      </c>
      <c r="Q5499" s="899">
        <v>15</v>
      </c>
      <c r="R5499" s="899">
        <v>54</v>
      </c>
      <c r="S5499" s="900">
        <v>1080</v>
      </c>
      <c r="T5499" s="899" t="s">
        <v>12330</v>
      </c>
      <c r="U5499" s="1957" t="s">
        <v>14027</v>
      </c>
      <c r="V5499" s="129" t="s">
        <v>5990</v>
      </c>
      <c r="W5499" s="1591" t="s">
        <v>18659</v>
      </c>
      <c r="X5499" s="1592" t="s">
        <v>16488</v>
      </c>
      <c r="Y5499" s="1161"/>
    </row>
    <row r="5500" spans="1:25" ht="15.75" hidden="1" customHeight="1">
      <c r="A5500" s="222">
        <v>5509</v>
      </c>
      <c r="B5500" s="1594">
        <v>44718</v>
      </c>
      <c r="C5500" s="1442" t="s">
        <v>14101</v>
      </c>
      <c r="D5500" s="1445" t="s">
        <v>6</v>
      </c>
      <c r="E5500" s="869" t="s">
        <v>18646</v>
      </c>
      <c r="F5500" s="1442" t="s">
        <v>18647</v>
      </c>
      <c r="G5500" s="1597" t="s">
        <v>14102</v>
      </c>
      <c r="H5500" s="1442" t="s">
        <v>452</v>
      </c>
      <c r="I5500" s="1459" t="s">
        <v>4634</v>
      </c>
      <c r="J5500" s="1597" t="s">
        <v>11139</v>
      </c>
      <c r="K5500" s="1597" t="s">
        <v>6455</v>
      </c>
      <c r="L5500" s="1597" t="s">
        <v>14103</v>
      </c>
      <c r="M5500" s="1442">
        <v>30</v>
      </c>
      <c r="N5500" s="1459">
        <v>30</v>
      </c>
      <c r="O5500" s="1442">
        <v>30</v>
      </c>
      <c r="P5500" s="1459">
        <v>3</v>
      </c>
      <c r="Q5500" s="1459">
        <v>27</v>
      </c>
      <c r="R5500" s="1459">
        <v>24.3</v>
      </c>
      <c r="S5500" s="1459">
        <v>720.9</v>
      </c>
      <c r="T5500" s="1442" t="s">
        <v>12330</v>
      </c>
      <c r="U5500" s="1970" t="s">
        <v>14027</v>
      </c>
      <c r="V5500" s="1841" t="s">
        <v>5990</v>
      </c>
      <c r="W5500" s="1437" t="s">
        <v>11140</v>
      </c>
      <c r="X5500" s="1587" t="s">
        <v>16488</v>
      </c>
      <c r="Y5500" s="1161"/>
    </row>
    <row r="5501" spans="1:25" ht="15.75" hidden="1" customHeight="1">
      <c r="A5501" s="222">
        <v>5510</v>
      </c>
      <c r="B5501" s="1595">
        <v>44718</v>
      </c>
      <c r="C5501" s="871" t="s">
        <v>15206</v>
      </c>
      <c r="D5501" s="1445"/>
      <c r="E5501" s="869" t="s">
        <v>18646</v>
      </c>
      <c r="F5501" s="871" t="s">
        <v>18660</v>
      </c>
      <c r="G5501" s="871" t="s">
        <v>15207</v>
      </c>
      <c r="H5501" s="869" t="s">
        <v>752</v>
      </c>
      <c r="I5501" s="869" t="s">
        <v>18661</v>
      </c>
      <c r="J5501" s="1104" t="s">
        <v>15209</v>
      </c>
      <c r="K5501" s="1104" t="s">
        <v>13053</v>
      </c>
      <c r="L5501" s="871" t="s">
        <v>15210</v>
      </c>
      <c r="M5501" s="871">
        <v>6</v>
      </c>
      <c r="N5501" s="871">
        <v>6</v>
      </c>
      <c r="O5501" s="871">
        <v>6</v>
      </c>
      <c r="P5501" s="871">
        <v>0</v>
      </c>
      <c r="Q5501" s="871">
        <v>4</v>
      </c>
      <c r="R5501" s="871">
        <v>4795.7</v>
      </c>
      <c r="S5501" s="1605">
        <v>28774.2</v>
      </c>
      <c r="T5501" s="869" t="s">
        <v>18479</v>
      </c>
      <c r="U5501" s="1963" t="s">
        <v>1886</v>
      </c>
      <c r="V5501" s="1841" t="s">
        <v>9064</v>
      </c>
      <c r="W5501" s="886" t="s">
        <v>15211</v>
      </c>
      <c r="X5501" s="1593" t="s">
        <v>16488</v>
      </c>
      <c r="Y5501" s="1161"/>
    </row>
    <row r="5502" spans="1:25" ht="15.75" hidden="1" customHeight="1">
      <c r="A5502" s="222">
        <v>5511</v>
      </c>
      <c r="B5502" s="858">
        <v>44718</v>
      </c>
      <c r="C5502" s="129" t="s">
        <v>18662</v>
      </c>
      <c r="D5502" s="11" t="s">
        <v>6</v>
      </c>
      <c r="E5502" s="222" t="s">
        <v>62</v>
      </c>
      <c r="F5502" s="1006" t="s">
        <v>2143</v>
      </c>
      <c r="G5502" s="863" t="s">
        <v>18663</v>
      </c>
      <c r="H5502" s="222" t="s">
        <v>4066</v>
      </c>
      <c r="I5502" s="222" t="s">
        <v>4646</v>
      </c>
      <c r="J5502" s="183" t="s">
        <v>18664</v>
      </c>
      <c r="K5502" s="183"/>
      <c r="L5502" s="613"/>
      <c r="M5502" s="183">
        <v>2</v>
      </c>
      <c r="N5502" s="183">
        <v>1</v>
      </c>
      <c r="O5502" s="222">
        <v>2</v>
      </c>
      <c r="P5502" s="222">
        <v>0</v>
      </c>
      <c r="Q5502" s="222">
        <v>0</v>
      </c>
      <c r="R5502" s="1195">
        <v>300</v>
      </c>
      <c r="S5502" s="1195">
        <f t="shared" ref="S5502:S5513" si="297">R5502*O5502</f>
        <v>600</v>
      </c>
      <c r="T5502" s="222" t="s">
        <v>5448</v>
      </c>
      <c r="U5502" s="1527" t="s">
        <v>118</v>
      </c>
      <c r="W5502" s="2155" t="s">
        <v>17095</v>
      </c>
      <c r="X5502" s="818"/>
      <c r="Y5502" s="1161"/>
    </row>
    <row r="5503" spans="1:25" ht="15.75" hidden="1" customHeight="1">
      <c r="A5503" s="222">
        <v>5512</v>
      </c>
      <c r="B5503" s="858">
        <v>44722</v>
      </c>
      <c r="C5503" s="1610" t="s">
        <v>18665</v>
      </c>
      <c r="D5503" s="8" t="s">
        <v>6</v>
      </c>
      <c r="E5503" s="818" t="s">
        <v>17683</v>
      </c>
      <c r="F5503" s="1006" t="s">
        <v>18666</v>
      </c>
      <c r="G5503" s="863" t="s">
        <v>18667</v>
      </c>
      <c r="H5503" s="222" t="s">
        <v>5609</v>
      </c>
      <c r="I5503" s="222" t="s">
        <v>366</v>
      </c>
      <c r="J5503" s="183" t="s">
        <v>18668</v>
      </c>
      <c r="K5503" s="183" t="s">
        <v>18669</v>
      </c>
      <c r="L5503" s="613" t="s">
        <v>1</v>
      </c>
      <c r="M5503" s="183">
        <v>1</v>
      </c>
      <c r="N5503" s="183">
        <v>1</v>
      </c>
      <c r="O5503" s="222">
        <v>1</v>
      </c>
      <c r="P5503" s="222">
        <v>0</v>
      </c>
      <c r="Q5503" s="222">
        <v>0</v>
      </c>
      <c r="R5503" s="1195">
        <v>954</v>
      </c>
      <c r="S5503" s="1195">
        <f t="shared" si="297"/>
        <v>954</v>
      </c>
      <c r="T5503" s="222" t="s">
        <v>18479</v>
      </c>
      <c r="U5503" s="1527" t="s">
        <v>18670</v>
      </c>
      <c r="V5503" s="222" t="s">
        <v>3140</v>
      </c>
      <c r="W5503" s="2155" t="s">
        <v>18671</v>
      </c>
      <c r="X5503" s="818"/>
      <c r="Y5503" s="1161"/>
    </row>
    <row r="5504" spans="1:25" ht="15.75" hidden="1" customHeight="1">
      <c r="A5504" s="222">
        <v>5513</v>
      </c>
      <c r="B5504" s="858">
        <v>44722</v>
      </c>
      <c r="C5504" s="129" t="s">
        <v>9415</v>
      </c>
      <c r="D5504" s="1445"/>
      <c r="E5504" s="818" t="s">
        <v>17683</v>
      </c>
      <c r="F5504" s="1006" t="s">
        <v>7046</v>
      </c>
      <c r="G5504" s="863" t="s">
        <v>9416</v>
      </c>
      <c r="H5504" s="222" t="s">
        <v>9417</v>
      </c>
      <c r="I5504" s="222" t="s">
        <v>113</v>
      </c>
      <c r="J5504" s="183">
        <v>68548365</v>
      </c>
      <c r="K5504" s="183" t="s">
        <v>9418</v>
      </c>
      <c r="L5504" s="613"/>
      <c r="M5504" s="183">
        <v>7</v>
      </c>
      <c r="N5504" s="183">
        <v>7</v>
      </c>
      <c r="O5504" s="222">
        <v>7</v>
      </c>
      <c r="P5504" s="222">
        <v>0</v>
      </c>
      <c r="Q5504" s="222">
        <v>2</v>
      </c>
      <c r="R5504" s="1195">
        <v>3890</v>
      </c>
      <c r="S5504" s="1195">
        <f t="shared" si="297"/>
        <v>27230</v>
      </c>
      <c r="T5504" s="222" t="s">
        <v>12425</v>
      </c>
      <c r="U5504" s="1527" t="s">
        <v>18672</v>
      </c>
      <c r="V5504" s="222" t="s">
        <v>104</v>
      </c>
      <c r="W5504" s="2155" t="s">
        <v>18673</v>
      </c>
      <c r="X5504" s="818"/>
      <c r="Y5504" s="1161"/>
    </row>
    <row r="5505" spans="1:25" ht="15.75" hidden="1" customHeight="1">
      <c r="A5505" s="222">
        <v>5514</v>
      </c>
      <c r="B5505" s="858">
        <v>44722</v>
      </c>
      <c r="C5505" s="129" t="s">
        <v>18674</v>
      </c>
      <c r="D5505" s="1445"/>
      <c r="E5505" s="818" t="s">
        <v>17683</v>
      </c>
      <c r="F5505" s="1006" t="s">
        <v>7046</v>
      </c>
      <c r="G5505" s="863" t="s">
        <v>14382</v>
      </c>
      <c r="H5505" s="222" t="s">
        <v>18675</v>
      </c>
      <c r="I5505" s="222" t="s">
        <v>11673</v>
      </c>
      <c r="J5505" s="183" t="s">
        <v>18676</v>
      </c>
      <c r="K5505" s="183" t="s">
        <v>18677</v>
      </c>
      <c r="L5505" s="613" t="s">
        <v>1</v>
      </c>
      <c r="M5505" s="183">
        <v>1</v>
      </c>
      <c r="N5505" s="183">
        <v>1</v>
      </c>
      <c r="O5505" s="222">
        <v>1</v>
      </c>
      <c r="P5505" s="222">
        <v>0</v>
      </c>
      <c r="Q5505" s="222">
        <v>0</v>
      </c>
      <c r="R5505" s="1195">
        <v>6818</v>
      </c>
      <c r="S5505" s="1195">
        <f t="shared" si="297"/>
        <v>6818</v>
      </c>
      <c r="T5505" s="222" t="s">
        <v>12425</v>
      </c>
      <c r="U5505" s="1527" t="s">
        <v>18678</v>
      </c>
      <c r="V5505" s="222" t="s">
        <v>104</v>
      </c>
      <c r="W5505" s="2155" t="s">
        <v>18679</v>
      </c>
      <c r="X5505" s="818"/>
      <c r="Y5505" s="1161"/>
    </row>
    <row r="5506" spans="1:25" ht="15.75" hidden="1" customHeight="1">
      <c r="A5506" s="222">
        <v>5515</v>
      </c>
      <c r="B5506" s="858">
        <v>44722</v>
      </c>
      <c r="C5506" s="129" t="s">
        <v>18680</v>
      </c>
      <c r="D5506" s="1445"/>
      <c r="E5506" s="818" t="s">
        <v>17683</v>
      </c>
      <c r="F5506" s="1006" t="s">
        <v>7046</v>
      </c>
      <c r="G5506" s="863" t="s">
        <v>18681</v>
      </c>
      <c r="H5506" s="222" t="s">
        <v>18682</v>
      </c>
      <c r="I5506" s="222" t="s">
        <v>113</v>
      </c>
      <c r="J5506" s="183">
        <v>52433133</v>
      </c>
      <c r="K5506" s="183" t="s">
        <v>18683</v>
      </c>
      <c r="L5506" s="613" t="s">
        <v>1</v>
      </c>
      <c r="M5506" s="183">
        <v>3</v>
      </c>
      <c r="N5506" s="183">
        <v>3</v>
      </c>
      <c r="O5506" s="222">
        <v>3</v>
      </c>
      <c r="P5506" s="222">
        <v>0</v>
      </c>
      <c r="Q5506" s="222">
        <v>0</v>
      </c>
      <c r="R5506" s="1195">
        <v>1990</v>
      </c>
      <c r="S5506" s="1195">
        <f t="shared" si="297"/>
        <v>5970</v>
      </c>
      <c r="T5506" s="222" t="s">
        <v>12425</v>
      </c>
      <c r="U5506" s="1527" t="s">
        <v>18678</v>
      </c>
      <c r="V5506" s="222" t="s">
        <v>104</v>
      </c>
      <c r="W5506" s="2155" t="s">
        <v>18684</v>
      </c>
      <c r="X5506" s="818"/>
      <c r="Y5506" s="1161"/>
    </row>
    <row r="5507" spans="1:25" ht="15.75" hidden="1" customHeight="1">
      <c r="A5507" s="222">
        <v>5516</v>
      </c>
      <c r="B5507" s="858">
        <v>44722</v>
      </c>
      <c r="C5507" s="129" t="s">
        <v>7139</v>
      </c>
      <c r="D5507" s="1445"/>
      <c r="E5507" s="818" t="s">
        <v>17683</v>
      </c>
      <c r="F5507" s="1006" t="s">
        <v>7046</v>
      </c>
      <c r="G5507" s="863" t="s">
        <v>18685</v>
      </c>
      <c r="H5507" s="222" t="s">
        <v>3502</v>
      </c>
      <c r="I5507" s="222" t="s">
        <v>11673</v>
      </c>
      <c r="J5507" s="183" t="s">
        <v>18686</v>
      </c>
      <c r="K5507" s="183" t="s">
        <v>18686</v>
      </c>
      <c r="L5507" s="613" t="s">
        <v>1</v>
      </c>
      <c r="M5507" s="183">
        <v>1</v>
      </c>
      <c r="N5507" s="183">
        <v>1</v>
      </c>
      <c r="O5507" s="222">
        <v>1</v>
      </c>
      <c r="P5507" s="222">
        <v>0</v>
      </c>
      <c r="Q5507" s="222">
        <v>0</v>
      </c>
      <c r="R5507" s="1195">
        <v>1180</v>
      </c>
      <c r="S5507" s="1195">
        <f t="shared" si="297"/>
        <v>1180</v>
      </c>
      <c r="T5507" s="222" t="s">
        <v>12425</v>
      </c>
      <c r="U5507" s="1527" t="s">
        <v>18678</v>
      </c>
      <c r="V5507" s="222" t="s">
        <v>104</v>
      </c>
      <c r="W5507" s="2155" t="s">
        <v>18687</v>
      </c>
      <c r="X5507" s="818"/>
      <c r="Y5507" s="1161"/>
    </row>
    <row r="5508" spans="1:25" ht="15.75" hidden="1" customHeight="1">
      <c r="A5508" s="222">
        <v>5517</v>
      </c>
      <c r="B5508" s="858">
        <v>44722</v>
      </c>
      <c r="C5508" s="129" t="s">
        <v>18688</v>
      </c>
      <c r="D5508" s="1445"/>
      <c r="E5508" s="818" t="s">
        <v>17683</v>
      </c>
      <c r="F5508" s="1006" t="s">
        <v>7046</v>
      </c>
      <c r="G5508" s="863" t="s">
        <v>18689</v>
      </c>
      <c r="H5508" s="222" t="s">
        <v>11243</v>
      </c>
      <c r="I5508" s="222" t="s">
        <v>11673</v>
      </c>
      <c r="J5508" s="183" t="s">
        <v>18690</v>
      </c>
      <c r="K5508" s="183" t="s">
        <v>1</v>
      </c>
      <c r="L5508" s="613" t="s">
        <v>1</v>
      </c>
      <c r="M5508" s="183">
        <v>1</v>
      </c>
      <c r="N5508" s="183">
        <v>1</v>
      </c>
      <c r="O5508" s="222">
        <v>1</v>
      </c>
      <c r="P5508" s="222">
        <v>0</v>
      </c>
      <c r="Q5508" s="222">
        <v>0</v>
      </c>
      <c r="R5508" s="1195">
        <v>2322</v>
      </c>
      <c r="S5508" s="1195">
        <f t="shared" si="297"/>
        <v>2322</v>
      </c>
      <c r="T5508" s="222" t="s">
        <v>12425</v>
      </c>
      <c r="U5508" s="1527" t="s">
        <v>18678</v>
      </c>
      <c r="V5508" s="222" t="s">
        <v>104</v>
      </c>
      <c r="W5508" s="2155" t="s">
        <v>18691</v>
      </c>
      <c r="X5508" s="818"/>
      <c r="Y5508" s="1161"/>
    </row>
    <row r="5509" spans="1:25" ht="15.75" hidden="1" customHeight="1">
      <c r="A5509" s="222">
        <v>5518</v>
      </c>
      <c r="B5509" s="858">
        <v>44722</v>
      </c>
      <c r="C5509" s="129" t="s">
        <v>18692</v>
      </c>
      <c r="D5509" s="1445"/>
      <c r="E5509" s="818" t="s">
        <v>17683</v>
      </c>
      <c r="F5509" s="1006" t="s">
        <v>7046</v>
      </c>
      <c r="G5509" s="863" t="s">
        <v>18693</v>
      </c>
      <c r="H5509" s="222" t="s">
        <v>3502</v>
      </c>
      <c r="I5509" s="222" t="s">
        <v>11673</v>
      </c>
      <c r="J5509" s="183" t="s">
        <v>18694</v>
      </c>
      <c r="K5509" s="183" t="s">
        <v>1</v>
      </c>
      <c r="L5509" s="613" t="s">
        <v>1</v>
      </c>
      <c r="M5509" s="183">
        <v>1</v>
      </c>
      <c r="N5509" s="183">
        <v>1</v>
      </c>
      <c r="O5509" s="222">
        <v>1</v>
      </c>
      <c r="P5509" s="222">
        <v>0</v>
      </c>
      <c r="Q5509" s="222">
        <v>0</v>
      </c>
      <c r="R5509" s="1195">
        <v>899</v>
      </c>
      <c r="S5509" s="1195">
        <f t="shared" si="297"/>
        <v>899</v>
      </c>
      <c r="T5509" s="222" t="s">
        <v>12425</v>
      </c>
      <c r="U5509" s="1527" t="s">
        <v>18678</v>
      </c>
      <c r="V5509" s="222" t="s">
        <v>104</v>
      </c>
      <c r="W5509" s="2155" t="s">
        <v>18695</v>
      </c>
      <c r="X5509" s="818"/>
      <c r="Y5509" s="1161"/>
    </row>
    <row r="5510" spans="1:25" ht="15.75" hidden="1" customHeight="1">
      <c r="A5510" s="222">
        <v>5519</v>
      </c>
      <c r="B5510" s="858">
        <v>44722</v>
      </c>
      <c r="C5510" s="129" t="s">
        <v>18696</v>
      </c>
      <c r="D5510" s="8" t="s">
        <v>6</v>
      </c>
      <c r="E5510" s="818" t="s">
        <v>17683</v>
      </c>
      <c r="F5510" s="1006" t="s">
        <v>18666</v>
      </c>
      <c r="G5510" s="863" t="s">
        <v>18697</v>
      </c>
      <c r="H5510" s="222" t="s">
        <v>18698</v>
      </c>
      <c r="I5510" s="222" t="s">
        <v>366</v>
      </c>
      <c r="J5510" s="183" t="s">
        <v>18699</v>
      </c>
      <c r="K5510" s="183" t="s">
        <v>18699</v>
      </c>
      <c r="L5510" s="613" t="s">
        <v>1</v>
      </c>
      <c r="M5510" s="183">
        <v>5</v>
      </c>
      <c r="N5510" s="183">
        <v>5</v>
      </c>
      <c r="O5510" s="222">
        <v>5</v>
      </c>
      <c r="P5510" s="222">
        <v>0</v>
      </c>
      <c r="Q5510" s="222">
        <v>0</v>
      </c>
      <c r="R5510" s="1195">
        <v>74</v>
      </c>
      <c r="S5510" s="1195">
        <f t="shared" si="297"/>
        <v>370</v>
      </c>
      <c r="T5510" s="222" t="s">
        <v>18479</v>
      </c>
      <c r="U5510" s="1527" t="s">
        <v>18670</v>
      </c>
      <c r="V5510" s="222" t="s">
        <v>104</v>
      </c>
      <c r="W5510" s="2155" t="s">
        <v>18700</v>
      </c>
      <c r="X5510" s="818"/>
      <c r="Y5510" s="1161"/>
    </row>
    <row r="5511" spans="1:25" ht="15.75" hidden="1" customHeight="1">
      <c r="A5511" s="222">
        <v>5520</v>
      </c>
      <c r="B5511" s="858">
        <v>44722</v>
      </c>
      <c r="C5511" s="129" t="s">
        <v>18701</v>
      </c>
      <c r="D5511" s="8" t="s">
        <v>6</v>
      </c>
      <c r="E5511" s="818" t="s">
        <v>17683</v>
      </c>
      <c r="F5511" s="1006" t="s">
        <v>18702</v>
      </c>
      <c r="G5511" s="863" t="s">
        <v>18703</v>
      </c>
      <c r="H5511" s="222" t="s">
        <v>366</v>
      </c>
      <c r="I5511" s="222" t="s">
        <v>366</v>
      </c>
      <c r="J5511" s="183" t="s">
        <v>18704</v>
      </c>
      <c r="K5511" s="183" t="s">
        <v>18704</v>
      </c>
      <c r="L5511" s="613" t="s">
        <v>1</v>
      </c>
      <c r="M5511" s="183">
        <v>5</v>
      </c>
      <c r="N5511" s="183">
        <v>5</v>
      </c>
      <c r="O5511" s="222">
        <v>5</v>
      </c>
      <c r="P5511" s="222">
        <v>0</v>
      </c>
      <c r="Q5511" s="222">
        <v>0</v>
      </c>
      <c r="R5511" s="1195">
        <v>91</v>
      </c>
      <c r="S5511" s="1195">
        <f t="shared" si="297"/>
        <v>455</v>
      </c>
      <c r="T5511" s="222" t="s">
        <v>18479</v>
      </c>
      <c r="U5511" s="1527" t="s">
        <v>18670</v>
      </c>
      <c r="V5511" s="222" t="s">
        <v>104</v>
      </c>
      <c r="W5511" s="2155"/>
      <c r="X5511" s="818"/>
      <c r="Y5511" s="1161"/>
    </row>
    <row r="5512" spans="1:25" ht="15.75" hidden="1" customHeight="1">
      <c r="A5512" s="222">
        <v>5521</v>
      </c>
      <c r="B5512" s="858">
        <v>44725</v>
      </c>
      <c r="C5512" s="129" t="s">
        <v>18705</v>
      </c>
      <c r="D5512" s="22"/>
      <c r="E5512" s="818"/>
      <c r="F5512" s="1006" t="s">
        <v>18540</v>
      </c>
      <c r="G5512" s="863" t="s">
        <v>18706</v>
      </c>
      <c r="H5512" s="222" t="s">
        <v>18595</v>
      </c>
      <c r="I5512" s="222" t="s">
        <v>18595</v>
      </c>
      <c r="J5512" s="183" t="s">
        <v>18705</v>
      </c>
      <c r="K5512" s="183" t="s">
        <v>18705</v>
      </c>
      <c r="L5512" s="613" t="s">
        <v>1</v>
      </c>
      <c r="M5512" s="183">
        <v>4</v>
      </c>
      <c r="N5512" s="183">
        <v>1</v>
      </c>
      <c r="O5512" s="222">
        <v>4</v>
      </c>
      <c r="P5512" s="222">
        <v>0</v>
      </c>
      <c r="Q5512" s="222">
        <v>0</v>
      </c>
      <c r="R5512" s="1195">
        <v>15250</v>
      </c>
      <c r="S5512" s="1195">
        <f t="shared" si="297"/>
        <v>61000</v>
      </c>
      <c r="T5512" s="222" t="s">
        <v>14752</v>
      </c>
      <c r="U5512" s="1527" t="s">
        <v>301</v>
      </c>
      <c r="V5512" s="222" t="s">
        <v>16215</v>
      </c>
      <c r="W5512" s="2155"/>
      <c r="X5512" s="818"/>
      <c r="Y5512" s="1161"/>
    </row>
    <row r="5513" spans="1:25" ht="15.75" hidden="1" customHeight="1">
      <c r="A5513" s="222">
        <v>5522</v>
      </c>
      <c r="B5513" s="858">
        <v>44725</v>
      </c>
      <c r="C5513" s="129" t="s">
        <v>18707</v>
      </c>
      <c r="D5513" s="22"/>
      <c r="E5513" s="818"/>
      <c r="F5513" s="1006" t="s">
        <v>18540</v>
      </c>
      <c r="G5513" s="863" t="s">
        <v>18708</v>
      </c>
      <c r="H5513" s="222" t="s">
        <v>18595</v>
      </c>
      <c r="I5513" s="222" t="s">
        <v>18595</v>
      </c>
      <c r="J5513" s="183" t="s">
        <v>18707</v>
      </c>
      <c r="K5513" s="183" t="s">
        <v>18707</v>
      </c>
      <c r="L5513" s="613" t="s">
        <v>1</v>
      </c>
      <c r="M5513" s="183">
        <v>4</v>
      </c>
      <c r="N5513" s="183">
        <v>1</v>
      </c>
      <c r="O5513" s="222">
        <v>4</v>
      </c>
      <c r="P5513" s="222">
        <v>0</v>
      </c>
      <c r="Q5513" s="222">
        <v>0</v>
      </c>
      <c r="R5513" s="1195">
        <v>9500</v>
      </c>
      <c r="S5513" s="1195">
        <f t="shared" si="297"/>
        <v>38000</v>
      </c>
      <c r="T5513" s="222" t="s">
        <v>14752</v>
      </c>
      <c r="U5513" s="1527" t="s">
        <v>301</v>
      </c>
      <c r="V5513" s="222" t="s">
        <v>16215</v>
      </c>
      <c r="W5513" s="2155"/>
      <c r="X5513" s="818"/>
      <c r="Y5513" s="1161"/>
    </row>
    <row r="5514" spans="1:25" ht="15.75" hidden="1" customHeight="1">
      <c r="A5514" s="222">
        <v>5523</v>
      </c>
      <c r="B5514" s="858">
        <v>44728</v>
      </c>
      <c r="C5514" s="204" t="s">
        <v>1083</v>
      </c>
      <c r="D5514" s="11" t="s">
        <v>6</v>
      </c>
      <c r="E5514" s="818" t="s">
        <v>17683</v>
      </c>
      <c r="F5514" s="1611" t="s">
        <v>16677</v>
      </c>
      <c r="G5514" s="543" t="s">
        <v>16678</v>
      </c>
      <c r="H5514" s="728" t="s">
        <v>10591</v>
      </c>
      <c r="I5514" s="1611" t="s">
        <v>4634</v>
      </c>
      <c r="J5514" s="543" t="s">
        <v>16679</v>
      </c>
      <c r="K5514" s="786" t="s">
        <v>10594</v>
      </c>
      <c r="L5514" s="728" t="s">
        <v>7953</v>
      </c>
      <c r="M5514" s="683">
        <v>10</v>
      </c>
      <c r="N5514" s="683">
        <v>1</v>
      </c>
      <c r="O5514" s="683">
        <v>25</v>
      </c>
      <c r="P5514" s="683">
        <v>0</v>
      </c>
      <c r="Q5514" s="669">
        <v>25</v>
      </c>
      <c r="R5514" s="1494">
        <v>680</v>
      </c>
      <c r="S5514" s="1494">
        <f>R5514*Q5514</f>
        <v>17000</v>
      </c>
      <c r="T5514" s="728" t="s">
        <v>12425</v>
      </c>
      <c r="U5514" s="1983" t="s">
        <v>16680</v>
      </c>
      <c r="V5514" s="1844" t="s">
        <v>16215</v>
      </c>
      <c r="W5514" s="1612" t="s">
        <v>16681</v>
      </c>
      <c r="X5514" s="1634" t="s">
        <v>6</v>
      </c>
      <c r="Y5514" s="1613"/>
    </row>
    <row r="5515" spans="1:25" ht="15.75" hidden="1" customHeight="1">
      <c r="A5515" s="222">
        <v>5524</v>
      </c>
      <c r="B5515" s="858">
        <v>44728</v>
      </c>
      <c r="C5515" s="297" t="s">
        <v>16682</v>
      </c>
      <c r="D5515" s="8" t="s">
        <v>6</v>
      </c>
      <c r="E5515" s="818" t="s">
        <v>17683</v>
      </c>
      <c r="F5515" s="1614" t="s">
        <v>16677</v>
      </c>
      <c r="G5515" s="1615" t="s">
        <v>16683</v>
      </c>
      <c r="H5515" s="548" t="s">
        <v>2227</v>
      </c>
      <c r="I5515" s="1614" t="s">
        <v>574</v>
      </c>
      <c r="J5515" s="1615" t="s">
        <v>16684</v>
      </c>
      <c r="K5515" s="1616" t="s">
        <v>16685</v>
      </c>
      <c r="L5515" s="548" t="s">
        <v>7953</v>
      </c>
      <c r="M5515" s="298">
        <v>10</v>
      </c>
      <c r="N5515" s="298">
        <v>20</v>
      </c>
      <c r="O5515" s="298">
        <v>40</v>
      </c>
      <c r="P5515" s="298">
        <v>0</v>
      </c>
      <c r="Q5515" s="670">
        <v>40</v>
      </c>
      <c r="R5515" s="1633">
        <v>133.26</v>
      </c>
      <c r="S5515" s="1633">
        <f>R5515*Q5515</f>
        <v>5330.4</v>
      </c>
      <c r="T5515" s="548" t="s">
        <v>12425</v>
      </c>
      <c r="U5515" s="1984" t="s">
        <v>16686</v>
      </c>
      <c r="V5515" s="1844" t="s">
        <v>16215</v>
      </c>
      <c r="W5515" s="1617" t="s">
        <v>358</v>
      </c>
      <c r="X5515" s="1618" t="s">
        <v>6</v>
      </c>
      <c r="Y5515" s="1613"/>
    </row>
    <row r="5516" spans="1:25" ht="15.75" hidden="1" customHeight="1">
      <c r="A5516" s="222">
        <v>5525</v>
      </c>
      <c r="B5516" s="858">
        <v>44728</v>
      </c>
      <c r="C5516" s="297" t="s">
        <v>16687</v>
      </c>
      <c r="D5516" s="11" t="s">
        <v>6</v>
      </c>
      <c r="E5516" s="818" t="s">
        <v>17683</v>
      </c>
      <c r="F5516" s="1614" t="s">
        <v>16677</v>
      </c>
      <c r="G5516" s="1615" t="s">
        <v>16688</v>
      </c>
      <c r="H5516" s="548" t="s">
        <v>6</v>
      </c>
      <c r="I5516" s="1614" t="s">
        <v>39</v>
      </c>
      <c r="J5516" s="564" t="s">
        <v>14430</v>
      </c>
      <c r="K5516" s="548" t="s">
        <v>1080</v>
      </c>
      <c r="L5516" s="548" t="s">
        <v>6</v>
      </c>
      <c r="M5516" s="298">
        <v>10</v>
      </c>
      <c r="N5516" s="298">
        <v>1</v>
      </c>
      <c r="O5516" s="298">
        <v>20</v>
      </c>
      <c r="P5516" s="298">
        <v>0</v>
      </c>
      <c r="Q5516" s="670">
        <v>30</v>
      </c>
      <c r="R5516" s="1633">
        <v>1066</v>
      </c>
      <c r="S5516" s="1633">
        <f>R5516*O5516</f>
        <v>21320</v>
      </c>
      <c r="T5516" s="548" t="s">
        <v>12425</v>
      </c>
      <c r="U5516" s="1984" t="s">
        <v>16689</v>
      </c>
      <c r="V5516" s="1844" t="s">
        <v>16215</v>
      </c>
      <c r="W5516" s="1617" t="s">
        <v>14431</v>
      </c>
      <c r="X5516" s="1618" t="s">
        <v>6</v>
      </c>
      <c r="Y5516" s="1613"/>
    </row>
    <row r="5517" spans="1:25" ht="15.75" hidden="1" customHeight="1">
      <c r="A5517" s="222">
        <v>5526</v>
      </c>
      <c r="B5517" s="858">
        <v>44728</v>
      </c>
      <c r="C5517" s="297" t="s">
        <v>16690</v>
      </c>
      <c r="D5517" s="11" t="s">
        <v>6</v>
      </c>
      <c r="E5517" s="818" t="s">
        <v>17683</v>
      </c>
      <c r="F5517" s="1614" t="s">
        <v>16677</v>
      </c>
      <c r="G5517" s="575" t="s">
        <v>16691</v>
      </c>
      <c r="H5517" s="548" t="s">
        <v>305</v>
      </c>
      <c r="I5517" s="1614" t="s">
        <v>5445</v>
      </c>
      <c r="J5517" s="575" t="s">
        <v>16692</v>
      </c>
      <c r="K5517" s="452" t="s">
        <v>16693</v>
      </c>
      <c r="L5517" s="548" t="s">
        <v>16694</v>
      </c>
      <c r="M5517" s="298">
        <v>20</v>
      </c>
      <c r="N5517" s="298">
        <v>1</v>
      </c>
      <c r="O5517" s="298">
        <v>50</v>
      </c>
      <c r="P5517" s="298">
        <v>0</v>
      </c>
      <c r="Q5517" s="670">
        <v>50</v>
      </c>
      <c r="R5517" s="1633">
        <v>66.7</v>
      </c>
      <c r="S5517" s="1633">
        <v>3335</v>
      </c>
      <c r="T5517" s="548" t="s">
        <v>12425</v>
      </c>
      <c r="U5517" s="1984" t="s">
        <v>16689</v>
      </c>
      <c r="V5517" s="1844" t="s">
        <v>16215</v>
      </c>
      <c r="W5517" s="1617" t="s">
        <v>16695</v>
      </c>
      <c r="X5517" s="1618" t="s">
        <v>6</v>
      </c>
      <c r="Y5517" s="1613"/>
    </row>
    <row r="5518" spans="1:25" ht="15.75" hidden="1" customHeight="1">
      <c r="A5518" s="222">
        <v>5527</v>
      </c>
      <c r="B5518" s="858">
        <v>44728</v>
      </c>
      <c r="C5518" s="297" t="s">
        <v>329</v>
      </c>
      <c r="D5518" s="11" t="s">
        <v>6</v>
      </c>
      <c r="E5518" s="818" t="s">
        <v>17683</v>
      </c>
      <c r="F5518" s="1614" t="s">
        <v>16677</v>
      </c>
      <c r="G5518" s="575" t="s">
        <v>16696</v>
      </c>
      <c r="H5518" s="548" t="s">
        <v>1653</v>
      </c>
      <c r="I5518" s="1614" t="s">
        <v>5445</v>
      </c>
      <c r="J5518" s="575" t="s">
        <v>16697</v>
      </c>
      <c r="K5518" s="452" t="s">
        <v>15468</v>
      </c>
      <c r="L5518" s="548" t="s">
        <v>7953</v>
      </c>
      <c r="M5518" s="298">
        <v>20</v>
      </c>
      <c r="N5518" s="298">
        <v>1</v>
      </c>
      <c r="O5518" s="298">
        <v>50</v>
      </c>
      <c r="P5518" s="298">
        <v>0</v>
      </c>
      <c r="Q5518" s="670">
        <v>50</v>
      </c>
      <c r="R5518" s="1633">
        <v>9</v>
      </c>
      <c r="S5518" s="1633">
        <f>9*50</f>
        <v>450</v>
      </c>
      <c r="T5518" s="548" t="s">
        <v>12425</v>
      </c>
      <c r="U5518" s="1984" t="s">
        <v>16689</v>
      </c>
      <c r="V5518" s="1844" t="s">
        <v>16215</v>
      </c>
      <c r="W5518" s="1617" t="s">
        <v>16698</v>
      </c>
      <c r="X5518" s="1618" t="s">
        <v>6</v>
      </c>
      <c r="Y5518" s="1613"/>
    </row>
    <row r="5519" spans="1:25" ht="15.75" hidden="1" customHeight="1">
      <c r="A5519" s="222">
        <v>5528</v>
      </c>
      <c r="B5519" s="858">
        <v>44728</v>
      </c>
      <c r="C5519" s="297" t="s">
        <v>16699</v>
      </c>
      <c r="D5519" s="11" t="s">
        <v>6</v>
      </c>
      <c r="E5519" s="818" t="s">
        <v>17683</v>
      </c>
      <c r="F5519" s="1614" t="s">
        <v>16677</v>
      </c>
      <c r="G5519" s="329" t="s">
        <v>16700</v>
      </c>
      <c r="H5519" s="548" t="s">
        <v>6</v>
      </c>
      <c r="I5519" s="1614" t="s">
        <v>17981</v>
      </c>
      <c r="J5519" s="1619" t="s">
        <v>16702</v>
      </c>
      <c r="K5519" s="1620" t="s">
        <v>16702</v>
      </c>
      <c r="L5519" s="548" t="s">
        <v>7678</v>
      </c>
      <c r="M5519" s="298">
        <v>20</v>
      </c>
      <c r="N5519" s="298" t="s">
        <v>16703</v>
      </c>
      <c r="O5519" s="298">
        <v>100</v>
      </c>
      <c r="P5519" s="298">
        <v>0</v>
      </c>
      <c r="Q5519" s="670">
        <v>100</v>
      </c>
      <c r="R5519" s="703" t="s">
        <v>6</v>
      </c>
      <c r="S5519" s="1633">
        <v>300</v>
      </c>
      <c r="T5519" s="548" t="s">
        <v>12425</v>
      </c>
      <c r="U5519" s="1984" t="s">
        <v>16689</v>
      </c>
      <c r="V5519" s="1844" t="s">
        <v>16215</v>
      </c>
      <c r="W5519" s="1617" t="s">
        <v>16704</v>
      </c>
      <c r="X5519" s="1637" t="s">
        <v>6</v>
      </c>
      <c r="Y5519" s="1613"/>
    </row>
    <row r="5520" spans="1:25" ht="15.75" hidden="1" customHeight="1">
      <c r="A5520" s="222">
        <v>5529</v>
      </c>
      <c r="B5520" s="858">
        <v>44728</v>
      </c>
      <c r="C5520" s="297" t="s">
        <v>7277</v>
      </c>
      <c r="D5520" s="11" t="s">
        <v>18557</v>
      </c>
      <c r="E5520" s="818" t="s">
        <v>17683</v>
      </c>
      <c r="F5520" s="1614" t="s">
        <v>16677</v>
      </c>
      <c r="G5520" s="329" t="s">
        <v>16705</v>
      </c>
      <c r="H5520" s="548" t="s">
        <v>16706</v>
      </c>
      <c r="I5520" s="1614" t="s">
        <v>5764</v>
      </c>
      <c r="J5520" s="1621" t="s">
        <v>9312</v>
      </c>
      <c r="K5520" s="1622" t="s">
        <v>9312</v>
      </c>
      <c r="L5520" s="548" t="s">
        <v>6</v>
      </c>
      <c r="M5520" s="298" t="s">
        <v>6</v>
      </c>
      <c r="N5520" s="298" t="s">
        <v>16707</v>
      </c>
      <c r="O5520" s="298" t="s">
        <v>6</v>
      </c>
      <c r="P5520" s="298" t="s">
        <v>6</v>
      </c>
      <c r="Q5520" s="670" t="s">
        <v>6</v>
      </c>
      <c r="R5520" s="703" t="s">
        <v>6</v>
      </c>
      <c r="S5520" s="1633">
        <v>438</v>
      </c>
      <c r="T5520" s="548" t="s">
        <v>12425</v>
      </c>
      <c r="U5520" s="1984" t="s">
        <v>16689</v>
      </c>
      <c r="V5520" s="1844" t="s">
        <v>16215</v>
      </c>
      <c r="W5520" s="1617" t="s">
        <v>18709</v>
      </c>
      <c r="X5520" s="1635" t="s">
        <v>6</v>
      </c>
      <c r="Y5520" s="1613"/>
    </row>
    <row r="5521" spans="1:28" ht="15.75" hidden="1" customHeight="1">
      <c r="A5521" s="222">
        <v>5530</v>
      </c>
      <c r="B5521" s="858">
        <v>44726</v>
      </c>
      <c r="C5521" s="129" t="s">
        <v>11696</v>
      </c>
      <c r="D5521" s="8" t="s">
        <v>6</v>
      </c>
      <c r="E5521" s="818" t="s">
        <v>17683</v>
      </c>
      <c r="F5521" s="1006" t="s">
        <v>18710</v>
      </c>
      <c r="G5521" s="863" t="s">
        <v>18711</v>
      </c>
      <c r="H5521" s="222" t="s">
        <v>18712</v>
      </c>
      <c r="I5521" s="222" t="s">
        <v>18712</v>
      </c>
      <c r="J5521" s="183"/>
      <c r="K5521" s="183"/>
      <c r="L5521" s="613"/>
      <c r="M5521" s="1623">
        <v>2</v>
      </c>
      <c r="N5521" s="1624">
        <v>1</v>
      </c>
      <c r="O5521" s="1625">
        <v>2</v>
      </c>
      <c r="P5521" s="1625">
        <v>0</v>
      </c>
      <c r="Q5521" s="1625">
        <v>0</v>
      </c>
      <c r="R5521" s="1195">
        <v>3555</v>
      </c>
      <c r="S5521" s="1195">
        <f>R5521*O5521</f>
        <v>7110</v>
      </c>
      <c r="T5521" s="222" t="s">
        <v>18479</v>
      </c>
      <c r="U5521" s="1527" t="s">
        <v>18670</v>
      </c>
      <c r="V5521" s="222" t="s">
        <v>104</v>
      </c>
      <c r="W5521" s="2155" t="s">
        <v>18713</v>
      </c>
      <c r="X5521" s="818"/>
      <c r="Y5521" s="1161"/>
    </row>
    <row r="5522" spans="1:28" ht="15.75" hidden="1" customHeight="1">
      <c r="A5522" s="222">
        <v>5531</v>
      </c>
      <c r="B5522" s="858">
        <v>44727</v>
      </c>
      <c r="C5522" s="129" t="s">
        <v>18714</v>
      </c>
      <c r="D5522" s="1445" t="s">
        <v>6</v>
      </c>
      <c r="E5522" s="818" t="s">
        <v>17683</v>
      </c>
      <c r="F5522" s="1006" t="s">
        <v>73</v>
      </c>
      <c r="G5522" s="1626" t="s">
        <v>18715</v>
      </c>
      <c r="H5522" s="222" t="s">
        <v>18716</v>
      </c>
      <c r="I5522" s="222" t="s">
        <v>366</v>
      </c>
      <c r="J5522" s="1626" t="s">
        <v>18717</v>
      </c>
      <c r="K5522" s="1626" t="s">
        <v>18717</v>
      </c>
      <c r="L5522" s="613" t="s">
        <v>1</v>
      </c>
      <c r="M5522" s="183">
        <v>3</v>
      </c>
      <c r="N5522" s="183">
        <v>1</v>
      </c>
      <c r="O5522" s="222">
        <v>5</v>
      </c>
      <c r="P5522" s="222">
        <v>0</v>
      </c>
      <c r="Q5522" s="222">
        <v>2</v>
      </c>
      <c r="R5522" s="1195">
        <v>790</v>
      </c>
      <c r="S5522" s="1195">
        <f>R5522*O5522</f>
        <v>3950</v>
      </c>
      <c r="T5522" s="222" t="s">
        <v>4220</v>
      </c>
      <c r="U5522" s="1121" t="s">
        <v>4220</v>
      </c>
      <c r="V5522" s="222" t="s">
        <v>689</v>
      </c>
      <c r="W5522" s="898" t="s">
        <v>18718</v>
      </c>
      <c r="X5522" s="818"/>
      <c r="Y5522" s="1161"/>
    </row>
    <row r="5523" spans="1:28" ht="15.75" hidden="1" customHeight="1">
      <c r="A5523" s="222">
        <v>5532</v>
      </c>
      <c r="B5523" s="858">
        <v>44727</v>
      </c>
      <c r="C5523" s="129" t="s">
        <v>18714</v>
      </c>
      <c r="D5523" s="1445" t="s">
        <v>6</v>
      </c>
      <c r="E5523" s="818" t="s">
        <v>17683</v>
      </c>
      <c r="F5523" s="1006" t="s">
        <v>73</v>
      </c>
      <c r="G5523" s="863" t="s">
        <v>18719</v>
      </c>
      <c r="H5523" s="222" t="s">
        <v>18698</v>
      </c>
      <c r="I5523" s="222" t="s">
        <v>366</v>
      </c>
      <c r="J5523" s="183" t="s">
        <v>18720</v>
      </c>
      <c r="K5523" s="183" t="s">
        <v>18720</v>
      </c>
      <c r="L5523" s="613" t="s">
        <v>1</v>
      </c>
      <c r="M5523" s="183">
        <v>3</v>
      </c>
      <c r="N5523" s="183">
        <v>1</v>
      </c>
      <c r="O5523" s="222">
        <v>5</v>
      </c>
      <c r="P5523" s="222">
        <v>0</v>
      </c>
      <c r="Q5523" s="222">
        <v>2</v>
      </c>
      <c r="R5523" s="1195">
        <v>71</v>
      </c>
      <c r="S5523" s="1195">
        <f>R5523*O5523</f>
        <v>355</v>
      </c>
      <c r="T5523" s="1527" t="s">
        <v>4220</v>
      </c>
      <c r="U5523" s="1527" t="s">
        <v>4220</v>
      </c>
      <c r="V5523" s="222" t="s">
        <v>689</v>
      </c>
      <c r="W5523" s="1626" t="s">
        <v>18721</v>
      </c>
      <c r="X5523" s="818"/>
      <c r="Y5523" s="1161"/>
    </row>
    <row r="5524" spans="1:28" ht="15.75" hidden="1" customHeight="1">
      <c r="A5524" s="222">
        <v>5533</v>
      </c>
      <c r="B5524" s="858">
        <v>44727</v>
      </c>
      <c r="C5524" s="129" t="s">
        <v>18722</v>
      </c>
      <c r="D5524" s="1445" t="s">
        <v>6</v>
      </c>
      <c r="E5524" s="818" t="s">
        <v>17683</v>
      </c>
      <c r="F5524" s="1006" t="s">
        <v>73</v>
      </c>
      <c r="G5524" s="1626" t="s">
        <v>18723</v>
      </c>
      <c r="H5524" s="222" t="s">
        <v>366</v>
      </c>
      <c r="I5524" s="222" t="s">
        <v>366</v>
      </c>
      <c r="J5524" s="183" t="s">
        <v>18724</v>
      </c>
      <c r="K5524" s="183" t="s">
        <v>18724</v>
      </c>
      <c r="L5524" s="613" t="s">
        <v>1</v>
      </c>
      <c r="M5524" s="183">
        <v>3</v>
      </c>
      <c r="N5524" s="183">
        <v>1</v>
      </c>
      <c r="O5524" s="222">
        <v>5</v>
      </c>
      <c r="P5524" s="222">
        <v>0</v>
      </c>
      <c r="Q5524" s="222">
        <v>2</v>
      </c>
      <c r="R5524" s="1195">
        <v>151</v>
      </c>
      <c r="S5524" s="1195">
        <f>R5524*O5524</f>
        <v>755</v>
      </c>
      <c r="T5524" s="1527" t="s">
        <v>4220</v>
      </c>
      <c r="U5524" s="1527" t="s">
        <v>4220</v>
      </c>
      <c r="V5524" s="222" t="s">
        <v>689</v>
      </c>
      <c r="W5524" s="898" t="s">
        <v>18725</v>
      </c>
      <c r="X5524" s="818"/>
      <c r="Y5524" s="1161"/>
    </row>
    <row r="5525" spans="1:28" ht="15.75" hidden="1" customHeight="1">
      <c r="A5525" s="222">
        <v>5534</v>
      </c>
      <c r="B5525" s="858">
        <v>44727</v>
      </c>
      <c r="C5525" s="129" t="s">
        <v>18726</v>
      </c>
      <c r="D5525" s="1445" t="s">
        <v>6</v>
      </c>
      <c r="E5525" s="818" t="s">
        <v>17683</v>
      </c>
      <c r="F5525" s="1006" t="s">
        <v>73</v>
      </c>
      <c r="G5525" s="863"/>
      <c r="H5525" s="222" t="s">
        <v>366</v>
      </c>
      <c r="I5525" s="222" t="s">
        <v>366</v>
      </c>
      <c r="J5525" s="1626" t="s">
        <v>18727</v>
      </c>
      <c r="K5525" s="1626" t="s">
        <v>18727</v>
      </c>
      <c r="L5525" s="613" t="s">
        <v>1</v>
      </c>
      <c r="M5525" s="183">
        <v>3</v>
      </c>
      <c r="N5525" s="183">
        <v>1</v>
      </c>
      <c r="O5525" s="222">
        <v>5</v>
      </c>
      <c r="P5525" s="222">
        <v>0</v>
      </c>
      <c r="Q5525" s="222">
        <v>2</v>
      </c>
      <c r="R5525" s="1195">
        <v>510</v>
      </c>
      <c r="S5525" s="1195">
        <f>R5525*O5525</f>
        <v>2550</v>
      </c>
      <c r="T5525" s="1527" t="s">
        <v>4220</v>
      </c>
      <c r="U5525" s="1527" t="s">
        <v>4220</v>
      </c>
      <c r="V5525" s="222" t="s">
        <v>689</v>
      </c>
      <c r="W5525" s="1626" t="s">
        <v>18728</v>
      </c>
      <c r="X5525" s="818"/>
      <c r="Y5525" s="1161"/>
    </row>
    <row r="5526" spans="1:28" ht="15.75" hidden="1" customHeight="1">
      <c r="A5526" s="222">
        <v>5535</v>
      </c>
      <c r="B5526" s="858">
        <v>44727</v>
      </c>
      <c r="C5526" s="858" t="s">
        <v>18729</v>
      </c>
      <c r="D5526" s="8" t="s">
        <v>6</v>
      </c>
      <c r="E5526" s="858" t="s">
        <v>18730</v>
      </c>
      <c r="F5526" s="858" t="s">
        <v>17877</v>
      </c>
      <c r="G5526" s="858" t="s">
        <v>18731</v>
      </c>
      <c r="H5526" s="858" t="s">
        <v>287</v>
      </c>
      <c r="I5526" s="222" t="s">
        <v>287</v>
      </c>
      <c r="J5526" s="222">
        <v>22061500172</v>
      </c>
      <c r="K5526" s="222">
        <v>22061500172</v>
      </c>
      <c r="L5526" s="222" t="s">
        <v>1</v>
      </c>
      <c r="M5526" s="222">
        <v>2</v>
      </c>
      <c r="N5526" s="222">
        <v>1</v>
      </c>
      <c r="O5526" s="222">
        <v>4</v>
      </c>
      <c r="P5526" s="222">
        <v>0</v>
      </c>
      <c r="Q5526" s="222">
        <v>2</v>
      </c>
      <c r="R5526" s="1195">
        <v>104231</v>
      </c>
      <c r="S5526" s="1195">
        <v>104231</v>
      </c>
      <c r="T5526" s="222" t="s">
        <v>14752</v>
      </c>
      <c r="U5526" s="1527" t="s">
        <v>138</v>
      </c>
      <c r="V5526" s="222" t="s">
        <v>3140</v>
      </c>
      <c r="W5526" s="1612" t="s">
        <v>5265</v>
      </c>
      <c r="X5526" s="818"/>
      <c r="Y5526" s="1161"/>
    </row>
    <row r="5527" spans="1:28" ht="15.75" hidden="1" customHeight="1">
      <c r="A5527" s="222">
        <v>5536</v>
      </c>
      <c r="B5527" s="858">
        <v>44728</v>
      </c>
      <c r="C5527" s="818" t="s">
        <v>3265</v>
      </c>
      <c r="D5527" s="11" t="s">
        <v>6</v>
      </c>
      <c r="E5527" s="818" t="s">
        <v>17683</v>
      </c>
      <c r="F5527" s="1614" t="s">
        <v>16677</v>
      </c>
      <c r="G5527" s="818" t="s">
        <v>17212</v>
      </c>
      <c r="H5527" s="818" t="s">
        <v>468</v>
      </c>
      <c r="I5527" s="818" t="s">
        <v>5690</v>
      </c>
      <c r="J5527" s="1410">
        <v>26344072</v>
      </c>
      <c r="K5527" s="1410" t="s">
        <v>17213</v>
      </c>
      <c r="L5527" s="818" t="s">
        <v>17214</v>
      </c>
      <c r="M5527" s="222">
        <v>10</v>
      </c>
      <c r="N5527" s="222">
        <v>50</v>
      </c>
      <c r="O5527" s="222">
        <v>50</v>
      </c>
      <c r="P5527" s="222">
        <v>0</v>
      </c>
      <c r="Q5527" s="222">
        <v>50</v>
      </c>
      <c r="R5527" s="1632">
        <v>34</v>
      </c>
      <c r="S5527" s="1632">
        <v>1690</v>
      </c>
      <c r="T5527" s="818" t="s">
        <v>12330</v>
      </c>
      <c r="U5527" s="1430" t="s">
        <v>17215</v>
      </c>
      <c r="V5527" s="818" t="s">
        <v>17216</v>
      </c>
      <c r="W5527" s="2178" t="s">
        <v>17217</v>
      </c>
      <c r="X5527" s="1638"/>
      <c r="Y5527" s="1161"/>
    </row>
    <row r="5528" spans="1:28" ht="15.75" hidden="1" customHeight="1">
      <c r="A5528" s="222">
        <v>5537</v>
      </c>
      <c r="B5528" s="858">
        <v>44728</v>
      </c>
      <c r="C5528" s="129" t="s">
        <v>18732</v>
      </c>
      <c r="D5528" s="11" t="s">
        <v>6</v>
      </c>
      <c r="E5528" s="818" t="s">
        <v>17683</v>
      </c>
      <c r="F5528" s="1614" t="s">
        <v>16677</v>
      </c>
      <c r="G5528" s="863" t="s">
        <v>18733</v>
      </c>
      <c r="H5528" s="222" t="s">
        <v>1400</v>
      </c>
      <c r="I5528" s="222" t="s">
        <v>5445</v>
      </c>
      <c r="J5528" s="558" t="s">
        <v>18734</v>
      </c>
      <c r="K5528" s="183" t="s">
        <v>18733</v>
      </c>
      <c r="L5528" s="613"/>
      <c r="M5528" s="183">
        <v>20</v>
      </c>
      <c r="N5528" s="183">
        <v>1</v>
      </c>
      <c r="O5528" s="222">
        <v>100</v>
      </c>
      <c r="P5528" s="222">
        <v>0</v>
      </c>
      <c r="Q5528" s="222">
        <v>100</v>
      </c>
      <c r="R5528" s="1195">
        <v>3</v>
      </c>
      <c r="S5528" s="1195">
        <f>R5528*O5528</f>
        <v>300</v>
      </c>
      <c r="T5528" s="818" t="s">
        <v>12330</v>
      </c>
      <c r="U5528" s="1430" t="s">
        <v>17215</v>
      </c>
      <c r="V5528" s="818" t="s">
        <v>17216</v>
      </c>
      <c r="W5528" s="2155" t="s">
        <v>18735</v>
      </c>
      <c r="X5528" s="1636"/>
      <c r="Y5528" s="1161"/>
    </row>
    <row r="5529" spans="1:28" ht="15.75" hidden="1" customHeight="1">
      <c r="A5529" s="222">
        <v>5538</v>
      </c>
      <c r="B5529" s="858">
        <v>44728</v>
      </c>
      <c r="C5529" s="129" t="s">
        <v>18736</v>
      </c>
      <c r="D5529" s="8" t="s">
        <v>6</v>
      </c>
      <c r="E5529" s="818" t="s">
        <v>18423</v>
      </c>
      <c r="F5529" s="1006" t="s">
        <v>9454</v>
      </c>
      <c r="G5529" s="863" t="s">
        <v>18737</v>
      </c>
      <c r="H5529" s="222" t="s">
        <v>18612</v>
      </c>
      <c r="I5529" s="222"/>
      <c r="J5529" s="183"/>
      <c r="K5529" s="183"/>
      <c r="L5529" s="613"/>
      <c r="M5529" s="183">
        <v>1</v>
      </c>
      <c r="N5529" s="183"/>
      <c r="O5529" s="222">
        <v>1</v>
      </c>
      <c r="P5529" s="222"/>
      <c r="Q5529" s="222"/>
      <c r="R5529" s="1195">
        <v>94200</v>
      </c>
      <c r="S5529" s="1195">
        <f>R5529*O5529</f>
        <v>94200</v>
      </c>
      <c r="T5529" s="222" t="s">
        <v>3961</v>
      </c>
      <c r="U5529" s="1527"/>
      <c r="W5529" s="2155"/>
      <c r="X5529" s="818"/>
      <c r="Y5529" s="1161"/>
    </row>
    <row r="5530" spans="1:28" ht="15.75" hidden="1" customHeight="1">
      <c r="A5530" s="222">
        <v>5539</v>
      </c>
      <c r="B5530" s="858">
        <v>44728</v>
      </c>
      <c r="C5530" s="129" t="s">
        <v>18738</v>
      </c>
      <c r="D5530" s="8" t="s">
        <v>6</v>
      </c>
      <c r="E5530" s="818" t="s">
        <v>18423</v>
      </c>
      <c r="F5530" s="1006" t="s">
        <v>9454</v>
      </c>
      <c r="G5530" s="863" t="s">
        <v>18739</v>
      </c>
      <c r="H5530" s="222" t="s">
        <v>18740</v>
      </c>
      <c r="I5530" s="222"/>
      <c r="J5530" s="183"/>
      <c r="K5530" s="183"/>
      <c r="L5530" s="613"/>
      <c r="M5530" s="183">
        <v>1</v>
      </c>
      <c r="N5530" s="183"/>
      <c r="O5530" s="222">
        <v>1</v>
      </c>
      <c r="P5530" s="222"/>
      <c r="Q5530" s="222"/>
      <c r="R5530" s="1195">
        <v>3600</v>
      </c>
      <c r="S5530" s="1195">
        <f>R5530*O5530</f>
        <v>3600</v>
      </c>
      <c r="T5530" s="222" t="s">
        <v>3961</v>
      </c>
      <c r="U5530" s="1527"/>
      <c r="W5530" s="2155"/>
      <c r="X5530" s="818"/>
      <c r="Y5530" s="1161"/>
    </row>
    <row r="5531" spans="1:28" ht="15.75" hidden="1" customHeight="1">
      <c r="A5531" s="222">
        <v>5540</v>
      </c>
      <c r="B5531" s="858">
        <v>44732</v>
      </c>
      <c r="C5531" s="129" t="s">
        <v>18741</v>
      </c>
      <c r="D5531" s="8" t="s">
        <v>6</v>
      </c>
      <c r="E5531" s="818" t="s">
        <v>17458</v>
      </c>
      <c r="F5531" s="1006" t="s">
        <v>14023</v>
      </c>
      <c r="G5531" s="863" t="s">
        <v>18742</v>
      </c>
      <c r="H5531" s="222" t="s">
        <v>287</v>
      </c>
      <c r="I5531" s="222" t="s">
        <v>287</v>
      </c>
      <c r="J5531" s="183">
        <v>22062000058</v>
      </c>
      <c r="K5531" s="183" t="s">
        <v>14346</v>
      </c>
      <c r="L5531" s="613" t="s">
        <v>1</v>
      </c>
      <c r="M5531" s="183">
        <v>1</v>
      </c>
      <c r="N5531" s="183">
        <v>1</v>
      </c>
      <c r="O5531" s="222">
        <v>1</v>
      </c>
      <c r="P5531" s="222">
        <v>0</v>
      </c>
      <c r="Q5531" s="222">
        <v>1</v>
      </c>
      <c r="R5531" s="1195">
        <v>34875</v>
      </c>
      <c r="S5531" s="1195">
        <f>R5531*O5531</f>
        <v>34875</v>
      </c>
      <c r="T5531" s="222" t="s">
        <v>12425</v>
      </c>
      <c r="U5531" s="1527" t="s">
        <v>1886</v>
      </c>
      <c r="V5531" s="222" t="s">
        <v>3140</v>
      </c>
      <c r="W5531" s="2155" t="s">
        <v>1</v>
      </c>
      <c r="X5531" s="818"/>
      <c r="Y5531" s="1161"/>
    </row>
    <row r="5532" spans="1:28" ht="15.75" hidden="1" customHeight="1">
      <c r="A5532" s="222">
        <v>5541</v>
      </c>
      <c r="B5532" s="858">
        <v>44732</v>
      </c>
      <c r="C5532" s="129" t="s">
        <v>18743</v>
      </c>
      <c r="D5532" s="22"/>
      <c r="E5532" s="818"/>
      <c r="F5532" s="1006" t="s">
        <v>18540</v>
      </c>
      <c r="G5532" s="863" t="s">
        <v>18744</v>
      </c>
      <c r="H5532" s="222" t="s">
        <v>366</v>
      </c>
      <c r="I5532" s="222" t="s">
        <v>366</v>
      </c>
      <c r="J5532" s="183" t="s">
        <v>18727</v>
      </c>
      <c r="K5532" s="183" t="s">
        <v>18727</v>
      </c>
      <c r="L5532" s="613" t="s">
        <v>1</v>
      </c>
      <c r="M5532" s="183">
        <v>2</v>
      </c>
      <c r="N5532" s="183">
        <v>1</v>
      </c>
      <c r="O5532" s="222">
        <v>2</v>
      </c>
      <c r="P5532" s="222">
        <v>0</v>
      </c>
      <c r="Q5532" s="222">
        <v>2</v>
      </c>
      <c r="R5532" s="1195">
        <v>510</v>
      </c>
      <c r="S5532" s="1195">
        <f>R5532*O5532</f>
        <v>1020</v>
      </c>
      <c r="T5532" s="222" t="s">
        <v>14752</v>
      </c>
      <c r="U5532" s="1527" t="s">
        <v>9101</v>
      </c>
      <c r="V5532" s="222" t="s">
        <v>5575</v>
      </c>
      <c r="W5532" s="1815" t="s">
        <v>18745</v>
      </c>
      <c r="X5532" s="818"/>
      <c r="Y5532" s="1161"/>
    </row>
    <row r="5533" spans="1:28" ht="15.75" hidden="1" customHeight="1">
      <c r="A5533" s="222">
        <v>5542</v>
      </c>
      <c r="B5533" s="858">
        <v>44732</v>
      </c>
      <c r="C5533" s="129" t="s">
        <v>18746</v>
      </c>
      <c r="D5533" s="22"/>
      <c r="E5533" s="818"/>
      <c r="F5533" s="1006" t="s">
        <v>18540</v>
      </c>
      <c r="G5533" s="863" t="s">
        <v>18747</v>
      </c>
      <c r="H5533" s="222" t="s">
        <v>18698</v>
      </c>
      <c r="I5533" s="222" t="s">
        <v>18698</v>
      </c>
      <c r="J5533" s="183" t="s">
        <v>18720</v>
      </c>
      <c r="K5533" s="183" t="s">
        <v>18720</v>
      </c>
      <c r="L5533" s="613" t="s">
        <v>18748</v>
      </c>
      <c r="M5533" s="183">
        <v>2</v>
      </c>
      <c r="N5533" s="183">
        <v>20</v>
      </c>
      <c r="O5533" s="222">
        <v>20</v>
      </c>
      <c r="P5533" s="222">
        <v>0</v>
      </c>
      <c r="Q5533" s="222">
        <v>20</v>
      </c>
      <c r="R5533" s="1195">
        <v>1500</v>
      </c>
      <c r="S5533" s="1195">
        <v>1500</v>
      </c>
      <c r="T5533" s="222" t="s">
        <v>14752</v>
      </c>
      <c r="U5533" s="1527" t="s">
        <v>9101</v>
      </c>
      <c r="V5533" s="222" t="s">
        <v>5575</v>
      </c>
      <c r="W5533" s="2155" t="s">
        <v>18749</v>
      </c>
      <c r="X5533" s="818"/>
      <c r="Y5533" s="1161"/>
    </row>
    <row r="5534" spans="1:28" ht="15.75" hidden="1" customHeight="1">
      <c r="A5534" s="1645">
        <v>5543</v>
      </c>
      <c r="B5534" s="1641">
        <v>44733</v>
      </c>
      <c r="C5534" s="1642" t="s">
        <v>18750</v>
      </c>
      <c r="D5534" s="1643"/>
      <c r="E5534" s="1800" t="s">
        <v>17683</v>
      </c>
      <c r="F5534" s="1801" t="s">
        <v>18751</v>
      </c>
      <c r="G5534" s="1644" t="s">
        <v>10151</v>
      </c>
      <c r="H5534" s="1645" t="s">
        <v>3612</v>
      </c>
      <c r="I5534" s="1645" t="s">
        <v>281</v>
      </c>
      <c r="J5534" s="1645" t="s">
        <v>3613</v>
      </c>
      <c r="K5534" s="1645" t="s">
        <v>3614</v>
      </c>
      <c r="L5534" s="1646" t="s">
        <v>1</v>
      </c>
      <c r="M5534" s="1645">
        <v>2</v>
      </c>
      <c r="N5534" s="1645">
        <v>10</v>
      </c>
      <c r="O5534" s="1645">
        <v>10</v>
      </c>
      <c r="P5534" s="1645">
        <v>0</v>
      </c>
      <c r="Q5534" s="1645">
        <v>10</v>
      </c>
      <c r="R5534" s="1802">
        <v>275</v>
      </c>
      <c r="S5534" s="1802">
        <f>R5534*O5534</f>
        <v>2750</v>
      </c>
      <c r="T5534" s="1645" t="s">
        <v>14752</v>
      </c>
      <c r="U5534" s="1985" t="s">
        <v>18752</v>
      </c>
      <c r="V5534" s="1645" t="s">
        <v>5575</v>
      </c>
      <c r="W5534" s="2180" t="s">
        <v>18753</v>
      </c>
      <c r="X5534" s="1800"/>
      <c r="Y5534" s="1803"/>
      <c r="Z5534" s="1825"/>
      <c r="AA5534" s="1825"/>
      <c r="AB5534" s="1825"/>
    </row>
    <row r="5535" spans="1:28" ht="15.75" hidden="1" customHeight="1">
      <c r="A5535" s="1645">
        <v>5544</v>
      </c>
      <c r="B5535" s="1641">
        <v>44733</v>
      </c>
      <c r="C5535" s="1642" t="s">
        <v>18754</v>
      </c>
      <c r="D5535" s="1643"/>
      <c r="E5535" s="1800" t="s">
        <v>17683</v>
      </c>
      <c r="F5535" s="1801" t="s">
        <v>18751</v>
      </c>
      <c r="G5535" s="1644" t="s">
        <v>13469</v>
      </c>
      <c r="H5535" s="1645" t="s">
        <v>2060</v>
      </c>
      <c r="I5535" s="1645" t="s">
        <v>281</v>
      </c>
      <c r="J5535" s="1645" t="s">
        <v>18755</v>
      </c>
      <c r="K5535" s="1645" t="s">
        <v>18756</v>
      </c>
      <c r="L5535" s="1646" t="s">
        <v>1</v>
      </c>
      <c r="M5535" s="1645">
        <v>2</v>
      </c>
      <c r="N5535" s="1645">
        <v>10</v>
      </c>
      <c r="O5535" s="1645">
        <v>10</v>
      </c>
      <c r="P5535" s="1645">
        <v>0</v>
      </c>
      <c r="Q5535" s="1645">
        <v>10</v>
      </c>
      <c r="R5535" s="1802">
        <v>349</v>
      </c>
      <c r="S5535" s="1802">
        <f>R5535*O5535</f>
        <v>3490</v>
      </c>
      <c r="T5535" s="1645" t="s">
        <v>14752</v>
      </c>
      <c r="U5535" s="1985" t="s">
        <v>18752</v>
      </c>
      <c r="V5535" s="1645" t="s">
        <v>5575</v>
      </c>
      <c r="W5535" s="2180" t="s">
        <v>18757</v>
      </c>
      <c r="X5535" s="1800"/>
      <c r="Y5535" s="1803"/>
      <c r="Z5535" s="1825"/>
      <c r="AA5535" s="1825"/>
      <c r="AB5535" s="1825"/>
    </row>
    <row r="5536" spans="1:28" ht="15.75" hidden="1" customHeight="1">
      <c r="A5536" s="1645">
        <v>5545</v>
      </c>
      <c r="B5536" s="1641">
        <v>44733</v>
      </c>
      <c r="C5536" s="1642" t="s">
        <v>18758</v>
      </c>
      <c r="D5536" s="1643"/>
      <c r="E5536" s="1800" t="s">
        <v>17683</v>
      </c>
      <c r="F5536" s="1801" t="s">
        <v>18751</v>
      </c>
      <c r="G5536" s="1644" t="s">
        <v>18759</v>
      </c>
      <c r="H5536" s="1645" t="s">
        <v>2920</v>
      </c>
      <c r="I5536" s="1645" t="s">
        <v>281</v>
      </c>
      <c r="J5536" s="1645" t="s">
        <v>18760</v>
      </c>
      <c r="K5536" s="1645">
        <v>1949</v>
      </c>
      <c r="L5536" s="1646" t="s">
        <v>1</v>
      </c>
      <c r="M5536" s="1645">
        <v>1</v>
      </c>
      <c r="N5536" s="1645">
        <v>1</v>
      </c>
      <c r="O5536" s="1645">
        <v>1</v>
      </c>
      <c r="P5536" s="1645">
        <v>0</v>
      </c>
      <c r="Q5536" s="1645">
        <v>1</v>
      </c>
      <c r="R5536" s="1802">
        <v>533</v>
      </c>
      <c r="S5536" s="1802">
        <f>R5536*O5536</f>
        <v>533</v>
      </c>
      <c r="T5536" s="1645" t="s">
        <v>14752</v>
      </c>
      <c r="U5536" s="1985" t="s">
        <v>18761</v>
      </c>
      <c r="V5536" s="1645" t="s">
        <v>5575</v>
      </c>
      <c r="W5536" s="2181" t="s">
        <v>18762</v>
      </c>
      <c r="X5536" s="1800"/>
      <c r="Y5536" s="1803"/>
      <c r="Z5536" s="1825"/>
      <c r="AA5536" s="1825"/>
      <c r="AB5536" s="1825"/>
    </row>
    <row r="5537" spans="1:28" ht="15.75" hidden="1" customHeight="1">
      <c r="A5537" s="1645">
        <v>5546</v>
      </c>
      <c r="B5537" s="1641">
        <v>44733</v>
      </c>
      <c r="C5537" s="1642" t="s">
        <v>18763</v>
      </c>
      <c r="D5537" s="1643" t="s">
        <v>6</v>
      </c>
      <c r="E5537" s="1800" t="s">
        <v>17683</v>
      </c>
      <c r="F5537" s="1801" t="s">
        <v>18751</v>
      </c>
      <c r="G5537" s="1649" t="s">
        <v>18764</v>
      </c>
      <c r="H5537" s="1645" t="s">
        <v>18765</v>
      </c>
      <c r="I5537" s="1645" t="s">
        <v>281</v>
      </c>
      <c r="J5537" s="1645" t="s">
        <v>18766</v>
      </c>
      <c r="K5537" s="1645" t="s">
        <v>18767</v>
      </c>
      <c r="L5537" s="1646" t="s">
        <v>1</v>
      </c>
      <c r="M5537" s="1645">
        <v>50</v>
      </c>
      <c r="N5537" s="1645">
        <v>100</v>
      </c>
      <c r="O5537" s="1645">
        <v>100</v>
      </c>
      <c r="P5537" s="1645">
        <v>0</v>
      </c>
      <c r="Q5537" s="1645">
        <v>100</v>
      </c>
      <c r="R5537" s="1802">
        <v>6.77</v>
      </c>
      <c r="S5537" s="1802">
        <f>R5537*O5537</f>
        <v>677</v>
      </c>
      <c r="T5537" s="1645" t="s">
        <v>14752</v>
      </c>
      <c r="U5537" s="1985" t="s">
        <v>18761</v>
      </c>
      <c r="V5537" s="1645" t="s">
        <v>5575</v>
      </c>
      <c r="W5537" s="2181" t="s">
        <v>18768</v>
      </c>
      <c r="X5537" s="1800"/>
      <c r="Y5537" s="1647"/>
      <c r="Z5537" s="1648"/>
      <c r="AA5537" s="1648"/>
      <c r="AB5537" s="1648"/>
    </row>
    <row r="5538" spans="1:28" ht="15.75" hidden="1" customHeight="1">
      <c r="A5538" s="222">
        <v>5547</v>
      </c>
      <c r="B5538" s="858">
        <v>44733</v>
      </c>
      <c r="C5538" s="129" t="s">
        <v>18769</v>
      </c>
      <c r="D5538" s="10"/>
      <c r="E5538" s="818" t="s">
        <v>17683</v>
      </c>
      <c r="F5538" s="1537" t="s">
        <v>16770</v>
      </c>
      <c r="G5538" s="875">
        <v>22062100138</v>
      </c>
      <c r="H5538" s="1122" t="s">
        <v>18770</v>
      </c>
      <c r="I5538" s="1122" t="s">
        <v>18770</v>
      </c>
      <c r="J5538" s="875">
        <v>22062100138</v>
      </c>
      <c r="K5538" s="875">
        <v>22062100138</v>
      </c>
      <c r="L5538" s="613"/>
      <c r="M5538" s="183">
        <v>5</v>
      </c>
      <c r="N5538" s="183">
        <v>1</v>
      </c>
      <c r="O5538" s="222">
        <v>5</v>
      </c>
      <c r="P5538" s="222">
        <v>0</v>
      </c>
      <c r="Q5538" s="458">
        <v>5</v>
      </c>
      <c r="R5538" s="1195">
        <v>28941</v>
      </c>
      <c r="S5538" s="1195">
        <v>28941</v>
      </c>
      <c r="T5538" s="222"/>
      <c r="U5538" s="1527"/>
      <c r="W5538" s="2155"/>
      <c r="X5538" s="818"/>
      <c r="Y5538" s="1161"/>
    </row>
    <row r="5539" spans="1:28" ht="15.75" hidden="1" customHeight="1">
      <c r="A5539" s="222">
        <v>5548</v>
      </c>
      <c r="B5539" s="858">
        <v>44733</v>
      </c>
      <c r="C5539" s="129" t="s">
        <v>18771</v>
      </c>
      <c r="D5539" s="10"/>
      <c r="E5539" s="818" t="s">
        <v>17683</v>
      </c>
      <c r="F5539" s="1537" t="s">
        <v>16770</v>
      </c>
      <c r="G5539" s="875">
        <v>22062100139</v>
      </c>
      <c r="H5539" s="1122" t="s">
        <v>18770</v>
      </c>
      <c r="I5539" s="1122" t="s">
        <v>18770</v>
      </c>
      <c r="J5539" s="875">
        <v>22062100139</v>
      </c>
      <c r="K5539" s="875">
        <v>22062100139</v>
      </c>
      <c r="L5539" s="613"/>
      <c r="M5539" s="183">
        <v>5</v>
      </c>
      <c r="N5539" s="183">
        <v>1</v>
      </c>
      <c r="O5539" s="222">
        <v>5</v>
      </c>
      <c r="P5539" s="222">
        <v>0</v>
      </c>
      <c r="Q5539" s="222">
        <v>5</v>
      </c>
      <c r="R5539" s="1195">
        <v>28941</v>
      </c>
      <c r="S5539" s="1195">
        <v>28941</v>
      </c>
      <c r="T5539" s="222"/>
      <c r="U5539" s="1527"/>
      <c r="W5539" s="2155"/>
      <c r="X5539" s="818"/>
      <c r="Y5539" s="1161"/>
    </row>
    <row r="5540" spans="1:28" ht="15.75" hidden="1" customHeight="1">
      <c r="A5540" s="1119">
        <v>5549</v>
      </c>
      <c r="B5540" s="1651">
        <v>44735</v>
      </c>
      <c r="C5540" s="1652" t="s">
        <v>18750</v>
      </c>
      <c r="D5540" s="11" t="s">
        <v>6</v>
      </c>
      <c r="E5540" s="818" t="s">
        <v>17683</v>
      </c>
      <c r="F5540" s="1654" t="s">
        <v>18751</v>
      </c>
      <c r="G5540" s="1655" t="s">
        <v>10151</v>
      </c>
      <c r="H5540" s="1119" t="s">
        <v>3612</v>
      </c>
      <c r="I5540" s="1119" t="s">
        <v>281</v>
      </c>
      <c r="J5540" s="853" t="s">
        <v>3613</v>
      </c>
      <c r="K5540" s="853" t="s">
        <v>3614</v>
      </c>
      <c r="L5540" s="1656" t="s">
        <v>1</v>
      </c>
      <c r="M5540" s="853">
        <v>2</v>
      </c>
      <c r="N5540" s="853">
        <v>10</v>
      </c>
      <c r="O5540" s="1119">
        <v>10</v>
      </c>
      <c r="P5540" s="1119">
        <v>0</v>
      </c>
      <c r="Q5540" s="1119">
        <v>8</v>
      </c>
      <c r="R5540" s="1657">
        <v>275</v>
      </c>
      <c r="S5540" s="1657">
        <f t="shared" ref="S5540:S5564" si="298">R5540*O5540</f>
        <v>2750</v>
      </c>
      <c r="T5540" s="1119" t="s">
        <v>14752</v>
      </c>
      <c r="U5540" s="1986" t="s">
        <v>18752</v>
      </c>
      <c r="V5540" s="1119" t="s">
        <v>5575</v>
      </c>
      <c r="W5540" s="2182" t="s">
        <v>18753</v>
      </c>
      <c r="X5540" s="1653"/>
      <c r="Y5540" s="1658"/>
      <c r="Z5540" s="1659"/>
      <c r="AA5540" s="1659"/>
      <c r="AB5540" s="1659"/>
    </row>
    <row r="5541" spans="1:28" ht="15.75" hidden="1" customHeight="1">
      <c r="A5541" s="1119">
        <v>5550</v>
      </c>
      <c r="B5541" s="1651">
        <v>44735</v>
      </c>
      <c r="C5541" s="1652" t="s">
        <v>18754</v>
      </c>
      <c r="D5541" s="11" t="s">
        <v>6</v>
      </c>
      <c r="E5541" s="818" t="s">
        <v>17683</v>
      </c>
      <c r="F5541" s="1654" t="s">
        <v>18751</v>
      </c>
      <c r="G5541" s="1655" t="s">
        <v>13469</v>
      </c>
      <c r="H5541" s="1119" t="s">
        <v>2060</v>
      </c>
      <c r="I5541" s="1119" t="s">
        <v>281</v>
      </c>
      <c r="J5541" s="853" t="s">
        <v>18755</v>
      </c>
      <c r="K5541" s="853" t="s">
        <v>18756</v>
      </c>
      <c r="L5541" s="1656" t="s">
        <v>1</v>
      </c>
      <c r="M5541" s="853">
        <v>2</v>
      </c>
      <c r="N5541" s="853">
        <v>10</v>
      </c>
      <c r="O5541" s="1119">
        <v>10</v>
      </c>
      <c r="P5541" s="1119">
        <v>0</v>
      </c>
      <c r="Q5541" s="1119">
        <v>8</v>
      </c>
      <c r="R5541" s="1657">
        <v>349</v>
      </c>
      <c r="S5541" s="1657">
        <f t="shared" si="298"/>
        <v>3490</v>
      </c>
      <c r="T5541" s="1119" t="s">
        <v>14752</v>
      </c>
      <c r="U5541" s="1986" t="s">
        <v>18752</v>
      </c>
      <c r="V5541" s="1119" t="s">
        <v>5575</v>
      </c>
      <c r="W5541" s="2183" t="s">
        <v>18757</v>
      </c>
      <c r="X5541" s="1653"/>
      <c r="Y5541" s="1658"/>
      <c r="Z5541" s="1659"/>
      <c r="AA5541" s="1659"/>
      <c r="AB5541" s="1659"/>
    </row>
    <row r="5542" spans="1:28" ht="15.75" hidden="1" customHeight="1">
      <c r="A5542" s="1663">
        <v>5551</v>
      </c>
      <c r="B5542" s="1660">
        <v>44735</v>
      </c>
      <c r="C5542" s="1661" t="s">
        <v>18758</v>
      </c>
      <c r="D5542" s="1662"/>
      <c r="E5542" s="1804" t="s">
        <v>17683</v>
      </c>
      <c r="F5542" s="1805" t="s">
        <v>18751</v>
      </c>
      <c r="G5542" s="1661" t="s">
        <v>18758</v>
      </c>
      <c r="H5542" s="1663" t="s">
        <v>2920</v>
      </c>
      <c r="I5542" s="1663" t="s">
        <v>281</v>
      </c>
      <c r="J5542" s="1663" t="s">
        <v>18760</v>
      </c>
      <c r="K5542" s="1663">
        <v>1949</v>
      </c>
      <c r="L5542" s="1664" t="s">
        <v>1</v>
      </c>
      <c r="M5542" s="1663">
        <v>1</v>
      </c>
      <c r="N5542" s="1663">
        <v>1</v>
      </c>
      <c r="O5542" s="1663">
        <v>1</v>
      </c>
      <c r="P5542" s="1663">
        <v>0</v>
      </c>
      <c r="Q5542" s="1663">
        <v>0</v>
      </c>
      <c r="R5542" s="1806">
        <v>533</v>
      </c>
      <c r="S5542" s="1806">
        <f t="shared" si="298"/>
        <v>533</v>
      </c>
      <c r="T5542" s="1663" t="s">
        <v>14752</v>
      </c>
      <c r="U5542" s="1987" t="s">
        <v>18752</v>
      </c>
      <c r="V5542" s="1663" t="s">
        <v>5575</v>
      </c>
      <c r="W5542" s="2184" t="s">
        <v>18762</v>
      </c>
      <c r="X5542" s="1804"/>
      <c r="Y5542" s="1807"/>
      <c r="Z5542" s="1826"/>
      <c r="AA5542" s="1826"/>
      <c r="AB5542" s="1826"/>
    </row>
    <row r="5543" spans="1:28" ht="15.75" hidden="1" customHeight="1">
      <c r="A5543" s="222">
        <v>5552</v>
      </c>
      <c r="B5543" s="858">
        <v>44735</v>
      </c>
      <c r="C5543" s="1499" t="s">
        <v>18772</v>
      </c>
      <c r="D5543" s="11" t="s">
        <v>6</v>
      </c>
      <c r="E5543" s="818" t="s">
        <v>17683</v>
      </c>
      <c r="F5543" s="1006" t="s">
        <v>18751</v>
      </c>
      <c r="G5543" s="863" t="s">
        <v>18773</v>
      </c>
      <c r="H5543" s="222" t="s">
        <v>18765</v>
      </c>
      <c r="I5543" s="222" t="s">
        <v>281</v>
      </c>
      <c r="J5543" s="1500" t="s">
        <v>18774</v>
      </c>
      <c r="K5543" s="1500" t="s">
        <v>18775</v>
      </c>
      <c r="L5543" s="613" t="s">
        <v>1</v>
      </c>
      <c r="M5543" s="183">
        <v>12</v>
      </c>
      <c r="N5543" s="183">
        <v>20</v>
      </c>
      <c r="O5543" s="222">
        <v>20</v>
      </c>
      <c r="P5543" s="222">
        <v>0</v>
      </c>
      <c r="Q5543" s="222">
        <v>8</v>
      </c>
      <c r="R5543" s="1195">
        <v>19</v>
      </c>
      <c r="S5543" s="1195">
        <f t="shared" si="298"/>
        <v>380</v>
      </c>
      <c r="T5543" s="222" t="s">
        <v>14752</v>
      </c>
      <c r="U5543" s="1527" t="s">
        <v>18752</v>
      </c>
      <c r="V5543" s="222" t="s">
        <v>5575</v>
      </c>
      <c r="W5543" s="2155" t="s">
        <v>18776</v>
      </c>
      <c r="X5543" s="818"/>
      <c r="Y5543" s="1161"/>
    </row>
    <row r="5544" spans="1:28" ht="15.75" hidden="1" customHeight="1">
      <c r="A5544" s="222">
        <v>5553</v>
      </c>
      <c r="B5544" s="1394">
        <v>44735</v>
      </c>
      <c r="C5544" s="1639" t="s">
        <v>18777</v>
      </c>
      <c r="D5544" s="10"/>
      <c r="E5544" s="818" t="s">
        <v>62</v>
      </c>
      <c r="F5544" s="1006" t="s">
        <v>11441</v>
      </c>
      <c r="G5544" s="1639" t="s">
        <v>18777</v>
      </c>
      <c r="H5544" s="222" t="s">
        <v>18778</v>
      </c>
      <c r="I5544" s="1527" t="s">
        <v>18778</v>
      </c>
      <c r="J5544" s="1640" t="s">
        <v>18779</v>
      </c>
      <c r="K5544" s="1640" t="s">
        <v>18780</v>
      </c>
      <c r="L5544" s="613" t="s">
        <v>1</v>
      </c>
      <c r="M5544" s="183">
        <v>2</v>
      </c>
      <c r="N5544" s="183">
        <v>1</v>
      </c>
      <c r="O5544" s="183">
        <v>2</v>
      </c>
      <c r="P5544" s="222">
        <v>0</v>
      </c>
      <c r="Q5544" s="222">
        <v>0</v>
      </c>
      <c r="R5544" s="1195">
        <v>108270</v>
      </c>
      <c r="S5544" s="1195">
        <f t="shared" si="298"/>
        <v>216540</v>
      </c>
      <c r="T5544" s="222" t="s">
        <v>18781</v>
      </c>
      <c r="U5544" s="1527" t="s">
        <v>18781</v>
      </c>
      <c r="V5544" s="20" t="s">
        <v>13780</v>
      </c>
      <c r="W5544" s="2155" t="s">
        <v>18782</v>
      </c>
      <c r="X5544" s="818"/>
      <c r="Y5544" s="1161"/>
    </row>
    <row r="5545" spans="1:28" ht="15.75" hidden="1" customHeight="1">
      <c r="A5545" s="222">
        <v>5554</v>
      </c>
      <c r="B5545" s="1394">
        <v>44735</v>
      </c>
      <c r="C5545" s="1639" t="s">
        <v>18783</v>
      </c>
      <c r="D5545" s="10"/>
      <c r="E5545" s="818" t="s">
        <v>62</v>
      </c>
      <c r="F5545" s="1006" t="s">
        <v>11441</v>
      </c>
      <c r="G5545" s="1639" t="s">
        <v>18783</v>
      </c>
      <c r="H5545" s="222" t="s">
        <v>18778</v>
      </c>
      <c r="I5545" s="1527" t="s">
        <v>18778</v>
      </c>
      <c r="J5545" s="1640" t="s">
        <v>18784</v>
      </c>
      <c r="K5545" s="1640" t="s">
        <v>18784</v>
      </c>
      <c r="L5545" s="613" t="s">
        <v>1</v>
      </c>
      <c r="M5545" s="183">
        <v>2</v>
      </c>
      <c r="N5545" s="183">
        <v>1</v>
      </c>
      <c r="O5545" s="183">
        <v>2</v>
      </c>
      <c r="P5545" s="222">
        <v>0</v>
      </c>
      <c r="Q5545" s="222">
        <v>0</v>
      </c>
      <c r="R5545" s="1195">
        <v>110559</v>
      </c>
      <c r="S5545" s="1195">
        <f t="shared" si="298"/>
        <v>221118</v>
      </c>
      <c r="T5545" s="222" t="s">
        <v>18781</v>
      </c>
      <c r="U5545" s="1527" t="s">
        <v>18781</v>
      </c>
      <c r="V5545" s="20" t="s">
        <v>13780</v>
      </c>
      <c r="W5545" s="2155" t="s">
        <v>18785</v>
      </c>
      <c r="X5545" s="818"/>
      <c r="Y5545" s="1161"/>
    </row>
    <row r="5546" spans="1:28" ht="15.75" hidden="1" customHeight="1">
      <c r="A5546" s="222">
        <v>5555</v>
      </c>
      <c r="B5546" s="1394">
        <v>44735</v>
      </c>
      <c r="C5546" s="1639" t="s">
        <v>18786</v>
      </c>
      <c r="D5546" s="10"/>
      <c r="E5546" s="818" t="s">
        <v>62</v>
      </c>
      <c r="F5546" s="1006" t="s">
        <v>11441</v>
      </c>
      <c r="G5546" s="1639" t="s">
        <v>18786</v>
      </c>
      <c r="H5546" s="222" t="s">
        <v>18778</v>
      </c>
      <c r="I5546" s="1527" t="s">
        <v>18778</v>
      </c>
      <c r="J5546" s="1640" t="s">
        <v>18787</v>
      </c>
      <c r="K5546" s="1640" t="s">
        <v>18788</v>
      </c>
      <c r="L5546" s="613" t="s">
        <v>1</v>
      </c>
      <c r="M5546" s="183">
        <v>2</v>
      </c>
      <c r="N5546" s="183">
        <v>1</v>
      </c>
      <c r="O5546" s="183">
        <v>2</v>
      </c>
      <c r="P5546" s="222">
        <v>0</v>
      </c>
      <c r="Q5546" s="222">
        <v>0</v>
      </c>
      <c r="R5546" s="1195">
        <v>117984</v>
      </c>
      <c r="S5546" s="1195">
        <f t="shared" si="298"/>
        <v>235968</v>
      </c>
      <c r="T5546" s="222" t="s">
        <v>18781</v>
      </c>
      <c r="U5546" s="1527" t="s">
        <v>18781</v>
      </c>
      <c r="V5546" s="20" t="s">
        <v>13780</v>
      </c>
      <c r="W5546" s="2155" t="s">
        <v>18789</v>
      </c>
      <c r="X5546" s="818"/>
      <c r="Y5546" s="1161"/>
    </row>
    <row r="5547" spans="1:28" ht="15.75" hidden="1" customHeight="1">
      <c r="A5547" s="222">
        <v>5556</v>
      </c>
      <c r="B5547" s="1394">
        <v>44735</v>
      </c>
      <c r="C5547" s="1639" t="s">
        <v>1012</v>
      </c>
      <c r="D5547" s="10"/>
      <c r="E5547" s="818" t="s">
        <v>62</v>
      </c>
      <c r="F5547" s="1006" t="s">
        <v>11441</v>
      </c>
      <c r="G5547" s="1639" t="s">
        <v>1012</v>
      </c>
      <c r="H5547" s="222" t="s">
        <v>18778</v>
      </c>
      <c r="I5547" s="1527" t="s">
        <v>18778</v>
      </c>
      <c r="J5547" s="1640" t="s">
        <v>18790</v>
      </c>
      <c r="K5547" s="1640" t="s">
        <v>18791</v>
      </c>
      <c r="L5547" s="613" t="s">
        <v>1</v>
      </c>
      <c r="M5547" s="183">
        <v>1</v>
      </c>
      <c r="N5547" s="183">
        <v>1</v>
      </c>
      <c r="O5547" s="183">
        <v>1</v>
      </c>
      <c r="P5547" s="222">
        <v>0</v>
      </c>
      <c r="Q5547" s="222">
        <v>0</v>
      </c>
      <c r="R5547" s="1195">
        <v>29970</v>
      </c>
      <c r="S5547" s="1195">
        <f t="shared" si="298"/>
        <v>29970</v>
      </c>
      <c r="T5547" s="222" t="s">
        <v>18781</v>
      </c>
      <c r="U5547" s="1527" t="s">
        <v>18781</v>
      </c>
      <c r="V5547" s="20" t="s">
        <v>13780</v>
      </c>
      <c r="W5547" s="2155" t="s">
        <v>18792</v>
      </c>
      <c r="X5547" s="818"/>
      <c r="Y5547" s="1161"/>
    </row>
    <row r="5548" spans="1:28" ht="15.75" hidden="1" customHeight="1">
      <c r="A5548" s="222">
        <v>5557</v>
      </c>
      <c r="B5548" s="1394">
        <v>44735</v>
      </c>
      <c r="C5548" s="1639" t="s">
        <v>18793</v>
      </c>
      <c r="D5548" s="10"/>
      <c r="E5548" s="818" t="s">
        <v>62</v>
      </c>
      <c r="F5548" s="1006" t="s">
        <v>11441</v>
      </c>
      <c r="G5548" s="1639" t="s">
        <v>18793</v>
      </c>
      <c r="H5548" s="222" t="s">
        <v>18778</v>
      </c>
      <c r="I5548" s="1527" t="s">
        <v>18778</v>
      </c>
      <c r="J5548" s="183" t="s">
        <v>18794</v>
      </c>
      <c r="K5548" s="183" t="s">
        <v>18795</v>
      </c>
      <c r="L5548" s="613" t="s">
        <v>1</v>
      </c>
      <c r="M5548" s="183">
        <v>1</v>
      </c>
      <c r="N5548" s="183">
        <v>1</v>
      </c>
      <c r="O5548" s="183">
        <v>1</v>
      </c>
      <c r="P5548" s="222">
        <v>0</v>
      </c>
      <c r="Q5548" s="222">
        <v>0</v>
      </c>
      <c r="R5548" s="1195">
        <v>42255</v>
      </c>
      <c r="S5548" s="1195">
        <f t="shared" si="298"/>
        <v>42255</v>
      </c>
      <c r="T5548" s="222" t="s">
        <v>18781</v>
      </c>
      <c r="U5548" s="1527" t="s">
        <v>18781</v>
      </c>
      <c r="V5548" s="20" t="s">
        <v>13780</v>
      </c>
      <c r="W5548" s="2155" t="s">
        <v>18796</v>
      </c>
      <c r="X5548" s="818"/>
      <c r="Y5548" s="1161"/>
    </row>
    <row r="5549" spans="1:28" ht="15.75" hidden="1" customHeight="1">
      <c r="A5549" s="222">
        <v>5558</v>
      </c>
      <c r="B5549" s="1394">
        <v>44735</v>
      </c>
      <c r="C5549" s="1639" t="s">
        <v>3131</v>
      </c>
      <c r="D5549" s="10"/>
      <c r="E5549" s="818" t="s">
        <v>62</v>
      </c>
      <c r="F5549" s="1006" t="s">
        <v>11441</v>
      </c>
      <c r="G5549" s="1639" t="s">
        <v>3131</v>
      </c>
      <c r="H5549" s="222" t="s">
        <v>18778</v>
      </c>
      <c r="I5549" s="1527" t="s">
        <v>18778</v>
      </c>
      <c r="J5549" s="1640" t="s">
        <v>18797</v>
      </c>
      <c r="K5549" s="1640" t="s">
        <v>18797</v>
      </c>
      <c r="L5549" s="613" t="s">
        <v>1</v>
      </c>
      <c r="M5549" s="183">
        <v>1</v>
      </c>
      <c r="N5549" s="183">
        <v>1</v>
      </c>
      <c r="O5549" s="183">
        <v>1</v>
      </c>
      <c r="P5549" s="222">
        <v>0</v>
      </c>
      <c r="Q5549" s="222">
        <v>0</v>
      </c>
      <c r="R5549" s="1195">
        <v>30105</v>
      </c>
      <c r="S5549" s="1195">
        <f t="shared" si="298"/>
        <v>30105</v>
      </c>
      <c r="T5549" s="222" t="s">
        <v>18781</v>
      </c>
      <c r="U5549" s="1527" t="s">
        <v>18781</v>
      </c>
      <c r="V5549" s="20" t="s">
        <v>13780</v>
      </c>
      <c r="W5549" s="2155" t="s">
        <v>3135</v>
      </c>
      <c r="X5549" s="818"/>
      <c r="Y5549" s="1161"/>
    </row>
    <row r="5550" spans="1:28" ht="15.75" hidden="1" customHeight="1">
      <c r="A5550" s="222">
        <v>5559</v>
      </c>
      <c r="B5550" s="1394">
        <v>44735</v>
      </c>
      <c r="C5550" s="1639" t="s">
        <v>18798</v>
      </c>
      <c r="D5550" s="10"/>
      <c r="E5550" s="818" t="s">
        <v>62</v>
      </c>
      <c r="F5550" s="1006" t="s">
        <v>11441</v>
      </c>
      <c r="G5550" s="1639" t="s">
        <v>18798</v>
      </c>
      <c r="H5550" s="222" t="s">
        <v>18778</v>
      </c>
      <c r="I5550" s="1527" t="s">
        <v>18778</v>
      </c>
      <c r="J5550" s="183" t="s">
        <v>18799</v>
      </c>
      <c r="K5550" s="183" t="s">
        <v>18799</v>
      </c>
      <c r="L5550" s="613" t="s">
        <v>1</v>
      </c>
      <c r="M5550" s="183">
        <v>1</v>
      </c>
      <c r="N5550" s="183">
        <v>1</v>
      </c>
      <c r="O5550" s="183">
        <v>1</v>
      </c>
      <c r="P5550" s="222">
        <v>0</v>
      </c>
      <c r="Q5550" s="222">
        <v>0</v>
      </c>
      <c r="R5550" s="1195">
        <v>30105</v>
      </c>
      <c r="S5550" s="1195">
        <f t="shared" si="298"/>
        <v>30105</v>
      </c>
      <c r="T5550" s="222" t="s">
        <v>18781</v>
      </c>
      <c r="U5550" s="1527" t="s">
        <v>18781</v>
      </c>
      <c r="V5550" s="20" t="s">
        <v>13780</v>
      </c>
      <c r="W5550" s="2155" t="s">
        <v>18800</v>
      </c>
      <c r="X5550" s="818"/>
      <c r="Y5550" s="1161"/>
    </row>
    <row r="5551" spans="1:28" ht="15.75" hidden="1" customHeight="1">
      <c r="A5551" s="222">
        <v>5560</v>
      </c>
      <c r="B5551" s="1394">
        <v>44735</v>
      </c>
      <c r="C5551" s="1639" t="s">
        <v>18801</v>
      </c>
      <c r="D5551" s="10"/>
      <c r="E5551" s="818" t="s">
        <v>62</v>
      </c>
      <c r="F5551" s="1006" t="s">
        <v>11441</v>
      </c>
      <c r="G5551" s="1639" t="s">
        <v>18801</v>
      </c>
      <c r="H5551" s="222" t="s">
        <v>18778</v>
      </c>
      <c r="I5551" s="1527" t="s">
        <v>18778</v>
      </c>
      <c r="J5551" s="183" t="s">
        <v>18802</v>
      </c>
      <c r="K5551" s="183" t="s">
        <v>18802</v>
      </c>
      <c r="L5551" s="613" t="s">
        <v>1</v>
      </c>
      <c r="M5551" s="183">
        <v>2</v>
      </c>
      <c r="N5551" s="183">
        <v>1</v>
      </c>
      <c r="O5551" s="183">
        <v>2</v>
      </c>
      <c r="P5551" s="222">
        <v>0</v>
      </c>
      <c r="Q5551" s="222">
        <v>0</v>
      </c>
      <c r="R5551" s="1195">
        <v>33750</v>
      </c>
      <c r="S5551" s="1195">
        <f t="shared" si="298"/>
        <v>67500</v>
      </c>
      <c r="T5551" s="222" t="s">
        <v>18781</v>
      </c>
      <c r="U5551" s="1527" t="s">
        <v>18781</v>
      </c>
      <c r="V5551" s="20" t="s">
        <v>13780</v>
      </c>
      <c r="W5551" s="2155" t="s">
        <v>18803</v>
      </c>
      <c r="X5551" s="818"/>
      <c r="Y5551" s="1161"/>
    </row>
    <row r="5552" spans="1:28" ht="15.75" hidden="1" customHeight="1">
      <c r="A5552" s="222">
        <v>5561</v>
      </c>
      <c r="B5552" s="1394">
        <v>44735</v>
      </c>
      <c r="C5552" s="1492" t="s">
        <v>18804</v>
      </c>
      <c r="D5552" s="10"/>
      <c r="E5552" s="818" t="s">
        <v>62</v>
      </c>
      <c r="F5552" s="1006" t="s">
        <v>9454</v>
      </c>
      <c r="G5552" s="863" t="s">
        <v>18805</v>
      </c>
      <c r="H5552" s="222" t="s">
        <v>18806</v>
      </c>
      <c r="I5552" s="222" t="s">
        <v>76</v>
      </c>
      <c r="J5552" s="1650" t="s">
        <v>18807</v>
      </c>
      <c r="K5552" s="225"/>
      <c r="L5552" s="613"/>
      <c r="M5552" s="183">
        <v>3</v>
      </c>
      <c r="N5552" s="183">
        <v>1</v>
      </c>
      <c r="O5552" s="222">
        <v>3</v>
      </c>
      <c r="P5552" s="222">
        <v>0</v>
      </c>
      <c r="Q5552" s="222">
        <v>0</v>
      </c>
      <c r="R5552" s="1195">
        <v>713</v>
      </c>
      <c r="S5552" s="1195">
        <f t="shared" si="298"/>
        <v>2139</v>
      </c>
      <c r="T5552" s="222" t="s">
        <v>18808</v>
      </c>
      <c r="U5552" s="1527"/>
      <c r="V5552" s="222" t="s">
        <v>18809</v>
      </c>
      <c r="W5552" s="2155" t="s">
        <v>18810</v>
      </c>
      <c r="X5552" s="818"/>
      <c r="Y5552" s="1161"/>
    </row>
    <row r="5553" spans="1:25" ht="15.75" hidden="1" customHeight="1">
      <c r="A5553" s="222">
        <v>5562</v>
      </c>
      <c r="B5553" s="858">
        <v>44736</v>
      </c>
      <c r="C5553" s="129" t="s">
        <v>18811</v>
      </c>
      <c r="D5553" s="10"/>
      <c r="E5553" s="818" t="s">
        <v>572</v>
      </c>
      <c r="F5553" s="1006" t="s">
        <v>784</v>
      </c>
      <c r="G5553" s="863" t="s">
        <v>18812</v>
      </c>
      <c r="H5553" s="222" t="s">
        <v>230</v>
      </c>
      <c r="I5553" s="222" t="s">
        <v>18813</v>
      </c>
      <c r="J5553" s="183" t="s">
        <v>149</v>
      </c>
      <c r="K5553" s="183" t="s">
        <v>18814</v>
      </c>
      <c r="L5553" s="613" t="s">
        <v>149</v>
      </c>
      <c r="M5553" s="183">
        <v>1</v>
      </c>
      <c r="N5553" s="183">
        <v>1</v>
      </c>
      <c r="O5553" s="222">
        <v>1</v>
      </c>
      <c r="P5553" s="222">
        <v>0</v>
      </c>
      <c r="Q5553" s="222">
        <v>0</v>
      </c>
      <c r="R5553" s="1195">
        <v>1092300</v>
      </c>
      <c r="S5553" s="1195">
        <f t="shared" si="298"/>
        <v>1092300</v>
      </c>
      <c r="T5553" s="222" t="s">
        <v>10016</v>
      </c>
      <c r="U5553" s="1527" t="s">
        <v>10016</v>
      </c>
      <c r="V5553" s="222" t="s">
        <v>18447</v>
      </c>
      <c r="W5553" s="2155"/>
      <c r="X5553" s="818"/>
      <c r="Y5553" s="1161"/>
    </row>
    <row r="5554" spans="1:25" ht="15.75" hidden="1" customHeight="1">
      <c r="A5554" s="222">
        <v>5563</v>
      </c>
      <c r="B5554" s="858">
        <v>44736</v>
      </c>
      <c r="C5554" s="1666" t="s">
        <v>18758</v>
      </c>
      <c r="D5554" s="11" t="s">
        <v>6</v>
      </c>
      <c r="E5554" s="818" t="s">
        <v>17683</v>
      </c>
      <c r="F5554" s="1006" t="s">
        <v>18751</v>
      </c>
      <c r="G5554" s="863" t="s">
        <v>18815</v>
      </c>
      <c r="H5554" s="222" t="s">
        <v>2920</v>
      </c>
      <c r="I5554" s="222" t="s">
        <v>281</v>
      </c>
      <c r="J5554" s="183" t="s">
        <v>4562</v>
      </c>
      <c r="K5554" s="183">
        <v>1950</v>
      </c>
      <c r="L5554" s="613" t="s">
        <v>1</v>
      </c>
      <c r="M5554" s="183">
        <v>1</v>
      </c>
      <c r="N5554" s="183">
        <v>1</v>
      </c>
      <c r="O5554" s="222">
        <v>1</v>
      </c>
      <c r="P5554" s="222">
        <v>0</v>
      </c>
      <c r="Q5554" s="222">
        <v>0</v>
      </c>
      <c r="R5554" s="1195">
        <v>285</v>
      </c>
      <c r="S5554" s="1195">
        <f t="shared" si="298"/>
        <v>285</v>
      </c>
      <c r="T5554" s="222" t="s">
        <v>14752</v>
      </c>
      <c r="U5554" s="1986" t="s">
        <v>18752</v>
      </c>
      <c r="V5554" s="222" t="s">
        <v>5575</v>
      </c>
      <c r="W5554" s="2155" t="s">
        <v>18816</v>
      </c>
      <c r="X5554" s="818"/>
      <c r="Y5554" s="1161"/>
    </row>
    <row r="5555" spans="1:25" ht="15.75" hidden="1" customHeight="1">
      <c r="A5555" s="222">
        <v>5564</v>
      </c>
      <c r="B5555" s="858">
        <v>44738</v>
      </c>
      <c r="C5555" s="129" t="s">
        <v>18817</v>
      </c>
      <c r="D5555" s="11" t="s">
        <v>6</v>
      </c>
      <c r="E5555" s="818" t="s">
        <v>18333</v>
      </c>
      <c r="F5555" s="1006" t="s">
        <v>2143</v>
      </c>
      <c r="G5555" s="863" t="s">
        <v>18818</v>
      </c>
      <c r="H5555" s="222" t="s">
        <v>4110</v>
      </c>
      <c r="I5555" s="222" t="s">
        <v>113</v>
      </c>
      <c r="J5555" s="1665" t="s">
        <v>18819</v>
      </c>
      <c r="K5555" s="183">
        <v>21005127</v>
      </c>
      <c r="L5555" s="613" t="s">
        <v>1</v>
      </c>
      <c r="M5555" s="183">
        <v>1</v>
      </c>
      <c r="N5555" s="183">
        <v>1</v>
      </c>
      <c r="O5555" s="222">
        <v>1</v>
      </c>
      <c r="P5555" s="222">
        <v>0</v>
      </c>
      <c r="Q5555" s="222">
        <v>0</v>
      </c>
      <c r="R5555" s="1195">
        <v>1290</v>
      </c>
      <c r="S5555" s="1195">
        <f t="shared" si="298"/>
        <v>1290</v>
      </c>
      <c r="T5555" s="1584" t="s">
        <v>311</v>
      </c>
      <c r="U5555" s="1981" t="s">
        <v>311</v>
      </c>
      <c r="V5555" s="572" t="s">
        <v>3187</v>
      </c>
      <c r="W5555" s="2155" t="s">
        <v>18820</v>
      </c>
      <c r="X5555" s="818"/>
      <c r="Y5555" s="1161"/>
    </row>
    <row r="5556" spans="1:25" ht="15.75" hidden="1" customHeight="1">
      <c r="A5556" s="222">
        <v>5565</v>
      </c>
      <c r="B5556" s="858">
        <v>44738</v>
      </c>
      <c r="C5556" s="129" t="s">
        <v>18821</v>
      </c>
      <c r="D5556" s="11" t="s">
        <v>6</v>
      </c>
      <c r="E5556" s="818" t="s">
        <v>18333</v>
      </c>
      <c r="F5556" s="1006" t="s">
        <v>2143</v>
      </c>
      <c r="G5556" s="863" t="s">
        <v>18818</v>
      </c>
      <c r="H5556" s="222" t="s">
        <v>4110</v>
      </c>
      <c r="I5556" s="222" t="s">
        <v>113</v>
      </c>
      <c r="J5556" s="1665" t="s">
        <v>18822</v>
      </c>
      <c r="K5556" s="183">
        <v>21005172</v>
      </c>
      <c r="L5556" s="613" t="s">
        <v>1</v>
      </c>
      <c r="M5556" s="183">
        <v>1</v>
      </c>
      <c r="N5556" s="183">
        <v>1</v>
      </c>
      <c r="O5556" s="222">
        <v>1</v>
      </c>
      <c r="P5556" s="222">
        <v>0</v>
      </c>
      <c r="Q5556" s="222">
        <v>0</v>
      </c>
      <c r="R5556" s="1195">
        <v>1490</v>
      </c>
      <c r="S5556" s="1195">
        <f t="shared" si="298"/>
        <v>1490</v>
      </c>
      <c r="T5556" s="1584" t="s">
        <v>311</v>
      </c>
      <c r="U5556" s="1981" t="s">
        <v>311</v>
      </c>
      <c r="V5556" s="572" t="s">
        <v>3187</v>
      </c>
      <c r="W5556" s="2155" t="s">
        <v>18820</v>
      </c>
      <c r="X5556" s="818"/>
      <c r="Y5556" s="1161"/>
    </row>
    <row r="5557" spans="1:25" ht="15.75" hidden="1" customHeight="1">
      <c r="A5557" s="222">
        <v>5566</v>
      </c>
      <c r="B5557" s="858">
        <v>44738</v>
      </c>
      <c r="C5557" s="129" t="s">
        <v>18823</v>
      </c>
      <c r="D5557" s="11" t="s">
        <v>6</v>
      </c>
      <c r="E5557" s="818" t="s">
        <v>18333</v>
      </c>
      <c r="F5557" s="1006" t="s">
        <v>2143</v>
      </c>
      <c r="G5557" s="863" t="s">
        <v>18818</v>
      </c>
      <c r="H5557" s="222" t="s">
        <v>4110</v>
      </c>
      <c r="I5557" s="222" t="s">
        <v>113</v>
      </c>
      <c r="J5557" s="1665" t="s">
        <v>18824</v>
      </c>
      <c r="K5557" s="183">
        <v>21005294</v>
      </c>
      <c r="L5557" s="613" t="s">
        <v>1</v>
      </c>
      <c r="M5557" s="183">
        <v>1</v>
      </c>
      <c r="N5557" s="183">
        <v>1</v>
      </c>
      <c r="O5557" s="222">
        <v>1</v>
      </c>
      <c r="P5557" s="222">
        <v>0</v>
      </c>
      <c r="Q5557" s="222">
        <v>0</v>
      </c>
      <c r="R5557" s="1195">
        <v>2190</v>
      </c>
      <c r="S5557" s="1195">
        <f t="shared" si="298"/>
        <v>2190</v>
      </c>
      <c r="T5557" s="1584" t="s">
        <v>311</v>
      </c>
      <c r="U5557" s="1981" t="s">
        <v>311</v>
      </c>
      <c r="V5557" s="572" t="s">
        <v>3187</v>
      </c>
      <c r="W5557" s="2155" t="s">
        <v>18820</v>
      </c>
      <c r="X5557" s="818"/>
      <c r="Y5557" s="1161"/>
    </row>
    <row r="5558" spans="1:25" ht="15.75" hidden="1" customHeight="1">
      <c r="A5558" s="222">
        <v>5567</v>
      </c>
      <c r="B5558" s="858">
        <v>44739</v>
      </c>
      <c r="C5558" s="129" t="s">
        <v>18825</v>
      </c>
      <c r="D5558" s="10"/>
      <c r="E5558" s="818" t="s">
        <v>572</v>
      </c>
      <c r="F5558" s="1006" t="s">
        <v>784</v>
      </c>
      <c r="G5558" s="863" t="s">
        <v>18826</v>
      </c>
      <c r="H5558" s="222" t="s">
        <v>287</v>
      </c>
      <c r="I5558" s="222" t="s">
        <v>287</v>
      </c>
      <c r="J5558" s="183">
        <v>22062700025</v>
      </c>
      <c r="K5558" s="183">
        <v>22062700025</v>
      </c>
      <c r="L5558" s="613" t="s">
        <v>149</v>
      </c>
      <c r="M5558" s="183">
        <v>1</v>
      </c>
      <c r="N5558" s="183">
        <v>1</v>
      </c>
      <c r="O5558" s="222">
        <v>1</v>
      </c>
      <c r="P5558" s="222">
        <v>0</v>
      </c>
      <c r="Q5558" s="222">
        <v>0</v>
      </c>
      <c r="R5558" s="1195">
        <v>131632</v>
      </c>
      <c r="S5558" s="1195">
        <f t="shared" si="298"/>
        <v>131632</v>
      </c>
      <c r="T5558" s="222" t="s">
        <v>10016</v>
      </c>
      <c r="U5558" s="1527" t="s">
        <v>10016</v>
      </c>
      <c r="V5558" s="222" t="s">
        <v>18447</v>
      </c>
      <c r="W5558" s="2155"/>
      <c r="X5558" s="818"/>
      <c r="Y5558" s="1161"/>
    </row>
    <row r="5559" spans="1:25" ht="15.75" hidden="1" customHeight="1">
      <c r="A5559" s="222">
        <v>5568</v>
      </c>
      <c r="B5559" s="858">
        <v>44739</v>
      </c>
      <c r="C5559" s="129" t="s">
        <v>18827</v>
      </c>
      <c r="D5559" s="11" t="s">
        <v>6</v>
      </c>
      <c r="E5559" s="818" t="s">
        <v>17683</v>
      </c>
      <c r="F5559" s="1006" t="s">
        <v>7046</v>
      </c>
      <c r="G5559" s="863" t="s">
        <v>18828</v>
      </c>
      <c r="H5559" s="1193" t="s">
        <v>18829</v>
      </c>
      <c r="I5559" s="222" t="s">
        <v>574</v>
      </c>
      <c r="J5559" s="183" t="s">
        <v>18830</v>
      </c>
      <c r="K5559" s="183" t="s">
        <v>18831</v>
      </c>
      <c r="L5559" s="613"/>
      <c r="M5559" s="183">
        <v>2</v>
      </c>
      <c r="N5559" s="183">
        <v>2</v>
      </c>
      <c r="O5559" s="222">
        <v>2</v>
      </c>
      <c r="P5559" s="222">
        <v>0</v>
      </c>
      <c r="Q5559" s="222">
        <v>1</v>
      </c>
      <c r="R5559" s="1195">
        <v>2016</v>
      </c>
      <c r="S5559" s="1195">
        <f t="shared" si="298"/>
        <v>4032</v>
      </c>
      <c r="T5559" s="222" t="s">
        <v>12425</v>
      </c>
      <c r="U5559" s="1527" t="s">
        <v>18832</v>
      </c>
      <c r="V5559" s="222" t="s">
        <v>18833</v>
      </c>
      <c r="W5559" s="2155" t="s">
        <v>18834</v>
      </c>
      <c r="X5559" s="818"/>
      <c r="Y5559" s="1161"/>
    </row>
    <row r="5560" spans="1:25" ht="15.75" hidden="1" customHeight="1">
      <c r="A5560" s="222">
        <v>5569</v>
      </c>
      <c r="B5560" s="858">
        <v>44739</v>
      </c>
      <c r="C5560" s="129" t="s">
        <v>18835</v>
      </c>
      <c r="D5560" s="11" t="s">
        <v>6</v>
      </c>
      <c r="E5560" s="818" t="s">
        <v>17683</v>
      </c>
      <c r="F5560" s="1006" t="s">
        <v>7046</v>
      </c>
      <c r="G5560" s="863" t="s">
        <v>18836</v>
      </c>
      <c r="H5560" s="1193" t="s">
        <v>18829</v>
      </c>
      <c r="I5560" s="222" t="s">
        <v>574</v>
      </c>
      <c r="J5560" s="129" t="s">
        <v>18837</v>
      </c>
      <c r="K5560" s="183" t="s">
        <v>18838</v>
      </c>
      <c r="L5560" s="613"/>
      <c r="M5560" s="183">
        <v>2</v>
      </c>
      <c r="N5560" s="183">
        <v>2</v>
      </c>
      <c r="O5560" s="222">
        <v>2</v>
      </c>
      <c r="P5560" s="222">
        <v>0</v>
      </c>
      <c r="Q5560" s="222">
        <v>1</v>
      </c>
      <c r="R5560" s="1195">
        <v>2062</v>
      </c>
      <c r="S5560" s="1195">
        <f t="shared" si="298"/>
        <v>4124</v>
      </c>
      <c r="T5560" s="222" t="s">
        <v>12425</v>
      </c>
      <c r="U5560" s="1527" t="s">
        <v>18832</v>
      </c>
      <c r="V5560" s="222" t="s">
        <v>18833</v>
      </c>
      <c r="W5560" s="2155" t="s">
        <v>18839</v>
      </c>
      <c r="X5560" s="818"/>
      <c r="Y5560" s="1161"/>
    </row>
    <row r="5561" spans="1:25" ht="15.75" hidden="1" customHeight="1">
      <c r="A5561" s="222">
        <v>5570</v>
      </c>
      <c r="B5561" s="858">
        <v>44739</v>
      </c>
      <c r="C5561" s="129" t="s">
        <v>18840</v>
      </c>
      <c r="D5561" s="10"/>
      <c r="E5561" s="818" t="s">
        <v>166</v>
      </c>
      <c r="F5561" s="1006" t="s">
        <v>18841</v>
      </c>
      <c r="G5561" s="863" t="s">
        <v>18840</v>
      </c>
      <c r="H5561" s="222" t="s">
        <v>5878</v>
      </c>
      <c r="I5561" s="222" t="s">
        <v>574</v>
      </c>
      <c r="J5561" s="1808" t="s">
        <v>18842</v>
      </c>
      <c r="K5561" s="183" t="s">
        <v>18843</v>
      </c>
      <c r="L5561" s="613"/>
      <c r="M5561" s="183">
        <v>2</v>
      </c>
      <c r="N5561" s="183">
        <v>1</v>
      </c>
      <c r="O5561" s="222">
        <v>3</v>
      </c>
      <c r="P5561" s="222">
        <v>0</v>
      </c>
      <c r="Q5561" s="222">
        <v>1</v>
      </c>
      <c r="R5561" s="1195">
        <v>21436</v>
      </c>
      <c r="S5561" s="1195">
        <f t="shared" si="298"/>
        <v>64308</v>
      </c>
      <c r="T5561" s="222" t="s">
        <v>12425</v>
      </c>
      <c r="U5561" s="1527" t="s">
        <v>18090</v>
      </c>
      <c r="V5561" s="222" t="s">
        <v>18833</v>
      </c>
      <c r="W5561" s="2155" t="s">
        <v>18844</v>
      </c>
      <c r="X5561" s="818"/>
      <c r="Y5561" s="1161"/>
    </row>
    <row r="5562" spans="1:25" ht="15.75" hidden="1" customHeight="1">
      <c r="A5562" s="222">
        <v>5571</v>
      </c>
      <c r="B5562" s="858">
        <v>44739</v>
      </c>
      <c r="C5562" s="129" t="s">
        <v>18845</v>
      </c>
      <c r="D5562" s="10"/>
      <c r="E5562" s="818" t="s">
        <v>166</v>
      </c>
      <c r="F5562" s="1006" t="s">
        <v>18841</v>
      </c>
      <c r="G5562" s="863" t="s">
        <v>18846</v>
      </c>
      <c r="H5562" s="222" t="s">
        <v>18847</v>
      </c>
      <c r="I5562" s="222" t="s">
        <v>4634</v>
      </c>
      <c r="J5562" s="183" t="s">
        <v>18845</v>
      </c>
      <c r="K5562" s="183" t="s">
        <v>18846</v>
      </c>
      <c r="L5562" s="613"/>
      <c r="M5562" s="183">
        <v>2</v>
      </c>
      <c r="N5562" s="183">
        <v>2</v>
      </c>
      <c r="O5562" s="222">
        <v>2</v>
      </c>
      <c r="P5562" s="222">
        <v>0</v>
      </c>
      <c r="Q5562" s="222">
        <v>2</v>
      </c>
      <c r="R5562" s="1195">
        <v>42990</v>
      </c>
      <c r="S5562" s="1195">
        <f t="shared" si="298"/>
        <v>85980</v>
      </c>
      <c r="T5562" s="222" t="s">
        <v>12425</v>
      </c>
      <c r="U5562" s="1527" t="s">
        <v>18090</v>
      </c>
      <c r="V5562" s="222" t="s">
        <v>18833</v>
      </c>
      <c r="W5562" s="2155" t="s">
        <v>18848</v>
      </c>
      <c r="X5562" s="818"/>
      <c r="Y5562" s="1161"/>
    </row>
    <row r="5563" spans="1:25" ht="15.75" hidden="1" customHeight="1">
      <c r="A5563" s="222">
        <v>5572</v>
      </c>
      <c r="B5563" s="858">
        <v>44739</v>
      </c>
      <c r="C5563" s="129" t="s">
        <v>18849</v>
      </c>
      <c r="D5563" s="10"/>
      <c r="E5563" s="818" t="s">
        <v>166</v>
      </c>
      <c r="F5563" s="1006" t="s">
        <v>18841</v>
      </c>
      <c r="G5563" s="863" t="s">
        <v>5889</v>
      </c>
      <c r="H5563" s="222" t="s">
        <v>5878</v>
      </c>
      <c r="I5563" s="222" t="s">
        <v>574</v>
      </c>
      <c r="J5563" s="183" t="s">
        <v>18850</v>
      </c>
      <c r="K5563" s="183" t="s">
        <v>18849</v>
      </c>
      <c r="L5563" s="613"/>
      <c r="M5563" s="183">
        <v>2</v>
      </c>
      <c r="N5563" s="183">
        <v>1</v>
      </c>
      <c r="O5563" s="222">
        <v>3</v>
      </c>
      <c r="P5563" s="222">
        <v>0</v>
      </c>
      <c r="Q5563" s="222">
        <v>0</v>
      </c>
      <c r="R5563" s="1195">
        <v>15783</v>
      </c>
      <c r="S5563" s="1195">
        <f t="shared" si="298"/>
        <v>47349</v>
      </c>
      <c r="T5563" s="222" t="s">
        <v>12425</v>
      </c>
      <c r="U5563" s="1527" t="s">
        <v>18090</v>
      </c>
      <c r="V5563" s="222" t="s">
        <v>18833</v>
      </c>
      <c r="W5563" s="2155" t="s">
        <v>18851</v>
      </c>
      <c r="X5563" s="818"/>
      <c r="Y5563" s="1161"/>
    </row>
    <row r="5564" spans="1:25" ht="15.75" hidden="1" customHeight="1">
      <c r="A5564" s="222">
        <v>5573</v>
      </c>
      <c r="B5564" s="858">
        <v>44739</v>
      </c>
      <c r="C5564" s="129" t="s">
        <v>13280</v>
      </c>
      <c r="D5564" s="10"/>
      <c r="E5564" s="818" t="s">
        <v>166</v>
      </c>
      <c r="F5564" s="1006" t="s">
        <v>18841</v>
      </c>
      <c r="G5564" s="863" t="s">
        <v>18852</v>
      </c>
      <c r="H5564" s="222" t="s">
        <v>18853</v>
      </c>
      <c r="I5564" s="222" t="s">
        <v>574</v>
      </c>
      <c r="J5564" s="183" t="s">
        <v>18854</v>
      </c>
      <c r="K5564" s="183" t="s">
        <v>13280</v>
      </c>
      <c r="L5564" s="613"/>
      <c r="M5564" s="183">
        <v>4</v>
      </c>
      <c r="N5564" s="183">
        <v>1</v>
      </c>
      <c r="O5564" s="222">
        <v>4</v>
      </c>
      <c r="P5564" s="222">
        <v>0</v>
      </c>
      <c r="Q5564" s="222">
        <v>2</v>
      </c>
      <c r="R5564" s="1195">
        <v>19512</v>
      </c>
      <c r="S5564" s="1195">
        <f t="shared" si="298"/>
        <v>78048</v>
      </c>
      <c r="T5564" s="222" t="s">
        <v>12425</v>
      </c>
      <c r="U5564" s="1527" t="s">
        <v>18090</v>
      </c>
      <c r="V5564" s="222" t="s">
        <v>18833</v>
      </c>
      <c r="W5564" s="2155" t="s">
        <v>18855</v>
      </c>
      <c r="X5564" s="818"/>
      <c r="Y5564" s="1161"/>
    </row>
    <row r="5565" spans="1:25" ht="15.75" hidden="1" customHeight="1">
      <c r="A5565" s="222">
        <v>5574</v>
      </c>
      <c r="B5565" s="858">
        <v>44740</v>
      </c>
      <c r="C5565" s="1489" t="s">
        <v>18856</v>
      </c>
      <c r="D5565" s="39"/>
      <c r="E5565" s="39"/>
      <c r="F5565" s="1043" t="s">
        <v>16770</v>
      </c>
      <c r="G5565" s="1417" t="s">
        <v>16803</v>
      </c>
      <c r="H5565" s="646" t="s">
        <v>429</v>
      </c>
      <c r="I5565" s="646" t="s">
        <v>429</v>
      </c>
      <c r="J5565" s="646" t="s">
        <v>18857</v>
      </c>
      <c r="K5565" s="646"/>
      <c r="L5565" s="608"/>
      <c r="M5565" s="646">
        <v>10</v>
      </c>
      <c r="N5565" s="646">
        <v>1</v>
      </c>
      <c r="O5565" s="646">
        <v>10</v>
      </c>
      <c r="P5565" s="646">
        <v>0</v>
      </c>
      <c r="Q5565" s="646">
        <v>0</v>
      </c>
      <c r="R5565" s="1486" t="s">
        <v>18858</v>
      </c>
      <c r="S5565" s="1486">
        <v>902</v>
      </c>
      <c r="T5565" s="646" t="s">
        <v>12425</v>
      </c>
      <c r="U5565" s="1966" t="s">
        <v>1896</v>
      </c>
      <c r="V5565" s="646" t="s">
        <v>1963</v>
      </c>
      <c r="W5565" s="2166" t="s">
        <v>18859</v>
      </c>
      <c r="X5565" s="1485"/>
      <c r="Y5565" s="1161"/>
    </row>
    <row r="5566" spans="1:25" ht="15.75" hidden="1" customHeight="1">
      <c r="A5566" s="222">
        <v>5575</v>
      </c>
      <c r="B5566" s="858">
        <v>44740</v>
      </c>
      <c r="C5566" s="129" t="s">
        <v>18860</v>
      </c>
      <c r="D5566" s="10"/>
      <c r="E5566" s="818" t="s">
        <v>166</v>
      </c>
      <c r="F5566" s="1006" t="s">
        <v>16770</v>
      </c>
      <c r="G5566" s="863" t="s">
        <v>18861</v>
      </c>
      <c r="H5566" s="222" t="s">
        <v>429</v>
      </c>
      <c r="I5566" s="222" t="s">
        <v>429</v>
      </c>
      <c r="J5566" s="183" t="s">
        <v>18862</v>
      </c>
      <c r="K5566" s="183"/>
      <c r="L5566" s="613"/>
      <c r="M5566" s="183">
        <v>10</v>
      </c>
      <c r="N5566" s="183">
        <v>1</v>
      </c>
      <c r="O5566" s="222">
        <v>10</v>
      </c>
      <c r="P5566" s="222">
        <v>0</v>
      </c>
      <c r="Q5566" s="222">
        <v>0</v>
      </c>
      <c r="R5566" s="1195" t="s">
        <v>18863</v>
      </c>
      <c r="S5566" s="1195">
        <v>858</v>
      </c>
      <c r="T5566" s="222" t="s">
        <v>12425</v>
      </c>
      <c r="U5566" s="1527" t="s">
        <v>1896</v>
      </c>
      <c r="V5566" s="222" t="s">
        <v>1963</v>
      </c>
      <c r="W5566" s="2155" t="s">
        <v>18864</v>
      </c>
      <c r="X5566" s="818"/>
      <c r="Y5566" s="1161"/>
    </row>
    <row r="5567" spans="1:25" ht="15.75" hidden="1" customHeight="1">
      <c r="A5567" s="222">
        <v>5576</v>
      </c>
      <c r="B5567" s="858">
        <v>44740</v>
      </c>
      <c r="C5567" s="129" t="s">
        <v>18865</v>
      </c>
      <c r="D5567" s="10"/>
      <c r="E5567" s="818" t="s">
        <v>166</v>
      </c>
      <c r="F5567" s="1006" t="s">
        <v>16770</v>
      </c>
      <c r="G5567" s="863" t="s">
        <v>16800</v>
      </c>
      <c r="H5567" s="222" t="s">
        <v>429</v>
      </c>
      <c r="I5567" s="222" t="s">
        <v>429</v>
      </c>
      <c r="J5567" s="183" t="s">
        <v>18866</v>
      </c>
      <c r="K5567" s="183"/>
      <c r="L5567" s="613"/>
      <c r="M5567" s="183">
        <v>10</v>
      </c>
      <c r="N5567" s="183">
        <v>1</v>
      </c>
      <c r="O5567" s="222">
        <v>10</v>
      </c>
      <c r="P5567" s="222">
        <v>0</v>
      </c>
      <c r="Q5567" s="222">
        <v>0</v>
      </c>
      <c r="R5567" s="1195" t="s">
        <v>18867</v>
      </c>
      <c r="S5567" s="1195">
        <v>2970</v>
      </c>
      <c r="T5567" s="222" t="s">
        <v>12425</v>
      </c>
      <c r="U5567" s="1527" t="s">
        <v>1896</v>
      </c>
      <c r="V5567" s="222" t="s">
        <v>1963</v>
      </c>
      <c r="W5567" s="2155" t="s">
        <v>12509</v>
      </c>
      <c r="X5567" s="818"/>
      <c r="Y5567" s="1161"/>
    </row>
    <row r="5568" spans="1:25" ht="15.75" hidden="1" customHeight="1">
      <c r="A5568" s="222">
        <v>5577</v>
      </c>
      <c r="B5568" s="858">
        <v>44740</v>
      </c>
      <c r="C5568" s="129" t="s">
        <v>18868</v>
      </c>
      <c r="D5568" s="10"/>
      <c r="E5568" s="818" t="s">
        <v>166</v>
      </c>
      <c r="F5568" s="1006" t="s">
        <v>16770</v>
      </c>
      <c r="G5568" s="863" t="s">
        <v>18869</v>
      </c>
      <c r="H5568" s="222" t="s">
        <v>429</v>
      </c>
      <c r="I5568" s="222" t="s">
        <v>429</v>
      </c>
      <c r="J5568" s="183" t="s">
        <v>12424</v>
      </c>
      <c r="K5568" s="183"/>
      <c r="L5568" s="613"/>
      <c r="M5568" s="183">
        <v>8</v>
      </c>
      <c r="N5568" s="183">
        <v>1</v>
      </c>
      <c r="O5568" s="222">
        <v>8</v>
      </c>
      <c r="P5568" s="222">
        <v>0</v>
      </c>
      <c r="Q5568" s="222">
        <v>0</v>
      </c>
      <c r="R5568" s="1195" t="s">
        <v>18870</v>
      </c>
      <c r="S5568" s="1195">
        <v>484</v>
      </c>
      <c r="T5568" s="222" t="s">
        <v>12425</v>
      </c>
      <c r="U5568" s="1527" t="s">
        <v>1896</v>
      </c>
      <c r="V5568" s="222" t="s">
        <v>1963</v>
      </c>
      <c r="W5568" s="2155" t="s">
        <v>17244</v>
      </c>
      <c r="X5568" s="818"/>
      <c r="Y5568" s="1161"/>
    </row>
    <row r="5569" spans="1:25" ht="15.75" hidden="1" customHeight="1">
      <c r="A5569" s="222">
        <v>5578</v>
      </c>
      <c r="B5569" s="858">
        <v>44740</v>
      </c>
      <c r="C5569" s="129" t="s">
        <v>2621</v>
      </c>
      <c r="D5569" s="10"/>
      <c r="E5569" s="818" t="s">
        <v>166</v>
      </c>
      <c r="F5569" s="1006" t="s">
        <v>16770</v>
      </c>
      <c r="G5569" s="863" t="s">
        <v>17236</v>
      </c>
      <c r="H5569" s="222" t="s">
        <v>429</v>
      </c>
      <c r="I5569" s="222" t="s">
        <v>429</v>
      </c>
      <c r="J5569" s="183" t="s">
        <v>17237</v>
      </c>
      <c r="K5569" s="183"/>
      <c r="L5569" s="613"/>
      <c r="M5569" s="183">
        <v>10</v>
      </c>
      <c r="N5569" s="183">
        <v>50</v>
      </c>
      <c r="O5569" s="222">
        <v>50</v>
      </c>
      <c r="P5569" s="222">
        <v>0</v>
      </c>
      <c r="Q5569" s="222">
        <v>0</v>
      </c>
      <c r="R5569" s="1195" t="s">
        <v>18871</v>
      </c>
      <c r="S5569" s="1195">
        <v>2200</v>
      </c>
      <c r="T5569" s="222" t="s">
        <v>12425</v>
      </c>
      <c r="U5569" s="1527" t="s">
        <v>1896</v>
      </c>
      <c r="V5569" s="222" t="s">
        <v>1963</v>
      </c>
      <c r="W5569" s="2155" t="s">
        <v>17238</v>
      </c>
      <c r="X5569" s="818"/>
      <c r="Y5569" s="1161"/>
    </row>
    <row r="5570" spans="1:25" ht="15.75" hidden="1" customHeight="1">
      <c r="A5570" s="222">
        <v>5579</v>
      </c>
      <c r="B5570" s="858">
        <v>44740</v>
      </c>
      <c r="C5570" s="129" t="s">
        <v>4133</v>
      </c>
      <c r="D5570" s="10" t="s">
        <v>18872</v>
      </c>
      <c r="E5570" s="818" t="s">
        <v>166</v>
      </c>
      <c r="F5570" s="1006" t="s">
        <v>16770</v>
      </c>
      <c r="G5570" s="863" t="s">
        <v>18873</v>
      </c>
      <c r="H5570" s="222" t="s">
        <v>468</v>
      </c>
      <c r="I5570" s="222" t="s">
        <v>5690</v>
      </c>
      <c r="J5570" s="183" t="s">
        <v>18874</v>
      </c>
      <c r="K5570" s="183"/>
      <c r="L5570" s="613"/>
      <c r="M5570" s="183">
        <v>10</v>
      </c>
      <c r="N5570" s="183">
        <v>10</v>
      </c>
      <c r="O5570" s="222">
        <v>10</v>
      </c>
      <c r="P5570" s="222">
        <v>0</v>
      </c>
      <c r="Q5570" s="222">
        <v>0</v>
      </c>
      <c r="R5570" s="1195" t="s">
        <v>18875</v>
      </c>
      <c r="S5570" s="1195">
        <v>3990</v>
      </c>
      <c r="T5570" s="222" t="s">
        <v>12425</v>
      </c>
      <c r="U5570" s="1527" t="s">
        <v>1896</v>
      </c>
      <c r="V5570" s="222" t="s">
        <v>1963</v>
      </c>
      <c r="W5570" s="2155" t="s">
        <v>18876</v>
      </c>
      <c r="X5570" s="818"/>
      <c r="Y5570" s="1161"/>
    </row>
    <row r="5571" spans="1:25" ht="15.75" hidden="1" customHeight="1">
      <c r="A5571" s="222">
        <v>5580</v>
      </c>
      <c r="B5571" s="1416">
        <v>44740</v>
      </c>
      <c r="C5571" s="1489" t="s">
        <v>15523</v>
      </c>
      <c r="D5571" s="39"/>
      <c r="E5571" s="39"/>
      <c r="F5571" s="1043" t="s">
        <v>16770</v>
      </c>
      <c r="G5571" s="1417" t="s">
        <v>16858</v>
      </c>
      <c r="H5571" s="646" t="s">
        <v>429</v>
      </c>
      <c r="I5571" s="646" t="s">
        <v>429</v>
      </c>
      <c r="J5571" s="646" t="s">
        <v>4132</v>
      </c>
      <c r="K5571" s="646"/>
      <c r="L5571" s="608"/>
      <c r="M5571" s="646">
        <v>10</v>
      </c>
      <c r="N5571" s="646">
        <v>10</v>
      </c>
      <c r="O5571" s="646">
        <v>1</v>
      </c>
      <c r="P5571" s="646">
        <v>0</v>
      </c>
      <c r="Q5571" s="646">
        <v>0</v>
      </c>
      <c r="R5571" s="1486" t="s">
        <v>18877</v>
      </c>
      <c r="S5571" s="1486">
        <v>836</v>
      </c>
      <c r="T5571" s="646" t="s">
        <v>12425</v>
      </c>
      <c r="U5571" s="1966" t="s">
        <v>1896</v>
      </c>
      <c r="V5571" s="646" t="s">
        <v>1963</v>
      </c>
      <c r="W5571" s="2166" t="s">
        <v>16860</v>
      </c>
      <c r="X5571" s="818"/>
      <c r="Y5571" s="1161"/>
    </row>
    <row r="5572" spans="1:25" ht="15.75" hidden="1" customHeight="1">
      <c r="A5572" s="222">
        <v>5581</v>
      </c>
      <c r="B5572" s="858">
        <v>44740</v>
      </c>
      <c r="C5572" s="129" t="s">
        <v>13524</v>
      </c>
      <c r="D5572" s="10"/>
      <c r="E5572" s="818" t="s">
        <v>166</v>
      </c>
      <c r="F5572" s="1006" t="s">
        <v>16770</v>
      </c>
      <c r="G5572" s="863" t="s">
        <v>16227</v>
      </c>
      <c r="H5572" s="222" t="s">
        <v>429</v>
      </c>
      <c r="I5572" s="222" t="s">
        <v>429</v>
      </c>
      <c r="J5572" s="183" t="s">
        <v>379</v>
      </c>
      <c r="K5572" s="183"/>
      <c r="L5572" s="613"/>
      <c r="M5572" s="183">
        <v>14</v>
      </c>
      <c r="N5572" s="183">
        <v>14</v>
      </c>
      <c r="O5572" s="222">
        <v>14</v>
      </c>
      <c r="P5572" s="222">
        <v>0</v>
      </c>
      <c r="Q5572" s="222">
        <v>0</v>
      </c>
      <c r="R5572" s="1195" t="s">
        <v>18877</v>
      </c>
      <c r="S5572" s="1195">
        <v>1170</v>
      </c>
      <c r="T5572" s="222" t="s">
        <v>12425</v>
      </c>
      <c r="U5572" s="1527" t="s">
        <v>1896</v>
      </c>
      <c r="V5572" s="222" t="s">
        <v>1963</v>
      </c>
      <c r="W5572" s="2155" t="s">
        <v>11480</v>
      </c>
      <c r="X5572" s="818"/>
      <c r="Y5572" s="1161"/>
    </row>
    <row r="5573" spans="1:25" ht="15.75" hidden="1" customHeight="1">
      <c r="A5573" s="222">
        <v>5582</v>
      </c>
      <c r="B5573" s="858">
        <v>44741</v>
      </c>
      <c r="C5573" s="129" t="s">
        <v>18726</v>
      </c>
      <c r="D5573" s="11" t="s">
        <v>6</v>
      </c>
      <c r="E5573" s="818" t="s">
        <v>166</v>
      </c>
      <c r="F5573" s="1006" t="s">
        <v>73</v>
      </c>
      <c r="G5573" s="863"/>
      <c r="H5573" s="222" t="s">
        <v>366</v>
      </c>
      <c r="I5573" s="222" t="s">
        <v>366</v>
      </c>
      <c r="J5573" s="1667" t="s">
        <v>18878</v>
      </c>
      <c r="K5573" s="1667" t="s">
        <v>18878</v>
      </c>
      <c r="L5573" s="613" t="s">
        <v>1</v>
      </c>
      <c r="M5573" s="183">
        <v>3</v>
      </c>
      <c r="N5573" s="183">
        <v>1</v>
      </c>
      <c r="O5573" s="222">
        <v>10</v>
      </c>
      <c r="P5573" s="222">
        <v>0</v>
      </c>
      <c r="Q5573" s="222">
        <v>7</v>
      </c>
      <c r="R5573" s="1195">
        <v>510</v>
      </c>
      <c r="S5573" s="1195">
        <f>R5573*O5573</f>
        <v>5100</v>
      </c>
      <c r="T5573" s="1527" t="s">
        <v>4220</v>
      </c>
      <c r="U5573" s="1527" t="s">
        <v>4220</v>
      </c>
      <c r="V5573" s="222" t="s">
        <v>689</v>
      </c>
      <c r="W5573" s="2155" t="s">
        <v>18879</v>
      </c>
      <c r="X5573" s="818"/>
      <c r="Y5573" s="1161"/>
    </row>
    <row r="5574" spans="1:25" ht="15.75" hidden="1" customHeight="1">
      <c r="A5574" s="222">
        <v>5583</v>
      </c>
      <c r="B5574" s="858">
        <v>44741</v>
      </c>
      <c r="C5574" s="129" t="s">
        <v>18880</v>
      </c>
      <c r="D5574" s="11" t="s">
        <v>6</v>
      </c>
      <c r="E5574" s="818" t="s">
        <v>17683</v>
      </c>
      <c r="F5574" s="1006" t="s">
        <v>11438</v>
      </c>
      <c r="G5574" s="863" t="s">
        <v>18881</v>
      </c>
      <c r="H5574" s="222" t="s">
        <v>2868</v>
      </c>
      <c r="I5574" s="222" t="s">
        <v>2868</v>
      </c>
      <c r="J5574" s="183">
        <v>22062900121</v>
      </c>
      <c r="K5574" s="183" t="s">
        <v>1</v>
      </c>
      <c r="L5574" s="613" t="s">
        <v>1</v>
      </c>
      <c r="M5574" s="183">
        <v>1</v>
      </c>
      <c r="N5574" s="183">
        <v>1</v>
      </c>
      <c r="O5574" s="222">
        <v>1</v>
      </c>
      <c r="P5574" s="222">
        <v>0</v>
      </c>
      <c r="Q5574" s="222">
        <v>1</v>
      </c>
      <c r="R5574" s="1195">
        <v>187799</v>
      </c>
      <c r="S5574" s="1195">
        <f>R5574*O5574</f>
        <v>187799</v>
      </c>
      <c r="T5574" s="222" t="s">
        <v>4220</v>
      </c>
      <c r="U5574" s="1527" t="s">
        <v>311</v>
      </c>
      <c r="V5574" s="222" t="s">
        <v>18882</v>
      </c>
      <c r="W5574" s="2155"/>
      <c r="X5574" s="818"/>
      <c r="Y5574" s="1161"/>
    </row>
    <row r="5575" spans="1:25" ht="15.75" hidden="1" customHeight="1">
      <c r="A5575" s="222">
        <v>5584</v>
      </c>
      <c r="B5575" s="858">
        <v>44741</v>
      </c>
      <c r="C5575" s="129" t="s">
        <v>18883</v>
      </c>
      <c r="D5575" s="11" t="s">
        <v>6</v>
      </c>
      <c r="E5575" s="818" t="s">
        <v>17683</v>
      </c>
      <c r="F5575" s="1006" t="s">
        <v>11438</v>
      </c>
      <c r="G5575" s="863" t="s">
        <v>18884</v>
      </c>
      <c r="H5575" s="222" t="s">
        <v>2868</v>
      </c>
      <c r="I5575" s="222" t="s">
        <v>2868</v>
      </c>
      <c r="J5575" s="183" t="s">
        <v>1</v>
      </c>
      <c r="K5575" s="183" t="s">
        <v>1</v>
      </c>
      <c r="L5575" s="613" t="s">
        <v>1</v>
      </c>
      <c r="M5575" s="183">
        <v>1</v>
      </c>
      <c r="N5575" s="183">
        <v>1</v>
      </c>
      <c r="O5575" s="222">
        <v>1</v>
      </c>
      <c r="P5575" s="222">
        <v>0</v>
      </c>
      <c r="Q5575" s="222">
        <v>1</v>
      </c>
      <c r="R5575" s="1195">
        <v>160875</v>
      </c>
      <c r="S5575" s="1195">
        <f>R5575*O5575</f>
        <v>160875</v>
      </c>
      <c r="T5575" s="222" t="s">
        <v>4220</v>
      </c>
      <c r="U5575" s="1527" t="s">
        <v>311</v>
      </c>
      <c r="V5575" s="222" t="s">
        <v>352</v>
      </c>
      <c r="W5575" s="2155"/>
      <c r="X5575" s="818"/>
      <c r="Y5575" s="1161"/>
    </row>
    <row r="5576" spans="1:25" ht="15.75" hidden="1" customHeight="1">
      <c r="A5576" s="222">
        <v>5585</v>
      </c>
      <c r="B5576" s="858">
        <v>44741</v>
      </c>
      <c r="C5576" s="1132" t="s">
        <v>13272</v>
      </c>
      <c r="D5576" s="11" t="s">
        <v>6</v>
      </c>
      <c r="E5576" s="1506" t="s">
        <v>18885</v>
      </c>
      <c r="F5576" s="874" t="s">
        <v>10005</v>
      </c>
      <c r="G5576" s="874" t="s">
        <v>18886</v>
      </c>
      <c r="H5576" s="874" t="s">
        <v>10759</v>
      </c>
      <c r="I5576" s="874" t="s">
        <v>84</v>
      </c>
      <c r="J5576" s="1461" t="s">
        <v>1</v>
      </c>
      <c r="K5576" s="874" t="s">
        <v>9411</v>
      </c>
      <c r="L5576" s="874" t="s">
        <v>149</v>
      </c>
      <c r="M5576" s="874">
        <v>2</v>
      </c>
      <c r="N5576" s="874">
        <v>1</v>
      </c>
      <c r="O5576" s="874">
        <v>2</v>
      </c>
      <c r="P5576" s="874">
        <v>0</v>
      </c>
      <c r="Q5576" s="874">
        <v>0</v>
      </c>
      <c r="R5576" s="869" t="s">
        <v>18887</v>
      </c>
      <c r="S5576" s="1673" t="s">
        <v>18888</v>
      </c>
      <c r="T5576" s="873" t="s">
        <v>14509</v>
      </c>
      <c r="U5576" s="1969" t="s">
        <v>4220</v>
      </c>
      <c r="V5576" s="924" t="s">
        <v>5604</v>
      </c>
      <c r="W5576" s="886" t="s">
        <v>18889</v>
      </c>
      <c r="X5576" s="818"/>
      <c r="Y5576" s="1161"/>
    </row>
    <row r="5577" spans="1:25" ht="15.75" hidden="1" customHeight="1">
      <c r="A5577" s="222">
        <v>5586</v>
      </c>
      <c r="B5577" s="858">
        <v>44741</v>
      </c>
      <c r="C5577" s="1139" t="s">
        <v>18890</v>
      </c>
      <c r="D5577" s="11" t="s">
        <v>6</v>
      </c>
      <c r="E5577" s="1041" t="s">
        <v>683</v>
      </c>
      <c r="F5577" s="1041" t="s">
        <v>10005</v>
      </c>
      <c r="G5577" s="1669" t="s">
        <v>18891</v>
      </c>
      <c r="H5577" s="1041" t="s">
        <v>12245</v>
      </c>
      <c r="I5577" s="1041" t="s">
        <v>84</v>
      </c>
      <c r="J5577" s="1041">
        <v>51078676</v>
      </c>
      <c r="K5577" s="1041" t="s">
        <v>1516</v>
      </c>
      <c r="L5577" s="1041" t="s">
        <v>149</v>
      </c>
      <c r="M5577" s="1041">
        <v>1</v>
      </c>
      <c r="N5577" s="1041">
        <v>1</v>
      </c>
      <c r="O5577" s="1041">
        <v>1</v>
      </c>
      <c r="P5577" s="1041">
        <v>0</v>
      </c>
      <c r="Q5577" s="1041">
        <v>0</v>
      </c>
      <c r="R5577" s="1442" t="s">
        <v>18892</v>
      </c>
      <c r="S5577" s="1674" t="s">
        <v>18892</v>
      </c>
      <c r="T5577" s="1128" t="s">
        <v>14509</v>
      </c>
      <c r="U5577" s="1972" t="s">
        <v>4220</v>
      </c>
      <c r="V5577" s="924" t="s">
        <v>5604</v>
      </c>
      <c r="W5577" s="890" t="s">
        <v>1517</v>
      </c>
      <c r="X5577" s="818"/>
      <c r="Y5577" s="1161"/>
    </row>
    <row r="5578" spans="1:25" ht="15.75" hidden="1" customHeight="1">
      <c r="A5578" s="222">
        <v>5587</v>
      </c>
      <c r="B5578" s="858">
        <v>44741</v>
      </c>
      <c r="C5578" s="1139" t="s">
        <v>18893</v>
      </c>
      <c r="D5578" s="11" t="s">
        <v>6</v>
      </c>
      <c r="E5578" s="1506" t="s">
        <v>18885</v>
      </c>
      <c r="F5578" s="1041" t="s">
        <v>10005</v>
      </c>
      <c r="G5578" s="1670" t="s">
        <v>18894</v>
      </c>
      <c r="H5578" s="1041" t="s">
        <v>18895</v>
      </c>
      <c r="I5578" s="1041" t="s">
        <v>84</v>
      </c>
      <c r="J5578" s="1041">
        <v>39540891</v>
      </c>
      <c r="K5578" s="1041" t="s">
        <v>18896</v>
      </c>
      <c r="L5578" s="1041" t="s">
        <v>149</v>
      </c>
      <c r="M5578" s="1041">
        <v>5</v>
      </c>
      <c r="N5578" s="1041">
        <v>1</v>
      </c>
      <c r="O5578" s="1041">
        <v>6</v>
      </c>
      <c r="P5578" s="1041">
        <v>0</v>
      </c>
      <c r="Q5578" s="1041">
        <v>1</v>
      </c>
      <c r="R5578" s="1442" t="s">
        <v>18897</v>
      </c>
      <c r="S5578" s="1674" t="s">
        <v>18898</v>
      </c>
      <c r="T5578" s="1128" t="s">
        <v>14509</v>
      </c>
      <c r="U5578" s="1972" t="s">
        <v>4220</v>
      </c>
      <c r="V5578" s="924" t="s">
        <v>5604</v>
      </c>
      <c r="W5578" s="890" t="s">
        <v>18899</v>
      </c>
      <c r="X5578" s="818"/>
      <c r="Y5578" s="1161"/>
    </row>
    <row r="5579" spans="1:25" ht="15.75" hidden="1" customHeight="1">
      <c r="A5579" s="222">
        <v>5588</v>
      </c>
      <c r="B5579" s="858">
        <v>44741</v>
      </c>
      <c r="C5579" s="1139" t="s">
        <v>18900</v>
      </c>
      <c r="D5579" s="11" t="s">
        <v>6</v>
      </c>
      <c r="E5579" s="1506" t="s">
        <v>18885</v>
      </c>
      <c r="F5579" s="1041" t="s">
        <v>10005</v>
      </c>
      <c r="G5579" s="1041" t="s">
        <v>18901</v>
      </c>
      <c r="H5579" s="1041" t="s">
        <v>1172</v>
      </c>
      <c r="I5579" s="1041" t="s">
        <v>84</v>
      </c>
      <c r="J5579" s="1041">
        <v>6589021</v>
      </c>
      <c r="K5579" s="1041" t="s">
        <v>18902</v>
      </c>
      <c r="L5579" s="1041" t="s">
        <v>149</v>
      </c>
      <c r="M5579" s="1041">
        <v>1</v>
      </c>
      <c r="N5579" s="1041">
        <v>1</v>
      </c>
      <c r="O5579" s="1041">
        <v>2</v>
      </c>
      <c r="P5579" s="1041">
        <v>0</v>
      </c>
      <c r="Q5579" s="1041">
        <v>1</v>
      </c>
      <c r="R5579" s="1442" t="s">
        <v>18903</v>
      </c>
      <c r="S5579" s="1674" t="s">
        <v>18904</v>
      </c>
      <c r="T5579" s="1128" t="s">
        <v>14509</v>
      </c>
      <c r="U5579" s="1972" t="s">
        <v>4220</v>
      </c>
      <c r="V5579" s="924" t="s">
        <v>5604</v>
      </c>
      <c r="W5579" s="890" t="s">
        <v>18905</v>
      </c>
      <c r="X5579" s="818"/>
      <c r="Y5579" s="1161"/>
    </row>
    <row r="5580" spans="1:25" ht="15.75" hidden="1" customHeight="1">
      <c r="A5580" s="222">
        <v>5589</v>
      </c>
      <c r="B5580" s="858">
        <v>44741</v>
      </c>
      <c r="C5580" s="1139" t="s">
        <v>18906</v>
      </c>
      <c r="D5580" s="11" t="s">
        <v>6</v>
      </c>
      <c r="E5580" s="1506" t="s">
        <v>18885</v>
      </c>
      <c r="F5580" s="1041" t="s">
        <v>10005</v>
      </c>
      <c r="G5580" s="1041" t="s">
        <v>18907</v>
      </c>
      <c r="H5580" s="1041" t="s">
        <v>18908</v>
      </c>
      <c r="I5580" s="1041" t="s">
        <v>322</v>
      </c>
      <c r="J5580" s="1041">
        <v>68994458</v>
      </c>
      <c r="K5580" s="1041" t="s">
        <v>18909</v>
      </c>
      <c r="L5580" s="1041" t="s">
        <v>149</v>
      </c>
      <c r="M5580" s="1041">
        <v>1</v>
      </c>
      <c r="N5580" s="1041">
        <v>1</v>
      </c>
      <c r="O5580" s="1041">
        <v>1</v>
      </c>
      <c r="P5580" s="1041">
        <v>0</v>
      </c>
      <c r="Q5580" s="1041">
        <v>0</v>
      </c>
      <c r="R5580" s="1442" t="s">
        <v>18910</v>
      </c>
      <c r="S5580" s="1674" t="s">
        <v>18910</v>
      </c>
      <c r="T5580" s="1128" t="s">
        <v>14509</v>
      </c>
      <c r="U5580" s="1972" t="s">
        <v>4220</v>
      </c>
      <c r="V5580" s="924" t="s">
        <v>5604</v>
      </c>
      <c r="W5580" s="890" t="s">
        <v>18911</v>
      </c>
      <c r="X5580" s="818"/>
      <c r="Y5580" s="1161"/>
    </row>
    <row r="5581" spans="1:25" ht="15.75" hidden="1" customHeight="1">
      <c r="A5581" s="222">
        <v>5590</v>
      </c>
      <c r="B5581" s="858">
        <v>44741</v>
      </c>
      <c r="C5581" s="1139" t="s">
        <v>18912</v>
      </c>
      <c r="D5581" s="11" t="s">
        <v>6</v>
      </c>
      <c r="E5581" s="1506" t="s">
        <v>18885</v>
      </c>
      <c r="F5581" s="1041" t="s">
        <v>10005</v>
      </c>
      <c r="G5581" s="1041" t="s">
        <v>18913</v>
      </c>
      <c r="H5581" s="1041" t="s">
        <v>18914</v>
      </c>
      <c r="I5581" s="1041" t="s">
        <v>53</v>
      </c>
      <c r="J5581" s="1041" t="s">
        <v>18915</v>
      </c>
      <c r="K5581" s="1041" t="s">
        <v>18916</v>
      </c>
      <c r="L5581" s="1041" t="s">
        <v>149</v>
      </c>
      <c r="M5581" s="1041">
        <v>1</v>
      </c>
      <c r="N5581" s="1041">
        <v>1</v>
      </c>
      <c r="O5581" s="1041">
        <v>1</v>
      </c>
      <c r="P5581" s="1041">
        <v>0</v>
      </c>
      <c r="Q5581" s="1041">
        <v>0</v>
      </c>
      <c r="R5581" s="1442" t="s">
        <v>18917</v>
      </c>
      <c r="S5581" s="1674" t="s">
        <v>18917</v>
      </c>
      <c r="T5581" s="1128" t="s">
        <v>14509</v>
      </c>
      <c r="U5581" s="1972" t="s">
        <v>4220</v>
      </c>
      <c r="V5581" s="924" t="s">
        <v>5604</v>
      </c>
      <c r="W5581" s="890" t="s">
        <v>18918</v>
      </c>
      <c r="X5581" s="818"/>
      <c r="Y5581" s="1161"/>
    </row>
    <row r="5582" spans="1:25" ht="15.75" hidden="1" customHeight="1">
      <c r="A5582" s="222">
        <v>5591</v>
      </c>
      <c r="B5582" s="858">
        <v>44741</v>
      </c>
      <c r="C5582" s="1139" t="s">
        <v>18919</v>
      </c>
      <c r="D5582" s="11" t="s">
        <v>6</v>
      </c>
      <c r="E5582" s="1506" t="s">
        <v>18885</v>
      </c>
      <c r="F5582" s="1041" t="s">
        <v>10005</v>
      </c>
      <c r="G5582" s="1041" t="s">
        <v>18920</v>
      </c>
      <c r="H5582" s="1041" t="s">
        <v>366</v>
      </c>
      <c r="I5582" s="1041" t="s">
        <v>366</v>
      </c>
      <c r="J5582" s="1669" t="s">
        <v>1</v>
      </c>
      <c r="K5582" s="1041" t="s">
        <v>18921</v>
      </c>
      <c r="L5582" s="1041" t="s">
        <v>149</v>
      </c>
      <c r="M5582" s="1041">
        <v>1</v>
      </c>
      <c r="N5582" s="1041">
        <v>1</v>
      </c>
      <c r="O5582" s="1041">
        <v>1</v>
      </c>
      <c r="P5582" s="1041">
        <v>0</v>
      </c>
      <c r="Q5582" s="1041">
        <v>0</v>
      </c>
      <c r="R5582" s="1442" t="s">
        <v>18922</v>
      </c>
      <c r="S5582" s="1674" t="s">
        <v>18922</v>
      </c>
      <c r="T5582" s="1128" t="s">
        <v>14509</v>
      </c>
      <c r="U5582" s="1972" t="s">
        <v>4220</v>
      </c>
      <c r="V5582" s="924" t="s">
        <v>5604</v>
      </c>
      <c r="W5582" s="890" t="s">
        <v>18923</v>
      </c>
      <c r="X5582" s="818"/>
      <c r="Y5582" s="1161"/>
    </row>
    <row r="5583" spans="1:25" ht="15.75" hidden="1" customHeight="1">
      <c r="A5583" s="222">
        <v>5592</v>
      </c>
      <c r="B5583" s="858">
        <v>44741</v>
      </c>
      <c r="C5583" s="1139" t="s">
        <v>18924</v>
      </c>
      <c r="D5583" s="11" t="s">
        <v>6</v>
      </c>
      <c r="E5583" s="1506" t="s">
        <v>18885</v>
      </c>
      <c r="F5583" s="1041" t="s">
        <v>10005</v>
      </c>
      <c r="G5583" s="1041" t="s">
        <v>18925</v>
      </c>
      <c r="H5583" s="1041" t="s">
        <v>9298</v>
      </c>
      <c r="I5583" s="1041" t="s">
        <v>322</v>
      </c>
      <c r="J5583" s="1041">
        <v>86263546</v>
      </c>
      <c r="K5583" s="1041" t="s">
        <v>18926</v>
      </c>
      <c r="L5583" s="1041" t="s">
        <v>149</v>
      </c>
      <c r="M5583" s="1041">
        <v>1</v>
      </c>
      <c r="N5583" s="1041">
        <v>1</v>
      </c>
      <c r="O5583" s="1041">
        <v>1</v>
      </c>
      <c r="P5583" s="1041">
        <v>0</v>
      </c>
      <c r="Q5583" s="1041">
        <v>0</v>
      </c>
      <c r="R5583" s="1442" t="s">
        <v>18927</v>
      </c>
      <c r="S5583" s="1674" t="s">
        <v>18927</v>
      </c>
      <c r="T5583" s="1128" t="s">
        <v>14509</v>
      </c>
      <c r="U5583" s="1972" t="s">
        <v>4220</v>
      </c>
      <c r="V5583" s="924" t="s">
        <v>5604</v>
      </c>
      <c r="W5583" s="890" t="s">
        <v>18928</v>
      </c>
      <c r="X5583" s="818"/>
      <c r="Y5583" s="1161"/>
    </row>
    <row r="5584" spans="1:25" ht="15.75" hidden="1" customHeight="1">
      <c r="A5584" s="222">
        <v>5593</v>
      </c>
      <c r="B5584" s="858">
        <v>44741</v>
      </c>
      <c r="C5584" s="1671" t="s">
        <v>12076</v>
      </c>
      <c r="D5584" s="11" t="s">
        <v>6</v>
      </c>
      <c r="E5584" s="1506" t="s">
        <v>18885</v>
      </c>
      <c r="F5584" s="1128" t="s">
        <v>10005</v>
      </c>
      <c r="G5584" s="1128" t="s">
        <v>12077</v>
      </c>
      <c r="H5584" s="1128" t="s">
        <v>827</v>
      </c>
      <c r="I5584" s="1128" t="s">
        <v>2513</v>
      </c>
      <c r="J5584" s="1128" t="s">
        <v>12078</v>
      </c>
      <c r="K5584" s="1128" t="s">
        <v>12079</v>
      </c>
      <c r="L5584" s="1128" t="s">
        <v>149</v>
      </c>
      <c r="M5584" s="1128">
        <v>1</v>
      </c>
      <c r="N5584" s="1128">
        <v>1</v>
      </c>
      <c r="O5584" s="1128">
        <v>1</v>
      </c>
      <c r="P5584" s="1041">
        <v>0</v>
      </c>
      <c r="Q5584" s="1128" t="s">
        <v>18929</v>
      </c>
      <c r="R5584" s="1442" t="s">
        <v>18930</v>
      </c>
      <c r="S5584" s="1674" t="s">
        <v>18930</v>
      </c>
      <c r="T5584" s="1128" t="s">
        <v>14509</v>
      </c>
      <c r="U5584" s="1972" t="s">
        <v>4220</v>
      </c>
      <c r="V5584" s="924" t="s">
        <v>5604</v>
      </c>
      <c r="W5584" s="890" t="s">
        <v>18931</v>
      </c>
      <c r="X5584" s="818"/>
      <c r="Y5584" s="1161"/>
    </row>
    <row r="5585" spans="1:25" ht="15.75" hidden="1" customHeight="1">
      <c r="A5585" s="222">
        <v>5594</v>
      </c>
      <c r="B5585" s="858">
        <v>44741</v>
      </c>
      <c r="C5585" s="1139" t="s">
        <v>18932</v>
      </c>
      <c r="D5585" s="11" t="s">
        <v>6</v>
      </c>
      <c r="E5585" s="1506" t="s">
        <v>18885</v>
      </c>
      <c r="F5585" s="1041" t="s">
        <v>10005</v>
      </c>
      <c r="G5585" s="1041" t="s">
        <v>18933</v>
      </c>
      <c r="H5585" s="1041" t="s">
        <v>17911</v>
      </c>
      <c r="I5585" s="1041" t="s">
        <v>17911</v>
      </c>
      <c r="J5585" s="1669" t="s">
        <v>1</v>
      </c>
      <c r="K5585" s="1041" t="s">
        <v>18934</v>
      </c>
      <c r="L5585" s="1041" t="s">
        <v>149</v>
      </c>
      <c r="M5585" s="1128">
        <v>1</v>
      </c>
      <c r="N5585" s="1128">
        <v>1</v>
      </c>
      <c r="O5585" s="1128">
        <v>1</v>
      </c>
      <c r="P5585" s="1041">
        <v>0</v>
      </c>
      <c r="Q5585" s="1128" t="s">
        <v>18929</v>
      </c>
      <c r="R5585" s="1442" t="s">
        <v>18935</v>
      </c>
      <c r="S5585" s="1674" t="s">
        <v>18935</v>
      </c>
      <c r="T5585" s="1128" t="s">
        <v>14509</v>
      </c>
      <c r="U5585" s="1972" t="s">
        <v>4220</v>
      </c>
      <c r="V5585" s="924" t="s">
        <v>5604</v>
      </c>
      <c r="W5585" s="898" t="s">
        <v>18936</v>
      </c>
      <c r="X5585" s="818"/>
      <c r="Y5585" s="1161"/>
    </row>
    <row r="5586" spans="1:25" ht="15.75" hidden="1" customHeight="1">
      <c r="A5586" s="222">
        <v>5595</v>
      </c>
      <c r="B5586" s="858">
        <v>44741</v>
      </c>
      <c r="C5586" s="1127" t="s">
        <v>10004</v>
      </c>
      <c r="D5586" s="11" t="s">
        <v>6</v>
      </c>
      <c r="E5586" s="1506" t="s">
        <v>18885</v>
      </c>
      <c r="F5586" s="1040" t="s">
        <v>10005</v>
      </c>
      <c r="G5586" s="1040" t="s">
        <v>10006</v>
      </c>
      <c r="H5586" s="1040" t="s">
        <v>10008</v>
      </c>
      <c r="I5586" s="1040" t="s">
        <v>10008</v>
      </c>
      <c r="J5586" s="1672" t="s">
        <v>1</v>
      </c>
      <c r="K5586" s="1672" t="s">
        <v>1</v>
      </c>
      <c r="L5586" s="1040" t="s">
        <v>149</v>
      </c>
      <c r="M5586" s="1040">
        <v>2</v>
      </c>
      <c r="N5586" s="1040">
        <v>1</v>
      </c>
      <c r="O5586" s="1040">
        <v>2</v>
      </c>
      <c r="P5586" s="1040">
        <v>0</v>
      </c>
      <c r="Q5586" s="1128">
        <v>0</v>
      </c>
      <c r="R5586" s="1442" t="s">
        <v>18937</v>
      </c>
      <c r="S5586" s="1674" t="s">
        <v>18938</v>
      </c>
      <c r="T5586" s="1128" t="s">
        <v>14509</v>
      </c>
      <c r="U5586" s="1972" t="s">
        <v>4220</v>
      </c>
      <c r="V5586" s="54" t="s">
        <v>689</v>
      </c>
      <c r="W5586" s="1668" t="s">
        <v>10009</v>
      </c>
      <c r="X5586" s="818"/>
      <c r="Y5586" s="1161"/>
    </row>
    <row r="5587" spans="1:25" ht="15.75" hidden="1" customHeight="1">
      <c r="A5587" s="222">
        <v>5596</v>
      </c>
      <c r="B5587" s="858">
        <v>44741</v>
      </c>
      <c r="C5587" s="1127" t="s">
        <v>18939</v>
      </c>
      <c r="D5587" s="11" t="s">
        <v>6</v>
      </c>
      <c r="E5587" s="1506" t="s">
        <v>18885</v>
      </c>
      <c r="F5587" s="1040" t="s">
        <v>10005</v>
      </c>
      <c r="G5587" s="1040" t="s">
        <v>10011</v>
      </c>
      <c r="H5587" s="1040" t="s">
        <v>10008</v>
      </c>
      <c r="I5587" s="1040" t="s">
        <v>10008</v>
      </c>
      <c r="J5587" s="1672" t="s">
        <v>1</v>
      </c>
      <c r="K5587" s="1672" t="s">
        <v>1</v>
      </c>
      <c r="L5587" s="1040" t="s">
        <v>149</v>
      </c>
      <c r="M5587" s="1040">
        <v>4</v>
      </c>
      <c r="N5587" s="1040">
        <v>1</v>
      </c>
      <c r="O5587" s="1040">
        <v>10</v>
      </c>
      <c r="P5587" s="1040">
        <v>0</v>
      </c>
      <c r="Q5587" s="1128">
        <v>6</v>
      </c>
      <c r="R5587" s="1442" t="s">
        <v>18940</v>
      </c>
      <c r="S5587" s="1674" t="s">
        <v>18941</v>
      </c>
      <c r="T5587" s="1128" t="s">
        <v>14509</v>
      </c>
      <c r="U5587" s="1972" t="s">
        <v>4220</v>
      </c>
      <c r="V5587" s="54" t="s">
        <v>689</v>
      </c>
      <c r="W5587" s="1591" t="s">
        <v>10009</v>
      </c>
      <c r="X5587" s="818"/>
      <c r="Y5587" s="1161"/>
    </row>
    <row r="5588" spans="1:25" ht="15.75" hidden="1" customHeight="1">
      <c r="A5588" s="222">
        <v>5597</v>
      </c>
      <c r="B5588" s="858">
        <v>44741</v>
      </c>
      <c r="C5588" s="1139" t="s">
        <v>18942</v>
      </c>
      <c r="D5588" s="10"/>
      <c r="E5588" s="1506" t="s">
        <v>18885</v>
      </c>
      <c r="F5588" s="1041" t="s">
        <v>10005</v>
      </c>
      <c r="G5588" s="1041" t="s">
        <v>18943</v>
      </c>
      <c r="H5588" s="1041" t="s">
        <v>1614</v>
      </c>
      <c r="I5588" s="1041" t="s">
        <v>18247</v>
      </c>
      <c r="J5588" s="1669" t="s">
        <v>1</v>
      </c>
      <c r="K5588" s="1041" t="s">
        <v>1615</v>
      </c>
      <c r="L5588" s="1041" t="s">
        <v>149</v>
      </c>
      <c r="M5588" s="1041">
        <v>2</v>
      </c>
      <c r="N5588" s="1041">
        <v>1</v>
      </c>
      <c r="O5588" s="1041">
        <v>2</v>
      </c>
      <c r="P5588" s="1041">
        <v>0</v>
      </c>
      <c r="Q5588" s="1041">
        <v>0</v>
      </c>
      <c r="R5588" s="1442" t="s">
        <v>18944</v>
      </c>
      <c r="S5588" s="1674" t="s">
        <v>18945</v>
      </c>
      <c r="T5588" s="1128" t="s">
        <v>14509</v>
      </c>
      <c r="U5588" s="1972" t="s">
        <v>4220</v>
      </c>
      <c r="V5588" s="54" t="s">
        <v>689</v>
      </c>
      <c r="W5588" s="890" t="s">
        <v>18946</v>
      </c>
      <c r="X5588" s="818"/>
      <c r="Y5588" s="1161"/>
    </row>
    <row r="5589" spans="1:25" ht="15.75" hidden="1" customHeight="1">
      <c r="A5589" s="222">
        <v>5598</v>
      </c>
      <c r="B5589" s="858">
        <v>44742</v>
      </c>
      <c r="C5589" s="129" t="s">
        <v>10768</v>
      </c>
      <c r="D5589" s="11" t="s">
        <v>6</v>
      </c>
      <c r="E5589" s="818" t="s">
        <v>17683</v>
      </c>
      <c r="F5589" s="1006" t="s">
        <v>10347</v>
      </c>
      <c r="G5589" s="863" t="s">
        <v>18947</v>
      </c>
      <c r="H5589" s="222" t="s">
        <v>460</v>
      </c>
      <c r="I5589" s="222" t="s">
        <v>672</v>
      </c>
      <c r="J5589" s="183" t="s">
        <v>17041</v>
      </c>
      <c r="K5589" s="183" t="s">
        <v>17039</v>
      </c>
      <c r="L5589" s="613" t="s">
        <v>18948</v>
      </c>
      <c r="M5589" s="183">
        <v>5</v>
      </c>
      <c r="N5589" s="183">
        <v>1</v>
      </c>
      <c r="O5589" s="222">
        <v>5</v>
      </c>
      <c r="P5589" s="222">
        <v>0</v>
      </c>
      <c r="Q5589" s="222">
        <v>0</v>
      </c>
      <c r="R5589" s="1195">
        <v>1796</v>
      </c>
      <c r="S5589" s="1195">
        <f>R5589*O5589</f>
        <v>8980</v>
      </c>
      <c r="T5589" s="1584" t="s">
        <v>311</v>
      </c>
      <c r="U5589" s="1981" t="s">
        <v>311</v>
      </c>
      <c r="V5589" s="222" t="s">
        <v>10617</v>
      </c>
      <c r="W5589" s="2274" t="s">
        <v>18949</v>
      </c>
      <c r="X5589" s="818"/>
      <c r="Y5589" s="1161"/>
    </row>
    <row r="5590" spans="1:25" ht="15.75" hidden="1" customHeight="1">
      <c r="A5590" s="222">
        <v>5599</v>
      </c>
      <c r="B5590" s="858">
        <v>44743</v>
      </c>
      <c r="C5590" s="1505" t="s">
        <v>18950</v>
      </c>
      <c r="D5590" s="11" t="s">
        <v>6</v>
      </c>
      <c r="E5590" s="1506" t="s">
        <v>18885</v>
      </c>
      <c r="F5590" s="1506" t="s">
        <v>18951</v>
      </c>
      <c r="G5590" s="1506" t="s">
        <v>18952</v>
      </c>
      <c r="H5590" s="1506" t="s">
        <v>429</v>
      </c>
      <c r="I5590" s="1506" t="s">
        <v>429</v>
      </c>
      <c r="J5590" s="1676" t="s">
        <v>9165</v>
      </c>
      <c r="K5590" s="1506" t="s">
        <v>9165</v>
      </c>
      <c r="L5590" s="1506" t="s">
        <v>1</v>
      </c>
      <c r="M5590" s="1506">
        <v>112</v>
      </c>
      <c r="N5590" s="1506">
        <v>140</v>
      </c>
      <c r="O5590" s="1506">
        <v>140</v>
      </c>
      <c r="P5590" s="1506">
        <v>100</v>
      </c>
      <c r="Q5590" s="1506">
        <v>128</v>
      </c>
      <c r="R5590" s="1691" t="s">
        <v>18953</v>
      </c>
      <c r="S5590" s="1677" t="s">
        <v>18954</v>
      </c>
      <c r="T5590" s="1508" t="s">
        <v>1543</v>
      </c>
      <c r="U5590" s="1975" t="s">
        <v>18955</v>
      </c>
      <c r="V5590" s="175" t="s">
        <v>5604</v>
      </c>
      <c r="W5590" s="1675" t="s">
        <v>18956</v>
      </c>
      <c r="X5590" s="818"/>
    </row>
    <row r="5591" spans="1:25" ht="15.75" hidden="1" customHeight="1">
      <c r="A5591" s="222">
        <v>5600</v>
      </c>
      <c r="B5591" s="858">
        <v>44743</v>
      </c>
      <c r="C5591" s="1505" t="s">
        <v>18957</v>
      </c>
      <c r="D5591" s="11" t="s">
        <v>6</v>
      </c>
      <c r="E5591" s="1506" t="s">
        <v>18885</v>
      </c>
      <c r="F5591" s="1506" t="s">
        <v>18951</v>
      </c>
      <c r="G5591" s="1506" t="s">
        <v>18958</v>
      </c>
      <c r="H5591" s="1506" t="s">
        <v>429</v>
      </c>
      <c r="I5591" s="1506" t="s">
        <v>429</v>
      </c>
      <c r="J5591" s="1676" t="s">
        <v>11271</v>
      </c>
      <c r="K5591" s="1506" t="s">
        <v>11271</v>
      </c>
      <c r="L5591" s="1506" t="s">
        <v>1</v>
      </c>
      <c r="M5591" s="1506">
        <v>72</v>
      </c>
      <c r="N5591" s="1506">
        <v>100</v>
      </c>
      <c r="O5591" s="1506">
        <v>100</v>
      </c>
      <c r="P5591" s="1506">
        <v>100</v>
      </c>
      <c r="Q5591" s="1506">
        <v>128</v>
      </c>
      <c r="R5591" s="1691" t="s">
        <v>18953</v>
      </c>
      <c r="S5591" s="1677" t="s">
        <v>18959</v>
      </c>
      <c r="T5591" s="1508" t="s">
        <v>1543</v>
      </c>
      <c r="U5591" s="1975" t="s">
        <v>18955</v>
      </c>
      <c r="V5591" s="175" t="s">
        <v>5604</v>
      </c>
      <c r="W5591" s="1675" t="s">
        <v>18960</v>
      </c>
      <c r="X5591" s="818"/>
    </row>
    <row r="5592" spans="1:25" ht="15.75" hidden="1" customHeight="1">
      <c r="A5592" s="222">
        <v>5601</v>
      </c>
      <c r="B5592" s="858">
        <v>44743</v>
      </c>
      <c r="C5592" s="1505" t="s">
        <v>18961</v>
      </c>
      <c r="D5592" s="11" t="s">
        <v>6</v>
      </c>
      <c r="E5592" s="1506" t="s">
        <v>18885</v>
      </c>
      <c r="F5592" s="1506" t="s">
        <v>18951</v>
      </c>
      <c r="G5592" s="1506" t="s">
        <v>18962</v>
      </c>
      <c r="H5592" s="1506" t="s">
        <v>18963</v>
      </c>
      <c r="I5592" s="1506" t="s">
        <v>429</v>
      </c>
      <c r="J5592" s="1676" t="s">
        <v>12386</v>
      </c>
      <c r="K5592" s="1506" t="s">
        <v>12386</v>
      </c>
      <c r="L5592" s="1506" t="s">
        <v>1</v>
      </c>
      <c r="M5592" s="1506">
        <v>16</v>
      </c>
      <c r="N5592" s="1506">
        <v>40</v>
      </c>
      <c r="O5592" s="1506">
        <v>40</v>
      </c>
      <c r="P5592" s="1506">
        <v>48</v>
      </c>
      <c r="Q5592" s="1506">
        <v>72</v>
      </c>
      <c r="R5592" s="1691" t="s">
        <v>18964</v>
      </c>
      <c r="S5592" s="1677" t="s">
        <v>18965</v>
      </c>
      <c r="T5592" s="1508" t="s">
        <v>1543</v>
      </c>
      <c r="U5592" s="1975" t="s">
        <v>18955</v>
      </c>
      <c r="V5592" s="175" t="s">
        <v>5604</v>
      </c>
      <c r="W5592" s="1675" t="s">
        <v>18966</v>
      </c>
      <c r="X5592" s="818"/>
    </row>
    <row r="5593" spans="1:25" ht="15.75" hidden="1" customHeight="1">
      <c r="A5593" s="222">
        <v>5602</v>
      </c>
      <c r="B5593" s="858">
        <v>44743</v>
      </c>
      <c r="C5593" s="1505" t="s">
        <v>18967</v>
      </c>
      <c r="D5593" s="11" t="s">
        <v>6</v>
      </c>
      <c r="E5593" s="1506" t="s">
        <v>18885</v>
      </c>
      <c r="F5593" s="1506" t="s">
        <v>18951</v>
      </c>
      <c r="G5593" s="1506" t="s">
        <v>11289</v>
      </c>
      <c r="H5593" s="1506" t="s">
        <v>429</v>
      </c>
      <c r="I5593" s="1506" t="s">
        <v>429</v>
      </c>
      <c r="J5593" s="1676" t="s">
        <v>11290</v>
      </c>
      <c r="K5593" s="1506" t="s">
        <v>11290</v>
      </c>
      <c r="L5593" s="1506" t="s">
        <v>1</v>
      </c>
      <c r="M5593" s="1506">
        <v>56</v>
      </c>
      <c r="N5593" s="1506">
        <v>70</v>
      </c>
      <c r="O5593" s="1506">
        <v>70</v>
      </c>
      <c r="P5593" s="1506">
        <v>40</v>
      </c>
      <c r="Q5593" s="1506">
        <v>54</v>
      </c>
      <c r="R5593" s="1691" t="s">
        <v>18968</v>
      </c>
      <c r="S5593" s="1677" t="s">
        <v>18969</v>
      </c>
      <c r="T5593" s="1508" t="s">
        <v>1543</v>
      </c>
      <c r="U5593" s="1975" t="s">
        <v>18955</v>
      </c>
      <c r="V5593" s="175" t="s">
        <v>5604</v>
      </c>
      <c r="W5593" s="1675" t="s">
        <v>18970</v>
      </c>
      <c r="X5593" s="818"/>
    </row>
    <row r="5594" spans="1:25" ht="15.75" hidden="1" customHeight="1">
      <c r="A5594" s="222">
        <v>5603</v>
      </c>
      <c r="B5594" s="858">
        <v>44743</v>
      </c>
      <c r="C5594" s="1505" t="s">
        <v>18971</v>
      </c>
      <c r="D5594" s="11" t="s">
        <v>6</v>
      </c>
      <c r="E5594" s="1506" t="s">
        <v>18885</v>
      </c>
      <c r="F5594" s="1506" t="s">
        <v>18951</v>
      </c>
      <c r="G5594" s="1506" t="s">
        <v>18972</v>
      </c>
      <c r="H5594" s="1506" t="s">
        <v>429</v>
      </c>
      <c r="I5594" s="1506" t="s">
        <v>429</v>
      </c>
      <c r="J5594" s="1676" t="s">
        <v>11286</v>
      </c>
      <c r="K5594" s="1506" t="s">
        <v>11286</v>
      </c>
      <c r="L5594" s="1506" t="s">
        <v>1</v>
      </c>
      <c r="M5594" s="1506">
        <v>112</v>
      </c>
      <c r="N5594" s="1506" t="s">
        <v>18973</v>
      </c>
      <c r="O5594" s="1506">
        <v>200</v>
      </c>
      <c r="P5594" s="1506">
        <v>58</v>
      </c>
      <c r="Q5594" s="1506">
        <v>146</v>
      </c>
      <c r="R5594" s="1691" t="s">
        <v>18959</v>
      </c>
      <c r="S5594" s="1677" t="s">
        <v>18974</v>
      </c>
      <c r="T5594" s="1508" t="s">
        <v>1543</v>
      </c>
      <c r="U5594" s="1975" t="s">
        <v>18955</v>
      </c>
      <c r="V5594" s="175" t="s">
        <v>5604</v>
      </c>
      <c r="W5594" s="1675" t="s">
        <v>18975</v>
      </c>
      <c r="X5594" s="818"/>
    </row>
    <row r="5595" spans="1:25" ht="15.75" hidden="1" customHeight="1">
      <c r="A5595" s="222">
        <v>5604</v>
      </c>
      <c r="B5595" s="858">
        <v>44743</v>
      </c>
      <c r="C5595" s="1505" t="s">
        <v>18976</v>
      </c>
      <c r="D5595" s="11" t="s">
        <v>6</v>
      </c>
      <c r="E5595" s="1506" t="s">
        <v>18885</v>
      </c>
      <c r="F5595" s="1506" t="s">
        <v>18951</v>
      </c>
      <c r="G5595" s="1506" t="s">
        <v>18977</v>
      </c>
      <c r="H5595" s="1506" t="s">
        <v>429</v>
      </c>
      <c r="I5595" s="1506" t="s">
        <v>429</v>
      </c>
      <c r="J5595" s="1676" t="s">
        <v>18978</v>
      </c>
      <c r="K5595" s="1506" t="s">
        <v>18978</v>
      </c>
      <c r="L5595" s="1506" t="s">
        <v>1</v>
      </c>
      <c r="M5595" s="1506">
        <v>8</v>
      </c>
      <c r="N5595" s="1506">
        <v>8</v>
      </c>
      <c r="O5595" s="1506">
        <v>8</v>
      </c>
      <c r="P5595" s="1506">
        <v>0</v>
      </c>
      <c r="Q5595" s="1506">
        <v>0</v>
      </c>
      <c r="R5595" s="1691" t="s">
        <v>18979</v>
      </c>
      <c r="S5595" s="1677" t="s">
        <v>18980</v>
      </c>
      <c r="T5595" s="1508" t="s">
        <v>1543</v>
      </c>
      <c r="U5595" s="1975" t="s">
        <v>18955</v>
      </c>
      <c r="V5595" s="175" t="s">
        <v>5604</v>
      </c>
      <c r="W5595" s="1675" t="s">
        <v>18981</v>
      </c>
      <c r="X5595" s="818"/>
    </row>
    <row r="5596" spans="1:25" ht="15.75" hidden="1" customHeight="1">
      <c r="A5596" s="222">
        <v>5605</v>
      </c>
      <c r="B5596" s="858">
        <v>44743</v>
      </c>
      <c r="C5596" s="1505" t="s">
        <v>18982</v>
      </c>
      <c r="D5596" s="11" t="s">
        <v>6</v>
      </c>
      <c r="E5596" s="1506" t="s">
        <v>18885</v>
      </c>
      <c r="F5596" s="1506" t="s">
        <v>18951</v>
      </c>
      <c r="G5596" s="1506" t="s">
        <v>18983</v>
      </c>
      <c r="H5596" s="1506" t="s">
        <v>429</v>
      </c>
      <c r="I5596" s="1506" t="s">
        <v>429</v>
      </c>
      <c r="J5596" s="1676" t="s">
        <v>18984</v>
      </c>
      <c r="K5596" s="1506" t="s">
        <v>18984</v>
      </c>
      <c r="L5596" s="1506" t="s">
        <v>1</v>
      </c>
      <c r="M5596" s="1506">
        <v>10</v>
      </c>
      <c r="N5596" s="1506">
        <v>10</v>
      </c>
      <c r="O5596" s="1506">
        <v>10</v>
      </c>
      <c r="P5596" s="1506">
        <v>0</v>
      </c>
      <c r="Q5596" s="1506">
        <v>0</v>
      </c>
      <c r="R5596" s="1691" t="s">
        <v>18985</v>
      </c>
      <c r="S5596" s="1677" t="s">
        <v>18986</v>
      </c>
      <c r="T5596" s="1508" t="s">
        <v>1543</v>
      </c>
      <c r="U5596" s="1975" t="s">
        <v>18955</v>
      </c>
      <c r="V5596" s="175" t="s">
        <v>5604</v>
      </c>
      <c r="W5596" s="1675" t="s">
        <v>18981</v>
      </c>
      <c r="X5596" s="818"/>
    </row>
    <row r="5597" spans="1:25" ht="15.75" hidden="1" customHeight="1">
      <c r="A5597" s="222">
        <v>5606</v>
      </c>
      <c r="B5597" s="858">
        <v>44743</v>
      </c>
      <c r="C5597" s="1505" t="s">
        <v>18987</v>
      </c>
      <c r="D5597" s="11" t="s">
        <v>6</v>
      </c>
      <c r="E5597" s="1506" t="s">
        <v>18885</v>
      </c>
      <c r="F5597" s="1506" t="s">
        <v>18951</v>
      </c>
      <c r="G5597" s="1506" t="s">
        <v>18988</v>
      </c>
      <c r="H5597" s="1506" t="s">
        <v>429</v>
      </c>
      <c r="I5597" s="1506" t="s">
        <v>429</v>
      </c>
      <c r="J5597" s="1676" t="s">
        <v>18989</v>
      </c>
      <c r="K5597" s="1506" t="s">
        <v>18989</v>
      </c>
      <c r="L5597" s="1506" t="s">
        <v>1</v>
      </c>
      <c r="M5597" s="1506">
        <v>4</v>
      </c>
      <c r="N5597" s="1506">
        <v>4</v>
      </c>
      <c r="O5597" s="1506">
        <v>4</v>
      </c>
      <c r="P5597" s="1506">
        <v>0</v>
      </c>
      <c r="Q5597" s="1506">
        <v>0</v>
      </c>
      <c r="R5597" s="1691" t="s">
        <v>18990</v>
      </c>
      <c r="S5597" s="1677" t="s">
        <v>18991</v>
      </c>
      <c r="T5597" s="1508" t="s">
        <v>1543</v>
      </c>
      <c r="U5597" s="1975" t="s">
        <v>18955</v>
      </c>
      <c r="V5597" s="175" t="s">
        <v>5604</v>
      </c>
      <c r="W5597" s="1675" t="s">
        <v>18981</v>
      </c>
      <c r="X5597" s="818"/>
    </row>
    <row r="5598" spans="1:25" ht="15.75" hidden="1" customHeight="1">
      <c r="A5598" s="222">
        <v>5607</v>
      </c>
      <c r="B5598" s="858">
        <v>44743</v>
      </c>
      <c r="C5598" s="1505" t="s">
        <v>18992</v>
      </c>
      <c r="D5598" s="11"/>
      <c r="E5598" s="1506" t="s">
        <v>18885</v>
      </c>
      <c r="F5598" s="1506" t="s">
        <v>18951</v>
      </c>
      <c r="G5598" s="1506" t="s">
        <v>18993</v>
      </c>
      <c r="H5598" s="1506" t="s">
        <v>18994</v>
      </c>
      <c r="I5598" s="1506" t="s">
        <v>3312</v>
      </c>
      <c r="J5598" s="1506">
        <v>5524145</v>
      </c>
      <c r="K5598" s="1506" t="s">
        <v>18995</v>
      </c>
      <c r="L5598" s="1506" t="s">
        <v>1</v>
      </c>
      <c r="M5598" s="1506">
        <v>60</v>
      </c>
      <c r="N5598" s="1506" t="s">
        <v>18996</v>
      </c>
      <c r="O5598" s="1506">
        <v>60</v>
      </c>
      <c r="P5598" s="1506">
        <v>100</v>
      </c>
      <c r="Q5598" s="1506">
        <v>100</v>
      </c>
      <c r="R5598" s="1691" t="s">
        <v>18997</v>
      </c>
      <c r="S5598" s="1677" t="s">
        <v>18997</v>
      </c>
      <c r="T5598" s="1508" t="s">
        <v>1543</v>
      </c>
      <c r="U5598" s="1975" t="s">
        <v>18955</v>
      </c>
      <c r="V5598" s="175" t="s">
        <v>5604</v>
      </c>
      <c r="W5598" s="1675" t="s">
        <v>18998</v>
      </c>
      <c r="X5598" s="818"/>
    </row>
    <row r="5599" spans="1:25" ht="15.75" hidden="1" customHeight="1">
      <c r="A5599" s="222">
        <v>5608</v>
      </c>
      <c r="B5599" s="858">
        <v>44743</v>
      </c>
      <c r="C5599" s="1505" t="s">
        <v>18999</v>
      </c>
      <c r="D5599" s="11" t="s">
        <v>6</v>
      </c>
      <c r="E5599" s="1506" t="s">
        <v>18885</v>
      </c>
      <c r="F5599" s="1506" t="s">
        <v>18951</v>
      </c>
      <c r="G5599" s="1506" t="s">
        <v>19000</v>
      </c>
      <c r="H5599" s="1506" t="s">
        <v>3312</v>
      </c>
      <c r="I5599" s="1506" t="s">
        <v>3312</v>
      </c>
      <c r="J5599" s="1506">
        <v>35767103</v>
      </c>
      <c r="K5599" s="1506" t="s">
        <v>19001</v>
      </c>
      <c r="L5599" s="1506" t="s">
        <v>1</v>
      </c>
      <c r="M5599" s="1506">
        <v>1</v>
      </c>
      <c r="N5599" s="1506">
        <v>1</v>
      </c>
      <c r="O5599" s="1506">
        <v>1</v>
      </c>
      <c r="P5599" s="1506">
        <v>0</v>
      </c>
      <c r="Q5599" s="1506">
        <v>0</v>
      </c>
      <c r="R5599" s="1691" t="s">
        <v>19002</v>
      </c>
      <c r="S5599" s="1677" t="s">
        <v>19002</v>
      </c>
      <c r="T5599" s="1508" t="s">
        <v>1543</v>
      </c>
      <c r="U5599" s="1975" t="s">
        <v>18955</v>
      </c>
      <c r="V5599" s="175" t="s">
        <v>5604</v>
      </c>
      <c r="W5599" s="1675" t="s">
        <v>19003</v>
      </c>
      <c r="X5599" s="818"/>
    </row>
    <row r="5600" spans="1:25" ht="15.75" hidden="1" customHeight="1">
      <c r="A5600" s="222">
        <v>5609</v>
      </c>
      <c r="B5600" s="858">
        <v>44746</v>
      </c>
      <c r="C5600" s="129" t="s">
        <v>19004</v>
      </c>
      <c r="D5600" s="11" t="s">
        <v>6</v>
      </c>
      <c r="E5600" s="818" t="s">
        <v>572</v>
      </c>
      <c r="F5600" s="1006" t="s">
        <v>19005</v>
      </c>
      <c r="G5600" s="863" t="s">
        <v>19006</v>
      </c>
      <c r="H5600" s="1506" t="s">
        <v>3312</v>
      </c>
      <c r="I5600" s="1506" t="s">
        <v>3312</v>
      </c>
      <c r="J5600" s="183">
        <v>52433133</v>
      </c>
      <c r="K5600" s="183" t="s">
        <v>18683</v>
      </c>
      <c r="L5600" s="1041" t="s">
        <v>149</v>
      </c>
      <c r="M5600" s="183">
        <v>3</v>
      </c>
      <c r="N5600" s="183">
        <v>3</v>
      </c>
      <c r="O5600" s="222">
        <v>3</v>
      </c>
      <c r="P5600" s="1506">
        <v>0</v>
      </c>
      <c r="Q5600" s="1506">
        <v>0</v>
      </c>
      <c r="R5600" s="1195">
        <v>1990</v>
      </c>
      <c r="S5600" s="1678">
        <f>R5600*O5600</f>
        <v>5970</v>
      </c>
      <c r="T5600" s="222" t="s">
        <v>19007</v>
      </c>
      <c r="U5600" s="1527" t="s">
        <v>19008</v>
      </c>
      <c r="V5600" s="175" t="s">
        <v>104</v>
      </c>
      <c r="W5600" s="1815" t="s">
        <v>19009</v>
      </c>
      <c r="X5600" s="818"/>
      <c r="Y5600" s="1161"/>
    </row>
    <row r="5601" spans="1:25" ht="15.75" hidden="1" customHeight="1">
      <c r="A5601" s="222">
        <v>5610</v>
      </c>
      <c r="B5601" s="858">
        <v>44750</v>
      </c>
      <c r="C5601" s="1682" t="s">
        <v>12160</v>
      </c>
      <c r="D5601" s="11" t="s">
        <v>6</v>
      </c>
      <c r="E5601" s="1679" t="s">
        <v>16270</v>
      </c>
      <c r="F5601" s="1684" t="s">
        <v>10005</v>
      </c>
      <c r="G5601" s="1684" t="s">
        <v>12161</v>
      </c>
      <c r="H5601" s="1684" t="s">
        <v>84</v>
      </c>
      <c r="I5601" s="1684" t="s">
        <v>84</v>
      </c>
      <c r="J5601" s="1685" t="s">
        <v>1</v>
      </c>
      <c r="K5601" s="1684">
        <v>19402048</v>
      </c>
      <c r="L5601" s="1684" t="s">
        <v>12162</v>
      </c>
      <c r="M5601" s="1684">
        <v>1</v>
      </c>
      <c r="N5601" s="1684">
        <v>1</v>
      </c>
      <c r="O5601" s="1684">
        <v>1</v>
      </c>
      <c r="P5601" s="1684">
        <v>0</v>
      </c>
      <c r="Q5601" s="1684">
        <v>1</v>
      </c>
      <c r="R5601" s="1703">
        <v>2690</v>
      </c>
      <c r="S5601" s="1680">
        <v>2690</v>
      </c>
      <c r="T5601" s="869" t="s">
        <v>14509</v>
      </c>
      <c r="U5601" s="1988" t="s">
        <v>4220</v>
      </c>
      <c r="V5601" s="1841" t="s">
        <v>689</v>
      </c>
      <c r="W5601" s="1455" t="s">
        <v>12163</v>
      </c>
      <c r="X5601" s="818"/>
      <c r="Y5601" s="1161"/>
    </row>
    <row r="5602" spans="1:25" ht="15.75" hidden="1" customHeight="1">
      <c r="A5602" s="222">
        <v>5611</v>
      </c>
      <c r="B5602" s="858">
        <v>44750</v>
      </c>
      <c r="C5602" s="1683" t="s">
        <v>11481</v>
      </c>
      <c r="D5602" s="11" t="s">
        <v>6</v>
      </c>
      <c r="E5602" s="1679" t="s">
        <v>16270</v>
      </c>
      <c r="F5602" s="1602" t="s">
        <v>10005</v>
      </c>
      <c r="G5602" s="1602" t="s">
        <v>19010</v>
      </c>
      <c r="H5602" s="1602" t="s">
        <v>366</v>
      </c>
      <c r="I5602" s="1602" t="s">
        <v>366</v>
      </c>
      <c r="J5602" s="1686" t="s">
        <v>1</v>
      </c>
      <c r="K5602" s="1602" t="s">
        <v>19011</v>
      </c>
      <c r="L5602" s="1602" t="s">
        <v>149</v>
      </c>
      <c r="M5602" s="1602">
        <v>48</v>
      </c>
      <c r="N5602" s="1602">
        <v>1</v>
      </c>
      <c r="O5602" s="1602">
        <v>60</v>
      </c>
      <c r="P5602" s="1602">
        <v>0</v>
      </c>
      <c r="Q5602" s="1602">
        <v>12</v>
      </c>
      <c r="R5602" s="1704">
        <v>38</v>
      </c>
      <c r="S5602" s="1681">
        <v>2280</v>
      </c>
      <c r="T5602" s="1442" t="s">
        <v>4220</v>
      </c>
      <c r="U5602" s="1982" t="s">
        <v>4220</v>
      </c>
      <c r="V5602" s="1841" t="s">
        <v>689</v>
      </c>
      <c r="W5602" s="1588" t="s">
        <v>19012</v>
      </c>
      <c r="X5602" s="818"/>
      <c r="Y5602" s="1161"/>
    </row>
    <row r="5603" spans="1:25" ht="15.75" hidden="1" customHeight="1">
      <c r="A5603" s="222">
        <v>5612</v>
      </c>
      <c r="B5603" s="858">
        <v>44750</v>
      </c>
      <c r="C5603" s="1692" t="s">
        <v>19013</v>
      </c>
      <c r="D5603" s="8" t="s">
        <v>6</v>
      </c>
      <c r="E5603" s="818" t="s">
        <v>62</v>
      </c>
      <c r="F5603" s="1006" t="s">
        <v>11441</v>
      </c>
      <c r="G5603" s="1692" t="s">
        <v>19014</v>
      </c>
      <c r="H5603" s="222" t="s">
        <v>5206</v>
      </c>
      <c r="I5603" s="222" t="s">
        <v>19015</v>
      </c>
      <c r="J5603" s="183" t="s">
        <v>19016</v>
      </c>
      <c r="K5603" s="183" t="s">
        <v>19016</v>
      </c>
      <c r="L5603" s="613" t="s">
        <v>1</v>
      </c>
      <c r="M5603" s="183">
        <v>2</v>
      </c>
      <c r="N5603" s="183">
        <v>1</v>
      </c>
      <c r="O5603" s="183">
        <v>2</v>
      </c>
      <c r="P5603" s="222">
        <v>0</v>
      </c>
      <c r="Q5603" s="222">
        <v>0</v>
      </c>
      <c r="R5603" s="1195">
        <v>8100</v>
      </c>
      <c r="S5603" s="1195">
        <f t="shared" ref="S5603:S5608" si="299">R5603*O5603</f>
        <v>16200</v>
      </c>
      <c r="T5603" s="222" t="s">
        <v>18781</v>
      </c>
      <c r="U5603" s="1527" t="s">
        <v>18781</v>
      </c>
      <c r="V5603" s="20" t="s">
        <v>13780</v>
      </c>
      <c r="W5603" s="2185" t="s">
        <v>19017</v>
      </c>
      <c r="X5603" s="875" t="s">
        <v>19018</v>
      </c>
      <c r="Y5603" s="1161"/>
    </row>
    <row r="5604" spans="1:25" ht="15.75" hidden="1" customHeight="1">
      <c r="A5604" s="222">
        <v>5613</v>
      </c>
      <c r="B5604" s="858">
        <v>44750</v>
      </c>
      <c r="C5604" s="1693" t="s">
        <v>19019</v>
      </c>
      <c r="D5604" s="8" t="s">
        <v>6</v>
      </c>
      <c r="E5604" s="818" t="s">
        <v>62</v>
      </c>
      <c r="F5604" s="1006" t="s">
        <v>11441</v>
      </c>
      <c r="G5604" s="1693" t="s">
        <v>19020</v>
      </c>
      <c r="H5604" s="222" t="s">
        <v>19021</v>
      </c>
      <c r="I5604" s="222" t="s">
        <v>19015</v>
      </c>
      <c r="J5604" s="183" t="s">
        <v>19022</v>
      </c>
      <c r="K5604" s="183" t="s">
        <v>19022</v>
      </c>
      <c r="L5604" s="613" t="s">
        <v>1</v>
      </c>
      <c r="M5604" s="183">
        <v>1</v>
      </c>
      <c r="N5604" s="1602">
        <v>1</v>
      </c>
      <c r="O5604" s="183">
        <v>1</v>
      </c>
      <c r="P5604" s="222">
        <v>0</v>
      </c>
      <c r="Q5604" s="222">
        <v>0</v>
      </c>
      <c r="R5604" s="1195">
        <v>12150</v>
      </c>
      <c r="S5604" s="1195">
        <f t="shared" si="299"/>
        <v>12150</v>
      </c>
      <c r="T5604" s="222" t="s">
        <v>18781</v>
      </c>
      <c r="U5604" s="1527" t="s">
        <v>18781</v>
      </c>
      <c r="V5604" s="20" t="s">
        <v>13780</v>
      </c>
      <c r="W5604" s="2186" t="s">
        <v>19023</v>
      </c>
      <c r="X5604" s="818"/>
      <c r="Y5604" s="1161"/>
    </row>
    <row r="5605" spans="1:25" ht="15.75" hidden="1" customHeight="1">
      <c r="A5605" s="222">
        <v>5614</v>
      </c>
      <c r="B5605" s="858">
        <v>44750</v>
      </c>
      <c r="C5605" s="1694" t="s">
        <v>19024</v>
      </c>
      <c r="D5605" s="8" t="s">
        <v>6</v>
      </c>
      <c r="E5605" s="818" t="s">
        <v>62</v>
      </c>
      <c r="F5605" s="1006" t="s">
        <v>11441</v>
      </c>
      <c r="G5605" s="1693" t="s">
        <v>19025</v>
      </c>
      <c r="H5605" s="222" t="s">
        <v>19026</v>
      </c>
      <c r="I5605" s="222" t="s">
        <v>19015</v>
      </c>
      <c r="J5605" s="183" t="s">
        <v>19027</v>
      </c>
      <c r="K5605" s="183" t="s">
        <v>19027</v>
      </c>
      <c r="L5605" s="613" t="s">
        <v>1</v>
      </c>
      <c r="M5605" s="183">
        <v>2</v>
      </c>
      <c r="N5605" s="183">
        <v>1</v>
      </c>
      <c r="O5605" s="183">
        <v>2</v>
      </c>
      <c r="P5605" s="222">
        <v>0</v>
      </c>
      <c r="Q5605" s="222">
        <v>0</v>
      </c>
      <c r="R5605" s="1195">
        <v>8100</v>
      </c>
      <c r="S5605" s="1195">
        <f t="shared" si="299"/>
        <v>16200</v>
      </c>
      <c r="T5605" s="222" t="s">
        <v>18781</v>
      </c>
      <c r="U5605" s="1527" t="s">
        <v>18781</v>
      </c>
      <c r="V5605" s="20" t="s">
        <v>13780</v>
      </c>
      <c r="W5605" s="2186" t="s">
        <v>19028</v>
      </c>
      <c r="X5605" s="818"/>
      <c r="Y5605" s="1161"/>
    </row>
    <row r="5606" spans="1:25" ht="15.75" hidden="1" customHeight="1">
      <c r="A5606" s="222">
        <v>5615</v>
      </c>
      <c r="B5606" s="858">
        <v>44750</v>
      </c>
      <c r="C5606" s="1694" t="s">
        <v>19029</v>
      </c>
      <c r="D5606" s="8" t="s">
        <v>6</v>
      </c>
      <c r="E5606" s="818" t="s">
        <v>62</v>
      </c>
      <c r="F5606" s="1006" t="s">
        <v>11441</v>
      </c>
      <c r="G5606" s="1693" t="s">
        <v>19030</v>
      </c>
      <c r="H5606" s="222" t="s">
        <v>19031</v>
      </c>
      <c r="I5606" s="222" t="s">
        <v>19015</v>
      </c>
      <c r="J5606" s="183" t="s">
        <v>19032</v>
      </c>
      <c r="K5606" s="183" t="s">
        <v>19032</v>
      </c>
      <c r="L5606" s="613" t="s">
        <v>1</v>
      </c>
      <c r="M5606" s="183">
        <v>1</v>
      </c>
      <c r="N5606" s="1602">
        <v>1</v>
      </c>
      <c r="O5606" s="183">
        <v>1</v>
      </c>
      <c r="P5606" s="222">
        <v>0</v>
      </c>
      <c r="Q5606" s="222">
        <v>0</v>
      </c>
      <c r="R5606" s="1195">
        <v>23625</v>
      </c>
      <c r="S5606" s="1195">
        <f t="shared" si="299"/>
        <v>23625</v>
      </c>
      <c r="T5606" s="222" t="s">
        <v>18781</v>
      </c>
      <c r="U5606" s="1527" t="s">
        <v>18781</v>
      </c>
      <c r="V5606" s="20" t="s">
        <v>13780</v>
      </c>
      <c r="W5606" s="2186" t="s">
        <v>19033</v>
      </c>
      <c r="X5606" s="818"/>
      <c r="Y5606" s="1161"/>
    </row>
    <row r="5607" spans="1:25" ht="15.75" hidden="1" customHeight="1">
      <c r="A5607" s="222">
        <v>5616</v>
      </c>
      <c r="B5607" s="858">
        <v>44750</v>
      </c>
      <c r="C5607" s="1693" t="s">
        <v>19034</v>
      </c>
      <c r="D5607" s="8" t="s">
        <v>6</v>
      </c>
      <c r="E5607" s="818" t="s">
        <v>62</v>
      </c>
      <c r="F5607" s="1006" t="s">
        <v>11441</v>
      </c>
      <c r="G5607" s="1693" t="s">
        <v>19035</v>
      </c>
      <c r="H5607" s="222" t="s">
        <v>19036</v>
      </c>
      <c r="I5607" s="222" t="s">
        <v>19015</v>
      </c>
      <c r="J5607" s="183" t="s">
        <v>19037</v>
      </c>
      <c r="K5607" s="183" t="s">
        <v>19037</v>
      </c>
      <c r="L5607" s="613" t="s">
        <v>1</v>
      </c>
      <c r="M5607" s="183">
        <v>1</v>
      </c>
      <c r="N5607" s="183">
        <v>1</v>
      </c>
      <c r="O5607" s="183">
        <v>1</v>
      </c>
      <c r="P5607" s="222">
        <v>0</v>
      </c>
      <c r="Q5607" s="222">
        <v>0</v>
      </c>
      <c r="R5607" s="1195">
        <v>10800</v>
      </c>
      <c r="S5607" s="1195">
        <f t="shared" si="299"/>
        <v>10800</v>
      </c>
      <c r="T5607" s="222" t="s">
        <v>18781</v>
      </c>
      <c r="U5607" s="1527" t="s">
        <v>18781</v>
      </c>
      <c r="V5607" s="20" t="s">
        <v>13780</v>
      </c>
      <c r="W5607" s="2186" t="s">
        <v>19038</v>
      </c>
      <c r="X5607" s="818"/>
      <c r="Y5607" s="1161"/>
    </row>
    <row r="5608" spans="1:25" ht="15.75" hidden="1" customHeight="1">
      <c r="A5608" s="222">
        <v>5617</v>
      </c>
      <c r="B5608" s="858">
        <v>44750</v>
      </c>
      <c r="C5608" s="1693" t="s">
        <v>19039</v>
      </c>
      <c r="D5608" s="8" t="s">
        <v>6</v>
      </c>
      <c r="E5608" s="818" t="s">
        <v>62</v>
      </c>
      <c r="F5608" s="1006" t="s">
        <v>11441</v>
      </c>
      <c r="G5608" s="1693" t="s">
        <v>13783</v>
      </c>
      <c r="H5608" s="222" t="s">
        <v>19040</v>
      </c>
      <c r="I5608" s="222" t="s">
        <v>19015</v>
      </c>
      <c r="J5608" s="183" t="s">
        <v>19041</v>
      </c>
      <c r="K5608" s="183" t="s">
        <v>19041</v>
      </c>
      <c r="L5608" s="613" t="s">
        <v>1</v>
      </c>
      <c r="M5608" s="183">
        <v>1</v>
      </c>
      <c r="N5608" s="1602">
        <v>1</v>
      </c>
      <c r="O5608" s="183">
        <v>1</v>
      </c>
      <c r="P5608" s="222">
        <v>0</v>
      </c>
      <c r="Q5608" s="222">
        <v>0</v>
      </c>
      <c r="R5608" s="1195">
        <v>11475</v>
      </c>
      <c r="S5608" s="1195">
        <f t="shared" si="299"/>
        <v>11475</v>
      </c>
      <c r="T5608" s="222" t="s">
        <v>18781</v>
      </c>
      <c r="U5608" s="1527" t="s">
        <v>18781</v>
      </c>
      <c r="V5608" s="20" t="s">
        <v>13780</v>
      </c>
      <c r="W5608" s="2186" t="s">
        <v>19042</v>
      </c>
      <c r="X5608" s="818"/>
      <c r="Y5608" s="1161"/>
    </row>
    <row r="5609" spans="1:25" ht="15.75" hidden="1" customHeight="1">
      <c r="A5609" s="222">
        <v>5618</v>
      </c>
      <c r="B5609" s="858">
        <v>44750</v>
      </c>
      <c r="C5609" s="129" t="s">
        <v>19043</v>
      </c>
      <c r="D5609" s="11" t="s">
        <v>6</v>
      </c>
      <c r="E5609" s="818" t="s">
        <v>17683</v>
      </c>
      <c r="F5609" s="1006" t="s">
        <v>18751</v>
      </c>
      <c r="G5609" s="855" t="s">
        <v>19044</v>
      </c>
      <c r="H5609" s="222" t="s">
        <v>578</v>
      </c>
      <c r="I5609" s="222" t="s">
        <v>281</v>
      </c>
      <c r="J5609" s="183" t="s">
        <v>1933</v>
      </c>
      <c r="K5609" s="183" t="s">
        <v>1934</v>
      </c>
      <c r="L5609" s="1465" t="s">
        <v>7118</v>
      </c>
      <c r="M5609" s="183">
        <v>16</v>
      </c>
      <c r="N5609" s="183">
        <v>10</v>
      </c>
      <c r="O5609" s="222">
        <v>10</v>
      </c>
      <c r="P5609" s="222">
        <v>15</v>
      </c>
      <c r="Q5609" s="222">
        <v>9</v>
      </c>
      <c r="R5609" s="1195">
        <v>12.5</v>
      </c>
      <c r="S5609" s="1195">
        <f t="shared" ref="S5609:S5618" si="300">R5609*O5609</f>
        <v>125</v>
      </c>
      <c r="T5609" s="222" t="s">
        <v>14752</v>
      </c>
      <c r="U5609" s="1527" t="s">
        <v>19045</v>
      </c>
      <c r="V5609" s="222" t="s">
        <v>3140</v>
      </c>
      <c r="W5609" s="1815" t="s">
        <v>19046</v>
      </c>
      <c r="X5609" s="818"/>
      <c r="Y5609" s="1161"/>
    </row>
    <row r="5610" spans="1:25" ht="15.75" hidden="1" customHeight="1">
      <c r="A5610" s="222">
        <v>5619</v>
      </c>
      <c r="B5610" s="858">
        <v>44750</v>
      </c>
      <c r="C5610" s="129" t="s">
        <v>19047</v>
      </c>
      <c r="D5610" s="11" t="s">
        <v>6</v>
      </c>
      <c r="E5610" s="818" t="s">
        <v>17683</v>
      </c>
      <c r="F5610" s="1539" t="s">
        <v>18751</v>
      </c>
      <c r="G5610" s="543" t="s">
        <v>19048</v>
      </c>
      <c r="H5610" s="1122" t="s">
        <v>19049</v>
      </c>
      <c r="I5610" s="222" t="s">
        <v>2513</v>
      </c>
      <c r="J5610" s="183" t="s">
        <v>19050</v>
      </c>
      <c r="K5610" s="183" t="s">
        <v>19051</v>
      </c>
      <c r="L5610" s="613" t="s">
        <v>1</v>
      </c>
      <c r="M5610" s="183">
        <v>10</v>
      </c>
      <c r="N5610" s="183">
        <v>30</v>
      </c>
      <c r="O5610" s="222">
        <v>30</v>
      </c>
      <c r="P5610" s="222">
        <v>0</v>
      </c>
      <c r="Q5610" s="222">
        <v>20</v>
      </c>
      <c r="R5610" s="1195">
        <v>23.9</v>
      </c>
      <c r="S5610" s="1195">
        <f t="shared" si="300"/>
        <v>717</v>
      </c>
      <c r="T5610" s="222" t="s">
        <v>14752</v>
      </c>
      <c r="U5610" s="1527" t="s">
        <v>19045</v>
      </c>
      <c r="V5610" s="222" t="s">
        <v>3140</v>
      </c>
      <c r="W5610" s="1815" t="s">
        <v>19052</v>
      </c>
      <c r="X5610" s="818"/>
      <c r="Y5610" s="1161"/>
    </row>
    <row r="5611" spans="1:25" ht="15.75" hidden="1" customHeight="1">
      <c r="A5611" s="222">
        <v>5620</v>
      </c>
      <c r="B5611" s="858">
        <v>44750</v>
      </c>
      <c r="C5611" s="129" t="s">
        <v>19053</v>
      </c>
      <c r="D5611" s="11" t="s">
        <v>6</v>
      </c>
      <c r="E5611" s="818" t="s">
        <v>17683</v>
      </c>
      <c r="F5611" s="1539" t="s">
        <v>18751</v>
      </c>
      <c r="G5611" s="543" t="s">
        <v>19054</v>
      </c>
      <c r="H5611" s="1122" t="s">
        <v>468</v>
      </c>
      <c r="I5611" s="222" t="s">
        <v>84</v>
      </c>
      <c r="J5611" s="183">
        <v>11317172</v>
      </c>
      <c r="K5611" s="183" t="s">
        <v>469</v>
      </c>
      <c r="L5611" s="613" t="s">
        <v>1</v>
      </c>
      <c r="M5611" s="183">
        <v>8</v>
      </c>
      <c r="N5611" s="183" t="s">
        <v>19055</v>
      </c>
      <c r="O5611" s="222">
        <v>2</v>
      </c>
      <c r="P5611" s="222">
        <v>0</v>
      </c>
      <c r="Q5611" s="222">
        <v>4</v>
      </c>
      <c r="R5611" s="1195">
        <v>699</v>
      </c>
      <c r="S5611" s="1195">
        <f t="shared" si="300"/>
        <v>1398</v>
      </c>
      <c r="T5611" s="222" t="s">
        <v>14752</v>
      </c>
      <c r="U5611" s="1527" t="s">
        <v>19045</v>
      </c>
      <c r="V5611" s="222" t="s">
        <v>3140</v>
      </c>
      <c r="W5611" s="2155" t="s">
        <v>8486</v>
      </c>
      <c r="X5611" s="818"/>
      <c r="Y5611" s="1161"/>
    </row>
    <row r="5612" spans="1:25" ht="15.75" hidden="1" customHeight="1">
      <c r="A5612" s="222">
        <v>5621</v>
      </c>
      <c r="B5612" s="858">
        <v>44750</v>
      </c>
      <c r="C5612" s="1422" t="s">
        <v>19056</v>
      </c>
      <c r="D5612" s="10"/>
      <c r="E5612" s="881" t="s">
        <v>18885</v>
      </c>
      <c r="F5612" s="1684" t="s">
        <v>10005</v>
      </c>
      <c r="G5612" s="881" t="s">
        <v>19057</v>
      </c>
      <c r="H5612" s="881" t="s">
        <v>2103</v>
      </c>
      <c r="I5612" s="881" t="s">
        <v>2103</v>
      </c>
      <c r="J5612" s="1685" t="s">
        <v>1</v>
      </c>
      <c r="K5612" s="881" t="s">
        <v>19058</v>
      </c>
      <c r="L5612" s="881" t="s">
        <v>149</v>
      </c>
      <c r="M5612" s="881">
        <v>2</v>
      </c>
      <c r="N5612" s="881">
        <v>1</v>
      </c>
      <c r="O5612" s="881">
        <v>2</v>
      </c>
      <c r="P5612" s="881">
        <v>0</v>
      </c>
      <c r="Q5612" s="881">
        <v>0</v>
      </c>
      <c r="R5612" s="1705">
        <v>3940</v>
      </c>
      <c r="S5612" s="1687">
        <v>7880</v>
      </c>
      <c r="T5612" s="879" t="s">
        <v>14509</v>
      </c>
      <c r="U5612" s="1989" t="s">
        <v>4220</v>
      </c>
      <c r="V5612" s="1845" t="s">
        <v>689</v>
      </c>
      <c r="W5612" s="2155"/>
      <c r="X5612" s="818"/>
      <c r="Y5612" s="1161"/>
    </row>
    <row r="5613" spans="1:25" ht="15.75" hidden="1" customHeight="1">
      <c r="A5613" s="222">
        <v>5622</v>
      </c>
      <c r="B5613" s="858">
        <v>44750</v>
      </c>
      <c r="C5613" s="1689" t="s">
        <v>19059</v>
      </c>
      <c r="D5613" s="10"/>
      <c r="E5613" s="1690" t="s">
        <v>4951</v>
      </c>
      <c r="F5613" s="1602" t="s">
        <v>10005</v>
      </c>
      <c r="G5613" s="1690" t="s">
        <v>19060</v>
      </c>
      <c r="H5613" s="1690" t="s">
        <v>2103</v>
      </c>
      <c r="I5613" s="1690" t="s">
        <v>2103</v>
      </c>
      <c r="J5613" s="1686" t="s">
        <v>1</v>
      </c>
      <c r="K5613" s="1690" t="s">
        <v>19061</v>
      </c>
      <c r="L5613" s="1690" t="s">
        <v>149</v>
      </c>
      <c r="M5613" s="1690">
        <v>2</v>
      </c>
      <c r="N5613" s="1690">
        <v>1</v>
      </c>
      <c r="O5613" s="1690">
        <v>2</v>
      </c>
      <c r="P5613" s="1690">
        <v>0</v>
      </c>
      <c r="Q5613" s="1690">
        <v>0</v>
      </c>
      <c r="R5613" s="1706">
        <v>53100</v>
      </c>
      <c r="S5613" s="1688">
        <v>106200</v>
      </c>
      <c r="T5613" s="1691" t="s">
        <v>14509</v>
      </c>
      <c r="U5613" s="1990" t="s">
        <v>4220</v>
      </c>
      <c r="V5613" s="1845" t="s">
        <v>689</v>
      </c>
      <c r="W5613" s="2155"/>
      <c r="X5613" s="818"/>
      <c r="Y5613" s="1161"/>
    </row>
    <row r="5614" spans="1:25" ht="15.75" hidden="1" customHeight="1">
      <c r="A5614" s="222">
        <v>5623</v>
      </c>
      <c r="B5614" s="858">
        <v>44751</v>
      </c>
      <c r="C5614" s="129" t="s">
        <v>19062</v>
      </c>
      <c r="D5614" s="11" t="s">
        <v>6</v>
      </c>
      <c r="E5614" s="818" t="s">
        <v>17683</v>
      </c>
      <c r="F5614" s="1006" t="s">
        <v>1989</v>
      </c>
      <c r="G5614" s="863" t="s">
        <v>19063</v>
      </c>
      <c r="H5614" s="222" t="s">
        <v>2868</v>
      </c>
      <c r="I5614" s="222" t="s">
        <v>2868</v>
      </c>
      <c r="J5614" s="183">
        <v>419496</v>
      </c>
      <c r="K5614" s="183">
        <v>419496</v>
      </c>
      <c r="L5614" s="613" t="s">
        <v>285</v>
      </c>
      <c r="M5614" s="183">
        <v>1</v>
      </c>
      <c r="N5614" s="183">
        <v>1</v>
      </c>
      <c r="O5614" s="222">
        <v>2</v>
      </c>
      <c r="P5614" s="222">
        <v>0</v>
      </c>
      <c r="Q5614" s="222">
        <v>1</v>
      </c>
      <c r="R5614" s="1195">
        <v>41351</v>
      </c>
      <c r="S5614" s="1195">
        <v>41351</v>
      </c>
      <c r="T5614" s="222" t="s">
        <v>14752</v>
      </c>
      <c r="U5614" s="1527" t="s">
        <v>19064</v>
      </c>
      <c r="V5614" s="222" t="s">
        <v>3140</v>
      </c>
      <c r="W5614" s="2155" t="s">
        <v>5265</v>
      </c>
      <c r="X5614" s="818"/>
      <c r="Y5614" s="1161"/>
    </row>
    <row r="5615" spans="1:25" ht="15.75" hidden="1" customHeight="1">
      <c r="A5615" s="222">
        <v>5624</v>
      </c>
      <c r="B5615" s="858">
        <v>44753</v>
      </c>
      <c r="C5615" s="190" t="s">
        <v>13774</v>
      </c>
      <c r="D5615" s="8" t="s">
        <v>6</v>
      </c>
      <c r="E5615" s="239" t="s">
        <v>62</v>
      </c>
      <c r="F5615" s="190" t="s">
        <v>11441</v>
      </c>
      <c r="G5615" s="20" t="s">
        <v>13775</v>
      </c>
      <c r="H5615" s="239" t="s">
        <v>13776</v>
      </c>
      <c r="I5615" s="239" t="s">
        <v>13777</v>
      </c>
      <c r="J5615" s="239" t="s">
        <v>13778</v>
      </c>
      <c r="K5615" s="239" t="s">
        <v>13778</v>
      </c>
      <c r="L5615" s="239" t="s">
        <v>1</v>
      </c>
      <c r="M5615" s="204">
        <v>1</v>
      </c>
      <c r="N5615" s="204">
        <v>1</v>
      </c>
      <c r="O5615" s="204">
        <v>1</v>
      </c>
      <c r="P5615" s="204">
        <v>0</v>
      </c>
      <c r="Q5615" s="572">
        <v>0</v>
      </c>
      <c r="R5615" s="1252">
        <v>219000</v>
      </c>
      <c r="S5615" s="1209">
        <f t="shared" ref="S5615" si="301">O5615*R5615</f>
        <v>219000</v>
      </c>
      <c r="T5615" s="222" t="s">
        <v>18781</v>
      </c>
      <c r="U5615" s="1527" t="s">
        <v>18781</v>
      </c>
      <c r="V5615" s="20" t="s">
        <v>13780</v>
      </c>
      <c r="W5615" s="689" t="s">
        <v>13781</v>
      </c>
      <c r="X5615" s="818"/>
      <c r="Y5615" s="1161"/>
    </row>
    <row r="5616" spans="1:25" ht="15.75" hidden="1" customHeight="1">
      <c r="A5616" s="222">
        <v>5625</v>
      </c>
      <c r="B5616" s="858">
        <v>44754</v>
      </c>
      <c r="C5616" s="190" t="s">
        <v>19065</v>
      </c>
      <c r="D5616" s="11" t="s">
        <v>6</v>
      </c>
      <c r="E5616" s="818" t="s">
        <v>17683</v>
      </c>
      <c r="F5616" s="190" t="s">
        <v>18751</v>
      </c>
      <c r="G5616" s="20" t="s">
        <v>19066</v>
      </c>
      <c r="H5616" s="239" t="s">
        <v>382</v>
      </c>
      <c r="I5616" s="239" t="s">
        <v>3312</v>
      </c>
      <c r="J5616" s="20">
        <v>49277803</v>
      </c>
      <c r="K5616" s="239">
        <v>49277803</v>
      </c>
      <c r="L5616" s="239" t="s">
        <v>1</v>
      </c>
      <c r="M5616" s="204">
        <v>30</v>
      </c>
      <c r="N5616" s="204" t="s">
        <v>19067</v>
      </c>
      <c r="O5616" s="204">
        <v>3</v>
      </c>
      <c r="P5616" s="204">
        <v>0</v>
      </c>
      <c r="Q5616" s="572">
        <v>0</v>
      </c>
      <c r="R5616" s="1252">
        <v>839</v>
      </c>
      <c r="S5616" s="1209">
        <f t="shared" si="300"/>
        <v>2517</v>
      </c>
      <c r="T5616" s="222" t="s">
        <v>14752</v>
      </c>
      <c r="U5616" s="1527" t="s">
        <v>19068</v>
      </c>
      <c r="V5616" s="20" t="s">
        <v>3140</v>
      </c>
      <c r="W5616" s="689" t="s">
        <v>19069</v>
      </c>
      <c r="X5616" s="818"/>
      <c r="Y5616" s="1161"/>
    </row>
    <row r="5617" spans="1:25" ht="15.75" hidden="1" customHeight="1">
      <c r="A5617" s="222">
        <v>5626</v>
      </c>
      <c r="B5617" s="858">
        <v>44755</v>
      </c>
      <c r="C5617" s="129" t="s">
        <v>19070</v>
      </c>
      <c r="D5617" s="11" t="s">
        <v>6</v>
      </c>
      <c r="E5617" s="818" t="s">
        <v>17683</v>
      </c>
      <c r="F5617" s="1006" t="s">
        <v>18751</v>
      </c>
      <c r="G5617" s="20" t="s">
        <v>19071</v>
      </c>
      <c r="H5617" s="222" t="s">
        <v>429</v>
      </c>
      <c r="I5617" s="222" t="s">
        <v>429</v>
      </c>
      <c r="J5617" s="20" t="s">
        <v>19072</v>
      </c>
      <c r="K5617" s="20" t="s">
        <v>19072</v>
      </c>
      <c r="L5617" s="613" t="s">
        <v>1</v>
      </c>
      <c r="M5617" s="183">
        <v>8</v>
      </c>
      <c r="N5617" s="183">
        <v>20</v>
      </c>
      <c r="O5617" s="222">
        <v>20</v>
      </c>
      <c r="P5617" s="222">
        <v>0</v>
      </c>
      <c r="Q5617" s="222">
        <v>12</v>
      </c>
      <c r="R5617" s="1195">
        <v>23</v>
      </c>
      <c r="S5617" s="1195">
        <f t="shared" si="300"/>
        <v>460</v>
      </c>
      <c r="T5617" s="879" t="s">
        <v>14509</v>
      </c>
      <c r="U5617" s="1989" t="s">
        <v>4220</v>
      </c>
      <c r="V5617" s="1845" t="s">
        <v>689</v>
      </c>
      <c r="W5617" s="2155" t="s">
        <v>19073</v>
      </c>
      <c r="X5617" s="818"/>
      <c r="Y5617" s="1161"/>
    </row>
    <row r="5618" spans="1:25" ht="15.75" hidden="1" customHeight="1">
      <c r="A5618" s="222">
        <v>5627</v>
      </c>
      <c r="B5618" s="858">
        <v>44755</v>
      </c>
      <c r="C5618" s="129" t="s">
        <v>19074</v>
      </c>
      <c r="D5618" s="11" t="s">
        <v>6</v>
      </c>
      <c r="E5618" s="818" t="s">
        <v>17683</v>
      </c>
      <c r="F5618" s="1006" t="s">
        <v>18751</v>
      </c>
      <c r="G5618" s="20" t="s">
        <v>19075</v>
      </c>
      <c r="H5618" s="222" t="s">
        <v>19076</v>
      </c>
      <c r="I5618" s="222" t="s">
        <v>429</v>
      </c>
      <c r="J5618" s="20" t="s">
        <v>19077</v>
      </c>
      <c r="K5618" s="20" t="s">
        <v>19077</v>
      </c>
      <c r="L5618" s="613" t="s">
        <v>1</v>
      </c>
      <c r="M5618" s="183">
        <v>8</v>
      </c>
      <c r="N5618" s="183">
        <v>20</v>
      </c>
      <c r="O5618" s="222">
        <v>20</v>
      </c>
      <c r="P5618" s="222">
        <v>0</v>
      </c>
      <c r="Q5618" s="222">
        <v>12</v>
      </c>
      <c r="R5618" s="1195">
        <v>98</v>
      </c>
      <c r="S5618" s="1195">
        <f t="shared" si="300"/>
        <v>1960</v>
      </c>
      <c r="T5618" s="879" t="s">
        <v>14509</v>
      </c>
      <c r="U5618" s="1989" t="s">
        <v>4220</v>
      </c>
      <c r="V5618" s="1845" t="s">
        <v>689</v>
      </c>
      <c r="W5618" s="2155" t="s">
        <v>19078</v>
      </c>
      <c r="X5618" s="818"/>
      <c r="Y5618" s="1161"/>
    </row>
    <row r="5619" spans="1:25" ht="15.75" hidden="1" customHeight="1">
      <c r="A5619" s="222">
        <v>5628</v>
      </c>
      <c r="B5619" s="858">
        <v>44755</v>
      </c>
      <c r="C5619" s="129" t="s">
        <v>19079</v>
      </c>
      <c r="D5619" s="11" t="s">
        <v>6</v>
      </c>
      <c r="E5619" s="818" t="s">
        <v>220</v>
      </c>
      <c r="F5619" s="1006" t="s">
        <v>2143</v>
      </c>
      <c r="G5619" s="863" t="s">
        <v>19080</v>
      </c>
      <c r="H5619" s="222" t="s">
        <v>7663</v>
      </c>
      <c r="I5619" s="222" t="s">
        <v>1063</v>
      </c>
      <c r="J5619" s="183" t="s">
        <v>5436</v>
      </c>
      <c r="K5619" s="183" t="s">
        <v>5437</v>
      </c>
      <c r="L5619" s="613"/>
      <c r="M5619" s="183">
        <v>20</v>
      </c>
      <c r="N5619" s="183">
        <v>1</v>
      </c>
      <c r="O5619" s="222">
        <v>20</v>
      </c>
      <c r="P5619" s="222">
        <v>0</v>
      </c>
      <c r="Q5619" s="222">
        <v>0</v>
      </c>
      <c r="R5619" s="1195">
        <v>200</v>
      </c>
      <c r="S5619" s="1195">
        <f>R5619*O5619</f>
        <v>4000</v>
      </c>
      <c r="T5619" s="222" t="s">
        <v>311</v>
      </c>
      <c r="U5619" s="1527" t="s">
        <v>311</v>
      </c>
      <c r="V5619" s="222" t="s">
        <v>10617</v>
      </c>
      <c r="W5619" s="2155" t="s">
        <v>17125</v>
      </c>
      <c r="X5619" s="818"/>
      <c r="Y5619" s="1161"/>
    </row>
    <row r="5620" spans="1:25" ht="15.75" hidden="1" customHeight="1">
      <c r="A5620" s="222">
        <v>5629</v>
      </c>
      <c r="B5620" s="858">
        <v>44755</v>
      </c>
      <c r="C5620" s="129" t="s">
        <v>19081</v>
      </c>
      <c r="D5620" s="11" t="s">
        <v>6</v>
      </c>
      <c r="E5620" s="818" t="s">
        <v>220</v>
      </c>
      <c r="F5620" s="1006" t="s">
        <v>2143</v>
      </c>
      <c r="G5620" s="863" t="s">
        <v>19082</v>
      </c>
      <c r="H5620" s="222" t="s">
        <v>7663</v>
      </c>
      <c r="I5620" s="222" t="s">
        <v>1063</v>
      </c>
      <c r="J5620" s="183" t="s">
        <v>19083</v>
      </c>
      <c r="K5620" s="183" t="s">
        <v>19084</v>
      </c>
      <c r="L5620" s="613"/>
      <c r="M5620" s="183">
        <v>20</v>
      </c>
      <c r="N5620" s="183">
        <v>1</v>
      </c>
      <c r="O5620" s="222">
        <v>20</v>
      </c>
      <c r="P5620" s="222">
        <v>0</v>
      </c>
      <c r="Q5620" s="222">
        <v>0</v>
      </c>
      <c r="R5620" s="1195">
        <v>200</v>
      </c>
      <c r="S5620" s="1195">
        <f>R5620*O5620</f>
        <v>4000</v>
      </c>
      <c r="T5620" s="222" t="s">
        <v>311</v>
      </c>
      <c r="U5620" s="1527" t="s">
        <v>311</v>
      </c>
      <c r="V5620" s="222" t="s">
        <v>10617</v>
      </c>
      <c r="W5620" s="2155" t="s">
        <v>19085</v>
      </c>
      <c r="X5620" s="818"/>
      <c r="Y5620" s="1161"/>
    </row>
    <row r="5621" spans="1:25" ht="15.75" hidden="1" customHeight="1">
      <c r="A5621" s="222">
        <v>5630</v>
      </c>
      <c r="B5621" s="858">
        <v>44755</v>
      </c>
      <c r="C5621" s="129" t="s">
        <v>19086</v>
      </c>
      <c r="D5621" s="11" t="s">
        <v>6</v>
      </c>
      <c r="E5621" s="818" t="s">
        <v>220</v>
      </c>
      <c r="F5621" s="1006" t="s">
        <v>2143</v>
      </c>
      <c r="G5621" s="863" t="s">
        <v>19087</v>
      </c>
      <c r="H5621" s="222" t="s">
        <v>1</v>
      </c>
      <c r="I5621" s="222" t="s">
        <v>1063</v>
      </c>
      <c r="J5621" s="129" t="s">
        <v>19088</v>
      </c>
      <c r="K5621" s="183" t="s">
        <v>10619</v>
      </c>
      <c r="L5621" s="613"/>
      <c r="M5621" s="183">
        <v>100</v>
      </c>
      <c r="N5621" s="183">
        <v>1</v>
      </c>
      <c r="O5621" s="222">
        <v>100</v>
      </c>
      <c r="P5621" s="222">
        <v>0</v>
      </c>
      <c r="Q5621" s="222">
        <v>0</v>
      </c>
      <c r="R5621" s="1195">
        <v>30</v>
      </c>
      <c r="S5621" s="1195">
        <f>R5621*O5621</f>
        <v>3000</v>
      </c>
      <c r="T5621" s="222" t="s">
        <v>311</v>
      </c>
      <c r="U5621" s="1527" t="s">
        <v>311</v>
      </c>
      <c r="V5621" s="222" t="s">
        <v>10617</v>
      </c>
      <c r="W5621" s="2155" t="s">
        <v>10620</v>
      </c>
      <c r="X5621" s="818"/>
      <c r="Y5621" s="1161"/>
    </row>
    <row r="5622" spans="1:25" ht="15.75" hidden="1" customHeight="1" collapsed="1">
      <c r="A5622" s="222">
        <v>5631</v>
      </c>
      <c r="B5622" s="858">
        <v>44756</v>
      </c>
      <c r="C5622" s="1695" t="s">
        <v>11481</v>
      </c>
      <c r="D5622" s="11" t="s">
        <v>6</v>
      </c>
      <c r="E5622" s="874" t="s">
        <v>683</v>
      </c>
      <c r="F5622" s="1696" t="s">
        <v>10005</v>
      </c>
      <c r="G5622" s="1696" t="s">
        <v>19010</v>
      </c>
      <c r="H5622" s="1696" t="s">
        <v>366</v>
      </c>
      <c r="I5622" s="1696" t="s">
        <v>366</v>
      </c>
      <c r="J5622" s="1697" t="s">
        <v>1</v>
      </c>
      <c r="K5622" s="1696" t="s">
        <v>19011</v>
      </c>
      <c r="L5622" s="1696" t="s">
        <v>149</v>
      </c>
      <c r="M5622" s="1696">
        <v>80</v>
      </c>
      <c r="N5622" s="1696">
        <v>1</v>
      </c>
      <c r="O5622" s="1696">
        <v>100</v>
      </c>
      <c r="P5622" s="1696">
        <v>12</v>
      </c>
      <c r="Q5622" s="1696">
        <v>32</v>
      </c>
      <c r="R5622" s="1703">
        <v>36</v>
      </c>
      <c r="S5622" s="1699">
        <v>3600</v>
      </c>
      <c r="T5622" s="869" t="s">
        <v>4220</v>
      </c>
      <c r="U5622" s="1988" t="s">
        <v>4220</v>
      </c>
      <c r="V5622" s="1841" t="s">
        <v>689</v>
      </c>
      <c r="W5622" s="1455" t="s">
        <v>19012</v>
      </c>
      <c r="X5622" s="818"/>
      <c r="Y5622" s="1161"/>
    </row>
    <row r="5623" spans="1:25" ht="15.75" hidden="1" customHeight="1" outlineLevel="1">
      <c r="A5623" s="222">
        <v>5632</v>
      </c>
      <c r="B5623" s="858">
        <v>44756</v>
      </c>
      <c r="C5623" s="1139" t="s">
        <v>19089</v>
      </c>
      <c r="D5623" s="11" t="s">
        <v>6</v>
      </c>
      <c r="E5623" s="874" t="s">
        <v>683</v>
      </c>
      <c r="F5623" s="1698" t="s">
        <v>10005</v>
      </c>
      <c r="G5623" s="1041" t="s">
        <v>19090</v>
      </c>
      <c r="H5623" s="1041" t="s">
        <v>3138</v>
      </c>
      <c r="I5623" s="1041" t="s">
        <v>84</v>
      </c>
      <c r="J5623" s="1041">
        <v>33191961</v>
      </c>
      <c r="K5623" s="1041" t="s">
        <v>19091</v>
      </c>
      <c r="L5623" s="1041" t="s">
        <v>19092</v>
      </c>
      <c r="M5623" s="1041">
        <v>1</v>
      </c>
      <c r="N5623" s="1041">
        <v>1</v>
      </c>
      <c r="O5623" s="1041">
        <v>1</v>
      </c>
      <c r="P5623" s="1041" t="s">
        <v>19093</v>
      </c>
      <c r="Q5623" s="1041" t="s">
        <v>19093</v>
      </c>
      <c r="R5623" s="1704">
        <v>2790</v>
      </c>
      <c r="S5623" s="1700">
        <v>2790</v>
      </c>
      <c r="T5623" s="1442" t="s">
        <v>14509</v>
      </c>
      <c r="U5623" s="1982" t="s">
        <v>4220</v>
      </c>
      <c r="V5623" s="1841" t="s">
        <v>689</v>
      </c>
      <c r="W5623" s="890" t="s">
        <v>19094</v>
      </c>
      <c r="X5623" s="818"/>
      <c r="Y5623" s="1161"/>
    </row>
    <row r="5624" spans="1:25" ht="15.75" hidden="1" customHeight="1" outlineLevel="1">
      <c r="A5624" s="222">
        <v>5633</v>
      </c>
      <c r="B5624" s="858">
        <v>44756</v>
      </c>
      <c r="C5624" s="1671" t="s">
        <v>12997</v>
      </c>
      <c r="D5624" s="11" t="s">
        <v>6</v>
      </c>
      <c r="E5624" s="874" t="s">
        <v>683</v>
      </c>
      <c r="F5624" s="1040" t="s">
        <v>10005</v>
      </c>
      <c r="G5624" s="1128" t="s">
        <v>12998</v>
      </c>
      <c r="H5624" s="1128" t="s">
        <v>1172</v>
      </c>
      <c r="I5624" s="1128" t="s">
        <v>84</v>
      </c>
      <c r="J5624" s="1128">
        <v>9206154</v>
      </c>
      <c r="K5624" s="1128" t="s">
        <v>12999</v>
      </c>
      <c r="L5624" s="1128" t="s">
        <v>149</v>
      </c>
      <c r="M5624" s="1128">
        <v>2</v>
      </c>
      <c r="N5624" s="1128">
        <v>1</v>
      </c>
      <c r="O5624" s="1128">
        <v>2</v>
      </c>
      <c r="P5624" s="1128">
        <v>2</v>
      </c>
      <c r="Q5624" s="1128">
        <v>2</v>
      </c>
      <c r="R5624" s="1704">
        <v>919</v>
      </c>
      <c r="S5624" s="1700">
        <v>1838</v>
      </c>
      <c r="T5624" s="1442" t="s">
        <v>4220</v>
      </c>
      <c r="U5624" s="1970" t="s">
        <v>4220</v>
      </c>
      <c r="V5624" s="1841" t="s">
        <v>5604</v>
      </c>
      <c r="W5624" s="1437" t="s">
        <v>13000</v>
      </c>
      <c r="X5624" s="818"/>
      <c r="Y5624" s="1161"/>
    </row>
    <row r="5625" spans="1:25" ht="15.75" hidden="1" customHeight="1" outlineLevel="1">
      <c r="A5625" s="222">
        <v>5634</v>
      </c>
      <c r="B5625" s="858">
        <v>44756</v>
      </c>
      <c r="C5625" s="129" t="s">
        <v>11696</v>
      </c>
      <c r="D5625" s="8" t="s">
        <v>6</v>
      </c>
      <c r="E5625" s="818" t="s">
        <v>17683</v>
      </c>
      <c r="F5625" s="1006" t="s">
        <v>18666</v>
      </c>
      <c r="G5625" s="863" t="s">
        <v>19095</v>
      </c>
      <c r="H5625" s="222" t="s">
        <v>18712</v>
      </c>
      <c r="I5625" s="222" t="s">
        <v>18712</v>
      </c>
      <c r="J5625" s="183" t="s">
        <v>1</v>
      </c>
      <c r="K5625" s="183" t="s">
        <v>1</v>
      </c>
      <c r="L5625" s="183" t="s">
        <v>1</v>
      </c>
      <c r="M5625" s="183">
        <v>2</v>
      </c>
      <c r="N5625" s="183">
        <v>1</v>
      </c>
      <c r="O5625" s="222">
        <v>2</v>
      </c>
      <c r="P5625" s="222">
        <v>0</v>
      </c>
      <c r="Q5625" s="222">
        <v>0</v>
      </c>
      <c r="R5625" s="1195">
        <v>6200</v>
      </c>
      <c r="S5625" s="1195">
        <f>R5625*O5625</f>
        <v>12400</v>
      </c>
      <c r="T5625" s="222" t="s">
        <v>19007</v>
      </c>
      <c r="U5625" s="1527" t="s">
        <v>18670</v>
      </c>
      <c r="V5625" s="1841" t="s">
        <v>11676</v>
      </c>
      <c r="W5625" s="2155" t="s">
        <v>19096</v>
      </c>
      <c r="X5625" s="818"/>
      <c r="Y5625" s="1161"/>
    </row>
    <row r="5626" spans="1:25" ht="15.75" hidden="1" customHeight="1" outlineLevel="1">
      <c r="A5626" s="222">
        <v>5635</v>
      </c>
      <c r="B5626" s="858">
        <v>44756</v>
      </c>
      <c r="C5626" s="129" t="s">
        <v>11696</v>
      </c>
      <c r="D5626" s="8" t="s">
        <v>6</v>
      </c>
      <c r="E5626" s="818" t="s">
        <v>17683</v>
      </c>
      <c r="F5626" s="1006" t="s">
        <v>18666</v>
      </c>
      <c r="G5626" s="863" t="s">
        <v>19097</v>
      </c>
      <c r="H5626" s="222" t="s">
        <v>18712</v>
      </c>
      <c r="I5626" s="222" t="s">
        <v>18712</v>
      </c>
      <c r="J5626" s="183" t="s">
        <v>1</v>
      </c>
      <c r="K5626" s="183" t="s">
        <v>1</v>
      </c>
      <c r="L5626" s="183" t="s">
        <v>1</v>
      </c>
      <c r="M5626" s="183">
        <v>2</v>
      </c>
      <c r="N5626" s="183">
        <v>1</v>
      </c>
      <c r="O5626" s="222">
        <v>2</v>
      </c>
      <c r="P5626" s="222">
        <v>0</v>
      </c>
      <c r="Q5626" s="222">
        <v>0</v>
      </c>
      <c r="R5626" s="1195">
        <v>4700</v>
      </c>
      <c r="S5626" s="1195">
        <f>R5626*O5626</f>
        <v>9400</v>
      </c>
      <c r="T5626" s="222" t="s">
        <v>19007</v>
      </c>
      <c r="U5626" s="1527" t="s">
        <v>18670</v>
      </c>
      <c r="V5626" s="1841" t="s">
        <v>104</v>
      </c>
      <c r="W5626" s="1815" t="s">
        <v>19098</v>
      </c>
      <c r="X5626" s="818"/>
      <c r="Y5626" s="1161"/>
    </row>
    <row r="5627" spans="1:25" ht="15.75" hidden="1" customHeight="1" outlineLevel="1">
      <c r="A5627" s="222">
        <v>5636</v>
      </c>
      <c r="B5627" s="858">
        <v>44756</v>
      </c>
      <c r="C5627" s="1132" t="s">
        <v>18912</v>
      </c>
      <c r="D5627" s="11" t="s">
        <v>6</v>
      </c>
      <c r="E5627" s="874" t="s">
        <v>683</v>
      </c>
      <c r="F5627" s="874" t="s">
        <v>10005</v>
      </c>
      <c r="G5627" s="874" t="s">
        <v>18913</v>
      </c>
      <c r="H5627" s="874" t="s">
        <v>18914</v>
      </c>
      <c r="I5627" s="874" t="s">
        <v>53</v>
      </c>
      <c r="J5627" s="874" t="s">
        <v>18915</v>
      </c>
      <c r="K5627" s="874" t="s">
        <v>18916</v>
      </c>
      <c r="L5627" s="874" t="s">
        <v>149</v>
      </c>
      <c r="M5627" s="874">
        <v>1</v>
      </c>
      <c r="N5627" s="874">
        <v>1</v>
      </c>
      <c r="O5627" s="874">
        <v>1</v>
      </c>
      <c r="P5627" s="874">
        <v>0</v>
      </c>
      <c r="Q5627" s="874">
        <v>0</v>
      </c>
      <c r="R5627" s="1703">
        <v>15060</v>
      </c>
      <c r="S5627" s="1680">
        <v>15060</v>
      </c>
      <c r="T5627" s="873" t="s">
        <v>14509</v>
      </c>
      <c r="U5627" s="1969" t="s">
        <v>4220</v>
      </c>
      <c r="V5627" s="924" t="s">
        <v>5604</v>
      </c>
      <c r="W5627" s="886" t="s">
        <v>18918</v>
      </c>
      <c r="X5627" s="818"/>
      <c r="Y5627" s="1161"/>
    </row>
    <row r="5628" spans="1:25" ht="15.75" hidden="1" customHeight="1" outlineLevel="1">
      <c r="A5628" s="222">
        <v>5637</v>
      </c>
      <c r="B5628" s="858">
        <v>44757</v>
      </c>
      <c r="C5628" s="129" t="s">
        <v>19099</v>
      </c>
      <c r="D5628" s="11" t="s">
        <v>6</v>
      </c>
      <c r="E5628" s="818" t="s">
        <v>572</v>
      </c>
      <c r="F5628" s="1006" t="s">
        <v>131</v>
      </c>
      <c r="G5628" s="863" t="s">
        <v>19100</v>
      </c>
      <c r="H5628" s="222" t="s">
        <v>19101</v>
      </c>
      <c r="I5628" s="222" t="s">
        <v>19101</v>
      </c>
      <c r="J5628" s="183" t="s">
        <v>19102</v>
      </c>
      <c r="K5628" s="183" t="s">
        <v>19102</v>
      </c>
      <c r="L5628" s="613"/>
      <c r="M5628" s="183">
        <v>2</v>
      </c>
      <c r="N5628" s="183">
        <v>1</v>
      </c>
      <c r="O5628" s="222">
        <v>2</v>
      </c>
      <c r="P5628" s="222">
        <v>0</v>
      </c>
      <c r="Q5628" s="222">
        <v>0</v>
      </c>
      <c r="R5628" s="1195">
        <v>118474</v>
      </c>
      <c r="S5628" s="1195">
        <f t="shared" ref="S5628:S5646" si="302">R5628*O5628</f>
        <v>236948</v>
      </c>
      <c r="T5628" s="222" t="s">
        <v>18479</v>
      </c>
      <c r="U5628" s="1527" t="s">
        <v>10016</v>
      </c>
      <c r="V5628" s="222" t="s">
        <v>104</v>
      </c>
      <c r="W5628" s="2155" t="s">
        <v>16931</v>
      </c>
      <c r="X5628" s="818"/>
      <c r="Y5628" s="1161"/>
    </row>
    <row r="5629" spans="1:25" ht="15.75" hidden="1" customHeight="1" outlineLevel="1">
      <c r="A5629" s="222">
        <v>5638</v>
      </c>
      <c r="B5629" s="858">
        <v>44757</v>
      </c>
      <c r="C5629" s="129" t="s">
        <v>19103</v>
      </c>
      <c r="D5629" s="8" t="s">
        <v>6</v>
      </c>
      <c r="E5629" s="818" t="s">
        <v>62</v>
      </c>
      <c r="F5629" s="1006" t="s">
        <v>11441</v>
      </c>
      <c r="G5629" s="863" t="s">
        <v>19104</v>
      </c>
      <c r="H5629" s="272" t="s">
        <v>13398</v>
      </c>
      <c r="I5629" s="222" t="s">
        <v>19105</v>
      </c>
      <c r="J5629" s="272" t="s">
        <v>19104</v>
      </c>
      <c r="K5629" s="272" t="s">
        <v>19104</v>
      </c>
      <c r="L5629" s="613"/>
      <c r="M5629" s="183">
        <v>1</v>
      </c>
      <c r="N5629" s="183">
        <v>1</v>
      </c>
      <c r="O5629" s="222">
        <v>1</v>
      </c>
      <c r="P5629" s="222">
        <v>0</v>
      </c>
      <c r="Q5629" s="222">
        <v>0</v>
      </c>
      <c r="R5629" s="1195">
        <v>197780</v>
      </c>
      <c r="S5629" s="1195">
        <f t="shared" si="302"/>
        <v>197780</v>
      </c>
      <c r="T5629" s="222" t="s">
        <v>13136</v>
      </c>
      <c r="U5629" s="1527" t="s">
        <v>18781</v>
      </c>
      <c r="V5629" s="222" t="s">
        <v>19106</v>
      </c>
      <c r="W5629" s="2155" t="s">
        <v>19107</v>
      </c>
      <c r="X5629" s="818"/>
      <c r="Y5629" s="1161"/>
    </row>
    <row r="5630" spans="1:25" ht="15.75" hidden="1" customHeight="1" outlineLevel="1">
      <c r="A5630" s="222">
        <v>5639</v>
      </c>
      <c r="B5630" s="858">
        <v>44757</v>
      </c>
      <c r="C5630" s="129" t="s">
        <v>19108</v>
      </c>
      <c r="D5630" s="10"/>
      <c r="E5630" s="818" t="s">
        <v>572</v>
      </c>
      <c r="F5630" s="1006" t="s">
        <v>13277</v>
      </c>
      <c r="G5630" s="855" t="s">
        <v>19109</v>
      </c>
      <c r="H5630" s="1193" t="s">
        <v>19110</v>
      </c>
      <c r="I5630" s="222" t="s">
        <v>19111</v>
      </c>
      <c r="J5630" s="183" t="s">
        <v>19112</v>
      </c>
      <c r="K5630" s="183" t="s">
        <v>19113</v>
      </c>
      <c r="L5630" s="613" t="s">
        <v>1</v>
      </c>
      <c r="M5630" s="183">
        <v>4</v>
      </c>
      <c r="N5630" s="183">
        <v>1</v>
      </c>
      <c r="O5630" s="222">
        <v>4</v>
      </c>
      <c r="P5630" s="222">
        <v>0</v>
      </c>
      <c r="Q5630" s="222">
        <f>O5630-P5630</f>
        <v>4</v>
      </c>
      <c r="R5630" s="1195">
        <v>4211</v>
      </c>
      <c r="S5630" s="1195">
        <f t="shared" si="302"/>
        <v>16844</v>
      </c>
      <c r="T5630" s="222" t="s">
        <v>5448</v>
      </c>
      <c r="U5630" s="1527" t="s">
        <v>3646</v>
      </c>
      <c r="V5630" s="222" t="s">
        <v>3140</v>
      </c>
      <c r="W5630" s="2155" t="s">
        <v>19114</v>
      </c>
      <c r="X5630" s="818"/>
      <c r="Y5630" s="1161"/>
    </row>
    <row r="5631" spans="1:25" ht="15.75" hidden="1" customHeight="1" outlineLevel="1">
      <c r="A5631" s="222">
        <v>5640</v>
      </c>
      <c r="B5631" s="858">
        <v>44758</v>
      </c>
      <c r="C5631" s="863" t="s">
        <v>19115</v>
      </c>
      <c r="D5631" s="11" t="s">
        <v>6</v>
      </c>
      <c r="E5631" s="818" t="s">
        <v>62</v>
      </c>
      <c r="F5631" s="1539" t="s">
        <v>11441</v>
      </c>
      <c r="G5631" s="222" t="s">
        <v>19116</v>
      </c>
      <c r="H5631" s="1122" t="s">
        <v>7599</v>
      </c>
      <c r="I5631" s="222" t="s">
        <v>574</v>
      </c>
      <c r="J5631" s="183" t="s">
        <v>19117</v>
      </c>
      <c r="K5631" s="183" t="s">
        <v>19118</v>
      </c>
      <c r="L5631" s="613" t="s">
        <v>1</v>
      </c>
      <c r="M5631" s="183">
        <v>10</v>
      </c>
      <c r="N5631" s="183">
        <v>1</v>
      </c>
      <c r="O5631" s="222">
        <v>10</v>
      </c>
      <c r="P5631" s="222">
        <v>0</v>
      </c>
      <c r="Q5631" s="222">
        <v>0</v>
      </c>
      <c r="R5631" s="1195">
        <v>800</v>
      </c>
      <c r="S5631" s="1195">
        <f t="shared" si="302"/>
        <v>8000</v>
      </c>
      <c r="T5631" s="222" t="s">
        <v>13136</v>
      </c>
      <c r="U5631" s="1527" t="s">
        <v>18781</v>
      </c>
      <c r="V5631" s="222" t="s">
        <v>19119</v>
      </c>
      <c r="W5631" s="2155" t="s">
        <v>19120</v>
      </c>
      <c r="X5631" s="818"/>
      <c r="Y5631" s="1161"/>
    </row>
    <row r="5632" spans="1:25" ht="15.75" hidden="1" customHeight="1" outlineLevel="1">
      <c r="A5632" s="222">
        <v>5641</v>
      </c>
      <c r="B5632" s="858">
        <v>44758</v>
      </c>
      <c r="C5632" s="863" t="s">
        <v>19121</v>
      </c>
      <c r="D5632" s="11" t="s">
        <v>6</v>
      </c>
      <c r="E5632" s="818" t="s">
        <v>62</v>
      </c>
      <c r="F5632" s="1539" t="s">
        <v>11441</v>
      </c>
      <c r="G5632" s="222" t="s">
        <v>19122</v>
      </c>
      <c r="H5632" s="1122" t="s">
        <v>7066</v>
      </c>
      <c r="I5632" s="222" t="s">
        <v>574</v>
      </c>
      <c r="J5632" s="183" t="s">
        <v>19123</v>
      </c>
      <c r="K5632" s="183">
        <v>172123</v>
      </c>
      <c r="L5632" s="613" t="s">
        <v>1</v>
      </c>
      <c r="M5632" s="183">
        <v>10</v>
      </c>
      <c r="N5632" s="183">
        <v>1</v>
      </c>
      <c r="O5632" s="222">
        <v>10</v>
      </c>
      <c r="P5632" s="222">
        <v>0</v>
      </c>
      <c r="Q5632" s="222">
        <v>0</v>
      </c>
      <c r="R5632" s="1195">
        <v>1935</v>
      </c>
      <c r="S5632" s="1195">
        <f t="shared" si="302"/>
        <v>19350</v>
      </c>
      <c r="T5632" s="222" t="s">
        <v>13136</v>
      </c>
      <c r="U5632" s="1527" t="s">
        <v>18781</v>
      </c>
      <c r="V5632" s="222" t="s">
        <v>19119</v>
      </c>
      <c r="W5632" s="1815" t="s">
        <v>19124</v>
      </c>
      <c r="X5632" s="818"/>
      <c r="Y5632" s="1161"/>
    </row>
    <row r="5633" spans="1:52" ht="15.75" hidden="1" customHeight="1" outlineLevel="1">
      <c r="A5633" s="222">
        <v>5642</v>
      </c>
      <c r="B5633" s="858">
        <v>44758</v>
      </c>
      <c r="C5633" s="863" t="s">
        <v>19125</v>
      </c>
      <c r="D5633" s="11" t="s">
        <v>6</v>
      </c>
      <c r="E5633" s="818" t="s">
        <v>62</v>
      </c>
      <c r="F5633" s="1539" t="s">
        <v>11441</v>
      </c>
      <c r="G5633" s="222" t="s">
        <v>19126</v>
      </c>
      <c r="H5633" s="1122" t="s">
        <v>7066</v>
      </c>
      <c r="I5633" s="222" t="s">
        <v>574</v>
      </c>
      <c r="J5633" s="183" t="s">
        <v>19127</v>
      </c>
      <c r="K5633" s="183">
        <v>172122</v>
      </c>
      <c r="L5633" s="613" t="s">
        <v>1</v>
      </c>
      <c r="M5633" s="183">
        <v>10</v>
      </c>
      <c r="N5633" s="183">
        <v>1</v>
      </c>
      <c r="O5633" s="222">
        <v>10</v>
      </c>
      <c r="P5633" s="222">
        <v>0</v>
      </c>
      <c r="Q5633" s="222">
        <v>0</v>
      </c>
      <c r="R5633" s="1195">
        <v>2245</v>
      </c>
      <c r="S5633" s="1195">
        <f t="shared" si="302"/>
        <v>22450</v>
      </c>
      <c r="T5633" s="222" t="s">
        <v>13136</v>
      </c>
      <c r="U5633" s="1527" t="s">
        <v>18781</v>
      </c>
      <c r="V5633" s="222" t="s">
        <v>19119</v>
      </c>
      <c r="W5633" s="2155" t="s">
        <v>19128</v>
      </c>
      <c r="X5633" s="818"/>
      <c r="Y5633" s="1161"/>
    </row>
    <row r="5634" spans="1:52" ht="15.75" hidden="1" customHeight="1" outlineLevel="1">
      <c r="A5634" s="222">
        <v>5643</v>
      </c>
      <c r="B5634" s="858">
        <v>44758</v>
      </c>
      <c r="C5634" s="863" t="s">
        <v>19129</v>
      </c>
      <c r="D5634" s="11" t="s">
        <v>6</v>
      </c>
      <c r="E5634" s="818" t="s">
        <v>62</v>
      </c>
      <c r="F5634" s="1539" t="s">
        <v>11441</v>
      </c>
      <c r="G5634" s="222" t="s">
        <v>19130</v>
      </c>
      <c r="H5634" s="1122" t="s">
        <v>7066</v>
      </c>
      <c r="I5634" s="222" t="s">
        <v>574</v>
      </c>
      <c r="J5634" s="183" t="s">
        <v>19131</v>
      </c>
      <c r="K5634" s="183">
        <v>242112</v>
      </c>
      <c r="L5634" s="613" t="s">
        <v>1</v>
      </c>
      <c r="M5634" s="183">
        <v>10</v>
      </c>
      <c r="N5634" s="183">
        <v>1</v>
      </c>
      <c r="O5634" s="222">
        <v>10</v>
      </c>
      <c r="P5634" s="222">
        <v>0</v>
      </c>
      <c r="Q5634" s="222">
        <v>0</v>
      </c>
      <c r="R5634" s="1195">
        <v>2373</v>
      </c>
      <c r="S5634" s="1195">
        <f t="shared" si="302"/>
        <v>23730</v>
      </c>
      <c r="T5634" s="222" t="s">
        <v>13136</v>
      </c>
      <c r="U5634" s="1527" t="s">
        <v>18781</v>
      </c>
      <c r="V5634" s="222" t="s">
        <v>19119</v>
      </c>
      <c r="W5634" s="2155" t="s">
        <v>19132</v>
      </c>
      <c r="X5634" s="818"/>
      <c r="Y5634" s="1161"/>
    </row>
    <row r="5635" spans="1:52" ht="15.75" hidden="1" customHeight="1" outlineLevel="1">
      <c r="A5635" s="222">
        <v>5644</v>
      </c>
      <c r="B5635" s="858">
        <v>44758</v>
      </c>
      <c r="C5635" s="863" t="s">
        <v>19133</v>
      </c>
      <c r="D5635" s="11" t="s">
        <v>6</v>
      </c>
      <c r="E5635" s="818" t="s">
        <v>62</v>
      </c>
      <c r="F5635" s="1539" t="s">
        <v>11441</v>
      </c>
      <c r="G5635" s="222" t="s">
        <v>19134</v>
      </c>
      <c r="H5635" s="1122" t="s">
        <v>4508</v>
      </c>
      <c r="I5635" s="222" t="s">
        <v>574</v>
      </c>
      <c r="J5635" s="183" t="s">
        <v>19135</v>
      </c>
      <c r="K5635" s="183" t="s">
        <v>19136</v>
      </c>
      <c r="L5635" s="613" t="s">
        <v>1</v>
      </c>
      <c r="M5635" s="183">
        <v>6</v>
      </c>
      <c r="N5635" s="183">
        <v>1</v>
      </c>
      <c r="O5635" s="222">
        <v>6</v>
      </c>
      <c r="P5635" s="222">
        <v>0</v>
      </c>
      <c r="Q5635" s="222">
        <v>0</v>
      </c>
      <c r="R5635" s="1195">
        <v>1288</v>
      </c>
      <c r="S5635" s="1195">
        <f t="shared" si="302"/>
        <v>7728</v>
      </c>
      <c r="T5635" s="222" t="s">
        <v>13136</v>
      </c>
      <c r="U5635" s="1527" t="s">
        <v>18781</v>
      </c>
      <c r="V5635" s="222" t="s">
        <v>19119</v>
      </c>
      <c r="W5635" s="2155" t="s">
        <v>19137</v>
      </c>
      <c r="X5635" s="818"/>
      <c r="Y5635" s="1161"/>
    </row>
    <row r="5636" spans="1:52" ht="15.75" hidden="1" customHeight="1" outlineLevel="1">
      <c r="A5636" s="222">
        <v>5645</v>
      </c>
      <c r="B5636" s="858">
        <v>44758</v>
      </c>
      <c r="C5636" s="863" t="s">
        <v>19138</v>
      </c>
      <c r="D5636" s="11" t="s">
        <v>6</v>
      </c>
      <c r="E5636" s="818" t="s">
        <v>62</v>
      </c>
      <c r="F5636" s="1539" t="s">
        <v>11441</v>
      </c>
      <c r="G5636" s="222" t="s">
        <v>19139</v>
      </c>
      <c r="H5636" s="1122" t="s">
        <v>7066</v>
      </c>
      <c r="I5636" s="222" t="s">
        <v>574</v>
      </c>
      <c r="J5636" s="183" t="s">
        <v>19140</v>
      </c>
      <c r="K5636" s="183">
        <v>242108</v>
      </c>
      <c r="L5636" s="613" t="s">
        <v>1</v>
      </c>
      <c r="M5636" s="183">
        <v>10</v>
      </c>
      <c r="N5636" s="183">
        <v>1</v>
      </c>
      <c r="O5636" s="222">
        <v>10</v>
      </c>
      <c r="P5636" s="222">
        <v>0</v>
      </c>
      <c r="Q5636" s="222">
        <v>0</v>
      </c>
      <c r="R5636" s="1195">
        <v>2974</v>
      </c>
      <c r="S5636" s="1195">
        <f t="shared" si="302"/>
        <v>29740</v>
      </c>
      <c r="T5636" s="222" t="s">
        <v>13136</v>
      </c>
      <c r="U5636" s="1527" t="s">
        <v>18781</v>
      </c>
      <c r="V5636" s="222" t="s">
        <v>19119</v>
      </c>
      <c r="W5636" s="2155" t="s">
        <v>19141</v>
      </c>
      <c r="X5636" s="818"/>
      <c r="Y5636" s="1161"/>
    </row>
    <row r="5637" spans="1:52" ht="15.75" hidden="1" customHeight="1" outlineLevel="1">
      <c r="A5637" s="222">
        <v>5646</v>
      </c>
      <c r="B5637" s="858">
        <v>44758</v>
      </c>
      <c r="C5637" s="863" t="s">
        <v>19142</v>
      </c>
      <c r="D5637" s="11" t="s">
        <v>6</v>
      </c>
      <c r="E5637" s="818" t="s">
        <v>62</v>
      </c>
      <c r="F5637" s="1539" t="s">
        <v>11441</v>
      </c>
      <c r="G5637" s="222" t="s">
        <v>19143</v>
      </c>
      <c r="H5637" s="1122" t="s">
        <v>7066</v>
      </c>
      <c r="I5637" s="222" t="s">
        <v>574</v>
      </c>
      <c r="J5637" s="183" t="s">
        <v>19144</v>
      </c>
      <c r="K5637" s="183">
        <v>112437</v>
      </c>
      <c r="L5637" s="613" t="s">
        <v>1</v>
      </c>
      <c r="M5637" s="183">
        <v>4</v>
      </c>
      <c r="N5637" s="183">
        <v>1</v>
      </c>
      <c r="O5637" s="222">
        <v>4</v>
      </c>
      <c r="P5637" s="222">
        <v>0</v>
      </c>
      <c r="Q5637" s="222">
        <v>0</v>
      </c>
      <c r="R5637" s="1195">
        <v>1189</v>
      </c>
      <c r="S5637" s="1195">
        <f t="shared" si="302"/>
        <v>4756</v>
      </c>
      <c r="T5637" s="222" t="s">
        <v>13136</v>
      </c>
      <c r="U5637" s="1527" t="s">
        <v>18781</v>
      </c>
      <c r="V5637" s="222" t="s">
        <v>19119</v>
      </c>
      <c r="W5637" s="2155" t="s">
        <v>19145</v>
      </c>
      <c r="X5637" s="818"/>
      <c r="Y5637" s="1161"/>
    </row>
    <row r="5638" spans="1:52" ht="15.75" hidden="1" customHeight="1" outlineLevel="1">
      <c r="A5638" s="222">
        <v>5647</v>
      </c>
      <c r="B5638" s="858">
        <v>44758</v>
      </c>
      <c r="C5638" s="863" t="s">
        <v>19146</v>
      </c>
      <c r="D5638" s="11" t="s">
        <v>6</v>
      </c>
      <c r="E5638" s="818" t="s">
        <v>62</v>
      </c>
      <c r="F5638" s="1539" t="s">
        <v>11441</v>
      </c>
      <c r="G5638" s="222" t="s">
        <v>19147</v>
      </c>
      <c r="H5638" s="1122" t="s">
        <v>17319</v>
      </c>
      <c r="I5638" s="222" t="s">
        <v>574</v>
      </c>
      <c r="J5638" s="183" t="s">
        <v>19148</v>
      </c>
      <c r="K5638" s="183">
        <v>3288</v>
      </c>
      <c r="L5638" s="613" t="s">
        <v>1</v>
      </c>
      <c r="M5638" s="183">
        <v>6</v>
      </c>
      <c r="N5638" s="183">
        <v>1</v>
      </c>
      <c r="O5638" s="222">
        <v>6</v>
      </c>
      <c r="P5638" s="222">
        <v>0</v>
      </c>
      <c r="Q5638" s="222">
        <v>0</v>
      </c>
      <c r="R5638" s="1195">
        <v>3081</v>
      </c>
      <c r="S5638" s="1195">
        <f t="shared" si="302"/>
        <v>18486</v>
      </c>
      <c r="T5638" s="222" t="s">
        <v>13136</v>
      </c>
      <c r="U5638" s="1527" t="s">
        <v>18781</v>
      </c>
      <c r="V5638" s="222" t="s">
        <v>19119</v>
      </c>
      <c r="W5638" s="2155" t="s">
        <v>19149</v>
      </c>
      <c r="X5638" s="818"/>
      <c r="Y5638" s="1161"/>
    </row>
    <row r="5639" spans="1:52" ht="15.75" hidden="1" customHeight="1" outlineLevel="1">
      <c r="A5639" s="222">
        <v>5648</v>
      </c>
      <c r="B5639" s="858">
        <v>44758</v>
      </c>
      <c r="C5639" s="863" t="s">
        <v>19150</v>
      </c>
      <c r="D5639" s="11" t="s">
        <v>6</v>
      </c>
      <c r="E5639" s="818" t="s">
        <v>62</v>
      </c>
      <c r="F5639" s="1539" t="s">
        <v>11441</v>
      </c>
      <c r="G5639" s="222" t="s">
        <v>19151</v>
      </c>
      <c r="H5639" s="1122" t="s">
        <v>7066</v>
      </c>
      <c r="I5639" s="222" t="s">
        <v>574</v>
      </c>
      <c r="J5639" s="183" t="s">
        <v>19152</v>
      </c>
      <c r="K5639" s="183">
        <v>242114</v>
      </c>
      <c r="L5639" s="613" t="s">
        <v>1</v>
      </c>
      <c r="M5639" s="183">
        <v>6</v>
      </c>
      <c r="N5639" s="183">
        <v>1</v>
      </c>
      <c r="O5639" s="222">
        <v>6</v>
      </c>
      <c r="P5639" s="222">
        <v>0</v>
      </c>
      <c r="Q5639" s="222">
        <v>0</v>
      </c>
      <c r="R5639" s="1195">
        <v>2738</v>
      </c>
      <c r="S5639" s="1195">
        <f t="shared" si="302"/>
        <v>16428</v>
      </c>
      <c r="T5639" s="222" t="s">
        <v>13136</v>
      </c>
      <c r="U5639" s="1527" t="s">
        <v>18781</v>
      </c>
      <c r="V5639" s="222" t="s">
        <v>19119</v>
      </c>
      <c r="W5639" s="2155" t="s">
        <v>19153</v>
      </c>
      <c r="X5639" s="818"/>
      <c r="Y5639" s="1161"/>
    </row>
    <row r="5640" spans="1:52" ht="15.75" hidden="1" customHeight="1" outlineLevel="1">
      <c r="A5640" s="222">
        <v>5649</v>
      </c>
      <c r="B5640" s="858">
        <v>44758</v>
      </c>
      <c r="C5640" s="863" t="s">
        <v>19154</v>
      </c>
      <c r="D5640" s="11" t="s">
        <v>6</v>
      </c>
      <c r="E5640" s="818" t="s">
        <v>62</v>
      </c>
      <c r="F5640" s="1539" t="s">
        <v>11441</v>
      </c>
      <c r="G5640" s="222" t="s">
        <v>19155</v>
      </c>
      <c r="H5640" s="1122" t="s">
        <v>1143</v>
      </c>
      <c r="I5640" s="222" t="s">
        <v>574</v>
      </c>
      <c r="J5640" s="183" t="s">
        <v>19156</v>
      </c>
      <c r="K5640" s="183">
        <v>732760112</v>
      </c>
      <c r="L5640" s="613" t="s">
        <v>1</v>
      </c>
      <c r="M5640" s="183">
        <v>10</v>
      </c>
      <c r="N5640" s="183">
        <v>1</v>
      </c>
      <c r="O5640" s="222">
        <v>10</v>
      </c>
      <c r="P5640" s="222">
        <v>0</v>
      </c>
      <c r="Q5640" s="222">
        <v>0</v>
      </c>
      <c r="R5640" s="1195">
        <v>3660</v>
      </c>
      <c r="S5640" s="1195">
        <f t="shared" si="302"/>
        <v>36600</v>
      </c>
      <c r="T5640" s="222" t="s">
        <v>13136</v>
      </c>
      <c r="U5640" s="1527" t="s">
        <v>18781</v>
      </c>
      <c r="V5640" s="222" t="s">
        <v>19119</v>
      </c>
      <c r="W5640" s="2155" t="s">
        <v>19157</v>
      </c>
      <c r="X5640" s="818"/>
      <c r="Y5640" s="1161"/>
    </row>
    <row r="5641" spans="1:52" ht="15.75" hidden="1" customHeight="1" outlineLevel="1">
      <c r="A5641" s="222">
        <v>5650</v>
      </c>
      <c r="B5641" s="858">
        <v>44758</v>
      </c>
      <c r="C5641" s="863" t="s">
        <v>19158</v>
      </c>
      <c r="D5641" s="11" t="s">
        <v>6</v>
      </c>
      <c r="E5641" s="818" t="s">
        <v>62</v>
      </c>
      <c r="F5641" s="1539" t="s">
        <v>11441</v>
      </c>
      <c r="G5641" s="222" t="s">
        <v>19159</v>
      </c>
      <c r="H5641" s="1122" t="s">
        <v>7066</v>
      </c>
      <c r="I5641" s="222" t="s">
        <v>574</v>
      </c>
      <c r="J5641" s="183" t="s">
        <v>19160</v>
      </c>
      <c r="K5641" s="183">
        <v>172135</v>
      </c>
      <c r="L5641" s="613" t="s">
        <v>1</v>
      </c>
      <c r="M5641" s="183">
        <v>10</v>
      </c>
      <c r="N5641" s="183">
        <v>1</v>
      </c>
      <c r="O5641" s="222">
        <v>10</v>
      </c>
      <c r="P5641" s="222">
        <v>0</v>
      </c>
      <c r="Q5641" s="222">
        <v>0</v>
      </c>
      <c r="R5641" s="1195">
        <v>1116</v>
      </c>
      <c r="S5641" s="1195">
        <f t="shared" si="302"/>
        <v>11160</v>
      </c>
      <c r="T5641" s="222" t="s">
        <v>13136</v>
      </c>
      <c r="U5641" s="1527" t="s">
        <v>18781</v>
      </c>
      <c r="V5641" s="222" t="s">
        <v>19119</v>
      </c>
      <c r="W5641" s="2155" t="s">
        <v>19161</v>
      </c>
      <c r="X5641" s="818"/>
      <c r="Y5641" s="1161"/>
    </row>
    <row r="5642" spans="1:52" ht="15.75" hidden="1" customHeight="1" outlineLevel="1">
      <c r="A5642" s="222">
        <v>5651</v>
      </c>
      <c r="B5642" s="858">
        <v>44758</v>
      </c>
      <c r="C5642" s="863" t="s">
        <v>19162</v>
      </c>
      <c r="D5642" s="11" t="s">
        <v>6</v>
      </c>
      <c r="E5642" s="818" t="s">
        <v>62</v>
      </c>
      <c r="F5642" s="1539" t="s">
        <v>11441</v>
      </c>
      <c r="G5642" s="222" t="s">
        <v>19163</v>
      </c>
      <c r="H5642" s="1122" t="s">
        <v>19164</v>
      </c>
      <c r="I5642" s="222" t="s">
        <v>574</v>
      </c>
      <c r="J5642" s="183" t="s">
        <v>19165</v>
      </c>
      <c r="K5642" s="183" t="s">
        <v>19166</v>
      </c>
      <c r="L5642" s="613" t="s">
        <v>1</v>
      </c>
      <c r="M5642" s="183">
        <v>10</v>
      </c>
      <c r="N5642" s="183">
        <v>1</v>
      </c>
      <c r="O5642" s="222">
        <v>10</v>
      </c>
      <c r="P5642" s="222">
        <v>0</v>
      </c>
      <c r="Q5642" s="222">
        <v>0</v>
      </c>
      <c r="R5642" s="1195">
        <v>2779</v>
      </c>
      <c r="S5642" s="1195">
        <f t="shared" si="302"/>
        <v>27790</v>
      </c>
      <c r="T5642" s="222" t="s">
        <v>13136</v>
      </c>
      <c r="U5642" s="1527" t="s">
        <v>18781</v>
      </c>
      <c r="V5642" s="222" t="s">
        <v>19119</v>
      </c>
      <c r="W5642" s="2155" t="s">
        <v>19167</v>
      </c>
      <c r="X5642" s="818"/>
      <c r="Y5642" s="1161"/>
    </row>
    <row r="5643" spans="1:52" ht="15.75" hidden="1" customHeight="1" outlineLevel="1">
      <c r="A5643" s="222">
        <v>5652</v>
      </c>
      <c r="B5643" s="858">
        <v>44758</v>
      </c>
      <c r="C5643" s="863" t="s">
        <v>19168</v>
      </c>
      <c r="D5643" s="11" t="s">
        <v>6</v>
      </c>
      <c r="E5643" s="818" t="s">
        <v>62</v>
      </c>
      <c r="F5643" s="1539" t="s">
        <v>11441</v>
      </c>
      <c r="G5643" s="222" t="s">
        <v>19169</v>
      </c>
      <c r="H5643" s="1707" t="s">
        <v>14282</v>
      </c>
      <c r="I5643" s="222" t="s">
        <v>574</v>
      </c>
      <c r="J5643" s="183" t="s">
        <v>14283</v>
      </c>
      <c r="K5643" s="183" t="s">
        <v>14284</v>
      </c>
      <c r="L5643" s="613" t="s">
        <v>1</v>
      </c>
      <c r="M5643" s="183">
        <v>10</v>
      </c>
      <c r="N5643" s="183">
        <v>1</v>
      </c>
      <c r="O5643" s="222">
        <v>10</v>
      </c>
      <c r="P5643" s="222">
        <v>0</v>
      </c>
      <c r="Q5643" s="222">
        <v>0</v>
      </c>
      <c r="R5643" s="1195">
        <v>713</v>
      </c>
      <c r="S5643" s="1195">
        <f t="shared" si="302"/>
        <v>7130</v>
      </c>
      <c r="T5643" s="222" t="s">
        <v>13136</v>
      </c>
      <c r="U5643" s="1527" t="s">
        <v>18781</v>
      </c>
      <c r="V5643" s="222" t="s">
        <v>19119</v>
      </c>
      <c r="W5643" s="2155" t="s">
        <v>19170</v>
      </c>
      <c r="X5643" s="818"/>
      <c r="Y5643" s="1161"/>
    </row>
    <row r="5644" spans="1:52" ht="15.75" hidden="1" customHeight="1" outlineLevel="1">
      <c r="A5644" s="222">
        <v>5653</v>
      </c>
      <c r="B5644" s="858">
        <v>44759</v>
      </c>
      <c r="C5644" s="129" t="s">
        <v>175</v>
      </c>
      <c r="D5644" s="11" t="s">
        <v>6</v>
      </c>
      <c r="E5644" s="818" t="s">
        <v>4951</v>
      </c>
      <c r="F5644" s="1006" t="s">
        <v>11438</v>
      </c>
      <c r="G5644" s="204" t="s">
        <v>14645</v>
      </c>
      <c r="H5644" s="204" t="s">
        <v>154</v>
      </c>
      <c r="I5644" s="222" t="s">
        <v>39</v>
      </c>
      <c r="J5644" s="183" t="s">
        <v>910</v>
      </c>
      <c r="K5644" s="204" t="s">
        <v>14646</v>
      </c>
      <c r="L5644" s="613" t="s">
        <v>6661</v>
      </c>
      <c r="M5644" s="183">
        <v>3</v>
      </c>
      <c r="N5644" s="183">
        <v>1</v>
      </c>
      <c r="O5644" s="222">
        <v>4</v>
      </c>
      <c r="P5644" s="222">
        <v>0</v>
      </c>
      <c r="Q5644" s="222">
        <v>1</v>
      </c>
      <c r="R5644" s="1195">
        <v>1196</v>
      </c>
      <c r="S5644" s="1195">
        <f t="shared" si="302"/>
        <v>4784</v>
      </c>
      <c r="T5644" s="204" t="s">
        <v>14719</v>
      </c>
      <c r="U5644" s="1527" t="s">
        <v>149</v>
      </c>
      <c r="V5644" s="222" t="s">
        <v>352</v>
      </c>
      <c r="W5644" s="1612" t="s">
        <v>914</v>
      </c>
      <c r="X5644" s="818"/>
      <c r="Y5644" s="1161"/>
    </row>
    <row r="5645" spans="1:52" ht="15.75" hidden="1" customHeight="1" outlineLevel="1">
      <c r="A5645" s="222">
        <v>5654</v>
      </c>
      <c r="B5645" s="858">
        <v>44759</v>
      </c>
      <c r="C5645" s="129" t="s">
        <v>14661</v>
      </c>
      <c r="D5645" s="11" t="s">
        <v>6</v>
      </c>
      <c r="E5645" s="818" t="s">
        <v>4951</v>
      </c>
      <c r="F5645" s="1006" t="s">
        <v>11438</v>
      </c>
      <c r="G5645" s="204" t="s">
        <v>14662</v>
      </c>
      <c r="H5645" s="297" t="s">
        <v>260</v>
      </c>
      <c r="I5645" s="222" t="s">
        <v>39</v>
      </c>
      <c r="J5645" s="183" t="s">
        <v>906</v>
      </c>
      <c r="K5645" s="1708" t="s">
        <v>19171</v>
      </c>
      <c r="L5645" s="613" t="s">
        <v>1</v>
      </c>
      <c r="M5645" s="183">
        <v>4</v>
      </c>
      <c r="N5645" s="183">
        <v>10</v>
      </c>
      <c r="O5645" s="222">
        <v>10</v>
      </c>
      <c r="P5645" s="222">
        <v>0</v>
      </c>
      <c r="Q5645" s="222">
        <v>1</v>
      </c>
      <c r="R5645" s="1195">
        <v>250</v>
      </c>
      <c r="S5645" s="1195">
        <f t="shared" si="302"/>
        <v>2500</v>
      </c>
      <c r="T5645" s="297" t="s">
        <v>14719</v>
      </c>
      <c r="U5645" s="1527" t="s">
        <v>149</v>
      </c>
      <c r="V5645" s="222" t="s">
        <v>352</v>
      </c>
      <c r="W5645" s="1617" t="s">
        <v>908</v>
      </c>
      <c r="X5645" s="818"/>
      <c r="Y5645" s="1161"/>
    </row>
    <row r="5646" spans="1:52" ht="28.5" hidden="1" customHeight="1" outlineLevel="1">
      <c r="A5646" s="222">
        <v>5655</v>
      </c>
      <c r="B5646" s="858">
        <v>44759</v>
      </c>
      <c r="C5646" s="129" t="s">
        <v>4274</v>
      </c>
      <c r="D5646" s="11" t="s">
        <v>6</v>
      </c>
      <c r="E5646" s="818" t="s">
        <v>4951</v>
      </c>
      <c r="F5646" s="1006" t="s">
        <v>11438</v>
      </c>
      <c r="G5646" s="160" t="s">
        <v>235</v>
      </c>
      <c r="H5646" s="1809" t="s">
        <v>236</v>
      </c>
      <c r="I5646" s="222" t="s">
        <v>19172</v>
      </c>
      <c r="J5646" s="183">
        <v>160362</v>
      </c>
      <c r="K5646" s="1809" t="s">
        <v>19173</v>
      </c>
      <c r="L5646" s="613" t="s">
        <v>239</v>
      </c>
      <c r="M5646" s="183">
        <v>2</v>
      </c>
      <c r="N5646" s="183">
        <v>1</v>
      </c>
      <c r="O5646" s="222">
        <v>4</v>
      </c>
      <c r="P5646" s="222">
        <v>0</v>
      </c>
      <c r="Q5646" s="222">
        <v>2</v>
      </c>
      <c r="R5646" s="1195">
        <v>409</v>
      </c>
      <c r="S5646" s="1195">
        <f t="shared" si="302"/>
        <v>1636</v>
      </c>
      <c r="T5646" s="1809" t="s">
        <v>19174</v>
      </c>
      <c r="U5646" s="1527" t="s">
        <v>149</v>
      </c>
      <c r="V5646" s="222" t="s">
        <v>352</v>
      </c>
      <c r="W5646" s="2187" t="s">
        <v>19175</v>
      </c>
      <c r="X5646" s="818"/>
      <c r="Y5646" s="1161"/>
    </row>
    <row r="5647" spans="1:52" ht="15.75" hidden="1" customHeight="1" outlineLevel="1">
      <c r="A5647" s="222">
        <v>5656</v>
      </c>
      <c r="B5647" s="858">
        <v>44760</v>
      </c>
      <c r="C5647" s="129" t="s">
        <v>19176</v>
      </c>
      <c r="D5647" s="11" t="s">
        <v>6</v>
      </c>
      <c r="E5647" s="728" t="s">
        <v>19177</v>
      </c>
      <c r="F5647" s="1006" t="s">
        <v>2876</v>
      </c>
      <c r="G5647" s="160" t="s">
        <v>16625</v>
      </c>
      <c r="H5647" s="297" t="s">
        <v>16626</v>
      </c>
      <c r="I5647" s="297" t="s">
        <v>574</v>
      </c>
      <c r="J5647" s="297" t="s">
        <v>16627</v>
      </c>
      <c r="K5647" s="297" t="s">
        <v>16628</v>
      </c>
      <c r="L5647" s="297" t="s">
        <v>16629</v>
      </c>
      <c r="M5647" s="297">
        <f>30+30+27+27+15+15</f>
        <v>144</v>
      </c>
      <c r="N5647" s="297">
        <v>1</v>
      </c>
      <c r="O5647" s="297">
        <v>150</v>
      </c>
      <c r="P5647" s="297">
        <v>12</v>
      </c>
      <c r="Q5647" s="297">
        <v>162</v>
      </c>
      <c r="R5647" s="1195">
        <v>352</v>
      </c>
      <c r="S5647" s="1195">
        <f t="shared" ref="S5647" si="303">R5647*O5647</f>
        <v>52800</v>
      </c>
      <c r="T5647" s="683" t="s">
        <v>12425</v>
      </c>
      <c r="U5647" s="1909" t="s">
        <v>16630</v>
      </c>
      <c r="V5647" s="572" t="s">
        <v>16631</v>
      </c>
      <c r="W5647" s="898" t="s">
        <v>16632</v>
      </c>
      <c r="X5647" s="1709" t="s">
        <v>6</v>
      </c>
      <c r="Y5647" s="1613"/>
      <c r="Z5647" s="1613"/>
      <c r="AA5647" s="1710"/>
      <c r="AB5647" s="1710"/>
      <c r="AC5647" s="1711"/>
      <c r="AD5647" s="1711"/>
      <c r="AE5647" s="1711"/>
      <c r="AF5647" s="1711"/>
      <c r="AG5647" s="1711"/>
      <c r="AH5647" s="1711"/>
      <c r="AI5647" s="1711"/>
      <c r="AJ5647" s="1711"/>
      <c r="AK5647" s="1711"/>
      <c r="AL5647" s="1711"/>
      <c r="AM5647" s="1711"/>
      <c r="AN5647" s="1711"/>
      <c r="AO5647" s="1711"/>
      <c r="AP5647" s="1711"/>
      <c r="AQ5647" s="1711"/>
      <c r="AR5647" s="1711"/>
      <c r="AS5647" s="1711"/>
      <c r="AT5647" s="1711"/>
      <c r="AU5647" s="1711"/>
      <c r="AV5647" s="1711"/>
      <c r="AW5647" s="1711"/>
      <c r="AX5647" s="1711"/>
      <c r="AY5647" s="1711"/>
      <c r="AZ5647" s="1711"/>
    </row>
    <row r="5648" spans="1:52" ht="15.75" hidden="1" customHeight="1" outlineLevel="1">
      <c r="A5648" s="222">
        <v>5657</v>
      </c>
      <c r="B5648" s="858">
        <v>44760</v>
      </c>
      <c r="C5648" s="129" t="s">
        <v>16633</v>
      </c>
      <c r="D5648" s="10" t="s">
        <v>6</v>
      </c>
      <c r="E5648" s="728" t="s">
        <v>19177</v>
      </c>
      <c r="F5648" s="1006" t="s">
        <v>2876</v>
      </c>
      <c r="G5648" s="160" t="s">
        <v>16634</v>
      </c>
      <c r="H5648" s="297" t="s">
        <v>468</v>
      </c>
      <c r="I5648" s="297" t="s">
        <v>5690</v>
      </c>
      <c r="J5648" s="297" t="s">
        <v>469</v>
      </c>
      <c r="K5648" s="297" t="s">
        <v>469</v>
      </c>
      <c r="L5648" s="297" t="s">
        <v>4179</v>
      </c>
      <c r="M5648" s="297">
        <v>10</v>
      </c>
      <c r="N5648" s="297">
        <v>1</v>
      </c>
      <c r="O5648" s="297">
        <v>10</v>
      </c>
      <c r="P5648" s="297">
        <v>5</v>
      </c>
      <c r="Q5648" s="297">
        <v>15</v>
      </c>
      <c r="R5648" s="1195">
        <v>70</v>
      </c>
      <c r="S5648" s="1195">
        <f>R5648*O5648</f>
        <v>700</v>
      </c>
      <c r="T5648" s="298" t="s">
        <v>12425</v>
      </c>
      <c r="U5648" s="1542" t="s">
        <v>16630</v>
      </c>
      <c r="V5648" s="572" t="s">
        <v>16215</v>
      </c>
      <c r="W5648" s="898" t="s">
        <v>16635</v>
      </c>
      <c r="X5648" s="1712" t="s">
        <v>6</v>
      </c>
      <c r="Y5648" s="1613"/>
      <c r="Z5648" s="1613"/>
      <c r="AA5648" s="1710"/>
      <c r="AB5648" s="1710"/>
      <c r="AC5648" s="1711"/>
      <c r="AD5648" s="1711"/>
      <c r="AE5648" s="1711"/>
      <c r="AF5648" s="1711"/>
      <c r="AG5648" s="1711"/>
      <c r="AH5648" s="1711"/>
      <c r="AI5648" s="1711"/>
      <c r="AJ5648" s="1711"/>
      <c r="AK5648" s="1711"/>
      <c r="AL5648" s="1711"/>
      <c r="AM5648" s="1711"/>
      <c r="AN5648" s="1711"/>
      <c r="AO5648" s="1711"/>
      <c r="AP5648" s="1711"/>
      <c r="AQ5648" s="1711"/>
      <c r="AR5648" s="1711"/>
      <c r="AS5648" s="1711"/>
      <c r="AT5648" s="1711"/>
      <c r="AU5648" s="1711"/>
      <c r="AV5648" s="1711"/>
      <c r="AW5648" s="1711"/>
      <c r="AX5648" s="1711"/>
      <c r="AY5648" s="1711"/>
      <c r="AZ5648" s="1711"/>
    </row>
    <row r="5649" spans="1:52" ht="15.75" hidden="1" customHeight="1" outlineLevel="1">
      <c r="A5649" s="222">
        <v>5658</v>
      </c>
      <c r="B5649" s="858">
        <v>44760</v>
      </c>
      <c r="C5649" s="129" t="s">
        <v>16636</v>
      </c>
      <c r="D5649" s="11" t="s">
        <v>6</v>
      </c>
      <c r="E5649" s="728" t="s">
        <v>19177</v>
      </c>
      <c r="F5649" s="1006" t="s">
        <v>2876</v>
      </c>
      <c r="G5649" s="160" t="s">
        <v>16637</v>
      </c>
      <c r="H5649" s="297" t="s">
        <v>468</v>
      </c>
      <c r="I5649" s="297" t="s">
        <v>5690</v>
      </c>
      <c r="J5649" s="297" t="s">
        <v>16638</v>
      </c>
      <c r="K5649" s="297" t="s">
        <v>16639</v>
      </c>
      <c r="L5649" s="297" t="s">
        <v>4179</v>
      </c>
      <c r="M5649" s="297">
        <v>4</v>
      </c>
      <c r="N5649" s="297">
        <v>10</v>
      </c>
      <c r="O5649" s="297">
        <v>10</v>
      </c>
      <c r="P5649" s="297">
        <v>4</v>
      </c>
      <c r="Q5649" s="297">
        <v>18</v>
      </c>
      <c r="R5649" s="1195">
        <v>80</v>
      </c>
      <c r="S5649" s="1195">
        <f>R5649*O5649</f>
        <v>800</v>
      </c>
      <c r="T5649" s="298" t="s">
        <v>12425</v>
      </c>
      <c r="U5649" s="1542" t="s">
        <v>16630</v>
      </c>
      <c r="V5649" s="572" t="s">
        <v>16215</v>
      </c>
      <c r="W5649" s="898" t="s">
        <v>16640</v>
      </c>
      <c r="X5649" s="1712" t="s">
        <v>6</v>
      </c>
      <c r="Y5649" s="1613"/>
      <c r="Z5649" s="1613"/>
      <c r="AA5649" s="1710"/>
      <c r="AB5649" s="1710"/>
      <c r="AC5649" s="1711"/>
      <c r="AD5649" s="1711"/>
      <c r="AE5649" s="1711"/>
      <c r="AF5649" s="1711"/>
      <c r="AG5649" s="1711"/>
      <c r="AH5649" s="1711"/>
      <c r="AI5649" s="1711"/>
      <c r="AJ5649" s="1711"/>
      <c r="AK5649" s="1711"/>
      <c r="AL5649" s="1711"/>
      <c r="AM5649" s="1711"/>
      <c r="AN5649" s="1711"/>
      <c r="AO5649" s="1711"/>
      <c r="AP5649" s="1711"/>
      <c r="AQ5649" s="1711"/>
      <c r="AR5649" s="1711"/>
      <c r="AS5649" s="1711"/>
      <c r="AT5649" s="1711"/>
      <c r="AU5649" s="1711"/>
      <c r="AV5649" s="1711"/>
      <c r="AW5649" s="1711"/>
      <c r="AX5649" s="1711"/>
      <c r="AY5649" s="1711"/>
      <c r="AZ5649" s="1711"/>
    </row>
    <row r="5650" spans="1:52" ht="15.75" hidden="1" customHeight="1" outlineLevel="1">
      <c r="A5650" s="222">
        <v>5659</v>
      </c>
      <c r="B5650" s="858">
        <v>44760</v>
      </c>
      <c r="C5650" s="129" t="s">
        <v>16643</v>
      </c>
      <c r="D5650" s="11" t="s">
        <v>6</v>
      </c>
      <c r="E5650" s="728" t="s">
        <v>19177</v>
      </c>
      <c r="F5650" s="1006" t="s">
        <v>2876</v>
      </c>
      <c r="G5650" s="160" t="s">
        <v>16644</v>
      </c>
      <c r="H5650" s="297" t="s">
        <v>6</v>
      </c>
      <c r="I5650" s="297" t="s">
        <v>5690</v>
      </c>
      <c r="J5650" s="297">
        <v>11347717</v>
      </c>
      <c r="K5650" s="297" t="s">
        <v>16645</v>
      </c>
      <c r="L5650" s="297" t="s">
        <v>6</v>
      </c>
      <c r="M5650" s="297">
        <v>10</v>
      </c>
      <c r="N5650" s="297">
        <v>10</v>
      </c>
      <c r="O5650" s="297">
        <v>10</v>
      </c>
      <c r="P5650" s="297">
        <v>4</v>
      </c>
      <c r="Q5650" s="297">
        <v>14</v>
      </c>
      <c r="R5650" s="1195">
        <v>63</v>
      </c>
      <c r="S5650" s="1195">
        <f>R5650*O5650</f>
        <v>630</v>
      </c>
      <c r="T5650" s="298" t="s">
        <v>12425</v>
      </c>
      <c r="U5650" s="1542" t="s">
        <v>16630</v>
      </c>
      <c r="V5650" s="572" t="s">
        <v>16215</v>
      </c>
      <c r="W5650" s="1612" t="s">
        <v>16646</v>
      </c>
      <c r="X5650" s="1618" t="s">
        <v>6</v>
      </c>
      <c r="Y5650" s="1613"/>
      <c r="Z5650" s="1613"/>
      <c r="AA5650" s="1710"/>
      <c r="AB5650" s="1710"/>
      <c r="AC5650" s="1711"/>
      <c r="AD5650" s="1711"/>
      <c r="AE5650" s="1711"/>
      <c r="AF5650" s="1711"/>
      <c r="AG5650" s="1711"/>
      <c r="AH5650" s="1711"/>
      <c r="AI5650" s="1711"/>
      <c r="AJ5650" s="1711"/>
      <c r="AK5650" s="1711"/>
      <c r="AL5650" s="1711"/>
      <c r="AM5650" s="1711"/>
      <c r="AN5650" s="1711"/>
      <c r="AO5650" s="1711"/>
      <c r="AP5650" s="1711"/>
      <c r="AQ5650" s="1711"/>
      <c r="AR5650" s="1711"/>
      <c r="AS5650" s="1711"/>
      <c r="AT5650" s="1711"/>
      <c r="AU5650" s="1711"/>
      <c r="AV5650" s="1711"/>
      <c r="AW5650" s="1711"/>
      <c r="AX5650" s="1711"/>
      <c r="AY5650" s="1711"/>
      <c r="AZ5650" s="1711"/>
    </row>
    <row r="5651" spans="1:52" ht="15.75" hidden="1" customHeight="1" outlineLevel="1">
      <c r="A5651" s="222">
        <v>5660</v>
      </c>
      <c r="B5651" s="858">
        <v>44760</v>
      </c>
      <c r="C5651" s="129" t="s">
        <v>16647</v>
      </c>
      <c r="D5651" s="11" t="s">
        <v>6</v>
      </c>
      <c r="E5651" s="728" t="s">
        <v>19177</v>
      </c>
      <c r="F5651" s="1006" t="s">
        <v>2876</v>
      </c>
      <c r="G5651" s="160" t="s">
        <v>16648</v>
      </c>
      <c r="H5651" s="297" t="s">
        <v>945</v>
      </c>
      <c r="I5651" s="297" t="s">
        <v>39</v>
      </c>
      <c r="J5651" s="297" t="s">
        <v>16649</v>
      </c>
      <c r="K5651" s="297" t="s">
        <v>16650</v>
      </c>
      <c r="L5651" s="297" t="s">
        <v>4179</v>
      </c>
      <c r="M5651" s="297">
        <v>20</v>
      </c>
      <c r="N5651" s="297">
        <v>10</v>
      </c>
      <c r="O5651" s="297">
        <v>20</v>
      </c>
      <c r="P5651" s="297">
        <v>5</v>
      </c>
      <c r="Q5651" s="297">
        <v>20</v>
      </c>
      <c r="R5651" s="1195">
        <v>53</v>
      </c>
      <c r="S5651" s="1195">
        <f>R5651*O5651</f>
        <v>1060</v>
      </c>
      <c r="T5651" s="298" t="s">
        <v>12425</v>
      </c>
      <c r="U5651" s="1542" t="s">
        <v>16630</v>
      </c>
      <c r="V5651" s="572" t="s">
        <v>16215</v>
      </c>
      <c r="W5651" s="898" t="s">
        <v>16651</v>
      </c>
      <c r="X5651" s="1712" t="s">
        <v>6</v>
      </c>
      <c r="Y5651" s="1613"/>
      <c r="Z5651" s="1613"/>
      <c r="AA5651" s="1710"/>
      <c r="AB5651" s="1710"/>
      <c r="AC5651" s="1711"/>
      <c r="AD5651" s="1711"/>
      <c r="AE5651" s="1711"/>
      <c r="AF5651" s="1711"/>
      <c r="AG5651" s="1711"/>
      <c r="AH5651" s="1711"/>
      <c r="AI5651" s="1711"/>
      <c r="AJ5651" s="1711"/>
      <c r="AK5651" s="1711"/>
      <c r="AL5651" s="1711"/>
      <c r="AM5651" s="1711"/>
      <c r="AN5651" s="1711"/>
      <c r="AO5651" s="1711"/>
      <c r="AP5651" s="1711"/>
      <c r="AQ5651" s="1711"/>
      <c r="AR5651" s="1711"/>
      <c r="AS5651" s="1711"/>
      <c r="AT5651" s="1711"/>
      <c r="AU5651" s="1711"/>
      <c r="AV5651" s="1711"/>
      <c r="AW5651" s="1711"/>
      <c r="AX5651" s="1711"/>
      <c r="AY5651" s="1711"/>
      <c r="AZ5651" s="1711"/>
    </row>
    <row r="5652" spans="1:52" ht="15.75" hidden="1" customHeight="1" outlineLevel="1">
      <c r="A5652" s="222">
        <v>5661</v>
      </c>
      <c r="B5652" s="858">
        <v>44760</v>
      </c>
      <c r="C5652" s="129" t="s">
        <v>16652</v>
      </c>
      <c r="D5652" s="11" t="s">
        <v>6</v>
      </c>
      <c r="E5652" s="728" t="s">
        <v>19177</v>
      </c>
      <c r="F5652" s="1006" t="s">
        <v>2876</v>
      </c>
      <c r="G5652" s="160" t="s">
        <v>16653</v>
      </c>
      <c r="H5652" s="297" t="s">
        <v>1143</v>
      </c>
      <c r="I5652" s="297" t="s">
        <v>4634</v>
      </c>
      <c r="J5652" s="297" t="s">
        <v>16497</v>
      </c>
      <c r="K5652" s="297" t="s">
        <v>16498</v>
      </c>
      <c r="L5652" s="297" t="s">
        <v>16654</v>
      </c>
      <c r="M5652" s="297">
        <v>2</v>
      </c>
      <c r="N5652" s="297">
        <v>1</v>
      </c>
      <c r="O5652" s="297">
        <v>5</v>
      </c>
      <c r="P5652" s="297">
        <v>8</v>
      </c>
      <c r="Q5652" s="297">
        <v>8</v>
      </c>
      <c r="R5652" s="1501">
        <v>136</v>
      </c>
      <c r="S5652" s="1501">
        <f>R5652*O5652</f>
        <v>680</v>
      </c>
      <c r="T5652" s="298" t="s">
        <v>12425</v>
      </c>
      <c r="U5652" s="1542" t="s">
        <v>16630</v>
      </c>
      <c r="V5652" s="572" t="s">
        <v>16215</v>
      </c>
      <c r="W5652" s="1612" t="s">
        <v>16655</v>
      </c>
      <c r="X5652" s="1618" t="s">
        <v>6</v>
      </c>
      <c r="Y5652" s="1613"/>
      <c r="Z5652" s="1613"/>
      <c r="AA5652" s="1710"/>
      <c r="AB5652" s="1710"/>
      <c r="AC5652" s="1711"/>
      <c r="AD5652" s="1711"/>
      <c r="AE5652" s="1711"/>
      <c r="AF5652" s="1711"/>
      <c r="AG5652" s="1711"/>
      <c r="AH5652" s="1711"/>
      <c r="AI5652" s="1711"/>
      <c r="AJ5652" s="1711"/>
      <c r="AK5652" s="1711"/>
      <c r="AL5652" s="1711"/>
      <c r="AM5652" s="1711"/>
      <c r="AN5652" s="1711"/>
      <c r="AO5652" s="1711"/>
      <c r="AP5652" s="1711"/>
      <c r="AQ5652" s="1711"/>
      <c r="AR5652" s="1711"/>
      <c r="AS5652" s="1711"/>
      <c r="AT5652" s="1711"/>
      <c r="AU5652" s="1711"/>
      <c r="AV5652" s="1711"/>
      <c r="AW5652" s="1711"/>
      <c r="AX5652" s="1711"/>
      <c r="AY5652" s="1711"/>
      <c r="AZ5652" s="1711"/>
    </row>
    <row r="5653" spans="1:52" ht="15.75" hidden="1" customHeight="1" outlineLevel="1">
      <c r="A5653" s="222">
        <v>5662</v>
      </c>
      <c r="B5653" s="1728">
        <v>44761</v>
      </c>
      <c r="C5653" s="282" t="s">
        <v>12427</v>
      </c>
      <c r="D5653" s="8" t="s">
        <v>6</v>
      </c>
      <c r="E5653" s="330" t="s">
        <v>17683</v>
      </c>
      <c r="F5653" s="1723" t="s">
        <v>10651</v>
      </c>
      <c r="G5653" s="282" t="s">
        <v>19178</v>
      </c>
      <c r="H5653" s="987" t="s">
        <v>429</v>
      </c>
      <c r="I5653" s="987" t="s">
        <v>429</v>
      </c>
      <c r="J5653" s="1724" t="s">
        <v>19179</v>
      </c>
      <c r="K5653" s="1724" t="s">
        <v>19179</v>
      </c>
      <c r="L5653" s="1725"/>
      <c r="M5653" s="1725">
        <v>28</v>
      </c>
      <c r="N5653" s="1725">
        <v>1</v>
      </c>
      <c r="O5653" s="1725">
        <v>28</v>
      </c>
      <c r="P5653" s="1725">
        <v>0</v>
      </c>
      <c r="Q5653" s="1726">
        <v>14</v>
      </c>
      <c r="R5653" s="1195">
        <v>286</v>
      </c>
      <c r="S5653" s="1195">
        <v>5544</v>
      </c>
      <c r="T5653" s="313" t="s">
        <v>12425</v>
      </c>
      <c r="U5653" s="1991" t="s">
        <v>19180</v>
      </c>
      <c r="V5653" s="222" t="s">
        <v>16215</v>
      </c>
      <c r="W5653" s="2188" t="s">
        <v>19181</v>
      </c>
      <c r="X5653" s="1727"/>
      <c r="Y5653" s="1613"/>
      <c r="Z5653" s="1613"/>
      <c r="AA5653" s="1710"/>
      <c r="AB5653" s="1710"/>
      <c r="AC5653" s="1711"/>
      <c r="AD5653" s="1711"/>
      <c r="AE5653" s="1711"/>
      <c r="AF5653" s="1711"/>
      <c r="AG5653" s="1711"/>
      <c r="AH5653" s="1711"/>
      <c r="AI5653" s="1711"/>
      <c r="AJ5653" s="1711"/>
      <c r="AK5653" s="1711"/>
      <c r="AL5653" s="1711"/>
      <c r="AM5653" s="1711"/>
      <c r="AN5653" s="1711"/>
      <c r="AO5653" s="1711"/>
      <c r="AP5653" s="1711"/>
      <c r="AQ5653" s="1711"/>
      <c r="AR5653" s="1711"/>
      <c r="AS5653" s="1711"/>
      <c r="AT5653" s="1711"/>
      <c r="AU5653" s="1711"/>
      <c r="AV5653" s="1711"/>
      <c r="AW5653" s="1711"/>
      <c r="AX5653" s="1711"/>
      <c r="AY5653" s="1711"/>
      <c r="AZ5653" s="1711"/>
    </row>
    <row r="5654" spans="1:52" ht="15.75" hidden="1" customHeight="1" outlineLevel="1">
      <c r="A5654" s="222">
        <v>5663</v>
      </c>
      <c r="B5654" s="1729">
        <v>44761</v>
      </c>
      <c r="C5654" s="298" t="s">
        <v>19182</v>
      </c>
      <c r="D5654" s="8" t="s">
        <v>6</v>
      </c>
      <c r="E5654" s="330" t="s">
        <v>17683</v>
      </c>
      <c r="F5654" s="1713" t="s">
        <v>10651</v>
      </c>
      <c r="G5654" s="298" t="s">
        <v>19183</v>
      </c>
      <c r="H5654" s="1715" t="s">
        <v>429</v>
      </c>
      <c r="I5654" s="1715" t="s">
        <v>429</v>
      </c>
      <c r="J5654" s="1720" t="s">
        <v>9165</v>
      </c>
      <c r="K5654" s="1720" t="s">
        <v>9165</v>
      </c>
      <c r="L5654" s="1719"/>
      <c r="M5654" s="1721">
        <v>16</v>
      </c>
      <c r="N5654" s="1721">
        <v>1</v>
      </c>
      <c r="O5654" s="1721">
        <v>16</v>
      </c>
      <c r="P5654" s="1721">
        <v>0</v>
      </c>
      <c r="Q5654" s="1722">
        <v>8</v>
      </c>
      <c r="R5654" s="1195">
        <v>20</v>
      </c>
      <c r="S5654" s="1195">
        <v>317</v>
      </c>
      <c r="T5654" s="270" t="s">
        <v>12425</v>
      </c>
      <c r="U5654" s="1991" t="s">
        <v>19180</v>
      </c>
      <c r="V5654" s="222" t="s">
        <v>16215</v>
      </c>
      <c r="W5654" s="811" t="s">
        <v>19184</v>
      </c>
      <c r="X5654" s="1719"/>
      <c r="Y5654" s="1711"/>
      <c r="Z5654" s="1711"/>
      <c r="AA5654" s="1711"/>
      <c r="AB5654" s="1711"/>
      <c r="AC5654" s="1711"/>
      <c r="AD5654" s="1711"/>
      <c r="AE5654" s="1711"/>
      <c r="AF5654" s="1711"/>
      <c r="AG5654" s="1711"/>
      <c r="AH5654" s="1711"/>
      <c r="AI5654" s="1711"/>
      <c r="AJ5654" s="1711"/>
      <c r="AK5654" s="1711"/>
      <c r="AL5654" s="1711"/>
      <c r="AM5654" s="1711"/>
      <c r="AN5654" s="1711"/>
      <c r="AO5654" s="1711"/>
      <c r="AP5654" s="1711"/>
      <c r="AQ5654" s="1711"/>
      <c r="AR5654" s="1711"/>
      <c r="AS5654" s="1711"/>
      <c r="AT5654" s="1711"/>
      <c r="AU5654" s="1711"/>
      <c r="AV5654" s="1711"/>
      <c r="AW5654" s="1711"/>
      <c r="AX5654" s="1711"/>
      <c r="AY5654" s="1711"/>
      <c r="AZ5654" s="1711"/>
    </row>
    <row r="5655" spans="1:52" ht="15.75" hidden="1" customHeight="1" outlineLevel="1">
      <c r="A5655" s="222">
        <v>5664</v>
      </c>
      <c r="B5655" s="1729">
        <v>44761</v>
      </c>
      <c r="C5655" s="298" t="s">
        <v>19182</v>
      </c>
      <c r="D5655" s="8" t="s">
        <v>6</v>
      </c>
      <c r="E5655" s="330" t="s">
        <v>17683</v>
      </c>
      <c r="F5655" s="1714" t="s">
        <v>10651</v>
      </c>
      <c r="G5655" s="298" t="s">
        <v>19185</v>
      </c>
      <c r="H5655" s="1006" t="s">
        <v>429</v>
      </c>
      <c r="I5655" s="1006" t="s">
        <v>429</v>
      </c>
      <c r="J5655" s="1718" t="s">
        <v>16784</v>
      </c>
      <c r="K5655" s="1718" t="s">
        <v>16784</v>
      </c>
      <c r="L5655" s="1427"/>
      <c r="M5655" s="225">
        <v>12</v>
      </c>
      <c r="N5655" s="225">
        <v>1</v>
      </c>
      <c r="O5655" s="1428">
        <v>12</v>
      </c>
      <c r="P5655" s="1428">
        <v>0</v>
      </c>
      <c r="Q5655" s="1428">
        <v>6</v>
      </c>
      <c r="R5655" s="1435">
        <v>18</v>
      </c>
      <c r="S5655" s="1435">
        <v>422</v>
      </c>
      <c r="T5655" s="270" t="s">
        <v>12425</v>
      </c>
      <c r="U5655" s="1991" t="s">
        <v>19180</v>
      </c>
      <c r="V5655" s="222" t="s">
        <v>16215</v>
      </c>
      <c r="W5655" s="811" t="s">
        <v>19186</v>
      </c>
      <c r="X5655" s="1444"/>
      <c r="Y5655" s="1161"/>
    </row>
    <row r="5656" spans="1:52" ht="15.75" hidden="1" customHeight="1" outlineLevel="1">
      <c r="A5656" s="222">
        <v>5665</v>
      </c>
      <c r="B5656" s="1729">
        <v>44761</v>
      </c>
      <c r="C5656" s="298" t="s">
        <v>19182</v>
      </c>
      <c r="D5656" s="8" t="s">
        <v>6</v>
      </c>
      <c r="E5656" s="330" t="s">
        <v>17683</v>
      </c>
      <c r="F5656" s="1713" t="s">
        <v>10651</v>
      </c>
      <c r="G5656" s="298" t="s">
        <v>19187</v>
      </c>
      <c r="H5656" s="1006" t="s">
        <v>429</v>
      </c>
      <c r="I5656" s="1006" t="s">
        <v>429</v>
      </c>
      <c r="J5656" s="1718" t="s">
        <v>17508</v>
      </c>
      <c r="K5656" s="1718" t="s">
        <v>17508</v>
      </c>
      <c r="L5656" s="613"/>
      <c r="M5656" s="183">
        <v>12</v>
      </c>
      <c r="N5656" s="183">
        <v>1</v>
      </c>
      <c r="O5656" s="222">
        <v>12</v>
      </c>
      <c r="P5656" s="222">
        <v>0</v>
      </c>
      <c r="Q5656" s="222">
        <v>6</v>
      </c>
      <c r="R5656" s="1195">
        <v>15</v>
      </c>
      <c r="S5656" s="1195">
        <v>396</v>
      </c>
      <c r="T5656" s="270" t="s">
        <v>12425</v>
      </c>
      <c r="U5656" s="1991" t="s">
        <v>19180</v>
      </c>
      <c r="V5656" s="222" t="s">
        <v>16215</v>
      </c>
      <c r="W5656" s="2155" t="s">
        <v>19186</v>
      </c>
      <c r="X5656" s="818"/>
      <c r="Y5656" s="1161"/>
    </row>
    <row r="5657" spans="1:52" ht="15.75" hidden="1" customHeight="1" outlineLevel="1">
      <c r="A5657" s="222">
        <v>5666</v>
      </c>
      <c r="B5657" s="1729">
        <v>44761</v>
      </c>
      <c r="C5657" s="298" t="s">
        <v>19182</v>
      </c>
      <c r="D5657" s="8" t="s">
        <v>6</v>
      </c>
      <c r="E5657" s="330" t="s">
        <v>17683</v>
      </c>
      <c r="F5657" s="1714" t="s">
        <v>10651</v>
      </c>
      <c r="G5657" s="129" t="s">
        <v>19188</v>
      </c>
      <c r="H5657" s="1006" t="s">
        <v>429</v>
      </c>
      <c r="I5657" s="1006" t="s">
        <v>429</v>
      </c>
      <c r="J5657" s="1717" t="s">
        <v>19189</v>
      </c>
      <c r="K5657" s="1717" t="s">
        <v>19189</v>
      </c>
      <c r="L5657" s="613"/>
      <c r="M5657" s="183">
        <v>8</v>
      </c>
      <c r="N5657" s="183">
        <v>1</v>
      </c>
      <c r="O5657" s="222">
        <v>8</v>
      </c>
      <c r="P5657" s="222">
        <v>0</v>
      </c>
      <c r="Q5657" s="222">
        <v>4</v>
      </c>
      <c r="R5657" s="1195">
        <v>15</v>
      </c>
      <c r="S5657" s="1195">
        <v>343</v>
      </c>
      <c r="T5657" s="270" t="s">
        <v>12425</v>
      </c>
      <c r="U5657" s="1991" t="s">
        <v>19180</v>
      </c>
      <c r="V5657" s="222" t="s">
        <v>16215</v>
      </c>
      <c r="W5657" s="2155" t="s">
        <v>19190</v>
      </c>
      <c r="X5657" s="818"/>
      <c r="Y5657" s="1161"/>
    </row>
    <row r="5658" spans="1:52" ht="15.75" hidden="1" customHeight="1" outlineLevel="1">
      <c r="A5658" s="222">
        <v>5667</v>
      </c>
      <c r="B5658" s="1729">
        <v>44761</v>
      </c>
      <c r="C5658" s="129" t="s">
        <v>15523</v>
      </c>
      <c r="D5658" s="8" t="s">
        <v>6</v>
      </c>
      <c r="E5658" s="330" t="s">
        <v>17683</v>
      </c>
      <c r="F5658" s="1713" t="s">
        <v>10651</v>
      </c>
      <c r="G5658" s="129" t="s">
        <v>15523</v>
      </c>
      <c r="H5658" s="1006" t="s">
        <v>429</v>
      </c>
      <c r="I5658" s="1006" t="s">
        <v>429</v>
      </c>
      <c r="J5658" s="1718" t="s">
        <v>4132</v>
      </c>
      <c r="K5658" s="1718" t="s">
        <v>4132</v>
      </c>
      <c r="L5658" s="613"/>
      <c r="M5658" s="183">
        <v>30</v>
      </c>
      <c r="N5658" s="183">
        <v>1</v>
      </c>
      <c r="O5658" s="222">
        <v>30</v>
      </c>
      <c r="P5658" s="222">
        <v>0</v>
      </c>
      <c r="Q5658" s="222">
        <v>15</v>
      </c>
      <c r="R5658" s="1501">
        <v>84</v>
      </c>
      <c r="S5658" s="1195">
        <v>2508</v>
      </c>
      <c r="T5658" s="270" t="s">
        <v>12425</v>
      </c>
      <c r="U5658" s="1991" t="s">
        <v>19180</v>
      </c>
      <c r="V5658" s="222" t="s">
        <v>16215</v>
      </c>
      <c r="W5658" s="2155" t="s">
        <v>19191</v>
      </c>
      <c r="X5658" s="818"/>
      <c r="Y5658" s="1161"/>
    </row>
    <row r="5659" spans="1:52" ht="15.75" hidden="1" customHeight="1" outlineLevel="1">
      <c r="A5659" s="222">
        <v>5668</v>
      </c>
      <c r="B5659" s="1729">
        <v>44761</v>
      </c>
      <c r="C5659" s="129" t="s">
        <v>19192</v>
      </c>
      <c r="D5659" s="8" t="s">
        <v>6</v>
      </c>
      <c r="E5659" s="330" t="s">
        <v>17683</v>
      </c>
      <c r="F5659" s="1713" t="s">
        <v>10651</v>
      </c>
      <c r="G5659" s="129" t="s">
        <v>19192</v>
      </c>
      <c r="H5659" s="1006" t="s">
        <v>429</v>
      </c>
      <c r="I5659" s="1006" t="s">
        <v>429</v>
      </c>
      <c r="J5659" s="1718" t="s">
        <v>19193</v>
      </c>
      <c r="K5659" s="1718" t="s">
        <v>19193</v>
      </c>
      <c r="L5659" s="613"/>
      <c r="M5659" s="183">
        <v>30</v>
      </c>
      <c r="N5659" s="183">
        <v>1</v>
      </c>
      <c r="O5659" s="222">
        <v>30</v>
      </c>
      <c r="P5659" s="222">
        <v>0</v>
      </c>
      <c r="Q5659" s="222">
        <v>15</v>
      </c>
      <c r="R5659" s="1501">
        <v>84</v>
      </c>
      <c r="S5659" s="1195">
        <v>2508</v>
      </c>
      <c r="T5659" s="270" t="s">
        <v>12425</v>
      </c>
      <c r="U5659" s="1991" t="s">
        <v>19180</v>
      </c>
      <c r="V5659" s="222" t="s">
        <v>16215</v>
      </c>
      <c r="W5659" s="2155" t="s">
        <v>19194</v>
      </c>
      <c r="X5659" s="818"/>
      <c r="Y5659" s="1161"/>
    </row>
    <row r="5660" spans="1:52" ht="15.75" hidden="1" customHeight="1" outlineLevel="1">
      <c r="A5660" s="222">
        <v>5669</v>
      </c>
      <c r="B5660" s="1729">
        <v>44761</v>
      </c>
      <c r="C5660" s="298" t="s">
        <v>12427</v>
      </c>
      <c r="D5660" s="8" t="s">
        <v>6</v>
      </c>
      <c r="E5660" s="330" t="s">
        <v>17683</v>
      </c>
      <c r="F5660" s="1713" t="s">
        <v>10651</v>
      </c>
      <c r="G5660" s="129" t="s">
        <v>19195</v>
      </c>
      <c r="H5660" s="1006" t="s">
        <v>19196</v>
      </c>
      <c r="I5660" s="1006" t="s">
        <v>429</v>
      </c>
      <c r="J5660" s="1716" t="s">
        <v>19197</v>
      </c>
      <c r="K5660" s="1716" t="s">
        <v>19197</v>
      </c>
      <c r="L5660" s="613"/>
      <c r="M5660" s="183">
        <v>8</v>
      </c>
      <c r="N5660" s="183">
        <v>20</v>
      </c>
      <c r="O5660" s="222">
        <v>20</v>
      </c>
      <c r="P5660" s="222">
        <v>0</v>
      </c>
      <c r="Q5660" s="222">
        <v>12</v>
      </c>
      <c r="R5660" s="1195">
        <v>268</v>
      </c>
      <c r="S5660" s="1195">
        <v>5368</v>
      </c>
      <c r="T5660" s="270" t="s">
        <v>12425</v>
      </c>
      <c r="U5660" s="1991" t="s">
        <v>19180</v>
      </c>
      <c r="V5660" s="222" t="s">
        <v>16215</v>
      </c>
      <c r="W5660" s="2155" t="s">
        <v>19198</v>
      </c>
      <c r="X5660" s="818"/>
      <c r="Y5660" s="1161"/>
    </row>
    <row r="5661" spans="1:52" ht="15.75" hidden="1" customHeight="1" outlineLevel="1">
      <c r="A5661" s="222">
        <v>5670</v>
      </c>
      <c r="B5661" s="858">
        <v>44761</v>
      </c>
      <c r="C5661" s="129" t="s">
        <v>19199</v>
      </c>
      <c r="D5661" s="1445" t="s">
        <v>6</v>
      </c>
      <c r="E5661" s="818" t="s">
        <v>62</v>
      </c>
      <c r="F5661" s="1006" t="s">
        <v>18660</v>
      </c>
      <c r="G5661" s="863" t="s">
        <v>19200</v>
      </c>
      <c r="H5661" s="222" t="s">
        <v>19201</v>
      </c>
      <c r="I5661" s="222" t="s">
        <v>19201</v>
      </c>
      <c r="J5661" s="183" t="s">
        <v>1</v>
      </c>
      <c r="K5661" s="183" t="s">
        <v>1</v>
      </c>
      <c r="L5661" s="613"/>
      <c r="M5661" s="183">
        <v>1</v>
      </c>
      <c r="N5661" s="183">
        <v>1</v>
      </c>
      <c r="O5661" s="222">
        <v>1</v>
      </c>
      <c r="P5661" s="222">
        <v>0</v>
      </c>
      <c r="Q5661" s="222">
        <v>0</v>
      </c>
      <c r="R5661" s="1195">
        <v>648167.6</v>
      </c>
      <c r="S5661" s="1195">
        <f>R5661*O5661</f>
        <v>648167.6</v>
      </c>
      <c r="T5661" s="222" t="s">
        <v>18479</v>
      </c>
      <c r="U5661" s="1527" t="s">
        <v>1886</v>
      </c>
      <c r="V5661" s="222" t="s">
        <v>19202</v>
      </c>
      <c r="W5661" s="2155"/>
      <c r="X5661" s="818"/>
      <c r="Y5661" s="1161"/>
    </row>
    <row r="5662" spans="1:52" ht="24" hidden="1" customHeight="1" outlineLevel="1">
      <c r="A5662" s="222">
        <v>5671</v>
      </c>
      <c r="B5662" s="858">
        <v>44761</v>
      </c>
      <c r="C5662" s="1730" t="s">
        <v>19203</v>
      </c>
      <c r="D5662" s="11" t="s">
        <v>6</v>
      </c>
      <c r="E5662" s="1732" t="s">
        <v>17683</v>
      </c>
      <c r="F5662" s="22" t="s">
        <v>2876</v>
      </c>
      <c r="G5662" s="26" t="s">
        <v>19204</v>
      </c>
      <c r="H5662" s="237" t="s">
        <v>8711</v>
      </c>
      <c r="I5662" s="237" t="s">
        <v>16016</v>
      </c>
      <c r="J5662" s="1731" t="s">
        <v>19205</v>
      </c>
      <c r="K5662" s="26"/>
      <c r="L5662" s="26" t="s">
        <v>16018</v>
      </c>
      <c r="M5662" s="26">
        <v>6</v>
      </c>
      <c r="N5662" s="26">
        <v>1</v>
      </c>
      <c r="O5662" s="26">
        <v>6</v>
      </c>
      <c r="P5662" s="26">
        <v>0</v>
      </c>
      <c r="Q5662" s="26">
        <v>6</v>
      </c>
      <c r="R5662" s="1209">
        <f>107100/6</f>
        <v>17850</v>
      </c>
      <c r="S5662" s="1209">
        <f>O5662*R5662</f>
        <v>107100</v>
      </c>
      <c r="T5662" s="26" t="s">
        <v>19206</v>
      </c>
      <c r="U5662" s="1859" t="s">
        <v>19207</v>
      </c>
      <c r="V5662" s="26" t="s">
        <v>19208</v>
      </c>
      <c r="W5662" s="2084" t="s">
        <v>8716</v>
      </c>
      <c r="X5662" s="18"/>
      <c r="Y5662" s="1161"/>
    </row>
    <row r="5663" spans="1:52" ht="15.75" hidden="1" customHeight="1" outlineLevel="1">
      <c r="A5663" s="222">
        <v>5672</v>
      </c>
      <c r="B5663" s="858">
        <v>44761</v>
      </c>
      <c r="C5663" s="1730" t="s">
        <v>19209</v>
      </c>
      <c r="D5663" s="10" t="s">
        <v>6</v>
      </c>
      <c r="E5663" s="1732" t="s">
        <v>17683</v>
      </c>
      <c r="F5663" s="22" t="s">
        <v>2876</v>
      </c>
      <c r="G5663" s="26" t="s">
        <v>19210</v>
      </c>
      <c r="H5663" s="237" t="s">
        <v>8711</v>
      </c>
      <c r="I5663" s="237" t="s">
        <v>16016</v>
      </c>
      <c r="J5663" s="1731" t="s">
        <v>19211</v>
      </c>
      <c r="K5663" s="26"/>
      <c r="L5663" s="26" t="s">
        <v>8714</v>
      </c>
      <c r="M5663" s="26">
        <v>6</v>
      </c>
      <c r="N5663" s="26">
        <v>1</v>
      </c>
      <c r="O5663" s="26">
        <v>6</v>
      </c>
      <c r="P5663" s="26">
        <v>0</v>
      </c>
      <c r="Q5663" s="26">
        <v>6</v>
      </c>
      <c r="R5663" s="1209">
        <f>85400/6</f>
        <v>14233.333333333334</v>
      </c>
      <c r="S5663" s="1209">
        <f t="shared" ref="S5663:S5670" si="304">R5663*O5663</f>
        <v>85400</v>
      </c>
      <c r="T5663" s="26" t="s">
        <v>19212</v>
      </c>
      <c r="U5663" s="1859" t="s">
        <v>8715</v>
      </c>
      <c r="V5663" s="26" t="s">
        <v>19208</v>
      </c>
      <c r="W5663" s="2084" t="s">
        <v>8716</v>
      </c>
      <c r="X5663" s="18"/>
      <c r="Y5663" s="1161"/>
    </row>
    <row r="5664" spans="1:52" ht="15.75" hidden="1" customHeight="1" outlineLevel="1">
      <c r="A5664" s="222">
        <v>5673</v>
      </c>
      <c r="B5664" s="858">
        <v>44762</v>
      </c>
      <c r="C5664" s="1505" t="s">
        <v>19213</v>
      </c>
      <c r="D5664" s="11" t="s">
        <v>6</v>
      </c>
      <c r="E5664" s="818" t="s">
        <v>4951</v>
      </c>
      <c r="F5664" s="22" t="s">
        <v>18751</v>
      </c>
      <c r="G5664" s="1506" t="s">
        <v>19214</v>
      </c>
      <c r="H5664" s="237" t="s">
        <v>429</v>
      </c>
      <c r="I5664" s="237" t="s">
        <v>429</v>
      </c>
      <c r="J5664" s="1676" t="s">
        <v>19215</v>
      </c>
      <c r="K5664" s="1676" t="s">
        <v>19215</v>
      </c>
      <c r="L5664" s="26"/>
      <c r="M5664" s="26">
        <v>3</v>
      </c>
      <c r="N5664" s="26">
        <v>3</v>
      </c>
      <c r="O5664" s="26">
        <v>3</v>
      </c>
      <c r="P5664" s="26">
        <v>0</v>
      </c>
      <c r="Q5664" s="26">
        <v>0</v>
      </c>
      <c r="R5664" s="1209">
        <v>240</v>
      </c>
      <c r="S5664" s="1209">
        <f t="shared" si="304"/>
        <v>720</v>
      </c>
      <c r="T5664" s="26" t="s">
        <v>311</v>
      </c>
      <c r="U5664" s="1859" t="s">
        <v>18955</v>
      </c>
      <c r="V5664" s="924" t="s">
        <v>5604</v>
      </c>
      <c r="W5664" s="2093" t="s">
        <v>18981</v>
      </c>
      <c r="X5664" s="18"/>
      <c r="Y5664" s="1161"/>
    </row>
    <row r="5665" spans="1:25" ht="15.75" hidden="1" customHeight="1" outlineLevel="1">
      <c r="A5665" s="222">
        <v>5674</v>
      </c>
      <c r="B5665" s="858">
        <v>44762</v>
      </c>
      <c r="C5665" s="1505" t="s">
        <v>19216</v>
      </c>
      <c r="D5665" s="11" t="s">
        <v>6</v>
      </c>
      <c r="E5665" s="818" t="s">
        <v>4951</v>
      </c>
      <c r="F5665" s="22" t="s">
        <v>18751</v>
      </c>
      <c r="G5665" s="1506" t="s">
        <v>19217</v>
      </c>
      <c r="H5665" s="237" t="s">
        <v>429</v>
      </c>
      <c r="I5665" s="237" t="s">
        <v>429</v>
      </c>
      <c r="J5665" s="1676" t="s">
        <v>19218</v>
      </c>
      <c r="K5665" s="1676" t="s">
        <v>19218</v>
      </c>
      <c r="L5665" s="613"/>
      <c r="M5665" s="183">
        <v>3</v>
      </c>
      <c r="N5665" s="183">
        <v>3</v>
      </c>
      <c r="O5665" s="222">
        <v>3</v>
      </c>
      <c r="P5665" s="222">
        <v>0</v>
      </c>
      <c r="Q5665" s="222">
        <v>0</v>
      </c>
      <c r="R5665" s="1195">
        <v>240</v>
      </c>
      <c r="S5665" s="1195">
        <f t="shared" si="304"/>
        <v>720</v>
      </c>
      <c r="T5665" s="26" t="s">
        <v>311</v>
      </c>
      <c r="U5665" s="1859" t="s">
        <v>18955</v>
      </c>
      <c r="V5665" s="924" t="s">
        <v>5604</v>
      </c>
      <c r="W5665" s="2093" t="s">
        <v>18981</v>
      </c>
      <c r="X5665" s="818"/>
      <c r="Y5665" s="1161"/>
    </row>
    <row r="5666" spans="1:25" ht="15.75" hidden="1" customHeight="1" outlineLevel="1">
      <c r="A5666" s="222">
        <v>5675</v>
      </c>
      <c r="B5666" s="858">
        <v>44762</v>
      </c>
      <c r="C5666" s="1505" t="s">
        <v>19219</v>
      </c>
      <c r="D5666" s="11" t="s">
        <v>6</v>
      </c>
      <c r="E5666" s="818" t="s">
        <v>4951</v>
      </c>
      <c r="F5666" s="22" t="s">
        <v>18751</v>
      </c>
      <c r="G5666" s="1506" t="s">
        <v>19220</v>
      </c>
      <c r="H5666" s="237" t="s">
        <v>429</v>
      </c>
      <c r="I5666" s="237" t="s">
        <v>429</v>
      </c>
      <c r="J5666" s="1676" t="s">
        <v>19221</v>
      </c>
      <c r="K5666" s="1676" t="s">
        <v>19221</v>
      </c>
      <c r="L5666" s="613"/>
      <c r="M5666" s="183">
        <v>5</v>
      </c>
      <c r="N5666" s="183">
        <v>5</v>
      </c>
      <c r="O5666" s="222">
        <v>5</v>
      </c>
      <c r="P5666" s="222">
        <v>0</v>
      </c>
      <c r="Q5666" s="222">
        <v>0</v>
      </c>
      <c r="R5666" s="1195">
        <v>240</v>
      </c>
      <c r="S5666" s="1195">
        <f t="shared" si="304"/>
        <v>1200</v>
      </c>
      <c r="T5666" s="26" t="s">
        <v>311</v>
      </c>
      <c r="U5666" s="1859" t="s">
        <v>18955</v>
      </c>
      <c r="V5666" s="924" t="s">
        <v>5604</v>
      </c>
      <c r="W5666" s="2093" t="s">
        <v>18981</v>
      </c>
      <c r="X5666" s="818"/>
      <c r="Y5666" s="1161"/>
    </row>
    <row r="5667" spans="1:25" ht="15.75" hidden="1" customHeight="1" outlineLevel="1">
      <c r="A5667" s="222">
        <v>5676</v>
      </c>
      <c r="B5667" s="858">
        <v>44762</v>
      </c>
      <c r="C5667" s="1505" t="s">
        <v>19222</v>
      </c>
      <c r="D5667" s="11" t="s">
        <v>6</v>
      </c>
      <c r="E5667" s="818" t="s">
        <v>4951</v>
      </c>
      <c r="F5667" s="22" t="s">
        <v>18751</v>
      </c>
      <c r="G5667" s="1506" t="s">
        <v>19223</v>
      </c>
      <c r="H5667" s="237" t="s">
        <v>429</v>
      </c>
      <c r="I5667" s="237" t="s">
        <v>429</v>
      </c>
      <c r="J5667" s="1676" t="s">
        <v>19224</v>
      </c>
      <c r="K5667" s="1676" t="s">
        <v>19224</v>
      </c>
      <c r="L5667" s="613"/>
      <c r="M5667" s="183">
        <v>3</v>
      </c>
      <c r="N5667" s="183">
        <v>3</v>
      </c>
      <c r="O5667" s="222">
        <v>3</v>
      </c>
      <c r="P5667" s="222">
        <v>0</v>
      </c>
      <c r="Q5667" s="222">
        <v>0</v>
      </c>
      <c r="R5667" s="1195">
        <v>240</v>
      </c>
      <c r="S5667" s="1195">
        <f t="shared" si="304"/>
        <v>720</v>
      </c>
      <c r="T5667" s="26" t="s">
        <v>311</v>
      </c>
      <c r="U5667" s="1859" t="s">
        <v>18955</v>
      </c>
      <c r="V5667" s="924" t="s">
        <v>5604</v>
      </c>
      <c r="W5667" s="2093" t="s">
        <v>18981</v>
      </c>
      <c r="X5667" s="818"/>
      <c r="Y5667" s="1161"/>
    </row>
    <row r="5668" spans="1:25" ht="15.75" hidden="1" customHeight="1" outlineLevel="1">
      <c r="A5668" s="222">
        <v>5677</v>
      </c>
      <c r="B5668" s="858">
        <v>44762</v>
      </c>
      <c r="C5668" s="1505" t="s">
        <v>18982</v>
      </c>
      <c r="D5668" s="11" t="s">
        <v>6</v>
      </c>
      <c r="E5668" s="818" t="s">
        <v>4951</v>
      </c>
      <c r="F5668" s="22" t="s">
        <v>18751</v>
      </c>
      <c r="G5668" s="1506" t="s">
        <v>19225</v>
      </c>
      <c r="H5668" s="237" t="s">
        <v>429</v>
      </c>
      <c r="I5668" s="237" t="s">
        <v>429</v>
      </c>
      <c r="J5668" s="1676" t="s">
        <v>18984</v>
      </c>
      <c r="K5668" s="1676" t="s">
        <v>18984</v>
      </c>
      <c r="L5668" s="613"/>
      <c r="M5668" s="183">
        <v>3</v>
      </c>
      <c r="N5668" s="183">
        <v>3</v>
      </c>
      <c r="O5668" s="222">
        <v>3</v>
      </c>
      <c r="P5668" s="222">
        <v>0</v>
      </c>
      <c r="Q5668" s="222">
        <v>0</v>
      </c>
      <c r="R5668" s="1195">
        <v>240</v>
      </c>
      <c r="S5668" s="1195">
        <f t="shared" si="304"/>
        <v>720</v>
      </c>
      <c r="T5668" s="26" t="s">
        <v>311</v>
      </c>
      <c r="U5668" s="1859" t="s">
        <v>18955</v>
      </c>
      <c r="V5668" s="924" t="s">
        <v>5604</v>
      </c>
      <c r="W5668" s="2093" t="s">
        <v>18981</v>
      </c>
      <c r="X5668" s="818"/>
      <c r="Y5668" s="1161"/>
    </row>
    <row r="5669" spans="1:25" ht="15.75" hidden="1" customHeight="1" outlineLevel="1">
      <c r="A5669" s="222">
        <v>5678</v>
      </c>
      <c r="B5669" s="858">
        <v>44762</v>
      </c>
      <c r="C5669" s="129" t="s">
        <v>19226</v>
      </c>
      <c r="D5669" s="11" t="s">
        <v>6</v>
      </c>
      <c r="E5669" s="818" t="s">
        <v>4951</v>
      </c>
      <c r="F5669" s="22" t="s">
        <v>18751</v>
      </c>
      <c r="G5669" s="863" t="s">
        <v>19227</v>
      </c>
      <c r="H5669" s="237" t="s">
        <v>429</v>
      </c>
      <c r="I5669" s="237" t="s">
        <v>429</v>
      </c>
      <c r="J5669" s="863" t="s">
        <v>19227</v>
      </c>
      <c r="K5669" s="863" t="s">
        <v>19227</v>
      </c>
      <c r="L5669" s="613"/>
      <c r="M5669" s="183">
        <v>50</v>
      </c>
      <c r="N5669" s="183">
        <v>50</v>
      </c>
      <c r="O5669" s="222">
        <v>50</v>
      </c>
      <c r="P5669" s="222">
        <v>20</v>
      </c>
      <c r="Q5669" s="222">
        <v>20</v>
      </c>
      <c r="R5669" s="1195">
        <v>140</v>
      </c>
      <c r="S5669" s="1195">
        <f t="shared" si="304"/>
        <v>7000</v>
      </c>
      <c r="T5669" s="26" t="s">
        <v>311</v>
      </c>
      <c r="U5669" s="1859" t="s">
        <v>18955</v>
      </c>
      <c r="V5669" s="924" t="s">
        <v>5604</v>
      </c>
      <c r="W5669" s="1815" t="s">
        <v>19228</v>
      </c>
      <c r="X5669" s="818"/>
      <c r="Y5669" s="1161"/>
    </row>
    <row r="5670" spans="1:25" ht="15.75" hidden="1" customHeight="1" outlineLevel="1">
      <c r="A5670" s="222">
        <v>5679</v>
      </c>
      <c r="B5670" s="858">
        <v>44762</v>
      </c>
      <c r="C5670" s="1505" t="s">
        <v>18971</v>
      </c>
      <c r="D5670" s="11" t="s">
        <v>6</v>
      </c>
      <c r="E5670" s="818" t="s">
        <v>4951</v>
      </c>
      <c r="F5670" s="22" t="s">
        <v>18751</v>
      </c>
      <c r="G5670" s="1506" t="s">
        <v>18972</v>
      </c>
      <c r="H5670" s="237" t="s">
        <v>429</v>
      </c>
      <c r="I5670" s="237" t="s">
        <v>429</v>
      </c>
      <c r="J5670" s="1676" t="s">
        <v>11286</v>
      </c>
      <c r="K5670" s="1676" t="s">
        <v>11286</v>
      </c>
      <c r="L5670" s="613"/>
      <c r="M5670" s="183">
        <v>50</v>
      </c>
      <c r="N5670" s="183" t="s">
        <v>19229</v>
      </c>
      <c r="O5670" s="222">
        <v>1</v>
      </c>
      <c r="P5670" s="222">
        <v>30</v>
      </c>
      <c r="Q5670" s="222">
        <v>80</v>
      </c>
      <c r="R5670" s="1195">
        <v>600</v>
      </c>
      <c r="S5670" s="1195">
        <f t="shared" si="304"/>
        <v>600</v>
      </c>
      <c r="T5670" s="26" t="s">
        <v>311</v>
      </c>
      <c r="U5670" s="1859" t="s">
        <v>18955</v>
      </c>
      <c r="V5670" s="924" t="s">
        <v>5604</v>
      </c>
      <c r="W5670" s="1815" t="s">
        <v>19230</v>
      </c>
      <c r="X5670" s="818"/>
      <c r="Y5670" s="1161"/>
    </row>
    <row r="5671" spans="1:25" ht="15.75" hidden="1" customHeight="1" outlineLevel="1">
      <c r="A5671" s="222">
        <v>5680</v>
      </c>
      <c r="B5671" s="858">
        <v>44763</v>
      </c>
      <c r="C5671" s="1132" t="s">
        <v>19231</v>
      </c>
      <c r="D5671" s="11" t="s">
        <v>6</v>
      </c>
      <c r="E5671" s="874" t="s">
        <v>4951</v>
      </c>
      <c r="F5671" s="874" t="s">
        <v>10005</v>
      </c>
      <c r="G5671" s="874" t="s">
        <v>19232</v>
      </c>
      <c r="H5671" s="874" t="s">
        <v>19233</v>
      </c>
      <c r="I5671" s="874" t="s">
        <v>84</v>
      </c>
      <c r="J5671" s="874">
        <v>39090755</v>
      </c>
      <c r="K5671" s="874" t="s">
        <v>19234</v>
      </c>
      <c r="L5671" s="874" t="s">
        <v>149</v>
      </c>
      <c r="M5671" s="874">
        <v>4</v>
      </c>
      <c r="N5671" s="874">
        <v>1</v>
      </c>
      <c r="O5671" s="874">
        <v>4</v>
      </c>
      <c r="P5671" s="874">
        <v>0</v>
      </c>
      <c r="Q5671" s="874">
        <v>0</v>
      </c>
      <c r="R5671" s="1733">
        <v>719</v>
      </c>
      <c r="S5671" s="1680">
        <v>2876</v>
      </c>
      <c r="T5671" s="873" t="s">
        <v>14509</v>
      </c>
      <c r="U5671" s="1969" t="s">
        <v>4220</v>
      </c>
      <c r="V5671" s="924" t="s">
        <v>5604</v>
      </c>
      <c r="W5671" s="886" t="s">
        <v>19235</v>
      </c>
      <c r="X5671" s="818"/>
      <c r="Y5671" s="1161"/>
    </row>
    <row r="5672" spans="1:25" ht="15.75" hidden="1" customHeight="1" outlineLevel="1">
      <c r="A5672" s="222">
        <v>5681</v>
      </c>
      <c r="B5672" s="858">
        <v>44763</v>
      </c>
      <c r="C5672" s="1132" t="s">
        <v>19236</v>
      </c>
      <c r="D5672" s="11" t="s">
        <v>6</v>
      </c>
      <c r="E5672" s="882" t="s">
        <v>4951</v>
      </c>
      <c r="F5672" s="874" t="s">
        <v>10005</v>
      </c>
      <c r="G5672" s="874" t="s">
        <v>19237</v>
      </c>
      <c r="H5672" s="874" t="s">
        <v>19238</v>
      </c>
      <c r="I5672" s="874" t="s">
        <v>429</v>
      </c>
      <c r="J5672" s="874">
        <v>39541677</v>
      </c>
      <c r="K5672" s="874" t="s">
        <v>19239</v>
      </c>
      <c r="L5672" s="874" t="s">
        <v>149</v>
      </c>
      <c r="M5672" s="874">
        <v>1</v>
      </c>
      <c r="N5672" s="874">
        <v>1</v>
      </c>
      <c r="O5672" s="874">
        <v>1</v>
      </c>
      <c r="P5672" s="874">
        <v>0</v>
      </c>
      <c r="Q5672" s="874">
        <v>0</v>
      </c>
      <c r="R5672" s="1733">
        <v>3512</v>
      </c>
      <c r="S5672" s="1733">
        <v>3512</v>
      </c>
      <c r="T5672" s="873" t="s">
        <v>19240</v>
      </c>
      <c r="U5672" s="1969" t="s">
        <v>4220</v>
      </c>
      <c r="V5672" s="924" t="s">
        <v>5604</v>
      </c>
      <c r="W5672" s="886" t="s">
        <v>19241</v>
      </c>
      <c r="X5672" s="818"/>
      <c r="Y5672" s="1161"/>
    </row>
    <row r="5673" spans="1:25" ht="15.75" hidden="1" customHeight="1" outlineLevel="1">
      <c r="A5673" s="222">
        <v>5682</v>
      </c>
      <c r="B5673" s="858">
        <v>44764</v>
      </c>
      <c r="C5673" s="129" t="s">
        <v>19242</v>
      </c>
      <c r="D5673" s="11" t="s">
        <v>6</v>
      </c>
      <c r="E5673" s="818" t="s">
        <v>14758</v>
      </c>
      <c r="F5673" s="1006" t="s">
        <v>131</v>
      </c>
      <c r="G5673" s="863" t="s">
        <v>19243</v>
      </c>
      <c r="H5673" s="222" t="s">
        <v>19244</v>
      </c>
      <c r="I5673" s="222" t="s">
        <v>39</v>
      </c>
      <c r="J5673" s="183" t="s">
        <v>19245</v>
      </c>
      <c r="K5673" s="183" t="s">
        <v>19246</v>
      </c>
      <c r="L5673" s="613" t="s">
        <v>19247</v>
      </c>
      <c r="M5673" s="183">
        <v>1</v>
      </c>
      <c r="N5673" s="183">
        <v>1</v>
      </c>
      <c r="O5673" s="222">
        <v>3</v>
      </c>
      <c r="P5673" s="222">
        <v>0</v>
      </c>
      <c r="Q5673" s="222">
        <v>2</v>
      </c>
      <c r="R5673" s="1195">
        <v>1642</v>
      </c>
      <c r="S5673" s="1195">
        <f t="shared" ref="S5673:S5691" si="305">R5673*O5673</f>
        <v>4926</v>
      </c>
      <c r="T5673" s="222" t="s">
        <v>8614</v>
      </c>
      <c r="U5673" s="1527" t="s">
        <v>118</v>
      </c>
      <c r="V5673" s="222" t="s">
        <v>118</v>
      </c>
      <c r="W5673" s="2155" t="s">
        <v>19248</v>
      </c>
      <c r="X5673" s="818"/>
      <c r="Y5673" s="1161"/>
    </row>
    <row r="5674" spans="1:25" ht="15.75" hidden="1" customHeight="1" outlineLevel="1">
      <c r="A5674" s="222">
        <v>5683</v>
      </c>
      <c r="B5674" s="858">
        <v>44767</v>
      </c>
      <c r="C5674" s="129" t="s">
        <v>3753</v>
      </c>
      <c r="D5674" s="11" t="s">
        <v>6</v>
      </c>
      <c r="E5674" s="818" t="s">
        <v>683</v>
      </c>
      <c r="F5674" s="1006" t="s">
        <v>73</v>
      </c>
      <c r="G5674" s="863" t="s">
        <v>19249</v>
      </c>
      <c r="H5674" s="222" t="s">
        <v>3755</v>
      </c>
      <c r="I5674" s="222" t="s">
        <v>366</v>
      </c>
      <c r="J5674" s="183" t="s">
        <v>19250</v>
      </c>
      <c r="K5674" s="183" t="s">
        <v>19250</v>
      </c>
      <c r="L5674" s="613"/>
      <c r="M5674" s="183">
        <v>1</v>
      </c>
      <c r="N5674" s="183">
        <v>1</v>
      </c>
      <c r="O5674" s="222">
        <v>1</v>
      </c>
      <c r="P5674" s="222">
        <v>0</v>
      </c>
      <c r="Q5674" s="222">
        <v>1</v>
      </c>
      <c r="R5674" s="1195">
        <v>818</v>
      </c>
      <c r="S5674" s="1195">
        <f t="shared" si="305"/>
        <v>818</v>
      </c>
      <c r="T5674" s="222" t="s">
        <v>19251</v>
      </c>
      <c r="U5674" s="1527" t="s">
        <v>4220</v>
      </c>
      <c r="V5674" s="222" t="s">
        <v>4220</v>
      </c>
      <c r="W5674" s="2155" t="s">
        <v>19252</v>
      </c>
      <c r="X5674" s="818"/>
      <c r="Y5674" s="1161"/>
    </row>
    <row r="5675" spans="1:25" ht="15.75" hidden="1" customHeight="1" outlineLevel="1">
      <c r="A5675" s="222">
        <v>5684</v>
      </c>
      <c r="B5675" s="858">
        <v>44769</v>
      </c>
      <c r="C5675" s="129" t="s">
        <v>19253</v>
      </c>
      <c r="D5675" s="1515" t="s">
        <v>6</v>
      </c>
      <c r="E5675" s="818" t="s">
        <v>19254</v>
      </c>
      <c r="F5675" s="1006" t="s">
        <v>11344</v>
      </c>
      <c r="G5675" s="863" t="s">
        <v>19255</v>
      </c>
      <c r="H5675" s="222" t="s">
        <v>19256</v>
      </c>
      <c r="I5675" s="222" t="s">
        <v>19256</v>
      </c>
      <c r="J5675" s="183" t="s">
        <v>19257</v>
      </c>
      <c r="K5675" s="183" t="s">
        <v>19257</v>
      </c>
      <c r="L5675" s="613" t="s">
        <v>149</v>
      </c>
      <c r="M5675" s="183">
        <v>1</v>
      </c>
      <c r="N5675" s="183">
        <v>1</v>
      </c>
      <c r="O5675" s="222">
        <v>1</v>
      </c>
      <c r="P5675" s="222">
        <v>0</v>
      </c>
      <c r="Q5675" s="222">
        <v>0</v>
      </c>
      <c r="R5675" s="1195">
        <v>850000</v>
      </c>
      <c r="S5675" s="1195">
        <f t="shared" si="305"/>
        <v>850000</v>
      </c>
      <c r="T5675" s="222" t="s">
        <v>18479</v>
      </c>
      <c r="U5675" s="1527" t="s">
        <v>13282</v>
      </c>
      <c r="V5675" s="222" t="s">
        <v>19258</v>
      </c>
      <c r="W5675" s="2155" t="s">
        <v>19259</v>
      </c>
      <c r="X5675" s="818"/>
      <c r="Y5675" s="1161"/>
    </row>
    <row r="5676" spans="1:25" ht="15.75" hidden="1" customHeight="1" outlineLevel="1">
      <c r="A5676" s="222">
        <v>5685</v>
      </c>
      <c r="B5676" s="858">
        <v>44769</v>
      </c>
      <c r="C5676" s="129" t="s">
        <v>19260</v>
      </c>
      <c r="D5676" s="1515" t="s">
        <v>6</v>
      </c>
      <c r="E5676" s="818" t="s">
        <v>19254</v>
      </c>
      <c r="F5676" s="1006" t="s">
        <v>11344</v>
      </c>
      <c r="G5676" s="863" t="s">
        <v>19261</v>
      </c>
      <c r="H5676" s="222" t="s">
        <v>19256</v>
      </c>
      <c r="I5676" s="222" t="s">
        <v>19256</v>
      </c>
      <c r="J5676" s="183" t="s">
        <v>19262</v>
      </c>
      <c r="K5676" s="183" t="s">
        <v>19262</v>
      </c>
      <c r="L5676" s="613" t="s">
        <v>149</v>
      </c>
      <c r="M5676" s="183">
        <v>1</v>
      </c>
      <c r="N5676" s="183">
        <v>1</v>
      </c>
      <c r="O5676" s="222">
        <v>1</v>
      </c>
      <c r="P5676" s="222">
        <v>0</v>
      </c>
      <c r="Q5676" s="222">
        <v>0</v>
      </c>
      <c r="R5676" s="1195">
        <v>1500000</v>
      </c>
      <c r="S5676" s="1195">
        <f t="shared" si="305"/>
        <v>1500000</v>
      </c>
      <c r="T5676" s="222" t="s">
        <v>19263</v>
      </c>
      <c r="U5676" s="1527" t="s">
        <v>13282</v>
      </c>
      <c r="V5676" s="222" t="s">
        <v>19258</v>
      </c>
      <c r="W5676" s="2155" t="s">
        <v>19259</v>
      </c>
      <c r="X5676" s="818"/>
      <c r="Y5676" s="1161"/>
    </row>
    <row r="5677" spans="1:25" ht="15.75" hidden="1" customHeight="1" outlineLevel="1">
      <c r="A5677" s="222">
        <v>5686</v>
      </c>
      <c r="B5677" s="858">
        <v>44770</v>
      </c>
      <c r="C5677" s="129" t="s">
        <v>19264</v>
      </c>
      <c r="D5677" s="11"/>
      <c r="E5677" s="818" t="s">
        <v>19254</v>
      </c>
      <c r="F5677" s="1006" t="s">
        <v>19265</v>
      </c>
      <c r="G5677" s="863" t="s">
        <v>19266</v>
      </c>
      <c r="H5677" s="222" t="s">
        <v>18527</v>
      </c>
      <c r="I5677" s="222" t="s">
        <v>281</v>
      </c>
      <c r="J5677" s="183" t="s">
        <v>19267</v>
      </c>
      <c r="K5677" s="183" t="s">
        <v>19268</v>
      </c>
      <c r="L5677" s="613" t="s">
        <v>16629</v>
      </c>
      <c r="M5677" s="183">
        <v>24</v>
      </c>
      <c r="N5677" s="183">
        <v>10</v>
      </c>
      <c r="O5677" s="222">
        <v>3</v>
      </c>
      <c r="P5677" s="222">
        <v>0</v>
      </c>
      <c r="Q5677" s="222">
        <v>6</v>
      </c>
      <c r="R5677" s="1195">
        <v>3891</v>
      </c>
      <c r="S5677" s="1195">
        <f t="shared" si="305"/>
        <v>11673</v>
      </c>
      <c r="T5677" s="222" t="s">
        <v>18479</v>
      </c>
      <c r="U5677" s="1527" t="s">
        <v>448</v>
      </c>
      <c r="V5677" s="222" t="s">
        <v>19258</v>
      </c>
      <c r="W5677" s="2155" t="s">
        <v>19269</v>
      </c>
      <c r="X5677" s="818"/>
      <c r="Y5677" s="1161"/>
    </row>
    <row r="5678" spans="1:25" ht="15.75" hidden="1" customHeight="1" outlineLevel="1">
      <c r="A5678" s="222">
        <v>5687</v>
      </c>
      <c r="B5678" s="858">
        <v>44770</v>
      </c>
      <c r="C5678" s="129" t="s">
        <v>516</v>
      </c>
      <c r="D5678" s="11"/>
      <c r="E5678" s="818" t="s">
        <v>19254</v>
      </c>
      <c r="F5678" s="1006" t="s">
        <v>19265</v>
      </c>
      <c r="G5678" s="863" t="s">
        <v>19270</v>
      </c>
      <c r="H5678" s="222" t="s">
        <v>460</v>
      </c>
      <c r="I5678" s="222" t="s">
        <v>281</v>
      </c>
      <c r="J5678" s="183" t="s">
        <v>19271</v>
      </c>
      <c r="K5678" s="183" t="s">
        <v>19272</v>
      </c>
      <c r="L5678" s="613" t="s">
        <v>19273</v>
      </c>
      <c r="M5678" s="183">
        <v>1</v>
      </c>
      <c r="N5678" s="183">
        <v>1</v>
      </c>
      <c r="O5678" s="222">
        <v>3</v>
      </c>
      <c r="P5678" s="222">
        <v>0</v>
      </c>
      <c r="Q5678" s="222">
        <v>2</v>
      </c>
      <c r="R5678" s="1195">
        <v>433</v>
      </c>
      <c r="S5678" s="1195">
        <f t="shared" si="305"/>
        <v>1299</v>
      </c>
      <c r="T5678" s="222" t="s">
        <v>18479</v>
      </c>
      <c r="U5678" s="1527" t="s">
        <v>448</v>
      </c>
      <c r="V5678" s="222" t="s">
        <v>19258</v>
      </c>
      <c r="W5678" s="2155" t="s">
        <v>19274</v>
      </c>
      <c r="X5678" s="818"/>
      <c r="Y5678" s="1161"/>
    </row>
    <row r="5679" spans="1:25" ht="15.75" hidden="1" customHeight="1" outlineLevel="1">
      <c r="A5679" s="222">
        <v>5688</v>
      </c>
      <c r="B5679" s="858">
        <v>44770</v>
      </c>
      <c r="C5679" s="129" t="s">
        <v>19275</v>
      </c>
      <c r="D5679" s="8"/>
      <c r="E5679" s="818" t="s">
        <v>19254</v>
      </c>
      <c r="F5679" s="1006" t="s">
        <v>19265</v>
      </c>
      <c r="G5679" s="863" t="s">
        <v>450</v>
      </c>
      <c r="H5679" s="222" t="s">
        <v>16190</v>
      </c>
      <c r="I5679" s="222" t="s">
        <v>281</v>
      </c>
      <c r="J5679" s="183" t="s">
        <v>19276</v>
      </c>
      <c r="K5679" s="183" t="s">
        <v>19277</v>
      </c>
      <c r="L5679" s="613" t="s">
        <v>455</v>
      </c>
      <c r="M5679" s="183">
        <v>2</v>
      </c>
      <c r="N5679" s="183">
        <v>1</v>
      </c>
      <c r="O5679" s="222">
        <v>6</v>
      </c>
      <c r="P5679" s="222">
        <v>0</v>
      </c>
      <c r="Q5679" s="222">
        <v>4</v>
      </c>
      <c r="R5679" s="1195">
        <v>76</v>
      </c>
      <c r="S5679" s="1195">
        <f t="shared" si="305"/>
        <v>456</v>
      </c>
      <c r="T5679" s="222" t="s">
        <v>18479</v>
      </c>
      <c r="U5679" s="1527" t="s">
        <v>448</v>
      </c>
      <c r="V5679" s="222" t="s">
        <v>19258</v>
      </c>
      <c r="W5679" s="2155" t="s">
        <v>19278</v>
      </c>
      <c r="X5679" s="818"/>
      <c r="Y5679" s="1161"/>
    </row>
    <row r="5680" spans="1:25" ht="15.75" hidden="1" customHeight="1" outlineLevel="1">
      <c r="A5680" s="222">
        <v>5689</v>
      </c>
      <c r="B5680" s="858">
        <v>44770</v>
      </c>
      <c r="C5680" s="129" t="s">
        <v>19279</v>
      </c>
      <c r="D5680" s="11"/>
      <c r="E5680" s="818" t="s">
        <v>19254</v>
      </c>
      <c r="F5680" s="1006" t="s">
        <v>19265</v>
      </c>
      <c r="G5680" s="863" t="s">
        <v>19280</v>
      </c>
      <c r="H5680" s="222" t="s">
        <v>15466</v>
      </c>
      <c r="I5680" s="222" t="s">
        <v>281</v>
      </c>
      <c r="J5680" s="183" t="s">
        <v>19281</v>
      </c>
      <c r="K5680" s="183" t="s">
        <v>19282</v>
      </c>
      <c r="L5680" s="613" t="s">
        <v>19283</v>
      </c>
      <c r="M5680" s="183">
        <v>2</v>
      </c>
      <c r="N5680" s="183">
        <v>1</v>
      </c>
      <c r="O5680" s="222">
        <v>8</v>
      </c>
      <c r="P5680" s="222">
        <v>0</v>
      </c>
      <c r="Q5680" s="222">
        <v>6</v>
      </c>
      <c r="R5680" s="1195">
        <v>46</v>
      </c>
      <c r="S5680" s="1195">
        <f t="shared" si="305"/>
        <v>368</v>
      </c>
      <c r="T5680" s="222" t="s">
        <v>18479</v>
      </c>
      <c r="U5680" s="1527" t="s">
        <v>448</v>
      </c>
      <c r="V5680" s="222" t="s">
        <v>19258</v>
      </c>
      <c r="W5680" s="2155" t="s">
        <v>19284</v>
      </c>
      <c r="X5680" s="818"/>
      <c r="Y5680" s="1161"/>
    </row>
    <row r="5681" spans="1:25" ht="15.75" hidden="1" customHeight="1" outlineLevel="1">
      <c r="A5681" s="222">
        <v>5690</v>
      </c>
      <c r="B5681" s="858">
        <v>44770</v>
      </c>
      <c r="C5681" s="129" t="s">
        <v>19285</v>
      </c>
      <c r="D5681" s="11"/>
      <c r="E5681" s="818" t="s">
        <v>19254</v>
      </c>
      <c r="F5681" s="1006" t="s">
        <v>19265</v>
      </c>
      <c r="G5681" s="863" t="s">
        <v>19286</v>
      </c>
      <c r="H5681" s="222" t="s">
        <v>15466</v>
      </c>
      <c r="I5681" s="222" t="s">
        <v>281</v>
      </c>
      <c r="J5681" s="183" t="s">
        <v>19287</v>
      </c>
      <c r="K5681" s="183" t="s">
        <v>19288</v>
      </c>
      <c r="L5681" s="613" t="s">
        <v>19283</v>
      </c>
      <c r="M5681" s="183">
        <v>1</v>
      </c>
      <c r="N5681" s="183">
        <v>1</v>
      </c>
      <c r="O5681" s="222">
        <v>4</v>
      </c>
      <c r="P5681" s="222">
        <v>0</v>
      </c>
      <c r="Q5681" s="222">
        <v>3</v>
      </c>
      <c r="R5681" s="1195">
        <v>110</v>
      </c>
      <c r="S5681" s="1195">
        <f t="shared" si="305"/>
        <v>440</v>
      </c>
      <c r="T5681" s="222" t="s">
        <v>18479</v>
      </c>
      <c r="U5681" s="1527" t="s">
        <v>448</v>
      </c>
      <c r="V5681" s="222" t="s">
        <v>19258</v>
      </c>
      <c r="W5681" s="2155" t="s">
        <v>19289</v>
      </c>
      <c r="X5681" s="818"/>
      <c r="Y5681" s="1161"/>
    </row>
    <row r="5682" spans="1:25" ht="15.75" hidden="1" customHeight="1" outlineLevel="1">
      <c r="A5682" s="222">
        <v>5691</v>
      </c>
      <c r="B5682" s="858">
        <v>44770</v>
      </c>
      <c r="C5682" s="129" t="s">
        <v>19290</v>
      </c>
      <c r="D5682" s="11"/>
      <c r="E5682" s="818" t="s">
        <v>19254</v>
      </c>
      <c r="F5682" s="1006" t="s">
        <v>19265</v>
      </c>
      <c r="G5682" s="863" t="s">
        <v>19291</v>
      </c>
      <c r="H5682" s="222" t="s">
        <v>15466</v>
      </c>
      <c r="I5682" s="222" t="s">
        <v>281</v>
      </c>
      <c r="J5682" s="183" t="s">
        <v>19292</v>
      </c>
      <c r="K5682" s="183" t="s">
        <v>19293</v>
      </c>
      <c r="L5682" s="613" t="s">
        <v>19294</v>
      </c>
      <c r="M5682" s="183">
        <v>1</v>
      </c>
      <c r="N5682" s="183">
        <v>1</v>
      </c>
      <c r="O5682" s="222">
        <v>4</v>
      </c>
      <c r="P5682" s="222">
        <v>0</v>
      </c>
      <c r="Q5682" s="222">
        <v>3</v>
      </c>
      <c r="R5682" s="1195">
        <v>44</v>
      </c>
      <c r="S5682" s="1195">
        <f t="shared" si="305"/>
        <v>176</v>
      </c>
      <c r="T5682" s="222" t="s">
        <v>18479</v>
      </c>
      <c r="U5682" s="1527" t="s">
        <v>448</v>
      </c>
      <c r="V5682" s="222" t="s">
        <v>19258</v>
      </c>
      <c r="W5682" s="2155" t="s">
        <v>19295</v>
      </c>
      <c r="X5682" s="818"/>
      <c r="Y5682" s="1161"/>
    </row>
    <row r="5683" spans="1:25" ht="15.75" hidden="1" customHeight="1" outlineLevel="1">
      <c r="A5683" s="222">
        <v>5692</v>
      </c>
      <c r="B5683" s="858">
        <v>44770</v>
      </c>
      <c r="C5683" s="129" t="s">
        <v>19296</v>
      </c>
      <c r="D5683" s="11"/>
      <c r="E5683" s="818" t="s">
        <v>19254</v>
      </c>
      <c r="F5683" s="1006" t="s">
        <v>19265</v>
      </c>
      <c r="G5683" s="863" t="s">
        <v>19297</v>
      </c>
      <c r="H5683" s="1120" t="s">
        <v>5550</v>
      </c>
      <c r="I5683" s="222" t="s">
        <v>281</v>
      </c>
      <c r="J5683" s="1500" t="s">
        <v>19298</v>
      </c>
      <c r="K5683" s="1500" t="s">
        <v>19299</v>
      </c>
      <c r="L5683" s="613" t="s">
        <v>19294</v>
      </c>
      <c r="M5683" s="183">
        <v>1</v>
      </c>
      <c r="N5683" s="183">
        <v>1</v>
      </c>
      <c r="O5683" s="222">
        <v>4</v>
      </c>
      <c r="P5683" s="222">
        <v>0</v>
      </c>
      <c r="Q5683" s="222">
        <v>3</v>
      </c>
      <c r="R5683" s="1195">
        <v>54</v>
      </c>
      <c r="S5683" s="1195">
        <f t="shared" si="305"/>
        <v>216</v>
      </c>
      <c r="T5683" s="222" t="s">
        <v>18479</v>
      </c>
      <c r="U5683" s="1527" t="s">
        <v>448</v>
      </c>
      <c r="V5683" s="222" t="s">
        <v>19258</v>
      </c>
      <c r="W5683" s="2155" t="s">
        <v>19300</v>
      </c>
      <c r="X5683" s="818"/>
      <c r="Y5683" s="1161"/>
    </row>
    <row r="5684" spans="1:25" ht="15.75" hidden="1" customHeight="1" outlineLevel="1">
      <c r="A5684" s="222">
        <v>5693</v>
      </c>
      <c r="B5684" s="858">
        <v>44771</v>
      </c>
      <c r="C5684" s="129" t="s">
        <v>19301</v>
      </c>
      <c r="D5684" s="11" t="s">
        <v>6</v>
      </c>
      <c r="E5684" s="818" t="s">
        <v>19254</v>
      </c>
      <c r="F5684" s="1006" t="s">
        <v>18485</v>
      </c>
      <c r="G5684" s="867" t="s">
        <v>19302</v>
      </c>
      <c r="H5684" s="613" t="s">
        <v>3097</v>
      </c>
      <c r="I5684" s="1431" t="s">
        <v>4634</v>
      </c>
      <c r="J5684" s="1538" t="s">
        <v>19303</v>
      </c>
      <c r="K5684" s="1538" t="s">
        <v>18492</v>
      </c>
      <c r="L5684" s="780" t="s">
        <v>18493</v>
      </c>
      <c r="M5684" s="183">
        <v>1</v>
      </c>
      <c r="N5684" s="183">
        <v>1</v>
      </c>
      <c r="O5684" s="222">
        <v>1</v>
      </c>
      <c r="P5684" s="222">
        <v>0</v>
      </c>
      <c r="Q5684" s="222">
        <v>0</v>
      </c>
      <c r="R5684" s="1195">
        <v>230.4</v>
      </c>
      <c r="S5684" s="1195">
        <f t="shared" si="305"/>
        <v>230.4</v>
      </c>
      <c r="T5684" s="222" t="s">
        <v>311</v>
      </c>
      <c r="U5684" s="1527" t="s">
        <v>19304</v>
      </c>
      <c r="V5684" s="222" t="s">
        <v>3187</v>
      </c>
      <c r="W5684" s="2155" t="s">
        <v>19305</v>
      </c>
      <c r="X5684" s="818"/>
      <c r="Y5684" s="1161"/>
    </row>
    <row r="5685" spans="1:25" s="1161" customFormat="1" ht="15.75" hidden="1" customHeight="1" outlineLevel="1">
      <c r="A5685" s="1120">
        <v>5694</v>
      </c>
      <c r="B5685" s="854">
        <v>44771</v>
      </c>
      <c r="C5685" s="1499" t="s">
        <v>19306</v>
      </c>
      <c r="D5685" s="11" t="s">
        <v>6</v>
      </c>
      <c r="E5685" s="818" t="s">
        <v>19254</v>
      </c>
      <c r="F5685" s="1190" t="s">
        <v>18485</v>
      </c>
      <c r="G5685" s="866" t="s">
        <v>19307</v>
      </c>
      <c r="H5685" s="1426" t="s">
        <v>230</v>
      </c>
      <c r="I5685" s="1736" t="s">
        <v>4634</v>
      </c>
      <c r="J5685" s="1426" t="s">
        <v>19308</v>
      </c>
      <c r="K5685" s="1426" t="s">
        <v>19309</v>
      </c>
      <c r="L5685" s="530" t="s">
        <v>149</v>
      </c>
      <c r="M5685" s="1500">
        <v>1</v>
      </c>
      <c r="N5685" s="1500">
        <v>1</v>
      </c>
      <c r="O5685" s="1120">
        <v>1</v>
      </c>
      <c r="P5685" s="1120">
        <v>0</v>
      </c>
      <c r="Q5685" s="1120">
        <v>0</v>
      </c>
      <c r="R5685" s="1501">
        <v>501.6</v>
      </c>
      <c r="S5685" s="1501">
        <f t="shared" si="305"/>
        <v>501.6</v>
      </c>
      <c r="T5685" s="1120" t="s">
        <v>311</v>
      </c>
      <c r="U5685" s="1965" t="s">
        <v>19304</v>
      </c>
      <c r="V5685" s="222" t="s">
        <v>3187</v>
      </c>
      <c r="W5685" s="2161" t="s">
        <v>19310</v>
      </c>
      <c r="X5685" s="1191"/>
    </row>
    <row r="5686" spans="1:25" s="818" customFormat="1" ht="15.75" hidden="1" customHeight="1" outlineLevel="1">
      <c r="A5686" s="222">
        <v>5695</v>
      </c>
      <c r="B5686" s="858">
        <v>44771</v>
      </c>
      <c r="C5686" s="129" t="s">
        <v>19311</v>
      </c>
      <c r="D5686" s="11" t="s">
        <v>6</v>
      </c>
      <c r="E5686" s="818" t="s">
        <v>19254</v>
      </c>
      <c r="F5686" s="1006" t="s">
        <v>18485</v>
      </c>
      <c r="G5686" s="863" t="s">
        <v>19312</v>
      </c>
      <c r="H5686" s="613" t="s">
        <v>16190</v>
      </c>
      <c r="I5686" s="222" t="s">
        <v>4634</v>
      </c>
      <c r="J5686" s="1810" t="s">
        <v>19313</v>
      </c>
      <c r="K5686" s="613" t="s">
        <v>19314</v>
      </c>
      <c r="L5686" s="780" t="s">
        <v>18493</v>
      </c>
      <c r="M5686" s="183">
        <v>1</v>
      </c>
      <c r="N5686" s="183">
        <v>1</v>
      </c>
      <c r="O5686" s="222">
        <v>1</v>
      </c>
      <c r="P5686" s="222">
        <v>0</v>
      </c>
      <c r="Q5686" s="222">
        <v>0</v>
      </c>
      <c r="R5686" s="1195">
        <v>87.1</v>
      </c>
      <c r="S5686" s="1195">
        <f t="shared" si="305"/>
        <v>87.1</v>
      </c>
      <c r="T5686" s="222" t="s">
        <v>311</v>
      </c>
      <c r="U5686" s="1527" t="s">
        <v>19304</v>
      </c>
      <c r="V5686" s="222" t="s">
        <v>3187</v>
      </c>
      <c r="W5686" s="2155" t="s">
        <v>19315</v>
      </c>
    </row>
    <row r="5687" spans="1:25" s="1161" customFormat="1" ht="15.75" hidden="1" customHeight="1" outlineLevel="1">
      <c r="A5687" s="1428">
        <v>5696</v>
      </c>
      <c r="B5687" s="1434">
        <v>44771</v>
      </c>
      <c r="C5687" s="1492" t="s">
        <v>19316</v>
      </c>
      <c r="D5687" s="8"/>
      <c r="E5687" s="818" t="s">
        <v>19254</v>
      </c>
      <c r="F5687" s="1432" t="s">
        <v>18485</v>
      </c>
      <c r="G5687" s="1492" t="s">
        <v>19317</v>
      </c>
      <c r="H5687" s="1428" t="s">
        <v>19318</v>
      </c>
      <c r="I5687" s="1428" t="s">
        <v>18397</v>
      </c>
      <c r="J5687" s="530" t="s">
        <v>149</v>
      </c>
      <c r="K5687" s="530" t="s">
        <v>149</v>
      </c>
      <c r="L5687" s="530" t="s">
        <v>149</v>
      </c>
      <c r="M5687" s="225">
        <v>2</v>
      </c>
      <c r="N5687" s="225">
        <v>10</v>
      </c>
      <c r="O5687" s="1428">
        <v>10</v>
      </c>
      <c r="P5687" s="1428">
        <v>0</v>
      </c>
      <c r="Q5687" s="1428">
        <v>8</v>
      </c>
      <c r="R5687" s="1435">
        <v>1701.4</v>
      </c>
      <c r="S5687" s="1435">
        <f t="shared" si="305"/>
        <v>17014</v>
      </c>
      <c r="T5687" s="1428" t="s">
        <v>311</v>
      </c>
      <c r="U5687" s="1513" t="s">
        <v>19304</v>
      </c>
      <c r="V5687" s="222" t="s">
        <v>3187</v>
      </c>
      <c r="W5687" s="811" t="s">
        <v>19319</v>
      </c>
      <c r="X5687" s="1444"/>
    </row>
    <row r="5688" spans="1:25" ht="15.75" hidden="1" customHeight="1" outlineLevel="1">
      <c r="A5688" s="222">
        <v>5697</v>
      </c>
      <c r="B5688" s="858">
        <v>44772</v>
      </c>
      <c r="C5688" s="129" t="s">
        <v>19320</v>
      </c>
      <c r="D5688" s="11"/>
      <c r="E5688" s="1732" t="s">
        <v>17683</v>
      </c>
      <c r="F5688" s="1006" t="s">
        <v>19321</v>
      </c>
      <c r="G5688" s="863" t="s">
        <v>19322</v>
      </c>
      <c r="H5688" s="222" t="s">
        <v>14238</v>
      </c>
      <c r="I5688" s="222" t="s">
        <v>14238</v>
      </c>
      <c r="J5688" s="183">
        <v>847350</v>
      </c>
      <c r="K5688" s="183">
        <v>847350</v>
      </c>
      <c r="L5688" s="613" t="s">
        <v>149</v>
      </c>
      <c r="M5688" s="183">
        <v>3</v>
      </c>
      <c r="N5688" s="183">
        <v>5</v>
      </c>
      <c r="O5688" s="222">
        <v>5</v>
      </c>
      <c r="P5688" s="222">
        <v>0</v>
      </c>
      <c r="Q5688" s="222">
        <v>2</v>
      </c>
      <c r="R5688" s="1195">
        <v>1876.6442999999999</v>
      </c>
      <c r="S5688" s="1195">
        <f t="shared" si="305"/>
        <v>9383.2214999999997</v>
      </c>
      <c r="T5688" s="222" t="s">
        <v>14752</v>
      </c>
      <c r="U5688" s="1527" t="s">
        <v>19323</v>
      </c>
      <c r="V5688" s="222" t="s">
        <v>3140</v>
      </c>
      <c r="W5688" s="1815" t="s">
        <v>12266</v>
      </c>
      <c r="X5688" s="818"/>
      <c r="Y5688" s="1161"/>
    </row>
    <row r="5689" spans="1:25" ht="15.75" hidden="1" customHeight="1" outlineLevel="1">
      <c r="A5689" s="222">
        <v>5698</v>
      </c>
      <c r="B5689" s="858">
        <v>44774</v>
      </c>
      <c r="C5689" s="129" t="s">
        <v>19324</v>
      </c>
      <c r="D5689" s="11" t="s">
        <v>6</v>
      </c>
      <c r="E5689" s="818" t="s">
        <v>19254</v>
      </c>
      <c r="F5689" s="1006" t="s">
        <v>19325</v>
      </c>
      <c r="G5689" s="863" t="s">
        <v>19326</v>
      </c>
      <c r="H5689" s="222" t="s">
        <v>1865</v>
      </c>
      <c r="I5689" s="222" t="s">
        <v>39</v>
      </c>
      <c r="J5689" s="183" t="s">
        <v>19327</v>
      </c>
      <c r="K5689" s="183" t="s">
        <v>1051</v>
      </c>
      <c r="L5689" s="613"/>
      <c r="M5689" s="183">
        <v>10</v>
      </c>
      <c r="N5689" s="183">
        <v>1</v>
      </c>
      <c r="O5689" s="222">
        <v>10</v>
      </c>
      <c r="P5689" s="222">
        <v>0</v>
      </c>
      <c r="Q5689" s="222">
        <v>10</v>
      </c>
      <c r="R5689" s="1195">
        <v>163</v>
      </c>
      <c r="S5689" s="1195">
        <f t="shared" si="305"/>
        <v>1630</v>
      </c>
      <c r="T5689" s="222" t="s">
        <v>311</v>
      </c>
      <c r="U5689" s="1527"/>
      <c r="V5689" s="222" t="s">
        <v>10617</v>
      </c>
      <c r="W5689" s="2155" t="s">
        <v>19328</v>
      </c>
      <c r="X5689" s="818"/>
      <c r="Y5689" s="1161"/>
    </row>
    <row r="5690" spans="1:25" ht="15.75" hidden="1" customHeight="1" outlineLevel="1">
      <c r="A5690" s="222">
        <v>5699</v>
      </c>
      <c r="B5690" s="858">
        <v>44774</v>
      </c>
      <c r="C5690" s="129" t="s">
        <v>19329</v>
      </c>
      <c r="D5690" s="11" t="s">
        <v>6</v>
      </c>
      <c r="E5690" s="818" t="s">
        <v>19254</v>
      </c>
      <c r="F5690" s="1006" t="s">
        <v>19325</v>
      </c>
      <c r="G5690" s="863" t="s">
        <v>19330</v>
      </c>
      <c r="H5690" s="222" t="s">
        <v>1865</v>
      </c>
      <c r="I5690" s="222" t="s">
        <v>39</v>
      </c>
      <c r="J5690" s="183" t="s">
        <v>19331</v>
      </c>
      <c r="K5690" s="183" t="s">
        <v>19332</v>
      </c>
      <c r="L5690" s="613"/>
      <c r="M5690" s="183">
        <v>10</v>
      </c>
      <c r="N5690" s="183">
        <v>1</v>
      </c>
      <c r="O5690" s="222">
        <v>10</v>
      </c>
      <c r="P5690" s="222">
        <v>0</v>
      </c>
      <c r="Q5690" s="222">
        <v>10</v>
      </c>
      <c r="R5690" s="1195">
        <v>86</v>
      </c>
      <c r="S5690" s="1195">
        <f t="shared" si="305"/>
        <v>860</v>
      </c>
      <c r="T5690" s="222" t="s">
        <v>311</v>
      </c>
      <c r="U5690" s="1527"/>
      <c r="V5690" s="222" t="s">
        <v>10617</v>
      </c>
      <c r="W5690" s="2155" t="s">
        <v>19333</v>
      </c>
      <c r="X5690" s="818"/>
      <c r="Y5690" s="1161"/>
    </row>
    <row r="5691" spans="1:25" ht="15.75" hidden="1" customHeight="1" outlineLevel="1">
      <c r="A5691" s="222">
        <v>5700</v>
      </c>
      <c r="B5691" s="858">
        <v>44774</v>
      </c>
      <c r="C5691" s="129" t="s">
        <v>11696</v>
      </c>
      <c r="D5691" s="8"/>
      <c r="E5691" s="818" t="s">
        <v>4951</v>
      </c>
      <c r="F5691" s="1006" t="s">
        <v>18666</v>
      </c>
      <c r="G5691" s="863" t="s">
        <v>19334</v>
      </c>
      <c r="H5691" s="222" t="s">
        <v>18712</v>
      </c>
      <c r="I5691" s="222" t="s">
        <v>18712</v>
      </c>
      <c r="J5691" s="183" t="s">
        <v>1</v>
      </c>
      <c r="K5691" s="183" t="s">
        <v>1</v>
      </c>
      <c r="L5691" s="183" t="s">
        <v>1</v>
      </c>
      <c r="M5691" s="183">
        <v>2</v>
      </c>
      <c r="N5691" s="183">
        <v>1</v>
      </c>
      <c r="O5691" s="222">
        <v>2</v>
      </c>
      <c r="P5691" s="222">
        <v>0</v>
      </c>
      <c r="Q5691" s="222">
        <v>0</v>
      </c>
      <c r="R5691" s="1195">
        <v>6200</v>
      </c>
      <c r="S5691" s="1195">
        <f t="shared" si="305"/>
        <v>12400</v>
      </c>
      <c r="T5691" s="222" t="s">
        <v>18479</v>
      </c>
      <c r="U5691" s="1527" t="s">
        <v>18670</v>
      </c>
      <c r="V5691" s="222" t="s">
        <v>104</v>
      </c>
      <c r="W5691" s="2155" t="s">
        <v>19335</v>
      </c>
      <c r="X5691" s="818"/>
      <c r="Y5691" s="1161"/>
    </row>
    <row r="5692" spans="1:25" ht="15.75" hidden="1" customHeight="1" outlineLevel="1">
      <c r="A5692" s="222">
        <v>5701</v>
      </c>
      <c r="B5692" s="858">
        <v>44774</v>
      </c>
      <c r="C5692" s="26" t="s">
        <v>9310</v>
      </c>
      <c r="D5692" s="8"/>
      <c r="E5692" t="s">
        <v>4951</v>
      </c>
      <c r="F5692" s="1006" t="s">
        <v>18666</v>
      </c>
      <c r="G5692" s="26" t="s">
        <v>9311</v>
      </c>
      <c r="H5692" s="237" t="s">
        <v>5763</v>
      </c>
      <c r="I5692" s="26" t="s">
        <v>8025</v>
      </c>
      <c r="J5692" s="26" t="s">
        <v>9312</v>
      </c>
      <c r="K5692" s="26" t="s">
        <v>9312</v>
      </c>
      <c r="L5692" s="26"/>
      <c r="M5692" s="26">
        <v>1</v>
      </c>
      <c r="N5692" s="26">
        <v>1</v>
      </c>
      <c r="O5692" s="26">
        <v>1</v>
      </c>
      <c r="P5692" s="26">
        <v>0</v>
      </c>
      <c r="Q5692" s="26">
        <v>0</v>
      </c>
      <c r="R5692" s="1209">
        <v>360</v>
      </c>
      <c r="S5692" s="1209">
        <v>360</v>
      </c>
      <c r="T5692" s="222" t="s">
        <v>18479</v>
      </c>
      <c r="U5692" s="1527" t="s">
        <v>18670</v>
      </c>
      <c r="V5692" s="222" t="s">
        <v>104</v>
      </c>
      <c r="W5692" s="701" t="s">
        <v>9313</v>
      </c>
      <c r="X5692" s="818"/>
      <c r="Y5692" s="1161"/>
    </row>
    <row r="5693" spans="1:25" s="1005" customFormat="1" ht="15.75" hidden="1" customHeight="1" outlineLevel="1">
      <c r="A5693" s="1006">
        <v>5702</v>
      </c>
      <c r="B5693" s="858">
        <v>44774</v>
      </c>
      <c r="C5693" s="1524" t="s">
        <v>1641</v>
      </c>
      <c r="D5693" s="11"/>
      <c r="E5693" s="818" t="s">
        <v>19254</v>
      </c>
      <c r="F5693" s="1737" t="s">
        <v>2006</v>
      </c>
      <c r="G5693" s="1737" t="s">
        <v>19336</v>
      </c>
      <c r="H5693" s="1737" t="s">
        <v>230</v>
      </c>
      <c r="I5693" s="1737" t="s">
        <v>39</v>
      </c>
      <c r="J5693" s="1737" t="s">
        <v>19337</v>
      </c>
      <c r="K5693" s="1737" t="s">
        <v>12276</v>
      </c>
      <c r="L5693" s="1737" t="s">
        <v>5267</v>
      </c>
      <c r="M5693" s="1737">
        <v>20</v>
      </c>
      <c r="N5693" s="1737">
        <v>1</v>
      </c>
      <c r="O5693" s="1737">
        <v>25</v>
      </c>
      <c r="P5693" s="1737">
        <v>0</v>
      </c>
      <c r="Q5693" s="1738">
        <v>5</v>
      </c>
      <c r="R5693" s="1737">
        <v>736</v>
      </c>
      <c r="S5693" s="1739">
        <v>18400</v>
      </c>
      <c r="T5693" s="1737" t="s">
        <v>311</v>
      </c>
      <c r="U5693" s="1992" t="s">
        <v>678</v>
      </c>
      <c r="V5693" s="1846" t="s">
        <v>14002</v>
      </c>
      <c r="W5693" s="2189" t="s">
        <v>19338</v>
      </c>
      <c r="X5693" s="1006"/>
      <c r="Y5693" s="1535"/>
    </row>
    <row r="5694" spans="1:25" s="1005" customFormat="1" ht="15.75" hidden="1" customHeight="1" outlineLevel="1">
      <c r="A5694" s="1006">
        <v>5703</v>
      </c>
      <c r="B5694" s="858">
        <v>44774</v>
      </c>
      <c r="C5694" s="1740" t="s">
        <v>618</v>
      </c>
      <c r="D5694" s="11" t="s">
        <v>6</v>
      </c>
      <c r="E5694" s="818" t="s">
        <v>19254</v>
      </c>
      <c r="F5694" s="1741" t="s">
        <v>2006</v>
      </c>
      <c r="G5694" s="1741" t="s">
        <v>19339</v>
      </c>
      <c r="H5694" s="1737" t="s">
        <v>19340</v>
      </c>
      <c r="I5694" s="1737" t="s">
        <v>39</v>
      </c>
      <c r="J5694" s="1737" t="s">
        <v>19341</v>
      </c>
      <c r="K5694" s="1737" t="s">
        <v>19342</v>
      </c>
      <c r="L5694" s="1737" t="s">
        <v>5267</v>
      </c>
      <c r="M5694" s="1741">
        <v>15</v>
      </c>
      <c r="N5694" s="1741">
        <v>1</v>
      </c>
      <c r="O5694" s="1741">
        <v>20</v>
      </c>
      <c r="P5694" s="1741">
        <v>0</v>
      </c>
      <c r="Q5694" s="1742">
        <v>5</v>
      </c>
      <c r="R5694" s="1741">
        <v>300</v>
      </c>
      <c r="S5694" s="1743">
        <v>6000</v>
      </c>
      <c r="T5694" s="1741" t="s">
        <v>311</v>
      </c>
      <c r="U5694" s="1993" t="s">
        <v>678</v>
      </c>
      <c r="V5694" s="1846" t="s">
        <v>14002</v>
      </c>
      <c r="W5694" s="2190" t="s">
        <v>19343</v>
      </c>
      <c r="X5694" s="1006"/>
      <c r="Y5694" s="1535"/>
    </row>
    <row r="5695" spans="1:25" s="1005" customFormat="1" ht="15.75" hidden="1" customHeight="1" outlineLevel="1">
      <c r="A5695" s="1006">
        <v>5704</v>
      </c>
      <c r="B5695" s="858">
        <v>44774</v>
      </c>
      <c r="C5695" s="1740" t="s">
        <v>339</v>
      </c>
      <c r="D5695" s="11" t="s">
        <v>6</v>
      </c>
      <c r="E5695" s="818" t="s">
        <v>19254</v>
      </c>
      <c r="F5695" s="1741" t="s">
        <v>2006</v>
      </c>
      <c r="G5695" s="1741" t="s">
        <v>19344</v>
      </c>
      <c r="H5695" s="1737" t="s">
        <v>511</v>
      </c>
      <c r="I5695" s="1737" t="s">
        <v>39</v>
      </c>
      <c r="J5695" s="1737" t="s">
        <v>19345</v>
      </c>
      <c r="K5695" s="1737" t="s">
        <v>19346</v>
      </c>
      <c r="L5695" s="1737" t="s">
        <v>5267</v>
      </c>
      <c r="M5695" s="1741">
        <v>15</v>
      </c>
      <c r="N5695" s="1741">
        <v>10</v>
      </c>
      <c r="O5695" s="1741">
        <v>20</v>
      </c>
      <c r="P5695" s="1741">
        <v>0</v>
      </c>
      <c r="Q5695" s="1742">
        <v>5</v>
      </c>
      <c r="R5695" s="1741">
        <v>39.4</v>
      </c>
      <c r="S5695" s="1741">
        <v>788</v>
      </c>
      <c r="T5695" s="1741" t="s">
        <v>311</v>
      </c>
      <c r="U5695" s="1993" t="s">
        <v>678</v>
      </c>
      <c r="V5695" s="1846" t="s">
        <v>14002</v>
      </c>
      <c r="W5695" s="2190" t="s">
        <v>19347</v>
      </c>
      <c r="X5695" s="1006"/>
      <c r="Y5695" s="1535"/>
    </row>
    <row r="5696" spans="1:25" s="1005" customFormat="1" ht="15.75" hidden="1" customHeight="1" outlineLevel="1">
      <c r="A5696" s="1006">
        <v>5705</v>
      </c>
      <c r="B5696" s="858">
        <v>44774</v>
      </c>
      <c r="C5696" s="1740" t="s">
        <v>19348</v>
      </c>
      <c r="D5696" s="11" t="s">
        <v>6</v>
      </c>
      <c r="E5696" s="818" t="s">
        <v>19254</v>
      </c>
      <c r="F5696" s="1741" t="s">
        <v>2006</v>
      </c>
      <c r="G5696" s="1741" t="s">
        <v>19349</v>
      </c>
      <c r="H5696" s="1737" t="s">
        <v>243</v>
      </c>
      <c r="I5696" s="1737" t="s">
        <v>281</v>
      </c>
      <c r="J5696" s="1737" t="s">
        <v>19350</v>
      </c>
      <c r="K5696" s="1737" t="s">
        <v>19351</v>
      </c>
      <c r="L5696" s="1737" t="s">
        <v>5267</v>
      </c>
      <c r="M5696" s="1741">
        <v>15</v>
      </c>
      <c r="N5696" s="1741">
        <v>10</v>
      </c>
      <c r="O5696" s="1741">
        <v>20</v>
      </c>
      <c r="P5696" s="1741">
        <v>0</v>
      </c>
      <c r="Q5696" s="1742">
        <v>5</v>
      </c>
      <c r="R5696" s="1741">
        <v>686.2</v>
      </c>
      <c r="S5696" s="1743">
        <v>13724</v>
      </c>
      <c r="T5696" s="1741" t="s">
        <v>311</v>
      </c>
      <c r="U5696" s="1993" t="s">
        <v>678</v>
      </c>
      <c r="V5696" s="1846" t="s">
        <v>14002</v>
      </c>
      <c r="W5696" s="2190" t="s">
        <v>19352</v>
      </c>
      <c r="X5696" s="1006"/>
      <c r="Y5696" s="1535"/>
    </row>
    <row r="5697" spans="1:52" s="1005" customFormat="1" ht="15.75" hidden="1" customHeight="1" outlineLevel="1">
      <c r="A5697" s="1006">
        <v>5706</v>
      </c>
      <c r="B5697" s="858">
        <v>44774</v>
      </c>
      <c r="C5697" s="1740" t="s">
        <v>152</v>
      </c>
      <c r="D5697" s="11" t="s">
        <v>6</v>
      </c>
      <c r="E5697" s="818" t="s">
        <v>19254</v>
      </c>
      <c r="F5697" s="1741" t="s">
        <v>2006</v>
      </c>
      <c r="G5697" s="1741" t="s">
        <v>19353</v>
      </c>
      <c r="H5697" s="1737" t="s">
        <v>166</v>
      </c>
      <c r="I5697" s="1737" t="s">
        <v>281</v>
      </c>
      <c r="J5697" s="1737" t="s">
        <v>19354</v>
      </c>
      <c r="K5697" s="1737" t="s">
        <v>19355</v>
      </c>
      <c r="L5697" s="1737" t="s">
        <v>5267</v>
      </c>
      <c r="M5697" s="1741">
        <v>15</v>
      </c>
      <c r="N5697" s="1741">
        <v>10</v>
      </c>
      <c r="O5697" s="1741">
        <v>20</v>
      </c>
      <c r="P5697" s="1741">
        <v>0</v>
      </c>
      <c r="Q5697" s="1742">
        <v>5</v>
      </c>
      <c r="R5697" s="1741">
        <v>73</v>
      </c>
      <c r="S5697" s="1743">
        <v>1460</v>
      </c>
      <c r="T5697" s="1741" t="s">
        <v>311</v>
      </c>
      <c r="U5697" s="1993" t="s">
        <v>678</v>
      </c>
      <c r="V5697" s="1846" t="s">
        <v>14002</v>
      </c>
      <c r="W5697" s="2190" t="s">
        <v>19356</v>
      </c>
      <c r="X5697" s="1006"/>
      <c r="Y5697" s="1535"/>
    </row>
    <row r="5698" spans="1:52" s="1005" customFormat="1" ht="15.75" hidden="1" customHeight="1" outlineLevel="1">
      <c r="A5698" s="1006">
        <v>5707</v>
      </c>
      <c r="B5698" s="858">
        <v>44774</v>
      </c>
      <c r="C5698" s="1740" t="s">
        <v>329</v>
      </c>
      <c r="D5698" s="11" t="s">
        <v>6</v>
      </c>
      <c r="E5698" s="818" t="s">
        <v>19254</v>
      </c>
      <c r="F5698" s="1741" t="s">
        <v>2006</v>
      </c>
      <c r="G5698" s="1741" t="s">
        <v>19357</v>
      </c>
      <c r="H5698" s="1737" t="s">
        <v>154</v>
      </c>
      <c r="I5698" s="1737" t="s">
        <v>281</v>
      </c>
      <c r="J5698" s="1737" t="s">
        <v>19358</v>
      </c>
      <c r="K5698" s="1737" t="s">
        <v>19359</v>
      </c>
      <c r="L5698" s="1737" t="s">
        <v>5267</v>
      </c>
      <c r="M5698" s="1741">
        <v>30</v>
      </c>
      <c r="N5698" s="1741">
        <v>10</v>
      </c>
      <c r="O5698" s="1741">
        <v>40</v>
      </c>
      <c r="P5698" s="1741">
        <v>0</v>
      </c>
      <c r="Q5698" s="1742">
        <v>10</v>
      </c>
      <c r="R5698" s="1741">
        <v>33.5</v>
      </c>
      <c r="S5698" s="1743">
        <v>1340</v>
      </c>
      <c r="T5698" s="1741" t="s">
        <v>311</v>
      </c>
      <c r="U5698" s="1993" t="s">
        <v>678</v>
      </c>
      <c r="V5698" s="1846" t="s">
        <v>14002</v>
      </c>
      <c r="W5698" s="2190" t="s">
        <v>19360</v>
      </c>
      <c r="X5698" s="1006"/>
      <c r="Y5698" s="1535"/>
    </row>
    <row r="5699" spans="1:52" ht="15.75" hidden="1" customHeight="1" outlineLevel="1">
      <c r="A5699" s="222">
        <v>5708</v>
      </c>
      <c r="B5699" s="858">
        <v>44774</v>
      </c>
      <c r="C5699" s="129" t="s">
        <v>19361</v>
      </c>
      <c r="D5699" s="22"/>
      <c r="E5699" s="818"/>
      <c r="F5699" s="1006" t="s">
        <v>131</v>
      </c>
      <c r="G5699" s="863" t="s">
        <v>19362</v>
      </c>
      <c r="H5699" s="222" t="s">
        <v>7613</v>
      </c>
      <c r="I5699" s="222" t="s">
        <v>7613</v>
      </c>
      <c r="J5699" s="183" t="s">
        <v>19363</v>
      </c>
      <c r="K5699" s="183" t="s">
        <v>19363</v>
      </c>
      <c r="L5699" s="613" t="s">
        <v>623</v>
      </c>
      <c r="M5699" s="183">
        <v>2</v>
      </c>
      <c r="N5699" s="183">
        <v>1</v>
      </c>
      <c r="O5699" s="222">
        <v>4</v>
      </c>
      <c r="P5699" s="222">
        <v>0</v>
      </c>
      <c r="Q5699" s="222">
        <v>2</v>
      </c>
      <c r="R5699" s="1195">
        <v>2050</v>
      </c>
      <c r="S5699" s="1195">
        <f>R5699*O5699</f>
        <v>8200</v>
      </c>
      <c r="T5699" s="222" t="s">
        <v>18479</v>
      </c>
      <c r="U5699" s="1527" t="s">
        <v>10016</v>
      </c>
      <c r="V5699" s="222" t="s">
        <v>18608</v>
      </c>
      <c r="W5699" s="2155" t="s">
        <v>19364</v>
      </c>
      <c r="X5699" s="818"/>
      <c r="Y5699" s="1161"/>
    </row>
    <row r="5700" spans="1:52" ht="15.75" hidden="1" customHeight="1" outlineLevel="1">
      <c r="A5700" s="222">
        <v>5709</v>
      </c>
      <c r="B5700" s="858">
        <v>44774</v>
      </c>
      <c r="C5700" s="129" t="s">
        <v>19361</v>
      </c>
      <c r="D5700" s="22"/>
      <c r="E5700" s="818"/>
      <c r="F5700" s="1006" t="s">
        <v>131</v>
      </c>
      <c r="G5700" s="863" t="s">
        <v>19365</v>
      </c>
      <c r="H5700" s="222" t="s">
        <v>7613</v>
      </c>
      <c r="I5700" s="222" t="s">
        <v>7613</v>
      </c>
      <c r="J5700" s="183" t="s">
        <v>19366</v>
      </c>
      <c r="K5700" s="183" t="s">
        <v>19366</v>
      </c>
      <c r="L5700" s="613" t="s">
        <v>623</v>
      </c>
      <c r="M5700" s="183">
        <v>2</v>
      </c>
      <c r="N5700" s="183">
        <v>1</v>
      </c>
      <c r="O5700" s="222">
        <v>4</v>
      </c>
      <c r="P5700" s="222">
        <v>0</v>
      </c>
      <c r="Q5700" s="222">
        <v>2</v>
      </c>
      <c r="R5700" s="1195">
        <v>2300</v>
      </c>
      <c r="S5700" s="1195">
        <f>R5700*O5700</f>
        <v>9200</v>
      </c>
      <c r="T5700" s="222" t="s">
        <v>18479</v>
      </c>
      <c r="U5700" s="1527" t="s">
        <v>10016</v>
      </c>
      <c r="V5700" s="222" t="s">
        <v>18608</v>
      </c>
      <c r="W5700" s="2155" t="s">
        <v>19367</v>
      </c>
      <c r="X5700" s="818"/>
      <c r="Y5700" s="1161"/>
    </row>
    <row r="5701" spans="1:52" ht="15.75" hidden="1" customHeight="1" outlineLevel="1">
      <c r="A5701" s="222">
        <v>5710</v>
      </c>
      <c r="B5701" s="858">
        <v>44774</v>
      </c>
      <c r="C5701" s="1132" t="s">
        <v>19368</v>
      </c>
      <c r="D5701" s="11" t="s">
        <v>6</v>
      </c>
      <c r="E5701" s="874" t="s">
        <v>683</v>
      </c>
      <c r="F5701" s="874" t="s">
        <v>10005</v>
      </c>
      <c r="G5701" s="874" t="s">
        <v>19369</v>
      </c>
      <c r="H5701" s="874" t="s">
        <v>2103</v>
      </c>
      <c r="I5701" s="874" t="s">
        <v>2103</v>
      </c>
      <c r="J5701" s="1461" t="s">
        <v>1</v>
      </c>
      <c r="K5701" s="874" t="s">
        <v>19370</v>
      </c>
      <c r="L5701" s="874"/>
      <c r="M5701" s="874">
        <v>2</v>
      </c>
      <c r="N5701" s="874">
        <v>1</v>
      </c>
      <c r="O5701" s="874">
        <v>1</v>
      </c>
      <c r="P5701" s="874">
        <v>0</v>
      </c>
      <c r="Q5701" s="874">
        <v>0</v>
      </c>
      <c r="R5701" s="1744" t="s">
        <v>19371</v>
      </c>
      <c r="S5701" s="1745" t="s">
        <v>19371</v>
      </c>
      <c r="T5701" s="873" t="s">
        <v>4220</v>
      </c>
      <c r="U5701" s="1958" t="s">
        <v>4220</v>
      </c>
      <c r="V5701" s="1840" t="s">
        <v>5604</v>
      </c>
      <c r="W5701" s="2155"/>
      <c r="X5701" s="818"/>
      <c r="Y5701" s="1161"/>
    </row>
    <row r="5702" spans="1:52" ht="15.75" hidden="1" customHeight="1" outlineLevel="1">
      <c r="A5702" s="222">
        <v>5711</v>
      </c>
      <c r="B5702" s="858">
        <v>44774</v>
      </c>
      <c r="C5702" s="1740" t="s">
        <v>19372</v>
      </c>
      <c r="D5702" s="8"/>
      <c r="E5702" s="1746" t="s">
        <v>166</v>
      </c>
      <c r="F5702" s="1750" t="s">
        <v>10651</v>
      </c>
      <c r="G5702" s="1756" t="s">
        <v>19373</v>
      </c>
      <c r="H5702" s="1756" t="s">
        <v>686</v>
      </c>
      <c r="I5702" s="1756" t="s">
        <v>429</v>
      </c>
      <c r="J5702" s="1746"/>
      <c r="K5702" s="1774" t="s">
        <v>17241</v>
      </c>
      <c r="L5702" s="530"/>
      <c r="M5702" s="1750">
        <v>6</v>
      </c>
      <c r="N5702" s="1750">
        <v>1</v>
      </c>
      <c r="O5702" s="1750">
        <v>3</v>
      </c>
      <c r="P5702" s="1750">
        <v>0</v>
      </c>
      <c r="Q5702" s="1750">
        <v>3</v>
      </c>
      <c r="R5702" s="1750">
        <v>135</v>
      </c>
      <c r="S5702" s="1122" t="s">
        <v>19374</v>
      </c>
      <c r="T5702" s="1750" t="s">
        <v>12330</v>
      </c>
      <c r="U5702" s="1994" t="s">
        <v>301</v>
      </c>
      <c r="V5702" s="1847" t="s">
        <v>10656</v>
      </c>
      <c r="W5702" s="1753" t="s">
        <v>19375</v>
      </c>
    </row>
    <row r="5703" spans="1:52" ht="15.75" hidden="1" customHeight="1" outlineLevel="1">
      <c r="A5703" s="222">
        <v>5712</v>
      </c>
      <c r="B5703" s="858">
        <v>44774</v>
      </c>
      <c r="C5703" s="1740" t="s">
        <v>12427</v>
      </c>
      <c r="D5703" s="8"/>
      <c r="E5703" s="1746" t="s">
        <v>166</v>
      </c>
      <c r="F5703" s="1750" t="s">
        <v>10651</v>
      </c>
      <c r="G5703" s="1756" t="s">
        <v>19376</v>
      </c>
      <c r="H5703" s="1756" t="s">
        <v>686</v>
      </c>
      <c r="I5703" s="1757" t="s">
        <v>429</v>
      </c>
      <c r="J5703" s="1747"/>
      <c r="K5703" s="1774" t="s">
        <v>12435</v>
      </c>
      <c r="L5703" s="613"/>
      <c r="M5703" s="1751">
        <v>90</v>
      </c>
      <c r="N5703" s="1751">
        <v>1</v>
      </c>
      <c r="O5703" s="1751">
        <v>45</v>
      </c>
      <c r="P5703" s="1751">
        <v>0</v>
      </c>
      <c r="Q5703" s="1751">
        <v>45</v>
      </c>
      <c r="R5703" s="1751">
        <v>21</v>
      </c>
      <c r="S5703" s="1754">
        <v>2079</v>
      </c>
      <c r="T5703" s="1751" t="s">
        <v>12330</v>
      </c>
      <c r="U5703" s="1995" t="s">
        <v>301</v>
      </c>
      <c r="V5703" s="210" t="s">
        <v>10656</v>
      </c>
      <c r="W5703" s="1556" t="s">
        <v>19377</v>
      </c>
    </row>
    <row r="5704" spans="1:52" ht="15.75" hidden="1" customHeight="1" outlineLevel="1">
      <c r="A5704" s="222">
        <v>5713</v>
      </c>
      <c r="B5704" s="858">
        <v>44774</v>
      </c>
      <c r="C5704" s="1740" t="s">
        <v>19378</v>
      </c>
      <c r="D5704" s="8"/>
      <c r="E5704" s="1746" t="s">
        <v>166</v>
      </c>
      <c r="F5704" s="1752" t="s">
        <v>10651</v>
      </c>
      <c r="G5704" s="1756" t="s">
        <v>19379</v>
      </c>
      <c r="H5704" s="1756" t="s">
        <v>686</v>
      </c>
      <c r="I5704" s="1758" t="s">
        <v>429</v>
      </c>
      <c r="J5704" s="1748"/>
      <c r="K5704" s="1774" t="s">
        <v>19380</v>
      </c>
      <c r="L5704" s="530"/>
      <c r="M5704" s="1752">
        <v>28</v>
      </c>
      <c r="N5704" s="1752">
        <v>1</v>
      </c>
      <c r="O5704" s="1752">
        <v>14</v>
      </c>
      <c r="P5704" s="1752">
        <v>0</v>
      </c>
      <c r="Q5704" s="1752">
        <v>14</v>
      </c>
      <c r="R5704" s="1752">
        <v>65</v>
      </c>
      <c r="S5704" s="1754">
        <v>2002</v>
      </c>
      <c r="T5704" s="1755" t="s">
        <v>12330</v>
      </c>
      <c r="U5704" s="1996" t="s">
        <v>301</v>
      </c>
      <c r="V5704" s="1847" t="s">
        <v>10656</v>
      </c>
      <c r="W5704" s="1556" t="s">
        <v>19381</v>
      </c>
    </row>
    <row r="5705" spans="1:52" s="1768" customFormat="1" ht="15.75" hidden="1" customHeight="1" outlineLevel="1">
      <c r="A5705" s="646">
        <v>5714</v>
      </c>
      <c r="B5705" s="1416">
        <v>44774</v>
      </c>
      <c r="C5705" s="1760" t="s">
        <v>12427</v>
      </c>
      <c r="D5705" s="231"/>
      <c r="E5705" s="1761" t="s">
        <v>166</v>
      </c>
      <c r="F5705" s="1762" t="s">
        <v>10651</v>
      </c>
      <c r="G5705" s="1763" t="s">
        <v>19382</v>
      </c>
      <c r="H5705" s="1763" t="s">
        <v>686</v>
      </c>
      <c r="I5705" s="1764" t="s">
        <v>429</v>
      </c>
      <c r="J5705" s="1765"/>
      <c r="K5705" s="1775" t="s">
        <v>18364</v>
      </c>
      <c r="L5705" s="613"/>
      <c r="M5705" s="1762">
        <v>16</v>
      </c>
      <c r="N5705" s="1762">
        <v>1</v>
      </c>
      <c r="O5705" s="1762">
        <v>10</v>
      </c>
      <c r="P5705" s="1762">
        <v>0</v>
      </c>
      <c r="Q5705" s="1762">
        <v>6</v>
      </c>
      <c r="R5705" s="1762">
        <v>82</v>
      </c>
      <c r="S5705" s="679" t="s">
        <v>19383</v>
      </c>
      <c r="T5705" s="1766" t="s">
        <v>12330</v>
      </c>
      <c r="U5705" s="1997" t="s">
        <v>301</v>
      </c>
      <c r="V5705" s="1848" t="s">
        <v>10656</v>
      </c>
      <c r="W5705" s="1767" t="s">
        <v>18859</v>
      </c>
      <c r="X5705" s="459"/>
      <c r="Y5705" s="459"/>
      <c r="Z5705" s="459"/>
      <c r="AA5705" s="459"/>
      <c r="AB5705" s="459"/>
      <c r="AC5705" s="459"/>
      <c r="AD5705" s="459"/>
      <c r="AE5705" s="459"/>
      <c r="AF5705" s="459"/>
      <c r="AG5705" s="459"/>
      <c r="AH5705" s="459"/>
      <c r="AI5705" s="459"/>
      <c r="AJ5705" s="459"/>
      <c r="AK5705" s="459"/>
      <c r="AL5705" s="459"/>
      <c r="AM5705" s="459"/>
      <c r="AN5705" s="459"/>
      <c r="AO5705" s="459"/>
      <c r="AP5705" s="459"/>
      <c r="AQ5705" s="459"/>
      <c r="AR5705" s="459"/>
      <c r="AS5705" s="459"/>
      <c r="AT5705" s="459"/>
      <c r="AU5705" s="459"/>
      <c r="AV5705" s="459"/>
      <c r="AW5705" s="459"/>
      <c r="AX5705" s="459"/>
      <c r="AY5705" s="459"/>
      <c r="AZ5705" s="459"/>
    </row>
    <row r="5706" spans="1:52" ht="15.75" hidden="1" customHeight="1" outlineLevel="1">
      <c r="A5706" s="222">
        <v>5715</v>
      </c>
      <c r="B5706" s="858">
        <v>44774</v>
      </c>
      <c r="C5706" s="1740" t="s">
        <v>19182</v>
      </c>
      <c r="D5706" s="8"/>
      <c r="E5706" s="1746" t="s">
        <v>166</v>
      </c>
      <c r="F5706" s="1752" t="s">
        <v>10651</v>
      </c>
      <c r="G5706" s="1756" t="s">
        <v>19384</v>
      </c>
      <c r="H5706" s="1756" t="s">
        <v>686</v>
      </c>
      <c r="I5706" s="1757" t="s">
        <v>429</v>
      </c>
      <c r="J5706" s="1747"/>
      <c r="K5706" s="1774" t="s">
        <v>19385</v>
      </c>
      <c r="L5706" s="530"/>
      <c r="M5706" s="1752">
        <v>8</v>
      </c>
      <c r="N5706" s="1752">
        <v>1</v>
      </c>
      <c r="O5706" s="1752">
        <v>8</v>
      </c>
      <c r="P5706" s="1752">
        <v>0</v>
      </c>
      <c r="Q5706" s="1752">
        <v>0</v>
      </c>
      <c r="R5706" s="1752">
        <v>73</v>
      </c>
      <c r="S5706" s="313">
        <v>642</v>
      </c>
      <c r="T5706" s="1751" t="s">
        <v>12330</v>
      </c>
      <c r="U5706" s="1995" t="s">
        <v>301</v>
      </c>
      <c r="V5706" s="210" t="s">
        <v>10656</v>
      </c>
      <c r="W5706" s="1567" t="s">
        <v>19386</v>
      </c>
    </row>
    <row r="5707" spans="1:52" ht="15.75" hidden="1" customHeight="1" outlineLevel="1">
      <c r="A5707" s="222">
        <v>5716</v>
      </c>
      <c r="B5707" s="858">
        <v>44774</v>
      </c>
      <c r="C5707" s="1740" t="s">
        <v>19182</v>
      </c>
      <c r="D5707" s="8"/>
      <c r="E5707" s="1746" t="s">
        <v>166</v>
      </c>
      <c r="F5707" s="1752" t="s">
        <v>10651</v>
      </c>
      <c r="G5707" s="1756" t="s">
        <v>19387</v>
      </c>
      <c r="H5707" s="1756" t="s">
        <v>686</v>
      </c>
      <c r="I5707" s="1757" t="s">
        <v>429</v>
      </c>
      <c r="J5707" s="1747"/>
      <c r="K5707" s="1774" t="s">
        <v>19388</v>
      </c>
      <c r="L5707" s="613"/>
      <c r="M5707" s="1752">
        <v>8</v>
      </c>
      <c r="N5707" s="1752">
        <v>1</v>
      </c>
      <c r="O5707" s="1752">
        <v>8</v>
      </c>
      <c r="P5707" s="1752">
        <v>0</v>
      </c>
      <c r="Q5707" s="1752">
        <v>0</v>
      </c>
      <c r="R5707" s="1752">
        <v>243</v>
      </c>
      <c r="S5707" s="1754">
        <v>2138</v>
      </c>
      <c r="T5707" s="1751" t="s">
        <v>12330</v>
      </c>
      <c r="U5707" s="1995" t="s">
        <v>301</v>
      </c>
      <c r="V5707" s="210" t="s">
        <v>10656</v>
      </c>
      <c r="W5707" s="1556" t="s">
        <v>19389</v>
      </c>
    </row>
    <row r="5708" spans="1:52" ht="15.75" hidden="1" customHeight="1" outlineLevel="1">
      <c r="A5708" s="222">
        <v>5717</v>
      </c>
      <c r="B5708" s="858">
        <v>44774</v>
      </c>
      <c r="C5708" s="1740" t="s">
        <v>19182</v>
      </c>
      <c r="D5708" s="8"/>
      <c r="E5708" s="1746" t="s">
        <v>166</v>
      </c>
      <c r="F5708" s="1752" t="s">
        <v>10651</v>
      </c>
      <c r="G5708" s="1756" t="s">
        <v>19390</v>
      </c>
      <c r="H5708" s="1756" t="s">
        <v>686</v>
      </c>
      <c r="I5708" s="1757" t="s">
        <v>429</v>
      </c>
      <c r="J5708" s="1747"/>
      <c r="K5708" s="1774" t="s">
        <v>19391</v>
      </c>
      <c r="L5708" s="1749" t="s">
        <v>16488</v>
      </c>
      <c r="M5708" s="1752">
        <v>20</v>
      </c>
      <c r="N5708" s="1752">
        <v>1</v>
      </c>
      <c r="O5708" s="1752">
        <v>20</v>
      </c>
      <c r="P5708" s="1752">
        <v>0</v>
      </c>
      <c r="Q5708" s="1752">
        <v>0</v>
      </c>
      <c r="R5708" s="1752">
        <v>30</v>
      </c>
      <c r="S5708" s="313">
        <v>660</v>
      </c>
      <c r="T5708" s="1751" t="s">
        <v>12330</v>
      </c>
      <c r="U5708" s="1995" t="s">
        <v>301</v>
      </c>
      <c r="V5708" s="210" t="s">
        <v>10656</v>
      </c>
      <c r="W5708" s="1556" t="s">
        <v>19392</v>
      </c>
    </row>
    <row r="5709" spans="1:52" ht="15.75" hidden="1" customHeight="1" outlineLevel="1">
      <c r="A5709" s="222">
        <v>5718</v>
      </c>
      <c r="B5709" s="858">
        <v>44774</v>
      </c>
      <c r="C5709" s="1740" t="s">
        <v>12427</v>
      </c>
      <c r="D5709" s="8"/>
      <c r="E5709" s="1746" t="s">
        <v>166</v>
      </c>
      <c r="F5709" s="1752" t="s">
        <v>10651</v>
      </c>
      <c r="G5709" s="1756" t="s">
        <v>19393</v>
      </c>
      <c r="H5709" s="1756" t="s">
        <v>686</v>
      </c>
      <c r="I5709" s="1757" t="s">
        <v>429</v>
      </c>
      <c r="J5709" s="1747"/>
      <c r="K5709" s="1774" t="s">
        <v>9161</v>
      </c>
      <c r="L5709" s="1749" t="s">
        <v>16488</v>
      </c>
      <c r="M5709" s="1752">
        <v>4</v>
      </c>
      <c r="N5709" s="1752">
        <v>1</v>
      </c>
      <c r="O5709" s="1752">
        <v>2</v>
      </c>
      <c r="P5709" s="1752">
        <v>0</v>
      </c>
      <c r="Q5709" s="1752">
        <v>2</v>
      </c>
      <c r="R5709" s="1752" t="s">
        <v>16488</v>
      </c>
      <c r="S5709" s="313">
        <v>326</v>
      </c>
      <c r="T5709" s="1751" t="s">
        <v>12330</v>
      </c>
      <c r="U5709" s="1995" t="s">
        <v>301</v>
      </c>
      <c r="V5709" s="210" t="s">
        <v>10656</v>
      </c>
      <c r="W5709" s="1556" t="s">
        <v>19394</v>
      </c>
    </row>
    <row r="5710" spans="1:52" ht="15.75" hidden="1" customHeight="1" outlineLevel="1">
      <c r="A5710" s="222">
        <v>5719</v>
      </c>
      <c r="B5710" s="858">
        <v>44774</v>
      </c>
      <c r="C5710" s="1740" t="s">
        <v>19182</v>
      </c>
      <c r="D5710" s="8"/>
      <c r="E5710" s="1746" t="s">
        <v>166</v>
      </c>
      <c r="F5710" s="1752" t="s">
        <v>10651</v>
      </c>
      <c r="G5710" s="1756" t="s">
        <v>19395</v>
      </c>
      <c r="H5710" s="1756" t="s">
        <v>686</v>
      </c>
      <c r="I5710" s="1757" t="s">
        <v>429</v>
      </c>
      <c r="J5710" s="1747"/>
      <c r="K5710" s="1774" t="s">
        <v>17505</v>
      </c>
      <c r="L5710" s="1749" t="s">
        <v>16488</v>
      </c>
      <c r="M5710" s="1752">
        <v>8</v>
      </c>
      <c r="N5710" s="1752">
        <v>1</v>
      </c>
      <c r="O5710" s="1752">
        <v>4</v>
      </c>
      <c r="P5710" s="1752">
        <v>0</v>
      </c>
      <c r="Q5710" s="1752">
        <v>4</v>
      </c>
      <c r="R5710" s="1752">
        <v>74</v>
      </c>
      <c r="S5710" s="313">
        <v>651</v>
      </c>
      <c r="T5710" s="1751" t="s">
        <v>12330</v>
      </c>
      <c r="U5710" s="1995" t="s">
        <v>301</v>
      </c>
      <c r="V5710" s="210" t="s">
        <v>10656</v>
      </c>
      <c r="W5710" s="1567" t="s">
        <v>19396</v>
      </c>
    </row>
    <row r="5711" spans="1:52" ht="15.75" hidden="1" customHeight="1" outlineLevel="1">
      <c r="A5711" s="222">
        <v>5720</v>
      </c>
      <c r="B5711" s="858">
        <v>44774</v>
      </c>
      <c r="C5711" s="1740" t="s">
        <v>19397</v>
      </c>
      <c r="D5711" s="8"/>
      <c r="E5711" s="1746" t="s">
        <v>166</v>
      </c>
      <c r="F5711" s="1752" t="s">
        <v>10651</v>
      </c>
      <c r="G5711" s="1130" t="s">
        <v>19398</v>
      </c>
      <c r="H5711" s="1757" t="s">
        <v>429</v>
      </c>
      <c r="I5711" s="1757" t="s">
        <v>429</v>
      </c>
      <c r="J5711" s="1747"/>
      <c r="K5711" s="1774" t="s">
        <v>11279</v>
      </c>
      <c r="L5711" s="1749" t="s">
        <v>16488</v>
      </c>
      <c r="M5711" s="1752">
        <v>8</v>
      </c>
      <c r="N5711" s="1752">
        <v>1</v>
      </c>
      <c r="O5711" s="1752">
        <v>4</v>
      </c>
      <c r="P5711" s="1752">
        <v>0</v>
      </c>
      <c r="Q5711" s="1752">
        <v>4</v>
      </c>
      <c r="R5711" s="1752">
        <v>82</v>
      </c>
      <c r="S5711" s="313">
        <v>722</v>
      </c>
      <c r="T5711" s="1751" t="s">
        <v>12330</v>
      </c>
      <c r="U5711" s="1995" t="s">
        <v>301</v>
      </c>
      <c r="V5711" s="210" t="s">
        <v>10656</v>
      </c>
      <c r="W5711" s="1556" t="s">
        <v>19399</v>
      </c>
    </row>
    <row r="5712" spans="1:52" ht="15.75" hidden="1" customHeight="1" outlineLevel="1">
      <c r="A5712" s="222">
        <v>5721</v>
      </c>
      <c r="B5712" s="858">
        <v>44774</v>
      </c>
      <c r="C5712" s="1740" t="s">
        <v>19397</v>
      </c>
      <c r="D5712" s="8"/>
      <c r="E5712" s="1746" t="s">
        <v>166</v>
      </c>
      <c r="F5712" s="1752" t="s">
        <v>10651</v>
      </c>
      <c r="G5712" s="1130" t="s">
        <v>19400</v>
      </c>
      <c r="H5712" s="1757" t="s">
        <v>429</v>
      </c>
      <c r="I5712" s="1757" t="s">
        <v>429</v>
      </c>
      <c r="J5712" s="1747"/>
      <c r="K5712" s="1774" t="s">
        <v>19401</v>
      </c>
      <c r="L5712" s="1749" t="s">
        <v>16488</v>
      </c>
      <c r="M5712" s="1752">
        <v>8</v>
      </c>
      <c r="N5712" s="1752">
        <v>1</v>
      </c>
      <c r="O5712" s="1752">
        <v>4</v>
      </c>
      <c r="P5712" s="1752">
        <v>0</v>
      </c>
      <c r="Q5712" s="1752">
        <v>4</v>
      </c>
      <c r="R5712" s="1752">
        <v>95</v>
      </c>
      <c r="S5712" s="313">
        <v>836</v>
      </c>
      <c r="T5712" s="1751" t="s">
        <v>12330</v>
      </c>
      <c r="U5712" s="1995" t="s">
        <v>301</v>
      </c>
      <c r="V5712" s="210" t="s">
        <v>10656</v>
      </c>
      <c r="W5712" s="1556" t="s">
        <v>19402</v>
      </c>
    </row>
    <row r="5713" spans="1:25" ht="15.75" hidden="1" customHeight="1" outlineLevel="1">
      <c r="A5713" s="222">
        <v>5722</v>
      </c>
      <c r="B5713" s="858">
        <v>44774</v>
      </c>
      <c r="C5713" s="1740" t="s">
        <v>12427</v>
      </c>
      <c r="D5713" s="8"/>
      <c r="E5713" s="1746" t="s">
        <v>166</v>
      </c>
      <c r="F5713" s="1752" t="s">
        <v>10651</v>
      </c>
      <c r="G5713" s="1756" t="s">
        <v>19403</v>
      </c>
      <c r="H5713" s="1756" t="s">
        <v>686</v>
      </c>
      <c r="I5713" s="1757" t="s">
        <v>429</v>
      </c>
      <c r="J5713" s="1747"/>
      <c r="K5713" s="1774" t="s">
        <v>18364</v>
      </c>
      <c r="L5713" s="1749" t="s">
        <v>16488</v>
      </c>
      <c r="M5713" s="1752">
        <v>32</v>
      </c>
      <c r="N5713" s="1752">
        <v>1</v>
      </c>
      <c r="O5713" s="1752">
        <v>16</v>
      </c>
      <c r="P5713" s="1752">
        <v>0</v>
      </c>
      <c r="Q5713" s="1752">
        <v>16</v>
      </c>
      <c r="R5713" s="1752">
        <v>82</v>
      </c>
      <c r="S5713" s="1754">
        <v>1443</v>
      </c>
      <c r="T5713" s="1751" t="s">
        <v>12330</v>
      </c>
      <c r="U5713" s="1995" t="s">
        <v>301</v>
      </c>
      <c r="V5713" s="210" t="s">
        <v>10656</v>
      </c>
      <c r="W5713" s="1556" t="s">
        <v>19404</v>
      </c>
    </row>
    <row r="5714" spans="1:25" ht="15.75" hidden="1" customHeight="1" outlineLevel="1">
      <c r="A5714" s="222">
        <v>5723</v>
      </c>
      <c r="B5714" s="858">
        <v>44774</v>
      </c>
      <c r="C5714" s="1740" t="s">
        <v>12427</v>
      </c>
      <c r="D5714" s="8"/>
      <c r="E5714" s="1746" t="s">
        <v>166</v>
      </c>
      <c r="F5714" s="1752" t="s">
        <v>10651</v>
      </c>
      <c r="G5714" s="1756" t="s">
        <v>19405</v>
      </c>
      <c r="H5714" s="1756" t="s">
        <v>686</v>
      </c>
      <c r="I5714" s="1757" t="s">
        <v>429</v>
      </c>
      <c r="J5714" s="1747"/>
      <c r="K5714" s="1774" t="s">
        <v>12424</v>
      </c>
      <c r="L5714" s="1749" t="s">
        <v>16488</v>
      </c>
      <c r="M5714" s="1752">
        <v>8</v>
      </c>
      <c r="N5714" s="1752">
        <v>1</v>
      </c>
      <c r="O5714" s="1752">
        <v>4</v>
      </c>
      <c r="P5714" s="1752">
        <v>0</v>
      </c>
      <c r="Q5714" s="1752">
        <v>4</v>
      </c>
      <c r="R5714" s="1752">
        <v>55</v>
      </c>
      <c r="S5714" s="313">
        <v>484</v>
      </c>
      <c r="T5714" s="1751" t="s">
        <v>12330</v>
      </c>
      <c r="U5714" s="1995" t="s">
        <v>301</v>
      </c>
      <c r="V5714" s="210" t="s">
        <v>10656</v>
      </c>
      <c r="W5714" s="1556" t="s">
        <v>19406</v>
      </c>
    </row>
    <row r="5715" spans="1:25" ht="15.75" hidden="1" customHeight="1" outlineLevel="1">
      <c r="A5715" s="222">
        <v>5724</v>
      </c>
      <c r="B5715" s="858">
        <v>44774</v>
      </c>
      <c r="C5715" s="1740" t="s">
        <v>12427</v>
      </c>
      <c r="D5715" s="8"/>
      <c r="E5715" s="1746" t="s">
        <v>166</v>
      </c>
      <c r="F5715" s="1752" t="s">
        <v>10651</v>
      </c>
      <c r="G5715" s="1756" t="s">
        <v>19407</v>
      </c>
      <c r="H5715" s="1756" t="s">
        <v>686</v>
      </c>
      <c r="I5715" s="1757" t="s">
        <v>429</v>
      </c>
      <c r="J5715" s="1747"/>
      <c r="K5715" s="1774" t="s">
        <v>19408</v>
      </c>
      <c r="L5715" s="1749" t="s">
        <v>16488</v>
      </c>
      <c r="M5715" s="1752">
        <v>2</v>
      </c>
      <c r="N5715" s="1752">
        <v>1</v>
      </c>
      <c r="O5715" s="1752">
        <v>1</v>
      </c>
      <c r="P5715" s="1752">
        <v>0</v>
      </c>
      <c r="Q5715" s="1752">
        <v>1</v>
      </c>
      <c r="R5715" s="1752">
        <v>71</v>
      </c>
      <c r="S5715" s="313" t="s">
        <v>19409</v>
      </c>
      <c r="T5715" s="1751" t="s">
        <v>12330</v>
      </c>
      <c r="U5715" s="1995" t="s">
        <v>301</v>
      </c>
      <c r="V5715" s="210" t="s">
        <v>10656</v>
      </c>
      <c r="W5715" s="1759" t="s">
        <v>19410</v>
      </c>
    </row>
    <row r="5716" spans="1:25" ht="15.75" hidden="1" customHeight="1" outlineLevel="1">
      <c r="A5716" s="222">
        <v>5725</v>
      </c>
      <c r="B5716" s="858">
        <v>44774</v>
      </c>
      <c r="C5716" s="1740" t="s">
        <v>12427</v>
      </c>
      <c r="D5716" s="8"/>
      <c r="E5716" s="1746" t="s">
        <v>166</v>
      </c>
      <c r="F5716" s="1752" t="s">
        <v>10651</v>
      </c>
      <c r="G5716" s="1756" t="s">
        <v>19411</v>
      </c>
      <c r="H5716" s="1756" t="s">
        <v>686</v>
      </c>
      <c r="I5716" s="1757" t="s">
        <v>429</v>
      </c>
      <c r="J5716" s="1747"/>
      <c r="K5716" s="1774" t="s">
        <v>16854</v>
      </c>
      <c r="L5716" s="1749" t="s">
        <v>16488</v>
      </c>
      <c r="M5716" s="1752">
        <v>2</v>
      </c>
      <c r="N5716" s="1752">
        <v>1</v>
      </c>
      <c r="O5716" s="1752">
        <v>1</v>
      </c>
      <c r="P5716" s="1752">
        <v>0</v>
      </c>
      <c r="Q5716" s="1752">
        <v>1</v>
      </c>
      <c r="R5716" s="1752">
        <v>138</v>
      </c>
      <c r="S5716" s="313">
        <v>304</v>
      </c>
      <c r="T5716" s="1751" t="s">
        <v>12330</v>
      </c>
      <c r="U5716" s="1995" t="s">
        <v>301</v>
      </c>
      <c r="V5716" s="210" t="s">
        <v>10656</v>
      </c>
      <c r="W5716" s="1556" t="s">
        <v>19412</v>
      </c>
    </row>
    <row r="5717" spans="1:25" ht="15.75" hidden="1" customHeight="1" outlineLevel="1">
      <c r="A5717" s="222">
        <v>5726</v>
      </c>
      <c r="B5717" s="858">
        <v>44774</v>
      </c>
      <c r="C5717" s="1740" t="s">
        <v>4133</v>
      </c>
      <c r="D5717" s="8"/>
      <c r="E5717" s="1746" t="s">
        <v>166</v>
      </c>
      <c r="F5717" s="1752" t="s">
        <v>10651</v>
      </c>
      <c r="G5717" s="1130" t="s">
        <v>19413</v>
      </c>
      <c r="H5717" s="1757" t="s">
        <v>19414</v>
      </c>
      <c r="I5717" s="1757" t="s">
        <v>429</v>
      </c>
      <c r="J5717" s="1747"/>
      <c r="K5717" s="1774" t="s">
        <v>19415</v>
      </c>
      <c r="L5717" s="1749" t="s">
        <v>16488</v>
      </c>
      <c r="M5717" s="1752">
        <v>20</v>
      </c>
      <c r="N5717" s="1752">
        <v>10</v>
      </c>
      <c r="O5717" s="1752">
        <v>10</v>
      </c>
      <c r="P5717" s="1752">
        <v>0</v>
      </c>
      <c r="Q5717" s="1752">
        <v>10</v>
      </c>
      <c r="R5717" s="1752">
        <v>188</v>
      </c>
      <c r="S5717" s="1754">
        <v>3102</v>
      </c>
      <c r="T5717" s="1751" t="s">
        <v>12330</v>
      </c>
      <c r="U5717" s="1995" t="s">
        <v>301</v>
      </c>
      <c r="V5717" s="210" t="s">
        <v>10656</v>
      </c>
      <c r="W5717" s="1567" t="s">
        <v>19416</v>
      </c>
    </row>
    <row r="5718" spans="1:25" ht="15.75" hidden="1" customHeight="1" outlineLevel="1">
      <c r="A5718" s="222">
        <v>5727</v>
      </c>
      <c r="B5718" s="858">
        <v>44774</v>
      </c>
      <c r="C5718" s="1740" t="s">
        <v>4133</v>
      </c>
      <c r="D5718" s="8"/>
      <c r="E5718" s="1746" t="s">
        <v>166</v>
      </c>
      <c r="F5718" s="1752" t="s">
        <v>10651</v>
      </c>
      <c r="G5718" s="1130" t="s">
        <v>19417</v>
      </c>
      <c r="H5718" s="1757"/>
      <c r="I5718" s="1757" t="s">
        <v>84</v>
      </c>
      <c r="J5718" s="1747"/>
      <c r="K5718" s="1737">
        <v>61054395</v>
      </c>
      <c r="L5718" s="1749" t="s">
        <v>16488</v>
      </c>
      <c r="M5718" s="1752">
        <v>15</v>
      </c>
      <c r="N5718" s="1752">
        <v>10</v>
      </c>
      <c r="O5718" s="1752">
        <v>10</v>
      </c>
      <c r="P5718" s="1752">
        <v>0</v>
      </c>
      <c r="Q5718" s="1752">
        <v>5</v>
      </c>
      <c r="R5718" s="1752">
        <v>109</v>
      </c>
      <c r="S5718" s="1754">
        <v>1635</v>
      </c>
      <c r="T5718" s="1751" t="s">
        <v>12330</v>
      </c>
      <c r="U5718" s="1995" t="s">
        <v>301</v>
      </c>
      <c r="V5718" s="210" t="s">
        <v>10656</v>
      </c>
      <c r="W5718" s="1567" t="s">
        <v>19418</v>
      </c>
    </row>
    <row r="5719" spans="1:25" ht="15.75" hidden="1" customHeight="1" outlineLevel="1">
      <c r="A5719" s="222">
        <v>5728</v>
      </c>
      <c r="B5719" s="858">
        <v>44774</v>
      </c>
      <c r="C5719" s="129" t="s">
        <v>19419</v>
      </c>
      <c r="D5719" s="8"/>
      <c r="E5719" s="1746" t="s">
        <v>166</v>
      </c>
      <c r="F5719" s="1006" t="s">
        <v>10651</v>
      </c>
      <c r="G5719" s="1756" t="s">
        <v>19420</v>
      </c>
      <c r="H5719" s="222"/>
      <c r="I5719" s="1757" t="s">
        <v>84</v>
      </c>
      <c r="J5719" s="183"/>
      <c r="K5719" s="183">
        <v>41547475</v>
      </c>
      <c r="L5719" s="613"/>
      <c r="M5719" s="183">
        <v>2</v>
      </c>
      <c r="N5719" s="183">
        <v>1</v>
      </c>
      <c r="O5719" s="222">
        <v>2</v>
      </c>
      <c r="P5719" s="222">
        <v>0</v>
      </c>
      <c r="Q5719" s="222">
        <v>0</v>
      </c>
      <c r="R5719" s="1195">
        <v>409</v>
      </c>
      <c r="S5719" s="1195">
        <v>818</v>
      </c>
      <c r="T5719" s="1751" t="s">
        <v>12330</v>
      </c>
      <c r="U5719" s="1995" t="s">
        <v>301</v>
      </c>
      <c r="V5719" s="210" t="s">
        <v>19421</v>
      </c>
      <c r="W5719" s="2155" t="s">
        <v>19422</v>
      </c>
      <c r="X5719" s="818"/>
      <c r="Y5719" s="1161"/>
    </row>
    <row r="5720" spans="1:25" ht="15.75" hidden="1" customHeight="1" outlineLevel="1">
      <c r="A5720" s="222">
        <v>5729</v>
      </c>
      <c r="B5720" s="858">
        <v>44777</v>
      </c>
      <c r="C5720" s="1132" t="s">
        <v>19423</v>
      </c>
      <c r="D5720" s="11" t="s">
        <v>6</v>
      </c>
      <c r="E5720" s="889" t="s">
        <v>683</v>
      </c>
      <c r="F5720" s="874" t="s">
        <v>10005</v>
      </c>
      <c r="G5720" s="874" t="s">
        <v>19424</v>
      </c>
      <c r="H5720" s="874" t="s">
        <v>166</v>
      </c>
      <c r="I5720" s="874" t="s">
        <v>84</v>
      </c>
      <c r="J5720" s="874">
        <v>41029974</v>
      </c>
      <c r="K5720" s="874" t="s">
        <v>19425</v>
      </c>
      <c r="L5720" s="874" t="s">
        <v>149</v>
      </c>
      <c r="M5720" s="874">
        <v>4</v>
      </c>
      <c r="N5720" s="874">
        <v>1</v>
      </c>
      <c r="O5720" s="874">
        <v>5</v>
      </c>
      <c r="P5720" s="874">
        <v>0</v>
      </c>
      <c r="Q5720" s="874">
        <v>1</v>
      </c>
      <c r="R5720" s="1769" t="s">
        <v>19426</v>
      </c>
      <c r="S5720" s="1673" t="s">
        <v>19427</v>
      </c>
      <c r="T5720" s="873" t="s">
        <v>4220</v>
      </c>
      <c r="U5720" s="1958" t="s">
        <v>4220</v>
      </c>
      <c r="V5720" s="1840" t="s">
        <v>5604</v>
      </c>
      <c r="W5720" s="886" t="s">
        <v>19428</v>
      </c>
      <c r="X5720" s="818"/>
      <c r="Y5720" s="1161"/>
    </row>
    <row r="5721" spans="1:25" ht="15.75" hidden="1" customHeight="1" outlineLevel="1">
      <c r="A5721" s="222">
        <v>5730</v>
      </c>
      <c r="B5721" s="858">
        <v>44777</v>
      </c>
      <c r="C5721" s="1139" t="s">
        <v>19429</v>
      </c>
      <c r="D5721" s="11" t="s">
        <v>6</v>
      </c>
      <c r="E5721" s="889" t="s">
        <v>683</v>
      </c>
      <c r="F5721" s="1041" t="s">
        <v>10005</v>
      </c>
      <c r="G5721" s="1041" t="s">
        <v>19430</v>
      </c>
      <c r="H5721" s="1041" t="s">
        <v>84</v>
      </c>
      <c r="I5721" s="1041" t="s">
        <v>84</v>
      </c>
      <c r="J5721" s="1041">
        <v>7295032</v>
      </c>
      <c r="K5721" s="1041">
        <v>9263</v>
      </c>
      <c r="L5721" s="1041" t="s">
        <v>149</v>
      </c>
      <c r="M5721" s="1041" t="s">
        <v>3070</v>
      </c>
      <c r="N5721" s="1041">
        <v>1</v>
      </c>
      <c r="O5721" s="1041">
        <v>1</v>
      </c>
      <c r="P5721" s="1041">
        <v>0</v>
      </c>
      <c r="Q5721" s="1041">
        <v>0</v>
      </c>
      <c r="R5721" s="1770" t="s">
        <v>18180</v>
      </c>
      <c r="S5721" s="1674" t="s">
        <v>18180</v>
      </c>
      <c r="T5721" s="1128" t="s">
        <v>14509</v>
      </c>
      <c r="U5721" s="1972" t="s">
        <v>4220</v>
      </c>
      <c r="V5721" s="924" t="s">
        <v>5604</v>
      </c>
      <c r="W5721" s="890" t="s">
        <v>19431</v>
      </c>
      <c r="X5721" s="818"/>
      <c r="Y5721" s="1161"/>
    </row>
    <row r="5722" spans="1:25" ht="15.75" hidden="1" customHeight="1" outlineLevel="1">
      <c r="A5722" s="222">
        <v>5731</v>
      </c>
      <c r="B5722" s="858">
        <v>44777</v>
      </c>
      <c r="C5722" s="1139" t="s">
        <v>19432</v>
      </c>
      <c r="D5722" s="11" t="s">
        <v>6</v>
      </c>
      <c r="E5722" s="889" t="s">
        <v>683</v>
      </c>
      <c r="F5722" s="1041" t="s">
        <v>10005</v>
      </c>
      <c r="G5722" s="1041" t="s">
        <v>19433</v>
      </c>
      <c r="H5722" s="1041" t="s">
        <v>19434</v>
      </c>
      <c r="I5722" s="1041" t="s">
        <v>84</v>
      </c>
      <c r="J5722" s="1041">
        <v>309426</v>
      </c>
      <c r="K5722" s="1041">
        <v>4653</v>
      </c>
      <c r="L5722" s="1041" t="s">
        <v>149</v>
      </c>
      <c r="M5722" s="1041">
        <v>2</v>
      </c>
      <c r="N5722" s="1041">
        <v>1</v>
      </c>
      <c r="O5722" s="1041">
        <v>2</v>
      </c>
      <c r="P5722" s="1041">
        <v>0</v>
      </c>
      <c r="Q5722" s="1041">
        <v>0</v>
      </c>
      <c r="R5722" s="1770" t="s">
        <v>19435</v>
      </c>
      <c r="S5722" s="1674" t="s">
        <v>19436</v>
      </c>
      <c r="T5722" s="1128" t="s">
        <v>14509</v>
      </c>
      <c r="U5722" s="1972" t="s">
        <v>4220</v>
      </c>
      <c r="V5722" s="924" t="s">
        <v>5604</v>
      </c>
      <c r="W5722" s="890" t="s">
        <v>19437</v>
      </c>
      <c r="X5722" s="818"/>
      <c r="Y5722" s="1161"/>
    </row>
    <row r="5723" spans="1:25" ht="15.75" hidden="1" customHeight="1" outlineLevel="1">
      <c r="A5723" s="222">
        <v>5732</v>
      </c>
      <c r="B5723" s="858">
        <v>44777</v>
      </c>
      <c r="C5723" s="129" t="s">
        <v>19438</v>
      </c>
      <c r="D5723" s="11" t="s">
        <v>6</v>
      </c>
      <c r="E5723" s="818" t="s">
        <v>19254</v>
      </c>
      <c r="F5723" s="1006" t="s">
        <v>2006</v>
      </c>
      <c r="G5723" s="863" t="s">
        <v>19439</v>
      </c>
      <c r="H5723" s="222" t="s">
        <v>287</v>
      </c>
      <c r="I5723" s="222" t="s">
        <v>287</v>
      </c>
      <c r="J5723" s="183" t="s">
        <v>1</v>
      </c>
      <c r="K5723" s="183" t="s">
        <v>1</v>
      </c>
      <c r="L5723" s="613" t="s">
        <v>1</v>
      </c>
      <c r="M5723" s="183">
        <v>13</v>
      </c>
      <c r="N5723" s="183">
        <v>1</v>
      </c>
      <c r="O5723" s="222">
        <v>15</v>
      </c>
      <c r="P5723" s="222">
        <v>0</v>
      </c>
      <c r="Q5723" s="222">
        <v>2</v>
      </c>
      <c r="R5723" s="1195" t="s">
        <v>1</v>
      </c>
      <c r="S5723" s="1195">
        <v>109551</v>
      </c>
      <c r="T5723" s="222" t="s">
        <v>311</v>
      </c>
      <c r="U5723" s="1527" t="s">
        <v>678</v>
      </c>
      <c r="V5723" s="222" t="s">
        <v>14002</v>
      </c>
      <c r="W5723" s="2155"/>
      <c r="X5723" s="818"/>
      <c r="Y5723" s="1161"/>
    </row>
    <row r="5724" spans="1:25" ht="15.75" hidden="1" customHeight="1" outlineLevel="1">
      <c r="A5724" s="222">
        <v>5733</v>
      </c>
      <c r="B5724" s="858">
        <v>44777</v>
      </c>
      <c r="C5724" s="129" t="s">
        <v>19440</v>
      </c>
      <c r="D5724" s="11" t="s">
        <v>6</v>
      </c>
      <c r="E5724" s="818" t="s">
        <v>19254</v>
      </c>
      <c r="F5724" s="1006" t="s">
        <v>2006</v>
      </c>
      <c r="G5724" s="859" t="s">
        <v>19441</v>
      </c>
      <c r="H5724" s="1193" t="s">
        <v>19442</v>
      </c>
      <c r="I5724" s="222" t="s">
        <v>281</v>
      </c>
      <c r="J5724" s="129" t="s">
        <v>19443</v>
      </c>
      <c r="K5724" s="183" t="s">
        <v>19444</v>
      </c>
      <c r="L5724" s="613" t="s">
        <v>2063</v>
      </c>
      <c r="M5724" s="183">
        <v>13</v>
      </c>
      <c r="N5724" s="183">
        <v>1</v>
      </c>
      <c r="O5724" s="222">
        <v>13</v>
      </c>
      <c r="P5724" s="222">
        <v>0</v>
      </c>
      <c r="Q5724" s="222">
        <v>0</v>
      </c>
      <c r="R5724" s="1195">
        <v>40</v>
      </c>
      <c r="S5724" s="1195">
        <v>520</v>
      </c>
      <c r="T5724" s="222" t="s">
        <v>311</v>
      </c>
      <c r="U5724" s="1527" t="s">
        <v>678</v>
      </c>
      <c r="V5724" s="222" t="s">
        <v>14002</v>
      </c>
      <c r="W5724" s="2155" t="s">
        <v>19445</v>
      </c>
      <c r="X5724" s="818"/>
      <c r="Y5724" s="1161"/>
    </row>
    <row r="5725" spans="1:25" ht="15.75" hidden="1" customHeight="1" outlineLevel="1">
      <c r="A5725" s="222">
        <v>5734</v>
      </c>
      <c r="B5725" s="858">
        <v>44777</v>
      </c>
      <c r="C5725" s="129" t="s">
        <v>19446</v>
      </c>
      <c r="D5725" s="11" t="s">
        <v>6</v>
      </c>
      <c r="E5725" s="818" t="s">
        <v>19254</v>
      </c>
      <c r="F5725" s="1006" t="s">
        <v>2006</v>
      </c>
      <c r="G5725" s="863" t="s">
        <v>19447</v>
      </c>
      <c r="H5725" s="1193" t="s">
        <v>19442</v>
      </c>
      <c r="I5725" s="222" t="s">
        <v>281</v>
      </c>
      <c r="J5725" s="183" t="s">
        <v>19448</v>
      </c>
      <c r="K5725" s="183" t="s">
        <v>19449</v>
      </c>
      <c r="L5725" s="613" t="s">
        <v>2063</v>
      </c>
      <c r="M5725" s="183">
        <v>13</v>
      </c>
      <c r="N5725" s="183">
        <v>1</v>
      </c>
      <c r="O5725" s="222">
        <v>13</v>
      </c>
      <c r="P5725" s="222">
        <v>0</v>
      </c>
      <c r="Q5725" s="222">
        <v>0</v>
      </c>
      <c r="R5725" s="1195">
        <v>63</v>
      </c>
      <c r="S5725" s="1195">
        <v>819</v>
      </c>
      <c r="T5725" s="222" t="s">
        <v>311</v>
      </c>
      <c r="U5725" s="1527" t="s">
        <v>678</v>
      </c>
      <c r="V5725" s="222" t="s">
        <v>14002</v>
      </c>
      <c r="W5725" s="2155" t="s">
        <v>19450</v>
      </c>
      <c r="X5725" s="818"/>
      <c r="Y5725" s="1161"/>
    </row>
    <row r="5726" spans="1:25" ht="15.75" hidden="1" customHeight="1" outlineLevel="1">
      <c r="A5726" s="222">
        <v>5735</v>
      </c>
      <c r="B5726" s="858">
        <v>44777</v>
      </c>
      <c r="C5726" s="129" t="s">
        <v>19451</v>
      </c>
      <c r="D5726" s="11" t="s">
        <v>6</v>
      </c>
      <c r="E5726" s="818" t="s">
        <v>19254</v>
      </c>
      <c r="F5726" s="1006" t="s">
        <v>2006</v>
      </c>
      <c r="G5726" s="863" t="s">
        <v>19452</v>
      </c>
      <c r="H5726" s="222" t="s">
        <v>10376</v>
      </c>
      <c r="I5726" s="222" t="s">
        <v>281</v>
      </c>
      <c r="J5726" s="183" t="s">
        <v>19453</v>
      </c>
      <c r="K5726" s="129" t="s">
        <v>19454</v>
      </c>
      <c r="L5726" s="613" t="s">
        <v>2063</v>
      </c>
      <c r="M5726" s="183">
        <v>104</v>
      </c>
      <c r="N5726" s="183">
        <v>10</v>
      </c>
      <c r="O5726" s="222">
        <v>110</v>
      </c>
      <c r="P5726" s="222">
        <v>0</v>
      </c>
      <c r="Q5726" s="222">
        <v>6</v>
      </c>
      <c r="R5726" s="1195">
        <v>60.9</v>
      </c>
      <c r="S5726" s="1195">
        <v>6699</v>
      </c>
      <c r="T5726" s="222" t="s">
        <v>311</v>
      </c>
      <c r="U5726" s="1527" t="s">
        <v>678</v>
      </c>
      <c r="V5726" s="222" t="s">
        <v>14002</v>
      </c>
      <c r="W5726" s="2155" t="s">
        <v>19455</v>
      </c>
      <c r="X5726" s="818"/>
      <c r="Y5726" s="1161"/>
    </row>
    <row r="5727" spans="1:25" ht="15.75" hidden="1" customHeight="1" outlineLevel="1">
      <c r="A5727" s="222">
        <v>5736</v>
      </c>
      <c r="B5727" s="858">
        <v>44777</v>
      </c>
      <c r="C5727" s="129" t="s">
        <v>19456</v>
      </c>
      <c r="D5727" s="11" t="s">
        <v>6</v>
      </c>
      <c r="E5727" s="818" t="s">
        <v>19254</v>
      </c>
      <c r="F5727" s="1006" t="s">
        <v>2006</v>
      </c>
      <c r="G5727" s="863" t="s">
        <v>19457</v>
      </c>
      <c r="H5727" s="222" t="s">
        <v>10376</v>
      </c>
      <c r="I5727" s="222" t="s">
        <v>281</v>
      </c>
      <c r="J5727" s="129" t="s">
        <v>19458</v>
      </c>
      <c r="K5727" s="183" t="s">
        <v>19459</v>
      </c>
      <c r="L5727" s="613" t="s">
        <v>2063</v>
      </c>
      <c r="M5727" s="183">
        <v>39</v>
      </c>
      <c r="N5727" s="183">
        <v>10</v>
      </c>
      <c r="O5727" s="222">
        <v>40</v>
      </c>
      <c r="P5727" s="222">
        <v>0</v>
      </c>
      <c r="Q5727" s="222">
        <v>1</v>
      </c>
      <c r="R5727" s="1195">
        <v>91.2</v>
      </c>
      <c r="S5727" s="1195">
        <v>3648</v>
      </c>
      <c r="T5727" s="222" t="s">
        <v>311</v>
      </c>
      <c r="U5727" s="1527" t="s">
        <v>678</v>
      </c>
      <c r="V5727" s="222" t="s">
        <v>14002</v>
      </c>
      <c r="W5727" s="2155" t="s">
        <v>19460</v>
      </c>
      <c r="X5727" s="818"/>
      <c r="Y5727" s="1161"/>
    </row>
    <row r="5728" spans="1:25" ht="15.75" hidden="1" customHeight="1" outlineLevel="1">
      <c r="A5728" s="222">
        <v>5737</v>
      </c>
      <c r="B5728" s="858">
        <v>44777</v>
      </c>
      <c r="C5728" s="129" t="s">
        <v>19461</v>
      </c>
      <c r="D5728" s="11" t="s">
        <v>6</v>
      </c>
      <c r="E5728" s="818" t="s">
        <v>19254</v>
      </c>
      <c r="F5728" s="1006" t="s">
        <v>2006</v>
      </c>
      <c r="G5728" s="863" t="s">
        <v>19462</v>
      </c>
      <c r="H5728" s="222" t="s">
        <v>1704</v>
      </c>
      <c r="I5728" s="222" t="s">
        <v>281</v>
      </c>
      <c r="J5728" s="183" t="s">
        <v>19463</v>
      </c>
      <c r="K5728" s="183" t="s">
        <v>19464</v>
      </c>
      <c r="L5728" s="613" t="s">
        <v>5267</v>
      </c>
      <c r="M5728" s="183">
        <v>65</v>
      </c>
      <c r="N5728" s="183">
        <v>10</v>
      </c>
      <c r="O5728" s="222">
        <v>70</v>
      </c>
      <c r="P5728" s="222">
        <v>0</v>
      </c>
      <c r="Q5728" s="222">
        <v>5</v>
      </c>
      <c r="R5728" s="1195">
        <v>18.899999999999999</v>
      </c>
      <c r="S5728" s="1195">
        <v>1323</v>
      </c>
      <c r="T5728" s="222" t="s">
        <v>311</v>
      </c>
      <c r="U5728" s="1527" t="s">
        <v>678</v>
      </c>
      <c r="V5728" s="222" t="s">
        <v>14002</v>
      </c>
      <c r="W5728" s="2155" t="s">
        <v>19465</v>
      </c>
      <c r="X5728" s="818"/>
      <c r="Y5728" s="1161"/>
    </row>
    <row r="5729" spans="1:25" ht="15.75" hidden="1" customHeight="1" outlineLevel="1">
      <c r="A5729" s="222">
        <v>5738</v>
      </c>
      <c r="B5729" s="858">
        <v>44777</v>
      </c>
      <c r="C5729" s="129" t="s">
        <v>19466</v>
      </c>
      <c r="D5729" s="11" t="s">
        <v>6</v>
      </c>
      <c r="E5729" s="818" t="s">
        <v>19254</v>
      </c>
      <c r="F5729" s="1006" t="s">
        <v>2006</v>
      </c>
      <c r="G5729" s="859" t="s">
        <v>19467</v>
      </c>
      <c r="H5729" s="222" t="s">
        <v>1704</v>
      </c>
      <c r="I5729" s="222" t="s">
        <v>281</v>
      </c>
      <c r="J5729" s="183" t="s">
        <v>19468</v>
      </c>
      <c r="K5729" s="183" t="s">
        <v>19469</v>
      </c>
      <c r="L5729" s="613" t="s">
        <v>5267</v>
      </c>
      <c r="M5729" s="183">
        <v>26</v>
      </c>
      <c r="N5729" s="183">
        <v>10</v>
      </c>
      <c r="O5729" s="222">
        <v>30</v>
      </c>
      <c r="P5729" s="222">
        <v>0</v>
      </c>
      <c r="Q5729" s="222">
        <v>4</v>
      </c>
      <c r="R5729" s="1195">
        <v>25.2</v>
      </c>
      <c r="S5729" s="1195">
        <v>756</v>
      </c>
      <c r="T5729" s="222" t="s">
        <v>311</v>
      </c>
      <c r="U5729" s="1527" t="s">
        <v>678</v>
      </c>
      <c r="V5729" s="222" t="s">
        <v>14002</v>
      </c>
      <c r="W5729" s="2155" t="s">
        <v>19470</v>
      </c>
      <c r="X5729" s="818"/>
      <c r="Y5729" s="1161"/>
    </row>
    <row r="5730" spans="1:25" ht="15.75" hidden="1" customHeight="1" outlineLevel="1">
      <c r="A5730" s="222">
        <v>5739</v>
      </c>
      <c r="B5730" s="858">
        <v>44777</v>
      </c>
      <c r="C5730" s="129" t="s">
        <v>19471</v>
      </c>
      <c r="D5730" s="11" t="s">
        <v>6</v>
      </c>
      <c r="E5730" s="818" t="s">
        <v>19254</v>
      </c>
      <c r="F5730" s="1006" t="s">
        <v>2006</v>
      </c>
      <c r="G5730" s="859" t="s">
        <v>19472</v>
      </c>
      <c r="H5730" s="1193" t="s">
        <v>19473</v>
      </c>
      <c r="I5730" s="222" t="s">
        <v>281</v>
      </c>
      <c r="J5730" s="183" t="s">
        <v>19474</v>
      </c>
      <c r="K5730" s="129" t="s">
        <v>19475</v>
      </c>
      <c r="L5730" s="613" t="s">
        <v>5267</v>
      </c>
      <c r="M5730" s="183">
        <v>13</v>
      </c>
      <c r="N5730" s="183">
        <v>10</v>
      </c>
      <c r="O5730" s="222">
        <v>20</v>
      </c>
      <c r="P5730" s="222">
        <v>0</v>
      </c>
      <c r="Q5730" s="222">
        <v>7</v>
      </c>
      <c r="R5730" s="1195">
        <v>19</v>
      </c>
      <c r="S5730" s="1195">
        <v>380</v>
      </c>
      <c r="T5730" s="222" t="s">
        <v>311</v>
      </c>
      <c r="U5730" s="1527" t="s">
        <v>678</v>
      </c>
      <c r="V5730" s="222" t="s">
        <v>14002</v>
      </c>
      <c r="W5730" s="2155" t="s">
        <v>19476</v>
      </c>
      <c r="X5730" s="818"/>
      <c r="Y5730" s="1161"/>
    </row>
    <row r="5731" spans="1:25" ht="15.75" hidden="1" customHeight="1" outlineLevel="1">
      <c r="A5731" s="222">
        <v>5740</v>
      </c>
      <c r="B5731" s="858">
        <v>44777</v>
      </c>
      <c r="C5731" s="129" t="s">
        <v>19477</v>
      </c>
      <c r="D5731" s="11" t="s">
        <v>6</v>
      </c>
      <c r="E5731" s="818" t="s">
        <v>19254</v>
      </c>
      <c r="F5731" s="1006" t="s">
        <v>2006</v>
      </c>
      <c r="G5731" s="859" t="s">
        <v>19478</v>
      </c>
      <c r="H5731" s="1193" t="s">
        <v>19479</v>
      </c>
      <c r="I5731" s="222" t="s">
        <v>281</v>
      </c>
      <c r="J5731" s="183" t="s">
        <v>19480</v>
      </c>
      <c r="K5731" s="129" t="s">
        <v>19481</v>
      </c>
      <c r="L5731" s="613" t="s">
        <v>5267</v>
      </c>
      <c r="M5731" s="183">
        <v>13</v>
      </c>
      <c r="N5731" s="183">
        <v>10</v>
      </c>
      <c r="O5731" s="222">
        <v>20</v>
      </c>
      <c r="P5731" s="222">
        <v>0</v>
      </c>
      <c r="Q5731" s="222">
        <v>7</v>
      </c>
      <c r="R5731" s="1195">
        <v>18.600000000000001</v>
      </c>
      <c r="S5731" s="1195">
        <v>372</v>
      </c>
      <c r="T5731" s="222" t="s">
        <v>311</v>
      </c>
      <c r="U5731" s="1527" t="s">
        <v>678</v>
      </c>
      <c r="V5731" s="222" t="s">
        <v>14002</v>
      </c>
      <c r="W5731" s="2155" t="s">
        <v>19482</v>
      </c>
      <c r="X5731" s="818"/>
      <c r="Y5731" s="1161"/>
    </row>
    <row r="5732" spans="1:25" ht="15.75" hidden="1" customHeight="1" outlineLevel="1">
      <c r="A5732" s="222">
        <v>5741</v>
      </c>
      <c r="B5732" s="858">
        <v>44777</v>
      </c>
      <c r="C5732" s="129" t="s">
        <v>19483</v>
      </c>
      <c r="D5732" s="11" t="s">
        <v>6</v>
      </c>
      <c r="E5732" s="818" t="s">
        <v>19254</v>
      </c>
      <c r="F5732" s="1006" t="s">
        <v>2006</v>
      </c>
      <c r="G5732" s="859" t="s">
        <v>19484</v>
      </c>
      <c r="H5732" s="222" t="s">
        <v>1704</v>
      </c>
      <c r="I5732" s="222" t="s">
        <v>281</v>
      </c>
      <c r="J5732" s="183" t="s">
        <v>19485</v>
      </c>
      <c r="K5732" s="183" t="s">
        <v>19486</v>
      </c>
      <c r="L5732" s="613" t="s">
        <v>5267</v>
      </c>
      <c r="M5732" s="183">
        <v>13</v>
      </c>
      <c r="N5732" s="183">
        <v>10</v>
      </c>
      <c r="O5732" s="222">
        <v>20</v>
      </c>
      <c r="P5732" s="222">
        <v>0</v>
      </c>
      <c r="Q5732" s="222">
        <v>7</v>
      </c>
      <c r="R5732" s="1195">
        <v>14</v>
      </c>
      <c r="S5732" s="1195">
        <v>280</v>
      </c>
      <c r="T5732" s="222" t="s">
        <v>311</v>
      </c>
      <c r="U5732" s="1527" t="s">
        <v>678</v>
      </c>
      <c r="V5732" s="222" t="s">
        <v>14002</v>
      </c>
      <c r="W5732" s="2155" t="s">
        <v>19487</v>
      </c>
      <c r="X5732" s="818"/>
      <c r="Y5732" s="1161"/>
    </row>
    <row r="5733" spans="1:25" ht="15.75" hidden="1" customHeight="1" outlineLevel="1">
      <c r="A5733" s="222">
        <v>5742</v>
      </c>
      <c r="B5733" s="858">
        <v>44777</v>
      </c>
      <c r="C5733" s="129" t="s">
        <v>19488</v>
      </c>
      <c r="D5733" s="11" t="s">
        <v>6</v>
      </c>
      <c r="E5733" s="818" t="s">
        <v>19254</v>
      </c>
      <c r="F5733" s="1006" t="s">
        <v>2006</v>
      </c>
      <c r="G5733" s="863" t="s">
        <v>19489</v>
      </c>
      <c r="H5733" s="222" t="s">
        <v>1853</v>
      </c>
      <c r="I5733" s="222" t="s">
        <v>281</v>
      </c>
      <c r="J5733" s="183" t="s">
        <v>19490</v>
      </c>
      <c r="K5733" s="183" t="s">
        <v>19491</v>
      </c>
      <c r="L5733" s="613" t="s">
        <v>5267</v>
      </c>
      <c r="M5733" s="183">
        <v>13</v>
      </c>
      <c r="N5733" s="183">
        <v>10</v>
      </c>
      <c r="O5733" s="222">
        <v>20</v>
      </c>
      <c r="P5733" s="222">
        <v>0</v>
      </c>
      <c r="Q5733" s="222">
        <v>7</v>
      </c>
      <c r="R5733" s="1195">
        <v>30.5</v>
      </c>
      <c r="S5733" s="1195">
        <v>610</v>
      </c>
      <c r="T5733" s="222" t="s">
        <v>311</v>
      </c>
      <c r="U5733" s="1527" t="s">
        <v>678</v>
      </c>
      <c r="V5733" s="222" t="s">
        <v>14002</v>
      </c>
      <c r="W5733" s="2155" t="s">
        <v>19492</v>
      </c>
      <c r="X5733" s="818"/>
      <c r="Y5733" s="1161"/>
    </row>
    <row r="5734" spans="1:25" ht="15.75" hidden="1" customHeight="1" outlineLevel="1">
      <c r="A5734" s="222">
        <v>5743</v>
      </c>
      <c r="B5734" s="858">
        <v>44777</v>
      </c>
      <c r="C5734" s="129" t="s">
        <v>19493</v>
      </c>
      <c r="D5734" s="11" t="s">
        <v>6</v>
      </c>
      <c r="E5734" s="818" t="s">
        <v>19254</v>
      </c>
      <c r="F5734" s="1006" t="s">
        <v>2006</v>
      </c>
      <c r="G5734" s="863" t="s">
        <v>19494</v>
      </c>
      <c r="H5734" s="1193" t="s">
        <v>19495</v>
      </c>
      <c r="I5734" s="222" t="s">
        <v>281</v>
      </c>
      <c r="J5734" s="183" t="s">
        <v>19496</v>
      </c>
      <c r="K5734" s="183" t="s">
        <v>19497</v>
      </c>
      <c r="L5734" s="613" t="s">
        <v>5267</v>
      </c>
      <c r="M5734" s="183">
        <v>13</v>
      </c>
      <c r="N5734" s="183">
        <v>10</v>
      </c>
      <c r="O5734" s="222">
        <v>20</v>
      </c>
      <c r="P5734" s="222">
        <v>0</v>
      </c>
      <c r="Q5734" s="222">
        <v>7</v>
      </c>
      <c r="R5734" s="1195">
        <v>35.700000000000003</v>
      </c>
      <c r="S5734" s="1195">
        <v>714</v>
      </c>
      <c r="T5734" s="222" t="s">
        <v>311</v>
      </c>
      <c r="U5734" s="1527" t="s">
        <v>678</v>
      </c>
      <c r="V5734" s="222" t="s">
        <v>14002</v>
      </c>
      <c r="W5734" s="2155" t="s">
        <v>19498</v>
      </c>
      <c r="X5734" s="818"/>
      <c r="Y5734" s="1161"/>
    </row>
    <row r="5735" spans="1:25" ht="15.75" hidden="1" customHeight="1" outlineLevel="1">
      <c r="A5735" s="222">
        <v>5744</v>
      </c>
      <c r="B5735" s="858">
        <v>44777</v>
      </c>
      <c r="C5735" s="129" t="s">
        <v>19499</v>
      </c>
      <c r="D5735" s="11" t="s">
        <v>6</v>
      </c>
      <c r="E5735" s="818" t="s">
        <v>19254</v>
      </c>
      <c r="F5735" s="1006" t="s">
        <v>2006</v>
      </c>
      <c r="G5735" s="863" t="s">
        <v>19500</v>
      </c>
      <c r="H5735" s="222" t="s">
        <v>19501</v>
      </c>
      <c r="I5735" s="222" t="s">
        <v>281</v>
      </c>
      <c r="J5735" s="183" t="s">
        <v>19502</v>
      </c>
      <c r="K5735" s="183" t="s">
        <v>19503</v>
      </c>
      <c r="L5735" s="613" t="s">
        <v>5267</v>
      </c>
      <c r="M5735" s="183">
        <v>13</v>
      </c>
      <c r="N5735" s="183">
        <v>10</v>
      </c>
      <c r="O5735" s="222">
        <v>20</v>
      </c>
      <c r="P5735" s="222">
        <v>0</v>
      </c>
      <c r="Q5735" s="222">
        <v>7</v>
      </c>
      <c r="R5735" s="1195">
        <v>32.6</v>
      </c>
      <c r="S5735" s="1195">
        <v>652</v>
      </c>
      <c r="T5735" s="222" t="s">
        <v>311</v>
      </c>
      <c r="U5735" s="1527" t="s">
        <v>678</v>
      </c>
      <c r="V5735" s="222" t="s">
        <v>14002</v>
      </c>
      <c r="W5735" s="2155" t="s">
        <v>19504</v>
      </c>
      <c r="X5735" s="818"/>
      <c r="Y5735" s="1161"/>
    </row>
    <row r="5736" spans="1:25" ht="15.75" hidden="1" customHeight="1" outlineLevel="1">
      <c r="A5736" s="222">
        <v>5745</v>
      </c>
      <c r="B5736" s="858">
        <v>44777</v>
      </c>
      <c r="C5736" s="129" t="s">
        <v>19505</v>
      </c>
      <c r="D5736" s="11" t="s">
        <v>6</v>
      </c>
      <c r="E5736" s="818" t="s">
        <v>19254</v>
      </c>
      <c r="F5736" s="1006" t="s">
        <v>2006</v>
      </c>
      <c r="G5736" s="863" t="s">
        <v>9916</v>
      </c>
      <c r="H5736" s="222" t="s">
        <v>1059</v>
      </c>
      <c r="I5736" s="222" t="s">
        <v>281</v>
      </c>
      <c r="J5736" s="183" t="s">
        <v>9917</v>
      </c>
      <c r="K5736" s="183" t="s">
        <v>9918</v>
      </c>
      <c r="L5736" s="613" t="s">
        <v>2063</v>
      </c>
      <c r="M5736" s="183">
        <v>13</v>
      </c>
      <c r="N5736" s="183">
        <v>10</v>
      </c>
      <c r="O5736" s="222">
        <v>20</v>
      </c>
      <c r="P5736" s="222">
        <v>0</v>
      </c>
      <c r="Q5736" s="222">
        <v>7</v>
      </c>
      <c r="R5736" s="1195">
        <v>96.5</v>
      </c>
      <c r="S5736" s="1195">
        <v>1930</v>
      </c>
      <c r="T5736" s="222" t="s">
        <v>311</v>
      </c>
      <c r="U5736" s="1527" t="s">
        <v>678</v>
      </c>
      <c r="V5736" s="222" t="s">
        <v>14002</v>
      </c>
      <c r="W5736" s="2155" t="s">
        <v>19506</v>
      </c>
      <c r="X5736" s="818"/>
      <c r="Y5736" s="1161"/>
    </row>
    <row r="5737" spans="1:25" ht="15.75" hidden="1" customHeight="1" outlineLevel="1">
      <c r="A5737" s="222">
        <v>5746</v>
      </c>
      <c r="B5737" s="858">
        <v>44778</v>
      </c>
      <c r="C5737" s="1123" t="s">
        <v>18939</v>
      </c>
      <c r="D5737" s="11" t="s">
        <v>6</v>
      </c>
      <c r="E5737" s="874" t="s">
        <v>18885</v>
      </c>
      <c r="F5737" s="1039" t="s">
        <v>10005</v>
      </c>
      <c r="G5737" s="1039" t="s">
        <v>10011</v>
      </c>
      <c r="H5737" s="1039" t="s">
        <v>18144</v>
      </c>
      <c r="I5737" s="1039" t="s">
        <v>2103</v>
      </c>
      <c r="J5737" s="1771" t="s">
        <v>1</v>
      </c>
      <c r="K5737" s="426" t="s">
        <v>19507</v>
      </c>
      <c r="L5737" s="1039" t="s">
        <v>149</v>
      </c>
      <c r="M5737" s="1039">
        <v>6</v>
      </c>
      <c r="N5737" s="1039">
        <v>1</v>
      </c>
      <c r="O5737" s="1039">
        <v>10</v>
      </c>
      <c r="P5737" s="1039">
        <v>2</v>
      </c>
      <c r="Q5737" s="873">
        <v>6</v>
      </c>
      <c r="R5737" s="873" t="s">
        <v>19508</v>
      </c>
      <c r="S5737" s="1772" t="s">
        <v>19509</v>
      </c>
      <c r="T5737" s="873" t="s">
        <v>14509</v>
      </c>
      <c r="U5737" s="1969" t="s">
        <v>4220</v>
      </c>
      <c r="V5737" s="54" t="s">
        <v>689</v>
      </c>
      <c r="W5737" s="898" t="s">
        <v>19510</v>
      </c>
      <c r="X5737" s="818"/>
      <c r="Y5737" s="1161"/>
    </row>
    <row r="5738" spans="1:25" ht="15.75" hidden="1" customHeight="1" outlineLevel="1">
      <c r="A5738" s="222">
        <v>5747</v>
      </c>
      <c r="B5738" s="858">
        <v>44778</v>
      </c>
      <c r="C5738" s="1139" t="s">
        <v>19511</v>
      </c>
      <c r="D5738" s="11" t="s">
        <v>6</v>
      </c>
      <c r="E5738" s="1041" t="s">
        <v>4951</v>
      </c>
      <c r="F5738" s="1040" t="s">
        <v>10005</v>
      </c>
      <c r="G5738" s="1041" t="s">
        <v>19512</v>
      </c>
      <c r="H5738" s="1041" t="s">
        <v>19513</v>
      </c>
      <c r="I5738" s="1041" t="s">
        <v>2103</v>
      </c>
      <c r="J5738" s="1041" t="s">
        <v>16488</v>
      </c>
      <c r="K5738" s="1041" t="s">
        <v>19514</v>
      </c>
      <c r="L5738" s="1041" t="s">
        <v>149</v>
      </c>
      <c r="M5738" s="1041">
        <v>2</v>
      </c>
      <c r="N5738" s="1041">
        <v>1</v>
      </c>
      <c r="O5738" s="1041">
        <v>2</v>
      </c>
      <c r="P5738" s="1041">
        <v>0</v>
      </c>
      <c r="Q5738" s="1041">
        <v>0</v>
      </c>
      <c r="R5738" s="1128" t="s">
        <v>19515</v>
      </c>
      <c r="S5738" s="1773" t="s">
        <v>19516</v>
      </c>
      <c r="T5738" s="1128" t="s">
        <v>14509</v>
      </c>
      <c r="U5738" s="1972" t="s">
        <v>4220</v>
      </c>
      <c r="V5738" s="54" t="s">
        <v>689</v>
      </c>
      <c r="W5738" s="886" t="s">
        <v>19517</v>
      </c>
      <c r="X5738" s="818"/>
      <c r="Y5738" s="1161"/>
    </row>
    <row r="5739" spans="1:25" ht="15.75" hidden="1" customHeight="1" outlineLevel="1">
      <c r="A5739" s="222">
        <v>5748</v>
      </c>
      <c r="B5739" s="858">
        <v>44778</v>
      </c>
      <c r="C5739" s="129" t="s">
        <v>16894</v>
      </c>
      <c r="D5739" s="8"/>
      <c r="E5739" s="818" t="s">
        <v>17683</v>
      </c>
      <c r="F5739" s="1006" t="s">
        <v>10651</v>
      </c>
      <c r="G5739" s="222" t="s">
        <v>19518</v>
      </c>
      <c r="H5739" s="183" t="s">
        <v>429</v>
      </c>
      <c r="I5739" s="183" t="s">
        <v>429</v>
      </c>
      <c r="J5739" s="183"/>
      <c r="K5739" s="613" t="s">
        <v>19519</v>
      </c>
      <c r="L5739" s="613"/>
      <c r="M5739" s="183">
        <v>1</v>
      </c>
      <c r="N5739" s="183">
        <v>1</v>
      </c>
      <c r="O5739" s="222">
        <v>1</v>
      </c>
      <c r="P5739" s="222">
        <v>0</v>
      </c>
      <c r="Q5739" s="222">
        <v>0</v>
      </c>
      <c r="R5739" s="1195">
        <v>2794</v>
      </c>
      <c r="S5739" s="1195">
        <v>2794</v>
      </c>
      <c r="T5739" s="222" t="s">
        <v>12425</v>
      </c>
      <c r="U5739" s="1527" t="s">
        <v>19180</v>
      </c>
      <c r="V5739" s="54" t="s">
        <v>11676</v>
      </c>
      <c r="W5739" s="2155" t="s">
        <v>16215</v>
      </c>
      <c r="X5739" s="818" t="s">
        <v>19520</v>
      </c>
      <c r="Y5739" s="1161"/>
    </row>
    <row r="5740" spans="1:25" ht="15.75" hidden="1" customHeight="1" outlineLevel="1">
      <c r="A5740" s="222">
        <v>5749</v>
      </c>
      <c r="B5740" s="858">
        <v>44778</v>
      </c>
      <c r="C5740" s="129" t="s">
        <v>16894</v>
      </c>
      <c r="D5740" s="8"/>
      <c r="E5740" s="818" t="s">
        <v>17683</v>
      </c>
      <c r="F5740" s="1006" t="s">
        <v>10651</v>
      </c>
      <c r="G5740" s="222" t="s">
        <v>19521</v>
      </c>
      <c r="H5740" s="183" t="s">
        <v>429</v>
      </c>
      <c r="I5740" s="183" t="s">
        <v>429</v>
      </c>
      <c r="J5740" s="183"/>
      <c r="K5740" s="613" t="s">
        <v>19522</v>
      </c>
      <c r="L5740" s="613"/>
      <c r="M5740" s="183">
        <v>1</v>
      </c>
      <c r="N5740" s="183">
        <v>1</v>
      </c>
      <c r="O5740" s="222">
        <v>1</v>
      </c>
      <c r="P5740" s="222">
        <v>0</v>
      </c>
      <c r="Q5740" s="222">
        <v>0</v>
      </c>
      <c r="R5740" s="1195">
        <v>748</v>
      </c>
      <c r="S5740" s="1195">
        <v>748</v>
      </c>
      <c r="T5740" s="222" t="s">
        <v>12425</v>
      </c>
      <c r="U5740" s="1527" t="s">
        <v>19180</v>
      </c>
      <c r="V5740" s="54" t="s">
        <v>11676</v>
      </c>
      <c r="W5740" s="2155" t="s">
        <v>16215</v>
      </c>
      <c r="X5740" s="818" t="s">
        <v>19520</v>
      </c>
      <c r="Y5740" s="1161"/>
    </row>
    <row r="5741" spans="1:25" ht="15.75" hidden="1" customHeight="1" outlineLevel="1">
      <c r="A5741" s="222">
        <v>5750</v>
      </c>
      <c r="B5741" s="858">
        <v>44778</v>
      </c>
      <c r="C5741" s="129" t="s">
        <v>2621</v>
      </c>
      <c r="D5741" s="8"/>
      <c r="E5741" s="818" t="s">
        <v>17683</v>
      </c>
      <c r="F5741" s="1006" t="s">
        <v>10651</v>
      </c>
      <c r="G5741" s="863" t="s">
        <v>19523</v>
      </c>
      <c r="H5741" s="222" t="s">
        <v>468</v>
      </c>
      <c r="I5741" s="183" t="s">
        <v>429</v>
      </c>
      <c r="J5741" s="183"/>
      <c r="K5741" s="183" t="s">
        <v>3987</v>
      </c>
      <c r="L5741" s="613"/>
      <c r="M5741" s="183">
        <v>10</v>
      </c>
      <c r="N5741" s="183">
        <v>50</v>
      </c>
      <c r="O5741" s="222">
        <v>50</v>
      </c>
      <c r="P5741" s="222">
        <v>0</v>
      </c>
      <c r="Q5741" s="222">
        <v>40</v>
      </c>
      <c r="R5741" s="1195">
        <v>13</v>
      </c>
      <c r="S5741" s="1195">
        <v>660</v>
      </c>
      <c r="T5741" s="222" t="s">
        <v>12425</v>
      </c>
      <c r="U5741" s="1527" t="s">
        <v>19180</v>
      </c>
      <c r="V5741" s="54" t="s">
        <v>11676</v>
      </c>
      <c r="W5741" s="2155" t="s">
        <v>19524</v>
      </c>
      <c r="X5741" s="818"/>
      <c r="Y5741" s="1161"/>
    </row>
    <row r="5742" spans="1:25" ht="15.75" hidden="1" customHeight="1" outlineLevel="1">
      <c r="A5742" s="222">
        <v>5751</v>
      </c>
      <c r="B5742" s="858">
        <v>44778</v>
      </c>
      <c r="C5742" s="129" t="s">
        <v>2621</v>
      </c>
      <c r="D5742" s="8"/>
      <c r="E5742" s="818" t="s">
        <v>17683</v>
      </c>
      <c r="F5742" s="1006" t="s">
        <v>10651</v>
      </c>
      <c r="G5742" s="863" t="s">
        <v>19525</v>
      </c>
      <c r="H5742" s="222" t="s">
        <v>468</v>
      </c>
      <c r="I5742" s="183" t="s">
        <v>429</v>
      </c>
      <c r="J5742" s="183"/>
      <c r="K5742" s="183" t="s">
        <v>19526</v>
      </c>
      <c r="L5742" s="613"/>
      <c r="M5742" s="183">
        <v>10</v>
      </c>
      <c r="N5742" s="183">
        <v>50</v>
      </c>
      <c r="O5742" s="222">
        <v>50</v>
      </c>
      <c r="P5742" s="222">
        <v>0</v>
      </c>
      <c r="Q5742" s="222">
        <v>40</v>
      </c>
      <c r="R5742" s="1195">
        <v>14</v>
      </c>
      <c r="S5742" s="1195">
        <v>715</v>
      </c>
      <c r="T5742" s="222" t="s">
        <v>12425</v>
      </c>
      <c r="U5742" s="1527" t="s">
        <v>19180</v>
      </c>
      <c r="V5742" s="54" t="s">
        <v>11676</v>
      </c>
      <c r="W5742" s="2155" t="s">
        <v>19527</v>
      </c>
      <c r="X5742" s="818"/>
      <c r="Y5742" s="1161"/>
    </row>
    <row r="5743" spans="1:25" ht="15.75" hidden="1" customHeight="1" outlineLevel="1">
      <c r="A5743" s="222">
        <v>5752</v>
      </c>
      <c r="B5743" s="858">
        <v>44778</v>
      </c>
      <c r="C5743" s="129" t="s">
        <v>2621</v>
      </c>
      <c r="D5743" s="8"/>
      <c r="E5743" s="818" t="s">
        <v>17683</v>
      </c>
      <c r="F5743" s="1006" t="s">
        <v>10651</v>
      </c>
      <c r="G5743" s="863" t="s">
        <v>19528</v>
      </c>
      <c r="H5743" s="222" t="s">
        <v>468</v>
      </c>
      <c r="I5743" s="183" t="s">
        <v>429</v>
      </c>
      <c r="J5743" s="183"/>
      <c r="K5743" s="183" t="s">
        <v>9196</v>
      </c>
      <c r="L5743" s="613"/>
      <c r="M5743" s="183">
        <v>8</v>
      </c>
      <c r="N5743" s="183">
        <v>50</v>
      </c>
      <c r="O5743" s="222">
        <v>50</v>
      </c>
      <c r="P5743" s="222">
        <v>0</v>
      </c>
      <c r="Q5743" s="222">
        <v>42</v>
      </c>
      <c r="R5743" s="1195">
        <v>13</v>
      </c>
      <c r="S5743" s="1195">
        <v>660</v>
      </c>
      <c r="T5743" s="222" t="s">
        <v>12425</v>
      </c>
      <c r="U5743" s="1527" t="s">
        <v>19180</v>
      </c>
      <c r="V5743" s="54" t="s">
        <v>11676</v>
      </c>
      <c r="W5743" s="2155" t="s">
        <v>19529</v>
      </c>
      <c r="X5743" s="818"/>
      <c r="Y5743" s="1161"/>
    </row>
    <row r="5744" spans="1:25" ht="15.75" hidden="1" customHeight="1" outlineLevel="1">
      <c r="A5744" s="222">
        <v>5753</v>
      </c>
      <c r="B5744" s="858">
        <v>44778</v>
      </c>
      <c r="C5744" s="129" t="s">
        <v>2621</v>
      </c>
      <c r="D5744" s="8"/>
      <c r="E5744" s="818" t="s">
        <v>17683</v>
      </c>
      <c r="F5744" s="1006" t="s">
        <v>10651</v>
      </c>
      <c r="G5744" s="863" t="s">
        <v>19530</v>
      </c>
      <c r="H5744" s="222" t="s">
        <v>468</v>
      </c>
      <c r="I5744" s="183" t="s">
        <v>429</v>
      </c>
      <c r="J5744" s="183"/>
      <c r="K5744" s="183" t="s">
        <v>9231</v>
      </c>
      <c r="L5744" s="613"/>
      <c r="M5744" s="183">
        <v>6</v>
      </c>
      <c r="N5744" s="183">
        <v>50</v>
      </c>
      <c r="O5744" s="222">
        <v>50</v>
      </c>
      <c r="P5744" s="222">
        <v>0</v>
      </c>
      <c r="Q5744" s="222">
        <v>44</v>
      </c>
      <c r="R5744" s="1195">
        <v>14.3</v>
      </c>
      <c r="S5744" s="1195">
        <v>715</v>
      </c>
      <c r="T5744" s="222" t="s">
        <v>12425</v>
      </c>
      <c r="U5744" s="1527" t="s">
        <v>19180</v>
      </c>
      <c r="V5744" s="54" t="s">
        <v>11676</v>
      </c>
      <c r="W5744" s="2155" t="s">
        <v>19531</v>
      </c>
      <c r="X5744" s="818"/>
      <c r="Y5744" s="1161"/>
    </row>
    <row r="5745" spans="1:25" ht="15.75" hidden="1" customHeight="1" outlineLevel="1">
      <c r="A5745" s="222">
        <v>5754</v>
      </c>
      <c r="B5745" s="858">
        <v>44778</v>
      </c>
      <c r="C5745" s="129" t="s">
        <v>2621</v>
      </c>
      <c r="D5745" s="8"/>
      <c r="E5745" s="818" t="s">
        <v>17683</v>
      </c>
      <c r="F5745" s="1006" t="s">
        <v>10651</v>
      </c>
      <c r="G5745" s="863" t="s">
        <v>19532</v>
      </c>
      <c r="H5745" s="222" t="s">
        <v>468</v>
      </c>
      <c r="I5745" s="183" t="s">
        <v>429</v>
      </c>
      <c r="J5745" s="183"/>
      <c r="K5745" s="183" t="s">
        <v>19533</v>
      </c>
      <c r="L5745" s="613"/>
      <c r="M5745" s="183">
        <v>16</v>
      </c>
      <c r="N5745" s="183">
        <v>20</v>
      </c>
      <c r="O5745" s="222">
        <v>20</v>
      </c>
      <c r="P5745" s="222">
        <v>0</v>
      </c>
      <c r="Q5745" s="222">
        <v>4</v>
      </c>
      <c r="R5745" s="1195">
        <v>225</v>
      </c>
      <c r="S5745" s="1195">
        <v>4488</v>
      </c>
      <c r="T5745" s="222" t="s">
        <v>12425</v>
      </c>
      <c r="U5745" s="1527" t="s">
        <v>19180</v>
      </c>
      <c r="V5745" s="54" t="s">
        <v>11676</v>
      </c>
      <c r="W5745" s="2155" t="s">
        <v>19534</v>
      </c>
      <c r="X5745" s="818"/>
      <c r="Y5745" s="1161"/>
    </row>
    <row r="5746" spans="1:25" ht="15.75" hidden="1" customHeight="1" outlineLevel="1">
      <c r="A5746" s="222">
        <v>5754</v>
      </c>
      <c r="B5746" s="858">
        <v>44778</v>
      </c>
      <c r="C5746" s="129" t="s">
        <v>19535</v>
      </c>
      <c r="D5746" s="8"/>
      <c r="E5746" s="818" t="s">
        <v>17683</v>
      </c>
      <c r="F5746" s="1006" t="s">
        <v>10651</v>
      </c>
      <c r="G5746" s="863" t="s">
        <v>19536</v>
      </c>
      <c r="H5746" s="183" t="s">
        <v>429</v>
      </c>
      <c r="I5746" s="183" t="s">
        <v>429</v>
      </c>
      <c r="J5746" s="183"/>
      <c r="K5746" s="183" t="s">
        <v>19537</v>
      </c>
      <c r="L5746" s="613"/>
      <c r="M5746" s="183">
        <v>1</v>
      </c>
      <c r="N5746" s="183">
        <v>1</v>
      </c>
      <c r="O5746" s="222">
        <v>1</v>
      </c>
      <c r="P5746" s="222">
        <v>0</v>
      </c>
      <c r="Q5746" s="222">
        <v>0</v>
      </c>
      <c r="R5746" s="1195"/>
      <c r="S5746" s="1195">
        <v>16621</v>
      </c>
      <c r="T5746" s="222" t="s">
        <v>12425</v>
      </c>
      <c r="U5746" s="1527" t="s">
        <v>19180</v>
      </c>
      <c r="V5746" s="54" t="s">
        <v>11676</v>
      </c>
      <c r="W5746" s="2155" t="s">
        <v>19534</v>
      </c>
      <c r="X5746" s="818"/>
      <c r="Y5746" s="1161"/>
    </row>
    <row r="5747" spans="1:25" ht="15.75" hidden="1" customHeight="1" outlineLevel="1">
      <c r="A5747" s="222">
        <v>5756</v>
      </c>
      <c r="B5747" s="858">
        <v>44778</v>
      </c>
      <c r="C5747" s="1779" t="s">
        <v>5259</v>
      </c>
      <c r="D5747" s="8" t="s">
        <v>6</v>
      </c>
      <c r="E5747" s="1788" t="s">
        <v>19538</v>
      </c>
      <c r="F5747" s="1789" t="s">
        <v>11344</v>
      </c>
      <c r="G5747" s="1783" t="s">
        <v>16683</v>
      </c>
      <c r="H5747" s="1778" t="s">
        <v>2227</v>
      </c>
      <c r="I5747" s="1782" t="s">
        <v>574</v>
      </c>
      <c r="J5747" s="1784" t="s">
        <v>16684</v>
      </c>
      <c r="K5747" s="1785" t="s">
        <v>355</v>
      </c>
      <c r="L5747" s="1782" t="s">
        <v>7953</v>
      </c>
      <c r="M5747" s="1782">
        <v>10</v>
      </c>
      <c r="N5747" s="1782">
        <v>20</v>
      </c>
      <c r="O5747" s="1782">
        <v>20</v>
      </c>
      <c r="P5747" s="1782">
        <v>0</v>
      </c>
      <c r="Q5747" s="1525">
        <v>10</v>
      </c>
      <c r="R5747" s="1786">
        <v>200</v>
      </c>
      <c r="S5747" s="1786">
        <v>4000</v>
      </c>
      <c r="T5747" s="1782" t="s">
        <v>19539</v>
      </c>
      <c r="U5747" s="1998" t="s">
        <v>19540</v>
      </c>
      <c r="V5747" s="572" t="s">
        <v>19541</v>
      </c>
      <c r="W5747" s="1776" t="s">
        <v>358</v>
      </c>
      <c r="X5747" s="1727" t="s">
        <v>16488</v>
      </c>
      <c r="Y5747" s="1613" t="s">
        <v>16488</v>
      </c>
    </row>
    <row r="5748" spans="1:25" ht="15.75" hidden="1" customHeight="1" outlineLevel="1">
      <c r="A5748" s="222">
        <v>5757</v>
      </c>
      <c r="B5748" s="858">
        <v>44778</v>
      </c>
      <c r="C5748" s="1780" t="s">
        <v>1083</v>
      </c>
      <c r="D5748" s="1515" t="s">
        <v>6</v>
      </c>
      <c r="E5748" s="1788" t="s">
        <v>19538</v>
      </c>
      <c r="F5748" s="204" t="s">
        <v>11344</v>
      </c>
      <c r="G5748" s="1787" t="s">
        <v>16678</v>
      </c>
      <c r="H5748" s="1790" t="s">
        <v>10591</v>
      </c>
      <c r="I5748" s="1781" t="s">
        <v>4634</v>
      </c>
      <c r="J5748" s="901" t="s">
        <v>16679</v>
      </c>
      <c r="K5748" s="901" t="s">
        <v>10594</v>
      </c>
      <c r="L5748" s="1781" t="s">
        <v>7953</v>
      </c>
      <c r="M5748" s="1781">
        <v>10</v>
      </c>
      <c r="N5748" s="1781">
        <v>1</v>
      </c>
      <c r="O5748" s="1781">
        <v>10</v>
      </c>
      <c r="P5748" s="1781">
        <v>0</v>
      </c>
      <c r="Q5748" s="1811">
        <v>0</v>
      </c>
      <c r="R5748" s="1812">
        <v>710</v>
      </c>
      <c r="S5748" s="1812">
        <v>7109</v>
      </c>
      <c r="T5748" s="1781" t="s">
        <v>19539</v>
      </c>
      <c r="U5748" s="1999" t="s">
        <v>19540</v>
      </c>
      <c r="V5748" s="572" t="s">
        <v>19541</v>
      </c>
      <c r="W5748" s="1612" t="s">
        <v>16681</v>
      </c>
      <c r="X5748" s="1777" t="s">
        <v>16488</v>
      </c>
      <c r="Y5748" s="1613"/>
    </row>
    <row r="5749" spans="1:25" ht="15.75" hidden="1" customHeight="1" outlineLevel="1">
      <c r="A5749" s="222">
        <v>5758</v>
      </c>
      <c r="B5749" s="858">
        <v>44778</v>
      </c>
      <c r="C5749" s="1795" t="s">
        <v>1072</v>
      </c>
      <c r="D5749" s="8" t="s">
        <v>6</v>
      </c>
      <c r="E5749" s="1788" t="s">
        <v>19538</v>
      </c>
      <c r="F5749" s="204" t="s">
        <v>11344</v>
      </c>
      <c r="G5749" s="1793" t="s">
        <v>5188</v>
      </c>
      <c r="H5749" s="1795" t="s">
        <v>460</v>
      </c>
      <c r="I5749" s="1795" t="s">
        <v>281</v>
      </c>
      <c r="J5749" s="1795" t="s">
        <v>461</v>
      </c>
      <c r="K5749" s="1795" t="s">
        <v>462</v>
      </c>
      <c r="L5749" s="1795" t="s">
        <v>587</v>
      </c>
      <c r="M5749" s="1795">
        <v>5</v>
      </c>
      <c r="N5749" s="1795">
        <v>1</v>
      </c>
      <c r="O5749" s="1795">
        <v>5</v>
      </c>
      <c r="P5749" s="1795">
        <v>0</v>
      </c>
      <c r="Q5749" s="1798">
        <v>0</v>
      </c>
      <c r="R5749" s="1796">
        <v>221</v>
      </c>
      <c r="S5749" s="1797">
        <v>1105</v>
      </c>
      <c r="T5749" s="1781" t="s">
        <v>19539</v>
      </c>
      <c r="U5749" s="1999" t="s">
        <v>19540</v>
      </c>
      <c r="V5749" s="572" t="s">
        <v>19541</v>
      </c>
      <c r="W5749" s="1794" t="s">
        <v>465</v>
      </c>
      <c r="X5749" s="1444" t="s">
        <v>16488</v>
      </c>
      <c r="Y5749" s="1161" t="s">
        <v>16488</v>
      </c>
    </row>
    <row r="5750" spans="1:25" ht="15.75" hidden="1" customHeight="1" outlineLevel="1">
      <c r="A5750" s="222">
        <v>5759</v>
      </c>
      <c r="B5750" s="858">
        <v>44778</v>
      </c>
      <c r="C5750" s="1781" t="s">
        <v>7277</v>
      </c>
      <c r="D5750" s="1515" t="s">
        <v>6</v>
      </c>
      <c r="E5750" s="1788" t="s">
        <v>19538</v>
      </c>
      <c r="F5750" s="204" t="s">
        <v>11344</v>
      </c>
      <c r="G5750" s="900" t="s">
        <v>19542</v>
      </c>
      <c r="H5750" s="1781" t="s">
        <v>16706</v>
      </c>
      <c r="I5750" s="1781" t="s">
        <v>5764</v>
      </c>
      <c r="J5750" s="1813" t="s">
        <v>9312</v>
      </c>
      <c r="K5750" s="1813" t="s">
        <v>9312</v>
      </c>
      <c r="L5750" s="1781" t="s">
        <v>16488</v>
      </c>
      <c r="M5750" s="1781" t="s">
        <v>16488</v>
      </c>
      <c r="N5750" s="1781" t="s">
        <v>16707</v>
      </c>
      <c r="O5750" s="1781" t="s">
        <v>16488</v>
      </c>
      <c r="P5750" s="1781" t="s">
        <v>16488</v>
      </c>
      <c r="Q5750" s="1811" t="s">
        <v>16488</v>
      </c>
      <c r="R5750" s="1814" t="s">
        <v>16488</v>
      </c>
      <c r="S5750" s="1812">
        <v>438</v>
      </c>
      <c r="T5750" s="1781" t="s">
        <v>19539</v>
      </c>
      <c r="U5750" s="1999" t="s">
        <v>19540</v>
      </c>
      <c r="V5750" s="572" t="s">
        <v>19541</v>
      </c>
      <c r="W5750" s="1617" t="s">
        <v>18709</v>
      </c>
      <c r="X5750" s="1732" t="s">
        <v>16488</v>
      </c>
      <c r="Y5750" s="1161" t="s">
        <v>16488</v>
      </c>
    </row>
    <row r="5751" spans="1:25" ht="15.75" hidden="1" customHeight="1" outlineLevel="1">
      <c r="A5751" s="222">
        <v>5760</v>
      </c>
      <c r="B5751" s="858">
        <v>44778</v>
      </c>
      <c r="C5751" s="1690" t="s">
        <v>13651</v>
      </c>
      <c r="D5751" s="8" t="s">
        <v>6</v>
      </c>
      <c r="E5751" s="1788" t="s">
        <v>19538</v>
      </c>
      <c r="F5751" s="204" t="s">
        <v>11344</v>
      </c>
      <c r="G5751" s="1690" t="s">
        <v>3281</v>
      </c>
      <c r="H5751" s="1690" t="s">
        <v>1078</v>
      </c>
      <c r="I5751" s="1690" t="s">
        <v>53</v>
      </c>
      <c r="J5751" s="1690" t="s">
        <v>1079</v>
      </c>
      <c r="K5751" s="1690" t="s">
        <v>1080</v>
      </c>
      <c r="L5751" s="1690" t="s">
        <v>16488</v>
      </c>
      <c r="M5751" s="1690">
        <v>10</v>
      </c>
      <c r="N5751" s="1690">
        <v>1</v>
      </c>
      <c r="O5751" s="1690">
        <v>10</v>
      </c>
      <c r="P5751" s="1690">
        <v>0</v>
      </c>
      <c r="Q5751" s="1690">
        <v>0</v>
      </c>
      <c r="R5751" s="1792">
        <v>1298.9000000000001</v>
      </c>
      <c r="S5751" s="1791">
        <v>12989</v>
      </c>
      <c r="T5751" s="1781" t="s">
        <v>19539</v>
      </c>
      <c r="U5751" s="1999" t="s">
        <v>19540</v>
      </c>
      <c r="V5751" s="572" t="s">
        <v>19541</v>
      </c>
      <c r="W5751" s="898" t="s">
        <v>13652</v>
      </c>
      <c r="X5751" s="1444" t="s">
        <v>16488</v>
      </c>
      <c r="Y5751" s="1161" t="s">
        <v>16488</v>
      </c>
    </row>
    <row r="5752" spans="1:25" ht="15.75" hidden="1" customHeight="1" outlineLevel="1">
      <c r="A5752" s="222">
        <v>5761</v>
      </c>
      <c r="B5752" s="858">
        <v>44778</v>
      </c>
      <c r="C5752" s="1690" t="s">
        <v>19543</v>
      </c>
      <c r="D5752" s="8" t="s">
        <v>6</v>
      </c>
      <c r="E5752" s="1788" t="s">
        <v>19538</v>
      </c>
      <c r="F5752" s="239" t="s">
        <v>17877</v>
      </c>
      <c r="G5752" s="1690" t="s">
        <v>19544</v>
      </c>
      <c r="H5752" s="1690" t="s">
        <v>287</v>
      </c>
      <c r="I5752" s="1690" t="s">
        <v>287</v>
      </c>
      <c r="J5752" s="1690" t="s">
        <v>19545</v>
      </c>
      <c r="K5752" s="1690" t="s">
        <v>19545</v>
      </c>
      <c r="L5752" s="1690" t="s">
        <v>1</v>
      </c>
      <c r="M5752" s="1690">
        <v>2</v>
      </c>
      <c r="N5752" s="1690">
        <v>4</v>
      </c>
      <c r="O5752" s="1690">
        <v>4</v>
      </c>
      <c r="P5752" s="1690">
        <v>0</v>
      </c>
      <c r="Q5752" s="1690">
        <v>2</v>
      </c>
      <c r="R5752" s="1791">
        <v>55726</v>
      </c>
      <c r="S5752" s="1791">
        <v>55726</v>
      </c>
      <c r="T5752" s="1781" t="s">
        <v>14752</v>
      </c>
      <c r="U5752" s="1999" t="s">
        <v>19546</v>
      </c>
      <c r="V5752" s="572" t="s">
        <v>5990</v>
      </c>
      <c r="W5752" s="1815" t="s">
        <v>5265</v>
      </c>
      <c r="X5752" s="1444" t="s">
        <v>16488</v>
      </c>
    </row>
    <row r="5753" spans="1:25" ht="15.75" hidden="1" customHeight="1" outlineLevel="1">
      <c r="A5753" s="222">
        <v>5762</v>
      </c>
      <c r="B5753" s="858">
        <v>44778</v>
      </c>
      <c r="C5753" s="1690" t="s">
        <v>19547</v>
      </c>
      <c r="D5753" s="8" t="s">
        <v>6</v>
      </c>
      <c r="E5753" s="1788" t="s">
        <v>19538</v>
      </c>
      <c r="F5753" s="239" t="s">
        <v>17877</v>
      </c>
      <c r="G5753" s="1690" t="s">
        <v>19548</v>
      </c>
      <c r="H5753" s="1690" t="s">
        <v>287</v>
      </c>
      <c r="I5753" s="1690" t="s">
        <v>287</v>
      </c>
      <c r="J5753" s="1690" t="s">
        <v>19549</v>
      </c>
      <c r="K5753" s="1690" t="s">
        <v>19549</v>
      </c>
      <c r="L5753" s="1690" t="s">
        <v>1</v>
      </c>
      <c r="M5753" s="1690">
        <v>2</v>
      </c>
      <c r="N5753" s="1690">
        <v>4</v>
      </c>
      <c r="O5753" s="1690">
        <v>4</v>
      </c>
      <c r="P5753" s="1690">
        <v>0</v>
      </c>
      <c r="Q5753" s="1690">
        <v>2</v>
      </c>
      <c r="R5753" s="1791" t="s">
        <v>19550</v>
      </c>
      <c r="S5753" s="1791" t="s">
        <v>19550</v>
      </c>
      <c r="T5753" s="1781" t="s">
        <v>14752</v>
      </c>
      <c r="U5753" s="1999" t="s">
        <v>19546</v>
      </c>
      <c r="V5753" s="572" t="s">
        <v>5990</v>
      </c>
      <c r="W5753" s="1815" t="s">
        <v>5265</v>
      </c>
      <c r="X5753" s="1444" t="s">
        <v>16488</v>
      </c>
    </row>
    <row r="5754" spans="1:25" ht="15.75" hidden="1" customHeight="1" outlineLevel="1">
      <c r="A5754" s="222">
        <v>5763</v>
      </c>
      <c r="B5754" s="858">
        <v>44778</v>
      </c>
      <c r="C5754" s="1690" t="s">
        <v>19551</v>
      </c>
      <c r="D5754" s="8" t="s">
        <v>6</v>
      </c>
      <c r="E5754" s="1788" t="s">
        <v>19538</v>
      </c>
      <c r="F5754" s="239" t="s">
        <v>17877</v>
      </c>
      <c r="G5754" s="1690" t="s">
        <v>19544</v>
      </c>
      <c r="H5754" s="1690" t="s">
        <v>287</v>
      </c>
      <c r="I5754" s="1690" t="s">
        <v>287</v>
      </c>
      <c r="J5754" s="1690" t="s">
        <v>19552</v>
      </c>
      <c r="K5754" s="1690" t="s">
        <v>19552</v>
      </c>
      <c r="L5754" s="1690" t="s">
        <v>1</v>
      </c>
      <c r="M5754" s="1690">
        <v>2</v>
      </c>
      <c r="N5754" s="1690">
        <v>4</v>
      </c>
      <c r="O5754" s="1690">
        <v>4</v>
      </c>
      <c r="P5754" s="1690">
        <v>0</v>
      </c>
      <c r="Q5754" s="1690">
        <v>2</v>
      </c>
      <c r="R5754" s="1791">
        <v>55726</v>
      </c>
      <c r="S5754" s="1791">
        <v>55726</v>
      </c>
      <c r="T5754" s="1781" t="s">
        <v>14752</v>
      </c>
      <c r="U5754" s="1999" t="s">
        <v>19546</v>
      </c>
      <c r="V5754" s="572" t="s">
        <v>5990</v>
      </c>
      <c r="W5754" s="1815" t="s">
        <v>5265</v>
      </c>
      <c r="X5754" s="1444" t="s">
        <v>16488</v>
      </c>
    </row>
    <row r="5755" spans="1:25" ht="15.75" hidden="1" customHeight="1" outlineLevel="1">
      <c r="A5755" s="222">
        <v>5764</v>
      </c>
      <c r="B5755" s="858">
        <v>44778</v>
      </c>
      <c r="C5755" s="1690" t="s">
        <v>19553</v>
      </c>
      <c r="D5755" s="8" t="s">
        <v>6</v>
      </c>
      <c r="E5755" s="1788" t="s">
        <v>19538</v>
      </c>
      <c r="F5755" s="239" t="s">
        <v>17877</v>
      </c>
      <c r="G5755" s="1690" t="s">
        <v>19548</v>
      </c>
      <c r="H5755" s="1690" t="s">
        <v>287</v>
      </c>
      <c r="I5755" s="1690" t="s">
        <v>287</v>
      </c>
      <c r="J5755" s="1690" t="s">
        <v>19554</v>
      </c>
      <c r="K5755" s="1690" t="s">
        <v>19554</v>
      </c>
      <c r="L5755" s="1690" t="s">
        <v>1</v>
      </c>
      <c r="M5755" s="1690">
        <v>2</v>
      </c>
      <c r="N5755" s="1690">
        <v>4</v>
      </c>
      <c r="O5755" s="1690">
        <v>4</v>
      </c>
      <c r="P5755" s="1690">
        <v>0</v>
      </c>
      <c r="Q5755" s="1690">
        <v>2</v>
      </c>
      <c r="R5755" s="1791">
        <v>54764</v>
      </c>
      <c r="S5755" s="1791">
        <v>54764</v>
      </c>
      <c r="T5755" s="1781" t="s">
        <v>14752</v>
      </c>
      <c r="U5755" s="1999" t="s">
        <v>19546</v>
      </c>
      <c r="V5755" s="572" t="s">
        <v>5990</v>
      </c>
      <c r="W5755" s="1815" t="s">
        <v>5265</v>
      </c>
      <c r="X5755" s="1444" t="s">
        <v>16488</v>
      </c>
    </row>
    <row r="5756" spans="1:25" ht="15.75" hidden="1" customHeight="1" outlineLevel="1">
      <c r="A5756" s="222">
        <v>5765</v>
      </c>
      <c r="B5756" s="858">
        <v>44778</v>
      </c>
      <c r="C5756" s="1690" t="s">
        <v>19555</v>
      </c>
      <c r="D5756" s="8" t="s">
        <v>6</v>
      </c>
      <c r="E5756" s="1788" t="s">
        <v>19538</v>
      </c>
      <c r="F5756" s="239" t="s">
        <v>17877</v>
      </c>
      <c r="G5756" s="1690" t="s">
        <v>19544</v>
      </c>
      <c r="H5756" s="1690" t="s">
        <v>287</v>
      </c>
      <c r="I5756" s="1690" t="s">
        <v>287</v>
      </c>
      <c r="J5756" s="1690" t="s">
        <v>19556</v>
      </c>
      <c r="K5756" s="1690" t="s">
        <v>19556</v>
      </c>
      <c r="L5756" s="1690" t="s">
        <v>1</v>
      </c>
      <c r="M5756" s="1690">
        <v>2</v>
      </c>
      <c r="N5756" s="1690">
        <v>4</v>
      </c>
      <c r="O5756" s="1690">
        <v>4</v>
      </c>
      <c r="P5756" s="1690">
        <v>0</v>
      </c>
      <c r="Q5756" s="1690">
        <v>2</v>
      </c>
      <c r="R5756" s="1791">
        <v>55726</v>
      </c>
      <c r="S5756" s="1791">
        <v>55726</v>
      </c>
      <c r="T5756" s="1781" t="s">
        <v>14752</v>
      </c>
      <c r="U5756" s="1999" t="s">
        <v>19546</v>
      </c>
      <c r="V5756" s="572" t="s">
        <v>5990</v>
      </c>
      <c r="W5756" s="1815" t="s">
        <v>5265</v>
      </c>
      <c r="X5756" s="1444" t="s">
        <v>16488</v>
      </c>
    </row>
    <row r="5757" spans="1:25" ht="15.75" hidden="1" customHeight="1" outlineLevel="1">
      <c r="A5757" s="222">
        <v>5766</v>
      </c>
      <c r="B5757" s="858">
        <v>44782</v>
      </c>
      <c r="C5757" s="934" t="s">
        <v>5853</v>
      </c>
      <c r="D5757" s="1515" t="s">
        <v>6</v>
      </c>
      <c r="E5757" s="204" t="s">
        <v>683</v>
      </c>
      <c r="F5757" s="934" t="s">
        <v>9454</v>
      </c>
      <c r="G5757" s="26" t="s">
        <v>11824</v>
      </c>
      <c r="H5757" s="26" t="s">
        <v>5855</v>
      </c>
      <c r="I5757" s="26" t="s">
        <v>482</v>
      </c>
      <c r="J5757" s="26">
        <v>519734</v>
      </c>
      <c r="K5757" s="1799" t="s">
        <v>19557</v>
      </c>
      <c r="L5757" s="26" t="s">
        <v>1</v>
      </c>
      <c r="M5757" s="26">
        <v>1</v>
      </c>
      <c r="N5757" s="26">
        <v>1</v>
      </c>
      <c r="O5757" s="26">
        <v>1</v>
      </c>
      <c r="P5757" s="26">
        <v>0</v>
      </c>
      <c r="Q5757" s="26">
        <v>1</v>
      </c>
      <c r="R5757" s="1209">
        <v>9806</v>
      </c>
      <c r="S5757" s="1209">
        <v>9806</v>
      </c>
      <c r="T5757" s="26" t="s">
        <v>11825</v>
      </c>
      <c r="U5757" s="1859"/>
      <c r="V5757" s="26" t="s">
        <v>150</v>
      </c>
      <c r="W5757" s="2125" t="s">
        <v>11827</v>
      </c>
      <c r="X5757" s="18"/>
      <c r="Y5757" s="1161"/>
    </row>
    <row r="5758" spans="1:25" ht="15.75" hidden="1" customHeight="1" outlineLevel="1">
      <c r="A5758" s="222">
        <v>5767</v>
      </c>
      <c r="B5758" s="858">
        <v>44783</v>
      </c>
      <c r="C5758" s="129" t="s">
        <v>19558</v>
      </c>
      <c r="D5758" s="8" t="s">
        <v>6</v>
      </c>
      <c r="E5758" s="818" t="s">
        <v>8072</v>
      </c>
      <c r="F5758" s="1006" t="s">
        <v>19559</v>
      </c>
      <c r="G5758" s="863" t="s">
        <v>19560</v>
      </c>
      <c r="H5758" s="222" t="s">
        <v>857</v>
      </c>
      <c r="I5758" s="222" t="s">
        <v>19561</v>
      </c>
      <c r="J5758" s="183" t="s">
        <v>19562</v>
      </c>
      <c r="K5758" s="183" t="s">
        <v>5471</v>
      </c>
      <c r="L5758" s="613" t="s">
        <v>1</v>
      </c>
      <c r="M5758" s="183">
        <v>3</v>
      </c>
      <c r="N5758" s="183">
        <v>1</v>
      </c>
      <c r="O5758" s="222">
        <v>3</v>
      </c>
      <c r="P5758" s="222">
        <v>0</v>
      </c>
      <c r="Q5758" s="222">
        <v>3</v>
      </c>
      <c r="R5758" s="1195">
        <v>3898</v>
      </c>
      <c r="S5758" s="1195">
        <f t="shared" ref="S5758:S5821" si="306">R5758*O5758</f>
        <v>11694</v>
      </c>
      <c r="T5758" s="222" t="s">
        <v>19539</v>
      </c>
      <c r="U5758" s="1527" t="s">
        <v>19563</v>
      </c>
      <c r="V5758" s="26" t="s">
        <v>150</v>
      </c>
      <c r="W5758" s="1815" t="s">
        <v>19564</v>
      </c>
      <c r="X5758" s="818"/>
      <c r="Y5758" s="1161"/>
    </row>
    <row r="5759" spans="1:25" ht="15.75" hidden="1" customHeight="1" outlineLevel="1">
      <c r="A5759" s="222">
        <v>5768</v>
      </c>
      <c r="B5759" s="858">
        <v>44784</v>
      </c>
      <c r="C5759" s="129" t="s">
        <v>19565</v>
      </c>
      <c r="D5759" s="11" t="s">
        <v>6</v>
      </c>
      <c r="E5759" s="1483" t="s">
        <v>19566</v>
      </c>
      <c r="F5759" s="1006" t="s">
        <v>131</v>
      </c>
      <c r="G5759" t="s">
        <v>19567</v>
      </c>
      <c r="H5759" s="222" t="s">
        <v>19568</v>
      </c>
      <c r="I5759" s="222" t="s">
        <v>19568</v>
      </c>
      <c r="J5759" s="183" t="s">
        <v>19569</v>
      </c>
      <c r="K5759" s="183" t="s">
        <v>19569</v>
      </c>
      <c r="L5759" s="613" t="s">
        <v>1</v>
      </c>
      <c r="M5759" s="183">
        <v>1</v>
      </c>
      <c r="N5759" s="183">
        <v>1</v>
      </c>
      <c r="O5759" s="222">
        <v>1</v>
      </c>
      <c r="P5759" s="222">
        <v>1</v>
      </c>
      <c r="Q5759" s="222">
        <v>2</v>
      </c>
      <c r="R5759" s="1195">
        <v>6157</v>
      </c>
      <c r="S5759" s="1195">
        <f t="shared" si="306"/>
        <v>6157</v>
      </c>
      <c r="T5759" s="222" t="s">
        <v>5448</v>
      </c>
      <c r="U5759" s="1527" t="s">
        <v>118</v>
      </c>
      <c r="V5759" s="222" t="s">
        <v>118</v>
      </c>
      <c r="W5759" s="2155"/>
      <c r="X5759" s="818"/>
      <c r="Y5759" s="1161"/>
    </row>
    <row r="5760" spans="1:25" ht="15.75" hidden="1" customHeight="1" outlineLevel="1">
      <c r="A5760" s="222">
        <v>5769</v>
      </c>
      <c r="B5760" s="858">
        <v>44784</v>
      </c>
      <c r="C5760" s="129" t="s">
        <v>19570</v>
      </c>
      <c r="D5760" s="11" t="s">
        <v>6</v>
      </c>
      <c r="E5760" s="1483" t="s">
        <v>19566</v>
      </c>
      <c r="F5760" s="1006" t="s">
        <v>131</v>
      </c>
      <c r="G5760" t="s">
        <v>19571</v>
      </c>
      <c r="H5760" s="222" t="s">
        <v>19568</v>
      </c>
      <c r="I5760" s="222" t="s">
        <v>19568</v>
      </c>
      <c r="J5760" s="183" t="s">
        <v>19572</v>
      </c>
      <c r="K5760" s="183" t="s">
        <v>19572</v>
      </c>
      <c r="L5760" s="613" t="s">
        <v>1</v>
      </c>
      <c r="M5760" s="183">
        <v>1</v>
      </c>
      <c r="N5760" s="183">
        <v>1</v>
      </c>
      <c r="O5760" s="222">
        <v>1</v>
      </c>
      <c r="P5760" s="222">
        <v>0</v>
      </c>
      <c r="Q5760" s="222">
        <v>1</v>
      </c>
      <c r="R5760" s="1195">
        <v>30576</v>
      </c>
      <c r="S5760" s="1195">
        <f t="shared" si="306"/>
        <v>30576</v>
      </c>
      <c r="T5760" s="222" t="s">
        <v>5448</v>
      </c>
      <c r="U5760" s="1527" t="s">
        <v>118</v>
      </c>
      <c r="V5760" s="222" t="s">
        <v>118</v>
      </c>
      <c r="W5760" s="2155"/>
      <c r="X5760" s="818"/>
      <c r="Y5760" s="1161"/>
    </row>
    <row r="5761" spans="1:25" ht="15.75" hidden="1" customHeight="1" outlineLevel="1">
      <c r="A5761" s="222">
        <v>5770</v>
      </c>
      <c r="B5761" s="858">
        <v>44784</v>
      </c>
      <c r="C5761" s="129" t="s">
        <v>19573</v>
      </c>
      <c r="D5761" s="11" t="s">
        <v>6</v>
      </c>
      <c r="E5761" s="1483" t="s">
        <v>14758</v>
      </c>
      <c r="F5761" s="1006" t="s">
        <v>131</v>
      </c>
      <c r="G5761" s="863" t="s">
        <v>19574</v>
      </c>
      <c r="H5761" s="222" t="s">
        <v>19568</v>
      </c>
      <c r="I5761" s="222" t="s">
        <v>19568</v>
      </c>
      <c r="J5761" s="183" t="s">
        <v>19575</v>
      </c>
      <c r="K5761" s="183" t="s">
        <v>19575</v>
      </c>
      <c r="L5761" s="613" t="s">
        <v>1</v>
      </c>
      <c r="M5761" s="183">
        <v>1</v>
      </c>
      <c r="N5761" s="183">
        <v>1</v>
      </c>
      <c r="O5761" s="222">
        <v>1</v>
      </c>
      <c r="P5761" s="222">
        <v>0</v>
      </c>
      <c r="Q5761" s="222">
        <v>1</v>
      </c>
      <c r="R5761" s="1195">
        <v>45488</v>
      </c>
      <c r="S5761" s="1195">
        <f t="shared" si="306"/>
        <v>45488</v>
      </c>
      <c r="T5761" s="222" t="s">
        <v>5448</v>
      </c>
      <c r="U5761" s="1527" t="s">
        <v>118</v>
      </c>
      <c r="V5761" s="222" t="s">
        <v>118</v>
      </c>
      <c r="W5761" s="2155"/>
      <c r="X5761" s="818"/>
      <c r="Y5761" s="1161"/>
    </row>
    <row r="5762" spans="1:25" ht="14.1" hidden="1" outlineLevel="1">
      <c r="A5762" s="222">
        <v>5771</v>
      </c>
      <c r="B5762" s="858">
        <v>44784</v>
      </c>
      <c r="C5762" s="129" t="s">
        <v>19576</v>
      </c>
      <c r="D5762" s="1445" t="s">
        <v>6</v>
      </c>
      <c r="E5762" s="1483" t="s">
        <v>19577</v>
      </c>
      <c r="F5762" s="1006" t="s">
        <v>18660</v>
      </c>
      <c r="G5762" s="863" t="s">
        <v>19578</v>
      </c>
      <c r="H5762" s="222" t="s">
        <v>14957</v>
      </c>
      <c r="I5762" s="222" t="s">
        <v>14957</v>
      </c>
      <c r="J5762" s="183"/>
      <c r="K5762" s="183"/>
      <c r="L5762" s="613"/>
      <c r="M5762" s="183">
        <v>4</v>
      </c>
      <c r="N5762" s="183">
        <v>4</v>
      </c>
      <c r="O5762" s="222">
        <v>4</v>
      </c>
      <c r="P5762" s="222">
        <v>0</v>
      </c>
      <c r="Q5762" s="222">
        <v>3</v>
      </c>
      <c r="R5762" s="1195"/>
      <c r="S5762" s="1195">
        <v>142496</v>
      </c>
      <c r="T5762" s="222" t="s">
        <v>12425</v>
      </c>
      <c r="U5762" s="1527" t="s">
        <v>1886</v>
      </c>
      <c r="V5762" s="222" t="s">
        <v>19579</v>
      </c>
      <c r="W5762" s="2155"/>
      <c r="X5762" s="818"/>
      <c r="Y5762" s="1161"/>
    </row>
    <row r="5763" spans="1:25" ht="15.75" hidden="1" customHeight="1" outlineLevel="1">
      <c r="A5763" s="222">
        <v>5772</v>
      </c>
      <c r="B5763" s="858">
        <v>44785</v>
      </c>
      <c r="C5763" s="1193" t="s">
        <v>19580</v>
      </c>
      <c r="D5763" s="11" t="s">
        <v>6</v>
      </c>
      <c r="E5763" s="1788" t="s">
        <v>19538</v>
      </c>
      <c r="F5763" s="1006" t="s">
        <v>18751</v>
      </c>
      <c r="G5763" s="863" t="s">
        <v>19581</v>
      </c>
      <c r="H5763" s="222" t="s">
        <v>429</v>
      </c>
      <c r="I5763" s="222" t="s">
        <v>429</v>
      </c>
      <c r="J5763" s="222" t="s">
        <v>375</v>
      </c>
      <c r="K5763" s="222" t="s">
        <v>375</v>
      </c>
      <c r="L5763" s="613"/>
      <c r="M5763" s="222">
        <v>4</v>
      </c>
      <c r="N5763" s="222">
        <v>8</v>
      </c>
      <c r="O5763" s="222">
        <v>8</v>
      </c>
      <c r="P5763" s="222">
        <v>4</v>
      </c>
      <c r="Q5763" s="222">
        <v>8</v>
      </c>
      <c r="R5763" s="1195">
        <v>490</v>
      </c>
      <c r="S5763" s="1195">
        <f t="shared" si="306"/>
        <v>3920</v>
      </c>
      <c r="T5763" s="222" t="s">
        <v>14752</v>
      </c>
      <c r="U5763" s="1527" t="s">
        <v>301</v>
      </c>
      <c r="V5763" s="222" t="s">
        <v>3140</v>
      </c>
      <c r="W5763" s="2155" t="s">
        <v>13602</v>
      </c>
      <c r="X5763" s="818"/>
    </row>
    <row r="5764" spans="1:25" ht="15.75" hidden="1" customHeight="1" outlineLevel="1">
      <c r="A5764" s="222">
        <v>5773</v>
      </c>
      <c r="B5764" s="858">
        <v>44785</v>
      </c>
      <c r="C5764" s="129" t="s">
        <v>19582</v>
      </c>
      <c r="D5764" s="11" t="s">
        <v>6</v>
      </c>
      <c r="E5764" s="1788" t="s">
        <v>19538</v>
      </c>
      <c r="F5764" s="1006" t="s">
        <v>18751</v>
      </c>
      <c r="G5764" s="863" t="s">
        <v>19583</v>
      </c>
      <c r="H5764" s="222" t="s">
        <v>12533</v>
      </c>
      <c r="I5764" s="222" t="s">
        <v>429</v>
      </c>
      <c r="J5764" s="183" t="s">
        <v>19582</v>
      </c>
      <c r="K5764" s="183" t="s">
        <v>19582</v>
      </c>
      <c r="L5764" s="613"/>
      <c r="M5764" s="183">
        <v>3</v>
      </c>
      <c r="N5764" s="183" t="s">
        <v>19584</v>
      </c>
      <c r="O5764" s="222">
        <v>1</v>
      </c>
      <c r="P5764" s="222">
        <v>0</v>
      </c>
      <c r="Q5764" s="222">
        <v>7</v>
      </c>
      <c r="R5764" s="1195">
        <v>637</v>
      </c>
      <c r="S5764" s="1195">
        <f t="shared" si="306"/>
        <v>637</v>
      </c>
      <c r="T5764" s="222" t="s">
        <v>14752</v>
      </c>
      <c r="U5764" s="1527" t="s">
        <v>301</v>
      </c>
      <c r="V5764" s="222" t="s">
        <v>3140</v>
      </c>
      <c r="W5764" s="2155" t="s">
        <v>4726</v>
      </c>
      <c r="X5764" s="818"/>
      <c r="Y5764" s="1161"/>
    </row>
    <row r="5765" spans="1:25" ht="15.75" hidden="1" customHeight="1" outlineLevel="1">
      <c r="A5765" s="222">
        <v>5774</v>
      </c>
      <c r="B5765" s="858">
        <v>44785</v>
      </c>
      <c r="C5765" s="129" t="s">
        <v>19585</v>
      </c>
      <c r="D5765" s="11" t="s">
        <v>6</v>
      </c>
      <c r="E5765" s="1788" t="s">
        <v>19538</v>
      </c>
      <c r="F5765" s="1006" t="s">
        <v>18751</v>
      </c>
      <c r="G5765" s="863" t="s">
        <v>19586</v>
      </c>
      <c r="H5765" s="222" t="s">
        <v>429</v>
      </c>
      <c r="I5765" s="222" t="s">
        <v>429</v>
      </c>
      <c r="J5765" s="183" t="s">
        <v>19587</v>
      </c>
      <c r="K5765" s="183" t="s">
        <v>19587</v>
      </c>
      <c r="L5765" s="613"/>
      <c r="M5765" s="183">
        <v>8</v>
      </c>
      <c r="N5765" s="183">
        <v>20</v>
      </c>
      <c r="O5765" s="222">
        <v>20</v>
      </c>
      <c r="P5765" s="222">
        <v>5</v>
      </c>
      <c r="Q5765" s="222">
        <v>17</v>
      </c>
      <c r="R5765" s="1195">
        <v>180</v>
      </c>
      <c r="S5765" s="1195">
        <f t="shared" si="306"/>
        <v>3600</v>
      </c>
      <c r="T5765" s="222" t="s">
        <v>14752</v>
      </c>
      <c r="U5765" s="1527" t="s">
        <v>301</v>
      </c>
      <c r="V5765" s="222" t="s">
        <v>3140</v>
      </c>
      <c r="W5765" s="2155" t="s">
        <v>15532</v>
      </c>
      <c r="X5765" s="818"/>
      <c r="Y5765" s="1161"/>
    </row>
    <row r="5766" spans="1:25" ht="15.75" hidden="1" customHeight="1" outlineLevel="1">
      <c r="A5766" s="222">
        <v>5775</v>
      </c>
      <c r="B5766" s="858">
        <v>44785</v>
      </c>
      <c r="C5766" s="129" t="s">
        <v>19588</v>
      </c>
      <c r="D5766" s="11" t="s">
        <v>6</v>
      </c>
      <c r="E5766" s="1788" t="s">
        <v>19538</v>
      </c>
      <c r="F5766" s="1006" t="s">
        <v>18751</v>
      </c>
      <c r="G5766" s="863" t="s">
        <v>19589</v>
      </c>
      <c r="H5766" s="222" t="s">
        <v>429</v>
      </c>
      <c r="I5766" s="222" t="s">
        <v>429</v>
      </c>
      <c r="J5766" s="183" t="s">
        <v>19590</v>
      </c>
      <c r="K5766" s="183" t="s">
        <v>19590</v>
      </c>
      <c r="L5766" s="613"/>
      <c r="M5766" s="183">
        <v>4</v>
      </c>
      <c r="N5766" s="183">
        <v>20</v>
      </c>
      <c r="O5766" s="222">
        <v>20</v>
      </c>
      <c r="P5766" s="222">
        <v>0</v>
      </c>
      <c r="Q5766" s="222">
        <v>16</v>
      </c>
      <c r="R5766" s="1195">
        <v>180</v>
      </c>
      <c r="S5766" s="1195">
        <f t="shared" si="306"/>
        <v>3600</v>
      </c>
      <c r="T5766" s="222" t="s">
        <v>14752</v>
      </c>
      <c r="U5766" s="1527" t="s">
        <v>301</v>
      </c>
      <c r="V5766" s="222" t="s">
        <v>3140</v>
      </c>
      <c r="W5766" s="2155" t="s">
        <v>15532</v>
      </c>
      <c r="X5766" s="818"/>
      <c r="Y5766" s="1161"/>
    </row>
    <row r="5767" spans="1:25" ht="15.75" hidden="1" customHeight="1" outlineLevel="1">
      <c r="A5767" s="222">
        <v>5776</v>
      </c>
      <c r="B5767" s="858">
        <v>44785</v>
      </c>
      <c r="C5767" s="129" t="s">
        <v>19591</v>
      </c>
      <c r="D5767" s="11" t="s">
        <v>6</v>
      </c>
      <c r="E5767" s="1788" t="s">
        <v>19538</v>
      </c>
      <c r="F5767" s="1006" t="s">
        <v>18751</v>
      </c>
      <c r="G5767" s="863" t="s">
        <v>19592</v>
      </c>
      <c r="H5767" s="222" t="s">
        <v>12533</v>
      </c>
      <c r="I5767" s="222" t="s">
        <v>84</v>
      </c>
      <c r="J5767" s="222">
        <v>49277812</v>
      </c>
      <c r="K5767" s="1193" t="s">
        <v>19591</v>
      </c>
      <c r="L5767" s="613"/>
      <c r="M5767" s="183">
        <v>4</v>
      </c>
      <c r="N5767" s="183" t="s">
        <v>19593</v>
      </c>
      <c r="O5767" s="222">
        <v>2</v>
      </c>
      <c r="P5767" s="222">
        <v>0</v>
      </c>
      <c r="Q5767" s="222">
        <v>16</v>
      </c>
      <c r="R5767" s="1195">
        <v>839</v>
      </c>
      <c r="S5767" s="1195">
        <f t="shared" si="306"/>
        <v>1678</v>
      </c>
      <c r="T5767" s="222" t="s">
        <v>14752</v>
      </c>
      <c r="U5767" s="1527" t="s">
        <v>301</v>
      </c>
      <c r="V5767" s="222" t="s">
        <v>3140</v>
      </c>
      <c r="W5767" s="2155" t="s">
        <v>19594</v>
      </c>
      <c r="X5767" s="818"/>
      <c r="Y5767" s="1161"/>
    </row>
    <row r="5768" spans="1:25" ht="15.75" hidden="1" customHeight="1" outlineLevel="1">
      <c r="A5768" s="222">
        <v>5777</v>
      </c>
      <c r="B5768" s="858">
        <v>44785</v>
      </c>
      <c r="C5768" s="129" t="s">
        <v>19595</v>
      </c>
      <c r="D5768" s="11" t="s">
        <v>6</v>
      </c>
      <c r="E5768" s="1788" t="s">
        <v>19538</v>
      </c>
      <c r="F5768" s="1006" t="s">
        <v>18751</v>
      </c>
      <c r="G5768" s="863" t="s">
        <v>19596</v>
      </c>
      <c r="H5768" s="222" t="s">
        <v>12533</v>
      </c>
      <c r="I5768" s="222" t="s">
        <v>429</v>
      </c>
      <c r="J5768" s="1193" t="s">
        <v>19595</v>
      </c>
      <c r="K5768" s="1193" t="s">
        <v>19595</v>
      </c>
      <c r="L5768" s="613"/>
      <c r="M5768" s="183">
        <v>8</v>
      </c>
      <c r="N5768" s="183">
        <v>20</v>
      </c>
      <c r="O5768" s="222">
        <v>20</v>
      </c>
      <c r="P5768" s="222">
        <v>2</v>
      </c>
      <c r="Q5768" s="222">
        <v>14</v>
      </c>
      <c r="R5768" s="1195">
        <v>80</v>
      </c>
      <c r="S5768" s="1195">
        <f t="shared" si="306"/>
        <v>1600</v>
      </c>
      <c r="T5768" s="222" t="s">
        <v>14752</v>
      </c>
      <c r="U5768" s="1527" t="s">
        <v>301</v>
      </c>
      <c r="V5768" s="222" t="s">
        <v>3140</v>
      </c>
      <c r="W5768" s="2155" t="s">
        <v>19597</v>
      </c>
      <c r="X5768" s="818"/>
      <c r="Y5768" s="1161"/>
    </row>
    <row r="5769" spans="1:25" ht="15.75" hidden="1" customHeight="1" outlineLevel="1">
      <c r="A5769" s="222">
        <v>5778</v>
      </c>
      <c r="B5769" s="858">
        <v>44785</v>
      </c>
      <c r="C5769" s="129" t="s">
        <v>19598</v>
      </c>
      <c r="D5769" s="11" t="s">
        <v>6</v>
      </c>
      <c r="E5769" s="1788" t="s">
        <v>19538</v>
      </c>
      <c r="F5769" s="1006" t="s">
        <v>18751</v>
      </c>
      <c r="G5769" s="863" t="s">
        <v>19599</v>
      </c>
      <c r="H5769" s="222" t="s">
        <v>12533</v>
      </c>
      <c r="I5769" s="222" t="s">
        <v>429</v>
      </c>
      <c r="J5769" s="1193" t="s">
        <v>19598</v>
      </c>
      <c r="K5769" s="1193" t="s">
        <v>19598</v>
      </c>
      <c r="L5769" s="613"/>
      <c r="M5769" s="183">
        <v>16</v>
      </c>
      <c r="N5769" s="183">
        <v>40</v>
      </c>
      <c r="O5769" s="222">
        <v>40</v>
      </c>
      <c r="P5769" s="222">
        <v>0</v>
      </c>
      <c r="Q5769" s="222">
        <v>24</v>
      </c>
      <c r="R5769" s="1195">
        <v>72</v>
      </c>
      <c r="S5769" s="1195">
        <f t="shared" si="306"/>
        <v>2880</v>
      </c>
      <c r="T5769" s="222" t="s">
        <v>14752</v>
      </c>
      <c r="U5769" s="1527" t="s">
        <v>301</v>
      </c>
      <c r="V5769" s="222" t="s">
        <v>3140</v>
      </c>
      <c r="W5769" s="2155" t="s">
        <v>19600</v>
      </c>
      <c r="X5769" s="818"/>
      <c r="Y5769" s="1161"/>
    </row>
    <row r="5770" spans="1:25" ht="15.75" hidden="1" customHeight="1" outlineLevel="1">
      <c r="A5770" s="222">
        <v>5779</v>
      </c>
      <c r="B5770" s="858">
        <v>44788</v>
      </c>
      <c r="C5770" s="129" t="s">
        <v>19601</v>
      </c>
      <c r="D5770" s="8" t="s">
        <v>6</v>
      </c>
      <c r="E5770" s="1788" t="s">
        <v>19538</v>
      </c>
      <c r="F5770" s="1006" t="s">
        <v>17877</v>
      </c>
      <c r="G5770" s="863" t="s">
        <v>17527</v>
      </c>
      <c r="H5770" s="222" t="s">
        <v>17528</v>
      </c>
      <c r="I5770" s="222" t="s">
        <v>1022</v>
      </c>
      <c r="J5770" s="1193" t="s">
        <v>17529</v>
      </c>
      <c r="K5770" s="1193" t="s">
        <v>16729</v>
      </c>
      <c r="L5770" s="613" t="s">
        <v>1</v>
      </c>
      <c r="M5770" s="183">
        <v>1</v>
      </c>
      <c r="N5770" s="183">
        <v>1</v>
      </c>
      <c r="O5770" s="222">
        <v>1</v>
      </c>
      <c r="P5770" s="222">
        <v>0</v>
      </c>
      <c r="Q5770" s="222">
        <v>0</v>
      </c>
      <c r="R5770" s="1195" t="s">
        <v>19602</v>
      </c>
      <c r="S5770" s="1195" t="s">
        <v>19602</v>
      </c>
      <c r="T5770" s="222" t="s">
        <v>311</v>
      </c>
      <c r="U5770" s="1527" t="s">
        <v>311</v>
      </c>
      <c r="V5770" s="222" t="s">
        <v>19603</v>
      </c>
      <c r="W5770" s="2155" t="s">
        <v>17530</v>
      </c>
      <c r="X5770" s="818"/>
      <c r="Y5770" s="1161"/>
    </row>
    <row r="5771" spans="1:25" ht="15.75" hidden="1" customHeight="1" outlineLevel="1">
      <c r="A5771" s="222">
        <v>5780</v>
      </c>
      <c r="B5771" s="858">
        <v>44788</v>
      </c>
      <c r="C5771" s="129" t="s">
        <v>19604</v>
      </c>
      <c r="D5771" s="8" t="s">
        <v>6</v>
      </c>
      <c r="E5771" s="1788" t="s">
        <v>19538</v>
      </c>
      <c r="F5771" s="1006" t="s">
        <v>17877</v>
      </c>
      <c r="G5771" s="863" t="s">
        <v>19605</v>
      </c>
      <c r="H5771" s="222" t="s">
        <v>2668</v>
      </c>
      <c r="I5771" s="222" t="s">
        <v>1022</v>
      </c>
      <c r="J5771" s="1193" t="s">
        <v>19606</v>
      </c>
      <c r="K5771" s="1193" t="s">
        <v>19607</v>
      </c>
      <c r="L5771" s="613" t="s">
        <v>1</v>
      </c>
      <c r="M5771" s="183">
        <v>1</v>
      </c>
      <c r="N5771" s="183">
        <v>1</v>
      </c>
      <c r="O5771" s="222">
        <v>1</v>
      </c>
      <c r="P5771" s="222">
        <v>0</v>
      </c>
      <c r="Q5771" s="222">
        <v>0</v>
      </c>
      <c r="R5771" s="1195" t="s">
        <v>19608</v>
      </c>
      <c r="S5771" s="1195" t="s">
        <v>19608</v>
      </c>
      <c r="T5771" s="222" t="s">
        <v>311</v>
      </c>
      <c r="U5771" s="1527" t="s">
        <v>311</v>
      </c>
      <c r="V5771" s="222" t="s">
        <v>19603</v>
      </c>
      <c r="W5771" s="2155" t="s">
        <v>19609</v>
      </c>
      <c r="X5771" s="818"/>
      <c r="Y5771" s="1161"/>
    </row>
    <row r="5772" spans="1:25" ht="15.75" hidden="1" customHeight="1" outlineLevel="1">
      <c r="A5772" s="222">
        <v>5781</v>
      </c>
      <c r="B5772" s="858">
        <v>44788</v>
      </c>
      <c r="C5772" s="129" t="s">
        <v>19610</v>
      </c>
      <c r="D5772" s="11" t="s">
        <v>6</v>
      </c>
      <c r="E5772" s="1788" t="s">
        <v>19538</v>
      </c>
      <c r="F5772" s="1006" t="s">
        <v>17877</v>
      </c>
      <c r="G5772" s="863" t="s">
        <v>19611</v>
      </c>
      <c r="H5772" s="222" t="s">
        <v>243</v>
      </c>
      <c r="I5772" s="222" t="s">
        <v>574</v>
      </c>
      <c r="J5772" s="1193" t="s">
        <v>19612</v>
      </c>
      <c r="K5772" s="1193" t="s">
        <v>19613</v>
      </c>
      <c r="L5772" s="613" t="s">
        <v>1</v>
      </c>
      <c r="M5772" s="183">
        <v>1</v>
      </c>
      <c r="N5772" s="183">
        <v>1</v>
      </c>
      <c r="O5772" s="222">
        <v>1</v>
      </c>
      <c r="P5772" s="222">
        <v>0</v>
      </c>
      <c r="Q5772" s="222">
        <v>0</v>
      </c>
      <c r="R5772" s="1195" t="s">
        <v>19614</v>
      </c>
      <c r="S5772" s="1195" t="s">
        <v>19614</v>
      </c>
      <c r="T5772" s="222" t="s">
        <v>311</v>
      </c>
      <c r="U5772" s="1527" t="s">
        <v>311</v>
      </c>
      <c r="V5772" s="222" t="s">
        <v>19603</v>
      </c>
      <c r="W5772" s="2155" t="s">
        <v>19615</v>
      </c>
      <c r="X5772" s="818"/>
      <c r="Y5772" s="1161"/>
    </row>
    <row r="5773" spans="1:25" ht="15.75" hidden="1" customHeight="1" outlineLevel="1">
      <c r="A5773" s="222">
        <v>5782</v>
      </c>
      <c r="B5773" s="858">
        <v>44788</v>
      </c>
      <c r="C5773" s="129" t="s">
        <v>19616</v>
      </c>
      <c r="D5773" s="11" t="s">
        <v>6</v>
      </c>
      <c r="E5773" s="1788" t="s">
        <v>19538</v>
      </c>
      <c r="F5773" s="1006" t="s">
        <v>17877</v>
      </c>
      <c r="G5773" s="863" t="s">
        <v>19617</v>
      </c>
      <c r="H5773" s="222" t="s">
        <v>19618</v>
      </c>
      <c r="I5773" s="222" t="s">
        <v>4634</v>
      </c>
      <c r="J5773" s="1193" t="s">
        <v>19619</v>
      </c>
      <c r="K5773" s="1193" t="s">
        <v>19620</v>
      </c>
      <c r="L5773" s="613" t="s">
        <v>1</v>
      </c>
      <c r="M5773" s="183">
        <v>1</v>
      </c>
      <c r="N5773" s="183">
        <v>1</v>
      </c>
      <c r="O5773" s="222">
        <v>1</v>
      </c>
      <c r="P5773" s="222">
        <v>0</v>
      </c>
      <c r="Q5773" s="222">
        <v>0</v>
      </c>
      <c r="R5773" s="1195" t="s">
        <v>19621</v>
      </c>
      <c r="S5773" s="1195" t="s">
        <v>19621</v>
      </c>
      <c r="T5773" s="222" t="s">
        <v>311</v>
      </c>
      <c r="U5773" s="1527" t="s">
        <v>311</v>
      </c>
      <c r="V5773" s="222" t="s">
        <v>19603</v>
      </c>
      <c r="W5773" s="2155" t="s">
        <v>19622</v>
      </c>
      <c r="X5773" s="818"/>
      <c r="Y5773" s="1161"/>
    </row>
    <row r="5774" spans="1:25" ht="15.75" hidden="1" customHeight="1" outlineLevel="1">
      <c r="A5774" s="222">
        <v>5783</v>
      </c>
      <c r="B5774" s="858">
        <v>44788</v>
      </c>
      <c r="C5774" s="129" t="s">
        <v>19623</v>
      </c>
      <c r="D5774" s="11" t="s">
        <v>6</v>
      </c>
      <c r="E5774" s="1788" t="s">
        <v>19538</v>
      </c>
      <c r="F5774" s="1006" t="s">
        <v>17877</v>
      </c>
      <c r="G5774" s="863" t="s">
        <v>19624</v>
      </c>
      <c r="H5774" s="222" t="s">
        <v>19625</v>
      </c>
      <c r="I5774" s="222" t="s">
        <v>574</v>
      </c>
      <c r="J5774" s="1193" t="s">
        <v>19626</v>
      </c>
      <c r="K5774" s="1193" t="s">
        <v>19626</v>
      </c>
      <c r="L5774" s="613" t="s">
        <v>1</v>
      </c>
      <c r="M5774" s="183">
        <v>1</v>
      </c>
      <c r="N5774" s="183">
        <v>1</v>
      </c>
      <c r="O5774" s="222">
        <v>1</v>
      </c>
      <c r="P5774" s="222">
        <v>0</v>
      </c>
      <c r="Q5774" s="222">
        <v>0</v>
      </c>
      <c r="R5774" s="1195" t="s">
        <v>19627</v>
      </c>
      <c r="S5774" s="1195" t="s">
        <v>19627</v>
      </c>
      <c r="T5774" s="222" t="s">
        <v>311</v>
      </c>
      <c r="U5774" s="1527" t="s">
        <v>311</v>
      </c>
      <c r="V5774" s="222" t="s">
        <v>19603</v>
      </c>
      <c r="W5774" s="2155" t="s">
        <v>19628</v>
      </c>
      <c r="X5774" s="818"/>
      <c r="Y5774" s="1161"/>
    </row>
    <row r="5775" spans="1:25" ht="15.75" hidden="1" customHeight="1" outlineLevel="1">
      <c r="A5775" s="222">
        <v>5784</v>
      </c>
      <c r="B5775" s="858">
        <v>44788</v>
      </c>
      <c r="C5775" s="129" t="s">
        <v>3902</v>
      </c>
      <c r="D5775" s="11" t="s">
        <v>6</v>
      </c>
      <c r="E5775" s="818" t="s">
        <v>62</v>
      </c>
      <c r="F5775" s="1006" t="s">
        <v>11441</v>
      </c>
      <c r="G5775" s="863" t="s">
        <v>19629</v>
      </c>
      <c r="H5775" s="222" t="s">
        <v>19164</v>
      </c>
      <c r="I5775" s="222" t="s">
        <v>574</v>
      </c>
      <c r="J5775" s="183" t="s">
        <v>19630</v>
      </c>
      <c r="K5775" s="183" t="s">
        <v>19631</v>
      </c>
      <c r="L5775" s="613"/>
      <c r="M5775" s="183">
        <v>1</v>
      </c>
      <c r="N5775" s="183">
        <v>1</v>
      </c>
      <c r="O5775" s="222">
        <v>1</v>
      </c>
      <c r="P5775" s="222">
        <v>0</v>
      </c>
      <c r="Q5775" s="222">
        <v>0</v>
      </c>
      <c r="R5775" s="1195">
        <v>106816</v>
      </c>
      <c r="S5775" s="1195">
        <f t="shared" si="306"/>
        <v>106816</v>
      </c>
      <c r="T5775" s="222" t="s">
        <v>18781</v>
      </c>
      <c r="U5775" s="1527" t="s">
        <v>18781</v>
      </c>
      <c r="V5775" s="222" t="s">
        <v>13780</v>
      </c>
      <c r="W5775" s="2155" t="s">
        <v>19632</v>
      </c>
      <c r="X5775" s="818"/>
      <c r="Y5775" s="1161"/>
    </row>
    <row r="5776" spans="1:25" ht="15.75" hidden="1" customHeight="1" outlineLevel="1">
      <c r="A5776" s="222">
        <v>5785</v>
      </c>
      <c r="B5776" s="858">
        <v>44788</v>
      </c>
      <c r="C5776" s="129" t="s">
        <v>19633</v>
      </c>
      <c r="D5776" s="11" t="s">
        <v>6</v>
      </c>
      <c r="E5776" s="818" t="s">
        <v>62</v>
      </c>
      <c r="F5776" s="1006" t="s">
        <v>11441</v>
      </c>
      <c r="G5776" s="863" t="s">
        <v>19634</v>
      </c>
      <c r="H5776" s="222" t="s">
        <v>1928</v>
      </c>
      <c r="I5776" s="222" t="s">
        <v>19635</v>
      </c>
      <c r="J5776" s="183" t="s">
        <v>19636</v>
      </c>
      <c r="K5776" s="183" t="s">
        <v>19636</v>
      </c>
      <c r="L5776" s="613"/>
      <c r="M5776" s="183">
        <v>1</v>
      </c>
      <c r="N5776" s="183">
        <v>1</v>
      </c>
      <c r="O5776" s="222">
        <v>1</v>
      </c>
      <c r="P5776" s="222">
        <v>0</v>
      </c>
      <c r="Q5776" s="222">
        <v>0</v>
      </c>
      <c r="R5776" s="1195">
        <v>34138</v>
      </c>
      <c r="S5776" s="1195">
        <f t="shared" si="306"/>
        <v>34138</v>
      </c>
      <c r="T5776" s="222" t="s">
        <v>18781</v>
      </c>
      <c r="U5776" s="1527" t="s">
        <v>18781</v>
      </c>
      <c r="V5776" s="222" t="s">
        <v>13780</v>
      </c>
      <c r="W5776" s="2155" t="s">
        <v>19637</v>
      </c>
      <c r="X5776" s="818"/>
      <c r="Y5776" s="1161"/>
    </row>
    <row r="5777" spans="1:25" ht="15.75" hidden="1" customHeight="1" outlineLevel="1">
      <c r="A5777" s="222">
        <v>5786</v>
      </c>
      <c r="B5777" s="858">
        <v>44788</v>
      </c>
      <c r="C5777" s="129" t="s">
        <v>19638</v>
      </c>
      <c r="D5777" s="10"/>
      <c r="E5777" s="818" t="s">
        <v>62</v>
      </c>
      <c r="F5777" s="1006" t="s">
        <v>11441</v>
      </c>
      <c r="G5777" s="863" t="s">
        <v>19639</v>
      </c>
      <c r="H5777" s="222" t="s">
        <v>19640</v>
      </c>
      <c r="I5777" s="222" t="s">
        <v>1022</v>
      </c>
      <c r="J5777" s="183"/>
      <c r="K5777" s="183" t="s">
        <v>19641</v>
      </c>
      <c r="L5777" s="613"/>
      <c r="M5777" s="183">
        <v>3</v>
      </c>
      <c r="N5777" s="183">
        <v>1</v>
      </c>
      <c r="O5777" s="222">
        <v>3</v>
      </c>
      <c r="P5777" s="222">
        <v>0</v>
      </c>
      <c r="Q5777" s="222">
        <v>0</v>
      </c>
      <c r="R5777" s="1195">
        <v>18400</v>
      </c>
      <c r="S5777" s="1195">
        <f t="shared" si="306"/>
        <v>55200</v>
      </c>
      <c r="T5777" s="222" t="s">
        <v>18781</v>
      </c>
      <c r="U5777" s="1527" t="s">
        <v>18781</v>
      </c>
      <c r="V5777" s="222" t="s">
        <v>13780</v>
      </c>
      <c r="W5777" s="2155" t="s">
        <v>19642</v>
      </c>
      <c r="X5777" s="818"/>
      <c r="Y5777" s="1161"/>
    </row>
    <row r="5778" spans="1:25" ht="15.75" hidden="1" customHeight="1" outlineLevel="1">
      <c r="A5778" s="222">
        <v>5787</v>
      </c>
      <c r="B5778" s="858">
        <v>44788</v>
      </c>
      <c r="C5778" s="129" t="s">
        <v>19643</v>
      </c>
      <c r="D5778" s="10"/>
      <c r="E5778" s="818" t="s">
        <v>62</v>
      </c>
      <c r="F5778" s="1006" t="s">
        <v>11441</v>
      </c>
      <c r="G5778" s="863" t="s">
        <v>19644</v>
      </c>
      <c r="H5778" s="222" t="s">
        <v>14278</v>
      </c>
      <c r="I5778" s="222" t="s">
        <v>1022</v>
      </c>
      <c r="J5778" s="183"/>
      <c r="K5778" s="183" t="s">
        <v>19645</v>
      </c>
      <c r="L5778" s="613"/>
      <c r="M5778" s="183">
        <v>4</v>
      </c>
      <c r="N5778" s="183">
        <v>1</v>
      </c>
      <c r="O5778" s="222">
        <v>4</v>
      </c>
      <c r="P5778" s="222">
        <v>0</v>
      </c>
      <c r="Q5778" s="222">
        <v>0</v>
      </c>
      <c r="R5778" s="1195">
        <v>13075</v>
      </c>
      <c r="S5778" s="1195">
        <f t="shared" si="306"/>
        <v>52300</v>
      </c>
      <c r="T5778" s="222" t="s">
        <v>18781</v>
      </c>
      <c r="U5778" s="1527" t="s">
        <v>18781</v>
      </c>
      <c r="V5778" s="222" t="s">
        <v>13780</v>
      </c>
      <c r="W5778" s="2155" t="s">
        <v>14279</v>
      </c>
      <c r="X5778" s="818"/>
      <c r="Y5778" s="1161"/>
    </row>
    <row r="5779" spans="1:25" ht="15.75" hidden="1" customHeight="1" outlineLevel="1">
      <c r="A5779" s="222">
        <v>5788</v>
      </c>
      <c r="B5779" s="858">
        <v>44795</v>
      </c>
      <c r="C5779" s="129" t="s">
        <v>19646</v>
      </c>
      <c r="D5779" s="8" t="s">
        <v>6</v>
      </c>
      <c r="E5779" s="818" t="s">
        <v>166</v>
      </c>
      <c r="F5779" s="1006" t="s">
        <v>19647</v>
      </c>
      <c r="G5779" s="863" t="s">
        <v>19648</v>
      </c>
      <c r="H5779" s="222" t="s">
        <v>1143</v>
      </c>
      <c r="I5779" s="222" t="s">
        <v>84</v>
      </c>
      <c r="J5779" s="183">
        <v>58274135</v>
      </c>
      <c r="K5779" s="183" t="s">
        <v>19649</v>
      </c>
      <c r="L5779" s="613"/>
      <c r="M5779" s="183">
        <v>2</v>
      </c>
      <c r="N5779" s="183">
        <v>1</v>
      </c>
      <c r="O5779" s="222">
        <v>3</v>
      </c>
      <c r="P5779" s="222">
        <v>0</v>
      </c>
      <c r="Q5779" s="222">
        <v>3</v>
      </c>
      <c r="R5779" s="1195">
        <v>219</v>
      </c>
      <c r="S5779" s="1195">
        <f t="shared" si="306"/>
        <v>657</v>
      </c>
      <c r="T5779" s="222" t="s">
        <v>311</v>
      </c>
      <c r="U5779" s="1527"/>
      <c r="V5779" s="222" t="s">
        <v>14002</v>
      </c>
      <c r="W5779" s="2155" t="s">
        <v>19650</v>
      </c>
      <c r="X5779" s="818"/>
      <c r="Y5779" s="1161"/>
    </row>
    <row r="5780" spans="1:25" ht="15.75" hidden="1" customHeight="1" outlineLevel="1">
      <c r="A5780" s="222">
        <v>5789</v>
      </c>
      <c r="B5780" s="858">
        <v>44795</v>
      </c>
      <c r="C5780" s="129" t="s">
        <v>19651</v>
      </c>
      <c r="D5780" s="8" t="s">
        <v>6</v>
      </c>
      <c r="E5780" s="818" t="s">
        <v>166</v>
      </c>
      <c r="F5780" s="1006" t="s">
        <v>19647</v>
      </c>
      <c r="G5780" s="863" t="s">
        <v>19652</v>
      </c>
      <c r="H5780" s="222" t="s">
        <v>107</v>
      </c>
      <c r="I5780" s="222" t="s">
        <v>84</v>
      </c>
      <c r="J5780" s="183">
        <v>11355977</v>
      </c>
      <c r="K5780" s="613" t="s">
        <v>19653</v>
      </c>
      <c r="L5780" s="613"/>
      <c r="M5780" s="183">
        <v>1</v>
      </c>
      <c r="N5780" s="183">
        <v>1</v>
      </c>
      <c r="O5780" s="222">
        <v>3</v>
      </c>
      <c r="P5780" s="222">
        <v>0</v>
      </c>
      <c r="Q5780" s="222">
        <v>3</v>
      </c>
      <c r="R5780" s="1195">
        <v>1290</v>
      </c>
      <c r="S5780" s="1195">
        <f t="shared" si="306"/>
        <v>3870</v>
      </c>
      <c r="T5780" s="222" t="s">
        <v>311</v>
      </c>
      <c r="U5780" s="1527"/>
      <c r="V5780" s="222" t="s">
        <v>14002</v>
      </c>
      <c r="W5780" s="2155" t="s">
        <v>19654</v>
      </c>
      <c r="X5780" s="818"/>
      <c r="Y5780" s="1161"/>
    </row>
    <row r="5781" spans="1:25" ht="15.75" hidden="1" customHeight="1" outlineLevel="1">
      <c r="A5781" s="222">
        <v>5790</v>
      </c>
      <c r="B5781" s="858">
        <v>44795</v>
      </c>
      <c r="C5781" s="129" t="s">
        <v>19275</v>
      </c>
      <c r="D5781" s="8" t="s">
        <v>6</v>
      </c>
      <c r="E5781" s="818" t="s">
        <v>166</v>
      </c>
      <c r="F5781" s="1006" t="s">
        <v>19265</v>
      </c>
      <c r="G5781" s="863" t="s">
        <v>450</v>
      </c>
      <c r="H5781" s="222" t="s">
        <v>16190</v>
      </c>
      <c r="I5781" s="222" t="s">
        <v>281</v>
      </c>
      <c r="J5781" s="183" t="s">
        <v>19276</v>
      </c>
      <c r="K5781" s="183" t="s">
        <v>19277</v>
      </c>
      <c r="L5781" s="613" t="s">
        <v>455</v>
      </c>
      <c r="M5781" s="183">
        <v>2</v>
      </c>
      <c r="N5781" s="183">
        <v>1</v>
      </c>
      <c r="O5781" s="222">
        <v>40</v>
      </c>
      <c r="P5781" s="222">
        <v>0</v>
      </c>
      <c r="Q5781" s="222">
        <v>38</v>
      </c>
      <c r="R5781" s="1195">
        <v>73</v>
      </c>
      <c r="S5781" s="1195">
        <f t="shared" si="306"/>
        <v>2920</v>
      </c>
      <c r="T5781" s="222" t="s">
        <v>18479</v>
      </c>
      <c r="U5781" s="1527" t="s">
        <v>448</v>
      </c>
      <c r="V5781" s="222" t="s">
        <v>19258</v>
      </c>
      <c r="W5781" s="2155" t="s">
        <v>19278</v>
      </c>
      <c r="X5781" s="818"/>
      <c r="Y5781" s="1161"/>
    </row>
    <row r="5782" spans="1:25" ht="15.75" hidden="1" customHeight="1" outlineLevel="1">
      <c r="A5782" s="222">
        <v>5791</v>
      </c>
      <c r="B5782" s="858">
        <v>44796</v>
      </c>
      <c r="C5782" s="129" t="s">
        <v>19655</v>
      </c>
      <c r="D5782" s="11" t="s">
        <v>6</v>
      </c>
      <c r="E5782" s="818" t="s">
        <v>166</v>
      </c>
      <c r="F5782" s="1006" t="s">
        <v>131</v>
      </c>
      <c r="G5782" s="863" t="s">
        <v>19656</v>
      </c>
      <c r="H5782" s="222" t="s">
        <v>84</v>
      </c>
      <c r="I5782" s="222" t="s">
        <v>84</v>
      </c>
      <c r="J5782" s="183">
        <v>64435709</v>
      </c>
      <c r="K5782" s="183">
        <v>64435709</v>
      </c>
      <c r="L5782" s="613"/>
      <c r="M5782" s="183">
        <v>2</v>
      </c>
      <c r="N5782" s="183">
        <v>1</v>
      </c>
      <c r="O5782" s="222">
        <v>2</v>
      </c>
      <c r="P5782" s="222">
        <v>0</v>
      </c>
      <c r="Q5782" s="222">
        <v>0</v>
      </c>
      <c r="R5782" s="1195">
        <v>6590</v>
      </c>
      <c r="S5782" s="1195">
        <f t="shared" si="306"/>
        <v>13180</v>
      </c>
      <c r="T5782" s="222" t="s">
        <v>19657</v>
      </c>
      <c r="U5782" s="1527" t="s">
        <v>19658</v>
      </c>
      <c r="V5782" s="222" t="s">
        <v>1141</v>
      </c>
      <c r="W5782" s="2155" t="s">
        <v>19659</v>
      </c>
      <c r="X5782" s="818"/>
      <c r="Y5782" s="1161"/>
    </row>
    <row r="5783" spans="1:25" ht="15.75" hidden="1" customHeight="1" outlineLevel="1">
      <c r="A5783" s="222">
        <v>5792</v>
      </c>
      <c r="B5783" s="858">
        <v>44796</v>
      </c>
      <c r="C5783" s="1819" t="s">
        <v>19660</v>
      </c>
      <c r="D5783" s="11" t="s">
        <v>6</v>
      </c>
      <c r="E5783" s="818" t="s">
        <v>166</v>
      </c>
      <c r="F5783" s="1817" t="s">
        <v>131</v>
      </c>
      <c r="G5783" s="1817" t="s">
        <v>19661</v>
      </c>
      <c r="H5783" s="1817" t="s">
        <v>19662</v>
      </c>
      <c r="I5783" s="1817" t="s">
        <v>19663</v>
      </c>
      <c r="J5783" s="1817" t="s">
        <v>19664</v>
      </c>
      <c r="K5783" s="1817" t="s">
        <v>19664</v>
      </c>
      <c r="L5783" s="1820" t="s">
        <v>1</v>
      </c>
      <c r="M5783" s="1817">
        <v>1</v>
      </c>
      <c r="N5783" s="1817">
        <v>1</v>
      </c>
      <c r="O5783" s="1817">
        <v>1</v>
      </c>
      <c r="P5783" s="1817">
        <v>1</v>
      </c>
      <c r="Q5783" s="1817">
        <v>1</v>
      </c>
      <c r="R5783" s="1817">
        <v>5500</v>
      </c>
      <c r="S5783" s="1817">
        <v>5500</v>
      </c>
      <c r="T5783" s="1817" t="s">
        <v>18479</v>
      </c>
      <c r="U5783" s="2000" t="s">
        <v>19665</v>
      </c>
      <c r="V5783" s="636" t="s">
        <v>18608</v>
      </c>
      <c r="W5783" s="1816" t="s">
        <v>19666</v>
      </c>
      <c r="X5783" s="818"/>
      <c r="Y5783" s="1161"/>
    </row>
    <row r="5784" spans="1:25" ht="15.75" hidden="1" customHeight="1" outlineLevel="1">
      <c r="A5784" s="222">
        <v>5793</v>
      </c>
      <c r="B5784" s="858">
        <v>44796</v>
      </c>
      <c r="C5784" s="1821" t="s">
        <v>13345</v>
      </c>
      <c r="D5784" s="11" t="s">
        <v>6</v>
      </c>
      <c r="E5784" s="818" t="s">
        <v>166</v>
      </c>
      <c r="F5784" s="1818" t="s">
        <v>131</v>
      </c>
      <c r="G5784" s="1822" t="s">
        <v>19667</v>
      </c>
      <c r="H5784" s="1822" t="s">
        <v>19668</v>
      </c>
      <c r="I5784" s="1822" t="s">
        <v>76</v>
      </c>
      <c r="J5784" s="1822">
        <v>15077</v>
      </c>
      <c r="K5784" s="1822">
        <v>833018</v>
      </c>
      <c r="L5784" s="1822" t="s">
        <v>16488</v>
      </c>
      <c r="M5784" s="1822">
        <v>1</v>
      </c>
      <c r="N5784" s="1822">
        <v>1</v>
      </c>
      <c r="O5784" s="1822">
        <v>2</v>
      </c>
      <c r="P5784" s="1822">
        <v>1</v>
      </c>
      <c r="Q5784" s="1822">
        <v>2</v>
      </c>
      <c r="R5784" s="1822">
        <v>1446</v>
      </c>
      <c r="S5784" s="1818">
        <v>2892</v>
      </c>
      <c r="T5784" s="1822" t="s">
        <v>118</v>
      </c>
      <c r="U5784" s="2001" t="s">
        <v>118</v>
      </c>
      <c r="V5784" s="1849" t="s">
        <v>118</v>
      </c>
      <c r="W5784" s="890" t="s">
        <v>19669</v>
      </c>
      <c r="X5784" s="818"/>
      <c r="Y5784" s="1161"/>
    </row>
    <row r="5785" spans="1:25" ht="15.75" hidden="1" customHeight="1" outlineLevel="1">
      <c r="A5785" s="222">
        <v>5794</v>
      </c>
      <c r="B5785" s="858">
        <v>44796</v>
      </c>
      <c r="C5785" s="129" t="s">
        <v>1149</v>
      </c>
      <c r="D5785" s="11" t="s">
        <v>6</v>
      </c>
      <c r="E5785" s="818" t="s">
        <v>166</v>
      </c>
      <c r="F5785" s="1818" t="s">
        <v>131</v>
      </c>
      <c r="G5785" s="863" t="s">
        <v>10390</v>
      </c>
      <c r="H5785" s="222" t="s">
        <v>9417</v>
      </c>
      <c r="I5785" s="222" t="s">
        <v>84</v>
      </c>
      <c r="J5785" s="183">
        <v>2208543</v>
      </c>
      <c r="K5785" s="183" t="s">
        <v>1151</v>
      </c>
      <c r="L5785" s="613"/>
      <c r="M5785" s="183">
        <v>1</v>
      </c>
      <c r="N5785" s="183">
        <v>1</v>
      </c>
      <c r="O5785" s="222">
        <v>1</v>
      </c>
      <c r="P5785" s="222">
        <v>0</v>
      </c>
      <c r="Q5785" s="222">
        <v>0</v>
      </c>
      <c r="R5785" s="1195">
        <v>1890</v>
      </c>
      <c r="S5785" s="1195">
        <f t="shared" si="306"/>
        <v>1890</v>
      </c>
      <c r="T5785" s="222" t="s">
        <v>19657</v>
      </c>
      <c r="U5785" s="1527" t="s">
        <v>19658</v>
      </c>
      <c r="V5785" s="222" t="s">
        <v>1141</v>
      </c>
      <c r="W5785" s="2155" t="s">
        <v>19670</v>
      </c>
      <c r="X5785" s="818"/>
      <c r="Y5785" s="1161"/>
    </row>
    <row r="5786" spans="1:25" ht="15.75" hidden="1" customHeight="1" outlineLevel="1">
      <c r="A5786" s="222">
        <v>5795</v>
      </c>
      <c r="B5786" s="858">
        <v>44796</v>
      </c>
      <c r="C5786" s="129" t="s">
        <v>19671</v>
      </c>
      <c r="D5786" s="11" t="s">
        <v>6</v>
      </c>
      <c r="E5786" s="818" t="s">
        <v>166</v>
      </c>
      <c r="F5786" s="1006" t="s">
        <v>2876</v>
      </c>
      <c r="G5786" s="863" t="s">
        <v>19672</v>
      </c>
      <c r="H5786" s="222" t="s">
        <v>287</v>
      </c>
      <c r="I5786" s="222" t="s">
        <v>287</v>
      </c>
      <c r="J5786">
        <v>22082200205</v>
      </c>
      <c r="K5786" t="s">
        <v>149</v>
      </c>
      <c r="L5786" s="613" t="s">
        <v>149</v>
      </c>
      <c r="M5786" s="183">
        <v>1</v>
      </c>
      <c r="N5786" s="183">
        <v>1</v>
      </c>
      <c r="O5786" s="222">
        <v>2</v>
      </c>
      <c r="P5786" s="222">
        <v>0</v>
      </c>
      <c r="Q5786" s="222">
        <v>1</v>
      </c>
      <c r="R5786" s="1195">
        <f>178126/2</f>
        <v>89063</v>
      </c>
      <c r="S5786" s="1195">
        <f t="shared" si="306"/>
        <v>178126</v>
      </c>
      <c r="T5786" s="222" t="s">
        <v>12425</v>
      </c>
      <c r="U5786" s="1527" t="s">
        <v>3637</v>
      </c>
      <c r="V5786" s="222" t="s">
        <v>19673</v>
      </c>
      <c r="W5786" s="2155"/>
      <c r="X5786" s="818"/>
      <c r="Y5786" s="1161"/>
    </row>
    <row r="5787" spans="1:25" ht="15.75" hidden="1" customHeight="1" outlineLevel="1">
      <c r="A5787" s="222">
        <v>5796</v>
      </c>
      <c r="B5787" s="858">
        <v>44798</v>
      </c>
      <c r="C5787" s="129" t="s">
        <v>19674</v>
      </c>
      <c r="D5787" s="11" t="s">
        <v>6</v>
      </c>
      <c r="E5787" s="818" t="s">
        <v>572</v>
      </c>
      <c r="F5787" s="1006" t="s">
        <v>784</v>
      </c>
      <c r="G5787" s="863" t="s">
        <v>19675</v>
      </c>
      <c r="H5787" s="222" t="s">
        <v>149</v>
      </c>
      <c r="I5787" s="222" t="s">
        <v>281</v>
      </c>
      <c r="J5787" s="183" t="s">
        <v>149</v>
      </c>
      <c r="K5787" s="183" t="s">
        <v>149</v>
      </c>
      <c r="L5787" s="613" t="s">
        <v>149</v>
      </c>
      <c r="M5787" s="183">
        <v>1</v>
      </c>
      <c r="N5787" s="183">
        <v>1</v>
      </c>
      <c r="O5787" s="222">
        <v>1</v>
      </c>
      <c r="P5787" s="222">
        <v>0</v>
      </c>
      <c r="Q5787" s="222">
        <v>0</v>
      </c>
      <c r="R5787" s="1195">
        <v>74498</v>
      </c>
      <c r="S5787" s="1195">
        <f t="shared" si="306"/>
        <v>74498</v>
      </c>
      <c r="T5787" s="222" t="s">
        <v>10016</v>
      </c>
      <c r="U5787" s="1527" t="s">
        <v>10016</v>
      </c>
      <c r="V5787" s="222" t="s">
        <v>19676</v>
      </c>
      <c r="W5787" s="2155"/>
      <c r="X5787" s="818"/>
      <c r="Y5787" s="1161"/>
    </row>
    <row r="5788" spans="1:25" ht="15.75" hidden="1" customHeight="1" outlineLevel="1">
      <c r="A5788" s="222">
        <v>5797</v>
      </c>
      <c r="B5788" s="858">
        <v>44798</v>
      </c>
      <c r="C5788" s="1132" t="s">
        <v>19677</v>
      </c>
      <c r="D5788" s="11" t="s">
        <v>6</v>
      </c>
      <c r="E5788" s="204" t="s">
        <v>683</v>
      </c>
      <c r="F5788" s="1039" t="s">
        <v>10005</v>
      </c>
      <c r="G5788" s="874" t="s">
        <v>19678</v>
      </c>
      <c r="H5788" s="874" t="s">
        <v>2103</v>
      </c>
      <c r="I5788" s="874" t="s">
        <v>2103</v>
      </c>
      <c r="J5788" s="1461" t="s">
        <v>1</v>
      </c>
      <c r="K5788" s="874" t="s">
        <v>19679</v>
      </c>
      <c r="L5788" s="874" t="s">
        <v>149</v>
      </c>
      <c r="M5788" s="874">
        <v>1</v>
      </c>
      <c r="N5788" s="874">
        <v>1</v>
      </c>
      <c r="O5788" s="874">
        <v>3</v>
      </c>
      <c r="P5788" s="874">
        <v>0</v>
      </c>
      <c r="Q5788" s="874">
        <v>2</v>
      </c>
      <c r="R5788" s="1744" t="s">
        <v>19680</v>
      </c>
      <c r="S5788" s="1745" t="s">
        <v>19681</v>
      </c>
      <c r="T5788" s="873" t="s">
        <v>14509</v>
      </c>
      <c r="U5788" s="1969" t="s">
        <v>4220</v>
      </c>
      <c r="V5788" s="54" t="s">
        <v>689</v>
      </c>
      <c r="W5788" s="2155"/>
      <c r="X5788" s="818"/>
      <c r="Y5788" s="1161"/>
    </row>
    <row r="5789" spans="1:25" ht="15.75" hidden="1" customHeight="1" outlineLevel="1">
      <c r="A5789" s="222">
        <v>5798</v>
      </c>
      <c r="B5789" s="858">
        <v>44798</v>
      </c>
      <c r="C5789" s="1139" t="s">
        <v>19677</v>
      </c>
      <c r="D5789" s="11" t="s">
        <v>6</v>
      </c>
      <c r="E5789" s="204" t="s">
        <v>683</v>
      </c>
      <c r="F5789" s="1040" t="s">
        <v>10005</v>
      </c>
      <c r="G5789" s="1041" t="s">
        <v>19682</v>
      </c>
      <c r="H5789" s="1041" t="s">
        <v>2103</v>
      </c>
      <c r="I5789" s="1041" t="s">
        <v>2103</v>
      </c>
      <c r="J5789" s="1669" t="s">
        <v>1</v>
      </c>
      <c r="K5789" s="1041" t="s">
        <v>19679</v>
      </c>
      <c r="L5789" s="1041" t="s">
        <v>149</v>
      </c>
      <c r="M5789" s="1041">
        <v>1</v>
      </c>
      <c r="N5789" s="1041">
        <v>1</v>
      </c>
      <c r="O5789" s="1041">
        <v>2</v>
      </c>
      <c r="P5789" s="1041">
        <v>0</v>
      </c>
      <c r="Q5789" s="1041">
        <v>2</v>
      </c>
      <c r="R5789" s="1823" t="s">
        <v>19683</v>
      </c>
      <c r="S5789" s="1824" t="s">
        <v>19683</v>
      </c>
      <c r="T5789" s="1128" t="s">
        <v>14509</v>
      </c>
      <c r="U5789" s="1972" t="s">
        <v>4220</v>
      </c>
      <c r="V5789" s="54" t="s">
        <v>689</v>
      </c>
      <c r="W5789" s="2155"/>
      <c r="X5789" s="818"/>
      <c r="Y5789" s="1161"/>
    </row>
    <row r="5790" spans="1:25" ht="15.75" hidden="1" customHeight="1" outlineLevel="1">
      <c r="A5790" s="222">
        <v>5799</v>
      </c>
      <c r="B5790" s="858">
        <v>44798</v>
      </c>
      <c r="C5790" s="1139" t="s">
        <v>19684</v>
      </c>
      <c r="D5790" s="11" t="s">
        <v>6</v>
      </c>
      <c r="E5790" s="204" t="s">
        <v>683</v>
      </c>
      <c r="F5790" s="1040" t="s">
        <v>10005</v>
      </c>
      <c r="G5790" s="1041" t="s">
        <v>19685</v>
      </c>
      <c r="H5790" s="1669" t="s">
        <v>1</v>
      </c>
      <c r="I5790" s="1669" t="s">
        <v>1</v>
      </c>
      <c r="J5790" s="1669" t="s">
        <v>1</v>
      </c>
      <c r="K5790" s="1669" t="s">
        <v>1</v>
      </c>
      <c r="L5790" s="1041" t="s">
        <v>149</v>
      </c>
      <c r="M5790" s="1669" t="s">
        <v>1</v>
      </c>
      <c r="N5790" s="1669" t="s">
        <v>1</v>
      </c>
      <c r="O5790" s="1041">
        <v>1</v>
      </c>
      <c r="P5790" s="1669" t="s">
        <v>1</v>
      </c>
      <c r="Q5790" s="1669" t="s">
        <v>1</v>
      </c>
      <c r="R5790" s="1823" t="s">
        <v>19686</v>
      </c>
      <c r="S5790" s="1824" t="s">
        <v>19686</v>
      </c>
      <c r="T5790" s="1128" t="s">
        <v>14509</v>
      </c>
      <c r="U5790" s="1972" t="s">
        <v>4220</v>
      </c>
      <c r="V5790" s="54" t="s">
        <v>689</v>
      </c>
      <c r="W5790" s="2155"/>
      <c r="X5790" s="818"/>
      <c r="Y5790" s="1161"/>
    </row>
    <row r="5791" spans="1:25" ht="15.75" hidden="1" customHeight="1" outlineLevel="1">
      <c r="A5791" s="222">
        <v>5800</v>
      </c>
      <c r="B5791" s="858">
        <v>44802</v>
      </c>
      <c r="C5791" s="129" t="s">
        <v>329</v>
      </c>
      <c r="D5791" s="11" t="s">
        <v>6</v>
      </c>
      <c r="E5791" s="818" t="s">
        <v>166</v>
      </c>
      <c r="F5791" s="1006" t="s">
        <v>19687</v>
      </c>
      <c r="G5791" s="863" t="s">
        <v>14031</v>
      </c>
      <c r="H5791" s="222" t="s">
        <v>144</v>
      </c>
      <c r="I5791" s="222" t="s">
        <v>4634</v>
      </c>
      <c r="J5791" s="183" t="s">
        <v>14030</v>
      </c>
      <c r="K5791" s="183" t="s">
        <v>14031</v>
      </c>
      <c r="L5791" s="613" t="s">
        <v>16451</v>
      </c>
      <c r="M5791" s="183">
        <v>10</v>
      </c>
      <c r="N5791" s="183">
        <v>20</v>
      </c>
      <c r="O5791" s="183">
        <v>20</v>
      </c>
      <c r="P5791" s="1041">
        <v>0</v>
      </c>
      <c r="Q5791" s="222">
        <v>19.7</v>
      </c>
      <c r="R5791" s="1195">
        <v>28</v>
      </c>
      <c r="S5791" s="1195">
        <f t="shared" si="306"/>
        <v>560</v>
      </c>
      <c r="T5791" s="222" t="s">
        <v>12425</v>
      </c>
      <c r="U5791" s="1527" t="s">
        <v>16236</v>
      </c>
      <c r="V5791" s="222" t="s">
        <v>19673</v>
      </c>
      <c r="W5791" s="2155" t="s">
        <v>14032</v>
      </c>
      <c r="X5791" s="818"/>
      <c r="Y5791" s="1161"/>
    </row>
    <row r="5792" spans="1:25" ht="15.75" hidden="1" customHeight="1" outlineLevel="1">
      <c r="A5792" s="222">
        <v>5801</v>
      </c>
      <c r="B5792" s="858">
        <v>44802</v>
      </c>
      <c r="C5792" s="129" t="s">
        <v>329</v>
      </c>
      <c r="D5792" s="11" t="s">
        <v>6</v>
      </c>
      <c r="E5792" s="818" t="s">
        <v>166</v>
      </c>
      <c r="F5792" s="1006" t="s">
        <v>19687</v>
      </c>
      <c r="G5792" s="863" t="s">
        <v>16355</v>
      </c>
      <c r="H5792" s="222" t="s">
        <v>332</v>
      </c>
      <c r="I5792" s="222" t="s">
        <v>4634</v>
      </c>
      <c r="J5792" s="183" t="s">
        <v>16354</v>
      </c>
      <c r="K5792" s="183" t="s">
        <v>16355</v>
      </c>
      <c r="L5792" s="613" t="s">
        <v>16451</v>
      </c>
      <c r="M5792" s="183">
        <v>4</v>
      </c>
      <c r="N5792" s="183">
        <v>20</v>
      </c>
      <c r="O5792" s="183">
        <v>20</v>
      </c>
      <c r="P5792" s="1041">
        <v>0</v>
      </c>
      <c r="Q5792" s="222">
        <f t="shared" ref="Q5792:Q5805" si="307">+O5792-M5792</f>
        <v>16</v>
      </c>
      <c r="R5792" s="1195">
        <v>70.7</v>
      </c>
      <c r="S5792" s="1195">
        <f t="shared" si="306"/>
        <v>1414</v>
      </c>
      <c r="T5792" s="222" t="s">
        <v>12425</v>
      </c>
      <c r="U5792" s="1527" t="s">
        <v>16236</v>
      </c>
      <c r="V5792" s="222" t="s">
        <v>19673</v>
      </c>
      <c r="W5792" s="2155" t="s">
        <v>16356</v>
      </c>
      <c r="X5792" s="818"/>
      <c r="Y5792" s="1161"/>
    </row>
    <row r="5793" spans="1:25" ht="15.75" hidden="1" customHeight="1" outlineLevel="1">
      <c r="A5793" s="222">
        <v>5802</v>
      </c>
      <c r="B5793" s="858">
        <v>44802</v>
      </c>
      <c r="C5793" s="129" t="s">
        <v>152</v>
      </c>
      <c r="D5793" s="11" t="s">
        <v>6</v>
      </c>
      <c r="E5793" s="818" t="s">
        <v>166</v>
      </c>
      <c r="F5793" s="1006" t="s">
        <v>19687</v>
      </c>
      <c r="G5793" s="863" t="s">
        <v>16386</v>
      </c>
      <c r="H5793" s="222" t="s">
        <v>3676</v>
      </c>
      <c r="I5793" s="222" t="s">
        <v>574</v>
      </c>
      <c r="J5793" s="129" t="s">
        <v>19688</v>
      </c>
      <c r="K5793" s="183" t="s">
        <v>16386</v>
      </c>
      <c r="L5793" s="613" t="s">
        <v>16451</v>
      </c>
      <c r="M5793" s="183">
        <v>5</v>
      </c>
      <c r="N5793" s="183">
        <v>20</v>
      </c>
      <c r="O5793" s="183">
        <v>20</v>
      </c>
      <c r="P5793" s="1041">
        <v>0</v>
      </c>
      <c r="Q5793" s="222">
        <f t="shared" si="307"/>
        <v>15</v>
      </c>
      <c r="R5793" s="1195">
        <v>191.3</v>
      </c>
      <c r="S5793" s="1195">
        <f t="shared" si="306"/>
        <v>3826</v>
      </c>
      <c r="T5793" s="222" t="s">
        <v>12425</v>
      </c>
      <c r="U5793" s="1527" t="s">
        <v>16236</v>
      </c>
      <c r="V5793" s="222" t="s">
        <v>19673</v>
      </c>
      <c r="W5793" s="2155" t="s">
        <v>19689</v>
      </c>
      <c r="X5793" s="818"/>
      <c r="Y5793" s="1161"/>
    </row>
    <row r="5794" spans="1:25" ht="15.75" hidden="1" customHeight="1" outlineLevel="1">
      <c r="A5794" s="222">
        <v>5803</v>
      </c>
      <c r="B5794" s="858">
        <v>44802</v>
      </c>
      <c r="C5794" s="129" t="s">
        <v>152</v>
      </c>
      <c r="D5794" s="11" t="s">
        <v>6</v>
      </c>
      <c r="E5794" s="818" t="s">
        <v>166</v>
      </c>
      <c r="F5794" s="1006" t="s">
        <v>19687</v>
      </c>
      <c r="G5794" s="863" t="s">
        <v>14089</v>
      </c>
      <c r="H5794" s="222" t="s">
        <v>166</v>
      </c>
      <c r="I5794" s="222" t="s">
        <v>4634</v>
      </c>
      <c r="J5794" s="183" t="s">
        <v>14088</v>
      </c>
      <c r="K5794" s="183" t="s">
        <v>14089</v>
      </c>
      <c r="L5794" s="613" t="s">
        <v>16451</v>
      </c>
      <c r="M5794" s="183">
        <v>10</v>
      </c>
      <c r="N5794" s="183">
        <v>30</v>
      </c>
      <c r="O5794" s="183">
        <v>30</v>
      </c>
      <c r="P5794" s="1041">
        <v>0</v>
      </c>
      <c r="Q5794" s="222">
        <f t="shared" si="307"/>
        <v>20</v>
      </c>
      <c r="R5794" s="1195">
        <v>33.200000000000003</v>
      </c>
      <c r="S5794" s="1195">
        <f t="shared" si="306"/>
        <v>996.00000000000011</v>
      </c>
      <c r="T5794" s="222" t="s">
        <v>12425</v>
      </c>
      <c r="U5794" s="1527" t="s">
        <v>16236</v>
      </c>
      <c r="V5794" s="222" t="s">
        <v>19673</v>
      </c>
      <c r="W5794" s="2155" t="s">
        <v>14090</v>
      </c>
      <c r="X5794" s="818"/>
      <c r="Y5794" s="1161"/>
    </row>
    <row r="5795" spans="1:25" ht="15.75" hidden="1" customHeight="1" outlineLevel="1">
      <c r="A5795" s="222">
        <v>5804</v>
      </c>
      <c r="B5795" s="858">
        <v>44802</v>
      </c>
      <c r="C5795" s="129" t="s">
        <v>13376</v>
      </c>
      <c r="D5795" s="11" t="s">
        <v>6</v>
      </c>
      <c r="E5795" s="818" t="s">
        <v>166</v>
      </c>
      <c r="F5795" s="1006" t="s">
        <v>19687</v>
      </c>
      <c r="G5795" s="863" t="s">
        <v>9918</v>
      </c>
      <c r="H5795" s="222" t="s">
        <v>1059</v>
      </c>
      <c r="I5795" s="222" t="s">
        <v>574</v>
      </c>
      <c r="J5795" s="129" t="s">
        <v>19690</v>
      </c>
      <c r="K5795" s="183" t="s">
        <v>9918</v>
      </c>
      <c r="L5795" s="613" t="s">
        <v>16451</v>
      </c>
      <c r="M5795" s="183">
        <v>2</v>
      </c>
      <c r="N5795" s="183">
        <v>6</v>
      </c>
      <c r="O5795" s="183">
        <v>6</v>
      </c>
      <c r="P5795" s="1041">
        <v>0</v>
      </c>
      <c r="Q5795" s="222">
        <f t="shared" si="307"/>
        <v>4</v>
      </c>
      <c r="R5795" s="1195">
        <v>94</v>
      </c>
      <c r="S5795" s="1195">
        <f t="shared" si="306"/>
        <v>564</v>
      </c>
      <c r="T5795" s="222" t="s">
        <v>12425</v>
      </c>
      <c r="U5795" s="1527" t="s">
        <v>16236</v>
      </c>
      <c r="V5795" s="222" t="s">
        <v>19673</v>
      </c>
      <c r="W5795" s="2155" t="s">
        <v>19691</v>
      </c>
      <c r="X5795" s="818"/>
      <c r="Y5795" s="1161"/>
    </row>
    <row r="5796" spans="1:25" ht="15.75" hidden="1" customHeight="1" outlineLevel="1">
      <c r="A5796" s="222">
        <v>5805</v>
      </c>
      <c r="B5796" s="858">
        <v>44802</v>
      </c>
      <c r="C5796" s="129" t="s">
        <v>589</v>
      </c>
      <c r="D5796" s="11" t="s">
        <v>6</v>
      </c>
      <c r="E5796" s="818" t="s">
        <v>166</v>
      </c>
      <c r="F5796" s="1006" t="s">
        <v>19687</v>
      </c>
      <c r="G5796" s="863" t="s">
        <v>14640</v>
      </c>
      <c r="H5796" s="222" t="s">
        <v>8101</v>
      </c>
      <c r="I5796" s="222" t="s">
        <v>4634</v>
      </c>
      <c r="J5796" s="183" t="s">
        <v>19692</v>
      </c>
      <c r="K5796" s="183" t="s">
        <v>14640</v>
      </c>
      <c r="L5796" s="613" t="s">
        <v>16451</v>
      </c>
      <c r="M5796" s="183">
        <v>4</v>
      </c>
      <c r="N5796" s="183">
        <v>10</v>
      </c>
      <c r="O5796" s="183">
        <v>10</v>
      </c>
      <c r="P5796" s="1041">
        <v>0</v>
      </c>
      <c r="Q5796" s="222">
        <f t="shared" si="307"/>
        <v>6</v>
      </c>
      <c r="R5796" s="1195">
        <v>23.9</v>
      </c>
      <c r="S5796" s="1195">
        <f t="shared" si="306"/>
        <v>239</v>
      </c>
      <c r="T5796" s="222" t="s">
        <v>12425</v>
      </c>
      <c r="U5796" s="1527" t="s">
        <v>16236</v>
      </c>
      <c r="V5796" s="222" t="s">
        <v>19673</v>
      </c>
      <c r="W5796" s="2155" t="s">
        <v>19693</v>
      </c>
      <c r="X5796" s="818"/>
      <c r="Y5796" s="1161"/>
    </row>
    <row r="5797" spans="1:25" ht="15.75" hidden="1" customHeight="1" outlineLevel="1">
      <c r="A5797" s="222">
        <v>5806</v>
      </c>
      <c r="B5797" s="858">
        <v>44802</v>
      </c>
      <c r="C5797" s="129" t="s">
        <v>14655</v>
      </c>
      <c r="D5797" s="11" t="s">
        <v>6</v>
      </c>
      <c r="E5797" s="818" t="s">
        <v>166</v>
      </c>
      <c r="F5797" s="1006" t="s">
        <v>19687</v>
      </c>
      <c r="G5797" s="863" t="s">
        <v>7093</v>
      </c>
      <c r="H5797" s="222" t="s">
        <v>3097</v>
      </c>
      <c r="I5797" s="222" t="s">
        <v>4634</v>
      </c>
      <c r="J5797" s="183" t="s">
        <v>16468</v>
      </c>
      <c r="K5797" s="183" t="s">
        <v>7093</v>
      </c>
      <c r="L5797" s="613" t="s">
        <v>16451</v>
      </c>
      <c r="M5797" s="183">
        <v>4</v>
      </c>
      <c r="N5797" s="183">
        <v>10</v>
      </c>
      <c r="O5797" s="183">
        <v>10</v>
      </c>
      <c r="P5797" s="1041">
        <v>0</v>
      </c>
      <c r="Q5797" s="222">
        <f t="shared" si="307"/>
        <v>6</v>
      </c>
      <c r="R5797" s="1195">
        <v>47.9</v>
      </c>
      <c r="S5797" s="1195">
        <f t="shared" si="306"/>
        <v>479</v>
      </c>
      <c r="T5797" s="222" t="s">
        <v>12425</v>
      </c>
      <c r="U5797" s="1527" t="s">
        <v>16236</v>
      </c>
      <c r="V5797" s="222" t="s">
        <v>19673</v>
      </c>
      <c r="W5797" s="2155" t="s">
        <v>16470</v>
      </c>
      <c r="X5797" s="818"/>
      <c r="Y5797" s="1161"/>
    </row>
    <row r="5798" spans="1:25" ht="15.75" hidden="1" customHeight="1" outlineLevel="1">
      <c r="A5798" s="222">
        <f>+A5797+1</f>
        <v>5807</v>
      </c>
      <c r="B5798" s="858">
        <v>44802</v>
      </c>
      <c r="C5798" s="129" t="s">
        <v>10491</v>
      </c>
      <c r="D5798" s="11" t="s">
        <v>6</v>
      </c>
      <c r="E5798" s="818" t="s">
        <v>166</v>
      </c>
      <c r="F5798" s="1006" t="s">
        <v>19687</v>
      </c>
      <c r="G5798" s="863" t="s">
        <v>19694</v>
      </c>
      <c r="H5798" s="222" t="s">
        <v>19695</v>
      </c>
      <c r="I5798" s="222" t="s">
        <v>1022</v>
      </c>
      <c r="J5798" s="183" t="s">
        <v>12461</v>
      </c>
      <c r="K5798" s="183" t="s">
        <v>12461</v>
      </c>
      <c r="L5798" s="613" t="s">
        <v>149</v>
      </c>
      <c r="M5798" s="183">
        <v>4</v>
      </c>
      <c r="N5798" s="183">
        <v>6</v>
      </c>
      <c r="O5798" s="183">
        <v>6</v>
      </c>
      <c r="P5798" s="1041">
        <v>0</v>
      </c>
      <c r="Q5798" s="222">
        <f t="shared" si="307"/>
        <v>2</v>
      </c>
      <c r="R5798" s="1195">
        <v>4399</v>
      </c>
      <c r="S5798" s="1195">
        <f t="shared" si="306"/>
        <v>26394</v>
      </c>
      <c r="T5798" s="222" t="s">
        <v>12425</v>
      </c>
      <c r="U5798" s="1527" t="s">
        <v>16236</v>
      </c>
      <c r="V5798" s="222" t="s">
        <v>19673</v>
      </c>
      <c r="W5798" s="2155" t="s">
        <v>19696</v>
      </c>
      <c r="X5798" s="818"/>
      <c r="Y5798" s="1161"/>
    </row>
    <row r="5799" spans="1:25" ht="15.75" hidden="1" customHeight="1" outlineLevel="1">
      <c r="A5799" s="222">
        <f t="shared" ref="A5799" si="308">+A5798+1</f>
        <v>5808</v>
      </c>
      <c r="B5799" s="858">
        <v>44802</v>
      </c>
      <c r="C5799" s="129" t="s">
        <v>8891</v>
      </c>
      <c r="D5799" s="11" t="s">
        <v>6</v>
      </c>
      <c r="E5799" s="818" t="s">
        <v>166</v>
      </c>
      <c r="F5799" s="1006" t="s">
        <v>19687</v>
      </c>
      <c r="G5799" s="863" t="s">
        <v>19697</v>
      </c>
      <c r="H5799" s="222" t="s">
        <v>19698</v>
      </c>
      <c r="I5799" s="222" t="s">
        <v>4634</v>
      </c>
      <c r="J5799" s="183" t="s">
        <v>15202</v>
      </c>
      <c r="K5799" s="183" t="s">
        <v>15203</v>
      </c>
      <c r="L5799" s="613" t="s">
        <v>16451</v>
      </c>
      <c r="M5799" s="183">
        <v>4</v>
      </c>
      <c r="N5799" s="183">
        <v>10</v>
      </c>
      <c r="O5799" s="183">
        <v>10</v>
      </c>
      <c r="P5799" s="1041">
        <v>0</v>
      </c>
      <c r="Q5799" s="222">
        <f t="shared" si="307"/>
        <v>6</v>
      </c>
      <c r="R5799" s="1195">
        <v>59.4</v>
      </c>
      <c r="S5799" s="1195">
        <f t="shared" si="306"/>
        <v>594</v>
      </c>
      <c r="T5799" s="222" t="s">
        <v>12425</v>
      </c>
      <c r="U5799" s="1527" t="s">
        <v>16236</v>
      </c>
      <c r="V5799" s="222" t="s">
        <v>19673</v>
      </c>
      <c r="W5799" s="2155" t="s">
        <v>15205</v>
      </c>
      <c r="X5799" s="818"/>
      <c r="Y5799" s="1161"/>
    </row>
    <row r="5800" spans="1:25" ht="15.75" hidden="1" customHeight="1" outlineLevel="1">
      <c r="A5800" s="222">
        <f t="shared" ref="A5800:A5831" si="309">+A5799+1</f>
        <v>5809</v>
      </c>
      <c r="B5800" s="858">
        <v>44802</v>
      </c>
      <c r="C5800" s="129" t="s">
        <v>19699</v>
      </c>
      <c r="D5800" s="11" t="s">
        <v>6</v>
      </c>
      <c r="E5800" s="818" t="s">
        <v>166</v>
      </c>
      <c r="F5800" s="1006" t="s">
        <v>19687</v>
      </c>
      <c r="G5800" s="863" t="s">
        <v>14136</v>
      </c>
      <c r="H5800" s="222" t="s">
        <v>19700</v>
      </c>
      <c r="I5800" s="222" t="s">
        <v>19701</v>
      </c>
      <c r="J5800" s="183" t="s">
        <v>19702</v>
      </c>
      <c r="K5800" s="183" t="s">
        <v>14136</v>
      </c>
      <c r="L5800" s="613" t="s">
        <v>16451</v>
      </c>
      <c r="M5800" s="183">
        <v>3</v>
      </c>
      <c r="N5800" s="183">
        <v>1</v>
      </c>
      <c r="O5800" s="183">
        <v>8</v>
      </c>
      <c r="P5800" s="1041">
        <v>0</v>
      </c>
      <c r="Q5800" s="222">
        <f t="shared" ref="Q5800:Q5801" si="310">+O5800-M5800</f>
        <v>5</v>
      </c>
      <c r="R5800" s="1195">
        <v>3277.73</v>
      </c>
      <c r="S5800" s="1195">
        <f t="shared" si="306"/>
        <v>26221.84</v>
      </c>
      <c r="T5800" s="222" t="s">
        <v>12425</v>
      </c>
      <c r="U5800" s="1527" t="s">
        <v>16236</v>
      </c>
      <c r="V5800" s="222" t="s">
        <v>19673</v>
      </c>
      <c r="W5800" s="2155" t="s">
        <v>19703</v>
      </c>
      <c r="X5800" s="818"/>
      <c r="Y5800" s="1161"/>
    </row>
    <row r="5801" spans="1:25" ht="15.75" hidden="1" customHeight="1" outlineLevel="1">
      <c r="A5801" s="222">
        <f t="shared" si="309"/>
        <v>5810</v>
      </c>
      <c r="B5801" s="858">
        <v>44802</v>
      </c>
      <c r="C5801" s="129" t="s">
        <v>6498</v>
      </c>
      <c r="D5801" s="11" t="s">
        <v>6</v>
      </c>
      <c r="E5801" s="818" t="s">
        <v>166</v>
      </c>
      <c r="F5801" s="1006" t="s">
        <v>19687</v>
      </c>
      <c r="G5801" s="859" t="s">
        <v>12359</v>
      </c>
      <c r="H5801" s="1193" t="s">
        <v>19704</v>
      </c>
      <c r="I5801" s="222" t="s">
        <v>19701</v>
      </c>
      <c r="J5801" s="183" t="s">
        <v>19705</v>
      </c>
      <c r="K5801" s="183" t="s">
        <v>12359</v>
      </c>
      <c r="L5801" s="613" t="s">
        <v>16451</v>
      </c>
      <c r="M5801" s="183">
        <v>4</v>
      </c>
      <c r="N5801" s="183">
        <v>10</v>
      </c>
      <c r="O5801" s="183">
        <v>20</v>
      </c>
      <c r="P5801" s="1827">
        <v>0</v>
      </c>
      <c r="Q5801" s="222">
        <f t="shared" si="310"/>
        <v>16</v>
      </c>
      <c r="R5801" s="1195">
        <v>40.200000000000003</v>
      </c>
      <c r="S5801" s="1195">
        <f t="shared" si="306"/>
        <v>804</v>
      </c>
      <c r="T5801" s="222" t="s">
        <v>12425</v>
      </c>
      <c r="U5801" s="1527" t="s">
        <v>16236</v>
      </c>
      <c r="V5801" s="222" t="s">
        <v>19673</v>
      </c>
      <c r="W5801" s="2155" t="s">
        <v>19706</v>
      </c>
      <c r="X5801" s="818"/>
      <c r="Y5801" s="1161"/>
    </row>
    <row r="5802" spans="1:25" ht="15.75" hidden="1" customHeight="1" outlineLevel="1">
      <c r="A5802" s="222">
        <f t="shared" si="309"/>
        <v>5811</v>
      </c>
      <c r="B5802" s="858">
        <v>44802</v>
      </c>
      <c r="C5802" s="129" t="s">
        <v>1282</v>
      </c>
      <c r="D5802" s="11" t="s">
        <v>6</v>
      </c>
      <c r="E5802" s="818" t="s">
        <v>166</v>
      </c>
      <c r="F5802" s="1006" t="s">
        <v>19707</v>
      </c>
      <c r="G5802" s="863" t="s">
        <v>19708</v>
      </c>
      <c r="H5802" s="222" t="s">
        <v>1143</v>
      </c>
      <c r="I5802" s="222" t="s">
        <v>574</v>
      </c>
      <c r="J5802" s="183" t="s">
        <v>19709</v>
      </c>
      <c r="K5802" s="183">
        <v>5044490307</v>
      </c>
      <c r="L5802" s="613" t="s">
        <v>16451</v>
      </c>
      <c r="M5802" s="183">
        <v>4</v>
      </c>
      <c r="N5802" s="183">
        <v>10</v>
      </c>
      <c r="O5802" s="222">
        <v>10</v>
      </c>
      <c r="P5802" s="222">
        <v>0</v>
      </c>
      <c r="Q5802" s="222">
        <f t="shared" si="307"/>
        <v>6</v>
      </c>
      <c r="R5802" s="1195">
        <v>116.9</v>
      </c>
      <c r="S5802" s="1195">
        <f t="shared" si="306"/>
        <v>1169</v>
      </c>
      <c r="T5802" s="222" t="s">
        <v>12425</v>
      </c>
      <c r="U5802" s="1527" t="s">
        <v>19710</v>
      </c>
      <c r="V5802" s="222" t="s">
        <v>19673</v>
      </c>
      <c r="W5802" s="2155" t="s">
        <v>19711</v>
      </c>
      <c r="X5802" s="818"/>
      <c r="Y5802" s="1161"/>
    </row>
    <row r="5803" spans="1:25" ht="15.75" hidden="1" customHeight="1" outlineLevel="1">
      <c r="A5803" s="222">
        <f t="shared" si="309"/>
        <v>5812</v>
      </c>
      <c r="B5803" s="858">
        <v>44802</v>
      </c>
      <c r="C5803" s="129" t="s">
        <v>19712</v>
      </c>
      <c r="D5803" s="11" t="s">
        <v>6</v>
      </c>
      <c r="E5803" s="818" t="s">
        <v>166</v>
      </c>
      <c r="F5803" s="1006" t="s">
        <v>19707</v>
      </c>
      <c r="G5803" s="863" t="s">
        <v>19713</v>
      </c>
      <c r="H5803" s="222" t="s">
        <v>1143</v>
      </c>
      <c r="I5803" s="222" t="s">
        <v>574</v>
      </c>
      <c r="J5803" s="183" t="s">
        <v>19714</v>
      </c>
      <c r="K5803" s="183">
        <v>5013300300</v>
      </c>
      <c r="L5803" s="613" t="s">
        <v>149</v>
      </c>
      <c r="M5803" s="183">
        <v>4</v>
      </c>
      <c r="N5803" s="183">
        <v>10</v>
      </c>
      <c r="O5803" s="222">
        <v>10</v>
      </c>
      <c r="P5803" s="222">
        <v>0</v>
      </c>
      <c r="Q5803" s="222">
        <f t="shared" si="307"/>
        <v>6</v>
      </c>
      <c r="R5803" s="1195">
        <v>43.7</v>
      </c>
      <c r="S5803" s="1195">
        <f t="shared" si="306"/>
        <v>437</v>
      </c>
      <c r="T5803" s="222" t="s">
        <v>12425</v>
      </c>
      <c r="U5803" s="1527" t="s">
        <v>19710</v>
      </c>
      <c r="V5803" s="222" t="s">
        <v>19673</v>
      </c>
      <c r="W5803" s="2155" t="s">
        <v>19715</v>
      </c>
      <c r="X5803" s="818"/>
      <c r="Y5803" s="1161"/>
    </row>
    <row r="5804" spans="1:25" ht="15.75" hidden="1" customHeight="1" outlineLevel="1">
      <c r="A5804" s="222">
        <f t="shared" si="309"/>
        <v>5813</v>
      </c>
      <c r="B5804" s="858">
        <v>44802</v>
      </c>
      <c r="C5804" s="129" t="s">
        <v>19716</v>
      </c>
      <c r="D5804" s="11" t="s">
        <v>6</v>
      </c>
      <c r="E5804" s="818" t="s">
        <v>166</v>
      </c>
      <c r="F5804" s="1006" t="s">
        <v>19707</v>
      </c>
      <c r="G5804" s="863" t="s">
        <v>19717</v>
      </c>
      <c r="H5804" s="222" t="s">
        <v>1143</v>
      </c>
      <c r="I5804" s="222" t="s">
        <v>574</v>
      </c>
      <c r="J5804" s="129" t="s">
        <v>19718</v>
      </c>
      <c r="K5804" s="183">
        <v>5011938000</v>
      </c>
      <c r="L5804" s="613" t="s">
        <v>149</v>
      </c>
      <c r="M5804" s="183">
        <v>12</v>
      </c>
      <c r="N5804" s="183">
        <v>10</v>
      </c>
      <c r="O5804" s="222">
        <v>30</v>
      </c>
      <c r="P5804" s="222">
        <v>0</v>
      </c>
      <c r="Q5804" s="222">
        <f t="shared" si="307"/>
        <v>18</v>
      </c>
      <c r="R5804" s="1195">
        <v>24.9</v>
      </c>
      <c r="S5804" s="1195">
        <f t="shared" si="306"/>
        <v>747</v>
      </c>
      <c r="T5804" s="222" t="s">
        <v>12425</v>
      </c>
      <c r="U5804" s="1527" t="s">
        <v>19710</v>
      </c>
      <c r="V5804" s="222" t="s">
        <v>19673</v>
      </c>
      <c r="W5804" s="2155" t="s">
        <v>19719</v>
      </c>
      <c r="X5804" s="818"/>
      <c r="Y5804" s="1161"/>
    </row>
    <row r="5805" spans="1:25" ht="15.75" hidden="1" customHeight="1" outlineLevel="1">
      <c r="A5805" s="222">
        <f t="shared" si="309"/>
        <v>5814</v>
      </c>
      <c r="B5805" s="858">
        <v>44802</v>
      </c>
      <c r="C5805" s="129" t="s">
        <v>19720</v>
      </c>
      <c r="D5805" s="11" t="s">
        <v>6</v>
      </c>
      <c r="E5805" s="818" t="s">
        <v>166</v>
      </c>
      <c r="F5805" s="1006" t="s">
        <v>19687</v>
      </c>
      <c r="G5805" s="129" t="s">
        <v>19721</v>
      </c>
      <c r="H5805" s="222" t="s">
        <v>4480</v>
      </c>
      <c r="I5805" s="222" t="s">
        <v>4480</v>
      </c>
      <c r="J5805" s="183">
        <v>22082400119</v>
      </c>
      <c r="K5805" s="183">
        <v>22082400119</v>
      </c>
      <c r="L5805" s="613" t="s">
        <v>149</v>
      </c>
      <c r="M5805" s="183">
        <v>2</v>
      </c>
      <c r="N5805" s="183">
        <v>2</v>
      </c>
      <c r="O5805" s="222">
        <v>4</v>
      </c>
      <c r="P5805" s="222">
        <v>0</v>
      </c>
      <c r="Q5805" s="222">
        <f t="shared" si="307"/>
        <v>2</v>
      </c>
      <c r="R5805" s="1195">
        <v>131552</v>
      </c>
      <c r="S5805" s="1195">
        <v>131552</v>
      </c>
      <c r="T5805" s="222" t="s">
        <v>12425</v>
      </c>
      <c r="U5805" s="1527" t="s">
        <v>16236</v>
      </c>
      <c r="V5805" s="222" t="s">
        <v>19673</v>
      </c>
      <c r="W5805" s="2155" t="s">
        <v>5265</v>
      </c>
      <c r="X5805" s="818"/>
      <c r="Y5805" s="1161"/>
    </row>
    <row r="5806" spans="1:25" ht="15.75" hidden="1" customHeight="1" outlineLevel="1">
      <c r="A5806" s="222">
        <f t="shared" si="309"/>
        <v>5815</v>
      </c>
      <c r="B5806" s="1123" t="s">
        <v>19722</v>
      </c>
      <c r="C5806" s="1039" t="s">
        <v>19723</v>
      </c>
      <c r="D5806" s="11" t="s">
        <v>6</v>
      </c>
      <c r="E5806" s="1829" t="s">
        <v>18646</v>
      </c>
      <c r="F5806" s="873" t="s">
        <v>14023</v>
      </c>
      <c r="G5806" s="1125" t="s">
        <v>16490</v>
      </c>
      <c r="H5806" s="873" t="s">
        <v>184</v>
      </c>
      <c r="I5806" s="873" t="s">
        <v>4634</v>
      </c>
      <c r="J5806" s="1125" t="s">
        <v>15165</v>
      </c>
      <c r="K5806" s="1125" t="s">
        <v>15166</v>
      </c>
      <c r="L5806" s="873" t="s">
        <v>8980</v>
      </c>
      <c r="M5806" s="873">
        <v>12</v>
      </c>
      <c r="N5806" s="873">
        <v>10</v>
      </c>
      <c r="O5806" s="873">
        <v>20</v>
      </c>
      <c r="P5806" s="873">
        <v>7</v>
      </c>
      <c r="Q5806" s="873">
        <v>15</v>
      </c>
      <c r="R5806" s="873" t="s">
        <v>19724</v>
      </c>
      <c r="S5806" s="873">
        <v>402</v>
      </c>
      <c r="T5806" s="222" t="s">
        <v>12425</v>
      </c>
      <c r="U5806" s="1958" t="s">
        <v>14027</v>
      </c>
      <c r="V5806" s="1840" t="s">
        <v>5990</v>
      </c>
      <c r="W5806" s="1828" t="s">
        <v>15167</v>
      </c>
      <c r="X5806" s="1039" t="s">
        <v>16488</v>
      </c>
      <c r="Y5806" s="1161"/>
    </row>
    <row r="5807" spans="1:25" ht="15.75" hidden="1" customHeight="1" outlineLevel="1">
      <c r="A5807" s="222">
        <f t="shared" si="309"/>
        <v>5816</v>
      </c>
      <c r="B5807" s="1127" t="s">
        <v>19722</v>
      </c>
      <c r="C5807" s="1040" t="s">
        <v>329</v>
      </c>
      <c r="D5807" s="11" t="s">
        <v>6</v>
      </c>
      <c r="E5807" s="1829" t="s">
        <v>18646</v>
      </c>
      <c r="F5807" s="1128" t="s">
        <v>14023</v>
      </c>
      <c r="G5807" s="1042" t="s">
        <v>16341</v>
      </c>
      <c r="H5807" s="1128" t="s">
        <v>184</v>
      </c>
      <c r="I5807" s="1128" t="s">
        <v>4634</v>
      </c>
      <c r="J5807" s="1042" t="s">
        <v>14025</v>
      </c>
      <c r="K5807" s="1042" t="s">
        <v>14026</v>
      </c>
      <c r="L5807" s="1128" t="s">
        <v>8980</v>
      </c>
      <c r="M5807" s="1128">
        <v>8</v>
      </c>
      <c r="N5807" s="1128">
        <v>10</v>
      </c>
      <c r="O5807" s="1128">
        <v>20</v>
      </c>
      <c r="P5807" s="1128">
        <v>0</v>
      </c>
      <c r="Q5807" s="1128">
        <v>12</v>
      </c>
      <c r="R5807" s="1042" t="s">
        <v>19725</v>
      </c>
      <c r="S5807" s="1128">
        <v>762</v>
      </c>
      <c r="T5807" s="222" t="s">
        <v>12425</v>
      </c>
      <c r="U5807" s="1959" t="s">
        <v>14027</v>
      </c>
      <c r="V5807" s="1840" t="s">
        <v>5990</v>
      </c>
      <c r="W5807" s="1129" t="s">
        <v>14028</v>
      </c>
      <c r="X5807" s="1040" t="s">
        <v>16488</v>
      </c>
      <c r="Y5807" s="1161"/>
    </row>
    <row r="5808" spans="1:25" ht="15.75" hidden="1" customHeight="1" outlineLevel="1">
      <c r="A5808" s="222">
        <f t="shared" si="309"/>
        <v>5817</v>
      </c>
      <c r="B5808" s="1127" t="s">
        <v>19722</v>
      </c>
      <c r="C5808" s="1040" t="s">
        <v>329</v>
      </c>
      <c r="D5808" s="11" t="s">
        <v>6</v>
      </c>
      <c r="E5808" s="1829" t="s">
        <v>18646</v>
      </c>
      <c r="F5808" s="1128" t="s">
        <v>14023</v>
      </c>
      <c r="G5808" s="1128" t="s">
        <v>19726</v>
      </c>
      <c r="H5808" s="1128" t="s">
        <v>201</v>
      </c>
      <c r="I5808" s="1128" t="s">
        <v>4634</v>
      </c>
      <c r="J5808" s="1042" t="s">
        <v>19727</v>
      </c>
      <c r="K5808" s="1042" t="s">
        <v>19728</v>
      </c>
      <c r="L5808" s="1128" t="s">
        <v>8980</v>
      </c>
      <c r="M5808" s="1128">
        <v>4</v>
      </c>
      <c r="N5808" s="1128">
        <v>10</v>
      </c>
      <c r="O5808" s="1128">
        <v>20</v>
      </c>
      <c r="P5808" s="1128">
        <v>0</v>
      </c>
      <c r="Q5808" s="1128">
        <v>16</v>
      </c>
      <c r="R5808" s="1042" t="s">
        <v>19729</v>
      </c>
      <c r="S5808" s="1128">
        <v>1206</v>
      </c>
      <c r="T5808" s="222" t="s">
        <v>12425</v>
      </c>
      <c r="U5808" s="1961" t="s">
        <v>14027</v>
      </c>
      <c r="V5808" s="1840" t="s">
        <v>5990</v>
      </c>
      <c r="W5808" s="1138" t="s">
        <v>19730</v>
      </c>
      <c r="X5808" s="1130" t="s">
        <v>16488</v>
      </c>
      <c r="Y5808" s="1161"/>
    </row>
    <row r="5809" spans="1:25" ht="15.75" hidden="1" customHeight="1" outlineLevel="1">
      <c r="A5809" s="222">
        <f t="shared" si="309"/>
        <v>5818</v>
      </c>
      <c r="B5809" s="1127" t="s">
        <v>19722</v>
      </c>
      <c r="C5809" s="1040" t="s">
        <v>152</v>
      </c>
      <c r="D5809" s="11" t="s">
        <v>6</v>
      </c>
      <c r="E5809" s="1829" t="s">
        <v>18646</v>
      </c>
      <c r="F5809" s="1128" t="s">
        <v>14023</v>
      </c>
      <c r="G5809" s="1128" t="s">
        <v>19731</v>
      </c>
      <c r="H5809" s="1128" t="s">
        <v>166</v>
      </c>
      <c r="I5809" s="1128" t="s">
        <v>4634</v>
      </c>
      <c r="J5809" s="1042" t="s">
        <v>19732</v>
      </c>
      <c r="K5809" s="1042" t="s">
        <v>19733</v>
      </c>
      <c r="L5809" s="1128" t="s">
        <v>8980</v>
      </c>
      <c r="M5809" s="1128">
        <v>12</v>
      </c>
      <c r="N5809" s="1128">
        <v>10</v>
      </c>
      <c r="O5809" s="1128">
        <v>20</v>
      </c>
      <c r="P5809" s="1128">
        <v>0</v>
      </c>
      <c r="Q5809" s="1128">
        <v>8</v>
      </c>
      <c r="R5809" s="1130" t="s">
        <v>19734</v>
      </c>
      <c r="S5809" s="1128">
        <v>838</v>
      </c>
      <c r="T5809" s="222" t="s">
        <v>12425</v>
      </c>
      <c r="U5809" s="1961" t="s">
        <v>14027</v>
      </c>
      <c r="V5809" s="1840" t="s">
        <v>5990</v>
      </c>
      <c r="W5809" s="1138" t="s">
        <v>19735</v>
      </c>
      <c r="X5809" s="1130" t="s">
        <v>16488</v>
      </c>
      <c r="Y5809" s="1161"/>
    </row>
    <row r="5810" spans="1:25" ht="15.75" hidden="1" customHeight="1" outlineLevel="1">
      <c r="A5810" s="222">
        <f t="shared" si="309"/>
        <v>5819</v>
      </c>
      <c r="B5810" s="1127" t="s">
        <v>19722</v>
      </c>
      <c r="C5810" s="1040" t="s">
        <v>19736</v>
      </c>
      <c r="D5810" s="11" t="s">
        <v>6</v>
      </c>
      <c r="E5810" s="1829" t="s">
        <v>18646</v>
      </c>
      <c r="F5810" s="1128" t="s">
        <v>14023</v>
      </c>
      <c r="G5810" s="1128" t="s">
        <v>19737</v>
      </c>
      <c r="H5810" s="1128" t="s">
        <v>5102</v>
      </c>
      <c r="I5810" s="1128" t="s">
        <v>5102</v>
      </c>
      <c r="J5810" s="1128" t="s">
        <v>19738</v>
      </c>
      <c r="K5810" s="1128" t="s">
        <v>16488</v>
      </c>
      <c r="L5810" s="1128" t="s">
        <v>19739</v>
      </c>
      <c r="M5810" s="1128">
        <v>12</v>
      </c>
      <c r="N5810" s="1128">
        <v>20</v>
      </c>
      <c r="O5810" s="1128">
        <v>20</v>
      </c>
      <c r="P5810" s="1128">
        <v>8</v>
      </c>
      <c r="Q5810" s="1128">
        <v>300</v>
      </c>
      <c r="R5810" s="1130">
        <v>300</v>
      </c>
      <c r="S5810" s="1128">
        <v>6000</v>
      </c>
      <c r="T5810" s="222" t="s">
        <v>12425</v>
      </c>
      <c r="U5810" s="1961" t="s">
        <v>14027</v>
      </c>
      <c r="V5810" s="1840" t="s">
        <v>5990</v>
      </c>
      <c r="W5810" s="1130" t="s">
        <v>19740</v>
      </c>
      <c r="X5810" s="1130" t="s">
        <v>16488</v>
      </c>
      <c r="Y5810" s="1161"/>
    </row>
    <row r="5811" spans="1:25" ht="15.75" hidden="1" customHeight="1" outlineLevel="1">
      <c r="A5811" s="222">
        <f t="shared" si="309"/>
        <v>5820</v>
      </c>
      <c r="B5811" s="1072">
        <v>44805</v>
      </c>
      <c r="C5811" s="1132" t="s">
        <v>19741</v>
      </c>
      <c r="D5811" s="11" t="s">
        <v>6</v>
      </c>
      <c r="E5811" s="874" t="s">
        <v>16270</v>
      </c>
      <c r="F5811" s="1039" t="s">
        <v>10005</v>
      </c>
      <c r="G5811" s="874" t="s">
        <v>19742</v>
      </c>
      <c r="H5811" s="874" t="s">
        <v>19743</v>
      </c>
      <c r="I5811" s="874" t="s">
        <v>19743</v>
      </c>
      <c r="J5811" s="874" t="s">
        <v>16488</v>
      </c>
      <c r="K5811" s="874" t="s">
        <v>19744</v>
      </c>
      <c r="L5811" s="874" t="s">
        <v>149</v>
      </c>
      <c r="M5811" s="874">
        <v>1</v>
      </c>
      <c r="N5811" s="874">
        <v>1</v>
      </c>
      <c r="O5811" s="874">
        <v>1</v>
      </c>
      <c r="P5811" s="874">
        <v>0</v>
      </c>
      <c r="Q5811" s="874">
        <v>0</v>
      </c>
      <c r="R5811" s="1744" t="s">
        <v>19745</v>
      </c>
      <c r="S5811" s="1745" t="s">
        <v>19745</v>
      </c>
      <c r="T5811" s="873" t="s">
        <v>14509</v>
      </c>
      <c r="U5811" s="1969" t="s">
        <v>4220</v>
      </c>
      <c r="V5811" s="54" t="s">
        <v>689</v>
      </c>
      <c r="W5811" s="2155"/>
      <c r="X5811" s="818"/>
      <c r="Y5811" s="1161"/>
    </row>
    <row r="5812" spans="1:25" ht="15.75" hidden="1" customHeight="1" outlineLevel="1">
      <c r="A5812" s="222">
        <f t="shared" si="309"/>
        <v>5821</v>
      </c>
      <c r="B5812" s="1072">
        <v>44805</v>
      </c>
      <c r="C5812" s="1139" t="s">
        <v>19746</v>
      </c>
      <c r="D5812" s="11" t="s">
        <v>6</v>
      </c>
      <c r="E5812" s="874" t="s">
        <v>16270</v>
      </c>
      <c r="F5812" s="1040" t="s">
        <v>10005</v>
      </c>
      <c r="G5812" s="1041" t="s">
        <v>19747</v>
      </c>
      <c r="H5812" s="1041" t="s">
        <v>19748</v>
      </c>
      <c r="I5812" s="1041" t="s">
        <v>19743</v>
      </c>
      <c r="J5812" s="1041" t="s">
        <v>16488</v>
      </c>
      <c r="K5812" s="1041" t="s">
        <v>19749</v>
      </c>
      <c r="L5812" s="1041" t="s">
        <v>149</v>
      </c>
      <c r="M5812" s="1041">
        <v>1</v>
      </c>
      <c r="N5812" s="1041">
        <v>1</v>
      </c>
      <c r="O5812" s="1041">
        <v>1</v>
      </c>
      <c r="P5812" s="1041">
        <v>0</v>
      </c>
      <c r="Q5812" s="1041">
        <v>0</v>
      </c>
      <c r="R5812" s="1823" t="s">
        <v>19750</v>
      </c>
      <c r="S5812" s="1824" t="s">
        <v>19750</v>
      </c>
      <c r="T5812" s="1128" t="s">
        <v>14509</v>
      </c>
      <c r="U5812" s="1972" t="s">
        <v>4220</v>
      </c>
      <c r="V5812" s="54" t="s">
        <v>689</v>
      </c>
      <c r="W5812" s="2155"/>
      <c r="X5812" s="818"/>
      <c r="Y5812" s="1161"/>
    </row>
    <row r="5813" spans="1:25" ht="15.75" hidden="1" customHeight="1" outlineLevel="1">
      <c r="A5813" s="222">
        <f t="shared" si="309"/>
        <v>5822</v>
      </c>
      <c r="B5813" s="858">
        <v>44805</v>
      </c>
      <c r="C5813" s="129" t="s">
        <v>19751</v>
      </c>
      <c r="D5813" s="11" t="s">
        <v>6</v>
      </c>
      <c r="E5813" s="1483" t="s">
        <v>19577</v>
      </c>
      <c r="F5813" s="1006" t="s">
        <v>19265</v>
      </c>
      <c r="G5813" s="863" t="s">
        <v>19752</v>
      </c>
      <c r="H5813" s="222" t="s">
        <v>3293</v>
      </c>
      <c r="I5813" s="222" t="s">
        <v>3098</v>
      </c>
      <c r="J5813" s="183" t="s">
        <v>14669</v>
      </c>
      <c r="K5813" s="183" t="s">
        <v>14670</v>
      </c>
      <c r="L5813" s="613" t="s">
        <v>4179</v>
      </c>
      <c r="M5813" s="183">
        <v>2</v>
      </c>
      <c r="N5813" s="183">
        <v>1</v>
      </c>
      <c r="O5813" s="222">
        <v>6</v>
      </c>
      <c r="P5813" s="222">
        <v>0</v>
      </c>
      <c r="Q5813" s="222">
        <v>4</v>
      </c>
      <c r="R5813" s="1195">
        <v>977</v>
      </c>
      <c r="S5813" s="1195">
        <f t="shared" si="306"/>
        <v>5862</v>
      </c>
      <c r="T5813" s="222" t="s">
        <v>18479</v>
      </c>
      <c r="U5813" s="1527" t="s">
        <v>448</v>
      </c>
      <c r="V5813" s="222" t="s">
        <v>19258</v>
      </c>
      <c r="W5813" s="2155" t="s">
        <v>19753</v>
      </c>
      <c r="X5813" s="818"/>
      <c r="Y5813" s="1161"/>
    </row>
    <row r="5814" spans="1:25" ht="15.75" hidden="1" customHeight="1" outlineLevel="1">
      <c r="A5814" s="222">
        <f t="shared" si="309"/>
        <v>5823</v>
      </c>
      <c r="B5814" s="858">
        <v>44805</v>
      </c>
      <c r="C5814" s="129" t="s">
        <v>19754</v>
      </c>
      <c r="D5814" s="11" t="s">
        <v>6</v>
      </c>
      <c r="E5814" s="1483" t="s">
        <v>19577</v>
      </c>
      <c r="F5814" s="1006" t="s">
        <v>19265</v>
      </c>
      <c r="G5814" s="863" t="s">
        <v>19755</v>
      </c>
      <c r="H5814" s="1006" t="s">
        <v>5550</v>
      </c>
      <c r="I5814" s="222" t="s">
        <v>3098</v>
      </c>
      <c r="J5814" s="183" t="s">
        <v>19756</v>
      </c>
      <c r="K5814" s="183" t="s">
        <v>19757</v>
      </c>
      <c r="L5814" s="613" t="s">
        <v>19758</v>
      </c>
      <c r="M5814" s="183">
        <v>1</v>
      </c>
      <c r="N5814" s="183">
        <v>1</v>
      </c>
      <c r="O5814" s="222">
        <v>6</v>
      </c>
      <c r="P5814" s="222">
        <v>0</v>
      </c>
      <c r="Q5814" s="222">
        <v>5</v>
      </c>
      <c r="R5814" s="1195">
        <v>54</v>
      </c>
      <c r="S5814" s="1195">
        <f t="shared" si="306"/>
        <v>324</v>
      </c>
      <c r="T5814" s="222" t="s">
        <v>18479</v>
      </c>
      <c r="U5814" s="1527" t="s">
        <v>448</v>
      </c>
      <c r="V5814" s="222" t="s">
        <v>19258</v>
      </c>
      <c r="W5814" s="2155" t="s">
        <v>19759</v>
      </c>
      <c r="X5814" s="818"/>
      <c r="Y5814" s="1161"/>
    </row>
    <row r="5815" spans="1:25" ht="15.75" hidden="1" customHeight="1" outlineLevel="1">
      <c r="A5815" s="222">
        <f t="shared" si="309"/>
        <v>5824</v>
      </c>
      <c r="B5815" s="858">
        <v>44805</v>
      </c>
      <c r="C5815" s="129" t="s">
        <v>19760</v>
      </c>
      <c r="D5815" s="11" t="s">
        <v>6</v>
      </c>
      <c r="E5815" s="1483" t="s">
        <v>19577</v>
      </c>
      <c r="F5815" s="1006" t="s">
        <v>19265</v>
      </c>
      <c r="G5815" s="863" t="s">
        <v>19761</v>
      </c>
      <c r="H5815" s="1006" t="s">
        <v>5550</v>
      </c>
      <c r="I5815" s="222" t="s">
        <v>3098</v>
      </c>
      <c r="J5815" s="183" t="s">
        <v>19762</v>
      </c>
      <c r="K5815" s="183" t="s">
        <v>19763</v>
      </c>
      <c r="L5815" s="613" t="s">
        <v>19758</v>
      </c>
      <c r="M5815" s="183">
        <v>1</v>
      </c>
      <c r="N5815" s="183">
        <v>1</v>
      </c>
      <c r="O5815" s="222">
        <v>6</v>
      </c>
      <c r="P5815" s="222">
        <v>0</v>
      </c>
      <c r="Q5815" s="222">
        <v>5</v>
      </c>
      <c r="R5815" s="1195">
        <v>103</v>
      </c>
      <c r="S5815" s="1195">
        <f t="shared" si="306"/>
        <v>618</v>
      </c>
      <c r="T5815" s="222" t="s">
        <v>18479</v>
      </c>
      <c r="U5815" s="1527" t="s">
        <v>448</v>
      </c>
      <c r="V5815" s="222" t="s">
        <v>19258</v>
      </c>
      <c r="W5815" s="2155" t="s">
        <v>19764</v>
      </c>
      <c r="X5815" s="818"/>
      <c r="Y5815" s="1161"/>
    </row>
    <row r="5816" spans="1:25" ht="15.75" hidden="1" customHeight="1" outlineLevel="1">
      <c r="A5816" s="222">
        <f t="shared" si="309"/>
        <v>5825</v>
      </c>
      <c r="B5816" s="858">
        <v>44806</v>
      </c>
      <c r="C5816" s="129" t="s">
        <v>19765</v>
      </c>
      <c r="D5816" s="22"/>
      <c r="E5816" s="818"/>
      <c r="F5816" s="1006" t="s">
        <v>131</v>
      </c>
      <c r="G5816" s="863" t="s">
        <v>19766</v>
      </c>
      <c r="H5816" s="222"/>
      <c r="I5816" s="222"/>
      <c r="J5816" s="183"/>
      <c r="K5816" s="183"/>
      <c r="L5816" s="613"/>
      <c r="M5816" s="183"/>
      <c r="N5816" s="183"/>
      <c r="O5816" s="222"/>
      <c r="P5816" s="222"/>
      <c r="Q5816" s="222"/>
      <c r="R5816" s="1195"/>
      <c r="S5816" s="1195">
        <f t="shared" si="306"/>
        <v>0</v>
      </c>
      <c r="T5816" s="222"/>
      <c r="U5816" s="1527"/>
      <c r="W5816" s="2155"/>
      <c r="X5816" s="818"/>
      <c r="Y5816" s="1161"/>
    </row>
    <row r="5817" spans="1:25" ht="15.75" hidden="1" customHeight="1" outlineLevel="1">
      <c r="A5817" s="222">
        <f t="shared" si="309"/>
        <v>5826</v>
      </c>
      <c r="B5817" s="858">
        <v>44806</v>
      </c>
      <c r="C5817" s="129" t="s">
        <v>19767</v>
      </c>
      <c r="D5817" s="11" t="s">
        <v>6</v>
      </c>
      <c r="E5817" s="1483" t="s">
        <v>19577</v>
      </c>
      <c r="F5817" s="1006" t="s">
        <v>19768</v>
      </c>
      <c r="G5817" s="129" t="s">
        <v>19769</v>
      </c>
      <c r="H5817" s="222" t="s">
        <v>4480</v>
      </c>
      <c r="I5817" s="222" t="s">
        <v>4480</v>
      </c>
      <c r="J5817" s="183">
        <v>22090200204</v>
      </c>
      <c r="K5817" s="183">
        <v>22090200204</v>
      </c>
      <c r="L5817" s="613" t="s">
        <v>149</v>
      </c>
      <c r="M5817" s="183">
        <v>2</v>
      </c>
      <c r="N5817" s="183">
        <v>2</v>
      </c>
      <c r="O5817" s="222">
        <v>4</v>
      </c>
      <c r="P5817" s="222">
        <v>0</v>
      </c>
      <c r="Q5817" s="222">
        <f t="shared" ref="Q5817" si="311">+O5817-M5817</f>
        <v>2</v>
      </c>
      <c r="R5817" s="1195">
        <v>115443</v>
      </c>
      <c r="S5817" s="1195">
        <v>115443</v>
      </c>
      <c r="T5817" s="222" t="s">
        <v>12425</v>
      </c>
      <c r="U5817" s="1527" t="s">
        <v>19770</v>
      </c>
      <c r="V5817" s="222" t="s">
        <v>19673</v>
      </c>
      <c r="W5817" s="2155" t="s">
        <v>5265</v>
      </c>
      <c r="X5817" s="818"/>
      <c r="Y5817" s="1161"/>
    </row>
    <row r="5818" spans="1:25" ht="15.75" hidden="1" customHeight="1" outlineLevel="1">
      <c r="A5818" s="222">
        <f t="shared" si="309"/>
        <v>5827</v>
      </c>
      <c r="B5818" s="858">
        <v>44808</v>
      </c>
      <c r="C5818" s="872" t="s">
        <v>16114</v>
      </c>
      <c r="D5818" s="11" t="s">
        <v>6</v>
      </c>
      <c r="E5818" s="874" t="s">
        <v>16270</v>
      </c>
      <c r="F5818" s="1039" t="s">
        <v>10005</v>
      </c>
      <c r="G5818" s="873" t="s">
        <v>19771</v>
      </c>
      <c r="H5818" s="873" t="s">
        <v>366</v>
      </c>
      <c r="I5818" s="873" t="s">
        <v>366</v>
      </c>
      <c r="J5818" s="1180" t="s">
        <v>1</v>
      </c>
      <c r="K5818" s="873" t="s">
        <v>19772</v>
      </c>
      <c r="L5818" s="873" t="s">
        <v>149</v>
      </c>
      <c r="M5818" s="873">
        <v>1</v>
      </c>
      <c r="N5818" s="873">
        <v>1</v>
      </c>
      <c r="O5818" s="873">
        <v>1</v>
      </c>
      <c r="P5818" s="873">
        <v>0</v>
      </c>
      <c r="Q5818" s="873">
        <v>0</v>
      </c>
      <c r="R5818" s="1744" t="s">
        <v>19773</v>
      </c>
      <c r="S5818" s="1745" t="s">
        <v>19773</v>
      </c>
      <c r="T5818" s="873" t="s">
        <v>14509</v>
      </c>
      <c r="U5818" s="1969" t="s">
        <v>4220</v>
      </c>
      <c r="V5818" s="54" t="s">
        <v>689</v>
      </c>
      <c r="W5818" s="886" t="s">
        <v>19774</v>
      </c>
      <c r="X5818" s="818"/>
      <c r="Y5818" s="1161"/>
    </row>
    <row r="5819" spans="1:25" ht="15.75" hidden="1" customHeight="1" outlineLevel="1">
      <c r="A5819" s="222">
        <f t="shared" si="309"/>
        <v>5828</v>
      </c>
      <c r="B5819" s="858">
        <v>44809</v>
      </c>
      <c r="C5819" s="129" t="s">
        <v>15267</v>
      </c>
      <c r="D5819" s="11" t="s">
        <v>6</v>
      </c>
      <c r="E5819" s="818" t="s">
        <v>572</v>
      </c>
      <c r="F5819" s="1006" t="s">
        <v>784</v>
      </c>
      <c r="G5819" s="863" t="s">
        <v>19775</v>
      </c>
      <c r="H5819" s="222" t="s">
        <v>7073</v>
      </c>
      <c r="I5819" s="222" t="s">
        <v>1022</v>
      </c>
      <c r="J5819" s="183" t="s">
        <v>19776</v>
      </c>
      <c r="K5819" s="183" t="s">
        <v>19776</v>
      </c>
      <c r="L5819" s="613" t="s">
        <v>149</v>
      </c>
      <c r="M5819" s="183">
        <v>1</v>
      </c>
      <c r="N5819" s="183">
        <v>1</v>
      </c>
      <c r="O5819" s="222">
        <v>1</v>
      </c>
      <c r="P5819" s="222">
        <v>0</v>
      </c>
      <c r="Q5819" s="222">
        <v>0</v>
      </c>
      <c r="R5819" s="1195">
        <v>47000</v>
      </c>
      <c r="S5819" s="1195">
        <f t="shared" si="306"/>
        <v>47000</v>
      </c>
      <c r="T5819" s="222" t="s">
        <v>10016</v>
      </c>
      <c r="U5819" s="1527" t="s">
        <v>10016</v>
      </c>
      <c r="V5819" s="222" t="s">
        <v>10323</v>
      </c>
      <c r="W5819" s="2155" t="s">
        <v>19777</v>
      </c>
      <c r="X5819" s="818"/>
      <c r="Y5819" s="1161"/>
    </row>
    <row r="5820" spans="1:25" ht="15.75" hidden="1" customHeight="1" outlineLevel="1">
      <c r="A5820" s="222">
        <f t="shared" si="309"/>
        <v>5829</v>
      </c>
      <c r="B5820" s="858">
        <v>44809</v>
      </c>
      <c r="C5820" s="129" t="s">
        <v>19778</v>
      </c>
      <c r="D5820" s="11" t="s">
        <v>6</v>
      </c>
      <c r="E5820" s="818" t="s">
        <v>572</v>
      </c>
      <c r="F5820" s="1006" t="s">
        <v>784</v>
      </c>
      <c r="G5820" s="863" t="s">
        <v>19779</v>
      </c>
      <c r="H5820" s="222" t="s">
        <v>817</v>
      </c>
      <c r="I5820" s="222" t="s">
        <v>11408</v>
      </c>
      <c r="J5820" s="183" t="s">
        <v>19780</v>
      </c>
      <c r="K5820" s="183" t="s">
        <v>19780</v>
      </c>
      <c r="L5820" s="613" t="s">
        <v>149</v>
      </c>
      <c r="M5820" s="183">
        <v>1</v>
      </c>
      <c r="N5820" s="183">
        <v>1</v>
      </c>
      <c r="O5820" s="222">
        <v>1</v>
      </c>
      <c r="P5820" s="222">
        <v>0</v>
      </c>
      <c r="Q5820" s="222">
        <v>0</v>
      </c>
      <c r="R5820" s="1195" t="s">
        <v>19781</v>
      </c>
      <c r="S5820" s="1195" t="s">
        <v>19781</v>
      </c>
      <c r="T5820" s="222" t="s">
        <v>10016</v>
      </c>
      <c r="U5820" s="1527" t="s">
        <v>10016</v>
      </c>
      <c r="V5820" s="222" t="s">
        <v>10323</v>
      </c>
      <c r="W5820" s="2155"/>
      <c r="X5820" s="818"/>
      <c r="Y5820" s="1161"/>
    </row>
    <row r="5821" spans="1:25" ht="15.75" hidden="1" customHeight="1" outlineLevel="1">
      <c r="A5821" s="222">
        <f t="shared" si="309"/>
        <v>5830</v>
      </c>
      <c r="B5821" s="858">
        <v>44810</v>
      </c>
      <c r="C5821" s="129" t="s">
        <v>19782</v>
      </c>
      <c r="D5821" s="11" t="s">
        <v>6</v>
      </c>
      <c r="E5821" s="818" t="s">
        <v>166</v>
      </c>
      <c r="F5821" s="1006" t="s">
        <v>19768</v>
      </c>
      <c r="G5821" s="863" t="s">
        <v>19783</v>
      </c>
      <c r="H5821" s="222" t="s">
        <v>184</v>
      </c>
      <c r="I5821" s="222" t="s">
        <v>4634</v>
      </c>
      <c r="J5821" s="183" t="s">
        <v>19784</v>
      </c>
      <c r="K5821" s="183" t="s">
        <v>19785</v>
      </c>
      <c r="L5821" s="613" t="s">
        <v>2067</v>
      </c>
      <c r="M5821" s="183">
        <v>8</v>
      </c>
      <c r="N5821" s="183">
        <v>10</v>
      </c>
      <c r="O5821" s="222">
        <v>20</v>
      </c>
      <c r="P5821" s="222">
        <v>0</v>
      </c>
      <c r="Q5821" s="222">
        <v>2</v>
      </c>
      <c r="R5821" s="1195">
        <v>10</v>
      </c>
      <c r="S5821" s="1195">
        <f t="shared" si="306"/>
        <v>200</v>
      </c>
      <c r="T5821" s="222" t="s">
        <v>12330</v>
      </c>
      <c r="U5821" s="1527" t="s">
        <v>5794</v>
      </c>
      <c r="V5821" s="222" t="s">
        <v>5990</v>
      </c>
      <c r="W5821" s="2155" t="s">
        <v>19786</v>
      </c>
      <c r="X5821" s="818"/>
      <c r="Y5821" s="1161"/>
    </row>
    <row r="5822" spans="1:25" ht="15.75" hidden="1" customHeight="1" outlineLevel="1">
      <c r="A5822" s="222">
        <f t="shared" si="309"/>
        <v>5831</v>
      </c>
      <c r="B5822" s="858">
        <v>44810</v>
      </c>
      <c r="C5822" s="129" t="s">
        <v>19787</v>
      </c>
      <c r="D5822" s="11" t="s">
        <v>6</v>
      </c>
      <c r="E5822" s="818" t="s">
        <v>166</v>
      </c>
      <c r="F5822" s="1006" t="s">
        <v>19768</v>
      </c>
      <c r="G5822" s="863" t="s">
        <v>19788</v>
      </c>
      <c r="H5822" s="222" t="s">
        <v>184</v>
      </c>
      <c r="I5822" s="222" t="s">
        <v>4634</v>
      </c>
      <c r="J5822" s="183" t="s">
        <v>16354</v>
      </c>
      <c r="K5822" s="183" t="s">
        <v>16355</v>
      </c>
      <c r="L5822" s="613" t="s">
        <v>2067</v>
      </c>
      <c r="M5822" s="183">
        <v>4</v>
      </c>
      <c r="N5822" s="183">
        <v>10</v>
      </c>
      <c r="O5822" s="222">
        <v>20</v>
      </c>
      <c r="P5822" s="222">
        <v>0</v>
      </c>
      <c r="Q5822" s="222">
        <v>6</v>
      </c>
      <c r="R5822" s="1195">
        <v>70.7</v>
      </c>
      <c r="S5822" s="1195">
        <f t="shared" ref="S5822:S5885" si="312">R5822*O5822</f>
        <v>1414</v>
      </c>
      <c r="T5822" s="222" t="s">
        <v>12330</v>
      </c>
      <c r="U5822" s="1527" t="s">
        <v>5794</v>
      </c>
      <c r="V5822" s="222" t="s">
        <v>5990</v>
      </c>
      <c r="W5822" s="2155" t="s">
        <v>19789</v>
      </c>
      <c r="X5822" s="818"/>
      <c r="Y5822" s="1161"/>
    </row>
    <row r="5823" spans="1:25" ht="15.75" hidden="1" customHeight="1" outlineLevel="1">
      <c r="A5823" s="222">
        <f t="shared" si="309"/>
        <v>5832</v>
      </c>
      <c r="B5823" s="858">
        <v>44810</v>
      </c>
      <c r="C5823" s="129" t="s">
        <v>14475</v>
      </c>
      <c r="D5823" s="11" t="s">
        <v>6</v>
      </c>
      <c r="E5823" s="818" t="s">
        <v>166</v>
      </c>
      <c r="F5823" s="1006" t="s">
        <v>19768</v>
      </c>
      <c r="G5823" s="863" t="s">
        <v>19790</v>
      </c>
      <c r="H5823" s="222" t="s">
        <v>184</v>
      </c>
      <c r="I5823" s="222" t="s">
        <v>4634</v>
      </c>
      <c r="J5823" s="183" t="s">
        <v>19791</v>
      </c>
      <c r="K5823" s="183" t="s">
        <v>19792</v>
      </c>
      <c r="L5823" s="613" t="s">
        <v>2067</v>
      </c>
      <c r="M5823" s="183">
        <v>40</v>
      </c>
      <c r="N5823" s="183">
        <v>10</v>
      </c>
      <c r="O5823" s="222">
        <v>40</v>
      </c>
      <c r="P5823" s="222">
        <v>0</v>
      </c>
      <c r="Q5823" s="222">
        <v>0</v>
      </c>
      <c r="R5823" s="1195">
        <v>11.8</v>
      </c>
      <c r="S5823" s="1195">
        <f t="shared" si="312"/>
        <v>472</v>
      </c>
      <c r="T5823" s="222" t="s">
        <v>12330</v>
      </c>
      <c r="U5823" s="1527" t="s">
        <v>5794</v>
      </c>
      <c r="V5823" s="222" t="s">
        <v>5990</v>
      </c>
      <c r="W5823" s="2155" t="s">
        <v>19793</v>
      </c>
      <c r="X5823" s="818"/>
      <c r="Y5823" s="1161"/>
    </row>
    <row r="5824" spans="1:25" ht="15.75" hidden="1" customHeight="1" outlineLevel="1">
      <c r="A5824" s="222">
        <f t="shared" si="309"/>
        <v>5833</v>
      </c>
      <c r="B5824" s="858">
        <v>44810</v>
      </c>
      <c r="C5824" s="129" t="s">
        <v>8784</v>
      </c>
      <c r="D5824" s="11" t="s">
        <v>6</v>
      </c>
      <c r="E5824" s="818" t="s">
        <v>166</v>
      </c>
      <c r="F5824" s="1006" t="s">
        <v>19768</v>
      </c>
      <c r="G5824" s="863" t="s">
        <v>19794</v>
      </c>
      <c r="H5824" s="222" t="s">
        <v>578</v>
      </c>
      <c r="I5824" s="222" t="s">
        <v>4634</v>
      </c>
      <c r="J5824" s="183" t="s">
        <v>19795</v>
      </c>
      <c r="K5824" s="183" t="s">
        <v>19796</v>
      </c>
      <c r="L5824" s="613" t="s">
        <v>2067</v>
      </c>
      <c r="M5824" s="183">
        <v>4</v>
      </c>
      <c r="N5824" s="183">
        <v>10</v>
      </c>
      <c r="O5824" s="222">
        <v>20</v>
      </c>
      <c r="P5824" s="222">
        <v>0</v>
      </c>
      <c r="Q5824" s="222">
        <v>6</v>
      </c>
      <c r="R5824" s="1195">
        <v>6.3</v>
      </c>
      <c r="S5824" s="1195">
        <f t="shared" si="312"/>
        <v>126</v>
      </c>
      <c r="T5824" s="222" t="s">
        <v>12330</v>
      </c>
      <c r="U5824" s="1527" t="s">
        <v>5794</v>
      </c>
      <c r="V5824" s="222" t="s">
        <v>5990</v>
      </c>
      <c r="W5824" s="2155" t="s">
        <v>19797</v>
      </c>
      <c r="X5824" s="818"/>
      <c r="Y5824" s="1161"/>
    </row>
    <row r="5825" spans="1:25" ht="15.75" hidden="1" customHeight="1" outlineLevel="1">
      <c r="A5825" s="222">
        <f t="shared" si="309"/>
        <v>5834</v>
      </c>
      <c r="B5825" s="858">
        <v>44810</v>
      </c>
      <c r="C5825" s="129" t="s">
        <v>19798</v>
      </c>
      <c r="D5825" s="11" t="s">
        <v>6</v>
      </c>
      <c r="E5825" s="818" t="s">
        <v>166</v>
      </c>
      <c r="F5825" s="1006" t="s">
        <v>19768</v>
      </c>
      <c r="G5825" s="863" t="s">
        <v>19799</v>
      </c>
      <c r="H5825" s="222" t="s">
        <v>578</v>
      </c>
      <c r="I5825" s="222" t="s">
        <v>4634</v>
      </c>
      <c r="J5825" s="183" t="s">
        <v>19800</v>
      </c>
      <c r="K5825" s="183" t="s">
        <v>19801</v>
      </c>
      <c r="L5825" s="613" t="s">
        <v>2067</v>
      </c>
      <c r="M5825" s="183">
        <v>4</v>
      </c>
      <c r="N5825" s="183">
        <v>10</v>
      </c>
      <c r="O5825" s="222">
        <v>20</v>
      </c>
      <c r="P5825" s="222">
        <v>0</v>
      </c>
      <c r="Q5825" s="222">
        <v>6</v>
      </c>
      <c r="R5825" s="1195">
        <v>6.2</v>
      </c>
      <c r="S5825" s="1195">
        <f t="shared" si="312"/>
        <v>124</v>
      </c>
      <c r="T5825" s="222" t="s">
        <v>12330</v>
      </c>
      <c r="U5825" s="1527" t="s">
        <v>5794</v>
      </c>
      <c r="V5825" s="222" t="s">
        <v>5990</v>
      </c>
      <c r="W5825" s="2155" t="s">
        <v>19802</v>
      </c>
      <c r="X5825" s="818"/>
      <c r="Y5825" s="1161"/>
    </row>
    <row r="5826" spans="1:25" ht="15.75" hidden="1" customHeight="1" outlineLevel="1">
      <c r="A5826" s="222">
        <f t="shared" si="309"/>
        <v>5835</v>
      </c>
      <c r="B5826" s="858">
        <v>44810</v>
      </c>
      <c r="C5826" s="129" t="s">
        <v>8769</v>
      </c>
      <c r="D5826" s="11" t="s">
        <v>6</v>
      </c>
      <c r="E5826" s="818" t="s">
        <v>166</v>
      </c>
      <c r="F5826" s="1006" t="s">
        <v>19768</v>
      </c>
      <c r="G5826" s="863" t="s">
        <v>19803</v>
      </c>
      <c r="H5826" s="222" t="s">
        <v>5730</v>
      </c>
      <c r="I5826" s="222" t="s">
        <v>4634</v>
      </c>
      <c r="J5826" s="183" t="s">
        <v>19804</v>
      </c>
      <c r="K5826" s="183" t="s">
        <v>10069</v>
      </c>
      <c r="L5826" s="613" t="s">
        <v>19805</v>
      </c>
      <c r="M5826" s="183">
        <v>8</v>
      </c>
      <c r="N5826" s="183">
        <v>10</v>
      </c>
      <c r="O5826" s="222">
        <v>20</v>
      </c>
      <c r="P5826" s="222">
        <v>0</v>
      </c>
      <c r="Q5826" s="222">
        <v>2</v>
      </c>
      <c r="R5826" s="1195">
        <v>40.6</v>
      </c>
      <c r="S5826" s="1195">
        <f t="shared" si="312"/>
        <v>812</v>
      </c>
      <c r="T5826" s="222" t="s">
        <v>12330</v>
      </c>
      <c r="U5826" s="1527" t="s">
        <v>5794</v>
      </c>
      <c r="V5826" s="222" t="s">
        <v>5990</v>
      </c>
      <c r="W5826" s="2155" t="s">
        <v>19806</v>
      </c>
      <c r="X5826" s="818"/>
      <c r="Y5826" s="1161"/>
    </row>
    <row r="5827" spans="1:25" ht="15.75" hidden="1" customHeight="1" outlineLevel="1">
      <c r="A5827" s="222">
        <f t="shared" si="309"/>
        <v>5836</v>
      </c>
      <c r="B5827" s="858">
        <v>44810</v>
      </c>
      <c r="C5827" s="129" t="s">
        <v>19807</v>
      </c>
      <c r="D5827" s="11" t="s">
        <v>6</v>
      </c>
      <c r="E5827" s="818" t="s">
        <v>166</v>
      </c>
      <c r="F5827" s="1006" t="s">
        <v>19768</v>
      </c>
      <c r="G5827" s="863" t="s">
        <v>19808</v>
      </c>
      <c r="H5827" s="222" t="s">
        <v>166</v>
      </c>
      <c r="I5827" s="222" t="s">
        <v>4634</v>
      </c>
      <c r="J5827" s="183" t="s">
        <v>19809</v>
      </c>
      <c r="K5827" s="183" t="s">
        <v>12654</v>
      </c>
      <c r="L5827" s="613" t="s">
        <v>2067</v>
      </c>
      <c r="M5827" s="183">
        <v>8</v>
      </c>
      <c r="N5827" s="183">
        <v>10</v>
      </c>
      <c r="O5827" s="222">
        <v>20</v>
      </c>
      <c r="P5827" s="222">
        <v>0</v>
      </c>
      <c r="Q5827" s="222">
        <v>2</v>
      </c>
      <c r="R5827" s="1195">
        <v>69.3</v>
      </c>
      <c r="S5827" s="1195">
        <f t="shared" si="312"/>
        <v>1386</v>
      </c>
      <c r="T5827" s="222" t="s">
        <v>12330</v>
      </c>
      <c r="U5827" s="1527" t="s">
        <v>5794</v>
      </c>
      <c r="V5827" s="222" t="s">
        <v>5990</v>
      </c>
      <c r="W5827" s="2155" t="s">
        <v>19810</v>
      </c>
      <c r="X5827" s="818"/>
      <c r="Y5827" s="1161"/>
    </row>
    <row r="5828" spans="1:25" ht="15.75" hidden="1" customHeight="1" outlineLevel="1">
      <c r="A5828" s="222">
        <f t="shared" si="309"/>
        <v>5837</v>
      </c>
      <c r="B5828" s="858">
        <v>44810</v>
      </c>
      <c r="C5828" s="129" t="s">
        <v>19811</v>
      </c>
      <c r="D5828" s="11" t="s">
        <v>6</v>
      </c>
      <c r="E5828" s="818" t="s">
        <v>166</v>
      </c>
      <c r="F5828" s="1006" t="s">
        <v>19768</v>
      </c>
      <c r="G5828" s="863" t="s">
        <v>16392</v>
      </c>
      <c r="H5828" s="222" t="s">
        <v>166</v>
      </c>
      <c r="I5828" s="222" t="s">
        <v>4634</v>
      </c>
      <c r="J5828" s="183" t="s">
        <v>14084</v>
      </c>
      <c r="K5828" s="183" t="s">
        <v>14085</v>
      </c>
      <c r="L5828" s="613" t="s">
        <v>2067</v>
      </c>
      <c r="M5828" s="183">
        <v>12</v>
      </c>
      <c r="N5828" s="183">
        <v>10</v>
      </c>
      <c r="O5828" s="222">
        <v>20</v>
      </c>
      <c r="P5828" s="222">
        <v>0</v>
      </c>
      <c r="Q5828" s="222">
        <v>8</v>
      </c>
      <c r="R5828" s="1195">
        <v>33.200000000000003</v>
      </c>
      <c r="S5828" s="1195">
        <f t="shared" si="312"/>
        <v>664</v>
      </c>
      <c r="T5828" s="222" t="s">
        <v>12330</v>
      </c>
      <c r="U5828" s="1527" t="s">
        <v>5794</v>
      </c>
      <c r="V5828" s="222" t="s">
        <v>5990</v>
      </c>
      <c r="W5828" s="2155" t="s">
        <v>19812</v>
      </c>
      <c r="X5828" s="818"/>
      <c r="Y5828" s="1161"/>
    </row>
    <row r="5829" spans="1:25" ht="15.75" hidden="1" customHeight="1" outlineLevel="1">
      <c r="A5829" s="222">
        <f t="shared" si="309"/>
        <v>5838</v>
      </c>
      <c r="B5829" s="858">
        <v>44810</v>
      </c>
      <c r="C5829" s="129" t="s">
        <v>19813</v>
      </c>
      <c r="D5829" s="11" t="s">
        <v>6</v>
      </c>
      <c r="E5829" s="818" t="s">
        <v>166</v>
      </c>
      <c r="F5829" s="1006" t="s">
        <v>19768</v>
      </c>
      <c r="G5829" s="863" t="s">
        <v>18654</v>
      </c>
      <c r="H5829" s="222" t="s">
        <v>166</v>
      </c>
      <c r="I5829" s="222" t="s">
        <v>4634</v>
      </c>
      <c r="J5829" s="183" t="s">
        <v>18655</v>
      </c>
      <c r="K5829" s="183" t="s">
        <v>18656</v>
      </c>
      <c r="L5829" s="613" t="s">
        <v>2067</v>
      </c>
      <c r="M5829" s="183">
        <v>24</v>
      </c>
      <c r="N5829" s="183">
        <v>10</v>
      </c>
      <c r="O5829" s="222">
        <v>30</v>
      </c>
      <c r="P5829" s="222">
        <v>0</v>
      </c>
      <c r="Q5829" s="222">
        <v>6</v>
      </c>
      <c r="R5829" s="1195">
        <v>11.8</v>
      </c>
      <c r="S5829" s="1195">
        <f t="shared" si="312"/>
        <v>354</v>
      </c>
      <c r="T5829" s="222" t="s">
        <v>12330</v>
      </c>
      <c r="U5829" s="1527" t="s">
        <v>5794</v>
      </c>
      <c r="V5829" s="222" t="s">
        <v>5990</v>
      </c>
      <c r="W5829" s="2155" t="s">
        <v>19814</v>
      </c>
      <c r="X5829" s="818"/>
      <c r="Y5829" s="1161"/>
    </row>
    <row r="5830" spans="1:25" ht="15.75" hidden="1" customHeight="1" outlineLevel="1">
      <c r="A5830" s="222">
        <f t="shared" si="309"/>
        <v>5839</v>
      </c>
      <c r="B5830" s="858">
        <v>44810</v>
      </c>
      <c r="C5830" s="129" t="s">
        <v>19815</v>
      </c>
      <c r="D5830" s="11" t="s">
        <v>6</v>
      </c>
      <c r="E5830" s="818" t="s">
        <v>166</v>
      </c>
      <c r="F5830" s="1006" t="s">
        <v>19768</v>
      </c>
      <c r="G5830" s="863" t="s">
        <v>19816</v>
      </c>
      <c r="H5830" s="222" t="s">
        <v>166</v>
      </c>
      <c r="I5830" s="222" t="s">
        <v>4634</v>
      </c>
      <c r="J5830" s="183" t="s">
        <v>19817</v>
      </c>
      <c r="K5830" s="183" t="s">
        <v>19818</v>
      </c>
      <c r="L5830" s="613" t="s">
        <v>2067</v>
      </c>
      <c r="M5830" s="183">
        <v>20</v>
      </c>
      <c r="N5830" s="183">
        <v>10</v>
      </c>
      <c r="O5830" s="222">
        <v>20</v>
      </c>
      <c r="P5830" s="222">
        <v>0</v>
      </c>
      <c r="Q5830" s="222">
        <v>0</v>
      </c>
      <c r="R5830" s="1195">
        <v>10.5</v>
      </c>
      <c r="S5830" s="1195">
        <f t="shared" si="312"/>
        <v>210</v>
      </c>
      <c r="T5830" s="222" t="s">
        <v>12330</v>
      </c>
      <c r="U5830" s="1527" t="s">
        <v>5794</v>
      </c>
      <c r="V5830" s="222" t="s">
        <v>5990</v>
      </c>
      <c r="W5830" s="2155" t="s">
        <v>19819</v>
      </c>
      <c r="X5830" s="818"/>
      <c r="Y5830" s="1161"/>
    </row>
    <row r="5831" spans="1:25" ht="15.75" hidden="1" customHeight="1" outlineLevel="1">
      <c r="A5831" s="222">
        <f t="shared" si="309"/>
        <v>5840</v>
      </c>
      <c r="B5831" s="858">
        <v>44810</v>
      </c>
      <c r="C5831" s="129" t="s">
        <v>14101</v>
      </c>
      <c r="D5831" s="11" t="s">
        <v>6</v>
      </c>
      <c r="E5831" s="818" t="s">
        <v>166</v>
      </c>
      <c r="F5831" s="1006" t="s">
        <v>19768</v>
      </c>
      <c r="G5831" s="863" t="s">
        <v>14102</v>
      </c>
      <c r="H5831" s="222" t="s">
        <v>452</v>
      </c>
      <c r="I5831" s="222" t="s">
        <v>4634</v>
      </c>
      <c r="J5831" s="183" t="s">
        <v>11139</v>
      </c>
      <c r="K5831" s="183" t="s">
        <v>6455</v>
      </c>
      <c r="L5831" s="613" t="s">
        <v>14103</v>
      </c>
      <c r="M5831" s="183">
        <v>4</v>
      </c>
      <c r="N5831" s="183">
        <v>1</v>
      </c>
      <c r="O5831" s="222">
        <v>20</v>
      </c>
      <c r="P5831" s="222">
        <v>0</v>
      </c>
      <c r="Q5831" s="222">
        <v>0</v>
      </c>
      <c r="R5831" s="1195">
        <v>26.7</v>
      </c>
      <c r="S5831" s="1195">
        <f t="shared" si="312"/>
        <v>534</v>
      </c>
      <c r="T5831" s="222" t="s">
        <v>12330</v>
      </c>
      <c r="U5831" s="1527" t="s">
        <v>5794</v>
      </c>
      <c r="V5831" s="222" t="s">
        <v>5990</v>
      </c>
      <c r="W5831" s="2155" t="s">
        <v>19820</v>
      </c>
      <c r="X5831" s="818"/>
      <c r="Y5831" s="1161"/>
    </row>
    <row r="5832" spans="1:25" ht="15.75" hidden="1" customHeight="1" outlineLevel="1">
      <c r="A5832" s="222">
        <f t="shared" ref="A5832:A5862" si="313">+A5831+1</f>
        <v>5841</v>
      </c>
      <c r="B5832" s="858">
        <v>44810</v>
      </c>
      <c r="C5832" s="129" t="s">
        <v>14116</v>
      </c>
      <c r="D5832" s="11" t="s">
        <v>6</v>
      </c>
      <c r="E5832" s="818" t="s">
        <v>166</v>
      </c>
      <c r="F5832" s="1006" t="s">
        <v>19768</v>
      </c>
      <c r="G5832" s="863" t="s">
        <v>14117</v>
      </c>
      <c r="H5832" s="222" t="s">
        <v>1460</v>
      </c>
      <c r="I5832" s="222" t="s">
        <v>4634</v>
      </c>
      <c r="J5832" s="183" t="s">
        <v>14118</v>
      </c>
      <c r="K5832" s="183" t="s">
        <v>14119</v>
      </c>
      <c r="L5832" s="613" t="s">
        <v>1</v>
      </c>
      <c r="M5832" s="183">
        <v>4</v>
      </c>
      <c r="N5832" s="183">
        <v>1</v>
      </c>
      <c r="O5832" s="222">
        <v>10</v>
      </c>
      <c r="P5832" s="222">
        <v>0</v>
      </c>
      <c r="Q5832" s="222">
        <v>0</v>
      </c>
      <c r="R5832" s="1195">
        <v>328.8</v>
      </c>
      <c r="S5832" s="1195">
        <f t="shared" si="312"/>
        <v>3288</v>
      </c>
      <c r="T5832" s="222" t="s">
        <v>12330</v>
      </c>
      <c r="U5832" s="1527" t="s">
        <v>5794</v>
      </c>
      <c r="V5832" s="222" t="s">
        <v>5990</v>
      </c>
      <c r="W5832" s="2155" t="s">
        <v>19821</v>
      </c>
      <c r="X5832" s="818"/>
      <c r="Y5832" s="1161"/>
    </row>
    <row r="5833" spans="1:25" ht="15.75" hidden="1" customHeight="1" outlineLevel="1">
      <c r="A5833" s="222">
        <f t="shared" si="313"/>
        <v>5842</v>
      </c>
      <c r="B5833" s="858">
        <v>44810</v>
      </c>
      <c r="C5833" s="129" t="s">
        <v>19822</v>
      </c>
      <c r="D5833" s="11" t="s">
        <v>6</v>
      </c>
      <c r="E5833" s="818" t="s">
        <v>166</v>
      </c>
      <c r="F5833" s="1006" t="s">
        <v>19768</v>
      </c>
      <c r="G5833" s="863" t="s">
        <v>14123</v>
      </c>
      <c r="H5833" s="222" t="s">
        <v>460</v>
      </c>
      <c r="I5833" s="222" t="s">
        <v>4634</v>
      </c>
      <c r="J5833" s="183" t="s">
        <v>19823</v>
      </c>
      <c r="K5833" s="183" t="s">
        <v>6491</v>
      </c>
      <c r="L5833" s="613" t="s">
        <v>14126</v>
      </c>
      <c r="M5833" s="183">
        <v>4</v>
      </c>
      <c r="N5833" s="183">
        <v>1</v>
      </c>
      <c r="O5833" s="222">
        <v>5</v>
      </c>
      <c r="P5833" s="222">
        <v>0</v>
      </c>
      <c r="Q5833" s="222">
        <v>0</v>
      </c>
      <c r="R5833" s="1195">
        <v>129.30000000000001</v>
      </c>
      <c r="S5833" s="1195">
        <f t="shared" si="312"/>
        <v>646.5</v>
      </c>
      <c r="T5833" s="222" t="s">
        <v>12330</v>
      </c>
      <c r="U5833" s="1527" t="s">
        <v>5794</v>
      </c>
      <c r="V5833" s="222" t="s">
        <v>5990</v>
      </c>
      <c r="W5833" s="2155" t="s">
        <v>19824</v>
      </c>
      <c r="X5833" s="818"/>
      <c r="Y5833" s="1161"/>
    </row>
    <row r="5834" spans="1:25" ht="15.75" hidden="1" customHeight="1" outlineLevel="1">
      <c r="A5834" s="222">
        <f t="shared" si="313"/>
        <v>5843</v>
      </c>
      <c r="B5834" s="858">
        <v>44810</v>
      </c>
      <c r="C5834" s="129" t="s">
        <v>19825</v>
      </c>
      <c r="D5834" s="11" t="s">
        <v>6</v>
      </c>
      <c r="E5834" s="818" t="s">
        <v>166</v>
      </c>
      <c r="F5834" s="1006" t="s">
        <v>19768</v>
      </c>
      <c r="G5834" s="863" t="s">
        <v>19826</v>
      </c>
      <c r="H5834" s="222" t="s">
        <v>460</v>
      </c>
      <c r="I5834" s="222" t="s">
        <v>4634</v>
      </c>
      <c r="J5834" s="183" t="s">
        <v>19827</v>
      </c>
      <c r="K5834" s="183" t="s">
        <v>19828</v>
      </c>
      <c r="L5834" s="613" t="s">
        <v>19829</v>
      </c>
      <c r="M5834" s="183">
        <v>8</v>
      </c>
      <c r="N5834" s="183">
        <v>10</v>
      </c>
      <c r="O5834" s="222">
        <v>10</v>
      </c>
      <c r="P5834" s="222">
        <v>0</v>
      </c>
      <c r="Q5834" s="222">
        <v>2</v>
      </c>
      <c r="R5834" s="1195">
        <v>80.599999999999994</v>
      </c>
      <c r="S5834" s="1195">
        <f t="shared" si="312"/>
        <v>806</v>
      </c>
      <c r="T5834" s="222" t="s">
        <v>12330</v>
      </c>
      <c r="U5834" s="1527" t="s">
        <v>5794</v>
      </c>
      <c r="V5834" s="222" t="s">
        <v>5990</v>
      </c>
      <c r="W5834" s="2155" t="s">
        <v>19830</v>
      </c>
      <c r="X5834" s="818"/>
      <c r="Y5834" s="1161"/>
    </row>
    <row r="5835" spans="1:25" ht="15.75" hidden="1" customHeight="1" outlineLevel="1">
      <c r="A5835" s="222">
        <f t="shared" si="313"/>
        <v>5844</v>
      </c>
      <c r="B5835" s="858">
        <v>44810</v>
      </c>
      <c r="C5835" s="129" t="s">
        <v>16486</v>
      </c>
      <c r="D5835" s="11" t="s">
        <v>6</v>
      </c>
      <c r="E5835" s="818" t="s">
        <v>166</v>
      </c>
      <c r="F5835" s="1006" t="s">
        <v>19768</v>
      </c>
      <c r="G5835" s="863" t="s">
        <v>15201</v>
      </c>
      <c r="H5835" s="222" t="s">
        <v>511</v>
      </c>
      <c r="I5835" s="222" t="s">
        <v>4634</v>
      </c>
      <c r="J5835" s="183" t="s">
        <v>15202</v>
      </c>
      <c r="K5835" s="183" t="s">
        <v>15203</v>
      </c>
      <c r="L5835" s="613" t="s">
        <v>15204</v>
      </c>
      <c r="M5835" s="183">
        <v>8</v>
      </c>
      <c r="N5835" s="183">
        <v>10</v>
      </c>
      <c r="O5835" s="222">
        <v>10</v>
      </c>
      <c r="P5835" s="222">
        <v>0</v>
      </c>
      <c r="Q5835" s="222">
        <v>2</v>
      </c>
      <c r="R5835" s="1195">
        <v>59.4</v>
      </c>
      <c r="S5835" s="1195">
        <f t="shared" si="312"/>
        <v>594</v>
      </c>
      <c r="T5835" s="222" t="s">
        <v>12330</v>
      </c>
      <c r="U5835" s="1527" t="s">
        <v>5794</v>
      </c>
      <c r="V5835" s="222" t="s">
        <v>5990</v>
      </c>
      <c r="W5835" s="2155" t="s">
        <v>19831</v>
      </c>
      <c r="X5835" s="818"/>
      <c r="Y5835" s="1161"/>
    </row>
    <row r="5836" spans="1:25" ht="15.75" hidden="1" customHeight="1" outlineLevel="1">
      <c r="A5836" s="222">
        <f t="shared" si="313"/>
        <v>5845</v>
      </c>
      <c r="B5836" s="858">
        <v>44811</v>
      </c>
      <c r="C5836" s="129" t="s">
        <v>19832</v>
      </c>
      <c r="D5836" s="11" t="s">
        <v>6</v>
      </c>
      <c r="E5836" s="818" t="s">
        <v>572</v>
      </c>
      <c r="F5836" s="1006" t="s">
        <v>784</v>
      </c>
      <c r="G5836" s="863" t="s">
        <v>19833</v>
      </c>
      <c r="H5836" s="222" t="s">
        <v>149</v>
      </c>
      <c r="I5836" s="222" t="s">
        <v>281</v>
      </c>
      <c r="J5836" s="183" t="s">
        <v>149</v>
      </c>
      <c r="K5836" s="183" t="s">
        <v>149</v>
      </c>
      <c r="L5836" s="613" t="s">
        <v>149</v>
      </c>
      <c r="M5836" s="183">
        <v>1</v>
      </c>
      <c r="N5836" s="183">
        <v>1</v>
      </c>
      <c r="O5836" s="222">
        <v>1</v>
      </c>
      <c r="P5836" s="222">
        <v>0</v>
      </c>
      <c r="Q5836" s="222">
        <v>0</v>
      </c>
      <c r="R5836" s="1195">
        <v>26950</v>
      </c>
      <c r="S5836" s="1195">
        <f t="shared" si="312"/>
        <v>26950</v>
      </c>
      <c r="T5836" s="222" t="s">
        <v>10016</v>
      </c>
      <c r="U5836" s="1527" t="s">
        <v>10016</v>
      </c>
      <c r="V5836" s="222" t="s">
        <v>10323</v>
      </c>
      <c r="W5836" s="2155"/>
      <c r="X5836" s="818"/>
      <c r="Y5836" s="1161"/>
    </row>
    <row r="5837" spans="1:25" ht="15.75" hidden="1" customHeight="1" outlineLevel="1">
      <c r="A5837" s="222">
        <f t="shared" si="313"/>
        <v>5846</v>
      </c>
      <c r="B5837" s="858">
        <v>44811</v>
      </c>
      <c r="C5837" s="129" t="s">
        <v>19834</v>
      </c>
      <c r="D5837" s="11" t="s">
        <v>6</v>
      </c>
      <c r="E5837" s="818" t="s">
        <v>572</v>
      </c>
      <c r="F5837" s="1006" t="s">
        <v>784</v>
      </c>
      <c r="G5837" s="863" t="s">
        <v>19835</v>
      </c>
      <c r="H5837" s="222" t="s">
        <v>2980</v>
      </c>
      <c r="I5837" s="222" t="s">
        <v>39</v>
      </c>
      <c r="J5837" s="183" t="s">
        <v>19836</v>
      </c>
      <c r="K5837" s="183" t="s">
        <v>19837</v>
      </c>
      <c r="L5837" s="613" t="s">
        <v>2978</v>
      </c>
      <c r="M5837" s="183">
        <v>1</v>
      </c>
      <c r="N5837" s="183">
        <v>1</v>
      </c>
      <c r="O5837" s="222">
        <v>1</v>
      </c>
      <c r="P5837" s="222">
        <v>0</v>
      </c>
      <c r="Q5837" s="222">
        <v>0</v>
      </c>
      <c r="R5837" s="1195">
        <v>1965</v>
      </c>
      <c r="S5837" s="1195">
        <v>1162</v>
      </c>
      <c r="T5837" s="222" t="s">
        <v>10016</v>
      </c>
      <c r="U5837" s="1527" t="s">
        <v>10016</v>
      </c>
      <c r="V5837" s="222" t="s">
        <v>10323</v>
      </c>
      <c r="W5837" s="2155" t="s">
        <v>19838</v>
      </c>
      <c r="X5837" s="818"/>
      <c r="Y5837" s="1161"/>
    </row>
    <row r="5838" spans="1:25" ht="15.75" hidden="1" customHeight="1" outlineLevel="1">
      <c r="A5838" s="222">
        <f t="shared" si="313"/>
        <v>5847</v>
      </c>
      <c r="B5838" s="858">
        <v>44812</v>
      </c>
      <c r="C5838" s="129" t="s">
        <v>19839</v>
      </c>
      <c r="D5838" s="11" t="s">
        <v>6</v>
      </c>
      <c r="E5838" s="1483" t="s">
        <v>62</v>
      </c>
      <c r="F5838" s="1006" t="s">
        <v>19840</v>
      </c>
      <c r="G5838" s="863" t="s">
        <v>19841</v>
      </c>
      <c r="H5838" s="222" t="s">
        <v>2724</v>
      </c>
      <c r="I5838" s="222" t="s">
        <v>39</v>
      </c>
      <c r="J5838" s="183" t="s">
        <v>19842</v>
      </c>
      <c r="K5838" s="183" t="s">
        <v>19843</v>
      </c>
      <c r="L5838" s="613" t="s">
        <v>1</v>
      </c>
      <c r="M5838" s="183">
        <v>1</v>
      </c>
      <c r="N5838" s="183">
        <v>1</v>
      </c>
      <c r="O5838" s="222">
        <v>1</v>
      </c>
      <c r="P5838" s="222">
        <v>0</v>
      </c>
      <c r="Q5838" s="222">
        <v>0</v>
      </c>
      <c r="R5838" s="1195">
        <v>17474</v>
      </c>
      <c r="S5838" s="1195">
        <f t="shared" si="312"/>
        <v>17474</v>
      </c>
      <c r="T5838" s="183" t="s">
        <v>13678</v>
      </c>
      <c r="U5838" s="1893" t="s">
        <v>19844</v>
      </c>
      <c r="V5838" s="183"/>
      <c r="W5838" s="2155" t="s">
        <v>19845</v>
      </c>
      <c r="X5838" s="818"/>
      <c r="Y5838" s="1161"/>
    </row>
    <row r="5839" spans="1:25" ht="15.75" hidden="1" customHeight="1" outlineLevel="1">
      <c r="A5839" s="222">
        <f t="shared" si="313"/>
        <v>5848</v>
      </c>
      <c r="B5839" s="858">
        <v>44813</v>
      </c>
      <c r="C5839" s="129" t="s">
        <v>1863</v>
      </c>
      <c r="D5839" s="11" t="s">
        <v>6</v>
      </c>
      <c r="E5839" s="818" t="s">
        <v>572</v>
      </c>
      <c r="F5839" s="1006" t="s">
        <v>784</v>
      </c>
      <c r="G5839" s="863" t="s">
        <v>19846</v>
      </c>
      <c r="H5839" s="222" t="s">
        <v>3097</v>
      </c>
      <c r="I5839" s="222" t="s">
        <v>281</v>
      </c>
      <c r="J5839" s="183" t="s">
        <v>19847</v>
      </c>
      <c r="K5839" s="183" t="s">
        <v>19848</v>
      </c>
      <c r="L5839" s="613" t="s">
        <v>19849</v>
      </c>
      <c r="M5839" s="183">
        <v>1</v>
      </c>
      <c r="N5839" s="183">
        <v>1</v>
      </c>
      <c r="O5839" s="222">
        <v>1</v>
      </c>
      <c r="P5839" s="222">
        <v>0</v>
      </c>
      <c r="Q5839" s="222">
        <v>0</v>
      </c>
      <c r="R5839" s="1195">
        <v>3458</v>
      </c>
      <c r="S5839" s="1195">
        <f t="shared" si="312"/>
        <v>3458</v>
      </c>
      <c r="T5839" s="222" t="s">
        <v>10016</v>
      </c>
      <c r="U5839" s="1527" t="s">
        <v>10016</v>
      </c>
      <c r="V5839" s="222" t="s">
        <v>10323</v>
      </c>
      <c r="W5839" s="2155" t="s">
        <v>19850</v>
      </c>
      <c r="X5839" s="818"/>
      <c r="Y5839" s="1161"/>
    </row>
    <row r="5840" spans="1:25" ht="15.75" hidden="1" customHeight="1" outlineLevel="1">
      <c r="A5840" s="222">
        <f t="shared" si="313"/>
        <v>5849</v>
      </c>
      <c r="B5840" s="858">
        <v>44816</v>
      </c>
      <c r="C5840" s="129" t="s">
        <v>19182</v>
      </c>
      <c r="D5840" s="10"/>
      <c r="E5840" s="818" t="s">
        <v>166</v>
      </c>
      <c r="F5840" s="1006" t="s">
        <v>19851</v>
      </c>
      <c r="G5840" s="1756" t="s">
        <v>19390</v>
      </c>
      <c r="H5840" s="222" t="s">
        <v>429</v>
      </c>
      <c r="I5840" s="222" t="s">
        <v>429</v>
      </c>
      <c r="J5840" s="183" t="s">
        <v>16839</v>
      </c>
      <c r="K5840" s="183"/>
      <c r="L5840" s="613"/>
      <c r="M5840" s="183">
        <v>10</v>
      </c>
      <c r="N5840" s="183">
        <v>10</v>
      </c>
      <c r="O5840" s="222">
        <v>10</v>
      </c>
      <c r="P5840" s="222">
        <v>0</v>
      </c>
      <c r="Q5840" s="222">
        <v>0</v>
      </c>
      <c r="R5840" s="1195">
        <v>54</v>
      </c>
      <c r="S5840" s="1195">
        <f t="shared" si="312"/>
        <v>540</v>
      </c>
      <c r="T5840" s="222" t="s">
        <v>301</v>
      </c>
      <c r="U5840" s="1527" t="s">
        <v>18479</v>
      </c>
      <c r="V5840" s="222" t="s">
        <v>9064</v>
      </c>
      <c r="W5840" s="2155" t="s">
        <v>19852</v>
      </c>
      <c r="X5840" s="818"/>
      <c r="Y5840" s="1161"/>
    </row>
    <row r="5841" spans="1:25" ht="15.75" hidden="1" customHeight="1" outlineLevel="1">
      <c r="A5841" s="222">
        <f t="shared" si="313"/>
        <v>5850</v>
      </c>
      <c r="B5841" s="858">
        <v>44816</v>
      </c>
      <c r="C5841" s="129" t="s">
        <v>19182</v>
      </c>
      <c r="D5841" s="10"/>
      <c r="E5841" s="818" t="s">
        <v>166</v>
      </c>
      <c r="F5841" s="1006" t="s">
        <v>19851</v>
      </c>
      <c r="G5841" s="1756" t="s">
        <v>19853</v>
      </c>
      <c r="H5841" s="222" t="s">
        <v>429</v>
      </c>
      <c r="I5841" s="222" t="s">
        <v>429</v>
      </c>
      <c r="J5841" s="183" t="s">
        <v>16844</v>
      </c>
      <c r="K5841" s="183"/>
      <c r="L5841" s="613"/>
      <c r="M5841" s="183">
        <v>10</v>
      </c>
      <c r="N5841" s="183">
        <v>10</v>
      </c>
      <c r="O5841" s="222">
        <v>10</v>
      </c>
      <c r="P5841" s="222">
        <v>0</v>
      </c>
      <c r="Q5841" s="222">
        <v>0</v>
      </c>
      <c r="R5841" s="1195">
        <v>60</v>
      </c>
      <c r="S5841" s="1195">
        <f t="shared" si="312"/>
        <v>600</v>
      </c>
      <c r="T5841" s="222" t="s">
        <v>301</v>
      </c>
      <c r="U5841" s="1527" t="s">
        <v>18479</v>
      </c>
      <c r="V5841" s="222" t="s">
        <v>9064</v>
      </c>
      <c r="W5841" s="898" t="s">
        <v>19854</v>
      </c>
      <c r="X5841" s="818"/>
      <c r="Y5841" s="1161"/>
    </row>
    <row r="5842" spans="1:25" ht="15.75" hidden="1" customHeight="1" outlineLevel="1">
      <c r="A5842" s="222">
        <f t="shared" si="313"/>
        <v>5851</v>
      </c>
      <c r="B5842" s="858">
        <v>44816</v>
      </c>
      <c r="C5842" s="129" t="s">
        <v>19182</v>
      </c>
      <c r="D5842" s="10"/>
      <c r="E5842" s="818" t="s">
        <v>166</v>
      </c>
      <c r="F5842" s="1006" t="s">
        <v>19851</v>
      </c>
      <c r="G5842" s="1756" t="s">
        <v>19855</v>
      </c>
      <c r="H5842" s="222" t="s">
        <v>429</v>
      </c>
      <c r="I5842" s="222" t="s">
        <v>429</v>
      </c>
      <c r="J5842" s="183" t="s">
        <v>19189</v>
      </c>
      <c r="K5842" s="183"/>
      <c r="L5842" s="613"/>
      <c r="M5842" s="183">
        <v>10</v>
      </c>
      <c r="N5842" s="183">
        <v>10</v>
      </c>
      <c r="O5842" s="222">
        <v>10</v>
      </c>
      <c r="P5842" s="222">
        <v>0</v>
      </c>
      <c r="Q5842" s="222">
        <v>0</v>
      </c>
      <c r="R5842" s="1195">
        <v>34</v>
      </c>
      <c r="S5842" s="1195">
        <f t="shared" si="312"/>
        <v>340</v>
      </c>
      <c r="T5842" s="222" t="s">
        <v>301</v>
      </c>
      <c r="U5842" s="1527" t="s">
        <v>18479</v>
      </c>
      <c r="V5842" s="222" t="s">
        <v>9064</v>
      </c>
      <c r="W5842" s="898" t="s">
        <v>19856</v>
      </c>
      <c r="X5842" s="818"/>
      <c r="Y5842" s="1161"/>
    </row>
    <row r="5843" spans="1:25" ht="15.75" hidden="1" customHeight="1" outlineLevel="1">
      <c r="A5843" s="222">
        <f t="shared" si="313"/>
        <v>5852</v>
      </c>
      <c r="B5843" s="858">
        <v>44816</v>
      </c>
      <c r="C5843" s="129" t="s">
        <v>19182</v>
      </c>
      <c r="D5843" s="10"/>
      <c r="E5843" s="818" t="s">
        <v>166</v>
      </c>
      <c r="F5843" s="1006" t="s">
        <v>19851</v>
      </c>
      <c r="G5843" s="1756" t="s">
        <v>19857</v>
      </c>
      <c r="H5843" s="222" t="s">
        <v>429</v>
      </c>
      <c r="I5843" s="222" t="s">
        <v>429</v>
      </c>
      <c r="J5843" s="183" t="s">
        <v>19858</v>
      </c>
      <c r="K5843" s="183"/>
      <c r="L5843" s="613"/>
      <c r="M5843" s="183">
        <v>20</v>
      </c>
      <c r="N5843" s="183">
        <v>20</v>
      </c>
      <c r="O5843" s="222">
        <v>20</v>
      </c>
      <c r="P5843" s="222">
        <v>0</v>
      </c>
      <c r="Q5843" s="222">
        <v>0</v>
      </c>
      <c r="R5843" s="1195">
        <v>41</v>
      </c>
      <c r="S5843" s="1195">
        <f t="shared" si="312"/>
        <v>820</v>
      </c>
      <c r="T5843" s="222" t="s">
        <v>301</v>
      </c>
      <c r="U5843" s="1527" t="s">
        <v>18479</v>
      </c>
      <c r="V5843" s="222" t="s">
        <v>9064</v>
      </c>
      <c r="W5843" s="898" t="s">
        <v>19859</v>
      </c>
      <c r="X5843" s="818"/>
      <c r="Y5843" s="1161"/>
    </row>
    <row r="5844" spans="1:25" ht="15.75" hidden="1" customHeight="1" outlineLevel="1">
      <c r="A5844" s="222">
        <f t="shared" si="313"/>
        <v>5853</v>
      </c>
      <c r="B5844" s="858">
        <v>44816</v>
      </c>
      <c r="C5844" s="129" t="s">
        <v>19860</v>
      </c>
      <c r="D5844" s="10"/>
      <c r="E5844" s="818" t="s">
        <v>166</v>
      </c>
      <c r="F5844" s="1006" t="s">
        <v>19851</v>
      </c>
      <c r="G5844" s="1756" t="s">
        <v>19861</v>
      </c>
      <c r="H5844" s="222" t="s">
        <v>429</v>
      </c>
      <c r="I5844" s="222" t="s">
        <v>429</v>
      </c>
      <c r="J5844" s="183" t="s">
        <v>19862</v>
      </c>
      <c r="K5844" s="183"/>
      <c r="L5844" s="613"/>
      <c r="M5844" s="183">
        <v>15</v>
      </c>
      <c r="N5844" s="183">
        <v>15</v>
      </c>
      <c r="O5844" s="222">
        <v>15</v>
      </c>
      <c r="P5844" s="222">
        <v>0</v>
      </c>
      <c r="Q5844" s="222">
        <v>0</v>
      </c>
      <c r="R5844" s="1195">
        <v>143</v>
      </c>
      <c r="S5844" s="1195">
        <f t="shared" si="312"/>
        <v>2145</v>
      </c>
      <c r="T5844" s="222" t="s">
        <v>301</v>
      </c>
      <c r="U5844" s="1527" t="s">
        <v>18479</v>
      </c>
      <c r="V5844" s="222" t="s">
        <v>9064</v>
      </c>
      <c r="W5844" s="898" t="s">
        <v>19863</v>
      </c>
      <c r="X5844" s="818"/>
      <c r="Y5844" s="1161"/>
    </row>
    <row r="5845" spans="1:25" ht="15.75" hidden="1" customHeight="1" outlineLevel="1">
      <c r="A5845" s="222">
        <f t="shared" si="313"/>
        <v>5854</v>
      </c>
      <c r="B5845" s="858">
        <v>44816</v>
      </c>
      <c r="C5845" s="129" t="s">
        <v>12427</v>
      </c>
      <c r="D5845" s="10"/>
      <c r="E5845" s="818" t="s">
        <v>166</v>
      </c>
      <c r="F5845" s="1006" t="s">
        <v>19851</v>
      </c>
      <c r="G5845" s="1756" t="s">
        <v>19376</v>
      </c>
      <c r="H5845" s="222" t="s">
        <v>429</v>
      </c>
      <c r="I5845" s="222" t="s">
        <v>429</v>
      </c>
      <c r="J5845" s="183" t="s">
        <v>12435</v>
      </c>
      <c r="K5845" s="183"/>
      <c r="L5845" s="613"/>
      <c r="M5845" s="183">
        <v>10</v>
      </c>
      <c r="N5845" s="183">
        <v>10</v>
      </c>
      <c r="O5845" s="183">
        <v>10</v>
      </c>
      <c r="P5845" s="222">
        <v>0</v>
      </c>
      <c r="Q5845" s="222">
        <v>0</v>
      </c>
      <c r="R5845" s="1195">
        <v>43</v>
      </c>
      <c r="S5845" s="1195">
        <f t="shared" si="312"/>
        <v>430</v>
      </c>
      <c r="T5845" s="222" t="s">
        <v>301</v>
      </c>
      <c r="U5845" s="1527" t="s">
        <v>18479</v>
      </c>
      <c r="V5845" s="222" t="s">
        <v>9064</v>
      </c>
      <c r="W5845" s="898" t="s">
        <v>19864</v>
      </c>
      <c r="X5845" s="818"/>
      <c r="Y5845" s="1161"/>
    </row>
    <row r="5846" spans="1:25" ht="15.75" hidden="1" customHeight="1" outlineLevel="1">
      <c r="A5846" s="222">
        <f t="shared" si="313"/>
        <v>5855</v>
      </c>
      <c r="B5846" s="858">
        <v>44816</v>
      </c>
      <c r="C5846" s="129" t="s">
        <v>12427</v>
      </c>
      <c r="D5846" s="10"/>
      <c r="E5846" s="818" t="s">
        <v>166</v>
      </c>
      <c r="F5846" s="1006" t="s">
        <v>19851</v>
      </c>
      <c r="G5846" s="1756" t="s">
        <v>19865</v>
      </c>
      <c r="H5846" s="222" t="s">
        <v>429</v>
      </c>
      <c r="I5846" s="222" t="s">
        <v>429</v>
      </c>
      <c r="J5846" s="183" t="s">
        <v>16824</v>
      </c>
      <c r="K5846" s="183"/>
      <c r="L5846" s="613"/>
      <c r="M5846" s="183">
        <v>40</v>
      </c>
      <c r="N5846" s="183">
        <v>40</v>
      </c>
      <c r="O5846" s="183">
        <v>40</v>
      </c>
      <c r="P5846" s="222">
        <v>0</v>
      </c>
      <c r="Q5846" s="222">
        <v>0</v>
      </c>
      <c r="R5846" s="1195">
        <v>28</v>
      </c>
      <c r="S5846" s="1195">
        <f t="shared" si="312"/>
        <v>1120</v>
      </c>
      <c r="T5846" s="222" t="s">
        <v>301</v>
      </c>
      <c r="U5846" s="1527" t="s">
        <v>18479</v>
      </c>
      <c r="V5846" s="222" t="s">
        <v>9064</v>
      </c>
      <c r="W5846" s="898" t="s">
        <v>19866</v>
      </c>
      <c r="X5846" s="818"/>
      <c r="Y5846" s="1161"/>
    </row>
    <row r="5847" spans="1:25" ht="15.75" hidden="1" customHeight="1" outlineLevel="1">
      <c r="A5847" s="222">
        <f t="shared" si="313"/>
        <v>5856</v>
      </c>
      <c r="B5847" s="858">
        <v>44816</v>
      </c>
      <c r="C5847" s="129" t="s">
        <v>12427</v>
      </c>
      <c r="D5847" s="10"/>
      <c r="E5847" s="818" t="s">
        <v>166</v>
      </c>
      <c r="F5847" s="1006" t="s">
        <v>19851</v>
      </c>
      <c r="G5847" s="1756" t="s">
        <v>19867</v>
      </c>
      <c r="H5847" s="222" t="s">
        <v>429</v>
      </c>
      <c r="I5847" s="222" t="s">
        <v>429</v>
      </c>
      <c r="J5847" s="183" t="s">
        <v>19868</v>
      </c>
      <c r="K5847" s="183"/>
      <c r="L5847" s="613"/>
      <c r="M5847" s="183">
        <v>26</v>
      </c>
      <c r="N5847" s="183">
        <v>26</v>
      </c>
      <c r="O5847" s="183">
        <v>26</v>
      </c>
      <c r="P5847" s="222">
        <v>0</v>
      </c>
      <c r="Q5847" s="222">
        <v>0</v>
      </c>
      <c r="R5847" s="1195">
        <v>150</v>
      </c>
      <c r="S5847" s="1195">
        <f t="shared" si="312"/>
        <v>3900</v>
      </c>
      <c r="T5847" s="222" t="s">
        <v>301</v>
      </c>
      <c r="U5847" s="1527" t="s">
        <v>18479</v>
      </c>
      <c r="V5847" s="222" t="s">
        <v>9064</v>
      </c>
      <c r="W5847" s="898" t="s">
        <v>19869</v>
      </c>
      <c r="X5847" s="818"/>
      <c r="Y5847" s="1161"/>
    </row>
    <row r="5848" spans="1:25" ht="15.75" hidden="1" customHeight="1" outlineLevel="1">
      <c r="A5848" s="222">
        <f t="shared" si="313"/>
        <v>5857</v>
      </c>
      <c r="B5848" s="858">
        <v>44816</v>
      </c>
      <c r="C5848" s="129" t="s">
        <v>12427</v>
      </c>
      <c r="D5848" s="10"/>
      <c r="E5848" s="818" t="s">
        <v>166</v>
      </c>
      <c r="F5848" s="1006" t="s">
        <v>19851</v>
      </c>
      <c r="G5848" s="1756" t="s">
        <v>19870</v>
      </c>
      <c r="H5848" s="222" t="s">
        <v>429</v>
      </c>
      <c r="I5848" s="222" t="s">
        <v>429</v>
      </c>
      <c r="J5848" s="183" t="s">
        <v>19871</v>
      </c>
      <c r="K5848" s="183"/>
      <c r="L5848" s="613"/>
      <c r="M5848" s="183">
        <v>5</v>
      </c>
      <c r="N5848" s="183">
        <v>5</v>
      </c>
      <c r="O5848" s="183">
        <v>5</v>
      </c>
      <c r="P5848" s="222">
        <v>0</v>
      </c>
      <c r="Q5848" s="222">
        <v>0</v>
      </c>
      <c r="R5848" s="1195">
        <v>210</v>
      </c>
      <c r="S5848" s="1195">
        <f t="shared" si="312"/>
        <v>1050</v>
      </c>
      <c r="T5848" s="222" t="s">
        <v>301</v>
      </c>
      <c r="U5848" s="1527" t="s">
        <v>18479</v>
      </c>
      <c r="V5848" s="222" t="s">
        <v>9064</v>
      </c>
      <c r="W5848" s="898" t="s">
        <v>19872</v>
      </c>
      <c r="X5848" s="818"/>
      <c r="Y5848" s="1161"/>
    </row>
    <row r="5849" spans="1:25" ht="15.75" hidden="1" customHeight="1" outlineLevel="1">
      <c r="A5849" s="222">
        <f t="shared" si="313"/>
        <v>5858</v>
      </c>
      <c r="B5849" s="858">
        <v>44816</v>
      </c>
      <c r="C5849" s="129" t="s">
        <v>19372</v>
      </c>
      <c r="D5849" s="10"/>
      <c r="E5849" s="818" t="s">
        <v>166</v>
      </c>
      <c r="F5849" s="1006" t="s">
        <v>19851</v>
      </c>
      <c r="G5849" s="1756" t="s">
        <v>19373</v>
      </c>
      <c r="H5849" s="222" t="s">
        <v>429</v>
      </c>
      <c r="I5849" s="222" t="s">
        <v>429</v>
      </c>
      <c r="J5849" s="183" t="s">
        <v>17241</v>
      </c>
      <c r="K5849" s="183"/>
      <c r="L5849" s="613"/>
      <c r="M5849" s="183">
        <v>5</v>
      </c>
      <c r="N5849" s="183">
        <v>5</v>
      </c>
      <c r="O5849" s="183">
        <v>5</v>
      </c>
      <c r="P5849" s="222">
        <v>0</v>
      </c>
      <c r="Q5849" s="222">
        <v>0</v>
      </c>
      <c r="R5849" s="1195">
        <v>143</v>
      </c>
      <c r="S5849" s="1195">
        <f t="shared" si="312"/>
        <v>715</v>
      </c>
      <c r="T5849" s="222" t="s">
        <v>301</v>
      </c>
      <c r="U5849" s="1527" t="s">
        <v>18479</v>
      </c>
      <c r="V5849" s="222" t="s">
        <v>9064</v>
      </c>
      <c r="W5849" s="898" t="s">
        <v>19873</v>
      </c>
      <c r="X5849" s="818"/>
      <c r="Y5849" s="1161"/>
    </row>
    <row r="5850" spans="1:25" ht="15.75" hidden="1" customHeight="1" outlineLevel="1">
      <c r="A5850" s="222">
        <f t="shared" si="313"/>
        <v>5859</v>
      </c>
      <c r="B5850" s="858">
        <v>44816</v>
      </c>
      <c r="C5850" s="129" t="s">
        <v>19372</v>
      </c>
      <c r="D5850" s="10"/>
      <c r="E5850" s="818" t="s">
        <v>166</v>
      </c>
      <c r="F5850" s="1006" t="s">
        <v>19851</v>
      </c>
      <c r="G5850" s="1756" t="s">
        <v>19874</v>
      </c>
      <c r="H5850" s="222" t="s">
        <v>429</v>
      </c>
      <c r="I5850" s="222" t="s">
        <v>429</v>
      </c>
      <c r="J5850" s="183" t="s">
        <v>19875</v>
      </c>
      <c r="K5850" s="183"/>
      <c r="L5850" s="613"/>
      <c r="M5850" s="183">
        <v>10</v>
      </c>
      <c r="N5850" s="183">
        <v>10</v>
      </c>
      <c r="O5850" s="183">
        <v>10</v>
      </c>
      <c r="P5850" s="222">
        <v>0</v>
      </c>
      <c r="Q5850" s="222">
        <v>0</v>
      </c>
      <c r="R5850" s="1195">
        <v>114</v>
      </c>
      <c r="S5850" s="1195">
        <f t="shared" si="312"/>
        <v>1140</v>
      </c>
      <c r="T5850" s="222" t="s">
        <v>301</v>
      </c>
      <c r="U5850" s="1527" t="s">
        <v>18479</v>
      </c>
      <c r="V5850" s="222" t="s">
        <v>9064</v>
      </c>
      <c r="W5850" s="898" t="s">
        <v>19876</v>
      </c>
      <c r="X5850" s="818"/>
      <c r="Y5850" s="1161"/>
    </row>
    <row r="5851" spans="1:25" ht="15.75" hidden="1" customHeight="1" outlineLevel="1">
      <c r="A5851" s="222">
        <f t="shared" si="313"/>
        <v>5860</v>
      </c>
      <c r="B5851" s="858">
        <v>44816</v>
      </c>
      <c r="C5851" s="129" t="s">
        <v>19877</v>
      </c>
      <c r="D5851" s="10"/>
      <c r="E5851" s="818" t="s">
        <v>166</v>
      </c>
      <c r="F5851" s="1006" t="s">
        <v>19851</v>
      </c>
      <c r="G5851" s="863" t="s">
        <v>19878</v>
      </c>
      <c r="H5851" s="222" t="s">
        <v>429</v>
      </c>
      <c r="I5851" s="222" t="s">
        <v>429</v>
      </c>
      <c r="J5851" s="183" t="s">
        <v>19879</v>
      </c>
      <c r="K5851" s="183"/>
      <c r="L5851" s="613"/>
      <c r="M5851" s="183">
        <v>1</v>
      </c>
      <c r="N5851" s="183">
        <v>1</v>
      </c>
      <c r="O5851" s="222">
        <v>1</v>
      </c>
      <c r="P5851" s="222">
        <v>0</v>
      </c>
      <c r="Q5851" s="222">
        <v>0</v>
      </c>
      <c r="R5851" s="1195">
        <v>28897</v>
      </c>
      <c r="S5851" s="1195">
        <f t="shared" si="312"/>
        <v>28897</v>
      </c>
      <c r="T5851" s="222" t="s">
        <v>301</v>
      </c>
      <c r="U5851" s="1527" t="s">
        <v>18479</v>
      </c>
      <c r="V5851" s="222" t="s">
        <v>9064</v>
      </c>
      <c r="W5851" s="2155" t="s">
        <v>19880</v>
      </c>
      <c r="X5851" s="818"/>
      <c r="Y5851" s="1161"/>
    </row>
    <row r="5852" spans="1:25" ht="15.75" hidden="1" customHeight="1" outlineLevel="1">
      <c r="A5852" s="222">
        <f t="shared" si="313"/>
        <v>5861</v>
      </c>
      <c r="B5852" s="858">
        <v>44816</v>
      </c>
      <c r="C5852" s="129" t="s">
        <v>19881</v>
      </c>
      <c r="D5852" s="11" t="s">
        <v>6</v>
      </c>
      <c r="E5852" s="818" t="s">
        <v>166</v>
      </c>
      <c r="F5852" s="1006" t="s">
        <v>19851</v>
      </c>
      <c r="G5852" s="863" t="s">
        <v>19882</v>
      </c>
      <c r="H5852" s="1684" t="s">
        <v>84</v>
      </c>
      <c r="I5852" s="1684" t="s">
        <v>84</v>
      </c>
      <c r="J5852" s="183" t="s">
        <v>19883</v>
      </c>
      <c r="K5852" s="183"/>
      <c r="L5852" s="613"/>
      <c r="M5852" s="183">
        <v>1</v>
      </c>
      <c r="N5852" s="183">
        <v>1</v>
      </c>
      <c r="O5852" s="222">
        <v>1</v>
      </c>
      <c r="P5852" s="222">
        <v>0</v>
      </c>
      <c r="Q5852" s="222">
        <v>0</v>
      </c>
      <c r="R5852" s="1195">
        <v>999</v>
      </c>
      <c r="S5852" s="1195">
        <f t="shared" si="312"/>
        <v>999</v>
      </c>
      <c r="T5852" s="222" t="s">
        <v>301</v>
      </c>
      <c r="U5852" s="1527" t="s">
        <v>18479</v>
      </c>
      <c r="V5852" s="222" t="s">
        <v>9064</v>
      </c>
      <c r="W5852" s="2155" t="s">
        <v>19884</v>
      </c>
      <c r="X5852" s="818"/>
      <c r="Y5852" s="1161"/>
    </row>
    <row r="5853" spans="1:25" ht="15.75" hidden="1" customHeight="1" outlineLevel="1">
      <c r="A5853" s="222">
        <f t="shared" si="313"/>
        <v>5862</v>
      </c>
      <c r="B5853" s="858">
        <v>44816</v>
      </c>
      <c r="C5853" s="129" t="s">
        <v>19881</v>
      </c>
      <c r="D5853" s="11" t="s">
        <v>6</v>
      </c>
      <c r="E5853" s="818" t="s">
        <v>166</v>
      </c>
      <c r="F5853" s="1006" t="s">
        <v>19851</v>
      </c>
      <c r="G5853" s="863" t="s">
        <v>19885</v>
      </c>
      <c r="H5853" s="1684" t="s">
        <v>84</v>
      </c>
      <c r="I5853" s="1684" t="s">
        <v>84</v>
      </c>
      <c r="J5853" s="183" t="s">
        <v>19886</v>
      </c>
      <c r="K5853" s="183"/>
      <c r="L5853" s="613"/>
      <c r="M5853" s="183">
        <v>3</v>
      </c>
      <c r="N5853" s="183">
        <v>3</v>
      </c>
      <c r="O5853" s="222">
        <v>3</v>
      </c>
      <c r="P5853" s="222">
        <v>0</v>
      </c>
      <c r="Q5853" s="222">
        <v>0</v>
      </c>
      <c r="R5853" s="1195">
        <v>4890</v>
      </c>
      <c r="S5853" s="1195">
        <f t="shared" si="312"/>
        <v>14670</v>
      </c>
      <c r="T5853" s="222" t="s">
        <v>301</v>
      </c>
      <c r="U5853" s="1527" t="s">
        <v>18479</v>
      </c>
      <c r="V5853" s="222" t="s">
        <v>9064</v>
      </c>
      <c r="W5853" s="2155" t="s">
        <v>19887</v>
      </c>
      <c r="X5853" s="818"/>
      <c r="Y5853" s="1161"/>
    </row>
    <row r="5854" spans="1:25" ht="15.75" hidden="1" customHeight="1" outlineLevel="1">
      <c r="A5854" s="222">
        <f t="shared" si="313"/>
        <v>5863</v>
      </c>
      <c r="B5854" s="858">
        <v>44816</v>
      </c>
      <c r="C5854" s="129" t="s">
        <v>19888</v>
      </c>
      <c r="D5854" s="10"/>
      <c r="E5854" s="818" t="s">
        <v>166</v>
      </c>
      <c r="F5854" s="1006" t="s">
        <v>19851</v>
      </c>
      <c r="G5854" s="863" t="s">
        <v>19889</v>
      </c>
      <c r="H5854" s="222" t="s">
        <v>429</v>
      </c>
      <c r="I5854" s="222" t="s">
        <v>429</v>
      </c>
      <c r="J5854" s="183" t="s">
        <v>19890</v>
      </c>
      <c r="K5854" s="183"/>
      <c r="L5854" s="613"/>
      <c r="M5854" s="183">
        <v>2</v>
      </c>
      <c r="N5854" s="183">
        <v>2</v>
      </c>
      <c r="O5854" s="222">
        <v>2</v>
      </c>
      <c r="P5854" s="222">
        <v>0</v>
      </c>
      <c r="Q5854" s="222">
        <v>0</v>
      </c>
      <c r="R5854" s="1195">
        <v>582</v>
      </c>
      <c r="S5854" s="1195">
        <f t="shared" si="312"/>
        <v>1164</v>
      </c>
      <c r="T5854" s="222" t="s">
        <v>301</v>
      </c>
      <c r="U5854" s="1527" t="s">
        <v>18479</v>
      </c>
      <c r="V5854" s="222" t="s">
        <v>9064</v>
      </c>
      <c r="W5854" s="2155" t="s">
        <v>19891</v>
      </c>
      <c r="X5854" s="818"/>
      <c r="Y5854" s="1161"/>
    </row>
    <row r="5855" spans="1:25" ht="15.75" hidden="1" customHeight="1" outlineLevel="1">
      <c r="A5855" s="222">
        <f t="shared" si="313"/>
        <v>5864</v>
      </c>
      <c r="B5855" s="858">
        <v>44816</v>
      </c>
      <c r="C5855" s="129" t="s">
        <v>19888</v>
      </c>
      <c r="D5855" s="10"/>
      <c r="E5855" s="818" t="s">
        <v>166</v>
      </c>
      <c r="F5855" s="1006" t="s">
        <v>19851</v>
      </c>
      <c r="G5855" s="863" t="s">
        <v>19892</v>
      </c>
      <c r="H5855" s="222" t="s">
        <v>429</v>
      </c>
      <c r="I5855" s="222" t="s">
        <v>429</v>
      </c>
      <c r="J5855" s="183" t="s">
        <v>19893</v>
      </c>
      <c r="K5855" s="183"/>
      <c r="L5855" s="613"/>
      <c r="M5855" s="183">
        <v>1</v>
      </c>
      <c r="N5855" s="183">
        <v>1</v>
      </c>
      <c r="O5855" s="222">
        <v>1</v>
      </c>
      <c r="P5855" s="222">
        <v>0</v>
      </c>
      <c r="Q5855" s="222">
        <v>0</v>
      </c>
      <c r="R5855" s="1195">
        <v>335</v>
      </c>
      <c r="S5855" s="1195">
        <f t="shared" si="312"/>
        <v>335</v>
      </c>
      <c r="T5855" s="222" t="s">
        <v>301</v>
      </c>
      <c r="U5855" s="1527" t="s">
        <v>18479</v>
      </c>
      <c r="V5855" s="222" t="s">
        <v>9064</v>
      </c>
      <c r="W5855" s="2155" t="s">
        <v>19894</v>
      </c>
      <c r="X5855" s="818"/>
      <c r="Y5855" s="1161"/>
    </row>
    <row r="5856" spans="1:25" ht="15.75" hidden="1" customHeight="1" outlineLevel="1">
      <c r="A5856" s="222">
        <f t="shared" si="313"/>
        <v>5865</v>
      </c>
      <c r="B5856" s="858">
        <v>44816</v>
      </c>
      <c r="C5856" s="129" t="s">
        <v>19895</v>
      </c>
      <c r="D5856" s="10"/>
      <c r="E5856" s="818" t="s">
        <v>166</v>
      </c>
      <c r="F5856" s="1006" t="s">
        <v>19851</v>
      </c>
      <c r="G5856" s="863" t="s">
        <v>19896</v>
      </c>
      <c r="H5856" s="222" t="s">
        <v>429</v>
      </c>
      <c r="I5856" s="222" t="s">
        <v>429</v>
      </c>
      <c r="J5856" s="183" t="s">
        <v>19897</v>
      </c>
      <c r="K5856" s="183"/>
      <c r="L5856" s="613"/>
      <c r="M5856" s="183">
        <v>1</v>
      </c>
      <c r="N5856" s="183">
        <v>1</v>
      </c>
      <c r="O5856" s="222">
        <v>1</v>
      </c>
      <c r="P5856" s="222">
        <v>0</v>
      </c>
      <c r="Q5856" s="222">
        <v>0</v>
      </c>
      <c r="R5856" s="1195">
        <v>2479</v>
      </c>
      <c r="S5856" s="1195">
        <f t="shared" si="312"/>
        <v>2479</v>
      </c>
      <c r="T5856" s="222" t="s">
        <v>301</v>
      </c>
      <c r="U5856" s="1527" t="s">
        <v>18479</v>
      </c>
      <c r="V5856" s="222" t="s">
        <v>9064</v>
      </c>
      <c r="W5856" s="2155" t="s">
        <v>19898</v>
      </c>
      <c r="X5856" s="818"/>
      <c r="Y5856" s="1161"/>
    </row>
    <row r="5857" spans="1:25" ht="15.75" hidden="1" customHeight="1" outlineLevel="1">
      <c r="A5857" s="222">
        <f t="shared" si="313"/>
        <v>5866</v>
      </c>
      <c r="B5857" s="858">
        <v>44816</v>
      </c>
      <c r="C5857" s="129" t="s">
        <v>19899</v>
      </c>
      <c r="D5857" s="10"/>
      <c r="E5857" s="818" t="s">
        <v>166</v>
      </c>
      <c r="F5857" s="1006" t="s">
        <v>19851</v>
      </c>
      <c r="G5857" s="863" t="s">
        <v>19900</v>
      </c>
      <c r="H5857" s="222" t="s">
        <v>429</v>
      </c>
      <c r="I5857" s="222" t="s">
        <v>429</v>
      </c>
      <c r="J5857" s="183" t="s">
        <v>19901</v>
      </c>
      <c r="K5857" s="183"/>
      <c r="L5857" s="613"/>
      <c r="M5857" s="183">
        <v>1</v>
      </c>
      <c r="N5857" s="183">
        <v>1</v>
      </c>
      <c r="O5857" s="222">
        <v>1</v>
      </c>
      <c r="P5857" s="222">
        <v>0</v>
      </c>
      <c r="Q5857" s="222">
        <v>0</v>
      </c>
      <c r="R5857" s="1195">
        <v>2394</v>
      </c>
      <c r="S5857" s="1195">
        <f t="shared" si="312"/>
        <v>2394</v>
      </c>
      <c r="T5857" s="222" t="s">
        <v>301</v>
      </c>
      <c r="U5857" s="1527" t="s">
        <v>18479</v>
      </c>
      <c r="V5857" s="222" t="s">
        <v>9064</v>
      </c>
      <c r="W5857" s="2155" t="s">
        <v>19902</v>
      </c>
      <c r="X5857" s="818"/>
      <c r="Y5857" s="1161"/>
    </row>
    <row r="5858" spans="1:25" ht="15.75" hidden="1" customHeight="1" outlineLevel="1">
      <c r="A5858" s="222">
        <f t="shared" si="313"/>
        <v>5867</v>
      </c>
      <c r="B5858" s="858">
        <v>44818</v>
      </c>
      <c r="C5858" s="129" t="s">
        <v>19903</v>
      </c>
      <c r="D5858" s="11" t="s">
        <v>6</v>
      </c>
      <c r="E5858" s="818" t="s">
        <v>62</v>
      </c>
      <c r="F5858" s="1006" t="s">
        <v>2143</v>
      </c>
      <c r="G5858" s="863" t="s">
        <v>19904</v>
      </c>
      <c r="H5858" s="222" t="s">
        <v>4066</v>
      </c>
      <c r="I5858" s="222" t="s">
        <v>4066</v>
      </c>
      <c r="J5858" s="183" t="s">
        <v>19905</v>
      </c>
      <c r="K5858" s="183" t="s">
        <v>19906</v>
      </c>
      <c r="L5858" s="613"/>
      <c r="M5858" s="183">
        <v>1</v>
      </c>
      <c r="N5858" s="183">
        <v>1</v>
      </c>
      <c r="O5858" s="222">
        <v>1</v>
      </c>
      <c r="P5858" s="222">
        <v>0</v>
      </c>
      <c r="Q5858" s="222">
        <v>0</v>
      </c>
      <c r="R5858" s="1195">
        <v>300</v>
      </c>
      <c r="S5858" s="1195">
        <v>300</v>
      </c>
      <c r="T5858" s="222" t="s">
        <v>19907</v>
      </c>
      <c r="U5858" s="1527" t="s">
        <v>118</v>
      </c>
      <c r="V5858" s="222" t="s">
        <v>17095</v>
      </c>
      <c r="W5858" s="2155"/>
      <c r="X5858" s="818"/>
      <c r="Y5858" s="1161"/>
    </row>
    <row r="5859" spans="1:25" ht="15.75" hidden="1" customHeight="1" outlineLevel="1">
      <c r="A5859" s="222">
        <f t="shared" si="313"/>
        <v>5868</v>
      </c>
      <c r="B5859" s="858">
        <v>44818</v>
      </c>
      <c r="C5859" s="129" t="s">
        <v>515</v>
      </c>
      <c r="D5859" s="11" t="s">
        <v>6</v>
      </c>
      <c r="E5859" s="1483" t="s">
        <v>19908</v>
      </c>
      <c r="F5859" s="1006" t="s">
        <v>15653</v>
      </c>
      <c r="G5859" s="859">
        <v>263</v>
      </c>
      <c r="H5859" s="1193" t="s">
        <v>18223</v>
      </c>
      <c r="I5859" s="222" t="s">
        <v>15627</v>
      </c>
      <c r="J5859" s="129" t="s">
        <v>18224</v>
      </c>
      <c r="K5859" s="183" t="s">
        <v>18225</v>
      </c>
      <c r="L5859" s="613" t="s">
        <v>344</v>
      </c>
      <c r="M5859" s="183">
        <v>28</v>
      </c>
      <c r="N5859" s="183">
        <v>1</v>
      </c>
      <c r="O5859" s="222">
        <v>30</v>
      </c>
      <c r="P5859" s="222">
        <v>10</v>
      </c>
      <c r="Q5859" s="222">
        <v>40</v>
      </c>
      <c r="R5859" s="1195">
        <v>461</v>
      </c>
      <c r="S5859" s="1195">
        <v>13863</v>
      </c>
      <c r="T5859" s="683" t="s">
        <v>18479</v>
      </c>
      <c r="U5859" s="740" t="s">
        <v>2703</v>
      </c>
      <c r="V5859" s="204" t="s">
        <v>931</v>
      </c>
      <c r="W5859" s="2155" t="s">
        <v>19909</v>
      </c>
      <c r="X5859" s="818"/>
      <c r="Y5859" s="1161"/>
    </row>
    <row r="5860" spans="1:25" ht="15.75" hidden="1" customHeight="1" outlineLevel="1">
      <c r="A5860" s="222">
        <f t="shared" si="313"/>
        <v>5869</v>
      </c>
      <c r="B5860" s="858">
        <v>44818</v>
      </c>
      <c r="C5860" s="129" t="s">
        <v>19910</v>
      </c>
      <c r="D5860" s="11" t="s">
        <v>6</v>
      </c>
      <c r="E5860" s="818" t="s">
        <v>572</v>
      </c>
      <c r="F5860" s="1006" t="s">
        <v>784</v>
      </c>
      <c r="G5860" s="863" t="s">
        <v>19911</v>
      </c>
      <c r="H5860" s="222" t="s">
        <v>149</v>
      </c>
      <c r="I5860" s="222" t="s">
        <v>39</v>
      </c>
      <c r="J5860" s="183" t="s">
        <v>149</v>
      </c>
      <c r="K5860" s="183" t="s">
        <v>149</v>
      </c>
      <c r="L5860" s="613" t="s">
        <v>149</v>
      </c>
      <c r="M5860" s="183">
        <v>1</v>
      </c>
      <c r="N5860" s="183">
        <v>1</v>
      </c>
      <c r="O5860" s="222">
        <v>1</v>
      </c>
      <c r="P5860" s="222">
        <v>0</v>
      </c>
      <c r="Q5860" s="222">
        <v>0</v>
      </c>
      <c r="R5860" s="1195">
        <v>17698</v>
      </c>
      <c r="S5860" s="1195">
        <f t="shared" si="312"/>
        <v>17698</v>
      </c>
      <c r="T5860" s="222" t="s">
        <v>10016</v>
      </c>
      <c r="U5860" s="1527" t="s">
        <v>10016</v>
      </c>
      <c r="V5860" s="222" t="s">
        <v>10323</v>
      </c>
      <c r="W5860" s="2155"/>
      <c r="X5860" s="818"/>
      <c r="Y5860" s="1161"/>
    </row>
    <row r="5861" spans="1:25" ht="15.75" hidden="1" customHeight="1" outlineLevel="1">
      <c r="A5861" s="222">
        <f t="shared" si="313"/>
        <v>5870</v>
      </c>
      <c r="B5861" s="858">
        <v>44818</v>
      </c>
      <c r="C5861" s="129" t="s">
        <v>19912</v>
      </c>
      <c r="D5861" s="11" t="s">
        <v>6</v>
      </c>
      <c r="E5861" s="1483" t="s">
        <v>19908</v>
      </c>
      <c r="F5861" s="1006" t="s">
        <v>15653</v>
      </c>
      <c r="G5861" s="22" t="s">
        <v>19913</v>
      </c>
      <c r="H5861" s="1193" t="s">
        <v>18223</v>
      </c>
      <c r="I5861" s="222" t="s">
        <v>15627</v>
      </c>
      <c r="J5861" s="183" t="s">
        <v>19914</v>
      </c>
      <c r="K5861" s="183" t="s">
        <v>19912</v>
      </c>
      <c r="L5861" s="613" t="s">
        <v>19915</v>
      </c>
      <c r="M5861" s="183">
        <v>6</v>
      </c>
      <c r="N5861" s="183">
        <v>1</v>
      </c>
      <c r="O5861" s="222">
        <v>10</v>
      </c>
      <c r="P5861" s="222">
        <v>0</v>
      </c>
      <c r="Q5861" s="222">
        <v>10</v>
      </c>
      <c r="R5861" s="1195">
        <v>752</v>
      </c>
      <c r="S5861" s="1195">
        <f t="shared" si="312"/>
        <v>7520</v>
      </c>
      <c r="T5861" s="683" t="s">
        <v>18479</v>
      </c>
      <c r="U5861" s="740" t="s">
        <v>2703</v>
      </c>
      <c r="V5861" s="204" t="s">
        <v>931</v>
      </c>
      <c r="W5861" s="2155" t="s">
        <v>19916</v>
      </c>
      <c r="X5861" s="818"/>
      <c r="Y5861" s="1161"/>
    </row>
    <row r="5862" spans="1:25" ht="15.75" hidden="1" customHeight="1" outlineLevel="1">
      <c r="A5862" s="222">
        <f t="shared" si="313"/>
        <v>5871</v>
      </c>
      <c r="B5862" s="858" t="s">
        <v>19917</v>
      </c>
      <c r="C5862" s="129" t="s">
        <v>19918</v>
      </c>
      <c r="D5862" s="11" t="s">
        <v>6</v>
      </c>
      <c r="E5862" s="818" t="s">
        <v>572</v>
      </c>
      <c r="F5862" s="1006" t="s">
        <v>784</v>
      </c>
      <c r="G5862" s="863" t="s">
        <v>19918</v>
      </c>
      <c r="H5862" s="222" t="s">
        <v>149</v>
      </c>
      <c r="I5862" s="222" t="s">
        <v>281</v>
      </c>
      <c r="J5862" s="183" t="s">
        <v>149</v>
      </c>
      <c r="K5862" s="183" t="s">
        <v>149</v>
      </c>
      <c r="L5862" s="613" t="s">
        <v>149</v>
      </c>
      <c r="M5862" s="183">
        <v>1</v>
      </c>
      <c r="N5862" s="183">
        <v>1</v>
      </c>
      <c r="O5862" s="222">
        <v>1</v>
      </c>
      <c r="P5862" s="222">
        <v>0</v>
      </c>
      <c r="Q5862" s="222">
        <v>0</v>
      </c>
      <c r="R5862" s="1195">
        <v>10737</v>
      </c>
      <c r="S5862" s="1195">
        <f t="shared" si="312"/>
        <v>10737</v>
      </c>
      <c r="T5862" s="222" t="s">
        <v>10016</v>
      </c>
      <c r="U5862" s="1527" t="s">
        <v>10016</v>
      </c>
      <c r="V5862" s="222" t="s">
        <v>10323</v>
      </c>
      <c r="W5862" s="2155"/>
      <c r="X5862" s="818"/>
      <c r="Y5862" s="1161"/>
    </row>
    <row r="5863" spans="1:25" ht="15.75" hidden="1" customHeight="1" outlineLevel="1">
      <c r="A5863" s="222">
        <f t="shared" ref="A5863:A5926" si="314">+A5862+1</f>
        <v>5872</v>
      </c>
      <c r="B5863" s="858">
        <v>44818</v>
      </c>
      <c r="C5863" s="129" t="s">
        <v>19919</v>
      </c>
      <c r="D5863" s="11" t="s">
        <v>6</v>
      </c>
      <c r="E5863" s="1483" t="s">
        <v>19908</v>
      </c>
      <c r="F5863" s="1006" t="s">
        <v>15653</v>
      </c>
      <c r="G5863" s="1171" t="s">
        <v>16559</v>
      </c>
      <c r="H5863" s="1171" t="s">
        <v>201</v>
      </c>
      <c r="I5863" s="934" t="s">
        <v>39</v>
      </c>
      <c r="J5863" s="1150" t="s">
        <v>15689</v>
      </c>
      <c r="K5863" s="1026" t="s">
        <v>3583</v>
      </c>
      <c r="L5863" s="934" t="s">
        <v>8776</v>
      </c>
      <c r="M5863" s="934">
        <v>10</v>
      </c>
      <c r="N5863" s="934">
        <v>20</v>
      </c>
      <c r="O5863" s="934">
        <v>20</v>
      </c>
      <c r="P5863" s="934">
        <v>0</v>
      </c>
      <c r="Q5863" s="957">
        <v>10</v>
      </c>
      <c r="R5863" s="1209">
        <v>54.95</v>
      </c>
      <c r="S5863" s="1381">
        <f t="shared" si="312"/>
        <v>1099</v>
      </c>
      <c r="T5863" s="683" t="s">
        <v>18479</v>
      </c>
      <c r="U5863" s="740" t="s">
        <v>2703</v>
      </c>
      <c r="V5863" s="572" t="s">
        <v>352</v>
      </c>
      <c r="W5863" s="2158" t="s">
        <v>16561</v>
      </c>
      <c r="X5863" s="818"/>
      <c r="Y5863" s="1161"/>
    </row>
    <row r="5864" spans="1:25" ht="15.75" hidden="1" customHeight="1" outlineLevel="1">
      <c r="A5864" s="222">
        <f t="shared" si="314"/>
        <v>5873</v>
      </c>
      <c r="B5864" s="858">
        <v>44819</v>
      </c>
      <c r="C5864" s="129" t="s">
        <v>19920</v>
      </c>
      <c r="D5864" s="8" t="s">
        <v>6</v>
      </c>
      <c r="E5864" s="818" t="s">
        <v>166</v>
      </c>
      <c r="F5864" s="1006" t="s">
        <v>18666</v>
      </c>
      <c r="G5864" s="863" t="s">
        <v>19921</v>
      </c>
      <c r="H5864" s="222" t="s">
        <v>5609</v>
      </c>
      <c r="I5864" s="222" t="s">
        <v>113</v>
      </c>
      <c r="J5864" s="183" t="s">
        <v>19922</v>
      </c>
      <c r="K5864" s="183">
        <v>49267276</v>
      </c>
      <c r="L5864" s="613"/>
      <c r="M5864" s="183">
        <v>8</v>
      </c>
      <c r="N5864" s="183">
        <v>20</v>
      </c>
      <c r="O5864" s="222">
        <v>20</v>
      </c>
      <c r="P5864" s="222">
        <v>0</v>
      </c>
      <c r="Q5864" s="222">
        <v>12</v>
      </c>
      <c r="R5864" s="1195">
        <v>39</v>
      </c>
      <c r="S5864" s="1195">
        <f>R5864*O5864</f>
        <v>780</v>
      </c>
      <c r="T5864" s="683" t="s">
        <v>18479</v>
      </c>
      <c r="U5864" s="1710" t="s">
        <v>18670</v>
      </c>
      <c r="V5864" s="572" t="s">
        <v>352</v>
      </c>
      <c r="W5864" s="2155" t="s">
        <v>19923</v>
      </c>
      <c r="X5864" s="818"/>
      <c r="Y5864" s="1161"/>
    </row>
    <row r="5865" spans="1:25" ht="15.75" hidden="1" customHeight="1" outlineLevel="1">
      <c r="A5865" s="222">
        <f t="shared" si="314"/>
        <v>5874</v>
      </c>
      <c r="B5865" s="858">
        <v>44819</v>
      </c>
      <c r="C5865" s="129" t="s">
        <v>18701</v>
      </c>
      <c r="D5865" s="8" t="s">
        <v>6</v>
      </c>
      <c r="E5865" s="818" t="s">
        <v>166</v>
      </c>
      <c r="F5865" s="1006" t="s">
        <v>19924</v>
      </c>
      <c r="G5865" s="863" t="s">
        <v>19925</v>
      </c>
      <c r="H5865" s="222" t="s">
        <v>961</v>
      </c>
      <c r="I5865" s="222" t="s">
        <v>961</v>
      </c>
      <c r="J5865" s="183" t="s">
        <v>18704</v>
      </c>
      <c r="K5865" s="183" t="s">
        <v>18704</v>
      </c>
      <c r="L5865" s="613"/>
      <c r="M5865" s="183">
        <v>2</v>
      </c>
      <c r="N5865" s="183">
        <v>1</v>
      </c>
      <c r="O5865" s="222">
        <v>6</v>
      </c>
      <c r="P5865" s="222">
        <v>2</v>
      </c>
      <c r="Q5865" s="222">
        <v>4</v>
      </c>
      <c r="R5865" s="1195">
        <v>98</v>
      </c>
      <c r="S5865" s="1195">
        <f t="shared" si="312"/>
        <v>588</v>
      </c>
      <c r="T5865" s="683" t="s">
        <v>18479</v>
      </c>
      <c r="U5865" s="1710" t="s">
        <v>18670</v>
      </c>
      <c r="V5865" s="572" t="s">
        <v>352</v>
      </c>
      <c r="W5865" s="2155" t="s">
        <v>19926</v>
      </c>
      <c r="X5865" s="818"/>
      <c r="Y5865" s="1161"/>
    </row>
    <row r="5866" spans="1:25" ht="15.75" hidden="1" customHeight="1" outlineLevel="1">
      <c r="A5866" s="222">
        <f t="shared" si="314"/>
        <v>5875</v>
      </c>
      <c r="B5866" s="858">
        <v>44819</v>
      </c>
      <c r="C5866" s="129" t="s">
        <v>11696</v>
      </c>
      <c r="D5866" s="8" t="s">
        <v>6</v>
      </c>
      <c r="E5866" s="818" t="s">
        <v>166</v>
      </c>
      <c r="F5866" s="1006" t="s">
        <v>18666</v>
      </c>
      <c r="G5866" s="863" t="s">
        <v>19097</v>
      </c>
      <c r="H5866" s="222" t="s">
        <v>18712</v>
      </c>
      <c r="I5866" s="222" t="s">
        <v>18712</v>
      </c>
      <c r="J5866" s="183" t="s">
        <v>1</v>
      </c>
      <c r="K5866" s="183" t="s">
        <v>1</v>
      </c>
      <c r="L5866" s="183" t="s">
        <v>1</v>
      </c>
      <c r="M5866" s="183">
        <v>2</v>
      </c>
      <c r="N5866" s="183">
        <v>1</v>
      </c>
      <c r="O5866" s="222">
        <v>2</v>
      </c>
      <c r="P5866" s="222">
        <v>0</v>
      </c>
      <c r="Q5866" s="222">
        <v>0</v>
      </c>
      <c r="R5866" s="1195">
        <v>4700</v>
      </c>
      <c r="S5866" s="1195">
        <f>R5866*O5866</f>
        <v>9400</v>
      </c>
      <c r="T5866" s="222" t="s">
        <v>19007</v>
      </c>
      <c r="U5866" s="1527" t="s">
        <v>18670</v>
      </c>
      <c r="V5866" s="1841" t="s">
        <v>104</v>
      </c>
      <c r="W5866" s="1815" t="s">
        <v>19098</v>
      </c>
      <c r="X5866" s="818"/>
      <c r="Y5866" s="1161"/>
    </row>
    <row r="5867" spans="1:25" ht="15.75" hidden="1" customHeight="1" outlineLevel="1">
      <c r="A5867" s="222">
        <f t="shared" si="314"/>
        <v>5876</v>
      </c>
      <c r="B5867" s="858">
        <v>44819</v>
      </c>
      <c r="C5867" s="129" t="s">
        <v>19927</v>
      </c>
      <c r="D5867" s="11" t="s">
        <v>6</v>
      </c>
      <c r="E5867" s="818" t="s">
        <v>166</v>
      </c>
      <c r="F5867" s="1006" t="s">
        <v>19707</v>
      </c>
      <c r="G5867" s="1193" t="s">
        <v>19928</v>
      </c>
      <c r="H5867" s="222" t="s">
        <v>287</v>
      </c>
      <c r="I5867" s="222" t="s">
        <v>287</v>
      </c>
      <c r="J5867" s="183">
        <v>22091500049</v>
      </c>
      <c r="K5867" s="183">
        <v>22091500049</v>
      </c>
      <c r="L5867" s="613" t="s">
        <v>149</v>
      </c>
      <c r="M5867" s="183">
        <v>2</v>
      </c>
      <c r="N5867" s="183">
        <v>2</v>
      </c>
      <c r="O5867" s="222">
        <v>4</v>
      </c>
      <c r="P5867" s="222">
        <v>0</v>
      </c>
      <c r="Q5867" s="222">
        <v>2</v>
      </c>
      <c r="R5867" s="1195">
        <v>110066</v>
      </c>
      <c r="S5867" s="1195">
        <v>110066</v>
      </c>
      <c r="T5867" s="222" t="s">
        <v>12425</v>
      </c>
      <c r="U5867" s="1527" t="s">
        <v>19710</v>
      </c>
      <c r="V5867" s="1845" t="s">
        <v>19929</v>
      </c>
      <c r="W5867" s="2155" t="s">
        <v>5265</v>
      </c>
      <c r="X5867" s="818"/>
      <c r="Y5867" s="1161"/>
    </row>
    <row r="5868" spans="1:25" ht="15.75" hidden="1" customHeight="1" outlineLevel="1">
      <c r="A5868" s="222">
        <f t="shared" si="314"/>
        <v>5877</v>
      </c>
      <c r="B5868" s="858">
        <v>44819</v>
      </c>
      <c r="C5868" s="129" t="s">
        <v>19930</v>
      </c>
      <c r="D5868" s="11" t="s">
        <v>6</v>
      </c>
      <c r="E5868" s="818" t="s">
        <v>166</v>
      </c>
      <c r="F5868" s="1006" t="s">
        <v>19707</v>
      </c>
      <c r="G5868" s="1193" t="s">
        <v>19931</v>
      </c>
      <c r="H5868" s="222" t="s">
        <v>287</v>
      </c>
      <c r="I5868" s="222" t="s">
        <v>287</v>
      </c>
      <c r="J5868" s="183">
        <v>22091500047</v>
      </c>
      <c r="K5868" s="183">
        <v>22091500047</v>
      </c>
      <c r="L5868" s="613" t="s">
        <v>149</v>
      </c>
      <c r="M5868" s="183">
        <v>2</v>
      </c>
      <c r="N5868" s="183">
        <v>2</v>
      </c>
      <c r="O5868" s="222">
        <v>4</v>
      </c>
      <c r="P5868" s="222">
        <v>0</v>
      </c>
      <c r="Q5868" s="222">
        <v>2</v>
      </c>
      <c r="R5868" s="1195">
        <v>110066</v>
      </c>
      <c r="S5868" s="1195">
        <v>110066</v>
      </c>
      <c r="T5868" s="222" t="s">
        <v>12425</v>
      </c>
      <c r="U5868" s="1527" t="s">
        <v>19710</v>
      </c>
      <c r="V5868" s="1845" t="s">
        <v>19929</v>
      </c>
      <c r="W5868" s="2155" t="s">
        <v>5265</v>
      </c>
      <c r="X5868" s="818"/>
      <c r="Y5868" s="1161"/>
    </row>
    <row r="5869" spans="1:25" ht="15.75" hidden="1" customHeight="1" outlineLevel="1">
      <c r="A5869" s="222">
        <f t="shared" si="314"/>
        <v>5878</v>
      </c>
      <c r="B5869" s="858">
        <v>44819</v>
      </c>
      <c r="C5869" s="129" t="s">
        <v>19932</v>
      </c>
      <c r="D5869" s="11" t="s">
        <v>6</v>
      </c>
      <c r="E5869" s="818" t="s">
        <v>166</v>
      </c>
      <c r="F5869" s="1006" t="s">
        <v>19707</v>
      </c>
      <c r="G5869" s="1193" t="s">
        <v>19933</v>
      </c>
      <c r="H5869" s="222" t="s">
        <v>287</v>
      </c>
      <c r="I5869" s="222" t="s">
        <v>287</v>
      </c>
      <c r="J5869" s="183">
        <v>22091500059</v>
      </c>
      <c r="K5869" s="183">
        <v>22091500059</v>
      </c>
      <c r="L5869" s="613" t="s">
        <v>149</v>
      </c>
      <c r="M5869" s="183">
        <v>2</v>
      </c>
      <c r="N5869" s="183">
        <v>2</v>
      </c>
      <c r="O5869" s="222">
        <v>4</v>
      </c>
      <c r="P5869" s="222">
        <v>0</v>
      </c>
      <c r="Q5869" s="222">
        <v>2</v>
      </c>
      <c r="R5869" s="1195">
        <v>110066</v>
      </c>
      <c r="S5869" s="1195">
        <v>110066</v>
      </c>
      <c r="T5869" s="222" t="s">
        <v>12425</v>
      </c>
      <c r="U5869" s="1527" t="s">
        <v>19710</v>
      </c>
      <c r="V5869" s="1845" t="s">
        <v>19929</v>
      </c>
      <c r="W5869" s="2155" t="s">
        <v>5265</v>
      </c>
      <c r="X5869" s="818"/>
      <c r="Y5869" s="1161"/>
    </row>
    <row r="5870" spans="1:25" ht="15.75" hidden="1" customHeight="1" outlineLevel="1">
      <c r="A5870" s="222">
        <f t="shared" si="314"/>
        <v>5879</v>
      </c>
      <c r="B5870" s="858">
        <v>44819</v>
      </c>
      <c r="C5870" s="129" t="s">
        <v>19934</v>
      </c>
      <c r="D5870" s="11" t="s">
        <v>6</v>
      </c>
      <c r="E5870" s="818" t="s">
        <v>166</v>
      </c>
      <c r="F5870" s="1006" t="s">
        <v>19707</v>
      </c>
      <c r="G5870" s="1193" t="s">
        <v>19935</v>
      </c>
      <c r="H5870" s="222" t="s">
        <v>287</v>
      </c>
      <c r="I5870" s="222" t="s">
        <v>287</v>
      </c>
      <c r="J5870" s="183">
        <v>22091500060</v>
      </c>
      <c r="K5870" s="183">
        <v>22091500060</v>
      </c>
      <c r="L5870" s="613" t="s">
        <v>149</v>
      </c>
      <c r="M5870" s="183">
        <v>2</v>
      </c>
      <c r="N5870" s="183">
        <v>2</v>
      </c>
      <c r="O5870" s="222">
        <v>4</v>
      </c>
      <c r="P5870" s="222">
        <v>0</v>
      </c>
      <c r="Q5870" s="222">
        <v>2</v>
      </c>
      <c r="R5870" s="1195">
        <v>54318</v>
      </c>
      <c r="S5870" s="1195">
        <v>54318</v>
      </c>
      <c r="T5870" s="222" t="s">
        <v>12425</v>
      </c>
      <c r="U5870" s="1527" t="s">
        <v>19710</v>
      </c>
      <c r="V5870" s="1845" t="s">
        <v>19929</v>
      </c>
      <c r="W5870" s="2155" t="s">
        <v>5265</v>
      </c>
      <c r="X5870" s="818"/>
      <c r="Y5870" s="1161"/>
    </row>
    <row r="5871" spans="1:25" ht="15.75" hidden="1" customHeight="1" outlineLevel="1">
      <c r="A5871" s="222">
        <f t="shared" si="314"/>
        <v>5880</v>
      </c>
      <c r="B5871" s="858">
        <v>44819</v>
      </c>
      <c r="C5871" s="129" t="s">
        <v>19936</v>
      </c>
      <c r="D5871" s="11" t="s">
        <v>6</v>
      </c>
      <c r="E5871" s="818" t="s">
        <v>166</v>
      </c>
      <c r="F5871" s="1006" t="s">
        <v>19707</v>
      </c>
      <c r="G5871" s="1193" t="s">
        <v>19937</v>
      </c>
      <c r="H5871" s="222" t="s">
        <v>287</v>
      </c>
      <c r="I5871" s="222" t="s">
        <v>287</v>
      </c>
      <c r="J5871" s="183">
        <v>22091500061</v>
      </c>
      <c r="K5871" s="183">
        <v>22091500061</v>
      </c>
      <c r="L5871" s="613" t="s">
        <v>149</v>
      </c>
      <c r="M5871" s="183">
        <v>2</v>
      </c>
      <c r="N5871" s="183">
        <v>2</v>
      </c>
      <c r="O5871" s="222">
        <v>4</v>
      </c>
      <c r="P5871" s="222">
        <v>0</v>
      </c>
      <c r="Q5871" s="222">
        <v>2</v>
      </c>
      <c r="R5871" s="1195">
        <v>47771</v>
      </c>
      <c r="S5871" s="1195">
        <v>47771</v>
      </c>
      <c r="T5871" s="222" t="s">
        <v>12425</v>
      </c>
      <c r="U5871" s="1527" t="s">
        <v>19710</v>
      </c>
      <c r="V5871" s="1845" t="s">
        <v>19929</v>
      </c>
      <c r="W5871" s="2155" t="s">
        <v>5265</v>
      </c>
      <c r="X5871" s="818"/>
      <c r="Y5871" s="1161"/>
    </row>
    <row r="5872" spans="1:25" ht="15.75" hidden="1" customHeight="1" outlineLevel="1">
      <c r="A5872" s="222">
        <f t="shared" si="314"/>
        <v>5881</v>
      </c>
      <c r="B5872" s="858">
        <v>44819</v>
      </c>
      <c r="C5872" s="129" t="s">
        <v>19938</v>
      </c>
      <c r="D5872" s="11" t="s">
        <v>6</v>
      </c>
      <c r="E5872" s="818" t="s">
        <v>166</v>
      </c>
      <c r="F5872" s="1006" t="s">
        <v>19707</v>
      </c>
      <c r="G5872" s="1193" t="s">
        <v>19939</v>
      </c>
      <c r="H5872" s="222" t="s">
        <v>287</v>
      </c>
      <c r="I5872" s="222" t="s">
        <v>287</v>
      </c>
      <c r="J5872" s="183">
        <v>22091500065</v>
      </c>
      <c r="K5872" s="183">
        <v>22091500065</v>
      </c>
      <c r="L5872" s="613" t="s">
        <v>149</v>
      </c>
      <c r="M5872" s="183">
        <v>2</v>
      </c>
      <c r="N5872" s="183">
        <v>2</v>
      </c>
      <c r="O5872" s="222">
        <v>4</v>
      </c>
      <c r="P5872" s="222">
        <v>0</v>
      </c>
      <c r="Q5872" s="222">
        <v>2</v>
      </c>
      <c r="R5872" s="1195">
        <v>65041</v>
      </c>
      <c r="S5872" s="1195">
        <v>65041</v>
      </c>
      <c r="T5872" s="222" t="s">
        <v>12425</v>
      </c>
      <c r="U5872" s="1527" t="s">
        <v>19710</v>
      </c>
      <c r="V5872" s="1845" t="s">
        <v>19929</v>
      </c>
      <c r="W5872" s="2155" t="s">
        <v>5265</v>
      </c>
      <c r="X5872" s="818"/>
      <c r="Y5872" s="1161"/>
    </row>
    <row r="5873" spans="1:25" ht="15.75" hidden="1" customHeight="1" outlineLevel="1">
      <c r="A5873" s="222">
        <f t="shared" si="314"/>
        <v>5882</v>
      </c>
      <c r="B5873" s="858">
        <v>44819</v>
      </c>
      <c r="C5873" s="1830" t="s">
        <v>19940</v>
      </c>
      <c r="D5873" s="10"/>
      <c r="E5873" s="1483" t="s">
        <v>19941</v>
      </c>
      <c r="F5873" s="1006" t="s">
        <v>11441</v>
      </c>
      <c r="G5873" s="863" t="s">
        <v>19942</v>
      </c>
      <c r="H5873" s="222" t="s">
        <v>19943</v>
      </c>
      <c r="I5873" s="222" t="s">
        <v>19943</v>
      </c>
      <c r="J5873" s="183"/>
      <c r="K5873" s="183"/>
      <c r="L5873" s="613"/>
      <c r="M5873" s="183">
        <v>1</v>
      </c>
      <c r="N5873" s="183">
        <v>1</v>
      </c>
      <c r="O5873" s="222">
        <v>1</v>
      </c>
      <c r="P5873" s="222">
        <v>0</v>
      </c>
      <c r="Q5873" s="222">
        <v>0</v>
      </c>
      <c r="R5873" s="1195">
        <v>39300</v>
      </c>
      <c r="S5873" s="1195">
        <f t="shared" si="312"/>
        <v>39300</v>
      </c>
      <c r="T5873" s="222" t="s">
        <v>13136</v>
      </c>
      <c r="U5873" s="1527" t="s">
        <v>18781</v>
      </c>
      <c r="V5873" s="222" t="s">
        <v>13780</v>
      </c>
      <c r="W5873" s="2155" t="s">
        <v>19944</v>
      </c>
      <c r="X5873" s="818"/>
      <c r="Y5873" s="1161"/>
    </row>
    <row r="5874" spans="1:25" ht="15.75" hidden="1" customHeight="1" outlineLevel="1">
      <c r="A5874" s="222">
        <f t="shared" si="314"/>
        <v>5883</v>
      </c>
      <c r="B5874" s="858">
        <v>44819</v>
      </c>
      <c r="C5874" s="1831" t="s">
        <v>19945</v>
      </c>
      <c r="D5874" s="10"/>
      <c r="E5874" s="1483" t="s">
        <v>19941</v>
      </c>
      <c r="F5874" s="1006" t="s">
        <v>11441</v>
      </c>
      <c r="G5874" s="863" t="s">
        <v>19946</v>
      </c>
      <c r="H5874" s="222" t="s">
        <v>19943</v>
      </c>
      <c r="I5874" s="222" t="s">
        <v>19943</v>
      </c>
      <c r="J5874" s="183"/>
      <c r="K5874" s="183"/>
      <c r="L5874" s="613"/>
      <c r="M5874" s="183">
        <v>1</v>
      </c>
      <c r="N5874" s="183">
        <v>1</v>
      </c>
      <c r="O5874" s="222">
        <v>1</v>
      </c>
      <c r="P5874" s="222">
        <v>0</v>
      </c>
      <c r="Q5874" s="222">
        <v>0</v>
      </c>
      <c r="R5874" s="1195">
        <v>39300</v>
      </c>
      <c r="S5874" s="1195">
        <f t="shared" si="312"/>
        <v>39300</v>
      </c>
      <c r="T5874" s="222" t="s">
        <v>13136</v>
      </c>
      <c r="U5874" s="1527" t="s">
        <v>18781</v>
      </c>
      <c r="V5874" s="222" t="s">
        <v>13780</v>
      </c>
      <c r="W5874" s="2155" t="s">
        <v>19944</v>
      </c>
      <c r="X5874" s="818"/>
      <c r="Y5874" s="1161"/>
    </row>
    <row r="5875" spans="1:25" ht="15.75" hidden="1" customHeight="1" outlineLevel="1">
      <c r="A5875" s="222">
        <f t="shared" si="314"/>
        <v>5884</v>
      </c>
      <c r="B5875" s="858">
        <v>44819</v>
      </c>
      <c r="C5875" s="1832" t="s">
        <v>19947</v>
      </c>
      <c r="D5875" s="10"/>
      <c r="E5875" s="1483" t="s">
        <v>19941</v>
      </c>
      <c r="F5875" s="1006" t="s">
        <v>11441</v>
      </c>
      <c r="G5875" s="863" t="s">
        <v>19948</v>
      </c>
      <c r="H5875" s="222" t="s">
        <v>19949</v>
      </c>
      <c r="I5875" s="222" t="s">
        <v>15288</v>
      </c>
      <c r="J5875" s="183"/>
      <c r="K5875" s="183"/>
      <c r="L5875" s="613"/>
      <c r="M5875" s="183">
        <v>1</v>
      </c>
      <c r="N5875" s="183">
        <v>1</v>
      </c>
      <c r="O5875" s="222">
        <v>1</v>
      </c>
      <c r="P5875" s="222">
        <v>0</v>
      </c>
      <c r="Q5875" s="222">
        <v>0</v>
      </c>
      <c r="R5875" s="1195">
        <v>88500</v>
      </c>
      <c r="S5875" s="1195">
        <f t="shared" si="312"/>
        <v>88500</v>
      </c>
      <c r="T5875" s="222" t="s">
        <v>13136</v>
      </c>
      <c r="U5875" s="1527" t="s">
        <v>18781</v>
      </c>
      <c r="V5875" s="222" t="s">
        <v>13780</v>
      </c>
      <c r="W5875" s="2155" t="s">
        <v>19950</v>
      </c>
      <c r="X5875" s="818"/>
      <c r="Y5875" s="1161"/>
    </row>
    <row r="5876" spans="1:25" ht="15.75" hidden="1" customHeight="1" outlineLevel="1">
      <c r="A5876" s="222">
        <f t="shared" si="314"/>
        <v>5885</v>
      </c>
      <c r="B5876" s="858">
        <v>44819</v>
      </c>
      <c r="C5876" s="129" t="s">
        <v>19951</v>
      </c>
      <c r="D5876" s="10"/>
      <c r="E5876" s="1483" t="s">
        <v>19941</v>
      </c>
      <c r="F5876" s="1006" t="s">
        <v>11441</v>
      </c>
      <c r="G5876" s="863" t="s">
        <v>19952</v>
      </c>
      <c r="H5876" s="222" t="s">
        <v>2920</v>
      </c>
      <c r="I5876" s="222" t="s">
        <v>574</v>
      </c>
      <c r="J5876" s="183" t="s">
        <v>19953</v>
      </c>
      <c r="K5876" s="183">
        <v>1085</v>
      </c>
      <c r="L5876" s="613"/>
      <c r="M5876" s="183">
        <v>4</v>
      </c>
      <c r="N5876" s="183">
        <v>1</v>
      </c>
      <c r="O5876" s="222">
        <v>4</v>
      </c>
      <c r="P5876" s="222">
        <v>0</v>
      </c>
      <c r="Q5876" s="222">
        <v>0</v>
      </c>
      <c r="R5876" s="1195">
        <v>2303</v>
      </c>
      <c r="S5876" s="1195">
        <f t="shared" si="312"/>
        <v>9212</v>
      </c>
      <c r="T5876" s="222" t="s">
        <v>13136</v>
      </c>
      <c r="U5876" s="1527" t="s">
        <v>18781</v>
      </c>
      <c r="V5876" s="222" t="s">
        <v>13780</v>
      </c>
      <c r="W5876" s="2155" t="s">
        <v>19954</v>
      </c>
      <c r="X5876" s="818"/>
      <c r="Y5876" s="1161"/>
    </row>
    <row r="5877" spans="1:25" ht="15.75" hidden="1" customHeight="1" outlineLevel="1">
      <c r="A5877" s="222">
        <f t="shared" si="314"/>
        <v>5886</v>
      </c>
      <c r="B5877" s="858">
        <v>44819</v>
      </c>
      <c r="C5877" s="129" t="s">
        <v>19955</v>
      </c>
      <c r="D5877" s="10"/>
      <c r="E5877" s="1483" t="s">
        <v>19941</v>
      </c>
      <c r="F5877" s="1006" t="s">
        <v>11441</v>
      </c>
      <c r="G5877" s="863" t="s">
        <v>12818</v>
      </c>
      <c r="H5877" s="222" t="s">
        <v>2668</v>
      </c>
      <c r="I5877" s="222" t="s">
        <v>1022</v>
      </c>
      <c r="J5877" s="183"/>
      <c r="K5877" s="183"/>
      <c r="L5877" s="613"/>
      <c r="M5877" s="183">
        <v>4</v>
      </c>
      <c r="N5877" s="183">
        <v>1</v>
      </c>
      <c r="O5877" s="222">
        <v>4</v>
      </c>
      <c r="P5877" s="222">
        <v>0</v>
      </c>
      <c r="Q5877" s="222">
        <v>0</v>
      </c>
      <c r="R5877" s="1195">
        <v>22875</v>
      </c>
      <c r="S5877" s="1195">
        <f t="shared" si="312"/>
        <v>91500</v>
      </c>
      <c r="T5877" s="222" t="s">
        <v>13136</v>
      </c>
      <c r="U5877" s="1527" t="s">
        <v>18781</v>
      </c>
      <c r="V5877" s="222" t="s">
        <v>13780</v>
      </c>
      <c r="W5877" s="2274" t="s">
        <v>19956</v>
      </c>
      <c r="X5877" s="818"/>
      <c r="Y5877" s="1161"/>
    </row>
    <row r="5878" spans="1:25" ht="15.75" hidden="1" customHeight="1" outlineLevel="1">
      <c r="A5878" s="222">
        <f t="shared" si="314"/>
        <v>5887</v>
      </c>
      <c r="B5878" s="858">
        <v>44819</v>
      </c>
      <c r="C5878" s="129" t="s">
        <v>19957</v>
      </c>
      <c r="D5878" s="10"/>
      <c r="E5878" s="1483" t="s">
        <v>19941</v>
      </c>
      <c r="F5878" s="1006" t="s">
        <v>11441</v>
      </c>
      <c r="G5878" s="863" t="s">
        <v>17702</v>
      </c>
      <c r="H5878" s="222" t="s">
        <v>12973</v>
      </c>
      <c r="I5878" s="222" t="s">
        <v>1022</v>
      </c>
      <c r="J5878" s="183"/>
      <c r="K5878" s="183"/>
      <c r="L5878" s="613"/>
      <c r="M5878" s="183">
        <v>4</v>
      </c>
      <c r="N5878" s="183">
        <v>1</v>
      </c>
      <c r="O5878" s="222">
        <v>4</v>
      </c>
      <c r="P5878" s="222">
        <v>0</v>
      </c>
      <c r="Q5878" s="222">
        <v>0</v>
      </c>
      <c r="R5878" s="1195">
        <v>4425</v>
      </c>
      <c r="S5878" s="1195">
        <f>R5878*O5878</f>
        <v>17700</v>
      </c>
      <c r="T5878" s="222" t="s">
        <v>13136</v>
      </c>
      <c r="U5878" s="1527" t="s">
        <v>18781</v>
      </c>
      <c r="V5878" s="222" t="s">
        <v>13780</v>
      </c>
      <c r="W5878" s="2155" t="s">
        <v>19958</v>
      </c>
      <c r="X5878" s="818"/>
      <c r="Y5878" s="1161"/>
    </row>
    <row r="5879" spans="1:25" ht="15.75" hidden="1" customHeight="1" outlineLevel="1">
      <c r="A5879" s="222">
        <f t="shared" si="314"/>
        <v>5888</v>
      </c>
      <c r="B5879" s="858">
        <v>44819</v>
      </c>
      <c r="C5879" s="129" t="s">
        <v>19959</v>
      </c>
      <c r="D5879" s="10"/>
      <c r="E5879" s="1483" t="s">
        <v>19941</v>
      </c>
      <c r="F5879" s="1006" t="s">
        <v>11441</v>
      </c>
      <c r="G5879" s="863" t="s">
        <v>19960</v>
      </c>
      <c r="H5879" s="222"/>
      <c r="I5879" s="222" t="s">
        <v>7274</v>
      </c>
      <c r="J5879" s="183"/>
      <c r="K5879" s="183"/>
      <c r="L5879" s="613"/>
      <c r="M5879" s="183">
        <v>1</v>
      </c>
      <c r="N5879" s="183">
        <v>1</v>
      </c>
      <c r="O5879" s="222">
        <v>1</v>
      </c>
      <c r="P5879" s="222">
        <v>0</v>
      </c>
      <c r="Q5879" s="222">
        <v>0</v>
      </c>
      <c r="R5879" s="1195">
        <v>18226</v>
      </c>
      <c r="S5879" s="1195">
        <f>R5879*O5879</f>
        <v>18226</v>
      </c>
      <c r="T5879" s="222" t="s">
        <v>13136</v>
      </c>
      <c r="U5879" s="1527" t="s">
        <v>18781</v>
      </c>
      <c r="V5879" s="222" t="s">
        <v>13780</v>
      </c>
      <c r="W5879" s="2155" t="s">
        <v>19961</v>
      </c>
      <c r="X5879" s="818"/>
      <c r="Y5879" s="1161"/>
    </row>
    <row r="5880" spans="1:25" ht="15.75" hidden="1" customHeight="1" outlineLevel="1">
      <c r="A5880" s="222">
        <f t="shared" si="314"/>
        <v>5889</v>
      </c>
      <c r="B5880" s="858">
        <v>44820</v>
      </c>
      <c r="C5880" s="940" t="s">
        <v>16205</v>
      </c>
      <c r="D5880" s="1445" t="s">
        <v>6</v>
      </c>
      <c r="E5880" s="818" t="s">
        <v>683</v>
      </c>
      <c r="F5880" s="940" t="s">
        <v>11323</v>
      </c>
      <c r="G5880" s="239" t="s">
        <v>16202</v>
      </c>
      <c r="H5880" s="239" t="s">
        <v>12071</v>
      </c>
      <c r="I5880" s="239" t="s">
        <v>76</v>
      </c>
      <c r="J5880" s="239">
        <v>1260069</v>
      </c>
      <c r="K5880" s="239"/>
      <c r="L5880" s="239"/>
      <c r="M5880" s="239">
        <v>10</v>
      </c>
      <c r="N5880" s="239">
        <v>1</v>
      </c>
      <c r="O5880" s="239">
        <v>10</v>
      </c>
      <c r="P5880" s="239">
        <v>0</v>
      </c>
      <c r="Q5880" s="572">
        <v>10</v>
      </c>
      <c r="R5880" s="1209">
        <v>958</v>
      </c>
      <c r="S5880" s="1209">
        <f>R5880*O5880</f>
        <v>9580</v>
      </c>
      <c r="T5880" s="239" t="s">
        <v>16203</v>
      </c>
      <c r="U5880" s="1901" t="s">
        <v>3637</v>
      </c>
      <c r="V5880" s="572" t="s">
        <v>801</v>
      </c>
      <c r="W5880" s="1184" t="s">
        <v>16206</v>
      </c>
      <c r="X5880" s="818"/>
      <c r="Y5880" s="1161"/>
    </row>
    <row r="5881" spans="1:25" ht="15.75" hidden="1" customHeight="1" outlineLevel="1">
      <c r="A5881" s="222">
        <f t="shared" si="314"/>
        <v>5890</v>
      </c>
      <c r="B5881" s="858">
        <v>44820</v>
      </c>
      <c r="C5881" s="940" t="s">
        <v>11828</v>
      </c>
      <c r="D5881" s="1445" t="s">
        <v>6</v>
      </c>
      <c r="E5881" s="818" t="s">
        <v>683</v>
      </c>
      <c r="F5881" s="1190" t="s">
        <v>11323</v>
      </c>
      <c r="G5881" s="1187" t="s">
        <v>11829</v>
      </c>
      <c r="H5881" s="1187" t="s">
        <v>11830</v>
      </c>
      <c r="I5881" s="26" t="s">
        <v>84</v>
      </c>
      <c r="J5881" s="1187">
        <v>10330311</v>
      </c>
      <c r="K5881" s="1187" t="s">
        <v>11831</v>
      </c>
      <c r="L5881" s="1426"/>
      <c r="M5881" s="1187">
        <v>1</v>
      </c>
      <c r="N5881" s="1187">
        <v>1</v>
      </c>
      <c r="O5881" s="1187">
        <v>1</v>
      </c>
      <c r="P5881" s="1187">
        <v>2</v>
      </c>
      <c r="Q5881" s="1157">
        <v>52</v>
      </c>
      <c r="R5881" s="1209">
        <v>4990</v>
      </c>
      <c r="S5881" s="1209">
        <v>4990</v>
      </c>
      <c r="T5881" s="239" t="s">
        <v>16203</v>
      </c>
      <c r="U5881" s="1901" t="s">
        <v>3637</v>
      </c>
      <c r="V5881" s="572" t="s">
        <v>801</v>
      </c>
      <c r="W5881" s="804" t="s">
        <v>11835</v>
      </c>
      <c r="X5881" s="818"/>
      <c r="Y5881" s="1161"/>
    </row>
    <row r="5882" spans="1:25" ht="15.75" hidden="1" customHeight="1" outlineLevel="1">
      <c r="A5882" s="222">
        <f t="shared" si="314"/>
        <v>5891</v>
      </c>
      <c r="B5882" s="858">
        <v>44823</v>
      </c>
      <c r="C5882" s="129" t="s">
        <v>19962</v>
      </c>
      <c r="D5882" s="8" t="s">
        <v>6</v>
      </c>
      <c r="E5882" s="1483" t="s">
        <v>19577</v>
      </c>
      <c r="F5882" s="222" t="s">
        <v>10651</v>
      </c>
      <c r="G5882" s="222" t="s">
        <v>19963</v>
      </c>
      <c r="H5882" s="183" t="s">
        <v>429</v>
      </c>
      <c r="I5882" s="183" t="s">
        <v>429</v>
      </c>
      <c r="J5882" s="613"/>
      <c r="K5882" s="183" t="s">
        <v>19964</v>
      </c>
      <c r="L5882" s="183"/>
      <c r="M5882" s="222">
        <v>14</v>
      </c>
      <c r="N5882" s="222">
        <v>1</v>
      </c>
      <c r="O5882" s="222">
        <v>20</v>
      </c>
      <c r="P5882" s="1187">
        <v>0</v>
      </c>
      <c r="Q5882" s="1157">
        <v>4</v>
      </c>
      <c r="R5882" s="1209">
        <v>71</v>
      </c>
      <c r="S5882" s="1195">
        <f t="shared" si="312"/>
        <v>1420</v>
      </c>
      <c r="T5882" s="222" t="s">
        <v>12330</v>
      </c>
      <c r="U5882" s="1901" t="s">
        <v>19965</v>
      </c>
      <c r="V5882" s="572" t="s">
        <v>10656</v>
      </c>
      <c r="W5882" s="1815" t="s">
        <v>19966</v>
      </c>
    </row>
    <row r="5883" spans="1:25" ht="15.75" hidden="1" customHeight="1" outlineLevel="1">
      <c r="A5883" s="222">
        <f t="shared" si="314"/>
        <v>5892</v>
      </c>
      <c r="B5883" s="858">
        <v>44824</v>
      </c>
      <c r="C5883" s="129" t="s">
        <v>19967</v>
      </c>
      <c r="D5883" s="22"/>
      <c r="E5883" s="818"/>
      <c r="F5883" s="1006" t="s">
        <v>131</v>
      </c>
      <c r="G5883" s="863" t="s">
        <v>19968</v>
      </c>
      <c r="H5883" s="222" t="s">
        <v>19969</v>
      </c>
      <c r="I5883" s="222" t="s">
        <v>19970</v>
      </c>
      <c r="J5883" s="183" t="s">
        <v>19971</v>
      </c>
      <c r="K5883" s="183" t="s">
        <v>19972</v>
      </c>
      <c r="L5883" s="613"/>
      <c r="M5883" s="183">
        <v>1</v>
      </c>
      <c r="N5883" s="183">
        <v>1</v>
      </c>
      <c r="O5883" s="222">
        <v>1</v>
      </c>
      <c r="P5883" s="222">
        <v>0</v>
      </c>
      <c r="Q5883" s="222">
        <v>1</v>
      </c>
      <c r="R5883" s="1195">
        <v>85000</v>
      </c>
      <c r="S5883" s="1195">
        <f t="shared" si="312"/>
        <v>85000</v>
      </c>
      <c r="T5883" s="222" t="s">
        <v>8614</v>
      </c>
      <c r="U5883" s="1901" t="s">
        <v>118</v>
      </c>
      <c r="V5883" s="222" t="s">
        <v>118</v>
      </c>
      <c r="W5883" s="2155" t="s">
        <v>19973</v>
      </c>
      <c r="X5883" s="818"/>
      <c r="Y5883" s="1161"/>
    </row>
    <row r="5884" spans="1:25" ht="15.75" hidden="1" customHeight="1" outlineLevel="1">
      <c r="A5884" s="222">
        <f t="shared" si="314"/>
        <v>5893</v>
      </c>
      <c r="B5884" s="858">
        <v>44826</v>
      </c>
      <c r="C5884" s="129" t="s">
        <v>19974</v>
      </c>
      <c r="D5884" s="1515" t="s">
        <v>6</v>
      </c>
      <c r="E5884" s="1483" t="s">
        <v>19577</v>
      </c>
      <c r="F5884" s="1006" t="s">
        <v>19975</v>
      </c>
      <c r="G5884" s="863" t="s">
        <v>19976</v>
      </c>
      <c r="H5884" s="222" t="s">
        <v>15093</v>
      </c>
      <c r="I5884" s="222" t="s">
        <v>15093</v>
      </c>
      <c r="J5884" s="183"/>
      <c r="K5884" s="183"/>
      <c r="L5884" s="613"/>
      <c r="M5884" s="183">
        <v>1</v>
      </c>
      <c r="N5884" s="183">
        <v>1</v>
      </c>
      <c r="O5884" s="222">
        <v>1</v>
      </c>
      <c r="P5884" s="222">
        <v>0</v>
      </c>
      <c r="Q5884" s="222">
        <v>0</v>
      </c>
      <c r="R5884" s="1195">
        <v>1452041.4</v>
      </c>
      <c r="S5884" s="1195">
        <f t="shared" si="312"/>
        <v>1452041.4</v>
      </c>
      <c r="T5884" s="222" t="s">
        <v>18479</v>
      </c>
      <c r="U5884" s="1527" t="s">
        <v>1886</v>
      </c>
      <c r="V5884" s="222" t="s">
        <v>19421</v>
      </c>
      <c r="W5884" s="2155" t="s">
        <v>15096</v>
      </c>
      <c r="X5884" s="818"/>
      <c r="Y5884" s="1161"/>
    </row>
    <row r="5885" spans="1:25" ht="15.75" hidden="1" customHeight="1" outlineLevel="1">
      <c r="A5885" s="222">
        <f t="shared" si="314"/>
        <v>5894</v>
      </c>
      <c r="B5885" s="858">
        <v>44826</v>
      </c>
      <c r="C5885" s="129" t="s">
        <v>19324</v>
      </c>
      <c r="D5885" s="8" t="s">
        <v>6</v>
      </c>
      <c r="E5885" s="1483" t="s">
        <v>19577</v>
      </c>
      <c r="F5885" s="1006" t="s">
        <v>19325</v>
      </c>
      <c r="G5885" s="863" t="s">
        <v>19326</v>
      </c>
      <c r="H5885" s="222" t="s">
        <v>1865</v>
      </c>
      <c r="I5885" s="222" t="s">
        <v>39</v>
      </c>
      <c r="J5885" s="183" t="s">
        <v>19327</v>
      </c>
      <c r="K5885" s="183" t="s">
        <v>1051</v>
      </c>
      <c r="L5885" s="613"/>
      <c r="M5885" s="183">
        <v>50</v>
      </c>
      <c r="N5885" s="183">
        <v>50</v>
      </c>
      <c r="O5885" s="222">
        <v>50</v>
      </c>
      <c r="P5885" s="222">
        <v>0</v>
      </c>
      <c r="Q5885" s="222">
        <v>50</v>
      </c>
      <c r="R5885" s="1195">
        <v>147</v>
      </c>
      <c r="S5885" s="1195">
        <f t="shared" si="312"/>
        <v>7350</v>
      </c>
      <c r="T5885" s="222" t="s">
        <v>311</v>
      </c>
      <c r="U5885" s="1527"/>
      <c r="V5885" s="222" t="s">
        <v>10617</v>
      </c>
      <c r="W5885" s="2155" t="s">
        <v>19328</v>
      </c>
      <c r="X5885" s="818"/>
      <c r="Y5885" s="1161"/>
    </row>
    <row r="5886" spans="1:25" ht="15.75" hidden="1" customHeight="1" outlineLevel="1">
      <c r="A5886" s="222">
        <f t="shared" si="314"/>
        <v>5895</v>
      </c>
      <c r="B5886" s="858">
        <v>44827</v>
      </c>
      <c r="C5886" s="183" t="s">
        <v>19977</v>
      </c>
      <c r="D5886" s="11" t="s">
        <v>6</v>
      </c>
      <c r="E5886" s="818" t="s">
        <v>166</v>
      </c>
      <c r="F5886" s="1006" t="s">
        <v>2652</v>
      </c>
      <c r="G5886" s="183" t="s">
        <v>19977</v>
      </c>
      <c r="H5886" s="222" t="s">
        <v>19978</v>
      </c>
      <c r="I5886" s="222" t="s">
        <v>1022</v>
      </c>
      <c r="J5886" s="183" t="s">
        <v>19979</v>
      </c>
      <c r="K5886" s="183" t="s">
        <v>19980</v>
      </c>
      <c r="L5886" s="613" t="s">
        <v>1</v>
      </c>
      <c r="M5886" s="183">
        <v>1</v>
      </c>
      <c r="N5886" s="183">
        <v>1</v>
      </c>
      <c r="O5886" s="222">
        <v>1</v>
      </c>
      <c r="P5886" s="222">
        <v>0</v>
      </c>
      <c r="Q5886" s="222">
        <v>0</v>
      </c>
      <c r="R5886" s="1195">
        <v>6990</v>
      </c>
      <c r="S5886" s="1195">
        <f t="shared" ref="S5886:S5949" si="315">R5886*O5886</f>
        <v>6990</v>
      </c>
      <c r="T5886" s="222" t="s">
        <v>12425</v>
      </c>
      <c r="U5886" s="1527" t="s">
        <v>4615</v>
      </c>
      <c r="V5886" s="222" t="s">
        <v>7780</v>
      </c>
      <c r="W5886" s="2155" t="s">
        <v>19981</v>
      </c>
      <c r="X5886" s="818"/>
      <c r="Y5886" s="1161"/>
    </row>
    <row r="5887" spans="1:25" ht="15.75" hidden="1" customHeight="1" outlineLevel="1">
      <c r="A5887" s="222">
        <f t="shared" si="314"/>
        <v>5896</v>
      </c>
      <c r="B5887" s="858">
        <v>44830</v>
      </c>
      <c r="C5887" s="129" t="s">
        <v>18696</v>
      </c>
      <c r="D5887" s="8" t="s">
        <v>6</v>
      </c>
      <c r="E5887" s="818" t="s">
        <v>166</v>
      </c>
      <c r="F5887" s="1006" t="s">
        <v>18666</v>
      </c>
      <c r="G5887" s="863" t="s">
        <v>18697</v>
      </c>
      <c r="H5887" s="222" t="s">
        <v>18698</v>
      </c>
      <c r="I5887" s="222" t="s">
        <v>366</v>
      </c>
      <c r="J5887" s="183" t="s">
        <v>18699</v>
      </c>
      <c r="K5887" s="183" t="s">
        <v>18699</v>
      </c>
      <c r="L5887" s="613" t="s">
        <v>1</v>
      </c>
      <c r="M5887" s="183">
        <v>4</v>
      </c>
      <c r="N5887" s="183">
        <v>20</v>
      </c>
      <c r="O5887" s="222">
        <v>20</v>
      </c>
      <c r="P5887" s="222">
        <v>2</v>
      </c>
      <c r="Q5887" s="458">
        <v>18</v>
      </c>
      <c r="R5887" s="1195">
        <v>74</v>
      </c>
      <c r="S5887" s="1195">
        <f t="shared" si="315"/>
        <v>1480</v>
      </c>
      <c r="T5887" s="222" t="s">
        <v>18479</v>
      </c>
      <c r="U5887" s="1527" t="s">
        <v>18670</v>
      </c>
      <c r="V5887" s="222" t="s">
        <v>104</v>
      </c>
      <c r="W5887" s="2155" t="s">
        <v>18700</v>
      </c>
      <c r="X5887" s="818"/>
      <c r="Y5887" s="1161"/>
    </row>
    <row r="5888" spans="1:25" ht="15.75" hidden="1" customHeight="1" outlineLevel="1">
      <c r="A5888" s="222">
        <f t="shared" si="314"/>
        <v>5897</v>
      </c>
      <c r="B5888" s="858">
        <v>44830</v>
      </c>
      <c r="C5888" s="1833" t="s">
        <v>19982</v>
      </c>
      <c r="D5888" s="8" t="s">
        <v>6</v>
      </c>
      <c r="E5888" s="818" t="s">
        <v>166</v>
      </c>
      <c r="F5888" s="1006" t="s">
        <v>18666</v>
      </c>
      <c r="G5888" s="1833" t="s">
        <v>19983</v>
      </c>
      <c r="H5888" s="222" t="s">
        <v>429</v>
      </c>
      <c r="I5888" s="222" t="s">
        <v>429</v>
      </c>
      <c r="J5888" s="183" t="s">
        <v>16796</v>
      </c>
      <c r="K5888" s="183"/>
      <c r="L5888" s="613"/>
      <c r="M5888" s="183">
        <v>8</v>
      </c>
      <c r="N5888" s="183">
        <v>1</v>
      </c>
      <c r="O5888" s="222">
        <v>16</v>
      </c>
      <c r="P5888" s="222">
        <v>0</v>
      </c>
      <c r="Q5888" s="222">
        <v>8</v>
      </c>
      <c r="R5888" s="1195">
        <v>260</v>
      </c>
      <c r="S5888" s="1195">
        <f t="shared" si="315"/>
        <v>4160</v>
      </c>
      <c r="T5888" s="222" t="s">
        <v>18479</v>
      </c>
      <c r="U5888" s="1527" t="s">
        <v>18670</v>
      </c>
      <c r="V5888" s="222" t="s">
        <v>104</v>
      </c>
      <c r="W5888" s="2155" t="s">
        <v>16798</v>
      </c>
      <c r="X5888" s="818"/>
      <c r="Y5888" s="1161"/>
    </row>
    <row r="5889" spans="1:25" ht="15.75" hidden="1" customHeight="1" outlineLevel="1">
      <c r="A5889" s="222">
        <f t="shared" si="314"/>
        <v>5898</v>
      </c>
      <c r="B5889" s="858">
        <v>44830</v>
      </c>
      <c r="C5889" s="129" t="s">
        <v>19984</v>
      </c>
      <c r="D5889" s="8" t="s">
        <v>6</v>
      </c>
      <c r="E5889" s="818" t="s">
        <v>166</v>
      </c>
      <c r="F5889" s="1006" t="s">
        <v>18666</v>
      </c>
      <c r="G5889" s="863" t="s">
        <v>19983</v>
      </c>
      <c r="H5889" s="222" t="s">
        <v>429</v>
      </c>
      <c r="I5889" s="222" t="s">
        <v>429</v>
      </c>
      <c r="J5889" s="183" t="s">
        <v>17561</v>
      </c>
      <c r="K5889" s="183"/>
      <c r="L5889" s="613"/>
      <c r="M5889" s="183">
        <v>4</v>
      </c>
      <c r="N5889" s="183">
        <v>1</v>
      </c>
      <c r="O5889" s="222">
        <v>10</v>
      </c>
      <c r="P5889" s="222">
        <v>0</v>
      </c>
      <c r="Q5889" s="222">
        <v>6</v>
      </c>
      <c r="R5889" s="1195">
        <v>260</v>
      </c>
      <c r="S5889" s="1195">
        <f t="shared" si="315"/>
        <v>2600</v>
      </c>
      <c r="T5889" s="222" t="s">
        <v>18479</v>
      </c>
      <c r="U5889" s="1527" t="s">
        <v>18670</v>
      </c>
      <c r="V5889" s="222" t="s">
        <v>104</v>
      </c>
      <c r="W5889" s="2155"/>
      <c r="X5889" s="818"/>
      <c r="Y5889" s="1161"/>
    </row>
    <row r="5890" spans="1:25" ht="15.75" hidden="1" customHeight="1" outlineLevel="1">
      <c r="A5890" s="222">
        <f t="shared" si="314"/>
        <v>5899</v>
      </c>
      <c r="B5890" s="858">
        <v>44830</v>
      </c>
      <c r="C5890" s="129" t="s">
        <v>19985</v>
      </c>
      <c r="D5890" s="8" t="s">
        <v>6</v>
      </c>
      <c r="E5890" s="818" t="s">
        <v>166</v>
      </c>
      <c r="F5890" s="1006" t="s">
        <v>18666</v>
      </c>
      <c r="G5890" s="863" t="s">
        <v>19986</v>
      </c>
      <c r="H5890" s="222" t="s">
        <v>429</v>
      </c>
      <c r="I5890" s="222" t="s">
        <v>429</v>
      </c>
      <c r="J5890" s="183" t="s">
        <v>12435</v>
      </c>
      <c r="K5890" s="183"/>
      <c r="L5890" s="613"/>
      <c r="M5890" s="183">
        <v>20</v>
      </c>
      <c r="N5890" s="183">
        <v>1</v>
      </c>
      <c r="O5890" s="222">
        <v>20</v>
      </c>
      <c r="P5890" s="222">
        <v>0</v>
      </c>
      <c r="Q5890" s="222">
        <v>0</v>
      </c>
      <c r="R5890" s="1195">
        <v>33</v>
      </c>
      <c r="S5890" s="1195">
        <f t="shared" si="315"/>
        <v>660</v>
      </c>
      <c r="T5890" s="222" t="s">
        <v>18479</v>
      </c>
      <c r="U5890" s="1527" t="s">
        <v>301</v>
      </c>
      <c r="V5890" s="222" t="s">
        <v>104</v>
      </c>
      <c r="W5890" s="2155"/>
      <c r="X5890" s="818"/>
      <c r="Y5890" s="1161"/>
    </row>
    <row r="5891" spans="1:25" ht="15.75" hidden="1" customHeight="1" outlineLevel="1">
      <c r="A5891" s="222">
        <f t="shared" si="314"/>
        <v>5900</v>
      </c>
      <c r="B5891" s="858">
        <v>44831</v>
      </c>
      <c r="C5891" s="129" t="s">
        <v>19987</v>
      </c>
      <c r="D5891" s="10"/>
      <c r="E5891" s="818" t="s">
        <v>166</v>
      </c>
      <c r="F5891" s="1006" t="s">
        <v>19988</v>
      </c>
      <c r="G5891" s="863" t="s">
        <v>19989</v>
      </c>
      <c r="H5891" s="222" t="s">
        <v>184</v>
      </c>
      <c r="I5891" s="222" t="s">
        <v>19990</v>
      </c>
      <c r="J5891" s="863" t="s">
        <v>19989</v>
      </c>
      <c r="K5891" s="183" t="s">
        <v>19991</v>
      </c>
      <c r="L5891" s="613"/>
      <c r="M5891" s="183">
        <v>10</v>
      </c>
      <c r="N5891" s="183">
        <v>1</v>
      </c>
      <c r="O5891" s="222">
        <v>50</v>
      </c>
      <c r="P5891" s="222">
        <v>0</v>
      </c>
      <c r="Q5891" s="222">
        <v>50</v>
      </c>
      <c r="R5891" s="1195">
        <v>35</v>
      </c>
      <c r="S5891" s="1195">
        <v>815</v>
      </c>
      <c r="T5891" s="222" t="s">
        <v>12425</v>
      </c>
      <c r="U5891" s="1527" t="s">
        <v>1896</v>
      </c>
      <c r="V5891" s="222" t="s">
        <v>3140</v>
      </c>
      <c r="W5891" s="2155" t="s">
        <v>19992</v>
      </c>
      <c r="X5891" s="818"/>
      <c r="Y5891" s="1161"/>
    </row>
    <row r="5892" spans="1:25" ht="15.75" hidden="1" customHeight="1" outlineLevel="1">
      <c r="A5892" s="222">
        <f t="shared" si="314"/>
        <v>5901</v>
      </c>
      <c r="B5892" s="858">
        <v>44831</v>
      </c>
      <c r="C5892" s="129" t="s">
        <v>19987</v>
      </c>
      <c r="D5892" s="10"/>
      <c r="E5892" s="818" t="s">
        <v>166</v>
      </c>
      <c r="F5892" s="1006" t="s">
        <v>19988</v>
      </c>
      <c r="G5892" s="863" t="s">
        <v>15468</v>
      </c>
      <c r="H5892" s="222" t="s">
        <v>15466</v>
      </c>
      <c r="I5892" s="222" t="s">
        <v>19990</v>
      </c>
      <c r="J5892" s="863" t="s">
        <v>15468</v>
      </c>
      <c r="K5892" s="183" t="s">
        <v>15468</v>
      </c>
      <c r="L5892" s="613"/>
      <c r="M5892" s="183">
        <v>10</v>
      </c>
      <c r="N5892" s="183">
        <v>1</v>
      </c>
      <c r="O5892" s="222">
        <v>50</v>
      </c>
      <c r="P5892" s="222">
        <v>0</v>
      </c>
      <c r="Q5892" s="222">
        <v>50</v>
      </c>
      <c r="R5892" s="1195">
        <v>18</v>
      </c>
      <c r="S5892" s="1195">
        <v>376</v>
      </c>
      <c r="T5892" s="222" t="s">
        <v>12425</v>
      </c>
      <c r="U5892" s="1527" t="s">
        <v>1896</v>
      </c>
      <c r="V5892" s="222" t="s">
        <v>3140</v>
      </c>
      <c r="W5892" s="2155" t="s">
        <v>19993</v>
      </c>
      <c r="X5892" s="818"/>
      <c r="Y5892" s="1161"/>
    </row>
    <row r="5893" spans="1:25" ht="15.75" hidden="1" customHeight="1" outlineLevel="1">
      <c r="A5893" s="222">
        <f t="shared" si="314"/>
        <v>5902</v>
      </c>
      <c r="B5893" s="858">
        <v>44831</v>
      </c>
      <c r="C5893" s="129" t="s">
        <v>10732</v>
      </c>
      <c r="D5893" s="10"/>
      <c r="E5893" s="818" t="s">
        <v>166</v>
      </c>
      <c r="F5893" s="1006" t="s">
        <v>19988</v>
      </c>
      <c r="G5893" s="863" t="s">
        <v>19994</v>
      </c>
      <c r="H5893" s="222" t="s">
        <v>5174</v>
      </c>
      <c r="I5893" s="222" t="s">
        <v>19990</v>
      </c>
      <c r="J5893" s="863" t="s">
        <v>19994</v>
      </c>
      <c r="K5893" s="183" t="s">
        <v>19994</v>
      </c>
      <c r="L5893" s="613"/>
      <c r="M5893" s="183">
        <v>10</v>
      </c>
      <c r="N5893" s="183">
        <v>1</v>
      </c>
      <c r="O5893" s="222">
        <v>100</v>
      </c>
      <c r="P5893" s="222">
        <v>0</v>
      </c>
      <c r="Q5893" s="222">
        <v>100</v>
      </c>
      <c r="R5893" s="1195">
        <v>15</v>
      </c>
      <c r="S5893" s="1195">
        <v>197</v>
      </c>
      <c r="T5893" s="222" t="s">
        <v>12425</v>
      </c>
      <c r="U5893" s="1527" t="s">
        <v>1896</v>
      </c>
      <c r="V5893" s="222" t="s">
        <v>3140</v>
      </c>
      <c r="W5893" s="2155" t="s">
        <v>19995</v>
      </c>
      <c r="X5893" s="818"/>
      <c r="Y5893" s="1161"/>
    </row>
    <row r="5894" spans="1:25" ht="15.75" hidden="1" customHeight="1" outlineLevel="1">
      <c r="A5894" s="222">
        <f t="shared" si="314"/>
        <v>5903</v>
      </c>
      <c r="B5894" s="858">
        <v>44831</v>
      </c>
      <c r="C5894" s="129" t="s">
        <v>10732</v>
      </c>
      <c r="D5894" s="10"/>
      <c r="E5894" s="818" t="s">
        <v>166</v>
      </c>
      <c r="F5894" s="1006" t="s">
        <v>19988</v>
      </c>
      <c r="G5894" s="863" t="s">
        <v>19996</v>
      </c>
      <c r="H5894" s="222" t="s">
        <v>2008</v>
      </c>
      <c r="I5894" s="222" t="s">
        <v>19990</v>
      </c>
      <c r="J5894" s="863" t="s">
        <v>19996</v>
      </c>
      <c r="K5894" s="183" t="s">
        <v>19996</v>
      </c>
      <c r="L5894" s="613"/>
      <c r="M5894" s="183">
        <v>10</v>
      </c>
      <c r="N5894" s="183">
        <v>1</v>
      </c>
      <c r="O5894" s="222">
        <v>100</v>
      </c>
      <c r="P5894" s="222">
        <v>0</v>
      </c>
      <c r="Q5894" s="222">
        <v>100</v>
      </c>
      <c r="R5894" s="1195">
        <v>15</v>
      </c>
      <c r="S5894" s="1195">
        <v>85</v>
      </c>
      <c r="T5894" s="222" t="s">
        <v>12425</v>
      </c>
      <c r="U5894" s="1527" t="s">
        <v>1896</v>
      </c>
      <c r="V5894" s="222" t="s">
        <v>3140</v>
      </c>
      <c r="W5894" s="2155" t="s">
        <v>19997</v>
      </c>
      <c r="X5894" s="818"/>
      <c r="Y5894" s="1161"/>
    </row>
    <row r="5895" spans="1:25" ht="15.75" hidden="1" customHeight="1" outlineLevel="1">
      <c r="A5895" s="222">
        <f t="shared" si="314"/>
        <v>5904</v>
      </c>
      <c r="B5895" s="858">
        <v>44831</v>
      </c>
      <c r="C5895" s="129" t="s">
        <v>10732</v>
      </c>
      <c r="D5895" s="10"/>
      <c r="E5895" s="818" t="s">
        <v>166</v>
      </c>
      <c r="F5895" s="1006" t="s">
        <v>19988</v>
      </c>
      <c r="G5895" s="863" t="s">
        <v>454</v>
      </c>
      <c r="H5895" s="222" t="s">
        <v>16190</v>
      </c>
      <c r="I5895" s="222" t="s">
        <v>19990</v>
      </c>
      <c r="J5895" s="863" t="s">
        <v>454</v>
      </c>
      <c r="K5895" s="183" t="s">
        <v>454</v>
      </c>
      <c r="L5895" s="613"/>
      <c r="M5895" s="183">
        <v>10</v>
      </c>
      <c r="N5895" s="183">
        <v>1</v>
      </c>
      <c r="O5895" s="222">
        <v>10</v>
      </c>
      <c r="P5895" s="222">
        <v>0</v>
      </c>
      <c r="Q5895" s="222">
        <v>10</v>
      </c>
      <c r="R5895" s="1195">
        <v>79</v>
      </c>
      <c r="S5895" s="1195">
        <v>668</v>
      </c>
      <c r="T5895" s="222" t="s">
        <v>12425</v>
      </c>
      <c r="U5895" s="1527" t="s">
        <v>1896</v>
      </c>
      <c r="V5895" s="222" t="s">
        <v>3140</v>
      </c>
      <c r="W5895" s="2155" t="s">
        <v>19998</v>
      </c>
      <c r="X5895" s="818"/>
      <c r="Y5895" s="1161"/>
    </row>
    <row r="5896" spans="1:25" ht="15.75" hidden="1" customHeight="1" outlineLevel="1">
      <c r="A5896" s="222">
        <f t="shared" si="314"/>
        <v>5905</v>
      </c>
      <c r="B5896" s="858">
        <v>44831</v>
      </c>
      <c r="C5896" s="129" t="s">
        <v>11199</v>
      </c>
      <c r="D5896" s="10"/>
      <c r="E5896" s="818" t="s">
        <v>166</v>
      </c>
      <c r="F5896" s="1006" t="s">
        <v>19988</v>
      </c>
      <c r="G5896" s="863" t="s">
        <v>19999</v>
      </c>
      <c r="H5896" s="222" t="s">
        <v>20000</v>
      </c>
      <c r="I5896" s="222" t="s">
        <v>16734</v>
      </c>
      <c r="J5896" s="183" t="s">
        <v>15711</v>
      </c>
      <c r="K5896" s="183" t="s">
        <v>15712</v>
      </c>
      <c r="L5896" s="613"/>
      <c r="M5896" s="183">
        <v>2</v>
      </c>
      <c r="N5896" s="183">
        <v>1</v>
      </c>
      <c r="O5896" s="222">
        <v>2</v>
      </c>
      <c r="P5896" s="222">
        <v>0</v>
      </c>
      <c r="Q5896" s="222">
        <v>2</v>
      </c>
      <c r="R5896" s="1195">
        <v>300</v>
      </c>
      <c r="S5896" s="1195">
        <f t="shared" si="315"/>
        <v>600</v>
      </c>
      <c r="T5896" s="222"/>
      <c r="U5896" s="1527"/>
      <c r="W5896" s="2155" t="s">
        <v>15713</v>
      </c>
      <c r="X5896" s="818"/>
      <c r="Y5896" s="1161"/>
    </row>
    <row r="5897" spans="1:25" ht="15.75" hidden="1" customHeight="1" outlineLevel="1">
      <c r="A5897" s="222">
        <f t="shared" si="314"/>
        <v>5906</v>
      </c>
      <c r="B5897" s="858">
        <v>44831</v>
      </c>
      <c r="C5897" s="129" t="s">
        <v>15714</v>
      </c>
      <c r="D5897" s="10"/>
      <c r="E5897" s="818" t="s">
        <v>166</v>
      </c>
      <c r="F5897" s="1006" t="s">
        <v>19988</v>
      </c>
      <c r="G5897" s="863" t="s">
        <v>6178</v>
      </c>
      <c r="H5897" s="222" t="s">
        <v>20000</v>
      </c>
      <c r="I5897" s="222" t="s">
        <v>16734</v>
      </c>
      <c r="J5897" s="183" t="s">
        <v>6181</v>
      </c>
      <c r="K5897" s="183" t="s">
        <v>6182</v>
      </c>
      <c r="L5897" s="613"/>
      <c r="M5897" s="183">
        <v>2</v>
      </c>
      <c r="N5897" s="183">
        <v>1</v>
      </c>
      <c r="O5897" s="222">
        <v>2</v>
      </c>
      <c r="P5897" s="222">
        <v>0</v>
      </c>
      <c r="Q5897" s="222">
        <v>2</v>
      </c>
      <c r="R5897" s="1195">
        <v>220</v>
      </c>
      <c r="S5897" s="1195">
        <f t="shared" si="315"/>
        <v>440</v>
      </c>
      <c r="T5897" s="222"/>
      <c r="U5897" s="1527"/>
      <c r="W5897" s="2155" t="s">
        <v>13445</v>
      </c>
      <c r="X5897" s="818"/>
      <c r="Y5897" s="1161"/>
    </row>
    <row r="5898" spans="1:25" ht="15.75" hidden="1" customHeight="1" outlineLevel="1">
      <c r="A5898" s="222">
        <f t="shared" si="314"/>
        <v>5907</v>
      </c>
      <c r="B5898" s="858">
        <v>44831</v>
      </c>
      <c r="C5898" s="129" t="s">
        <v>17148</v>
      </c>
      <c r="D5898" s="10"/>
      <c r="E5898" s="818" t="s">
        <v>166</v>
      </c>
      <c r="F5898" s="1006" t="s">
        <v>19988</v>
      </c>
      <c r="G5898" s="863" t="s">
        <v>15703</v>
      </c>
      <c r="H5898" s="222" t="s">
        <v>9863</v>
      </c>
      <c r="I5898" s="222" t="s">
        <v>16734</v>
      </c>
      <c r="J5898" s="183" t="s">
        <v>15705</v>
      </c>
      <c r="K5898" s="183" t="s">
        <v>15706</v>
      </c>
      <c r="L5898" s="613"/>
      <c r="M5898" s="183">
        <v>1</v>
      </c>
      <c r="N5898" s="183">
        <v>1</v>
      </c>
      <c r="O5898" s="222">
        <v>1</v>
      </c>
      <c r="P5898" s="222">
        <v>0</v>
      </c>
      <c r="Q5898" s="222">
        <v>1</v>
      </c>
      <c r="R5898" s="1195">
        <v>3630</v>
      </c>
      <c r="S5898" s="1195">
        <f t="shared" si="315"/>
        <v>3630</v>
      </c>
      <c r="T5898" s="222"/>
      <c r="U5898" s="1527"/>
      <c r="W5898" s="2155" t="s">
        <v>15708</v>
      </c>
      <c r="X5898" s="818"/>
      <c r="Y5898" s="1161"/>
    </row>
    <row r="5899" spans="1:25" ht="15.75" hidden="1" customHeight="1" outlineLevel="1">
      <c r="A5899" s="222">
        <f t="shared" si="314"/>
        <v>5908</v>
      </c>
      <c r="B5899" s="858">
        <v>44831</v>
      </c>
      <c r="C5899" s="129" t="s">
        <v>20001</v>
      </c>
      <c r="D5899" s="10"/>
      <c r="E5899" s="818" t="s">
        <v>166</v>
      </c>
      <c r="F5899" s="1006" t="s">
        <v>19988</v>
      </c>
      <c r="G5899" s="863" t="s">
        <v>20002</v>
      </c>
      <c r="H5899" s="222" t="s">
        <v>14282</v>
      </c>
      <c r="I5899" s="222" t="s">
        <v>19990</v>
      </c>
      <c r="J5899" s="183" t="s">
        <v>20002</v>
      </c>
      <c r="K5899" s="183" t="s">
        <v>20003</v>
      </c>
      <c r="L5899" s="613"/>
      <c r="M5899" s="183">
        <v>2</v>
      </c>
      <c r="N5899" s="183">
        <v>1</v>
      </c>
      <c r="O5899" s="222">
        <v>2</v>
      </c>
      <c r="P5899" s="222">
        <v>0</v>
      </c>
      <c r="Q5899" s="222">
        <v>2</v>
      </c>
      <c r="R5899" s="1195">
        <v>1217</v>
      </c>
      <c r="S5899" s="1195">
        <f t="shared" si="315"/>
        <v>2434</v>
      </c>
      <c r="T5899" s="222"/>
      <c r="U5899" s="1527"/>
      <c r="W5899" s="2155" t="s">
        <v>20004</v>
      </c>
      <c r="X5899" s="818"/>
      <c r="Y5899" s="1161"/>
    </row>
    <row r="5900" spans="1:25" ht="15.75" hidden="1" customHeight="1" outlineLevel="1">
      <c r="A5900" s="222">
        <f t="shared" si="314"/>
        <v>5909</v>
      </c>
      <c r="B5900" s="858">
        <v>44831</v>
      </c>
      <c r="C5900" s="129" t="s">
        <v>20005</v>
      </c>
      <c r="D5900" s="10"/>
      <c r="E5900" s="818" t="s">
        <v>166</v>
      </c>
      <c r="F5900" s="1006" t="s">
        <v>19988</v>
      </c>
      <c r="G5900" s="863" t="s">
        <v>20006</v>
      </c>
      <c r="H5900" s="222" t="s">
        <v>20007</v>
      </c>
      <c r="I5900" s="222" t="s">
        <v>16734</v>
      </c>
      <c r="J5900" s="183" t="s">
        <v>20008</v>
      </c>
      <c r="K5900" s="183" t="s">
        <v>20009</v>
      </c>
      <c r="L5900" s="613"/>
      <c r="M5900" s="183">
        <v>6</v>
      </c>
      <c r="N5900" s="183">
        <v>1</v>
      </c>
      <c r="O5900" s="222">
        <v>6</v>
      </c>
      <c r="P5900" s="222">
        <v>0</v>
      </c>
      <c r="Q5900" s="222">
        <v>6</v>
      </c>
      <c r="R5900" s="1195">
        <v>100</v>
      </c>
      <c r="S5900" s="1195">
        <f t="shared" si="315"/>
        <v>600</v>
      </c>
      <c r="T5900" s="222"/>
      <c r="U5900" s="1527"/>
      <c r="W5900" s="2155" t="s">
        <v>20010</v>
      </c>
      <c r="X5900" s="818"/>
      <c r="Y5900" s="1161"/>
    </row>
    <row r="5901" spans="1:25" ht="15.75" hidden="1" customHeight="1" outlineLevel="1">
      <c r="A5901" s="222">
        <f t="shared" si="314"/>
        <v>5910</v>
      </c>
      <c r="B5901" s="858">
        <v>44833</v>
      </c>
      <c r="C5901" s="129" t="s">
        <v>20011</v>
      </c>
      <c r="D5901" s="1445" t="s">
        <v>6</v>
      </c>
      <c r="E5901" s="818" t="s">
        <v>683</v>
      </c>
      <c r="F5901" s="1006" t="s">
        <v>11323</v>
      </c>
      <c r="G5901" s="863" t="s">
        <v>20012</v>
      </c>
      <c r="H5901" s="222" t="s">
        <v>20013</v>
      </c>
      <c r="I5901" s="222" t="s">
        <v>482</v>
      </c>
      <c r="J5901" s="1835" t="s">
        <v>20014</v>
      </c>
      <c r="K5901" s="183" t="s">
        <v>20015</v>
      </c>
      <c r="L5901" s="613"/>
      <c r="M5901" s="183">
        <v>2</v>
      </c>
      <c r="N5901" s="183">
        <v>1</v>
      </c>
      <c r="O5901" s="222">
        <v>2</v>
      </c>
      <c r="P5901" s="222">
        <v>0</v>
      </c>
      <c r="Q5901" s="222">
        <v>2</v>
      </c>
      <c r="R5901" s="1195">
        <v>1988</v>
      </c>
      <c r="S5901" s="1195">
        <f t="shared" si="315"/>
        <v>3976</v>
      </c>
      <c r="T5901" s="222" t="s">
        <v>20016</v>
      </c>
      <c r="U5901" s="1527" t="s">
        <v>14356</v>
      </c>
      <c r="V5901" s="222" t="s">
        <v>20017</v>
      </c>
      <c r="W5901" s="2155" t="s">
        <v>20018</v>
      </c>
      <c r="X5901" s="818"/>
      <c r="Y5901" s="1161"/>
    </row>
    <row r="5902" spans="1:25" ht="15.75" hidden="1" customHeight="1" outlineLevel="1">
      <c r="A5902" s="222">
        <f t="shared" si="314"/>
        <v>5911</v>
      </c>
      <c r="B5902" s="858">
        <v>44833</v>
      </c>
      <c r="C5902" s="129" t="s">
        <v>20019</v>
      </c>
      <c r="D5902" s="1445" t="s">
        <v>6</v>
      </c>
      <c r="E5902" s="818" t="s">
        <v>683</v>
      </c>
      <c r="F5902" s="1006" t="s">
        <v>11323</v>
      </c>
      <c r="G5902" s="863" t="s">
        <v>20020</v>
      </c>
      <c r="H5902" s="222" t="s">
        <v>20021</v>
      </c>
      <c r="I5902" s="222" t="s">
        <v>482</v>
      </c>
      <c r="J5902" s="183">
        <v>2972170</v>
      </c>
      <c r="K5902" s="183" t="s">
        <v>20022</v>
      </c>
      <c r="L5902" s="613"/>
      <c r="M5902" s="183">
        <v>1</v>
      </c>
      <c r="N5902" s="183">
        <v>1</v>
      </c>
      <c r="O5902" s="222">
        <v>1</v>
      </c>
      <c r="P5902" s="222">
        <v>0</v>
      </c>
      <c r="Q5902" s="222">
        <v>1</v>
      </c>
      <c r="R5902" s="1195">
        <v>4306</v>
      </c>
      <c r="S5902" s="1195">
        <f t="shared" si="315"/>
        <v>4306</v>
      </c>
      <c r="T5902" s="222" t="s">
        <v>20016</v>
      </c>
      <c r="U5902" s="1527" t="s">
        <v>14356</v>
      </c>
      <c r="V5902" s="222" t="s">
        <v>20017</v>
      </c>
      <c r="W5902" s="2155" t="s">
        <v>20023</v>
      </c>
      <c r="X5902" s="818"/>
      <c r="Y5902" s="1161"/>
    </row>
    <row r="5903" spans="1:25" ht="15.75" hidden="1" customHeight="1" outlineLevel="1">
      <c r="A5903" s="222">
        <f t="shared" si="314"/>
        <v>5912</v>
      </c>
      <c r="B5903" s="858">
        <v>44833</v>
      </c>
      <c r="C5903" s="940" t="s">
        <v>16207</v>
      </c>
      <c r="D5903" s="1445" t="s">
        <v>6</v>
      </c>
      <c r="E5903" s="818" t="s">
        <v>683</v>
      </c>
      <c r="F5903" s="940" t="s">
        <v>11323</v>
      </c>
      <c r="G5903" s="239" t="s">
        <v>16202</v>
      </c>
      <c r="H5903" s="239" t="s">
        <v>12071</v>
      </c>
      <c r="I5903" s="239" t="s">
        <v>76</v>
      </c>
      <c r="J5903" s="1834">
        <v>1260078</v>
      </c>
      <c r="K5903" s="239" t="s">
        <v>20024</v>
      </c>
      <c r="L5903" s="239"/>
      <c r="M5903" s="239">
        <v>10</v>
      </c>
      <c r="N5903" s="239">
        <v>1</v>
      </c>
      <c r="O5903" s="222">
        <v>10</v>
      </c>
      <c r="P5903" s="222">
        <v>2</v>
      </c>
      <c r="Q5903" s="222">
        <v>12</v>
      </c>
      <c r="R5903" s="1195">
        <v>908</v>
      </c>
      <c r="S5903" s="1195">
        <f t="shared" si="315"/>
        <v>9080</v>
      </c>
      <c r="T5903" s="222" t="s">
        <v>20016</v>
      </c>
      <c r="U5903" s="1527" t="s">
        <v>14356</v>
      </c>
      <c r="V5903" s="222" t="s">
        <v>20017</v>
      </c>
      <c r="W5903" s="2155" t="s">
        <v>16208</v>
      </c>
      <c r="X5903" s="818"/>
      <c r="Y5903" s="1161"/>
    </row>
    <row r="5904" spans="1:25" ht="15.75" hidden="1" customHeight="1" outlineLevel="1">
      <c r="A5904" s="222">
        <f t="shared" si="314"/>
        <v>5913</v>
      </c>
      <c r="B5904" s="858">
        <v>44833</v>
      </c>
      <c r="C5904" t="s">
        <v>20025</v>
      </c>
      <c r="D5904" s="10"/>
      <c r="E5904" s="818" t="s">
        <v>166</v>
      </c>
      <c r="F5904" s="1006" t="s">
        <v>15108</v>
      </c>
      <c r="G5904" s="863" t="s">
        <v>20026</v>
      </c>
      <c r="H5904" s="222" t="s">
        <v>20027</v>
      </c>
      <c r="I5904" s="222" t="s">
        <v>16734</v>
      </c>
      <c r="J5904" s="183" t="s">
        <v>20028</v>
      </c>
      <c r="K5904" s="458" t="s">
        <v>20025</v>
      </c>
      <c r="L5904" s="613"/>
      <c r="M5904" s="183">
        <v>1</v>
      </c>
      <c r="N5904" s="183">
        <v>1</v>
      </c>
      <c r="O5904" s="222">
        <v>1</v>
      </c>
      <c r="P5904" s="222">
        <v>0</v>
      </c>
      <c r="Q5904" s="222">
        <v>1</v>
      </c>
      <c r="R5904" s="1195">
        <v>35400</v>
      </c>
      <c r="S5904" s="1195">
        <f t="shared" si="315"/>
        <v>35400</v>
      </c>
      <c r="T5904" s="222"/>
      <c r="U5904" s="1527"/>
      <c r="V5904" s="222" t="s">
        <v>20029</v>
      </c>
      <c r="W5904" s="2155" t="s">
        <v>20030</v>
      </c>
      <c r="X5904" s="818"/>
      <c r="Y5904" s="1161"/>
    </row>
    <row r="5905" spans="1:25" ht="15.75" hidden="1" customHeight="1" outlineLevel="1">
      <c r="A5905" s="222">
        <f t="shared" si="314"/>
        <v>5914</v>
      </c>
      <c r="B5905" s="2193">
        <v>44833</v>
      </c>
      <c r="C5905" s="613" t="s">
        <v>339</v>
      </c>
      <c r="D5905" s="11" t="s">
        <v>6</v>
      </c>
      <c r="E5905" s="818" t="s">
        <v>166</v>
      </c>
      <c r="F5905" s="1193" t="s">
        <v>19975</v>
      </c>
      <c r="G5905" s="2211" t="s">
        <v>20031</v>
      </c>
      <c r="H5905" s="2211" t="s">
        <v>20032</v>
      </c>
      <c r="I5905" s="222" t="s">
        <v>4634</v>
      </c>
      <c r="J5905" s="613" t="s">
        <v>20033</v>
      </c>
      <c r="K5905" s="613" t="s">
        <v>20034</v>
      </c>
      <c r="L5905" s="2194" t="s">
        <v>13128</v>
      </c>
      <c r="M5905" s="613">
        <v>4</v>
      </c>
      <c r="N5905" s="613">
        <v>4</v>
      </c>
      <c r="O5905" s="183">
        <v>8</v>
      </c>
      <c r="P5905" s="222">
        <v>0</v>
      </c>
      <c r="Q5905" s="222">
        <f t="shared" ref="Q5905" si="316">O5905-N5905</f>
        <v>4</v>
      </c>
      <c r="R5905" s="2212">
        <v>70.3</v>
      </c>
      <c r="S5905" s="1195">
        <f t="shared" si="315"/>
        <v>562.4</v>
      </c>
      <c r="T5905" s="222" t="s">
        <v>20035</v>
      </c>
      <c r="U5905" s="1527" t="s">
        <v>1886</v>
      </c>
      <c r="V5905" s="1850" t="s">
        <v>9064</v>
      </c>
      <c r="W5905" s="2178" t="s">
        <v>20036</v>
      </c>
      <c r="X5905" s="818"/>
      <c r="Y5905" s="1161"/>
    </row>
    <row r="5906" spans="1:25" ht="15.75" hidden="1" customHeight="1" outlineLevel="1">
      <c r="A5906" s="222">
        <f>+A5905+1</f>
        <v>5915</v>
      </c>
      <c r="B5906" s="2193">
        <v>44833</v>
      </c>
      <c r="C5906" s="129" t="s">
        <v>329</v>
      </c>
      <c r="D5906" s="11" t="s">
        <v>6</v>
      </c>
      <c r="E5906" s="818" t="s">
        <v>166</v>
      </c>
      <c r="F5906" s="129" t="s">
        <v>19975</v>
      </c>
      <c r="G5906" s="613" t="s">
        <v>16341</v>
      </c>
      <c r="H5906" s="129" t="s">
        <v>184</v>
      </c>
      <c r="I5906" s="222" t="s">
        <v>4634</v>
      </c>
      <c r="J5906" s="613" t="s">
        <v>14025</v>
      </c>
      <c r="K5906" s="613" t="s">
        <v>14026</v>
      </c>
      <c r="L5906" s="129" t="s">
        <v>8980</v>
      </c>
      <c r="M5906" s="613">
        <v>8</v>
      </c>
      <c r="N5906" s="613">
        <v>8</v>
      </c>
      <c r="O5906" s="613">
        <v>20</v>
      </c>
      <c r="P5906" s="222">
        <v>0</v>
      </c>
      <c r="Q5906" s="222">
        <f>O5906-N5906</f>
        <v>12</v>
      </c>
      <c r="R5906" s="2212">
        <v>53.4</v>
      </c>
      <c r="S5906" s="1195">
        <f t="shared" si="315"/>
        <v>1068</v>
      </c>
      <c r="T5906" s="222" t="s">
        <v>20035</v>
      </c>
      <c r="U5906" s="1527" t="s">
        <v>1886</v>
      </c>
      <c r="V5906" s="1850" t="s">
        <v>9064</v>
      </c>
      <c r="W5906" s="1543" t="s">
        <v>14028</v>
      </c>
      <c r="X5906" s="818"/>
      <c r="Y5906" s="1161"/>
    </row>
    <row r="5907" spans="1:25" ht="15.75" hidden="1" customHeight="1" outlineLevel="1">
      <c r="A5907" s="222">
        <f t="shared" si="314"/>
        <v>5916</v>
      </c>
      <c r="B5907" s="2193">
        <v>44833</v>
      </c>
      <c r="C5907" s="129" t="s">
        <v>329</v>
      </c>
      <c r="D5907" s="11" t="s">
        <v>6</v>
      </c>
      <c r="E5907" s="818" t="s">
        <v>166</v>
      </c>
      <c r="F5907" s="129" t="s">
        <v>19975</v>
      </c>
      <c r="G5907" s="613" t="s">
        <v>16342</v>
      </c>
      <c r="H5907" s="613" t="s">
        <v>20037</v>
      </c>
      <c r="I5907" s="222" t="s">
        <v>4634</v>
      </c>
      <c r="J5907" s="613" t="s">
        <v>20038</v>
      </c>
      <c r="K5907" s="613" t="s">
        <v>1658</v>
      </c>
      <c r="L5907" s="129" t="s">
        <v>8980</v>
      </c>
      <c r="M5907" s="613">
        <v>24</v>
      </c>
      <c r="N5907" s="613">
        <v>24</v>
      </c>
      <c r="O5907" s="613">
        <v>30</v>
      </c>
      <c r="P5907" s="222">
        <v>0</v>
      </c>
      <c r="Q5907" s="222">
        <f t="shared" ref="Q5907:Q5953" si="317">O5907-N5907</f>
        <v>6</v>
      </c>
      <c r="R5907" s="2212">
        <v>43.6</v>
      </c>
      <c r="S5907" s="1195">
        <f t="shared" si="315"/>
        <v>1308</v>
      </c>
      <c r="T5907" s="222" t="s">
        <v>20035</v>
      </c>
      <c r="U5907" s="1527" t="s">
        <v>1886</v>
      </c>
      <c r="V5907" s="1850" t="s">
        <v>9064</v>
      </c>
      <c r="W5907" s="2178" t="s">
        <v>20039</v>
      </c>
      <c r="X5907" s="818"/>
      <c r="Y5907" s="1161"/>
    </row>
    <row r="5908" spans="1:25" ht="15.75" hidden="1" customHeight="1" outlineLevel="1">
      <c r="A5908" s="222">
        <f t="shared" si="314"/>
        <v>5917</v>
      </c>
      <c r="B5908" s="2193">
        <v>44833</v>
      </c>
      <c r="C5908" s="129" t="s">
        <v>329</v>
      </c>
      <c r="D5908" s="11" t="s">
        <v>6</v>
      </c>
      <c r="E5908" s="818" t="s">
        <v>166</v>
      </c>
      <c r="F5908" s="129" t="s">
        <v>19975</v>
      </c>
      <c r="G5908" s="613" t="s">
        <v>16348</v>
      </c>
      <c r="H5908" s="129" t="s">
        <v>641</v>
      </c>
      <c r="I5908" s="222" t="s">
        <v>4634</v>
      </c>
      <c r="J5908" s="613" t="s">
        <v>20040</v>
      </c>
      <c r="K5908" s="613" t="s">
        <v>20041</v>
      </c>
      <c r="L5908" s="129" t="s">
        <v>8980</v>
      </c>
      <c r="M5908" s="613">
        <v>4</v>
      </c>
      <c r="N5908" s="613">
        <v>4</v>
      </c>
      <c r="O5908" s="613">
        <v>10</v>
      </c>
      <c r="P5908" s="222">
        <v>0</v>
      </c>
      <c r="Q5908" s="222">
        <f t="shared" si="317"/>
        <v>6</v>
      </c>
      <c r="R5908" s="2212">
        <v>53.4</v>
      </c>
      <c r="S5908" s="1195">
        <f t="shared" si="315"/>
        <v>534</v>
      </c>
      <c r="T5908" s="222" t="s">
        <v>20035</v>
      </c>
      <c r="U5908" s="1527" t="s">
        <v>1886</v>
      </c>
      <c r="V5908" s="1850" t="s">
        <v>9064</v>
      </c>
      <c r="W5908" s="1543" t="s">
        <v>20042</v>
      </c>
      <c r="X5908" s="818"/>
      <c r="Y5908" s="1161"/>
    </row>
    <row r="5909" spans="1:25" ht="15.75" hidden="1" customHeight="1" outlineLevel="1">
      <c r="A5909" s="222">
        <f t="shared" si="314"/>
        <v>5918</v>
      </c>
      <c r="B5909" s="2193">
        <v>44833</v>
      </c>
      <c r="C5909" s="129" t="s">
        <v>329</v>
      </c>
      <c r="D5909" s="11" t="s">
        <v>6</v>
      </c>
      <c r="E5909" s="818" t="s">
        <v>166</v>
      </c>
      <c r="F5909" s="129" t="s">
        <v>19975</v>
      </c>
      <c r="G5909" s="613" t="s">
        <v>16487</v>
      </c>
      <c r="H5909" s="129" t="s">
        <v>184</v>
      </c>
      <c r="I5909" s="222" t="s">
        <v>4634</v>
      </c>
      <c r="J5909" s="613" t="s">
        <v>20043</v>
      </c>
      <c r="K5909" s="613" t="s">
        <v>20044</v>
      </c>
      <c r="L5909" s="129" t="s">
        <v>8980</v>
      </c>
      <c r="M5909" s="613">
        <v>22</v>
      </c>
      <c r="N5909" s="613">
        <v>22</v>
      </c>
      <c r="O5909" s="613">
        <v>30</v>
      </c>
      <c r="P5909" s="222">
        <v>0</v>
      </c>
      <c r="Q5909" s="222">
        <f t="shared" si="317"/>
        <v>8</v>
      </c>
      <c r="R5909" s="2212">
        <v>95.5</v>
      </c>
      <c r="S5909" s="1195">
        <f t="shared" si="315"/>
        <v>2865</v>
      </c>
      <c r="T5909" s="222" t="s">
        <v>20035</v>
      </c>
      <c r="U5909" s="1527" t="s">
        <v>1886</v>
      </c>
      <c r="V5909" s="1850" t="s">
        <v>9064</v>
      </c>
      <c r="W5909" s="1543" t="s">
        <v>20045</v>
      </c>
      <c r="X5909" s="818"/>
      <c r="Y5909" s="1161"/>
    </row>
    <row r="5910" spans="1:25" ht="15.75" hidden="1" customHeight="1" outlineLevel="1">
      <c r="A5910" s="222">
        <f t="shared" si="314"/>
        <v>5919</v>
      </c>
      <c r="B5910" s="2193">
        <v>44833</v>
      </c>
      <c r="C5910" s="129" t="s">
        <v>329</v>
      </c>
      <c r="D5910" s="11" t="s">
        <v>6</v>
      </c>
      <c r="E5910" s="818" t="s">
        <v>166</v>
      </c>
      <c r="F5910" s="129" t="s">
        <v>19975</v>
      </c>
      <c r="G5910" s="613" t="s">
        <v>16353</v>
      </c>
      <c r="H5910" s="129" t="s">
        <v>332</v>
      </c>
      <c r="I5910" s="222" t="s">
        <v>4634</v>
      </c>
      <c r="J5910" s="613" t="s">
        <v>16354</v>
      </c>
      <c r="K5910" s="613" t="s">
        <v>16355</v>
      </c>
      <c r="L5910" s="129" t="s">
        <v>8980</v>
      </c>
      <c r="M5910" s="613">
        <v>10</v>
      </c>
      <c r="N5910" s="613">
        <v>10</v>
      </c>
      <c r="O5910" s="613">
        <v>25</v>
      </c>
      <c r="P5910" s="222">
        <v>0</v>
      </c>
      <c r="Q5910" s="222">
        <f t="shared" si="317"/>
        <v>15</v>
      </c>
      <c r="R5910" s="2212">
        <v>109.6</v>
      </c>
      <c r="S5910" s="1195">
        <f t="shared" si="315"/>
        <v>2740</v>
      </c>
      <c r="T5910" s="222" t="s">
        <v>20035</v>
      </c>
      <c r="U5910" s="1527" t="s">
        <v>1886</v>
      </c>
      <c r="V5910" s="1850" t="s">
        <v>9064</v>
      </c>
      <c r="W5910" s="2178" t="s">
        <v>16356</v>
      </c>
      <c r="X5910" s="818"/>
      <c r="Y5910" s="1161"/>
    </row>
    <row r="5911" spans="1:25" ht="15.75" hidden="1" customHeight="1" outlineLevel="1">
      <c r="A5911" s="222">
        <f t="shared" si="314"/>
        <v>5920</v>
      </c>
      <c r="B5911" s="2193">
        <v>44833</v>
      </c>
      <c r="C5911" s="129" t="s">
        <v>329</v>
      </c>
      <c r="D5911" s="11" t="s">
        <v>6</v>
      </c>
      <c r="E5911" s="818" t="s">
        <v>166</v>
      </c>
      <c r="F5911" s="129" t="s">
        <v>19975</v>
      </c>
      <c r="G5911" s="613" t="s">
        <v>20046</v>
      </c>
      <c r="H5911" s="129" t="s">
        <v>332</v>
      </c>
      <c r="I5911" s="222" t="s">
        <v>4634</v>
      </c>
      <c r="J5911" s="613" t="s">
        <v>14056</v>
      </c>
      <c r="K5911" s="613" t="s">
        <v>14057</v>
      </c>
      <c r="L5911" s="129" t="s">
        <v>8980</v>
      </c>
      <c r="M5911" s="613">
        <v>2</v>
      </c>
      <c r="N5911" s="613">
        <v>2</v>
      </c>
      <c r="O5911" s="613">
        <v>5</v>
      </c>
      <c r="P5911" s="222">
        <v>0</v>
      </c>
      <c r="Q5911" s="222">
        <f t="shared" si="317"/>
        <v>3</v>
      </c>
      <c r="R5911" s="2212">
        <v>105.4</v>
      </c>
      <c r="S5911" s="1195">
        <f t="shared" si="315"/>
        <v>527</v>
      </c>
      <c r="T5911" s="222" t="s">
        <v>20035</v>
      </c>
      <c r="U5911" s="1527" t="s">
        <v>1886</v>
      </c>
      <c r="V5911" s="1850" t="s">
        <v>9064</v>
      </c>
      <c r="W5911" s="2178" t="s">
        <v>14058</v>
      </c>
      <c r="X5911" s="818"/>
      <c r="Y5911" s="1161"/>
    </row>
    <row r="5912" spans="1:25" ht="15.75" hidden="1" customHeight="1" outlineLevel="1">
      <c r="A5912" s="222">
        <f t="shared" si="314"/>
        <v>5921</v>
      </c>
      <c r="B5912" s="2193">
        <v>44833</v>
      </c>
      <c r="C5912" s="129" t="s">
        <v>329</v>
      </c>
      <c r="D5912" s="11" t="s">
        <v>6</v>
      </c>
      <c r="E5912" s="818" t="s">
        <v>166</v>
      </c>
      <c r="F5912" s="129" t="s">
        <v>19975</v>
      </c>
      <c r="G5912" s="613" t="s">
        <v>20047</v>
      </c>
      <c r="H5912" s="129" t="s">
        <v>201</v>
      </c>
      <c r="I5912" s="222" t="s">
        <v>4634</v>
      </c>
      <c r="J5912" s="613" t="s">
        <v>14060</v>
      </c>
      <c r="K5912" s="613" t="s">
        <v>14061</v>
      </c>
      <c r="L5912" s="129" t="s">
        <v>8980</v>
      </c>
      <c r="M5912" s="2211">
        <v>2</v>
      </c>
      <c r="N5912" s="2211">
        <v>2</v>
      </c>
      <c r="O5912" s="613">
        <v>5</v>
      </c>
      <c r="P5912" s="222">
        <v>0</v>
      </c>
      <c r="Q5912" s="222">
        <f t="shared" si="317"/>
        <v>3</v>
      </c>
      <c r="R5912" s="2213">
        <v>56.2</v>
      </c>
      <c r="S5912" s="1195">
        <f t="shared" si="315"/>
        <v>281</v>
      </c>
      <c r="T5912" s="222" t="s">
        <v>20035</v>
      </c>
      <c r="U5912" s="1527" t="s">
        <v>1886</v>
      </c>
      <c r="V5912" s="1850" t="s">
        <v>9064</v>
      </c>
      <c r="W5912" s="2178" t="s">
        <v>14062</v>
      </c>
      <c r="X5912" s="818"/>
      <c r="Y5912" s="1161"/>
    </row>
    <row r="5913" spans="1:25" ht="15.75" hidden="1" customHeight="1" outlineLevel="1">
      <c r="A5913" s="222">
        <f t="shared" si="314"/>
        <v>5922</v>
      </c>
      <c r="B5913" s="2193">
        <v>44833</v>
      </c>
      <c r="C5913" s="129" t="s">
        <v>152</v>
      </c>
      <c r="D5913" s="11" t="s">
        <v>6</v>
      </c>
      <c r="E5913" s="818" t="s">
        <v>166</v>
      </c>
      <c r="F5913" s="129" t="s">
        <v>19975</v>
      </c>
      <c r="G5913" s="613" t="s">
        <v>16392</v>
      </c>
      <c r="H5913" s="129" t="s">
        <v>166</v>
      </c>
      <c r="I5913" s="222" t="s">
        <v>4634</v>
      </c>
      <c r="J5913" s="613" t="s">
        <v>14084</v>
      </c>
      <c r="K5913" s="613" t="s">
        <v>14085</v>
      </c>
      <c r="L5913" s="129" t="s">
        <v>8980</v>
      </c>
      <c r="M5913" s="2211">
        <v>24</v>
      </c>
      <c r="N5913" s="2211">
        <v>24</v>
      </c>
      <c r="O5913" s="613">
        <v>30</v>
      </c>
      <c r="P5913" s="222">
        <v>0</v>
      </c>
      <c r="Q5913" s="222">
        <f t="shared" si="317"/>
        <v>6</v>
      </c>
      <c r="R5913" s="2213">
        <v>37.9</v>
      </c>
      <c r="S5913" s="1195">
        <f t="shared" si="315"/>
        <v>1137</v>
      </c>
      <c r="T5913" s="222" t="s">
        <v>20035</v>
      </c>
      <c r="U5913" s="1527" t="s">
        <v>1886</v>
      </c>
      <c r="V5913" s="1850" t="s">
        <v>9064</v>
      </c>
      <c r="W5913" s="2178" t="s">
        <v>14086</v>
      </c>
      <c r="X5913" s="818"/>
      <c r="Y5913" s="1161"/>
    </row>
    <row r="5914" spans="1:25" ht="15.75" hidden="1" customHeight="1" outlineLevel="1">
      <c r="A5914" s="222">
        <f t="shared" si="314"/>
        <v>5923</v>
      </c>
      <c r="B5914" s="2193">
        <v>44833</v>
      </c>
      <c r="C5914" s="129" t="s">
        <v>152</v>
      </c>
      <c r="D5914" s="11" t="s">
        <v>6</v>
      </c>
      <c r="E5914" s="818" t="s">
        <v>166</v>
      </c>
      <c r="F5914" s="129" t="s">
        <v>19975</v>
      </c>
      <c r="G5914" s="613" t="s">
        <v>18648</v>
      </c>
      <c r="H5914" s="129" t="s">
        <v>166</v>
      </c>
      <c r="I5914" s="222" t="s">
        <v>4634</v>
      </c>
      <c r="J5914" s="613" t="s">
        <v>14092</v>
      </c>
      <c r="K5914" s="613" t="s">
        <v>14093</v>
      </c>
      <c r="L5914" s="129" t="s">
        <v>8980</v>
      </c>
      <c r="M5914" s="613">
        <v>12</v>
      </c>
      <c r="N5914" s="613">
        <v>12</v>
      </c>
      <c r="O5914" s="613">
        <v>20</v>
      </c>
      <c r="P5914" s="222">
        <v>0</v>
      </c>
      <c r="Q5914" s="222">
        <f t="shared" si="317"/>
        <v>8</v>
      </c>
      <c r="R5914" s="2212">
        <v>15.5</v>
      </c>
      <c r="S5914" s="1195">
        <f t="shared" si="315"/>
        <v>310</v>
      </c>
      <c r="T5914" s="222" t="s">
        <v>20035</v>
      </c>
      <c r="U5914" s="1527" t="s">
        <v>1886</v>
      </c>
      <c r="V5914" s="1850" t="s">
        <v>9064</v>
      </c>
      <c r="W5914" s="1543" t="s">
        <v>14094</v>
      </c>
      <c r="X5914" s="818"/>
      <c r="Y5914" s="1161"/>
    </row>
    <row r="5915" spans="1:25" ht="15.75" hidden="1" customHeight="1" outlineLevel="1">
      <c r="A5915" s="222">
        <f t="shared" si="314"/>
        <v>5924</v>
      </c>
      <c r="B5915" s="2193">
        <v>44833</v>
      </c>
      <c r="C5915" s="129" t="s">
        <v>152</v>
      </c>
      <c r="D5915" s="11" t="s">
        <v>6</v>
      </c>
      <c r="E5915" s="818" t="s">
        <v>166</v>
      </c>
      <c r="F5915" s="129" t="s">
        <v>19975</v>
      </c>
      <c r="G5915" s="613" t="s">
        <v>16397</v>
      </c>
      <c r="H5915" s="129" t="s">
        <v>166</v>
      </c>
      <c r="I5915" s="222" t="s">
        <v>4634</v>
      </c>
      <c r="J5915" s="613" t="s">
        <v>14088</v>
      </c>
      <c r="K5915" s="613" t="s">
        <v>14089</v>
      </c>
      <c r="L5915" s="129" t="s">
        <v>8980</v>
      </c>
      <c r="M5915" s="2211">
        <v>52</v>
      </c>
      <c r="N5915" s="2211">
        <v>52</v>
      </c>
      <c r="O5915" s="613">
        <v>60</v>
      </c>
      <c r="P5915" s="222">
        <v>0</v>
      </c>
      <c r="Q5915" s="222">
        <f t="shared" si="317"/>
        <v>8</v>
      </c>
      <c r="R5915" s="2213">
        <v>37.9</v>
      </c>
      <c r="S5915" s="1195">
        <f t="shared" si="315"/>
        <v>2274</v>
      </c>
      <c r="T5915" s="222" t="s">
        <v>20035</v>
      </c>
      <c r="U5915" s="1527" t="s">
        <v>1886</v>
      </c>
      <c r="V5915" s="1850" t="s">
        <v>9064</v>
      </c>
      <c r="W5915" s="1543" t="s">
        <v>14090</v>
      </c>
      <c r="X5915" s="818"/>
      <c r="Y5915" s="1161"/>
    </row>
    <row r="5916" spans="1:25" ht="15.75" hidden="1" customHeight="1" outlineLevel="1">
      <c r="A5916" s="222">
        <f t="shared" si="314"/>
        <v>5925</v>
      </c>
      <c r="B5916" s="2193">
        <v>44833</v>
      </c>
      <c r="C5916" s="129" t="s">
        <v>152</v>
      </c>
      <c r="D5916" s="11" t="s">
        <v>6</v>
      </c>
      <c r="E5916" s="818" t="s">
        <v>166</v>
      </c>
      <c r="F5916" s="129" t="s">
        <v>19975</v>
      </c>
      <c r="G5916" s="613" t="s">
        <v>16383</v>
      </c>
      <c r="H5916" s="129" t="s">
        <v>5413</v>
      </c>
      <c r="I5916" s="222" t="s">
        <v>4634</v>
      </c>
      <c r="J5916" s="613" t="s">
        <v>20048</v>
      </c>
      <c r="K5916" s="2195" t="s">
        <v>20049</v>
      </c>
      <c r="L5916" s="129" t="s">
        <v>8980</v>
      </c>
      <c r="M5916" s="2211">
        <v>12</v>
      </c>
      <c r="N5916" s="2211">
        <v>12</v>
      </c>
      <c r="O5916" s="613">
        <v>20</v>
      </c>
      <c r="P5916" s="222">
        <v>0</v>
      </c>
      <c r="Q5916" s="222">
        <f t="shared" si="317"/>
        <v>8</v>
      </c>
      <c r="R5916" s="2214">
        <v>104</v>
      </c>
      <c r="S5916" s="1195">
        <f t="shared" si="315"/>
        <v>2080</v>
      </c>
      <c r="T5916" s="222" t="s">
        <v>20035</v>
      </c>
      <c r="U5916" s="1527" t="s">
        <v>1886</v>
      </c>
      <c r="V5916" s="1850" t="s">
        <v>9064</v>
      </c>
      <c r="W5916" s="2178" t="s">
        <v>20050</v>
      </c>
      <c r="X5916" s="818"/>
      <c r="Y5916" s="1161"/>
    </row>
    <row r="5917" spans="1:25" ht="15.75" hidden="1" customHeight="1" outlineLevel="1">
      <c r="A5917" s="222">
        <f t="shared" si="314"/>
        <v>5926</v>
      </c>
      <c r="B5917" s="2193">
        <v>44833</v>
      </c>
      <c r="C5917" s="129" t="s">
        <v>5189</v>
      </c>
      <c r="D5917" s="11" t="s">
        <v>6</v>
      </c>
      <c r="E5917" s="818" t="s">
        <v>166</v>
      </c>
      <c r="F5917" s="129" t="s">
        <v>19975</v>
      </c>
      <c r="G5917" s="613" t="s">
        <v>14095</v>
      </c>
      <c r="H5917" s="129" t="s">
        <v>14096</v>
      </c>
      <c r="I5917" s="222" t="s">
        <v>4634</v>
      </c>
      <c r="J5917" s="613" t="s">
        <v>14097</v>
      </c>
      <c r="K5917" s="613" t="s">
        <v>14098</v>
      </c>
      <c r="L5917" s="613" t="s">
        <v>14099</v>
      </c>
      <c r="M5917" s="2211">
        <v>4</v>
      </c>
      <c r="N5917" s="2211">
        <v>4</v>
      </c>
      <c r="O5917" s="613">
        <v>10</v>
      </c>
      <c r="P5917" s="222">
        <v>0</v>
      </c>
      <c r="Q5917" s="222">
        <f t="shared" si="317"/>
        <v>6</v>
      </c>
      <c r="R5917" s="2213">
        <v>63.2</v>
      </c>
      <c r="S5917" s="1195">
        <f t="shared" si="315"/>
        <v>632</v>
      </c>
      <c r="T5917" s="222" t="s">
        <v>20035</v>
      </c>
      <c r="U5917" s="1527" t="s">
        <v>1886</v>
      </c>
      <c r="V5917" s="1850" t="s">
        <v>9064</v>
      </c>
      <c r="W5917" s="1543" t="s">
        <v>14100</v>
      </c>
      <c r="X5917" s="818"/>
      <c r="Y5917" s="1161"/>
    </row>
    <row r="5918" spans="1:25" ht="15.75" hidden="1" customHeight="1" outlineLevel="1">
      <c r="A5918" s="222">
        <f t="shared" si="314"/>
        <v>5927</v>
      </c>
      <c r="B5918" s="2193">
        <v>44833</v>
      </c>
      <c r="C5918" s="129" t="s">
        <v>14101</v>
      </c>
      <c r="D5918" s="11" t="s">
        <v>6</v>
      </c>
      <c r="E5918" s="818" t="s">
        <v>166</v>
      </c>
      <c r="F5918" s="129" t="s">
        <v>19975</v>
      </c>
      <c r="G5918" s="613" t="s">
        <v>14102</v>
      </c>
      <c r="H5918" s="129" t="s">
        <v>452</v>
      </c>
      <c r="I5918" s="222" t="s">
        <v>4634</v>
      </c>
      <c r="J5918" s="613" t="s">
        <v>11139</v>
      </c>
      <c r="K5918" s="613" t="s">
        <v>6455</v>
      </c>
      <c r="L5918" s="613" t="s">
        <v>14103</v>
      </c>
      <c r="M5918" s="613">
        <v>10</v>
      </c>
      <c r="N5918" s="613">
        <v>10</v>
      </c>
      <c r="O5918" s="613">
        <v>15</v>
      </c>
      <c r="P5918" s="222">
        <v>0</v>
      </c>
      <c r="Q5918" s="222">
        <f t="shared" si="317"/>
        <v>5</v>
      </c>
      <c r="R5918" s="2212">
        <v>26.7</v>
      </c>
      <c r="S5918" s="1195">
        <f t="shared" si="315"/>
        <v>400.5</v>
      </c>
      <c r="T5918" s="222" t="s">
        <v>20035</v>
      </c>
      <c r="U5918" s="1527" t="s">
        <v>1886</v>
      </c>
      <c r="V5918" s="1850" t="s">
        <v>9064</v>
      </c>
      <c r="W5918" s="1543" t="s">
        <v>11140</v>
      </c>
      <c r="X5918" s="818"/>
      <c r="Y5918" s="1161"/>
    </row>
    <row r="5919" spans="1:25" ht="15.75" hidden="1" customHeight="1" outlineLevel="1">
      <c r="A5919" s="222">
        <f t="shared" si="314"/>
        <v>5928</v>
      </c>
      <c r="B5919" s="2193">
        <v>44833</v>
      </c>
      <c r="C5919" s="129" t="s">
        <v>16471</v>
      </c>
      <c r="D5919" s="11" t="s">
        <v>6</v>
      </c>
      <c r="E5919" s="818" t="s">
        <v>166</v>
      </c>
      <c r="F5919" s="129" t="s">
        <v>19975</v>
      </c>
      <c r="G5919" s="129" t="s">
        <v>14110</v>
      </c>
      <c r="H5919" s="129" t="s">
        <v>14111</v>
      </c>
      <c r="I5919" s="222" t="s">
        <v>4634</v>
      </c>
      <c r="J5919" s="613" t="s">
        <v>14112</v>
      </c>
      <c r="K5919" s="613" t="s">
        <v>14113</v>
      </c>
      <c r="L5919" s="129" t="s">
        <v>14114</v>
      </c>
      <c r="M5919" s="613">
        <v>4</v>
      </c>
      <c r="N5919" s="613">
        <v>4</v>
      </c>
      <c r="O5919" s="613">
        <v>10</v>
      </c>
      <c r="P5919" s="222">
        <v>0</v>
      </c>
      <c r="Q5919" s="222">
        <f t="shared" si="317"/>
        <v>6</v>
      </c>
      <c r="R5919" s="2212">
        <v>157.4</v>
      </c>
      <c r="S5919" s="1195">
        <f t="shared" si="315"/>
        <v>1574</v>
      </c>
      <c r="T5919" s="222" t="s">
        <v>20035</v>
      </c>
      <c r="U5919" s="1527" t="s">
        <v>1886</v>
      </c>
      <c r="V5919" s="1850" t="s">
        <v>9064</v>
      </c>
      <c r="W5919" s="1543" t="s">
        <v>14115</v>
      </c>
      <c r="X5919" s="818"/>
      <c r="Y5919" s="1161"/>
    </row>
    <row r="5920" spans="1:25" ht="15.75" hidden="1" customHeight="1" outlineLevel="1">
      <c r="A5920" s="222">
        <f t="shared" si="314"/>
        <v>5929</v>
      </c>
      <c r="B5920" s="2193">
        <v>44833</v>
      </c>
      <c r="C5920" s="613" t="s">
        <v>14116</v>
      </c>
      <c r="D5920" s="11" t="s">
        <v>6</v>
      </c>
      <c r="E5920" s="818" t="s">
        <v>166</v>
      </c>
      <c r="F5920" s="129" t="s">
        <v>19975</v>
      </c>
      <c r="G5920" s="613" t="s">
        <v>14117</v>
      </c>
      <c r="H5920" s="129" t="s">
        <v>1460</v>
      </c>
      <c r="I5920" s="222" t="s">
        <v>4634</v>
      </c>
      <c r="J5920" s="613" t="s">
        <v>14118</v>
      </c>
      <c r="K5920" s="613" t="s">
        <v>14119</v>
      </c>
      <c r="L5920" s="2196" t="s">
        <v>14120</v>
      </c>
      <c r="M5920" s="613">
        <v>2</v>
      </c>
      <c r="N5920" s="613">
        <v>2</v>
      </c>
      <c r="O5920" s="613">
        <v>5</v>
      </c>
      <c r="P5920" s="222">
        <v>0</v>
      </c>
      <c r="Q5920" s="222">
        <f t="shared" si="317"/>
        <v>3</v>
      </c>
      <c r="R5920" s="2212">
        <v>335.8</v>
      </c>
      <c r="S5920" s="1195">
        <f t="shared" si="315"/>
        <v>1679</v>
      </c>
      <c r="T5920" s="222" t="s">
        <v>20035</v>
      </c>
      <c r="U5920" s="1527" t="s">
        <v>1886</v>
      </c>
      <c r="V5920" s="1850" t="s">
        <v>9064</v>
      </c>
      <c r="W5920" s="2178" t="s">
        <v>14121</v>
      </c>
      <c r="X5920" s="818"/>
      <c r="Y5920" s="1161"/>
    </row>
    <row r="5921" spans="1:25" ht="15.75" hidden="1" customHeight="1" outlineLevel="1">
      <c r="A5921" s="222">
        <f t="shared" si="314"/>
        <v>5930</v>
      </c>
      <c r="B5921" s="2193">
        <v>44833</v>
      </c>
      <c r="C5921" s="613" t="s">
        <v>14122</v>
      </c>
      <c r="D5921" s="11" t="s">
        <v>6</v>
      </c>
      <c r="E5921" s="818" t="s">
        <v>166</v>
      </c>
      <c r="F5921" s="129" t="s">
        <v>19975</v>
      </c>
      <c r="G5921" s="613" t="s">
        <v>20051</v>
      </c>
      <c r="H5921" s="129" t="s">
        <v>460</v>
      </c>
      <c r="I5921" s="222" t="s">
        <v>4634</v>
      </c>
      <c r="J5921" s="613" t="s">
        <v>20052</v>
      </c>
      <c r="K5921" s="2195" t="s">
        <v>20053</v>
      </c>
      <c r="L5921" s="129" t="s">
        <v>14126</v>
      </c>
      <c r="M5921" s="613">
        <v>2</v>
      </c>
      <c r="N5921" s="613">
        <v>2</v>
      </c>
      <c r="O5921" s="613">
        <v>5</v>
      </c>
      <c r="P5921" s="222">
        <v>0</v>
      </c>
      <c r="Q5921" s="222">
        <f t="shared" si="317"/>
        <v>3</v>
      </c>
      <c r="R5921" s="2212">
        <v>241.7</v>
      </c>
      <c r="S5921" s="1195">
        <f t="shared" si="315"/>
        <v>1208.5</v>
      </c>
      <c r="T5921" s="222" t="s">
        <v>20035</v>
      </c>
      <c r="U5921" s="1527" t="s">
        <v>1886</v>
      </c>
      <c r="V5921" s="1850" t="s">
        <v>9064</v>
      </c>
      <c r="W5921" s="2178" t="s">
        <v>20054</v>
      </c>
      <c r="X5921" s="818"/>
      <c r="Y5921" s="1161"/>
    </row>
    <row r="5922" spans="1:25" ht="15.75" hidden="1" customHeight="1" outlineLevel="1">
      <c r="A5922" s="222">
        <f t="shared" si="314"/>
        <v>5931</v>
      </c>
      <c r="B5922" s="2193">
        <v>44833</v>
      </c>
      <c r="C5922" s="183" t="s">
        <v>14128</v>
      </c>
      <c r="D5922" s="11" t="s">
        <v>6</v>
      </c>
      <c r="E5922" s="818" t="s">
        <v>166</v>
      </c>
      <c r="F5922" s="129" t="s">
        <v>19975</v>
      </c>
      <c r="G5922" s="183" t="s">
        <v>14129</v>
      </c>
      <c r="H5922" s="183" t="s">
        <v>16190</v>
      </c>
      <c r="I5922" s="222" t="s">
        <v>4634</v>
      </c>
      <c r="J5922" s="613" t="s">
        <v>20055</v>
      </c>
      <c r="K5922" s="183" t="s">
        <v>20056</v>
      </c>
      <c r="L5922" s="183" t="s">
        <v>1907</v>
      </c>
      <c r="M5922" s="613">
        <v>4</v>
      </c>
      <c r="N5922" s="613">
        <v>4</v>
      </c>
      <c r="O5922" s="613">
        <v>10</v>
      </c>
      <c r="P5922" s="222">
        <v>0</v>
      </c>
      <c r="Q5922" s="222">
        <f t="shared" si="317"/>
        <v>6</v>
      </c>
      <c r="R5922" s="2212">
        <v>64.599999999999994</v>
      </c>
      <c r="S5922" s="1195">
        <f t="shared" si="315"/>
        <v>646</v>
      </c>
      <c r="T5922" s="222" t="s">
        <v>20035</v>
      </c>
      <c r="U5922" s="1527" t="s">
        <v>1886</v>
      </c>
      <c r="V5922" s="1850" t="s">
        <v>9064</v>
      </c>
      <c r="W5922" s="2178" t="s">
        <v>20057</v>
      </c>
      <c r="X5922" s="818"/>
      <c r="Y5922" s="1161"/>
    </row>
    <row r="5923" spans="1:25" ht="15.75" hidden="1" customHeight="1" outlineLevel="1">
      <c r="A5923" s="222">
        <f t="shared" si="314"/>
        <v>5932</v>
      </c>
      <c r="B5923" s="2193">
        <v>44833</v>
      </c>
      <c r="C5923" s="129" t="s">
        <v>20058</v>
      </c>
      <c r="D5923" s="11" t="s">
        <v>6</v>
      </c>
      <c r="E5923" s="818" t="s">
        <v>166</v>
      </c>
      <c r="F5923" s="129" t="s">
        <v>19975</v>
      </c>
      <c r="G5923" s="613" t="s">
        <v>14133</v>
      </c>
      <c r="H5923" s="129" t="s">
        <v>14134</v>
      </c>
      <c r="I5923" s="222" t="s">
        <v>4634</v>
      </c>
      <c r="J5923" s="613" t="s">
        <v>4790</v>
      </c>
      <c r="K5923" s="613" t="s">
        <v>1911</v>
      </c>
      <c r="L5923" s="613" t="s">
        <v>14137</v>
      </c>
      <c r="M5923" s="2211">
        <v>2</v>
      </c>
      <c r="N5923" s="2211">
        <v>2</v>
      </c>
      <c r="O5923" s="613">
        <v>5</v>
      </c>
      <c r="P5923" s="222">
        <v>0</v>
      </c>
      <c r="Q5923" s="222">
        <f t="shared" si="317"/>
        <v>3</v>
      </c>
      <c r="R5923" s="2213">
        <v>3526.6</v>
      </c>
      <c r="S5923" s="1195">
        <f t="shared" si="315"/>
        <v>17633</v>
      </c>
      <c r="T5923" s="222" t="s">
        <v>20035</v>
      </c>
      <c r="U5923" s="1527" t="s">
        <v>1886</v>
      </c>
      <c r="V5923" s="1850" t="s">
        <v>9064</v>
      </c>
      <c r="W5923" s="1543" t="s">
        <v>14138</v>
      </c>
      <c r="X5923" s="818"/>
      <c r="Y5923" s="1161"/>
    </row>
    <row r="5924" spans="1:25" ht="15.75" hidden="1" customHeight="1" outlineLevel="1">
      <c r="A5924" s="222">
        <f t="shared" si="314"/>
        <v>5933</v>
      </c>
      <c r="B5924" s="2193">
        <v>44833</v>
      </c>
      <c r="C5924" s="129" t="s">
        <v>10495</v>
      </c>
      <c r="D5924" s="11" t="s">
        <v>6</v>
      </c>
      <c r="E5924" s="818" t="s">
        <v>166</v>
      </c>
      <c r="F5924" s="129" t="s">
        <v>19975</v>
      </c>
      <c r="G5924" s="2199" t="s">
        <v>14219</v>
      </c>
      <c r="H5924" s="129" t="s">
        <v>752</v>
      </c>
      <c r="I5924" s="222" t="s">
        <v>4634</v>
      </c>
      <c r="J5924" s="613" t="s">
        <v>17780</v>
      </c>
      <c r="K5924" s="2197" t="s">
        <v>14221</v>
      </c>
      <c r="L5924" s="743" t="s">
        <v>14222</v>
      </c>
      <c r="M5924" s="2211">
        <v>2</v>
      </c>
      <c r="N5924" s="2211">
        <v>2</v>
      </c>
      <c r="O5924" s="613">
        <v>5</v>
      </c>
      <c r="P5924" s="222">
        <v>0</v>
      </c>
      <c r="Q5924" s="222">
        <f t="shared" si="317"/>
        <v>3</v>
      </c>
      <c r="R5924" s="2213">
        <v>2912.6</v>
      </c>
      <c r="S5924" s="1195">
        <f t="shared" si="315"/>
        <v>14563</v>
      </c>
      <c r="T5924" s="222" t="s">
        <v>20035</v>
      </c>
      <c r="U5924" s="1527" t="s">
        <v>1886</v>
      </c>
      <c r="V5924" s="1850" t="s">
        <v>9064</v>
      </c>
      <c r="W5924" s="1543" t="s">
        <v>17781</v>
      </c>
      <c r="X5924" s="818"/>
      <c r="Y5924" s="1161"/>
    </row>
    <row r="5925" spans="1:25" ht="15.75" hidden="1" customHeight="1" outlineLevel="1">
      <c r="A5925" s="222">
        <f t="shared" si="314"/>
        <v>5934</v>
      </c>
      <c r="B5925" s="2193">
        <v>44833</v>
      </c>
      <c r="C5925" s="183" t="s">
        <v>152</v>
      </c>
      <c r="D5925" s="11" t="s">
        <v>6</v>
      </c>
      <c r="E5925" s="818" t="s">
        <v>166</v>
      </c>
      <c r="F5925" s="129" t="s">
        <v>19975</v>
      </c>
      <c r="G5925" s="2197" t="s">
        <v>15160</v>
      </c>
      <c r="H5925" s="183" t="s">
        <v>166</v>
      </c>
      <c r="I5925" s="222" t="s">
        <v>4634</v>
      </c>
      <c r="J5925" s="613" t="s">
        <v>15161</v>
      </c>
      <c r="K5925" s="613" t="s">
        <v>15162</v>
      </c>
      <c r="L5925" s="183" t="s">
        <v>8980</v>
      </c>
      <c r="M5925" s="2211">
        <v>2</v>
      </c>
      <c r="N5925" s="2211">
        <v>2</v>
      </c>
      <c r="O5925" s="613">
        <v>5</v>
      </c>
      <c r="P5925" s="222">
        <v>0</v>
      </c>
      <c r="Q5925" s="222">
        <f t="shared" si="317"/>
        <v>3</v>
      </c>
      <c r="R5925" s="2213">
        <v>14.1</v>
      </c>
      <c r="S5925" s="1195">
        <f t="shared" si="315"/>
        <v>70.5</v>
      </c>
      <c r="T5925" s="222" t="s">
        <v>20035</v>
      </c>
      <c r="U5925" s="1527" t="s">
        <v>1886</v>
      </c>
      <c r="V5925" s="1850" t="s">
        <v>9064</v>
      </c>
      <c r="W5925" s="2178" t="s">
        <v>15163</v>
      </c>
      <c r="X5925" s="818"/>
      <c r="Y5925" s="1161"/>
    </row>
    <row r="5926" spans="1:25" ht="15.75" hidden="1" customHeight="1" outlineLevel="1">
      <c r="A5926" s="222">
        <f t="shared" si="314"/>
        <v>5935</v>
      </c>
      <c r="B5926" s="2193">
        <v>44833</v>
      </c>
      <c r="C5926" s="129" t="s">
        <v>16489</v>
      </c>
      <c r="D5926" s="11" t="s">
        <v>6</v>
      </c>
      <c r="E5926" s="818" t="s">
        <v>166</v>
      </c>
      <c r="F5926" s="129" t="s">
        <v>19975</v>
      </c>
      <c r="G5926" s="613" t="s">
        <v>16490</v>
      </c>
      <c r="H5926" s="129" t="s">
        <v>332</v>
      </c>
      <c r="I5926" s="222" t="s">
        <v>4634</v>
      </c>
      <c r="J5926" s="613" t="s">
        <v>15165</v>
      </c>
      <c r="K5926" s="613" t="s">
        <v>15166</v>
      </c>
      <c r="L5926" s="129" t="s">
        <v>8980</v>
      </c>
      <c r="M5926" s="2211">
        <v>12</v>
      </c>
      <c r="N5926" s="2211">
        <v>12</v>
      </c>
      <c r="O5926" s="613">
        <v>20</v>
      </c>
      <c r="P5926" s="222">
        <v>0</v>
      </c>
      <c r="Q5926" s="222">
        <f t="shared" si="317"/>
        <v>8</v>
      </c>
      <c r="R5926" s="2213">
        <v>39.299999999999997</v>
      </c>
      <c r="S5926" s="1195">
        <f t="shared" si="315"/>
        <v>786</v>
      </c>
      <c r="T5926" s="222" t="s">
        <v>20035</v>
      </c>
      <c r="U5926" s="1527" t="s">
        <v>1886</v>
      </c>
      <c r="V5926" s="1850" t="s">
        <v>9064</v>
      </c>
      <c r="W5926" s="1543" t="s">
        <v>15167</v>
      </c>
      <c r="X5926" s="818"/>
      <c r="Y5926" s="1161"/>
    </row>
    <row r="5927" spans="1:25" ht="15.75" hidden="1" customHeight="1" outlineLevel="1">
      <c r="A5927" s="222">
        <f t="shared" ref="A5927:A5990" si="318">+A5926+1</f>
        <v>5936</v>
      </c>
      <c r="B5927" s="2193">
        <v>44833</v>
      </c>
      <c r="C5927" s="129" t="s">
        <v>8769</v>
      </c>
      <c r="D5927" s="11" t="s">
        <v>6</v>
      </c>
      <c r="E5927" s="818" t="s">
        <v>166</v>
      </c>
      <c r="F5927" s="129" t="s">
        <v>19975</v>
      </c>
      <c r="G5927" s="613" t="s">
        <v>16491</v>
      </c>
      <c r="H5927" s="129" t="s">
        <v>144</v>
      </c>
      <c r="I5927" s="222" t="s">
        <v>4634</v>
      </c>
      <c r="J5927" s="613" t="s">
        <v>14046</v>
      </c>
      <c r="K5927" s="613" t="s">
        <v>14047</v>
      </c>
      <c r="L5927" s="129" t="s">
        <v>14048</v>
      </c>
      <c r="M5927" s="2211">
        <v>4</v>
      </c>
      <c r="N5927" s="2211">
        <v>4</v>
      </c>
      <c r="O5927" s="613">
        <v>10</v>
      </c>
      <c r="P5927" s="222">
        <v>0</v>
      </c>
      <c r="Q5927" s="222">
        <f t="shared" si="317"/>
        <v>6</v>
      </c>
      <c r="R5927" s="2213">
        <v>140.5</v>
      </c>
      <c r="S5927" s="1195">
        <f t="shared" si="315"/>
        <v>1405</v>
      </c>
      <c r="T5927" s="222" t="s">
        <v>20035</v>
      </c>
      <c r="U5927" s="1527" t="s">
        <v>1886</v>
      </c>
      <c r="V5927" s="1850" t="s">
        <v>9064</v>
      </c>
      <c r="W5927" s="2178" t="s">
        <v>14049</v>
      </c>
      <c r="X5927" s="818"/>
      <c r="Y5927" s="1161"/>
    </row>
    <row r="5928" spans="1:25" ht="15.75" hidden="1" customHeight="1" outlineLevel="1">
      <c r="A5928" s="222">
        <f t="shared" si="318"/>
        <v>5937</v>
      </c>
      <c r="B5928" s="2193">
        <v>44833</v>
      </c>
      <c r="C5928" s="129" t="s">
        <v>329</v>
      </c>
      <c r="D5928" s="11" t="s">
        <v>6</v>
      </c>
      <c r="E5928" s="818" t="s">
        <v>166</v>
      </c>
      <c r="F5928" s="129" t="s">
        <v>19975</v>
      </c>
      <c r="G5928" s="613" t="s">
        <v>16494</v>
      </c>
      <c r="H5928" s="129" t="s">
        <v>332</v>
      </c>
      <c r="I5928" s="222" t="s">
        <v>4634</v>
      </c>
      <c r="J5928" s="613" t="s">
        <v>15169</v>
      </c>
      <c r="K5928" s="613" t="s">
        <v>15170</v>
      </c>
      <c r="L5928" s="129" t="s">
        <v>8980</v>
      </c>
      <c r="M5928" s="613">
        <v>12</v>
      </c>
      <c r="N5928" s="613">
        <v>12</v>
      </c>
      <c r="O5928" s="613">
        <v>20</v>
      </c>
      <c r="P5928" s="222">
        <v>0</v>
      </c>
      <c r="Q5928" s="222">
        <f t="shared" si="317"/>
        <v>8</v>
      </c>
      <c r="R5928" s="2212">
        <v>30.9</v>
      </c>
      <c r="S5928" s="1195">
        <f t="shared" si="315"/>
        <v>618</v>
      </c>
      <c r="T5928" s="222" t="s">
        <v>20035</v>
      </c>
      <c r="U5928" s="1527" t="s">
        <v>1886</v>
      </c>
      <c r="V5928" s="1850" t="s">
        <v>9064</v>
      </c>
      <c r="W5928" s="1543" t="s">
        <v>15171</v>
      </c>
      <c r="X5928" s="818"/>
      <c r="Y5928" s="1161"/>
    </row>
    <row r="5929" spans="1:25" ht="15.75" hidden="1" customHeight="1" outlineLevel="1">
      <c r="A5929" s="222">
        <f t="shared" si="318"/>
        <v>5938</v>
      </c>
      <c r="B5929" s="2193">
        <v>44833</v>
      </c>
      <c r="C5929" s="183" t="s">
        <v>15195</v>
      </c>
      <c r="D5929" s="11" t="s">
        <v>6</v>
      </c>
      <c r="E5929" s="818" t="s">
        <v>166</v>
      </c>
      <c r="F5929" s="129" t="s">
        <v>19975</v>
      </c>
      <c r="G5929" s="183" t="s">
        <v>15196</v>
      </c>
      <c r="H5929" s="129" t="s">
        <v>460</v>
      </c>
      <c r="I5929" s="222" t="s">
        <v>4634</v>
      </c>
      <c r="J5929" s="2195" t="s">
        <v>15197</v>
      </c>
      <c r="K5929" s="613" t="s">
        <v>15198</v>
      </c>
      <c r="L5929" s="2197" t="s">
        <v>15193</v>
      </c>
      <c r="M5929" s="613">
        <v>6</v>
      </c>
      <c r="N5929" s="613">
        <v>6</v>
      </c>
      <c r="O5929" s="613">
        <v>10</v>
      </c>
      <c r="P5929" s="222">
        <v>0</v>
      </c>
      <c r="Q5929" s="222">
        <f t="shared" si="317"/>
        <v>4</v>
      </c>
      <c r="R5929" s="2212">
        <v>60.4</v>
      </c>
      <c r="S5929" s="1195">
        <f t="shared" si="315"/>
        <v>604</v>
      </c>
      <c r="T5929" s="222" t="s">
        <v>20035</v>
      </c>
      <c r="U5929" s="1527" t="s">
        <v>1886</v>
      </c>
      <c r="V5929" s="1850" t="s">
        <v>9064</v>
      </c>
      <c r="W5929" s="2178" t="s">
        <v>15199</v>
      </c>
      <c r="X5929" s="818"/>
      <c r="Y5929" s="1161"/>
    </row>
    <row r="5930" spans="1:25" ht="15.75" hidden="1" customHeight="1" outlineLevel="1">
      <c r="A5930" s="222">
        <f t="shared" si="318"/>
        <v>5939</v>
      </c>
      <c r="B5930" s="2193">
        <v>44833</v>
      </c>
      <c r="C5930" s="613" t="s">
        <v>14139</v>
      </c>
      <c r="D5930" s="11" t="s">
        <v>6</v>
      </c>
      <c r="E5930" s="818" t="s">
        <v>166</v>
      </c>
      <c r="F5930" s="129" t="s">
        <v>19975</v>
      </c>
      <c r="G5930" s="613" t="s">
        <v>14140</v>
      </c>
      <c r="H5930" s="129" t="s">
        <v>243</v>
      </c>
      <c r="I5930" s="222" t="s">
        <v>4634</v>
      </c>
      <c r="J5930" s="613" t="s">
        <v>14141</v>
      </c>
      <c r="K5930" s="613" t="s">
        <v>14142</v>
      </c>
      <c r="L5930" s="613" t="s">
        <v>14143</v>
      </c>
      <c r="M5930" s="613">
        <v>10</v>
      </c>
      <c r="N5930" s="613">
        <v>10</v>
      </c>
      <c r="O5930" s="613">
        <v>15</v>
      </c>
      <c r="P5930" s="222">
        <v>0</v>
      </c>
      <c r="Q5930" s="222">
        <f t="shared" si="317"/>
        <v>5</v>
      </c>
      <c r="R5930" s="2212">
        <v>733.4</v>
      </c>
      <c r="S5930" s="1195">
        <f t="shared" si="315"/>
        <v>11001</v>
      </c>
      <c r="T5930" s="222" t="s">
        <v>20035</v>
      </c>
      <c r="U5930" s="1527" t="s">
        <v>1886</v>
      </c>
      <c r="V5930" s="1850" t="s">
        <v>9064</v>
      </c>
      <c r="W5930" s="1543" t="s">
        <v>14144</v>
      </c>
      <c r="X5930" s="818"/>
      <c r="Y5930" s="1161"/>
    </row>
    <row r="5931" spans="1:25" ht="15.75" hidden="1" customHeight="1" outlineLevel="1">
      <c r="A5931" s="222">
        <f t="shared" si="318"/>
        <v>5940</v>
      </c>
      <c r="B5931" s="2193">
        <v>44833</v>
      </c>
      <c r="C5931" s="183" t="s">
        <v>18649</v>
      </c>
      <c r="D5931" s="11" t="s">
        <v>6</v>
      </c>
      <c r="E5931" s="818" t="s">
        <v>166</v>
      </c>
      <c r="F5931" s="129" t="s">
        <v>19975</v>
      </c>
      <c r="G5931" s="2197" t="s">
        <v>6493</v>
      </c>
      <c r="H5931" s="129" t="s">
        <v>1039</v>
      </c>
      <c r="I5931" s="222" t="s">
        <v>4634</v>
      </c>
      <c r="J5931" s="183" t="s">
        <v>20059</v>
      </c>
      <c r="K5931" s="183" t="s">
        <v>20060</v>
      </c>
      <c r="L5931" s="743" t="s">
        <v>18651</v>
      </c>
      <c r="M5931" s="2211">
        <v>12</v>
      </c>
      <c r="N5931" s="2211">
        <v>12</v>
      </c>
      <c r="O5931" s="613">
        <v>15</v>
      </c>
      <c r="P5931" s="222">
        <v>0</v>
      </c>
      <c r="Q5931" s="222">
        <f t="shared" si="317"/>
        <v>3</v>
      </c>
      <c r="R5931" s="2213">
        <v>195.3</v>
      </c>
      <c r="S5931" s="1195">
        <f t="shared" si="315"/>
        <v>2929.5</v>
      </c>
      <c r="T5931" s="222" t="s">
        <v>20035</v>
      </c>
      <c r="U5931" s="1527" t="s">
        <v>1886</v>
      </c>
      <c r="V5931" s="1850" t="s">
        <v>9064</v>
      </c>
      <c r="W5931" s="2178" t="s">
        <v>20061</v>
      </c>
      <c r="X5931" s="818"/>
      <c r="Y5931" s="1161"/>
    </row>
    <row r="5932" spans="1:25" ht="15.75" hidden="1" customHeight="1" outlineLevel="1">
      <c r="A5932" s="222">
        <f t="shared" si="318"/>
        <v>5941</v>
      </c>
      <c r="B5932" s="2193">
        <v>44833</v>
      </c>
      <c r="C5932" s="129" t="s">
        <v>16442</v>
      </c>
      <c r="D5932" s="11" t="s">
        <v>6</v>
      </c>
      <c r="E5932" s="818" t="s">
        <v>166</v>
      </c>
      <c r="F5932" s="129" t="s">
        <v>19975</v>
      </c>
      <c r="G5932" s="183" t="s">
        <v>16443</v>
      </c>
      <c r="H5932" s="183" t="s">
        <v>817</v>
      </c>
      <c r="I5932" s="222" t="s">
        <v>20062</v>
      </c>
      <c r="J5932" s="183" t="s">
        <v>16445</v>
      </c>
      <c r="K5932" s="183" t="s">
        <v>16446</v>
      </c>
      <c r="L5932" s="1522" t="s">
        <v>14120</v>
      </c>
      <c r="M5932" s="2223">
        <v>2</v>
      </c>
      <c r="N5932" s="2223">
        <v>2</v>
      </c>
      <c r="O5932" s="613">
        <v>10</v>
      </c>
      <c r="P5932" s="222">
        <v>0</v>
      </c>
      <c r="Q5932" s="222">
        <f t="shared" si="317"/>
        <v>8</v>
      </c>
      <c r="R5932" s="2191">
        <v>83</v>
      </c>
      <c r="S5932" s="1195">
        <f t="shared" si="315"/>
        <v>830</v>
      </c>
      <c r="T5932" s="222" t="s">
        <v>20035</v>
      </c>
      <c r="U5932" s="1527" t="s">
        <v>1886</v>
      </c>
      <c r="V5932" s="1850" t="s">
        <v>9064</v>
      </c>
      <c r="W5932" s="2178" t="s">
        <v>16447</v>
      </c>
      <c r="X5932" s="818"/>
      <c r="Y5932" s="1161"/>
    </row>
    <row r="5933" spans="1:25" ht="15.75" hidden="1" customHeight="1" outlineLevel="1">
      <c r="A5933" s="222">
        <f t="shared" si="318"/>
        <v>5942</v>
      </c>
      <c r="B5933" s="2193">
        <v>44833</v>
      </c>
      <c r="C5933" s="613" t="s">
        <v>18653</v>
      </c>
      <c r="D5933" s="11" t="s">
        <v>6</v>
      </c>
      <c r="E5933" s="818" t="s">
        <v>166</v>
      </c>
      <c r="F5933" s="129" t="s">
        <v>19975</v>
      </c>
      <c r="G5933" s="613" t="s">
        <v>14209</v>
      </c>
      <c r="H5933" s="129" t="s">
        <v>14210</v>
      </c>
      <c r="I5933" s="222" t="s">
        <v>4634</v>
      </c>
      <c r="J5933" s="613" t="s">
        <v>14211</v>
      </c>
      <c r="K5933" s="613">
        <v>61302211021</v>
      </c>
      <c r="L5933" s="2196" t="s">
        <v>14120</v>
      </c>
      <c r="M5933" s="613">
        <v>8</v>
      </c>
      <c r="N5933" s="613">
        <v>8</v>
      </c>
      <c r="O5933" s="613">
        <v>10</v>
      </c>
      <c r="P5933" s="222">
        <v>0</v>
      </c>
      <c r="Q5933" s="222">
        <f t="shared" si="317"/>
        <v>2</v>
      </c>
      <c r="R5933" s="2212">
        <v>184.1</v>
      </c>
      <c r="S5933" s="1195">
        <f t="shared" si="315"/>
        <v>1841</v>
      </c>
      <c r="T5933" s="222" t="s">
        <v>20035</v>
      </c>
      <c r="U5933" s="1527" t="s">
        <v>1886</v>
      </c>
      <c r="V5933" s="1850" t="s">
        <v>9064</v>
      </c>
      <c r="W5933" s="1543" t="s">
        <v>14212</v>
      </c>
      <c r="X5933" s="818"/>
      <c r="Y5933" s="1161"/>
    </row>
    <row r="5934" spans="1:25" ht="15.75" hidden="1" customHeight="1" outlineLevel="1">
      <c r="A5934" s="222">
        <f t="shared" si="318"/>
        <v>5943</v>
      </c>
      <c r="B5934" s="2193">
        <v>44833</v>
      </c>
      <c r="C5934" s="183" t="s">
        <v>16506</v>
      </c>
      <c r="D5934" s="11" t="s">
        <v>6</v>
      </c>
      <c r="E5934" s="818" t="s">
        <v>166</v>
      </c>
      <c r="F5934" s="129" t="s">
        <v>19975</v>
      </c>
      <c r="G5934" s="183" t="s">
        <v>20063</v>
      </c>
      <c r="H5934" s="2198" t="s">
        <v>20064</v>
      </c>
      <c r="I5934" s="222" t="s">
        <v>4634</v>
      </c>
      <c r="J5934" s="613" t="s">
        <v>20065</v>
      </c>
      <c r="K5934" s="613">
        <v>1716030000</v>
      </c>
      <c r="L5934" s="2196" t="s">
        <v>14120</v>
      </c>
      <c r="M5934" s="1193">
        <v>2</v>
      </c>
      <c r="N5934" s="1193">
        <v>2</v>
      </c>
      <c r="O5934" s="613">
        <v>5</v>
      </c>
      <c r="P5934" s="222">
        <v>0</v>
      </c>
      <c r="Q5934" s="222">
        <f t="shared" si="317"/>
        <v>3</v>
      </c>
      <c r="R5934" s="2192">
        <v>193.9</v>
      </c>
      <c r="S5934" s="1195">
        <f t="shared" si="315"/>
        <v>969.5</v>
      </c>
      <c r="T5934" s="222" t="s">
        <v>20035</v>
      </c>
      <c r="U5934" s="1527" t="s">
        <v>1886</v>
      </c>
      <c r="V5934" s="1850" t="s">
        <v>9064</v>
      </c>
      <c r="W5934" s="2178" t="s">
        <v>20066</v>
      </c>
      <c r="X5934" s="818"/>
      <c r="Y5934" s="1161"/>
    </row>
    <row r="5935" spans="1:25" ht="15.75" hidden="1" customHeight="1" outlineLevel="1">
      <c r="A5935" s="222">
        <f t="shared" si="318"/>
        <v>5944</v>
      </c>
      <c r="B5935" s="2193">
        <v>44833</v>
      </c>
      <c r="C5935" s="183" t="s">
        <v>16495</v>
      </c>
      <c r="D5935" s="2254"/>
      <c r="E5935" s="818" t="s">
        <v>166</v>
      </c>
      <c r="F5935" s="129" t="s">
        <v>19975</v>
      </c>
      <c r="G5935" s="613" t="s">
        <v>16496</v>
      </c>
      <c r="H5935" s="183" t="s">
        <v>1143</v>
      </c>
      <c r="I5935" s="222" t="s">
        <v>4634</v>
      </c>
      <c r="J5935" s="183" t="s">
        <v>16497</v>
      </c>
      <c r="K5935" s="183" t="s">
        <v>16498</v>
      </c>
      <c r="L5935" s="2196" t="s">
        <v>14120</v>
      </c>
      <c r="M5935" s="2211">
        <v>2</v>
      </c>
      <c r="N5935" s="2211">
        <v>2</v>
      </c>
      <c r="O5935" s="613">
        <v>5</v>
      </c>
      <c r="P5935" s="222">
        <v>0</v>
      </c>
      <c r="Q5935" s="222">
        <f t="shared" si="317"/>
        <v>3</v>
      </c>
      <c r="R5935" s="2213">
        <v>136.30000000000001</v>
      </c>
      <c r="S5935" s="1195">
        <f t="shared" si="315"/>
        <v>681.5</v>
      </c>
      <c r="T5935" s="222" t="s">
        <v>20035</v>
      </c>
      <c r="U5935" s="1527" t="s">
        <v>1886</v>
      </c>
      <c r="V5935" s="1850" t="s">
        <v>9064</v>
      </c>
      <c r="W5935" s="2178" t="s">
        <v>16500</v>
      </c>
      <c r="X5935" s="818"/>
      <c r="Y5935" s="1161"/>
    </row>
    <row r="5936" spans="1:25" ht="15.75" hidden="1" customHeight="1" outlineLevel="1">
      <c r="A5936" s="222">
        <f t="shared" si="318"/>
        <v>5945</v>
      </c>
      <c r="B5936" s="2193">
        <v>44833</v>
      </c>
      <c r="C5936" s="183" t="s">
        <v>16501</v>
      </c>
      <c r="D5936" s="2254"/>
      <c r="E5936" s="818" t="s">
        <v>166</v>
      </c>
      <c r="F5936" s="129" t="s">
        <v>19975</v>
      </c>
      <c r="G5936" s="183" t="s">
        <v>16502</v>
      </c>
      <c r="H5936" s="183" t="s">
        <v>10376</v>
      </c>
      <c r="I5936" s="222" t="s">
        <v>4634</v>
      </c>
      <c r="J5936" s="183" t="s">
        <v>16503</v>
      </c>
      <c r="K5936" s="183" t="s">
        <v>16504</v>
      </c>
      <c r="L5936" s="183" t="s">
        <v>7002</v>
      </c>
      <c r="M5936" s="613">
        <v>4</v>
      </c>
      <c r="N5936" s="613">
        <v>4</v>
      </c>
      <c r="O5936" s="613">
        <v>4</v>
      </c>
      <c r="P5936" s="222">
        <v>0</v>
      </c>
      <c r="Q5936" s="222">
        <f t="shared" si="317"/>
        <v>0</v>
      </c>
      <c r="R5936" s="2215">
        <v>1228</v>
      </c>
      <c r="S5936" s="1195">
        <f t="shared" si="315"/>
        <v>4912</v>
      </c>
      <c r="T5936" s="222" t="s">
        <v>20035</v>
      </c>
      <c r="U5936" s="1527" t="s">
        <v>1886</v>
      </c>
      <c r="V5936" s="1850" t="s">
        <v>9064</v>
      </c>
      <c r="W5936" s="2178" t="s">
        <v>16505</v>
      </c>
      <c r="X5936" s="818"/>
      <c r="Y5936" s="1161"/>
    </row>
    <row r="5937" spans="1:52" s="2231" customFormat="1" ht="15.75" hidden="1" customHeight="1" outlineLevel="1">
      <c r="A5937" s="646">
        <f t="shared" si="318"/>
        <v>5946</v>
      </c>
      <c r="B5937" s="2227">
        <v>44833</v>
      </c>
      <c r="C5937" s="646" t="s">
        <v>20067</v>
      </c>
      <c r="D5937" s="231" t="s">
        <v>6</v>
      </c>
      <c r="E5937" s="1485" t="s">
        <v>166</v>
      </c>
      <c r="F5937" s="1489" t="s">
        <v>19975</v>
      </c>
      <c r="G5937" s="608" t="s">
        <v>14105</v>
      </c>
      <c r="H5937" s="1489" t="s">
        <v>230</v>
      </c>
      <c r="I5937" s="646" t="s">
        <v>4634</v>
      </c>
      <c r="J5937" s="608" t="s">
        <v>20068</v>
      </c>
      <c r="K5937" s="608" t="s">
        <v>20069</v>
      </c>
      <c r="L5937" s="608" t="s">
        <v>20070</v>
      </c>
      <c r="M5937" s="608">
        <v>2</v>
      </c>
      <c r="N5937" s="608">
        <v>2</v>
      </c>
      <c r="O5937" s="608">
        <v>5</v>
      </c>
      <c r="P5937" s="646">
        <v>0</v>
      </c>
      <c r="Q5937" s="646">
        <f t="shared" si="317"/>
        <v>3</v>
      </c>
      <c r="R5937" s="2228">
        <v>947</v>
      </c>
      <c r="S5937" s="1486">
        <f t="shared" si="315"/>
        <v>4735</v>
      </c>
      <c r="T5937" s="646" t="s">
        <v>20035</v>
      </c>
      <c r="U5937" s="1966" t="s">
        <v>1886</v>
      </c>
      <c r="V5937" s="2229" t="s">
        <v>9064</v>
      </c>
      <c r="W5937" s="2230" t="s">
        <v>20071</v>
      </c>
      <c r="X5937" s="1485"/>
      <c r="Y5937" s="1490"/>
      <c r="Z5937" s="459"/>
      <c r="AA5937" s="459"/>
      <c r="AB5937" s="459"/>
      <c r="AC5937" s="459"/>
      <c r="AD5937" s="459"/>
      <c r="AE5937" s="459"/>
      <c r="AF5937" s="459"/>
      <c r="AG5937" s="459"/>
      <c r="AH5937" s="459"/>
      <c r="AI5937" s="459"/>
      <c r="AJ5937" s="459"/>
      <c r="AK5937" s="459"/>
      <c r="AL5937" s="459"/>
      <c r="AM5937" s="459"/>
      <c r="AN5937" s="459"/>
      <c r="AO5937" s="459"/>
      <c r="AP5937" s="459"/>
      <c r="AQ5937" s="459"/>
      <c r="AR5937" s="459"/>
      <c r="AS5937" s="459"/>
      <c r="AT5937" s="459"/>
      <c r="AU5937" s="459"/>
      <c r="AV5937" s="459"/>
      <c r="AW5937" s="459"/>
      <c r="AX5937" s="459"/>
      <c r="AY5937" s="459"/>
      <c r="AZ5937" s="459"/>
    </row>
    <row r="5938" spans="1:52" ht="15.75" hidden="1" customHeight="1" outlineLevel="1">
      <c r="A5938" s="222">
        <f t="shared" si="318"/>
        <v>5947</v>
      </c>
      <c r="B5938" s="2193">
        <v>44833</v>
      </c>
      <c r="C5938" s="183" t="s">
        <v>16508</v>
      </c>
      <c r="D5938" s="1445"/>
      <c r="E5938" s="818" t="s">
        <v>166</v>
      </c>
      <c r="F5938" s="129" t="s">
        <v>19975</v>
      </c>
      <c r="G5938" s="183" t="s">
        <v>15224</v>
      </c>
      <c r="H5938" s="183" t="s">
        <v>249</v>
      </c>
      <c r="I5938" s="222" t="s">
        <v>4634</v>
      </c>
      <c r="J5938" s="613" t="s">
        <v>15225</v>
      </c>
      <c r="K5938" s="613" t="s">
        <v>15226</v>
      </c>
      <c r="L5938" s="2196" t="s">
        <v>14120</v>
      </c>
      <c r="M5938" s="613">
        <v>2</v>
      </c>
      <c r="N5938" s="613">
        <v>2</v>
      </c>
      <c r="O5938" s="613">
        <v>5</v>
      </c>
      <c r="P5938" s="222">
        <v>0</v>
      </c>
      <c r="Q5938" s="222">
        <f t="shared" si="317"/>
        <v>3</v>
      </c>
      <c r="R5938" s="2212">
        <v>349.8</v>
      </c>
      <c r="S5938" s="1195">
        <f t="shared" si="315"/>
        <v>1749</v>
      </c>
      <c r="T5938" s="222" t="s">
        <v>20035</v>
      </c>
      <c r="U5938" s="1527" t="s">
        <v>1886</v>
      </c>
      <c r="V5938" s="1850" t="s">
        <v>9064</v>
      </c>
      <c r="W5938" s="2178" t="s">
        <v>15227</v>
      </c>
      <c r="X5938" s="818"/>
      <c r="Y5938" s="1161"/>
    </row>
    <row r="5939" spans="1:52" ht="15.75" hidden="1" customHeight="1" outlineLevel="1">
      <c r="A5939" s="222">
        <f t="shared" si="318"/>
        <v>5948</v>
      </c>
      <c r="B5939" s="2193">
        <v>44833</v>
      </c>
      <c r="C5939" s="183" t="s">
        <v>16508</v>
      </c>
      <c r="D5939" s="1445"/>
      <c r="E5939" s="818" t="s">
        <v>166</v>
      </c>
      <c r="F5939" s="129" t="s">
        <v>19975</v>
      </c>
      <c r="G5939" s="183" t="s">
        <v>15224</v>
      </c>
      <c r="H5939" s="183" t="s">
        <v>249</v>
      </c>
      <c r="I5939" s="222" t="s">
        <v>4634</v>
      </c>
      <c r="J5939" s="613" t="s">
        <v>15225</v>
      </c>
      <c r="K5939" s="613" t="s">
        <v>15226</v>
      </c>
      <c r="L5939" s="2196" t="s">
        <v>14120</v>
      </c>
      <c r="M5939" s="2211">
        <v>2</v>
      </c>
      <c r="N5939" s="2211">
        <v>2</v>
      </c>
      <c r="O5939" s="613">
        <v>5</v>
      </c>
      <c r="P5939" s="222">
        <v>0</v>
      </c>
      <c r="Q5939" s="222">
        <f t="shared" si="317"/>
        <v>3</v>
      </c>
      <c r="R5939" s="2213">
        <v>349.8</v>
      </c>
      <c r="S5939" s="1195">
        <f t="shared" si="315"/>
        <v>1749</v>
      </c>
      <c r="T5939" s="222" t="s">
        <v>20035</v>
      </c>
      <c r="U5939" s="1527" t="s">
        <v>1886</v>
      </c>
      <c r="V5939" s="1850" t="s">
        <v>9064</v>
      </c>
      <c r="W5939" s="2178" t="s">
        <v>15227</v>
      </c>
      <c r="X5939" s="818"/>
      <c r="Y5939" s="1161"/>
    </row>
    <row r="5940" spans="1:52" ht="15.75" hidden="1" customHeight="1" outlineLevel="1">
      <c r="A5940" s="222">
        <f t="shared" si="318"/>
        <v>5949</v>
      </c>
      <c r="B5940" s="2193">
        <v>44833</v>
      </c>
      <c r="C5940" s="183" t="s">
        <v>329</v>
      </c>
      <c r="D5940" s="1445"/>
      <c r="E5940" s="818" t="s">
        <v>166</v>
      </c>
      <c r="F5940" s="129" t="s">
        <v>19975</v>
      </c>
      <c r="G5940" s="183" t="s">
        <v>20072</v>
      </c>
      <c r="H5940" s="183" t="s">
        <v>184</v>
      </c>
      <c r="I5940" s="222" t="s">
        <v>4634</v>
      </c>
      <c r="J5940" s="183" t="s">
        <v>20073</v>
      </c>
      <c r="K5940" s="183" t="s">
        <v>20074</v>
      </c>
      <c r="L5940" s="183" t="s">
        <v>8776</v>
      </c>
      <c r="M5940" s="2211">
        <v>4</v>
      </c>
      <c r="N5940" s="2211">
        <v>4</v>
      </c>
      <c r="O5940" s="613">
        <v>10</v>
      </c>
      <c r="P5940" s="222">
        <v>0</v>
      </c>
      <c r="Q5940" s="222">
        <f t="shared" si="317"/>
        <v>6</v>
      </c>
      <c r="R5940" s="2213">
        <v>14.1</v>
      </c>
      <c r="S5940" s="1195">
        <f t="shared" si="315"/>
        <v>141</v>
      </c>
      <c r="T5940" s="222" t="s">
        <v>20035</v>
      </c>
      <c r="U5940" s="1527" t="s">
        <v>1886</v>
      </c>
      <c r="V5940" s="1850" t="s">
        <v>9064</v>
      </c>
      <c r="W5940" s="2178" t="s">
        <v>20075</v>
      </c>
      <c r="X5940" s="818"/>
      <c r="Y5940" s="1161"/>
    </row>
    <row r="5941" spans="1:52" ht="15.75" hidden="1" customHeight="1" outlineLevel="1">
      <c r="A5941" s="222">
        <f t="shared" si="318"/>
        <v>5950</v>
      </c>
      <c r="B5941" s="2193">
        <v>44833</v>
      </c>
      <c r="C5941" s="183" t="s">
        <v>329</v>
      </c>
      <c r="D5941" s="1445"/>
      <c r="E5941" s="818" t="s">
        <v>166</v>
      </c>
      <c r="F5941" s="129" t="s">
        <v>19975</v>
      </c>
      <c r="G5941" s="183" t="s">
        <v>20076</v>
      </c>
      <c r="H5941" s="183" t="s">
        <v>184</v>
      </c>
      <c r="I5941" s="222" t="s">
        <v>4634</v>
      </c>
      <c r="J5941" s="183" t="s">
        <v>20077</v>
      </c>
      <c r="K5941" s="183" t="s">
        <v>20078</v>
      </c>
      <c r="L5941" s="183" t="s">
        <v>8980</v>
      </c>
      <c r="M5941" s="613">
        <v>6</v>
      </c>
      <c r="N5941" s="613">
        <v>6</v>
      </c>
      <c r="O5941" s="613">
        <v>10</v>
      </c>
      <c r="P5941" s="222">
        <v>0</v>
      </c>
      <c r="Q5941" s="222">
        <f t="shared" si="317"/>
        <v>4</v>
      </c>
      <c r="R5941" s="2212">
        <v>98.4</v>
      </c>
      <c r="S5941" s="1195">
        <f t="shared" si="315"/>
        <v>984</v>
      </c>
      <c r="T5941" s="222" t="s">
        <v>20035</v>
      </c>
      <c r="U5941" s="1527" t="s">
        <v>1886</v>
      </c>
      <c r="V5941" s="1850" t="s">
        <v>9064</v>
      </c>
      <c r="W5941" s="2178" t="s">
        <v>20079</v>
      </c>
      <c r="X5941" s="818"/>
      <c r="Y5941" s="1161"/>
    </row>
    <row r="5942" spans="1:52" ht="15.75" hidden="1" customHeight="1" outlineLevel="1">
      <c r="A5942" s="222">
        <f t="shared" si="318"/>
        <v>5951</v>
      </c>
      <c r="B5942" s="2193">
        <v>44833</v>
      </c>
      <c r="C5942" s="183" t="s">
        <v>329</v>
      </c>
      <c r="D5942" s="1445"/>
      <c r="E5942" s="818" t="s">
        <v>166</v>
      </c>
      <c r="F5942" s="129" t="s">
        <v>19975</v>
      </c>
      <c r="G5942" s="183" t="s">
        <v>20080</v>
      </c>
      <c r="H5942" s="183" t="s">
        <v>5730</v>
      </c>
      <c r="I5942" s="222" t="s">
        <v>4634</v>
      </c>
      <c r="J5942" s="183" t="s">
        <v>20081</v>
      </c>
      <c r="K5942" s="183" t="s">
        <v>20082</v>
      </c>
      <c r="L5942" s="183" t="s">
        <v>14048</v>
      </c>
      <c r="M5942" s="613">
        <v>8</v>
      </c>
      <c r="N5942" s="613">
        <v>8</v>
      </c>
      <c r="O5942" s="613">
        <v>10</v>
      </c>
      <c r="P5942" s="222">
        <v>0</v>
      </c>
      <c r="Q5942" s="222">
        <f t="shared" si="317"/>
        <v>2</v>
      </c>
      <c r="R5942" s="2212">
        <v>113.8</v>
      </c>
      <c r="S5942" s="1195">
        <f t="shared" si="315"/>
        <v>1138</v>
      </c>
      <c r="T5942" s="222" t="s">
        <v>20035</v>
      </c>
      <c r="U5942" s="1527" t="s">
        <v>1886</v>
      </c>
      <c r="V5942" s="1850" t="s">
        <v>9064</v>
      </c>
      <c r="W5942" s="2178" t="s">
        <v>20083</v>
      </c>
      <c r="X5942" s="818"/>
      <c r="Y5942" s="1161"/>
    </row>
    <row r="5943" spans="1:52" ht="15.75" hidden="1" customHeight="1" outlineLevel="1">
      <c r="A5943" s="222">
        <f t="shared" si="318"/>
        <v>5952</v>
      </c>
      <c r="B5943" s="2193">
        <v>44833</v>
      </c>
      <c r="C5943" s="183" t="s">
        <v>329</v>
      </c>
      <c r="D5943" s="1445"/>
      <c r="E5943" s="818" t="s">
        <v>166</v>
      </c>
      <c r="F5943" s="129" t="s">
        <v>19975</v>
      </c>
      <c r="G5943" s="183" t="s">
        <v>20084</v>
      </c>
      <c r="H5943" s="183" t="s">
        <v>184</v>
      </c>
      <c r="I5943" s="222" t="s">
        <v>4634</v>
      </c>
      <c r="J5943" s="183" t="s">
        <v>20085</v>
      </c>
      <c r="K5943" s="613" t="s">
        <v>20086</v>
      </c>
      <c r="L5943" s="183" t="s">
        <v>8980</v>
      </c>
      <c r="M5943" s="613">
        <v>4</v>
      </c>
      <c r="N5943" s="613">
        <v>4</v>
      </c>
      <c r="O5943" s="613">
        <v>10</v>
      </c>
      <c r="P5943" s="222">
        <v>0</v>
      </c>
      <c r="Q5943" s="222">
        <f t="shared" si="317"/>
        <v>6</v>
      </c>
      <c r="R5943" s="2212">
        <v>255.7</v>
      </c>
      <c r="S5943" s="1195">
        <f t="shared" si="315"/>
        <v>2557</v>
      </c>
      <c r="T5943" s="222" t="s">
        <v>20035</v>
      </c>
      <c r="U5943" s="1527" t="s">
        <v>1886</v>
      </c>
      <c r="V5943" s="1850" t="s">
        <v>9064</v>
      </c>
      <c r="W5943" s="2178" t="s">
        <v>20087</v>
      </c>
      <c r="X5943" s="818"/>
      <c r="Y5943" s="1161"/>
    </row>
    <row r="5944" spans="1:52" ht="15.75" hidden="1" customHeight="1" outlineLevel="1">
      <c r="A5944" s="222">
        <f t="shared" si="318"/>
        <v>5953</v>
      </c>
      <c r="B5944" s="2193">
        <v>44833</v>
      </c>
      <c r="C5944" s="183" t="s">
        <v>152</v>
      </c>
      <c r="D5944" s="1445"/>
      <c r="E5944" s="818" t="s">
        <v>166</v>
      </c>
      <c r="F5944" s="129" t="s">
        <v>19975</v>
      </c>
      <c r="G5944" s="183" t="s">
        <v>20088</v>
      </c>
      <c r="H5944" s="183" t="s">
        <v>20089</v>
      </c>
      <c r="I5944" s="222" t="s">
        <v>4634</v>
      </c>
      <c r="J5944" s="183" t="s">
        <v>11082</v>
      </c>
      <c r="K5944" s="183" t="s">
        <v>20090</v>
      </c>
      <c r="L5944" s="183" t="s">
        <v>1088</v>
      </c>
      <c r="M5944" s="613">
        <v>6</v>
      </c>
      <c r="N5944" s="613">
        <v>6</v>
      </c>
      <c r="O5944" s="613">
        <v>15</v>
      </c>
      <c r="P5944" s="222">
        <v>0</v>
      </c>
      <c r="Q5944" s="222">
        <f t="shared" si="317"/>
        <v>9</v>
      </c>
      <c r="R5944" s="2212">
        <v>14.1</v>
      </c>
      <c r="S5944" s="1195">
        <f t="shared" si="315"/>
        <v>211.5</v>
      </c>
      <c r="T5944" s="222" t="s">
        <v>20035</v>
      </c>
      <c r="U5944" s="1527" t="s">
        <v>1886</v>
      </c>
      <c r="V5944" s="1850" t="s">
        <v>9064</v>
      </c>
      <c r="W5944" s="2178" t="s">
        <v>20091</v>
      </c>
      <c r="X5944" s="818"/>
      <c r="Y5944" s="1161"/>
    </row>
    <row r="5945" spans="1:52" ht="15.75" hidden="1" customHeight="1" outlineLevel="1">
      <c r="A5945" s="222">
        <f t="shared" si="318"/>
        <v>5954</v>
      </c>
      <c r="B5945" s="2193">
        <v>44833</v>
      </c>
      <c r="C5945" s="183" t="s">
        <v>152</v>
      </c>
      <c r="D5945" s="1445"/>
      <c r="E5945" s="818" t="s">
        <v>166</v>
      </c>
      <c r="F5945" s="129" t="s">
        <v>19975</v>
      </c>
      <c r="G5945" s="183" t="s">
        <v>20092</v>
      </c>
      <c r="H5945" s="183" t="s">
        <v>15466</v>
      </c>
      <c r="I5945" s="222" t="s">
        <v>4634</v>
      </c>
      <c r="J5945" s="183" t="s">
        <v>20093</v>
      </c>
      <c r="K5945" s="183" t="s">
        <v>20094</v>
      </c>
      <c r="L5945" s="183" t="s">
        <v>8776</v>
      </c>
      <c r="M5945" s="613">
        <v>4</v>
      </c>
      <c r="N5945" s="613">
        <v>4</v>
      </c>
      <c r="O5945" s="613">
        <v>10</v>
      </c>
      <c r="P5945" s="222">
        <v>0</v>
      </c>
      <c r="Q5945" s="222">
        <f t="shared" si="317"/>
        <v>6</v>
      </c>
      <c r="R5945" s="2212">
        <v>14.1</v>
      </c>
      <c r="S5945" s="1195">
        <f t="shared" si="315"/>
        <v>141</v>
      </c>
      <c r="T5945" s="222" t="s">
        <v>20035</v>
      </c>
      <c r="U5945" s="1527" t="s">
        <v>1886</v>
      </c>
      <c r="V5945" s="1850" t="s">
        <v>9064</v>
      </c>
      <c r="W5945" s="2178" t="s">
        <v>20095</v>
      </c>
      <c r="X5945" s="818"/>
      <c r="Y5945" s="1161"/>
    </row>
    <row r="5946" spans="1:52" ht="15.75" hidden="1" customHeight="1" outlineLevel="1">
      <c r="A5946" s="222">
        <f t="shared" si="318"/>
        <v>5955</v>
      </c>
      <c r="B5946" s="2193">
        <v>44833</v>
      </c>
      <c r="C5946" s="183" t="s">
        <v>152</v>
      </c>
      <c r="D5946" s="1445"/>
      <c r="E5946" s="818" t="s">
        <v>166</v>
      </c>
      <c r="F5946" s="129" t="s">
        <v>19975</v>
      </c>
      <c r="G5946" s="183" t="s">
        <v>20096</v>
      </c>
      <c r="H5946" s="183" t="s">
        <v>15466</v>
      </c>
      <c r="I5946" s="222" t="s">
        <v>4634</v>
      </c>
      <c r="J5946" s="183" t="s">
        <v>20097</v>
      </c>
      <c r="K5946" s="183" t="s">
        <v>20098</v>
      </c>
      <c r="L5946" s="183" t="s">
        <v>8776</v>
      </c>
      <c r="M5946" s="613">
        <v>3</v>
      </c>
      <c r="N5946" s="613">
        <v>3</v>
      </c>
      <c r="O5946" s="613">
        <v>10</v>
      </c>
      <c r="P5946" s="222">
        <v>0</v>
      </c>
      <c r="Q5946" s="222">
        <f t="shared" si="317"/>
        <v>7</v>
      </c>
      <c r="R5946" s="2212">
        <v>14.1</v>
      </c>
      <c r="S5946" s="1195">
        <f t="shared" si="315"/>
        <v>141</v>
      </c>
      <c r="T5946" s="222" t="s">
        <v>20035</v>
      </c>
      <c r="U5946" s="1527" t="s">
        <v>1886</v>
      </c>
      <c r="V5946" s="1850" t="s">
        <v>9064</v>
      </c>
      <c r="W5946" s="2178" t="s">
        <v>20099</v>
      </c>
      <c r="X5946" s="818"/>
      <c r="Y5946" s="1161"/>
    </row>
    <row r="5947" spans="1:52" ht="15.75" hidden="1" customHeight="1" outlineLevel="1">
      <c r="A5947" s="222">
        <f t="shared" si="318"/>
        <v>5956</v>
      </c>
      <c r="B5947" s="2193">
        <v>44833</v>
      </c>
      <c r="C5947" s="183" t="s">
        <v>152</v>
      </c>
      <c r="D5947" s="1445"/>
      <c r="E5947" s="818" t="s">
        <v>166</v>
      </c>
      <c r="F5947" s="129" t="s">
        <v>19975</v>
      </c>
      <c r="G5947" s="183" t="s">
        <v>20100</v>
      </c>
      <c r="H5947" s="183" t="s">
        <v>15466</v>
      </c>
      <c r="I5947" s="222" t="s">
        <v>4634</v>
      </c>
      <c r="J5947" s="183" t="s">
        <v>20101</v>
      </c>
      <c r="K5947" s="183" t="s">
        <v>20102</v>
      </c>
      <c r="L5947" s="183" t="s">
        <v>8776</v>
      </c>
      <c r="M5947" s="613">
        <v>4</v>
      </c>
      <c r="N5947" s="613">
        <v>4</v>
      </c>
      <c r="O5947" s="613">
        <v>10</v>
      </c>
      <c r="P5947" s="222">
        <v>0</v>
      </c>
      <c r="Q5947" s="222">
        <f t="shared" si="317"/>
        <v>6</v>
      </c>
      <c r="R5947" s="2212">
        <v>14.1</v>
      </c>
      <c r="S5947" s="1195">
        <f t="shared" si="315"/>
        <v>141</v>
      </c>
      <c r="T5947" s="222" t="s">
        <v>20035</v>
      </c>
      <c r="U5947" s="1527" t="s">
        <v>1886</v>
      </c>
      <c r="V5947" s="1850" t="s">
        <v>9064</v>
      </c>
      <c r="W5947" s="2178" t="s">
        <v>20103</v>
      </c>
      <c r="X5947" s="818"/>
      <c r="Y5947" s="1161"/>
    </row>
    <row r="5948" spans="1:52" ht="15.75" hidden="1" customHeight="1" outlineLevel="1">
      <c r="A5948" s="222">
        <f t="shared" si="318"/>
        <v>5957</v>
      </c>
      <c r="B5948" s="2193">
        <v>44833</v>
      </c>
      <c r="C5948" s="183" t="s">
        <v>152</v>
      </c>
      <c r="D5948" s="1445"/>
      <c r="E5948" s="818" t="s">
        <v>166</v>
      </c>
      <c r="F5948" s="129" t="s">
        <v>19975</v>
      </c>
      <c r="G5948" s="183" t="s">
        <v>20104</v>
      </c>
      <c r="H5948" s="183" t="s">
        <v>5413</v>
      </c>
      <c r="I5948" s="222" t="s">
        <v>4634</v>
      </c>
      <c r="J5948" s="183" t="s">
        <v>20105</v>
      </c>
      <c r="K5948" s="183" t="s">
        <v>12651</v>
      </c>
      <c r="L5948" s="183" t="s">
        <v>8776</v>
      </c>
      <c r="M5948" s="613">
        <v>3</v>
      </c>
      <c r="N5948" s="613">
        <v>3</v>
      </c>
      <c r="O5948" s="613">
        <v>10</v>
      </c>
      <c r="P5948" s="222">
        <v>0</v>
      </c>
      <c r="Q5948" s="222">
        <f t="shared" si="317"/>
        <v>7</v>
      </c>
      <c r="R5948" s="2215">
        <v>111</v>
      </c>
      <c r="S5948" s="1195">
        <f t="shared" si="315"/>
        <v>1110</v>
      </c>
      <c r="T5948" s="222" t="s">
        <v>20035</v>
      </c>
      <c r="U5948" s="1527" t="s">
        <v>1886</v>
      </c>
      <c r="V5948" s="1850" t="s">
        <v>9064</v>
      </c>
      <c r="W5948" s="2178" t="s">
        <v>20106</v>
      </c>
      <c r="X5948" s="818"/>
      <c r="Y5948" s="1161"/>
    </row>
    <row r="5949" spans="1:52" ht="15.75" hidden="1" customHeight="1" outlineLevel="1">
      <c r="A5949" s="222">
        <f t="shared" si="318"/>
        <v>5958</v>
      </c>
      <c r="B5949" s="2193">
        <v>44833</v>
      </c>
      <c r="C5949" s="2195" t="s">
        <v>20107</v>
      </c>
      <c r="D5949" s="1445"/>
      <c r="E5949" s="818" t="s">
        <v>166</v>
      </c>
      <c r="F5949" s="129" t="s">
        <v>19975</v>
      </c>
      <c r="G5949" s="613" t="s">
        <v>20108</v>
      </c>
      <c r="H5949" s="2195" t="s">
        <v>1073</v>
      </c>
      <c r="I5949" s="222" t="s">
        <v>4634</v>
      </c>
      <c r="J5949" s="183" t="s">
        <v>20109</v>
      </c>
      <c r="K5949" s="183" t="s">
        <v>20110</v>
      </c>
      <c r="L5949" s="183" t="s">
        <v>16451</v>
      </c>
      <c r="M5949" s="2211">
        <v>4</v>
      </c>
      <c r="N5949" s="2211">
        <v>4</v>
      </c>
      <c r="O5949" s="613">
        <v>5</v>
      </c>
      <c r="P5949" s="222">
        <v>0</v>
      </c>
      <c r="Q5949" s="222">
        <f t="shared" si="317"/>
        <v>1</v>
      </c>
      <c r="R5949" s="2213">
        <v>1211.0999999999999</v>
      </c>
      <c r="S5949" s="1195">
        <f t="shared" si="315"/>
        <v>6055.5</v>
      </c>
      <c r="T5949" s="222" t="s">
        <v>20035</v>
      </c>
      <c r="U5949" s="1527" t="s">
        <v>1886</v>
      </c>
      <c r="V5949" s="1850" t="s">
        <v>9064</v>
      </c>
      <c r="W5949" s="2178" t="s">
        <v>20111</v>
      </c>
      <c r="X5949" s="818"/>
      <c r="Y5949" s="1161"/>
    </row>
    <row r="5950" spans="1:52" ht="15.75" hidden="1" customHeight="1" outlineLevel="1">
      <c r="A5950" s="222">
        <f t="shared" si="318"/>
        <v>5959</v>
      </c>
      <c r="B5950" s="2193">
        <v>44833</v>
      </c>
      <c r="C5950" s="2195" t="s">
        <v>20112</v>
      </c>
      <c r="D5950" s="1445"/>
      <c r="E5950" s="818" t="s">
        <v>166</v>
      </c>
      <c r="F5950" s="129" t="s">
        <v>19975</v>
      </c>
      <c r="G5950" s="613" t="s">
        <v>20113</v>
      </c>
      <c r="H5950" s="2195" t="s">
        <v>1073</v>
      </c>
      <c r="I5950" s="222" t="s">
        <v>4634</v>
      </c>
      <c r="J5950" s="613" t="s">
        <v>20114</v>
      </c>
      <c r="K5950" s="613" t="s">
        <v>19912</v>
      </c>
      <c r="L5950" s="1522" t="s">
        <v>13128</v>
      </c>
      <c r="M5950" s="613">
        <v>4</v>
      </c>
      <c r="N5950" s="613">
        <v>4</v>
      </c>
      <c r="O5950" s="613">
        <v>5</v>
      </c>
      <c r="P5950" s="222">
        <v>0</v>
      </c>
      <c r="Q5950" s="222">
        <f t="shared" si="317"/>
        <v>1</v>
      </c>
      <c r="R5950" s="2212">
        <v>733.4</v>
      </c>
      <c r="S5950" s="1195">
        <f t="shared" ref="S5950:S6000" si="319">R5950*O5950</f>
        <v>3667</v>
      </c>
      <c r="T5950" s="222" t="s">
        <v>20035</v>
      </c>
      <c r="U5950" s="1527" t="s">
        <v>1886</v>
      </c>
      <c r="V5950" s="1850" t="s">
        <v>9064</v>
      </c>
      <c r="W5950" s="2178" t="s">
        <v>20115</v>
      </c>
      <c r="X5950" s="818"/>
      <c r="Y5950" s="1161"/>
    </row>
    <row r="5951" spans="1:52" ht="15.75" hidden="1" customHeight="1" outlineLevel="1">
      <c r="A5951" s="222">
        <f t="shared" si="318"/>
        <v>5960</v>
      </c>
      <c r="B5951" s="2193">
        <v>44833</v>
      </c>
      <c r="C5951" s="183" t="s">
        <v>20116</v>
      </c>
      <c r="D5951" s="1445"/>
      <c r="E5951" s="818" t="s">
        <v>166</v>
      </c>
      <c r="F5951" s="129" t="s">
        <v>19975</v>
      </c>
      <c r="G5951" s="613" t="s">
        <v>20117</v>
      </c>
      <c r="H5951" s="613" t="s">
        <v>10376</v>
      </c>
      <c r="I5951" s="222" t="s">
        <v>4634</v>
      </c>
      <c r="J5951" s="613" t="s">
        <v>20118</v>
      </c>
      <c r="K5951" s="613" t="s">
        <v>20119</v>
      </c>
      <c r="L5951" s="2194" t="s">
        <v>13128</v>
      </c>
      <c r="M5951" s="613">
        <v>4</v>
      </c>
      <c r="N5951" s="613">
        <v>4</v>
      </c>
      <c r="O5951" s="613">
        <v>4</v>
      </c>
      <c r="P5951" s="222">
        <v>0</v>
      </c>
      <c r="Q5951" s="222">
        <f t="shared" si="317"/>
        <v>0</v>
      </c>
      <c r="R5951" s="2212">
        <v>1392.4</v>
      </c>
      <c r="S5951" s="1195">
        <f t="shared" si="319"/>
        <v>5569.6</v>
      </c>
      <c r="T5951" s="222" t="s">
        <v>20035</v>
      </c>
      <c r="U5951" s="1527" t="s">
        <v>1886</v>
      </c>
      <c r="V5951" s="1850" t="s">
        <v>9064</v>
      </c>
      <c r="W5951" s="2178" t="s">
        <v>20120</v>
      </c>
      <c r="X5951" s="818"/>
      <c r="Y5951" s="1161"/>
    </row>
    <row r="5952" spans="1:52" ht="15.75" hidden="1" customHeight="1" outlineLevel="1">
      <c r="A5952" s="222">
        <f t="shared" si="318"/>
        <v>5961</v>
      </c>
      <c r="B5952" s="2193">
        <v>44833</v>
      </c>
      <c r="C5952" s="613" t="s">
        <v>20121</v>
      </c>
      <c r="D5952" s="1445"/>
      <c r="E5952" s="818" t="s">
        <v>166</v>
      </c>
      <c r="F5952" s="129" t="s">
        <v>19975</v>
      </c>
      <c r="G5952" s="613" t="s">
        <v>20122</v>
      </c>
      <c r="H5952" s="613" t="s">
        <v>511</v>
      </c>
      <c r="I5952" s="222" t="s">
        <v>4634</v>
      </c>
      <c r="J5952" s="613" t="s">
        <v>11145</v>
      </c>
      <c r="K5952" s="613" t="s">
        <v>11146</v>
      </c>
      <c r="L5952" s="2194" t="s">
        <v>13128</v>
      </c>
      <c r="M5952" s="613">
        <v>6</v>
      </c>
      <c r="N5952" s="613">
        <v>6</v>
      </c>
      <c r="O5952" s="613">
        <v>8</v>
      </c>
      <c r="P5952" s="222">
        <v>0</v>
      </c>
      <c r="Q5952" s="222">
        <f t="shared" si="317"/>
        <v>2</v>
      </c>
      <c r="R5952" s="2212">
        <v>68.8</v>
      </c>
      <c r="S5952" s="1195">
        <f t="shared" si="319"/>
        <v>550.4</v>
      </c>
      <c r="T5952" s="222" t="s">
        <v>20035</v>
      </c>
      <c r="U5952" s="1527" t="s">
        <v>1886</v>
      </c>
      <c r="V5952" s="1850" t="s">
        <v>9064</v>
      </c>
      <c r="W5952" s="2178" t="s">
        <v>20123</v>
      </c>
      <c r="X5952" s="818"/>
      <c r="Y5952" s="1161"/>
    </row>
    <row r="5953" spans="1:25" ht="15.75" hidden="1" customHeight="1" outlineLevel="1">
      <c r="A5953" s="222">
        <f t="shared" si="318"/>
        <v>5962</v>
      </c>
      <c r="B5953" s="2193">
        <v>44833</v>
      </c>
      <c r="C5953" s="613" t="s">
        <v>18318</v>
      </c>
      <c r="D5953" s="1445"/>
      <c r="E5953" s="818" t="s">
        <v>166</v>
      </c>
      <c r="F5953" s="129" t="s">
        <v>19975</v>
      </c>
      <c r="G5953" s="613" t="s">
        <v>20124</v>
      </c>
      <c r="H5953" s="613" t="s">
        <v>16190</v>
      </c>
      <c r="I5953" s="222" t="s">
        <v>4634</v>
      </c>
      <c r="J5953" s="2195" t="s">
        <v>11139</v>
      </c>
      <c r="K5953" s="613" t="s">
        <v>6455</v>
      </c>
      <c r="L5953" s="2194" t="s">
        <v>13128</v>
      </c>
      <c r="M5953" s="2211">
        <v>4</v>
      </c>
      <c r="N5953" s="2211">
        <v>4</v>
      </c>
      <c r="O5953" s="613">
        <v>8</v>
      </c>
      <c r="P5953" s="222">
        <v>0</v>
      </c>
      <c r="Q5953" s="222">
        <f t="shared" si="317"/>
        <v>4</v>
      </c>
      <c r="R5953" s="2213">
        <v>26.7</v>
      </c>
      <c r="S5953" s="1195">
        <f t="shared" si="319"/>
        <v>213.6</v>
      </c>
      <c r="T5953" s="222" t="s">
        <v>20035</v>
      </c>
      <c r="U5953" s="1527" t="s">
        <v>1886</v>
      </c>
      <c r="V5953" s="1850" t="s">
        <v>9064</v>
      </c>
      <c r="W5953" s="2178" t="s">
        <v>20125</v>
      </c>
      <c r="X5953" s="818"/>
      <c r="Y5953" s="1161"/>
    </row>
    <row r="5954" spans="1:25" ht="15.75" hidden="1" customHeight="1" outlineLevel="1">
      <c r="A5954" s="222">
        <f t="shared" si="318"/>
        <v>5963</v>
      </c>
      <c r="B5954" s="2193">
        <v>44838</v>
      </c>
      <c r="C5954" s="1132" t="s">
        <v>20126</v>
      </c>
      <c r="D5954" s="1445"/>
      <c r="E5954" s="818" t="s">
        <v>683</v>
      </c>
      <c r="F5954" s="1039" t="s">
        <v>10005</v>
      </c>
      <c r="G5954" s="874" t="s">
        <v>20127</v>
      </c>
      <c r="H5954" s="874" t="s">
        <v>2103</v>
      </c>
      <c r="I5954" s="874" t="s">
        <v>18205</v>
      </c>
      <c r="J5954" s="1180" t="s">
        <v>1</v>
      </c>
      <c r="K5954" s="874" t="s">
        <v>20128</v>
      </c>
      <c r="L5954" s="873" t="s">
        <v>149</v>
      </c>
      <c r="M5954" s="874">
        <v>1</v>
      </c>
      <c r="N5954" s="874">
        <v>1</v>
      </c>
      <c r="O5954" s="874">
        <v>1</v>
      </c>
      <c r="P5954" s="874">
        <v>0</v>
      </c>
      <c r="Q5954" s="874">
        <v>0</v>
      </c>
      <c r="R5954" s="1733">
        <v>345500</v>
      </c>
      <c r="S5954" s="1680">
        <v>345500</v>
      </c>
      <c r="T5954" s="873" t="s">
        <v>4220</v>
      </c>
      <c r="U5954" s="874" t="s">
        <v>18207</v>
      </c>
      <c r="V5954" s="1039" t="s">
        <v>689</v>
      </c>
      <c r="W5954" s="1460" t="s">
        <v>18208</v>
      </c>
      <c r="X5954" s="818"/>
      <c r="Y5954" s="1161"/>
    </row>
    <row r="5955" spans="1:25" ht="15.75" hidden="1" customHeight="1" outlineLevel="1">
      <c r="A5955" s="222">
        <f t="shared" si="318"/>
        <v>5964</v>
      </c>
      <c r="B5955" s="2193">
        <v>44838</v>
      </c>
      <c r="C5955" s="1139" t="s">
        <v>20129</v>
      </c>
      <c r="D5955" s="1445"/>
      <c r="E5955" s="818" t="s">
        <v>683</v>
      </c>
      <c r="F5955" s="1040" t="s">
        <v>10005</v>
      </c>
      <c r="G5955" s="1041" t="s">
        <v>20130</v>
      </c>
      <c r="H5955" s="1041" t="s">
        <v>18204</v>
      </c>
      <c r="I5955" s="1041" t="s">
        <v>18205</v>
      </c>
      <c r="J5955" s="2201" t="s">
        <v>1</v>
      </c>
      <c r="K5955" s="2201" t="s">
        <v>1</v>
      </c>
      <c r="L5955" s="1128" t="s">
        <v>149</v>
      </c>
      <c r="M5955" s="1041">
        <v>1</v>
      </c>
      <c r="N5955" s="1041">
        <v>1</v>
      </c>
      <c r="O5955" s="1041">
        <v>1</v>
      </c>
      <c r="P5955" s="1041">
        <v>0</v>
      </c>
      <c r="Q5955" s="1041">
        <v>0</v>
      </c>
      <c r="R5955" s="2200">
        <v>12000</v>
      </c>
      <c r="S5955" s="1681">
        <v>12000</v>
      </c>
      <c r="T5955" s="1128" t="s">
        <v>4220</v>
      </c>
      <c r="U5955" s="1041" t="s">
        <v>18207</v>
      </c>
      <c r="V5955" s="1040" t="s">
        <v>689</v>
      </c>
      <c r="W5955" s="889" t="s">
        <v>18208</v>
      </c>
      <c r="X5955" s="818"/>
      <c r="Y5955" s="1161"/>
    </row>
    <row r="5956" spans="1:25" ht="15.75" hidden="1" customHeight="1" outlineLevel="1">
      <c r="A5956" s="222">
        <f t="shared" si="318"/>
        <v>5965</v>
      </c>
      <c r="B5956" s="858">
        <v>44838</v>
      </c>
      <c r="C5956" s="129" t="s">
        <v>20131</v>
      </c>
      <c r="D5956" s="1445"/>
      <c r="E5956" s="818" t="s">
        <v>166</v>
      </c>
      <c r="F5956" s="1006" t="s">
        <v>19265</v>
      </c>
      <c r="G5956" s="863" t="s">
        <v>19266</v>
      </c>
      <c r="H5956" s="222" t="s">
        <v>18527</v>
      </c>
      <c r="I5956" s="222" t="s">
        <v>281</v>
      </c>
      <c r="J5956" s="183" t="s">
        <v>19267</v>
      </c>
      <c r="K5956" s="183" t="s">
        <v>19268</v>
      </c>
      <c r="L5956" s="613" t="s">
        <v>16629</v>
      </c>
      <c r="M5956" s="183">
        <v>24</v>
      </c>
      <c r="N5956" s="183">
        <v>1</v>
      </c>
      <c r="O5956" s="222">
        <v>30</v>
      </c>
      <c r="P5956" s="222">
        <v>6</v>
      </c>
      <c r="Q5956" s="222">
        <v>12</v>
      </c>
      <c r="R5956" s="1195">
        <v>476</v>
      </c>
      <c r="S5956" s="1195">
        <f t="shared" ref="S5956" si="320">R5956*O5956</f>
        <v>14280</v>
      </c>
      <c r="T5956" s="222" t="s">
        <v>18479</v>
      </c>
      <c r="U5956" s="1527" t="s">
        <v>448</v>
      </c>
      <c r="V5956" s="222" t="s">
        <v>19258</v>
      </c>
      <c r="W5956" s="2155" t="s">
        <v>19269</v>
      </c>
      <c r="X5956" s="818"/>
      <c r="Y5956" s="1161"/>
    </row>
    <row r="5957" spans="1:25" ht="15.75" hidden="1" customHeight="1" outlineLevel="1">
      <c r="A5957" s="222">
        <f t="shared" si="318"/>
        <v>5966</v>
      </c>
      <c r="B5957" s="858">
        <v>44838</v>
      </c>
      <c r="C5957" s="129" t="s">
        <v>20132</v>
      </c>
      <c r="D5957" s="1445"/>
      <c r="E5957" s="818" t="s">
        <v>166</v>
      </c>
      <c r="F5957" s="1006" t="s">
        <v>19265</v>
      </c>
      <c r="G5957" s="863" t="s">
        <v>20133</v>
      </c>
      <c r="H5957" s="1193" t="s">
        <v>20134</v>
      </c>
      <c r="I5957" s="222" t="s">
        <v>281</v>
      </c>
      <c r="J5957" s="183" t="s">
        <v>20135</v>
      </c>
      <c r="K5957" s="129" t="s">
        <v>20136</v>
      </c>
      <c r="L5957" s="613" t="s">
        <v>8776</v>
      </c>
      <c r="M5957" s="183">
        <v>1</v>
      </c>
      <c r="N5957" s="183">
        <v>1</v>
      </c>
      <c r="O5957" s="222">
        <v>8</v>
      </c>
      <c r="P5957" s="222">
        <v>0</v>
      </c>
      <c r="Q5957" s="222">
        <v>7</v>
      </c>
      <c r="R5957" s="1195">
        <v>62</v>
      </c>
      <c r="S5957" s="1195">
        <f t="shared" si="319"/>
        <v>496</v>
      </c>
      <c r="T5957" s="222" t="s">
        <v>18479</v>
      </c>
      <c r="U5957" s="1527" t="s">
        <v>448</v>
      </c>
      <c r="V5957" s="222" t="s">
        <v>19258</v>
      </c>
      <c r="W5957" s="2155" t="s">
        <v>20137</v>
      </c>
      <c r="X5957" s="818"/>
      <c r="Y5957" s="1161"/>
    </row>
    <row r="5958" spans="1:25" ht="15.75" hidden="1" customHeight="1" outlineLevel="1">
      <c r="A5958" s="222">
        <f t="shared" si="318"/>
        <v>5967</v>
      </c>
      <c r="B5958" s="858">
        <v>44838</v>
      </c>
      <c r="C5958" s="129" t="s">
        <v>20138</v>
      </c>
      <c r="D5958" s="1445"/>
      <c r="E5958" s="818" t="s">
        <v>166</v>
      </c>
      <c r="F5958" s="1006" t="s">
        <v>19265</v>
      </c>
      <c r="G5958" s="863" t="s">
        <v>20139</v>
      </c>
      <c r="H5958" s="222" t="s">
        <v>184</v>
      </c>
      <c r="I5958" s="222" t="s">
        <v>281</v>
      </c>
      <c r="J5958" s="183" t="s">
        <v>20140</v>
      </c>
      <c r="K5958" s="129" t="s">
        <v>20141</v>
      </c>
      <c r="L5958" s="613" t="s">
        <v>8776</v>
      </c>
      <c r="M5958" s="183">
        <v>1</v>
      </c>
      <c r="N5958" s="183">
        <v>1</v>
      </c>
      <c r="O5958" s="222">
        <v>8</v>
      </c>
      <c r="P5958" s="222">
        <v>0</v>
      </c>
      <c r="Q5958" s="222">
        <v>7</v>
      </c>
      <c r="R5958" s="1195">
        <v>73</v>
      </c>
      <c r="S5958" s="1195">
        <f t="shared" si="319"/>
        <v>584</v>
      </c>
      <c r="T5958" s="222" t="s">
        <v>18479</v>
      </c>
      <c r="U5958" s="1527" t="s">
        <v>448</v>
      </c>
      <c r="V5958" s="222" t="s">
        <v>19258</v>
      </c>
      <c r="W5958" s="2155" t="s">
        <v>20142</v>
      </c>
      <c r="X5958" s="818"/>
      <c r="Y5958" s="1161"/>
    </row>
    <row r="5959" spans="1:25" ht="15.75" hidden="1" customHeight="1" outlineLevel="1">
      <c r="A5959" s="222">
        <f t="shared" si="318"/>
        <v>5968</v>
      </c>
      <c r="B5959" s="858">
        <v>44838</v>
      </c>
      <c r="C5959" s="129" t="s">
        <v>20143</v>
      </c>
      <c r="D5959" s="1445"/>
      <c r="E5959" s="818" t="s">
        <v>166</v>
      </c>
      <c r="F5959" s="1006" t="s">
        <v>19265</v>
      </c>
      <c r="G5959" s="863" t="s">
        <v>20144</v>
      </c>
      <c r="H5959" s="222" t="s">
        <v>20145</v>
      </c>
      <c r="I5959" s="222" t="s">
        <v>11673</v>
      </c>
      <c r="J5959" s="183" t="s">
        <v>149</v>
      </c>
      <c r="K5959" s="183" t="s">
        <v>149</v>
      </c>
      <c r="L5959" s="613" t="s">
        <v>149</v>
      </c>
      <c r="M5959" s="183">
        <v>2</v>
      </c>
      <c r="N5959" s="183">
        <v>2</v>
      </c>
      <c r="O5959" s="222">
        <v>1</v>
      </c>
      <c r="P5959" s="222">
        <v>0</v>
      </c>
      <c r="Q5959" s="222">
        <v>0</v>
      </c>
      <c r="R5959" s="1195">
        <v>1039</v>
      </c>
      <c r="S5959" s="1195">
        <f t="shared" si="319"/>
        <v>1039</v>
      </c>
      <c r="T5959" s="222" t="s">
        <v>18479</v>
      </c>
      <c r="U5959" s="1527" t="s">
        <v>9101</v>
      </c>
      <c r="V5959" s="222" t="s">
        <v>19258</v>
      </c>
      <c r="W5959" s="2155" t="s">
        <v>20146</v>
      </c>
      <c r="X5959" s="818"/>
      <c r="Y5959" s="1161"/>
    </row>
    <row r="5960" spans="1:25" ht="15.75" hidden="1" customHeight="1" outlineLevel="1">
      <c r="A5960" s="222">
        <f t="shared" si="318"/>
        <v>5969</v>
      </c>
      <c r="B5960" s="858">
        <v>44838</v>
      </c>
      <c r="C5960" s="129" t="s">
        <v>20143</v>
      </c>
      <c r="D5960" s="1445"/>
      <c r="E5960" s="818" t="s">
        <v>166</v>
      </c>
      <c r="F5960" s="1006" t="s">
        <v>19265</v>
      </c>
      <c r="G5960" s="863" t="s">
        <v>20147</v>
      </c>
      <c r="H5960" s="222" t="s">
        <v>20148</v>
      </c>
      <c r="I5960" s="222" t="s">
        <v>11673</v>
      </c>
      <c r="J5960" s="183" t="s">
        <v>149</v>
      </c>
      <c r="K5960" s="183" t="s">
        <v>149</v>
      </c>
      <c r="L5960" s="613" t="s">
        <v>149</v>
      </c>
      <c r="M5960" s="183">
        <v>6</v>
      </c>
      <c r="N5960" s="183">
        <v>1</v>
      </c>
      <c r="O5960" s="222">
        <v>6</v>
      </c>
      <c r="P5960" s="222">
        <v>0</v>
      </c>
      <c r="Q5960" s="222">
        <v>0</v>
      </c>
      <c r="R5960" s="1195">
        <v>999</v>
      </c>
      <c r="S5960" s="1195">
        <f t="shared" si="319"/>
        <v>5994</v>
      </c>
      <c r="T5960" s="222" t="s">
        <v>18479</v>
      </c>
      <c r="U5960" s="1527" t="s">
        <v>18479</v>
      </c>
      <c r="V5960" s="222" t="s">
        <v>19258</v>
      </c>
      <c r="W5960" s="2155" t="s">
        <v>20149</v>
      </c>
      <c r="X5960" s="818"/>
      <c r="Y5960" s="1161"/>
    </row>
    <row r="5961" spans="1:25" ht="15.75" hidden="1" customHeight="1" outlineLevel="1">
      <c r="A5961" s="222">
        <f t="shared" si="318"/>
        <v>5970</v>
      </c>
      <c r="B5961" s="858">
        <v>44839</v>
      </c>
      <c r="C5961" s="129" t="s">
        <v>20150</v>
      </c>
      <c r="D5961" s="10"/>
      <c r="E5961" s="818" t="s">
        <v>166</v>
      </c>
      <c r="F5961" s="1006" t="s">
        <v>20151</v>
      </c>
      <c r="G5961" s="863" t="s">
        <v>20152</v>
      </c>
      <c r="H5961" s="222" t="s">
        <v>20153</v>
      </c>
      <c r="I5961" s="222" t="s">
        <v>1022</v>
      </c>
      <c r="J5961" s="183" t="s">
        <v>149</v>
      </c>
      <c r="K5961" s="2202">
        <v>4938591084214</v>
      </c>
      <c r="L5961" s="613" t="s">
        <v>149</v>
      </c>
      <c r="M5961" s="183">
        <v>5</v>
      </c>
      <c r="N5961" s="183">
        <v>1</v>
      </c>
      <c r="O5961" s="222">
        <v>5</v>
      </c>
      <c r="P5961" s="222">
        <v>0</v>
      </c>
      <c r="Q5961" s="222">
        <v>0</v>
      </c>
      <c r="R5961" s="1195">
        <v>579</v>
      </c>
      <c r="S5961" s="1195">
        <f t="shared" si="319"/>
        <v>2895</v>
      </c>
      <c r="T5961" s="222" t="s">
        <v>14752</v>
      </c>
      <c r="U5961" s="1527" t="s">
        <v>16949</v>
      </c>
      <c r="V5961" s="222" t="s">
        <v>3140</v>
      </c>
      <c r="W5961" s="2155" t="s">
        <v>20154</v>
      </c>
      <c r="X5961" s="818"/>
      <c r="Y5961" s="1161"/>
    </row>
    <row r="5962" spans="1:25" ht="15.75" hidden="1" customHeight="1" outlineLevel="1">
      <c r="A5962" s="222">
        <f t="shared" si="318"/>
        <v>5971</v>
      </c>
      <c r="B5962" s="858">
        <v>44839</v>
      </c>
      <c r="C5962" s="129" t="s">
        <v>6748</v>
      </c>
      <c r="D5962" s="11" t="s">
        <v>6</v>
      </c>
      <c r="E5962" s="818" t="s">
        <v>166</v>
      </c>
      <c r="F5962" s="1006" t="s">
        <v>10651</v>
      </c>
      <c r="G5962" s="1005" t="s">
        <v>20155</v>
      </c>
      <c r="H5962" s="222" t="s">
        <v>429</v>
      </c>
      <c r="I5962" s="222" t="s">
        <v>429</v>
      </c>
      <c r="J5962" s="183" t="s">
        <v>149</v>
      </c>
      <c r="K5962" s="863" t="s">
        <v>20156</v>
      </c>
      <c r="L5962" s="613" t="s">
        <v>149</v>
      </c>
      <c r="M5962" s="183">
        <v>1</v>
      </c>
      <c r="N5962" s="183">
        <v>1</v>
      </c>
      <c r="O5962" s="222">
        <v>1</v>
      </c>
      <c r="P5962" s="222">
        <v>0</v>
      </c>
      <c r="Q5962" s="222">
        <v>0</v>
      </c>
      <c r="R5962" s="1195">
        <v>4570</v>
      </c>
      <c r="S5962" s="1195">
        <f t="shared" si="319"/>
        <v>4570</v>
      </c>
      <c r="T5962" s="222" t="s">
        <v>12425</v>
      </c>
      <c r="U5962" s="1527" t="s">
        <v>17352</v>
      </c>
      <c r="V5962" s="222" t="s">
        <v>104</v>
      </c>
      <c r="W5962" s="2155" t="s">
        <v>20157</v>
      </c>
      <c r="X5962" s="818"/>
      <c r="Y5962" s="1161"/>
    </row>
    <row r="5963" spans="1:25" ht="15.75" hidden="1" customHeight="1" outlineLevel="1">
      <c r="A5963" s="222">
        <f t="shared" si="318"/>
        <v>5972</v>
      </c>
      <c r="B5963" s="858">
        <v>44839</v>
      </c>
      <c r="C5963" s="129" t="s">
        <v>16894</v>
      </c>
      <c r="D5963" s="11" t="s">
        <v>6</v>
      </c>
      <c r="E5963" s="818" t="s">
        <v>166</v>
      </c>
      <c r="F5963" s="1006" t="s">
        <v>10651</v>
      </c>
      <c r="G5963" s="863" t="s">
        <v>20158</v>
      </c>
      <c r="H5963" s="222" t="s">
        <v>429</v>
      </c>
      <c r="I5963" s="222" t="s">
        <v>429</v>
      </c>
      <c r="J5963" s="183" t="s">
        <v>149</v>
      </c>
      <c r="K5963" s="183" t="s">
        <v>20159</v>
      </c>
      <c r="L5963" s="613" t="s">
        <v>149</v>
      </c>
      <c r="M5963" s="183">
        <v>4</v>
      </c>
      <c r="N5963" s="183">
        <v>1</v>
      </c>
      <c r="O5963" s="222">
        <v>4</v>
      </c>
      <c r="P5963" s="222">
        <v>0</v>
      </c>
      <c r="Q5963" s="222">
        <v>0</v>
      </c>
      <c r="R5963" s="1195">
        <v>1700</v>
      </c>
      <c r="S5963" s="1195">
        <f t="shared" si="319"/>
        <v>6800</v>
      </c>
      <c r="T5963" s="222" t="s">
        <v>12425</v>
      </c>
      <c r="U5963" s="1527" t="s">
        <v>17352</v>
      </c>
      <c r="V5963" s="222" t="s">
        <v>104</v>
      </c>
      <c r="W5963" s="2155" t="s">
        <v>20160</v>
      </c>
      <c r="X5963" s="818"/>
      <c r="Y5963" s="1161"/>
    </row>
    <row r="5964" spans="1:25" ht="15.75" hidden="1" customHeight="1" outlineLevel="1">
      <c r="A5964" s="222">
        <f t="shared" si="318"/>
        <v>5973</v>
      </c>
      <c r="B5964" s="858">
        <v>44840</v>
      </c>
      <c r="C5964" s="129" t="s">
        <v>20161</v>
      </c>
      <c r="D5964" s="1445"/>
      <c r="E5964" s="818" t="s">
        <v>166</v>
      </c>
      <c r="F5964" s="1006" t="s">
        <v>7046</v>
      </c>
      <c r="G5964" s="863" t="s">
        <v>20162</v>
      </c>
      <c r="H5964" s="222" t="s">
        <v>20163</v>
      </c>
      <c r="I5964" s="222" t="s">
        <v>1022</v>
      </c>
      <c r="J5964" s="183" t="s">
        <v>20164</v>
      </c>
      <c r="K5964" s="183" t="s">
        <v>149</v>
      </c>
      <c r="L5964" s="613" t="s">
        <v>149</v>
      </c>
      <c r="M5964" s="183">
        <v>1</v>
      </c>
      <c r="N5964" s="183">
        <v>1</v>
      </c>
      <c r="O5964" s="222">
        <v>1</v>
      </c>
      <c r="P5964" s="222">
        <v>0</v>
      </c>
      <c r="Q5964" s="222">
        <v>0</v>
      </c>
      <c r="R5964" s="1195">
        <v>1192</v>
      </c>
      <c r="S5964" s="1195">
        <f t="shared" si="319"/>
        <v>1192</v>
      </c>
      <c r="T5964" s="222" t="s">
        <v>12425</v>
      </c>
      <c r="U5964" s="1527" t="s">
        <v>20165</v>
      </c>
      <c r="V5964" s="222" t="s">
        <v>104</v>
      </c>
      <c r="W5964" s="2155" t="s">
        <v>20166</v>
      </c>
      <c r="X5964" s="818"/>
      <c r="Y5964" s="1161"/>
    </row>
    <row r="5965" spans="1:25" ht="15.75" hidden="1" customHeight="1" outlineLevel="1">
      <c r="A5965" s="222">
        <f t="shared" si="318"/>
        <v>5974</v>
      </c>
      <c r="B5965" s="858">
        <v>44840</v>
      </c>
      <c r="C5965" s="129" t="s">
        <v>20167</v>
      </c>
      <c r="D5965" s="1445"/>
      <c r="E5965" s="818" t="s">
        <v>166</v>
      </c>
      <c r="F5965" s="1006" t="s">
        <v>7046</v>
      </c>
      <c r="G5965" s="859" t="s">
        <v>20168</v>
      </c>
      <c r="H5965" s="222" t="s">
        <v>12842</v>
      </c>
      <c r="I5965" s="222" t="s">
        <v>429</v>
      </c>
      <c r="J5965" s="183" t="s">
        <v>20169</v>
      </c>
      <c r="K5965" s="183" t="s">
        <v>20169</v>
      </c>
      <c r="L5965" s="613" t="s">
        <v>149</v>
      </c>
      <c r="M5965" s="183">
        <v>3</v>
      </c>
      <c r="N5965" s="183">
        <v>3</v>
      </c>
      <c r="O5965" s="222">
        <v>3</v>
      </c>
      <c r="P5965" s="222">
        <v>0</v>
      </c>
      <c r="Q5965" s="222">
        <v>0</v>
      </c>
      <c r="R5965" s="1195">
        <v>2453</v>
      </c>
      <c r="S5965" s="1195">
        <f t="shared" si="319"/>
        <v>7359</v>
      </c>
      <c r="T5965" s="222" t="s">
        <v>12425</v>
      </c>
      <c r="U5965" s="1527" t="s">
        <v>20165</v>
      </c>
      <c r="V5965" s="222" t="s">
        <v>104</v>
      </c>
      <c r="W5965" s="2155" t="s">
        <v>20170</v>
      </c>
      <c r="X5965" s="818"/>
      <c r="Y5965" s="1161"/>
    </row>
    <row r="5966" spans="1:25" ht="15.75" hidden="1" customHeight="1" outlineLevel="1">
      <c r="A5966" s="222">
        <f t="shared" si="318"/>
        <v>5975</v>
      </c>
      <c r="B5966" s="858">
        <v>44840</v>
      </c>
      <c r="C5966" s="129" t="s">
        <v>20171</v>
      </c>
      <c r="D5966" s="1445"/>
      <c r="E5966" s="818" t="s">
        <v>166</v>
      </c>
      <c r="F5966" s="1006" t="s">
        <v>7046</v>
      </c>
      <c r="G5966" s="859" t="s">
        <v>20172</v>
      </c>
      <c r="H5966" s="222" t="s">
        <v>12842</v>
      </c>
      <c r="I5966" s="222" t="s">
        <v>429</v>
      </c>
      <c r="J5966" s="183" t="s">
        <v>20173</v>
      </c>
      <c r="K5966" s="183" t="s">
        <v>20173</v>
      </c>
      <c r="L5966" s="613" t="s">
        <v>149</v>
      </c>
      <c r="M5966" s="183">
        <v>3</v>
      </c>
      <c r="N5966" s="183">
        <v>3</v>
      </c>
      <c r="O5966" s="222">
        <v>3</v>
      </c>
      <c r="P5966" s="222">
        <v>0</v>
      </c>
      <c r="Q5966" s="222">
        <v>0</v>
      </c>
      <c r="R5966" s="1195">
        <v>2267</v>
      </c>
      <c r="S5966" s="1195">
        <f t="shared" si="319"/>
        <v>6801</v>
      </c>
      <c r="T5966" s="222" t="s">
        <v>12425</v>
      </c>
      <c r="U5966" s="1527" t="s">
        <v>20165</v>
      </c>
      <c r="V5966" s="222" t="s">
        <v>104</v>
      </c>
      <c r="W5966" s="2155" t="s">
        <v>20174</v>
      </c>
      <c r="X5966" s="818"/>
      <c r="Y5966" s="1161"/>
    </row>
    <row r="5967" spans="1:25" ht="15.75" hidden="1" customHeight="1" outlineLevel="1">
      <c r="A5967" s="222">
        <f t="shared" si="318"/>
        <v>5976</v>
      </c>
      <c r="B5967" s="858">
        <v>44840</v>
      </c>
      <c r="C5967" s="129" t="s">
        <v>17838</v>
      </c>
      <c r="D5967" s="1445"/>
      <c r="E5967" s="818" t="s">
        <v>166</v>
      </c>
      <c r="F5967" s="1006" t="s">
        <v>7046</v>
      </c>
      <c r="G5967" s="863" t="s">
        <v>20175</v>
      </c>
      <c r="H5967" s="222" t="s">
        <v>12842</v>
      </c>
      <c r="I5967" s="222" t="s">
        <v>84</v>
      </c>
      <c r="J5967" s="183" t="s">
        <v>20176</v>
      </c>
      <c r="K5967" s="183" t="s">
        <v>20176</v>
      </c>
      <c r="L5967" s="613" t="s">
        <v>149</v>
      </c>
      <c r="M5967" s="183">
        <v>2</v>
      </c>
      <c r="N5967" s="183">
        <v>2</v>
      </c>
      <c r="O5967" s="222">
        <v>2</v>
      </c>
      <c r="P5967" s="222">
        <v>0</v>
      </c>
      <c r="Q5967" s="222">
        <v>0</v>
      </c>
      <c r="R5967" s="1195">
        <v>431</v>
      </c>
      <c r="S5967" s="1195">
        <f t="shared" si="319"/>
        <v>862</v>
      </c>
      <c r="T5967" s="222" t="s">
        <v>12425</v>
      </c>
      <c r="U5967" s="1527" t="s">
        <v>20165</v>
      </c>
      <c r="V5967" s="222" t="s">
        <v>104</v>
      </c>
      <c r="W5967" s="2155" t="s">
        <v>20177</v>
      </c>
      <c r="X5967" s="818"/>
      <c r="Y5967" s="1161"/>
    </row>
    <row r="5968" spans="1:25" ht="15.75" hidden="1" customHeight="1" outlineLevel="1">
      <c r="A5968" s="222">
        <f t="shared" si="318"/>
        <v>5977</v>
      </c>
      <c r="B5968" s="858">
        <v>44840</v>
      </c>
      <c r="C5968" s="129" t="s">
        <v>20178</v>
      </c>
      <c r="D5968" s="1445"/>
      <c r="E5968" s="818" t="s">
        <v>166</v>
      </c>
      <c r="F5968" s="1006" t="s">
        <v>7046</v>
      </c>
      <c r="G5968" s="863" t="s">
        <v>20179</v>
      </c>
      <c r="H5968" s="222" t="s">
        <v>20180</v>
      </c>
      <c r="I5968" s="222" t="s">
        <v>84</v>
      </c>
      <c r="J5968" s="183">
        <v>33533168</v>
      </c>
      <c r="K5968" s="183" t="s">
        <v>20181</v>
      </c>
      <c r="L5968" s="613" t="s">
        <v>149</v>
      </c>
      <c r="M5968" s="183">
        <v>1</v>
      </c>
      <c r="N5968" s="183">
        <v>1</v>
      </c>
      <c r="O5968" s="222">
        <v>1</v>
      </c>
      <c r="P5968" s="222">
        <v>0</v>
      </c>
      <c r="Q5968" s="222">
        <v>0</v>
      </c>
      <c r="R5968" s="1195">
        <v>759</v>
      </c>
      <c r="S5968" s="1195">
        <f t="shared" si="319"/>
        <v>759</v>
      </c>
      <c r="T5968" s="222" t="s">
        <v>12425</v>
      </c>
      <c r="U5968" s="1527" t="s">
        <v>20165</v>
      </c>
      <c r="V5968" s="222" t="s">
        <v>104</v>
      </c>
      <c r="W5968" s="2155" t="s">
        <v>20182</v>
      </c>
      <c r="X5968" s="818"/>
      <c r="Y5968" s="1161"/>
    </row>
    <row r="5969" spans="1:25" ht="15.75" hidden="1" customHeight="1" outlineLevel="1">
      <c r="A5969" s="222">
        <f t="shared" si="318"/>
        <v>5978</v>
      </c>
      <c r="B5969" s="858">
        <v>44840</v>
      </c>
      <c r="C5969" s="129" t="s">
        <v>3750</v>
      </c>
      <c r="D5969" s="1445"/>
      <c r="E5969" s="818" t="s">
        <v>166</v>
      </c>
      <c r="F5969" s="1006" t="s">
        <v>7046</v>
      </c>
      <c r="G5969" s="863" t="s">
        <v>20183</v>
      </c>
      <c r="H5969" s="222" t="s">
        <v>6242</v>
      </c>
      <c r="I5969" s="222" t="s">
        <v>84</v>
      </c>
      <c r="J5969" s="183">
        <v>34665565</v>
      </c>
      <c r="K5969" s="183" t="s">
        <v>6244</v>
      </c>
      <c r="L5969" s="613" t="s">
        <v>149</v>
      </c>
      <c r="M5969" s="183">
        <v>1</v>
      </c>
      <c r="N5969" s="183">
        <v>1</v>
      </c>
      <c r="O5969" s="222">
        <v>1</v>
      </c>
      <c r="P5969" s="222">
        <v>0</v>
      </c>
      <c r="Q5969" s="222">
        <v>0</v>
      </c>
      <c r="R5969" s="1195">
        <v>699</v>
      </c>
      <c r="S5969" s="1195">
        <f t="shared" si="319"/>
        <v>699</v>
      </c>
      <c r="T5969" s="222" t="s">
        <v>12425</v>
      </c>
      <c r="U5969" s="1527" t="s">
        <v>20165</v>
      </c>
      <c r="V5969" s="222" t="s">
        <v>104</v>
      </c>
      <c r="W5969" s="2155" t="s">
        <v>424</v>
      </c>
      <c r="X5969" s="818"/>
      <c r="Y5969" s="1161"/>
    </row>
    <row r="5970" spans="1:25" ht="15.75" hidden="1" customHeight="1" outlineLevel="1">
      <c r="A5970" s="222">
        <f t="shared" si="318"/>
        <v>5979</v>
      </c>
      <c r="B5970" s="858">
        <v>44840</v>
      </c>
      <c r="C5970" s="2203" t="s">
        <v>13001</v>
      </c>
      <c r="D5970" s="1445" t="s">
        <v>6</v>
      </c>
      <c r="E5970" s="818" t="s">
        <v>683</v>
      </c>
      <c r="F5970" s="1039" t="s">
        <v>10005</v>
      </c>
      <c r="G5970" s="873" t="s">
        <v>13002</v>
      </c>
      <c r="H5970" s="873" t="s">
        <v>13003</v>
      </c>
      <c r="I5970" s="873" t="s">
        <v>84</v>
      </c>
      <c r="J5970" s="873">
        <v>60789426</v>
      </c>
      <c r="K5970" s="873" t="s">
        <v>13004</v>
      </c>
      <c r="L5970" s="873" t="s">
        <v>149</v>
      </c>
      <c r="M5970" s="873">
        <v>3</v>
      </c>
      <c r="N5970" s="873">
        <v>1</v>
      </c>
      <c r="O5970" s="873">
        <v>5</v>
      </c>
      <c r="P5970" s="873">
        <v>0</v>
      </c>
      <c r="Q5970" s="873">
        <v>2</v>
      </c>
      <c r="R5970" s="1733">
        <v>2490</v>
      </c>
      <c r="S5970" s="1680">
        <v>12450</v>
      </c>
      <c r="T5970" s="873" t="s">
        <v>4220</v>
      </c>
      <c r="U5970" s="873" t="s">
        <v>4220</v>
      </c>
      <c r="V5970" s="873" t="s">
        <v>5604</v>
      </c>
      <c r="W5970" s="1126" t="s">
        <v>20184</v>
      </c>
      <c r="X5970" s="818"/>
      <c r="Y5970" s="1161"/>
    </row>
    <row r="5971" spans="1:25" ht="15.75" hidden="1" customHeight="1" outlineLevel="1">
      <c r="A5971" s="222">
        <f t="shared" si="318"/>
        <v>5980</v>
      </c>
      <c r="B5971" s="858">
        <v>44840</v>
      </c>
      <c r="C5971" s="129" t="s">
        <v>20185</v>
      </c>
      <c r="D5971" s="11" t="s">
        <v>6</v>
      </c>
      <c r="E5971" s="818" t="s">
        <v>572</v>
      </c>
      <c r="F5971" s="1006" t="s">
        <v>784</v>
      </c>
      <c r="G5971" s="863" t="s">
        <v>20186</v>
      </c>
      <c r="H5971" s="222" t="s">
        <v>149</v>
      </c>
      <c r="I5971" s="222" t="s">
        <v>281</v>
      </c>
      <c r="J5971" s="183" t="s">
        <v>149</v>
      </c>
      <c r="K5971" s="183" t="s">
        <v>149</v>
      </c>
      <c r="L5971" s="613" t="s">
        <v>149</v>
      </c>
      <c r="M5971" s="183">
        <v>1</v>
      </c>
      <c r="N5971" s="183">
        <v>1</v>
      </c>
      <c r="O5971" s="222">
        <v>1</v>
      </c>
      <c r="P5971" s="222">
        <v>0</v>
      </c>
      <c r="Q5971" s="222">
        <v>0</v>
      </c>
      <c r="R5971" s="1195">
        <v>3500</v>
      </c>
      <c r="S5971" s="1195">
        <f t="shared" si="319"/>
        <v>3500</v>
      </c>
      <c r="T5971" s="222" t="s">
        <v>10016</v>
      </c>
      <c r="U5971" s="1527" t="s">
        <v>10016</v>
      </c>
      <c r="V5971" s="222" t="s">
        <v>10323</v>
      </c>
      <c r="W5971" s="2155"/>
      <c r="X5971" s="818"/>
      <c r="Y5971" s="1161"/>
    </row>
    <row r="5972" spans="1:25" ht="15.75" hidden="1" customHeight="1" outlineLevel="1">
      <c r="A5972" s="222">
        <f t="shared" si="318"/>
        <v>5981</v>
      </c>
      <c r="B5972" s="858">
        <v>44840</v>
      </c>
      <c r="C5972" s="26" t="s">
        <v>9310</v>
      </c>
      <c r="D5972" s="8" t="s">
        <v>6</v>
      </c>
      <c r="E5972" s="818" t="s">
        <v>166</v>
      </c>
      <c r="F5972" s="1006" t="s">
        <v>18666</v>
      </c>
      <c r="G5972" s="26" t="s">
        <v>9311</v>
      </c>
      <c r="H5972" s="237" t="s">
        <v>5763</v>
      </c>
      <c r="I5972" s="26" t="s">
        <v>8025</v>
      </c>
      <c r="J5972" s="26" t="s">
        <v>9312</v>
      </c>
      <c r="K5972" s="26" t="s">
        <v>9312</v>
      </c>
      <c r="L5972" s="613" t="s">
        <v>149</v>
      </c>
      <c r="M5972" s="26">
        <v>1</v>
      </c>
      <c r="N5972" s="26">
        <v>1</v>
      </c>
      <c r="O5972" s="26">
        <v>2</v>
      </c>
      <c r="P5972" s="26">
        <v>0</v>
      </c>
      <c r="Q5972" s="26">
        <v>1</v>
      </c>
      <c r="R5972" s="1209">
        <v>360</v>
      </c>
      <c r="S5972" s="1195">
        <f t="shared" si="319"/>
        <v>720</v>
      </c>
      <c r="T5972" s="222" t="s">
        <v>18479</v>
      </c>
      <c r="U5972" s="1527" t="s">
        <v>18670</v>
      </c>
      <c r="V5972" s="222" t="s">
        <v>104</v>
      </c>
      <c r="W5972" s="701" t="s">
        <v>9313</v>
      </c>
      <c r="X5972" s="818"/>
      <c r="Y5972" s="1161"/>
    </row>
    <row r="5973" spans="1:25" ht="15.75" hidden="1" customHeight="1" outlineLevel="1">
      <c r="A5973" s="222">
        <f t="shared" si="318"/>
        <v>5982</v>
      </c>
      <c r="B5973" s="858">
        <v>44840</v>
      </c>
      <c r="C5973" s="129" t="s">
        <v>20187</v>
      </c>
      <c r="D5973" s="8" t="s">
        <v>6</v>
      </c>
      <c r="E5973" s="818" t="s">
        <v>166</v>
      </c>
      <c r="F5973" s="1006" t="s">
        <v>18666</v>
      </c>
      <c r="G5973" s="863" t="s">
        <v>20188</v>
      </c>
      <c r="H5973" s="222" t="s">
        <v>8535</v>
      </c>
      <c r="I5973" s="222" t="s">
        <v>84</v>
      </c>
      <c r="J5973" s="183">
        <v>7330373</v>
      </c>
      <c r="K5973" s="1500" t="s">
        <v>20189</v>
      </c>
      <c r="L5973" s="613" t="s">
        <v>149</v>
      </c>
      <c r="M5973" s="183">
        <v>1</v>
      </c>
      <c r="N5973" s="183">
        <v>1</v>
      </c>
      <c r="O5973" s="222">
        <v>1</v>
      </c>
      <c r="P5973" s="222">
        <v>0</v>
      </c>
      <c r="Q5973" s="222">
        <v>0</v>
      </c>
      <c r="R5973" s="1195">
        <v>999</v>
      </c>
      <c r="S5973" s="1195">
        <f t="shared" si="319"/>
        <v>999</v>
      </c>
      <c r="T5973" s="222" t="s">
        <v>18479</v>
      </c>
      <c r="U5973" s="1527" t="s">
        <v>18670</v>
      </c>
      <c r="V5973" s="222" t="s">
        <v>104</v>
      </c>
      <c r="W5973" s="2155" t="s">
        <v>20190</v>
      </c>
      <c r="X5973" s="818"/>
      <c r="Y5973" s="1161"/>
    </row>
    <row r="5974" spans="1:25" ht="15.75" hidden="1" customHeight="1" outlineLevel="1">
      <c r="A5974" s="222">
        <f t="shared" si="318"/>
        <v>5983</v>
      </c>
      <c r="B5974" s="854">
        <v>44840</v>
      </c>
      <c r="C5974" s="129" t="s">
        <v>20191</v>
      </c>
      <c r="D5974" s="8" t="s">
        <v>6</v>
      </c>
      <c r="E5974" s="818" t="s">
        <v>166</v>
      </c>
      <c r="F5974" s="1006" t="s">
        <v>18666</v>
      </c>
      <c r="G5974" s="859" t="s">
        <v>20192</v>
      </c>
      <c r="H5974" s="222" t="s">
        <v>8535</v>
      </c>
      <c r="I5974" s="222" t="s">
        <v>84</v>
      </c>
      <c r="J5974" s="2216">
        <v>37597025</v>
      </c>
      <c r="K5974" s="2217" t="s">
        <v>20193</v>
      </c>
      <c r="L5974" s="613" t="s">
        <v>149</v>
      </c>
      <c r="M5974" s="183">
        <v>1</v>
      </c>
      <c r="N5974" s="183">
        <v>1</v>
      </c>
      <c r="O5974" s="222">
        <v>5</v>
      </c>
      <c r="P5974" s="222">
        <v>0</v>
      </c>
      <c r="Q5974" s="222">
        <v>4</v>
      </c>
      <c r="R5974" s="1195">
        <v>789</v>
      </c>
      <c r="S5974" s="1195">
        <f t="shared" si="319"/>
        <v>3945</v>
      </c>
      <c r="T5974" s="222" t="s">
        <v>18479</v>
      </c>
      <c r="U5974" s="1527" t="s">
        <v>18670</v>
      </c>
      <c r="V5974" s="222" t="s">
        <v>104</v>
      </c>
      <c r="W5974" s="2155" t="s">
        <v>20194</v>
      </c>
      <c r="X5974" s="818"/>
      <c r="Y5974" s="1161"/>
    </row>
    <row r="5975" spans="1:25" ht="15.75" hidden="1" customHeight="1" outlineLevel="1">
      <c r="A5975" s="1527">
        <f t="shared" si="318"/>
        <v>5984</v>
      </c>
      <c r="B5975" s="2218">
        <v>44840</v>
      </c>
      <c r="C5975" s="688" t="s">
        <v>18365</v>
      </c>
      <c r="D5975" s="8" t="s">
        <v>6</v>
      </c>
      <c r="E5975" s="818" t="s">
        <v>166</v>
      </c>
      <c r="F5975" s="1006" t="s">
        <v>18666</v>
      </c>
      <c r="G5975" s="863" t="s">
        <v>20195</v>
      </c>
      <c r="H5975" s="222" t="s">
        <v>429</v>
      </c>
      <c r="I5975" s="1527" t="s">
        <v>429</v>
      </c>
      <c r="J5975" s="613" t="s">
        <v>20196</v>
      </c>
      <c r="K5975" s="613" t="s">
        <v>20196</v>
      </c>
      <c r="L5975" s="780" t="s">
        <v>149</v>
      </c>
      <c r="M5975" s="183">
        <v>5</v>
      </c>
      <c r="N5975" s="183">
        <v>1</v>
      </c>
      <c r="O5975" s="222">
        <v>5</v>
      </c>
      <c r="P5975" s="222">
        <v>0</v>
      </c>
      <c r="Q5975" s="222">
        <v>0</v>
      </c>
      <c r="R5975" s="1195">
        <v>58</v>
      </c>
      <c r="S5975" s="1195">
        <f>R5975*O5975</f>
        <v>290</v>
      </c>
      <c r="T5975" s="222" t="s">
        <v>18479</v>
      </c>
      <c r="U5975" s="1527" t="s">
        <v>17352</v>
      </c>
      <c r="V5975" s="222" t="s">
        <v>104</v>
      </c>
      <c r="W5975" s="2155" t="s">
        <v>20197</v>
      </c>
      <c r="X5975" s="818"/>
      <c r="Y5975" s="1161"/>
    </row>
    <row r="5976" spans="1:25" ht="15.75" hidden="1" customHeight="1" outlineLevel="1">
      <c r="A5976" s="1527">
        <f t="shared" si="318"/>
        <v>5985</v>
      </c>
      <c r="B5976" s="2218">
        <v>44840</v>
      </c>
      <c r="C5976" s="688" t="s">
        <v>12439</v>
      </c>
      <c r="D5976" s="8" t="s">
        <v>6</v>
      </c>
      <c r="E5976" s="818" t="s">
        <v>166</v>
      </c>
      <c r="F5976" s="1006" t="s">
        <v>18666</v>
      </c>
      <c r="G5976" s="863" t="s">
        <v>20198</v>
      </c>
      <c r="H5976" s="222" t="s">
        <v>429</v>
      </c>
      <c r="I5976" s="222" t="s">
        <v>429</v>
      </c>
      <c r="J5976" s="225" t="s">
        <v>10984</v>
      </c>
      <c r="K5976" s="225" t="s">
        <v>10984</v>
      </c>
      <c r="L5976" s="613" t="s">
        <v>149</v>
      </c>
      <c r="M5976" s="183">
        <v>10</v>
      </c>
      <c r="N5976" s="183">
        <v>1</v>
      </c>
      <c r="O5976" s="222">
        <v>10</v>
      </c>
      <c r="P5976" s="222">
        <v>0</v>
      </c>
      <c r="Q5976" s="222">
        <v>0</v>
      </c>
      <c r="R5976" s="1195">
        <v>230</v>
      </c>
      <c r="S5976" s="1195">
        <f t="shared" si="319"/>
        <v>2300</v>
      </c>
      <c r="T5976" s="222" t="s">
        <v>18479</v>
      </c>
      <c r="U5976" s="1527" t="s">
        <v>17352</v>
      </c>
      <c r="V5976" s="222" t="s">
        <v>104</v>
      </c>
      <c r="W5976" s="2155" t="s">
        <v>20199</v>
      </c>
      <c r="X5976" s="818"/>
      <c r="Y5976" s="1161"/>
    </row>
    <row r="5977" spans="1:25" ht="15.75" hidden="1" customHeight="1" outlineLevel="1">
      <c r="A5977" s="1527">
        <f t="shared" si="318"/>
        <v>5986</v>
      </c>
      <c r="B5977" s="2218">
        <v>44840</v>
      </c>
      <c r="C5977" s="688" t="s">
        <v>20200</v>
      </c>
      <c r="D5977" s="8" t="s">
        <v>6</v>
      </c>
      <c r="E5977" s="818" t="s">
        <v>166</v>
      </c>
      <c r="F5977" s="1006" t="s">
        <v>18666</v>
      </c>
      <c r="G5977" s="863" t="s">
        <v>20201</v>
      </c>
      <c r="H5977" s="222" t="s">
        <v>429</v>
      </c>
      <c r="I5977" s="222" t="s">
        <v>429</v>
      </c>
      <c r="J5977" s="183" t="s">
        <v>20202</v>
      </c>
      <c r="K5977" s="183" t="s">
        <v>20202</v>
      </c>
      <c r="L5977" s="613" t="s">
        <v>149</v>
      </c>
      <c r="M5977" s="183">
        <v>5</v>
      </c>
      <c r="N5977" s="183">
        <v>1</v>
      </c>
      <c r="O5977" s="222">
        <v>5</v>
      </c>
      <c r="P5977" s="222">
        <v>0</v>
      </c>
      <c r="Q5977" s="222">
        <v>0</v>
      </c>
      <c r="R5977" s="1195">
        <v>263</v>
      </c>
      <c r="S5977" s="1195">
        <f t="shared" si="319"/>
        <v>1315</v>
      </c>
      <c r="T5977" s="222" t="s">
        <v>18479</v>
      </c>
      <c r="U5977" s="1527" t="s">
        <v>17352</v>
      </c>
      <c r="V5977" s="222" t="s">
        <v>104</v>
      </c>
      <c r="W5977" s="1815" t="s">
        <v>20203</v>
      </c>
      <c r="X5977" s="818"/>
      <c r="Y5977" s="1161"/>
    </row>
    <row r="5978" spans="1:25" ht="15.75" hidden="1" customHeight="1" outlineLevel="1">
      <c r="A5978" s="1527">
        <f t="shared" si="318"/>
        <v>5987</v>
      </c>
      <c r="B5978" s="2218">
        <v>44840</v>
      </c>
      <c r="C5978" s="688" t="s">
        <v>20204</v>
      </c>
      <c r="D5978" s="8" t="s">
        <v>6</v>
      </c>
      <c r="E5978" s="818" t="s">
        <v>166</v>
      </c>
      <c r="F5978" s="1006" t="s">
        <v>18666</v>
      </c>
      <c r="G5978" s="863" t="s">
        <v>20205</v>
      </c>
      <c r="H5978" s="222" t="s">
        <v>429</v>
      </c>
      <c r="I5978" s="222" t="s">
        <v>429</v>
      </c>
      <c r="J5978" s="183" t="s">
        <v>20206</v>
      </c>
      <c r="K5978" s="183" t="s">
        <v>20206</v>
      </c>
      <c r="L5978" s="613" t="s">
        <v>149</v>
      </c>
      <c r="M5978" s="183">
        <v>15</v>
      </c>
      <c r="N5978" s="183">
        <v>1</v>
      </c>
      <c r="O5978" s="222">
        <v>15</v>
      </c>
      <c r="P5978" s="222">
        <v>0</v>
      </c>
      <c r="Q5978" s="222">
        <v>0</v>
      </c>
      <c r="R5978" s="1195">
        <v>174</v>
      </c>
      <c r="S5978" s="1195">
        <f t="shared" si="319"/>
        <v>2610</v>
      </c>
      <c r="T5978" s="222" t="s">
        <v>18479</v>
      </c>
      <c r="U5978" s="1527" t="s">
        <v>17352</v>
      </c>
      <c r="V5978" s="222" t="s">
        <v>104</v>
      </c>
      <c r="W5978" s="2155" t="s">
        <v>20203</v>
      </c>
      <c r="X5978" s="818"/>
      <c r="Y5978" s="1161"/>
    </row>
    <row r="5979" spans="1:25" ht="15.75" hidden="1" customHeight="1" outlineLevel="1">
      <c r="A5979" s="222">
        <f t="shared" si="318"/>
        <v>5988</v>
      </c>
      <c r="B5979" s="1434">
        <v>44841</v>
      </c>
      <c r="C5979" s="129" t="s">
        <v>20207</v>
      </c>
      <c r="D5979" s="8" t="s">
        <v>6</v>
      </c>
      <c r="E5979" s="818" t="s">
        <v>166</v>
      </c>
      <c r="F5979" s="1006" t="s">
        <v>19647</v>
      </c>
      <c r="G5979" s="863" t="s">
        <v>19648</v>
      </c>
      <c r="H5979" s="222" t="s">
        <v>1143</v>
      </c>
      <c r="I5979" s="222" t="s">
        <v>84</v>
      </c>
      <c r="J5979" s="183">
        <v>58274135</v>
      </c>
      <c r="K5979" s="183" t="s">
        <v>19649</v>
      </c>
      <c r="L5979" s="613"/>
      <c r="M5979" s="183">
        <v>2</v>
      </c>
      <c r="N5979" s="183">
        <v>1</v>
      </c>
      <c r="O5979" s="222">
        <v>2</v>
      </c>
      <c r="P5979" s="222">
        <v>1</v>
      </c>
      <c r="Q5979" s="222">
        <v>3</v>
      </c>
      <c r="R5979" s="1195">
        <v>219</v>
      </c>
      <c r="S5979" s="1195">
        <f t="shared" si="319"/>
        <v>438</v>
      </c>
      <c r="T5979" s="222" t="s">
        <v>18479</v>
      </c>
      <c r="U5979" s="1527" t="s">
        <v>2703</v>
      </c>
      <c r="V5979" s="222" t="s">
        <v>14002</v>
      </c>
      <c r="W5979" s="2155" t="s">
        <v>19650</v>
      </c>
      <c r="X5979" s="818"/>
      <c r="Y5979" s="1161"/>
    </row>
    <row r="5980" spans="1:25" ht="15.75" hidden="1" customHeight="1" outlineLevel="1">
      <c r="A5980" s="222">
        <f t="shared" si="318"/>
        <v>5989</v>
      </c>
      <c r="B5980" s="1434">
        <v>44841</v>
      </c>
      <c r="C5980" s="129" t="s">
        <v>20208</v>
      </c>
      <c r="D5980" s="8" t="s">
        <v>6</v>
      </c>
      <c r="E5980" s="818" t="s">
        <v>166</v>
      </c>
      <c r="F5980" s="1006" t="s">
        <v>19647</v>
      </c>
      <c r="G5980" s="863" t="s">
        <v>20209</v>
      </c>
      <c r="H5980" s="222" t="s">
        <v>1143</v>
      </c>
      <c r="I5980" s="222" t="s">
        <v>84</v>
      </c>
      <c r="J5980" s="183">
        <v>40789736</v>
      </c>
      <c r="K5980" s="183" t="s">
        <v>20210</v>
      </c>
      <c r="L5980" s="613"/>
      <c r="M5980" s="183">
        <v>1</v>
      </c>
      <c r="N5980" s="183">
        <v>1</v>
      </c>
      <c r="O5980" s="222">
        <v>1</v>
      </c>
      <c r="P5980" s="222">
        <v>0</v>
      </c>
      <c r="Q5980" s="222">
        <v>1</v>
      </c>
      <c r="R5980" s="1195">
        <v>199</v>
      </c>
      <c r="S5980" s="1195">
        <f t="shared" si="319"/>
        <v>199</v>
      </c>
      <c r="T5980" s="222" t="s">
        <v>18479</v>
      </c>
      <c r="U5980" s="1527" t="s">
        <v>2703</v>
      </c>
      <c r="V5980" s="222" t="s">
        <v>14002</v>
      </c>
      <c r="W5980" s="2155" t="s">
        <v>20211</v>
      </c>
      <c r="X5980" s="818"/>
      <c r="Y5980" s="1161"/>
    </row>
    <row r="5981" spans="1:25" ht="12.75" hidden="1" customHeight="1" outlineLevel="1">
      <c r="A5981" s="222">
        <f t="shared" si="318"/>
        <v>5990</v>
      </c>
      <c r="B5981" s="1434">
        <v>44841</v>
      </c>
      <c r="C5981" s="129" t="s">
        <v>20212</v>
      </c>
      <c r="D5981" s="8" t="s">
        <v>6</v>
      </c>
      <c r="E5981" s="818" t="s">
        <v>166</v>
      </c>
      <c r="F5981" s="1006" t="s">
        <v>19647</v>
      </c>
      <c r="G5981" s="863" t="s">
        <v>20213</v>
      </c>
      <c r="H5981" s="222" t="s">
        <v>20214</v>
      </c>
      <c r="I5981" s="222" t="s">
        <v>84</v>
      </c>
      <c r="J5981" s="183">
        <v>5233418</v>
      </c>
      <c r="K5981" s="183" t="s">
        <v>20215</v>
      </c>
      <c r="L5981" s="613"/>
      <c r="M5981" s="183">
        <v>1</v>
      </c>
      <c r="N5981" s="183">
        <v>1</v>
      </c>
      <c r="O5981" s="222">
        <v>1</v>
      </c>
      <c r="P5981" s="222">
        <v>0</v>
      </c>
      <c r="Q5981" s="222">
        <v>1</v>
      </c>
      <c r="R5981" s="1195">
        <v>959</v>
      </c>
      <c r="S5981" s="1195">
        <f t="shared" si="319"/>
        <v>959</v>
      </c>
      <c r="T5981" s="222" t="s">
        <v>18479</v>
      </c>
      <c r="U5981" s="1527" t="s">
        <v>2703</v>
      </c>
      <c r="V5981" s="222" t="s">
        <v>14002</v>
      </c>
      <c r="W5981" s="2274" t="s">
        <v>20216</v>
      </c>
      <c r="X5981" s="818"/>
      <c r="Y5981" s="1161"/>
    </row>
    <row r="5982" spans="1:25" ht="12.75" hidden="1" customHeight="1" outlineLevel="1">
      <c r="A5982" s="222">
        <f t="shared" si="318"/>
        <v>5991</v>
      </c>
      <c r="B5982" s="858">
        <v>44845</v>
      </c>
      <c r="C5982" s="129" t="s">
        <v>11696</v>
      </c>
      <c r="D5982" s="11" t="s">
        <v>6</v>
      </c>
      <c r="E5982" s="818" t="s">
        <v>166</v>
      </c>
      <c r="F5982" s="1006" t="s">
        <v>18666</v>
      </c>
      <c r="G5982" s="863" t="s">
        <v>20217</v>
      </c>
      <c r="H5982" s="222" t="s">
        <v>18712</v>
      </c>
      <c r="I5982" s="222" t="s">
        <v>18712</v>
      </c>
      <c r="J5982" s="183" t="s">
        <v>1</v>
      </c>
      <c r="K5982" s="183" t="s">
        <v>1</v>
      </c>
      <c r="L5982" s="183" t="s">
        <v>1</v>
      </c>
      <c r="M5982" s="183">
        <v>2</v>
      </c>
      <c r="N5982" s="183">
        <v>1</v>
      </c>
      <c r="O5982" s="222">
        <v>5</v>
      </c>
      <c r="P5982" s="222">
        <v>0</v>
      </c>
      <c r="Q5982" s="222">
        <v>1</v>
      </c>
      <c r="R5982" s="1195">
        <v>4700</v>
      </c>
      <c r="S5982" s="1195">
        <f>R5982*O5982</f>
        <v>23500</v>
      </c>
      <c r="T5982" s="222" t="s">
        <v>19007</v>
      </c>
      <c r="U5982" s="1527" t="s">
        <v>18670</v>
      </c>
      <c r="V5982" s="1841" t="s">
        <v>11676</v>
      </c>
      <c r="W5982" s="2155" t="s">
        <v>19096</v>
      </c>
      <c r="X5982" s="818"/>
      <c r="Y5982" s="1161"/>
    </row>
    <row r="5983" spans="1:25" ht="12.75" hidden="1" customHeight="1" outlineLevel="1">
      <c r="A5983" s="222">
        <f t="shared" si="318"/>
        <v>5992</v>
      </c>
      <c r="B5983" s="858">
        <v>44845</v>
      </c>
      <c r="C5983" s="129" t="s">
        <v>20218</v>
      </c>
      <c r="D5983" s="8" t="s">
        <v>6</v>
      </c>
      <c r="E5983" s="818" t="s">
        <v>166</v>
      </c>
      <c r="F5983" s="1006" t="s">
        <v>18540</v>
      </c>
      <c r="G5983" s="863" t="s">
        <v>20219</v>
      </c>
      <c r="H5983" s="222" t="s">
        <v>84</v>
      </c>
      <c r="I5983" s="222" t="s">
        <v>84</v>
      </c>
      <c r="J5983" s="183">
        <v>56388508</v>
      </c>
      <c r="K5983" s="183">
        <v>10</v>
      </c>
      <c r="L5983" s="613" t="s">
        <v>1</v>
      </c>
      <c r="M5983" s="183">
        <v>1</v>
      </c>
      <c r="N5983" s="183">
        <v>1</v>
      </c>
      <c r="O5983" s="222">
        <v>1</v>
      </c>
      <c r="P5983" s="222">
        <v>0</v>
      </c>
      <c r="Q5983" s="222">
        <v>1</v>
      </c>
      <c r="R5983" s="1195">
        <v>1190</v>
      </c>
      <c r="S5983" s="1195">
        <f t="shared" si="319"/>
        <v>1190</v>
      </c>
      <c r="T5983" s="1195" t="s">
        <v>14752</v>
      </c>
      <c r="U5983" s="1527" t="s">
        <v>9101</v>
      </c>
      <c r="V5983" s="222" t="s">
        <v>11676</v>
      </c>
      <c r="W5983" s="2155" t="s">
        <v>20220</v>
      </c>
      <c r="X5983" s="818"/>
      <c r="Y5983" s="1161"/>
    </row>
    <row r="5984" spans="1:25" ht="12.75" hidden="1" customHeight="1" outlineLevel="1">
      <c r="A5984" s="222">
        <f t="shared" si="318"/>
        <v>5993</v>
      </c>
      <c r="B5984" s="858">
        <v>44845</v>
      </c>
      <c r="C5984" s="129" t="s">
        <v>20218</v>
      </c>
      <c r="D5984" s="8" t="s">
        <v>6</v>
      </c>
      <c r="E5984" s="818" t="s">
        <v>166</v>
      </c>
      <c r="F5984" s="1006" t="s">
        <v>18540</v>
      </c>
      <c r="G5984" s="863" t="s">
        <v>20221</v>
      </c>
      <c r="H5984" s="222" t="s">
        <v>84</v>
      </c>
      <c r="I5984" s="222" t="s">
        <v>84</v>
      </c>
      <c r="J5984" s="183">
        <v>56388526</v>
      </c>
      <c r="K5984" s="183">
        <v>15</v>
      </c>
      <c r="L5984" s="613" t="s">
        <v>1</v>
      </c>
      <c r="M5984" s="183">
        <v>1</v>
      </c>
      <c r="N5984" s="183">
        <v>1</v>
      </c>
      <c r="O5984" s="222">
        <v>1</v>
      </c>
      <c r="P5984" s="222">
        <v>0</v>
      </c>
      <c r="Q5984" s="222">
        <v>1</v>
      </c>
      <c r="R5984" s="1195">
        <v>1690</v>
      </c>
      <c r="S5984" s="1195">
        <f t="shared" si="319"/>
        <v>1690</v>
      </c>
      <c r="T5984" s="222" t="s">
        <v>14752</v>
      </c>
      <c r="U5984" s="1527" t="s">
        <v>9101</v>
      </c>
      <c r="V5984" s="222" t="s">
        <v>11676</v>
      </c>
      <c r="W5984" s="2155" t="s">
        <v>20220</v>
      </c>
      <c r="X5984" s="818"/>
      <c r="Y5984" s="1161"/>
    </row>
    <row r="5985" spans="1:26" ht="12.75" hidden="1" customHeight="1" outlineLevel="1">
      <c r="A5985" s="222">
        <f t="shared" si="318"/>
        <v>5994</v>
      </c>
      <c r="B5985" s="858">
        <v>44846</v>
      </c>
      <c r="C5985" s="129" t="s">
        <v>20222</v>
      </c>
      <c r="D5985" s="11" t="s">
        <v>6</v>
      </c>
      <c r="E5985" s="818" t="s">
        <v>572</v>
      </c>
      <c r="F5985" s="1006" t="s">
        <v>784</v>
      </c>
      <c r="G5985" s="863" t="s">
        <v>20223</v>
      </c>
      <c r="H5985" s="222" t="s">
        <v>20224</v>
      </c>
      <c r="I5985" s="222" t="s">
        <v>281</v>
      </c>
      <c r="J5985" s="183" t="s">
        <v>20223</v>
      </c>
      <c r="K5985" s="183" t="s">
        <v>20223</v>
      </c>
      <c r="L5985" s="613" t="s">
        <v>2978</v>
      </c>
      <c r="M5985" s="183">
        <v>40</v>
      </c>
      <c r="N5985" s="183">
        <v>40</v>
      </c>
      <c r="O5985" s="222">
        <v>40</v>
      </c>
      <c r="P5985" s="222">
        <v>0</v>
      </c>
      <c r="Q5985" s="222">
        <v>0</v>
      </c>
      <c r="R5985" s="1195">
        <v>43.36</v>
      </c>
      <c r="S5985" s="1195">
        <f t="shared" si="319"/>
        <v>1734.4</v>
      </c>
      <c r="T5985" s="222" t="s">
        <v>10016</v>
      </c>
      <c r="U5985" s="1527" t="s">
        <v>10016</v>
      </c>
      <c r="V5985" s="222" t="s">
        <v>10323</v>
      </c>
      <c r="W5985" s="2155" t="s">
        <v>20225</v>
      </c>
      <c r="X5985" s="818"/>
      <c r="Y5985" s="1161"/>
    </row>
    <row r="5986" spans="1:26" ht="12.75" hidden="1" customHeight="1" outlineLevel="1">
      <c r="A5986" s="222">
        <f t="shared" si="318"/>
        <v>5995</v>
      </c>
      <c r="B5986" s="858">
        <v>44846</v>
      </c>
      <c r="C5986" s="129" t="s">
        <v>20226</v>
      </c>
      <c r="D5986" s="11" t="s">
        <v>6</v>
      </c>
      <c r="E5986" s="818" t="s">
        <v>18035</v>
      </c>
      <c r="F5986" s="1006" t="s">
        <v>131</v>
      </c>
      <c r="G5986" s="863" t="s">
        <v>20227</v>
      </c>
      <c r="H5986" s="222" t="s">
        <v>6099</v>
      </c>
      <c r="I5986" s="222" t="s">
        <v>20228</v>
      </c>
      <c r="J5986" s="183" t="s">
        <v>20229</v>
      </c>
      <c r="K5986" s="183" t="s">
        <v>20229</v>
      </c>
      <c r="L5986" s="613"/>
      <c r="M5986" s="183">
        <v>1</v>
      </c>
      <c r="N5986" s="183">
        <v>1</v>
      </c>
      <c r="O5986" s="222">
        <v>1</v>
      </c>
      <c r="P5986" s="222">
        <v>0</v>
      </c>
      <c r="Q5986" s="222">
        <v>0</v>
      </c>
      <c r="R5986" s="1195">
        <v>48950</v>
      </c>
      <c r="S5986" s="1195">
        <f t="shared" si="319"/>
        <v>48950</v>
      </c>
      <c r="T5986" s="222" t="s">
        <v>20230</v>
      </c>
      <c r="U5986" s="1527" t="s">
        <v>18479</v>
      </c>
      <c r="V5986" s="222" t="s">
        <v>11676</v>
      </c>
      <c r="W5986" s="2155"/>
      <c r="X5986" s="818"/>
      <c r="Y5986" s="1161"/>
    </row>
    <row r="5987" spans="1:26" ht="12.75" hidden="1" customHeight="1" outlineLevel="1">
      <c r="A5987" s="222">
        <f t="shared" si="318"/>
        <v>5996</v>
      </c>
      <c r="B5987" s="858">
        <v>44847</v>
      </c>
      <c r="C5987" s="129" t="s">
        <v>20231</v>
      </c>
      <c r="D5987" s="8" t="s">
        <v>6</v>
      </c>
      <c r="E5987" s="818" t="s">
        <v>166</v>
      </c>
      <c r="F5987" s="1006" t="s">
        <v>20232</v>
      </c>
      <c r="G5987" s="863" t="s">
        <v>20233</v>
      </c>
      <c r="H5987" s="222" t="s">
        <v>84</v>
      </c>
      <c r="I5987" s="222" t="s">
        <v>84</v>
      </c>
      <c r="J5987" s="183" t="s">
        <v>20234</v>
      </c>
      <c r="K5987" s="183" t="s">
        <v>20234</v>
      </c>
      <c r="L5987" s="613" t="s">
        <v>149</v>
      </c>
      <c r="M5987" s="183">
        <v>1</v>
      </c>
      <c r="N5987" s="183">
        <v>1</v>
      </c>
      <c r="O5987" s="222">
        <v>1</v>
      </c>
      <c r="P5987" s="222">
        <v>0</v>
      </c>
      <c r="Q5987" s="222">
        <v>0</v>
      </c>
      <c r="R5987" s="1195">
        <v>3490</v>
      </c>
      <c r="S5987" s="1195">
        <f t="shared" si="319"/>
        <v>3490</v>
      </c>
      <c r="T5987" s="222" t="s">
        <v>18479</v>
      </c>
      <c r="U5987" s="1527" t="s">
        <v>301</v>
      </c>
      <c r="V5987" s="222" t="s">
        <v>11676</v>
      </c>
      <c r="W5987" s="2155" t="s">
        <v>20235</v>
      </c>
      <c r="X5987" s="818"/>
      <c r="Y5987" s="1161"/>
    </row>
    <row r="5988" spans="1:26" ht="12.75" hidden="1" customHeight="1" outlineLevel="1">
      <c r="A5988" s="222">
        <f t="shared" si="318"/>
        <v>5997</v>
      </c>
      <c r="B5988" s="858">
        <v>44847</v>
      </c>
      <c r="C5988" s="129" t="s">
        <v>20236</v>
      </c>
      <c r="D5988" s="8" t="s">
        <v>6</v>
      </c>
      <c r="E5988" s="818" t="s">
        <v>166</v>
      </c>
      <c r="F5988" s="1006" t="s">
        <v>20232</v>
      </c>
      <c r="G5988" s="863" t="s">
        <v>20237</v>
      </c>
      <c r="H5988" s="222" t="s">
        <v>429</v>
      </c>
      <c r="I5988" s="222" t="s">
        <v>429</v>
      </c>
      <c r="J5988" s="183" t="s">
        <v>19858</v>
      </c>
      <c r="K5988" s="183" t="s">
        <v>19858</v>
      </c>
      <c r="L5988" s="613" t="s">
        <v>149</v>
      </c>
      <c r="M5988" s="183">
        <v>10</v>
      </c>
      <c r="N5988" s="183">
        <v>10</v>
      </c>
      <c r="O5988" s="222">
        <v>10</v>
      </c>
      <c r="P5988" s="222">
        <v>0</v>
      </c>
      <c r="Q5988" s="222">
        <v>0</v>
      </c>
      <c r="R5988" s="1195">
        <v>51</v>
      </c>
      <c r="S5988" s="1195">
        <f t="shared" si="319"/>
        <v>510</v>
      </c>
      <c r="T5988" s="222" t="s">
        <v>18479</v>
      </c>
      <c r="U5988" s="1527" t="s">
        <v>301</v>
      </c>
      <c r="V5988" s="222" t="s">
        <v>11676</v>
      </c>
      <c r="W5988" s="2155" t="s">
        <v>20238</v>
      </c>
      <c r="X5988" s="818"/>
      <c r="Y5988" s="1161"/>
    </row>
    <row r="5989" spans="1:26" ht="12.75" hidden="1" customHeight="1" outlineLevel="1">
      <c r="A5989" s="222">
        <f t="shared" si="318"/>
        <v>5998</v>
      </c>
      <c r="B5989" s="858">
        <v>44847</v>
      </c>
      <c r="C5989" s="129" t="s">
        <v>20236</v>
      </c>
      <c r="D5989" s="8" t="s">
        <v>6</v>
      </c>
      <c r="E5989" s="818" t="s">
        <v>166</v>
      </c>
      <c r="F5989" s="1006" t="s">
        <v>20232</v>
      </c>
      <c r="G5989" s="863" t="s">
        <v>20239</v>
      </c>
      <c r="H5989" s="222" t="s">
        <v>429</v>
      </c>
      <c r="I5989" s="222" t="s">
        <v>429</v>
      </c>
      <c r="J5989" s="183" t="s">
        <v>20240</v>
      </c>
      <c r="K5989" s="183" t="s">
        <v>20241</v>
      </c>
      <c r="L5989" s="613" t="s">
        <v>149</v>
      </c>
      <c r="M5989" s="183">
        <v>10</v>
      </c>
      <c r="N5989" s="183">
        <v>10</v>
      </c>
      <c r="O5989" s="222">
        <v>10</v>
      </c>
      <c r="P5989" s="222">
        <v>0</v>
      </c>
      <c r="Q5989" s="222">
        <v>0</v>
      </c>
      <c r="R5989" s="1195">
        <v>270</v>
      </c>
      <c r="S5989" s="1195">
        <f t="shared" si="319"/>
        <v>2700</v>
      </c>
      <c r="T5989" s="222" t="s">
        <v>18479</v>
      </c>
      <c r="U5989" s="1527" t="s">
        <v>301</v>
      </c>
      <c r="V5989" s="222" t="s">
        <v>11676</v>
      </c>
      <c r="W5989" s="2155" t="s">
        <v>20242</v>
      </c>
      <c r="X5989" s="818"/>
      <c r="Y5989" s="1161"/>
    </row>
    <row r="5990" spans="1:26" ht="12.75" hidden="1" customHeight="1" outlineLevel="1">
      <c r="A5990" s="222">
        <f t="shared" si="318"/>
        <v>5999</v>
      </c>
      <c r="B5990" s="858">
        <v>44847</v>
      </c>
      <c r="C5990" s="129" t="s">
        <v>20243</v>
      </c>
      <c r="D5990" s="8" t="s">
        <v>6</v>
      </c>
      <c r="E5990" s="818" t="s">
        <v>166</v>
      </c>
      <c r="F5990" s="1006" t="s">
        <v>20232</v>
      </c>
      <c r="G5990" s="863" t="s">
        <v>20244</v>
      </c>
      <c r="H5990" s="222" t="s">
        <v>429</v>
      </c>
      <c r="I5990" s="222" t="s">
        <v>429</v>
      </c>
      <c r="J5990" s="183" t="s">
        <v>20245</v>
      </c>
      <c r="K5990" s="183" t="s">
        <v>20245</v>
      </c>
      <c r="L5990" s="613" t="s">
        <v>149</v>
      </c>
      <c r="M5990" s="183">
        <v>10</v>
      </c>
      <c r="N5990" s="183">
        <v>10</v>
      </c>
      <c r="O5990" s="222">
        <v>10</v>
      </c>
      <c r="P5990" s="222">
        <v>0</v>
      </c>
      <c r="Q5990" s="222">
        <v>0</v>
      </c>
      <c r="R5990" s="1195">
        <v>270</v>
      </c>
      <c r="S5990" s="1195">
        <f t="shared" si="319"/>
        <v>2700</v>
      </c>
      <c r="T5990" s="222" t="s">
        <v>18479</v>
      </c>
      <c r="U5990" s="1527" t="s">
        <v>301</v>
      </c>
      <c r="V5990" s="222" t="s">
        <v>11676</v>
      </c>
      <c r="W5990" s="2155" t="s">
        <v>20242</v>
      </c>
      <c r="X5990" s="818"/>
      <c r="Y5990" s="1161"/>
    </row>
    <row r="5991" spans="1:26" ht="12.75" hidden="1" customHeight="1" outlineLevel="1">
      <c r="A5991" s="222">
        <f t="shared" ref="A5991:A6002" si="321">+A5990+1</f>
        <v>6000</v>
      </c>
      <c r="B5991" s="858">
        <v>44847</v>
      </c>
      <c r="C5991" s="1193" t="s">
        <v>20246</v>
      </c>
      <c r="D5991" s="8" t="s">
        <v>6</v>
      </c>
      <c r="E5991" s="818" t="s">
        <v>166</v>
      </c>
      <c r="F5991" s="1006" t="s">
        <v>20232</v>
      </c>
      <c r="G5991" s="863" t="s">
        <v>19921</v>
      </c>
      <c r="H5991" s="222" t="s">
        <v>5609</v>
      </c>
      <c r="I5991" s="222" t="s">
        <v>113</v>
      </c>
      <c r="J5991" s="183" t="s">
        <v>19922</v>
      </c>
      <c r="K5991" s="183">
        <v>49267276</v>
      </c>
      <c r="L5991" s="613" t="s">
        <v>149</v>
      </c>
      <c r="M5991" s="183">
        <v>8</v>
      </c>
      <c r="N5991" s="183">
        <v>20</v>
      </c>
      <c r="O5991" s="222">
        <v>20</v>
      </c>
      <c r="P5991" s="222">
        <v>0</v>
      </c>
      <c r="Q5991" s="222">
        <v>20</v>
      </c>
      <c r="R5991" s="1195">
        <v>39</v>
      </c>
      <c r="S5991" s="1195">
        <f>R5991*O5991</f>
        <v>780</v>
      </c>
      <c r="T5991" s="222" t="s">
        <v>18479</v>
      </c>
      <c r="U5991" s="1121" t="s">
        <v>18670</v>
      </c>
      <c r="V5991" s="222" t="s">
        <v>11676</v>
      </c>
      <c r="W5991" s="2155" t="s">
        <v>19923</v>
      </c>
      <c r="X5991" s="818"/>
      <c r="Y5991" s="1161"/>
    </row>
    <row r="5992" spans="1:26" ht="12.75" hidden="1" customHeight="1" outlineLevel="1">
      <c r="A5992" s="222">
        <f t="shared" si="321"/>
        <v>6001</v>
      </c>
      <c r="B5992" s="858">
        <v>44848</v>
      </c>
      <c r="C5992" s="1193" t="s">
        <v>20247</v>
      </c>
      <c r="D5992" s="11" t="s">
        <v>6</v>
      </c>
      <c r="E5992" s="818" t="s">
        <v>572</v>
      </c>
      <c r="F5992" s="1006" t="s">
        <v>784</v>
      </c>
      <c r="G5992" s="863" t="s">
        <v>20248</v>
      </c>
      <c r="H5992" s="222" t="s">
        <v>287</v>
      </c>
      <c r="I5992" s="222" t="s">
        <v>287</v>
      </c>
      <c r="J5992" s="183" t="s">
        <v>149</v>
      </c>
      <c r="K5992" s="183" t="s">
        <v>149</v>
      </c>
      <c r="L5992" s="613" t="s">
        <v>149</v>
      </c>
      <c r="M5992" s="222">
        <v>1</v>
      </c>
      <c r="N5992" s="222">
        <v>1</v>
      </c>
      <c r="O5992" s="222">
        <v>1</v>
      </c>
      <c r="P5992" s="222">
        <v>0</v>
      </c>
      <c r="Q5992" s="222">
        <v>0</v>
      </c>
      <c r="R5992" s="1195">
        <v>183561</v>
      </c>
      <c r="S5992" s="1195">
        <f t="shared" si="319"/>
        <v>183561</v>
      </c>
      <c r="T5992" s="1915" t="s">
        <v>10016</v>
      </c>
      <c r="U5992" s="222" t="s">
        <v>10016</v>
      </c>
      <c r="V5992" s="1122" t="s">
        <v>10323</v>
      </c>
      <c r="X5992" s="818"/>
      <c r="Y5992" s="1161"/>
    </row>
    <row r="5993" spans="1:26" ht="12.75" hidden="1" customHeight="1" outlineLevel="1">
      <c r="A5993" s="222">
        <f t="shared" si="321"/>
        <v>6002</v>
      </c>
      <c r="B5993" s="858">
        <v>44852</v>
      </c>
      <c r="C5993" s="129" t="s">
        <v>20249</v>
      </c>
      <c r="D5993" s="11" t="s">
        <v>6</v>
      </c>
      <c r="E5993" s="818" t="s">
        <v>166</v>
      </c>
      <c r="F5993" s="1006" t="s">
        <v>2143</v>
      </c>
      <c r="G5993" s="863" t="s">
        <v>20250</v>
      </c>
      <c r="H5993" s="222" t="s">
        <v>20251</v>
      </c>
      <c r="I5993" s="222" t="s">
        <v>20252</v>
      </c>
      <c r="J5993" s="183" t="s">
        <v>20253</v>
      </c>
      <c r="K5993" s="183" t="s">
        <v>20253</v>
      </c>
      <c r="L5993" s="613" t="s">
        <v>20254</v>
      </c>
      <c r="M5993" s="183">
        <v>1</v>
      </c>
      <c r="N5993" s="183">
        <v>1</v>
      </c>
      <c r="O5993" s="222">
        <v>1</v>
      </c>
      <c r="P5993" s="222">
        <v>0</v>
      </c>
      <c r="Q5993" s="222">
        <v>0</v>
      </c>
      <c r="R5993" s="1195">
        <v>46850</v>
      </c>
      <c r="S5993" s="1195">
        <f t="shared" si="319"/>
        <v>46850</v>
      </c>
      <c r="T5993" s="222" t="s">
        <v>311</v>
      </c>
      <c r="U5993" s="222" t="s">
        <v>311</v>
      </c>
      <c r="V5993" s="222" t="s">
        <v>12577</v>
      </c>
      <c r="W5993" s="2155" t="s">
        <v>20255</v>
      </c>
      <c r="X5993" s="818" t="s">
        <v>20256</v>
      </c>
      <c r="Y5993" s="1161"/>
    </row>
    <row r="5994" spans="1:26" ht="12.75" hidden="1" customHeight="1" outlineLevel="1">
      <c r="A5994" s="222">
        <f t="shared" si="321"/>
        <v>6003</v>
      </c>
      <c r="B5994" s="858">
        <v>44852</v>
      </c>
      <c r="C5994" s="129" t="s">
        <v>20257</v>
      </c>
      <c r="D5994" s="10"/>
      <c r="E5994" s="818" t="s">
        <v>20258</v>
      </c>
      <c r="F5994" s="1006" t="s">
        <v>15653</v>
      </c>
      <c r="G5994" s="859" t="s">
        <v>20259</v>
      </c>
      <c r="H5994" s="222" t="s">
        <v>20260</v>
      </c>
      <c r="I5994" s="222" t="s">
        <v>20261</v>
      </c>
      <c r="J5994" s="2219" t="s">
        <v>20262</v>
      </c>
      <c r="K5994" s="2219" t="s">
        <v>20263</v>
      </c>
      <c r="L5994" s="2195" t="s">
        <v>20264</v>
      </c>
      <c r="M5994" s="183">
        <v>2</v>
      </c>
      <c r="N5994" s="183">
        <v>1</v>
      </c>
      <c r="O5994" s="222">
        <v>3</v>
      </c>
      <c r="P5994" s="222">
        <v>0</v>
      </c>
      <c r="Q5994" s="222">
        <v>3</v>
      </c>
      <c r="R5994" s="1195">
        <v>7267</v>
      </c>
      <c r="S5994" s="1195">
        <f t="shared" si="319"/>
        <v>21801</v>
      </c>
      <c r="T5994" s="222" t="s">
        <v>18479</v>
      </c>
      <c r="U5994" s="1527" t="s">
        <v>2703</v>
      </c>
      <c r="V5994" s="18" t="s">
        <v>352</v>
      </c>
      <c r="W5994" s="2274" t="s">
        <v>20265</v>
      </c>
      <c r="X5994" s="818"/>
      <c r="Y5994" s="1161"/>
    </row>
    <row r="5995" spans="1:26" ht="12.75" hidden="1" customHeight="1" outlineLevel="1">
      <c r="A5995" s="222">
        <f t="shared" si="321"/>
        <v>6004</v>
      </c>
      <c r="B5995" s="858">
        <v>44852</v>
      </c>
      <c r="C5995" s="129" t="s">
        <v>20266</v>
      </c>
      <c r="D5995" s="8" t="s">
        <v>6</v>
      </c>
      <c r="E5995" s="818" t="s">
        <v>166</v>
      </c>
      <c r="F5995" s="1006" t="s">
        <v>20267</v>
      </c>
      <c r="G5995" s="863" t="s">
        <v>20268</v>
      </c>
      <c r="H5995" s="222" t="s">
        <v>20269</v>
      </c>
      <c r="I5995" s="222" t="s">
        <v>20269</v>
      </c>
      <c r="J5995" s="183" t="s">
        <v>1</v>
      </c>
      <c r="K5995" s="183" t="s">
        <v>1</v>
      </c>
      <c r="L5995" s="613" t="s">
        <v>1</v>
      </c>
      <c r="M5995" s="183">
        <v>1</v>
      </c>
      <c r="N5995" s="183">
        <v>1</v>
      </c>
      <c r="O5995" s="222">
        <v>1</v>
      </c>
      <c r="P5995" s="222">
        <v>0</v>
      </c>
      <c r="Q5995" s="222">
        <v>0</v>
      </c>
      <c r="R5995" s="1195">
        <v>3484</v>
      </c>
      <c r="S5995" s="1195">
        <f t="shared" si="319"/>
        <v>3484</v>
      </c>
      <c r="T5995" s="222" t="s">
        <v>14752</v>
      </c>
      <c r="U5995" s="1527" t="s">
        <v>9101</v>
      </c>
      <c r="V5995" s="222" t="s">
        <v>3140</v>
      </c>
      <c r="W5995" s="2204" t="s">
        <v>20270</v>
      </c>
      <c r="X5995" s="818"/>
      <c r="Y5995" s="1161"/>
    </row>
    <row r="5996" spans="1:26" ht="12.75" hidden="1" customHeight="1" outlineLevel="1">
      <c r="A5996" s="222">
        <f t="shared" si="321"/>
        <v>6005</v>
      </c>
      <c r="B5996" s="858">
        <v>44852</v>
      </c>
      <c r="C5996" s="18" t="s">
        <v>3803</v>
      </c>
      <c r="D5996" s="10"/>
      <c r="E5996" s="818" t="s">
        <v>20258</v>
      </c>
      <c r="F5996" s="18" t="s">
        <v>15653</v>
      </c>
      <c r="G5996" s="18" t="s">
        <v>3804</v>
      </c>
      <c r="H5996" s="18" t="s">
        <v>3797</v>
      </c>
      <c r="I5996" s="18" t="s">
        <v>20271</v>
      </c>
      <c r="J5996" s="18" t="s">
        <v>3805</v>
      </c>
      <c r="K5996" s="18" t="s">
        <v>3806</v>
      </c>
      <c r="L5996" s="18" t="s">
        <v>3807</v>
      </c>
      <c r="M5996" s="18">
        <v>8</v>
      </c>
      <c r="N5996" s="18">
        <v>1</v>
      </c>
      <c r="O5996" s="18">
        <v>10</v>
      </c>
      <c r="P5996" s="18">
        <v>1</v>
      </c>
      <c r="Q5996" s="18">
        <v>11</v>
      </c>
      <c r="R5996" s="1215">
        <v>1309</v>
      </c>
      <c r="S5996" s="1215">
        <v>13090</v>
      </c>
      <c r="T5996" s="222" t="s">
        <v>18479</v>
      </c>
      <c r="U5996" s="1859" t="s">
        <v>2703</v>
      </c>
      <c r="V5996" s="18" t="s">
        <v>352</v>
      </c>
      <c r="W5996" s="2013" t="s">
        <v>20272</v>
      </c>
      <c r="X5996" s="18"/>
      <c r="Y5996" s="4"/>
      <c r="Z5996" s="4"/>
    </row>
    <row r="5997" spans="1:26" ht="12.75" hidden="1" customHeight="1" outlineLevel="1">
      <c r="A5997" s="222">
        <f t="shared" si="321"/>
        <v>6006</v>
      </c>
      <c r="B5997" s="858">
        <v>44852</v>
      </c>
      <c r="C5997" s="129" t="s">
        <v>20273</v>
      </c>
      <c r="D5997" s="10"/>
      <c r="E5997" s="818" t="s">
        <v>166</v>
      </c>
      <c r="F5997" s="1006" t="s">
        <v>2143</v>
      </c>
      <c r="G5997" s="863" t="s">
        <v>20274</v>
      </c>
      <c r="H5997" s="222" t="s">
        <v>20275</v>
      </c>
      <c r="I5997" s="222" t="s">
        <v>20275</v>
      </c>
      <c r="J5997" s="183" t="s">
        <v>1</v>
      </c>
      <c r="K5997" s="183" t="s">
        <v>1</v>
      </c>
      <c r="L5997" s="613" t="s">
        <v>4506</v>
      </c>
      <c r="M5997" s="183">
        <v>2</v>
      </c>
      <c r="N5997" s="183">
        <v>1</v>
      </c>
      <c r="O5997" s="222">
        <v>2</v>
      </c>
      <c r="P5997" s="222">
        <v>0</v>
      </c>
      <c r="Q5997" s="222">
        <v>0</v>
      </c>
      <c r="R5997" s="1195">
        <v>16800</v>
      </c>
      <c r="S5997" s="1195">
        <f t="shared" si="319"/>
        <v>33600</v>
      </c>
      <c r="T5997" s="222" t="s">
        <v>311</v>
      </c>
      <c r="U5997" s="222" t="s">
        <v>311</v>
      </c>
      <c r="V5997" s="222" t="s">
        <v>12577</v>
      </c>
      <c r="W5997" s="2155"/>
      <c r="X5997" s="818"/>
      <c r="Y5997" s="1161"/>
    </row>
    <row r="5998" spans="1:26" ht="12.75" hidden="1" customHeight="1" outlineLevel="1">
      <c r="A5998" s="222">
        <f t="shared" si="321"/>
        <v>6007</v>
      </c>
      <c r="B5998" s="858">
        <v>44852</v>
      </c>
      <c r="C5998" s="129" t="s">
        <v>20276</v>
      </c>
      <c r="D5998" s="10"/>
      <c r="E5998" s="818" t="s">
        <v>20258</v>
      </c>
      <c r="F5998" s="18" t="s">
        <v>15653</v>
      </c>
      <c r="G5998" s="863" t="s">
        <v>20277</v>
      </c>
      <c r="H5998" s="222" t="s">
        <v>220</v>
      </c>
      <c r="I5998" s="222" t="s">
        <v>39</v>
      </c>
      <c r="J5998" s="222" t="s">
        <v>20278</v>
      </c>
      <c r="K5998" s="183" t="s">
        <v>20279</v>
      </c>
      <c r="L5998" s="613" t="s">
        <v>20280</v>
      </c>
      <c r="M5998" s="183">
        <v>12</v>
      </c>
      <c r="N5998" s="183">
        <v>10</v>
      </c>
      <c r="O5998" s="222">
        <v>30</v>
      </c>
      <c r="P5998" s="222">
        <v>0</v>
      </c>
      <c r="Q5998" s="222">
        <v>30</v>
      </c>
      <c r="R5998" s="1195">
        <v>32.01</v>
      </c>
      <c r="S5998" s="1195">
        <f t="shared" si="319"/>
        <v>960.3</v>
      </c>
      <c r="T5998" s="222" t="s">
        <v>18479</v>
      </c>
      <c r="U5998" s="1859" t="s">
        <v>2703</v>
      </c>
      <c r="V5998" s="18" t="s">
        <v>352</v>
      </c>
      <c r="W5998" s="2155" t="s">
        <v>20281</v>
      </c>
      <c r="X5998" s="818"/>
      <c r="Y5998" s="1161"/>
    </row>
    <row r="5999" spans="1:26" ht="12.75" hidden="1" customHeight="1" outlineLevel="1">
      <c r="A5999" s="222">
        <f t="shared" si="321"/>
        <v>6008</v>
      </c>
      <c r="B5999" s="858">
        <v>44852</v>
      </c>
      <c r="C5999" s="129" t="s">
        <v>20282</v>
      </c>
      <c r="D5999" s="10"/>
      <c r="E5999" s="818" t="s">
        <v>20258</v>
      </c>
      <c r="F5999" s="18" t="s">
        <v>15653</v>
      </c>
      <c r="G5999" s="863" t="s">
        <v>20283</v>
      </c>
      <c r="H5999" s="222" t="s">
        <v>220</v>
      </c>
      <c r="I5999" s="222" t="s">
        <v>39</v>
      </c>
      <c r="J5999" s="1833" t="s">
        <v>20284</v>
      </c>
      <c r="K5999" s="183" t="s">
        <v>20285</v>
      </c>
      <c r="L5999" s="613" t="s">
        <v>20280</v>
      </c>
      <c r="M5999" s="183">
        <v>12</v>
      </c>
      <c r="N5999" s="183">
        <v>10</v>
      </c>
      <c r="O5999" s="222">
        <v>50</v>
      </c>
      <c r="P5999" s="222">
        <v>0</v>
      </c>
      <c r="Q5999" s="222">
        <v>50</v>
      </c>
      <c r="R5999" s="1195">
        <v>46.4</v>
      </c>
      <c r="S5999" s="1195">
        <f t="shared" si="319"/>
        <v>2320</v>
      </c>
      <c r="T5999" s="222" t="s">
        <v>18479</v>
      </c>
      <c r="U5999" s="1859" t="s">
        <v>2703</v>
      </c>
      <c r="V5999" s="18" t="s">
        <v>352</v>
      </c>
      <c r="W5999" s="2204" t="s">
        <v>20286</v>
      </c>
      <c r="X5999" s="818"/>
      <c r="Y5999" s="1161"/>
    </row>
    <row r="6000" spans="1:26" ht="14.25" hidden="1" customHeight="1" outlineLevel="1">
      <c r="A6000" s="222">
        <f t="shared" si="321"/>
        <v>6009</v>
      </c>
      <c r="B6000" s="858">
        <v>44852</v>
      </c>
      <c r="C6000" s="129" t="s">
        <v>20287</v>
      </c>
      <c r="D6000" s="10"/>
      <c r="E6000" s="818" t="s">
        <v>20258</v>
      </c>
      <c r="F6000" s="18" t="s">
        <v>15653</v>
      </c>
      <c r="G6000" s="863" t="s">
        <v>20288</v>
      </c>
      <c r="H6000" s="222" t="s">
        <v>2786</v>
      </c>
      <c r="I6000" s="222" t="s">
        <v>39</v>
      </c>
      <c r="J6000" s="183" t="s">
        <v>20289</v>
      </c>
      <c r="K6000" s="129" t="s">
        <v>20290</v>
      </c>
      <c r="L6000" s="613" t="s">
        <v>17643</v>
      </c>
      <c r="M6000" s="183">
        <v>18</v>
      </c>
      <c r="N6000" s="183">
        <v>50</v>
      </c>
      <c r="O6000" s="222">
        <v>50</v>
      </c>
      <c r="P6000" s="222">
        <v>0</v>
      </c>
      <c r="Q6000" s="222">
        <v>50</v>
      </c>
      <c r="R6000" s="1195">
        <v>2.62</v>
      </c>
      <c r="S6000" s="1195">
        <f t="shared" si="319"/>
        <v>131</v>
      </c>
      <c r="T6000" s="222" t="s">
        <v>18479</v>
      </c>
      <c r="U6000" s="1859" t="s">
        <v>2703</v>
      </c>
      <c r="V6000" s="18" t="s">
        <v>352</v>
      </c>
      <c r="W6000" s="2155" t="s">
        <v>20291</v>
      </c>
      <c r="X6000" s="818"/>
      <c r="Y6000" s="1161"/>
    </row>
    <row r="6001" spans="1:25" ht="15.75" hidden="1" customHeight="1" outlineLevel="1">
      <c r="A6001" s="222">
        <f t="shared" si="321"/>
        <v>6010</v>
      </c>
      <c r="B6001" s="858">
        <v>44852</v>
      </c>
      <c r="C6001" s="129" t="s">
        <v>20292</v>
      </c>
      <c r="D6001" s="10"/>
      <c r="E6001" s="818" t="s">
        <v>20258</v>
      </c>
      <c r="F6001" s="18" t="s">
        <v>15653</v>
      </c>
      <c r="G6001" s="863" t="s">
        <v>20293</v>
      </c>
      <c r="H6001" s="222" t="s">
        <v>220</v>
      </c>
      <c r="I6001" s="222" t="s">
        <v>39</v>
      </c>
      <c r="J6001" s="183" t="s">
        <v>20294</v>
      </c>
      <c r="K6001" s="183" t="s">
        <v>20295</v>
      </c>
      <c r="L6001" s="613" t="s">
        <v>20280</v>
      </c>
      <c r="M6001" s="183">
        <v>5</v>
      </c>
      <c r="N6001" s="183">
        <v>10</v>
      </c>
      <c r="O6001" s="222">
        <v>10</v>
      </c>
      <c r="P6001" s="222">
        <v>0</v>
      </c>
      <c r="Q6001" s="222">
        <v>10</v>
      </c>
      <c r="R6001" s="1195">
        <v>34.32</v>
      </c>
      <c r="S6001" s="1195">
        <f>R6001*O6001</f>
        <v>343.2</v>
      </c>
      <c r="T6001" s="222" t="s">
        <v>18479</v>
      </c>
      <c r="U6001" s="1859" t="s">
        <v>2703</v>
      </c>
      <c r="V6001" s="18" t="s">
        <v>352</v>
      </c>
      <c r="W6001" s="2155" t="s">
        <v>20296</v>
      </c>
      <c r="X6001" s="818"/>
      <c r="Y6001" s="1161"/>
    </row>
    <row r="6002" spans="1:25" ht="15.75" hidden="1" customHeight="1" outlineLevel="1">
      <c r="A6002" s="222">
        <f t="shared" si="321"/>
        <v>6011</v>
      </c>
      <c r="B6002" s="858">
        <v>44852</v>
      </c>
      <c r="C6002" s="129" t="s">
        <v>20297</v>
      </c>
      <c r="D6002" s="10"/>
      <c r="E6002" s="818" t="s">
        <v>20258</v>
      </c>
      <c r="F6002" s="18" t="s">
        <v>15653</v>
      </c>
      <c r="G6002" s="863" t="s">
        <v>20298</v>
      </c>
      <c r="H6002" s="222" t="s">
        <v>220</v>
      </c>
      <c r="I6002" s="222" t="s">
        <v>39</v>
      </c>
      <c r="J6002" s="1833" t="s">
        <v>20299</v>
      </c>
      <c r="K6002" s="222" t="s">
        <v>20300</v>
      </c>
      <c r="L6002" s="613" t="s">
        <v>20280</v>
      </c>
      <c r="M6002" s="183">
        <v>10</v>
      </c>
      <c r="N6002" s="183">
        <v>10</v>
      </c>
      <c r="O6002" s="222">
        <v>20</v>
      </c>
      <c r="P6002" s="222">
        <v>0</v>
      </c>
      <c r="Q6002" s="222">
        <v>20</v>
      </c>
      <c r="R6002" s="1195">
        <v>13.2</v>
      </c>
      <c r="S6002" s="1195">
        <f>R6002*O6002</f>
        <v>264</v>
      </c>
      <c r="T6002" s="222" t="s">
        <v>18479</v>
      </c>
      <c r="U6002" s="1859" t="s">
        <v>2703</v>
      </c>
      <c r="V6002" s="18" t="s">
        <v>352</v>
      </c>
      <c r="W6002" s="1815" t="s">
        <v>20301</v>
      </c>
      <c r="X6002" s="818"/>
      <c r="Y6002" s="1161"/>
    </row>
    <row r="6003" spans="1:25" ht="15.75" hidden="1" customHeight="1">
      <c r="A6003" s="222">
        <f t="shared" ref="A6003:A6020" si="322">+A6002+1</f>
        <v>6012</v>
      </c>
      <c r="B6003" s="858">
        <v>44852</v>
      </c>
      <c r="C6003" s="129" t="s">
        <v>20302</v>
      </c>
      <c r="D6003" s="10"/>
      <c r="E6003" s="818" t="s">
        <v>20258</v>
      </c>
      <c r="F6003" s="18" t="s">
        <v>15653</v>
      </c>
      <c r="G6003" s="863" t="s">
        <v>20303</v>
      </c>
      <c r="H6003" s="222" t="s">
        <v>817</v>
      </c>
      <c r="I6003" s="222" t="s">
        <v>39</v>
      </c>
      <c r="J6003" s="183" t="s">
        <v>16445</v>
      </c>
      <c r="K6003" s="183" t="s">
        <v>20304</v>
      </c>
      <c r="L6003" s="613" t="s">
        <v>20305</v>
      </c>
      <c r="M6003" s="183">
        <v>3</v>
      </c>
      <c r="N6003" s="183">
        <v>5</v>
      </c>
      <c r="O6003" s="222">
        <v>5</v>
      </c>
      <c r="P6003" s="222">
        <v>0</v>
      </c>
      <c r="Q6003" s="222">
        <v>5</v>
      </c>
      <c r="R6003" s="1195">
        <v>480.26</v>
      </c>
      <c r="S6003" s="1195">
        <f>R6003*O6003</f>
        <v>2401.3000000000002</v>
      </c>
      <c r="T6003" s="222" t="s">
        <v>18479</v>
      </c>
      <c r="U6003" s="1859" t="s">
        <v>2703</v>
      </c>
      <c r="V6003" s="18" t="s">
        <v>352</v>
      </c>
      <c r="W6003" s="2155" t="s">
        <v>20306</v>
      </c>
      <c r="X6003" s="818"/>
    </row>
    <row r="6004" spans="1:25" ht="15.75" hidden="1" customHeight="1">
      <c r="A6004" s="222">
        <f t="shared" si="322"/>
        <v>6013</v>
      </c>
      <c r="B6004" s="858">
        <v>44852</v>
      </c>
      <c r="C6004" s="1193" t="s">
        <v>20307</v>
      </c>
      <c r="D6004" s="11" t="s">
        <v>6</v>
      </c>
      <c r="E6004" s="818" t="s">
        <v>166</v>
      </c>
      <c r="F6004" s="1006" t="s">
        <v>131</v>
      </c>
      <c r="G6004" s="863" t="s">
        <v>20308</v>
      </c>
      <c r="H6004" s="222" t="s">
        <v>1928</v>
      </c>
      <c r="I6004" s="222" t="s">
        <v>39</v>
      </c>
      <c r="J6004" s="1193" t="s">
        <v>20309</v>
      </c>
      <c r="K6004" s="1193" t="s">
        <v>20309</v>
      </c>
      <c r="L6004" s="613" t="s">
        <v>1</v>
      </c>
      <c r="M6004" s="222">
        <v>1</v>
      </c>
      <c r="N6004" s="222">
        <v>1</v>
      </c>
      <c r="O6004" s="222">
        <v>1</v>
      </c>
      <c r="P6004" s="222">
        <v>0</v>
      </c>
      <c r="Q6004" s="222">
        <v>1</v>
      </c>
      <c r="R6004" s="1195">
        <v>2050</v>
      </c>
      <c r="S6004" s="1195">
        <v>2050</v>
      </c>
      <c r="T6004" s="222" t="s">
        <v>18479</v>
      </c>
      <c r="U6004" s="1527" t="s">
        <v>10016</v>
      </c>
      <c r="V6004" s="222" t="s">
        <v>18479</v>
      </c>
      <c r="W6004" s="2155" t="s">
        <v>20310</v>
      </c>
      <c r="X6004" s="818"/>
    </row>
    <row r="6005" spans="1:25" ht="15.75" hidden="1" customHeight="1">
      <c r="A6005" s="222">
        <f t="shared" si="322"/>
        <v>6014</v>
      </c>
      <c r="B6005" s="858">
        <v>44852</v>
      </c>
      <c r="C6005" s="1193" t="s">
        <v>20311</v>
      </c>
      <c r="D6005" s="11" t="s">
        <v>6</v>
      </c>
      <c r="E6005" s="818" t="s">
        <v>166</v>
      </c>
      <c r="F6005" s="1006" t="s">
        <v>131</v>
      </c>
      <c r="G6005" s="863" t="s">
        <v>20308</v>
      </c>
      <c r="H6005" s="222" t="s">
        <v>220</v>
      </c>
      <c r="I6005" s="222" t="s">
        <v>39</v>
      </c>
      <c r="J6005" s="222" t="s">
        <v>20312</v>
      </c>
      <c r="K6005" s="1193" t="s">
        <v>20313</v>
      </c>
      <c r="L6005" s="613" t="s">
        <v>20314</v>
      </c>
      <c r="M6005" s="222">
        <v>40</v>
      </c>
      <c r="N6005" s="222">
        <v>100</v>
      </c>
      <c r="O6005" s="222">
        <v>100</v>
      </c>
      <c r="P6005" s="222">
        <v>0</v>
      </c>
      <c r="Q6005" s="222">
        <v>60</v>
      </c>
      <c r="R6005" s="1195">
        <v>53.65</v>
      </c>
      <c r="S6005" s="1195">
        <v>5365</v>
      </c>
      <c r="T6005" s="222" t="s">
        <v>18479</v>
      </c>
      <c r="U6005" s="1527" t="s">
        <v>10016</v>
      </c>
      <c r="V6005" s="222" t="s">
        <v>18479</v>
      </c>
      <c r="W6005" s="2155" t="s">
        <v>20315</v>
      </c>
      <c r="X6005" s="818"/>
    </row>
    <row r="6006" spans="1:25" ht="15.75" hidden="1" customHeight="1">
      <c r="A6006" s="222">
        <f t="shared" si="322"/>
        <v>6015</v>
      </c>
      <c r="B6006" s="858">
        <v>44852</v>
      </c>
      <c r="C6006" s="1193" t="s">
        <v>20316</v>
      </c>
      <c r="D6006" s="11" t="s">
        <v>6</v>
      </c>
      <c r="E6006" s="818" t="s">
        <v>166</v>
      </c>
      <c r="F6006" s="1006" t="s">
        <v>131</v>
      </c>
      <c r="G6006" s="863" t="s">
        <v>20317</v>
      </c>
      <c r="H6006" s="222" t="s">
        <v>220</v>
      </c>
      <c r="I6006" s="222" t="s">
        <v>39</v>
      </c>
      <c r="J6006" s="1193" t="s">
        <v>20318</v>
      </c>
      <c r="K6006" s="1193" t="s">
        <v>20319</v>
      </c>
      <c r="L6006" s="613" t="s">
        <v>20314</v>
      </c>
      <c r="M6006" s="222">
        <v>4</v>
      </c>
      <c r="N6006" s="222">
        <v>10</v>
      </c>
      <c r="O6006" s="222">
        <v>10</v>
      </c>
      <c r="P6006" s="222">
        <v>0</v>
      </c>
      <c r="Q6006" s="222">
        <v>6</v>
      </c>
      <c r="R6006" s="1195">
        <v>18.100000000000001</v>
      </c>
      <c r="S6006" s="1195">
        <v>181</v>
      </c>
      <c r="T6006" s="222" t="s">
        <v>18479</v>
      </c>
      <c r="U6006" s="1527" t="s">
        <v>10016</v>
      </c>
      <c r="V6006" s="222" t="s">
        <v>18479</v>
      </c>
      <c r="W6006" s="2155" t="s">
        <v>20320</v>
      </c>
      <c r="X6006" s="818"/>
    </row>
    <row r="6007" spans="1:25" ht="15.75" hidden="1" customHeight="1">
      <c r="A6007" s="222">
        <f t="shared" si="322"/>
        <v>6016</v>
      </c>
      <c r="B6007" s="858">
        <v>44852</v>
      </c>
      <c r="C6007" s="1193" t="s">
        <v>20321</v>
      </c>
      <c r="D6007" s="11" t="s">
        <v>6</v>
      </c>
      <c r="E6007" s="818" t="s">
        <v>166</v>
      </c>
      <c r="F6007" s="1006" t="s">
        <v>131</v>
      </c>
      <c r="G6007" s="863" t="s">
        <v>20317</v>
      </c>
      <c r="H6007" s="222" t="s">
        <v>220</v>
      </c>
      <c r="I6007" s="222" t="s">
        <v>39</v>
      </c>
      <c r="J6007" s="222" t="s">
        <v>20322</v>
      </c>
      <c r="K6007" s="222" t="s">
        <v>20323</v>
      </c>
      <c r="L6007" s="613" t="s">
        <v>20314</v>
      </c>
      <c r="M6007" s="222">
        <v>4</v>
      </c>
      <c r="N6007" s="222">
        <v>10</v>
      </c>
      <c r="O6007" s="222">
        <v>10</v>
      </c>
      <c r="P6007" s="222">
        <v>0</v>
      </c>
      <c r="Q6007" s="222">
        <v>6</v>
      </c>
      <c r="R6007" s="1195">
        <v>102</v>
      </c>
      <c r="S6007" s="1195">
        <v>1020</v>
      </c>
      <c r="T6007" s="222" t="s">
        <v>18479</v>
      </c>
      <c r="U6007" s="1527" t="s">
        <v>10016</v>
      </c>
      <c r="V6007" s="222" t="s">
        <v>18479</v>
      </c>
      <c r="W6007" s="2155" t="s">
        <v>20324</v>
      </c>
      <c r="X6007" s="818"/>
    </row>
    <row r="6008" spans="1:25" ht="15.75" hidden="1" customHeight="1">
      <c r="A6008" s="222">
        <f t="shared" si="322"/>
        <v>6017</v>
      </c>
      <c r="B6008" s="858">
        <v>44852</v>
      </c>
      <c r="C6008" s="1193" t="s">
        <v>4537</v>
      </c>
      <c r="D6008" s="11" t="s">
        <v>6</v>
      </c>
      <c r="E6008" s="818" t="s">
        <v>166</v>
      </c>
      <c r="F6008" s="1006" t="s">
        <v>131</v>
      </c>
      <c r="G6008" s="863" t="s">
        <v>20325</v>
      </c>
      <c r="H6008" s="222" t="s">
        <v>1928</v>
      </c>
      <c r="I6008" s="222" t="s">
        <v>39</v>
      </c>
      <c r="J6008" s="222" t="s">
        <v>20326</v>
      </c>
      <c r="K6008" s="222" t="s">
        <v>20326</v>
      </c>
      <c r="L6008" s="613" t="s">
        <v>1</v>
      </c>
      <c r="M6008" s="222">
        <v>5</v>
      </c>
      <c r="N6008" s="222">
        <v>1</v>
      </c>
      <c r="O6008" s="222">
        <v>10</v>
      </c>
      <c r="P6008" s="222">
        <v>0</v>
      </c>
      <c r="Q6008" s="222">
        <v>6</v>
      </c>
      <c r="R6008" s="1195">
        <v>1409</v>
      </c>
      <c r="S6008" s="1195">
        <v>14090</v>
      </c>
      <c r="T6008" s="222" t="s">
        <v>18479</v>
      </c>
      <c r="U6008" s="1527" t="s">
        <v>1896</v>
      </c>
      <c r="V6008" s="222" t="s">
        <v>18479</v>
      </c>
      <c r="W6008" s="2155" t="s">
        <v>20327</v>
      </c>
      <c r="X6008" s="818"/>
    </row>
    <row r="6009" spans="1:25" ht="15.75" hidden="1" customHeight="1">
      <c r="A6009" s="222">
        <f t="shared" si="322"/>
        <v>6018</v>
      </c>
      <c r="B6009" s="858">
        <v>44852</v>
      </c>
      <c r="C6009" s="222" t="s">
        <v>20328</v>
      </c>
      <c r="D6009" s="2234" t="s">
        <v>6</v>
      </c>
      <c r="E6009" s="818" t="s">
        <v>166</v>
      </c>
      <c r="F6009" s="222" t="s">
        <v>19975</v>
      </c>
      <c r="G6009" s="1122" t="s">
        <v>20329</v>
      </c>
      <c r="H6009" s="818" t="s">
        <v>460</v>
      </c>
      <c r="I6009" s="222" t="s">
        <v>4634</v>
      </c>
      <c r="J6009" s="2206" t="s">
        <v>19823</v>
      </c>
      <c r="K6009" s="1073" t="s">
        <v>6491</v>
      </c>
      <c r="L6009" s="1073" t="s">
        <v>14126</v>
      </c>
      <c r="M6009" s="183">
        <v>4</v>
      </c>
      <c r="N6009" s="183">
        <v>4</v>
      </c>
      <c r="O6009" s="222">
        <v>10</v>
      </c>
      <c r="P6009" s="222">
        <v>0</v>
      </c>
      <c r="Q6009" s="222">
        <v>6</v>
      </c>
      <c r="R6009" s="2209">
        <v>133.4</v>
      </c>
      <c r="S6009" s="1195">
        <f t="shared" ref="S6009:S6017" si="323">R6009*O6009</f>
        <v>1334</v>
      </c>
      <c r="T6009" s="222" t="s">
        <v>18479</v>
      </c>
      <c r="U6009" s="1527" t="s">
        <v>1886</v>
      </c>
      <c r="V6009" s="222" t="s">
        <v>104</v>
      </c>
      <c r="W6009" s="875" t="s">
        <v>20330</v>
      </c>
      <c r="X6009" s="818"/>
    </row>
    <row r="6010" spans="1:25" ht="15.75" hidden="1" customHeight="1">
      <c r="A6010" s="222">
        <f t="shared" si="322"/>
        <v>6019</v>
      </c>
      <c r="B6010" s="858">
        <v>44852</v>
      </c>
      <c r="C6010" s="2207" t="s">
        <v>16483</v>
      </c>
      <c r="D6010" s="1515" t="s">
        <v>6</v>
      </c>
      <c r="E6010" s="818" t="s">
        <v>166</v>
      </c>
      <c r="F6010" s="2222" t="s">
        <v>19975</v>
      </c>
      <c r="G6010" s="2208" t="s">
        <v>19826</v>
      </c>
      <c r="H6010" s="2205" t="s">
        <v>460</v>
      </c>
      <c r="I6010" s="222" t="s">
        <v>4634</v>
      </c>
      <c r="J6010" s="2207" t="s">
        <v>16484</v>
      </c>
      <c r="K6010" s="2208" t="s">
        <v>12359</v>
      </c>
      <c r="L6010" s="2208" t="s">
        <v>1981</v>
      </c>
      <c r="M6010" s="183">
        <v>4</v>
      </c>
      <c r="N6010" s="183">
        <v>2</v>
      </c>
      <c r="O6010" s="222">
        <v>10</v>
      </c>
      <c r="P6010" s="222">
        <v>0</v>
      </c>
      <c r="Q6010" s="222">
        <v>6</v>
      </c>
      <c r="R6010" s="1195">
        <v>59.5</v>
      </c>
      <c r="S6010" s="1195">
        <f t="shared" si="323"/>
        <v>595</v>
      </c>
      <c r="T6010" s="222" t="s">
        <v>18479</v>
      </c>
      <c r="U6010" s="1527" t="s">
        <v>1886</v>
      </c>
      <c r="V6010" s="222" t="s">
        <v>104</v>
      </c>
      <c r="W6010" s="2210" t="s">
        <v>20331</v>
      </c>
      <c r="X6010" s="818"/>
    </row>
    <row r="6011" spans="1:25" ht="15.75" hidden="1" customHeight="1">
      <c r="A6011" s="222">
        <f t="shared" si="322"/>
        <v>6020</v>
      </c>
      <c r="B6011" s="858">
        <v>44852</v>
      </c>
      <c r="C6011" s="183" t="s">
        <v>16508</v>
      </c>
      <c r="D6011" s="1445" t="s">
        <v>6</v>
      </c>
      <c r="E6011" s="818" t="s">
        <v>166</v>
      </c>
      <c r="F6011" s="129" t="s">
        <v>19975</v>
      </c>
      <c r="G6011" s="678" t="s">
        <v>15224</v>
      </c>
      <c r="H6011" s="678" t="s">
        <v>249</v>
      </c>
      <c r="I6011" s="222" t="s">
        <v>4634</v>
      </c>
      <c r="J6011" s="613" t="s">
        <v>15225</v>
      </c>
      <c r="K6011" s="780" t="s">
        <v>15226</v>
      </c>
      <c r="L6011" s="129" t="s">
        <v>16499</v>
      </c>
      <c r="M6011" s="613">
        <v>2</v>
      </c>
      <c r="N6011" s="613">
        <v>2</v>
      </c>
      <c r="O6011" s="613">
        <v>5</v>
      </c>
      <c r="P6011" s="222">
        <v>0</v>
      </c>
      <c r="Q6011" s="613">
        <v>5</v>
      </c>
      <c r="R6011" s="2212">
        <v>349.8</v>
      </c>
      <c r="S6011" s="1195">
        <f t="shared" si="323"/>
        <v>1749</v>
      </c>
      <c r="T6011" s="222" t="s">
        <v>18479</v>
      </c>
      <c r="U6011" s="1527" t="s">
        <v>1886</v>
      </c>
      <c r="V6011" s="222" t="s">
        <v>104</v>
      </c>
      <c r="W6011" s="2247" t="s">
        <v>15227</v>
      </c>
      <c r="X6011" s="818"/>
    </row>
    <row r="6012" spans="1:25" ht="15.75" hidden="1" customHeight="1">
      <c r="A6012" s="222">
        <f t="shared" si="322"/>
        <v>6021</v>
      </c>
      <c r="B6012" s="858">
        <v>44852</v>
      </c>
      <c r="C6012" s="225" t="s">
        <v>16508</v>
      </c>
      <c r="D6012" s="1445" t="s">
        <v>6</v>
      </c>
      <c r="E6012" s="818" t="s">
        <v>166</v>
      </c>
      <c r="F6012" s="1492" t="s">
        <v>19975</v>
      </c>
      <c r="G6012" s="282" t="s">
        <v>15224</v>
      </c>
      <c r="H6012" s="282" t="s">
        <v>249</v>
      </c>
      <c r="I6012" s="222" t="s">
        <v>4634</v>
      </c>
      <c r="J6012" s="1427" t="s">
        <v>15225</v>
      </c>
      <c r="K6012" s="532" t="s">
        <v>15226</v>
      </c>
      <c r="L6012" s="1492" t="s">
        <v>16499</v>
      </c>
      <c r="M6012" s="2221">
        <v>2</v>
      </c>
      <c r="N6012" s="2221">
        <v>2</v>
      </c>
      <c r="O6012" s="1427">
        <v>5</v>
      </c>
      <c r="P6012" s="222">
        <v>0</v>
      </c>
      <c r="Q6012" s="1427">
        <v>5</v>
      </c>
      <c r="R6012" s="2224">
        <v>349.8</v>
      </c>
      <c r="S6012" s="1195">
        <f t="shared" si="323"/>
        <v>1749</v>
      </c>
      <c r="T6012" s="222" t="s">
        <v>18479</v>
      </c>
      <c r="U6012" s="1527" t="s">
        <v>1886</v>
      </c>
      <c r="V6012" s="222" t="s">
        <v>104</v>
      </c>
      <c r="W6012" s="2248" t="s">
        <v>15227</v>
      </c>
      <c r="X6012" s="818"/>
    </row>
    <row r="6013" spans="1:25" ht="15.75" hidden="1" customHeight="1">
      <c r="A6013" s="222">
        <f t="shared" si="322"/>
        <v>6022</v>
      </c>
      <c r="B6013" s="858">
        <v>44852</v>
      </c>
      <c r="C6013" s="225" t="s">
        <v>329</v>
      </c>
      <c r="D6013" s="1445" t="s">
        <v>6</v>
      </c>
      <c r="E6013" s="818" t="s">
        <v>166</v>
      </c>
      <c r="F6013" s="1492" t="s">
        <v>19975</v>
      </c>
      <c r="G6013" s="282" t="s">
        <v>20072</v>
      </c>
      <c r="H6013" s="282" t="s">
        <v>184</v>
      </c>
      <c r="I6013" s="222" t="s">
        <v>4634</v>
      </c>
      <c r="J6013" s="225" t="s">
        <v>20073</v>
      </c>
      <c r="K6013" s="282" t="s">
        <v>20074</v>
      </c>
      <c r="L6013" s="225" t="s">
        <v>8776</v>
      </c>
      <c r="M6013" s="2221">
        <v>4</v>
      </c>
      <c r="N6013" s="2221">
        <v>4</v>
      </c>
      <c r="O6013" s="1427">
        <v>10</v>
      </c>
      <c r="P6013" s="222">
        <v>0</v>
      </c>
      <c r="Q6013" s="1427">
        <v>10</v>
      </c>
      <c r="R6013" s="2224">
        <v>14.1</v>
      </c>
      <c r="S6013" s="1195">
        <f t="shared" si="323"/>
        <v>141</v>
      </c>
      <c r="T6013" s="222" t="s">
        <v>18479</v>
      </c>
      <c r="U6013" s="1527" t="s">
        <v>1886</v>
      </c>
      <c r="V6013" s="222" t="s">
        <v>104</v>
      </c>
      <c r="W6013" s="2248" t="s">
        <v>20075</v>
      </c>
      <c r="X6013" s="818"/>
    </row>
    <row r="6014" spans="1:25" ht="15.75" hidden="1" customHeight="1">
      <c r="A6014" s="222">
        <f t="shared" si="322"/>
        <v>6023</v>
      </c>
      <c r="B6014" s="858">
        <v>44852</v>
      </c>
      <c r="C6014" s="225" t="s">
        <v>329</v>
      </c>
      <c r="D6014" s="1445" t="s">
        <v>6</v>
      </c>
      <c r="E6014" s="818" t="s">
        <v>166</v>
      </c>
      <c r="F6014" s="1492" t="s">
        <v>19975</v>
      </c>
      <c r="G6014" s="282" t="s">
        <v>20076</v>
      </c>
      <c r="H6014" s="282" t="s">
        <v>184</v>
      </c>
      <c r="I6014" s="222" t="s">
        <v>4634</v>
      </c>
      <c r="J6014" s="225" t="s">
        <v>20077</v>
      </c>
      <c r="K6014" s="282" t="s">
        <v>20078</v>
      </c>
      <c r="L6014" s="225" t="s">
        <v>8980</v>
      </c>
      <c r="M6014" s="1427">
        <v>6</v>
      </c>
      <c r="N6014" s="1427">
        <v>6</v>
      </c>
      <c r="O6014" s="1427">
        <v>10</v>
      </c>
      <c r="P6014" s="222">
        <v>0</v>
      </c>
      <c r="Q6014" s="1427">
        <v>10</v>
      </c>
      <c r="R6014" s="2225">
        <v>98.4</v>
      </c>
      <c r="S6014" s="1195">
        <f t="shared" si="323"/>
        <v>984</v>
      </c>
      <c r="T6014" s="222" t="s">
        <v>18479</v>
      </c>
      <c r="U6014" s="1527" t="s">
        <v>1886</v>
      </c>
      <c r="V6014" s="222" t="s">
        <v>104</v>
      </c>
      <c r="W6014" s="2248" t="s">
        <v>20079</v>
      </c>
      <c r="X6014" s="818"/>
    </row>
    <row r="6015" spans="1:25" ht="15.75" hidden="1" customHeight="1">
      <c r="A6015" s="222">
        <f t="shared" si="322"/>
        <v>6024</v>
      </c>
      <c r="B6015" s="858">
        <v>44852</v>
      </c>
      <c r="C6015" s="225" t="s">
        <v>329</v>
      </c>
      <c r="D6015" s="1445" t="s">
        <v>6</v>
      </c>
      <c r="E6015" s="818" t="s">
        <v>166</v>
      </c>
      <c r="F6015" s="1492" t="s">
        <v>19975</v>
      </c>
      <c r="G6015" s="282" t="s">
        <v>20332</v>
      </c>
      <c r="H6015" s="282" t="s">
        <v>5730</v>
      </c>
      <c r="I6015" s="222" t="s">
        <v>4634</v>
      </c>
      <c r="J6015" s="225" t="s">
        <v>20081</v>
      </c>
      <c r="K6015" s="282" t="s">
        <v>20082</v>
      </c>
      <c r="L6015" s="225" t="s">
        <v>14048</v>
      </c>
      <c r="M6015" s="1427">
        <v>8</v>
      </c>
      <c r="N6015" s="1427">
        <v>8</v>
      </c>
      <c r="O6015" s="1427">
        <v>10</v>
      </c>
      <c r="P6015" s="222">
        <v>0</v>
      </c>
      <c r="Q6015" s="1427">
        <v>10</v>
      </c>
      <c r="R6015" s="2225">
        <v>113.8</v>
      </c>
      <c r="S6015" s="1195">
        <f t="shared" si="323"/>
        <v>1138</v>
      </c>
      <c r="T6015" s="222" t="s">
        <v>18479</v>
      </c>
      <c r="U6015" s="1527" t="s">
        <v>1886</v>
      </c>
      <c r="V6015" s="222" t="s">
        <v>104</v>
      </c>
      <c r="W6015" s="2248" t="s">
        <v>20083</v>
      </c>
      <c r="X6015" s="818"/>
    </row>
    <row r="6016" spans="1:25" ht="15.75" hidden="1" customHeight="1">
      <c r="A6016" s="222">
        <f t="shared" si="322"/>
        <v>6025</v>
      </c>
      <c r="B6016" s="858">
        <v>44852</v>
      </c>
      <c r="C6016" s="225" t="s">
        <v>329</v>
      </c>
      <c r="D6016" s="1445" t="s">
        <v>6</v>
      </c>
      <c r="E6016" s="818" t="s">
        <v>166</v>
      </c>
      <c r="F6016" s="1492" t="s">
        <v>19975</v>
      </c>
      <c r="G6016" s="282" t="s">
        <v>20084</v>
      </c>
      <c r="H6016" s="282" t="s">
        <v>184</v>
      </c>
      <c r="I6016" s="222" t="s">
        <v>4634</v>
      </c>
      <c r="J6016" s="225" t="s">
        <v>20085</v>
      </c>
      <c r="K6016" s="532" t="s">
        <v>20086</v>
      </c>
      <c r="L6016" s="225" t="s">
        <v>8980</v>
      </c>
      <c r="M6016" s="1427">
        <v>4</v>
      </c>
      <c r="N6016" s="1427">
        <v>4</v>
      </c>
      <c r="O6016" s="1427">
        <v>10</v>
      </c>
      <c r="P6016" s="222">
        <v>0</v>
      </c>
      <c r="Q6016" s="1427">
        <v>10</v>
      </c>
      <c r="R6016" s="2225">
        <v>255.7</v>
      </c>
      <c r="S6016" s="1195">
        <f t="shared" si="323"/>
        <v>2557</v>
      </c>
      <c r="T6016" s="222" t="s">
        <v>18479</v>
      </c>
      <c r="U6016" s="1527" t="s">
        <v>1886</v>
      </c>
      <c r="V6016" s="222" t="s">
        <v>104</v>
      </c>
      <c r="W6016" s="2248" t="s">
        <v>20087</v>
      </c>
      <c r="X6016" s="818"/>
    </row>
    <row r="6017" spans="1:24" ht="15.75" hidden="1" customHeight="1">
      <c r="A6017" s="222">
        <f t="shared" si="322"/>
        <v>6026</v>
      </c>
      <c r="B6017" s="858">
        <v>44852</v>
      </c>
      <c r="C6017" s="225" t="s">
        <v>152</v>
      </c>
      <c r="D6017" s="1445" t="s">
        <v>6</v>
      </c>
      <c r="E6017" s="818" t="s">
        <v>166</v>
      </c>
      <c r="F6017" s="1492" t="s">
        <v>19975</v>
      </c>
      <c r="G6017" s="282" t="s">
        <v>20088</v>
      </c>
      <c r="H6017" s="282" t="s">
        <v>20089</v>
      </c>
      <c r="I6017" s="222" t="s">
        <v>4634</v>
      </c>
      <c r="J6017" s="225" t="s">
        <v>11082</v>
      </c>
      <c r="K6017" s="282" t="s">
        <v>20090</v>
      </c>
      <c r="L6017" s="225" t="s">
        <v>1088</v>
      </c>
      <c r="M6017" s="1427">
        <v>6</v>
      </c>
      <c r="N6017" s="1427">
        <v>6</v>
      </c>
      <c r="O6017" s="1427">
        <v>15</v>
      </c>
      <c r="P6017" s="222">
        <v>0</v>
      </c>
      <c r="Q6017" s="1427">
        <v>15</v>
      </c>
      <c r="R6017" s="2225">
        <v>14.1</v>
      </c>
      <c r="S6017" s="1195">
        <f t="shared" si="323"/>
        <v>211.5</v>
      </c>
      <c r="T6017" s="222" t="s">
        <v>18479</v>
      </c>
      <c r="U6017" s="1527" t="s">
        <v>1886</v>
      </c>
      <c r="V6017" s="222" t="s">
        <v>104</v>
      </c>
      <c r="W6017" s="2248" t="s">
        <v>20091</v>
      </c>
      <c r="X6017" s="818"/>
    </row>
    <row r="6018" spans="1:24" ht="15.75" hidden="1" customHeight="1">
      <c r="A6018" s="222">
        <f t="shared" si="322"/>
        <v>6027</v>
      </c>
      <c r="B6018" s="858">
        <v>44852</v>
      </c>
      <c r="C6018" s="225" t="s">
        <v>152</v>
      </c>
      <c r="D6018" s="1445" t="s">
        <v>6</v>
      </c>
      <c r="E6018" s="818" t="s">
        <v>166</v>
      </c>
      <c r="F6018" s="1492" t="s">
        <v>19975</v>
      </c>
      <c r="G6018" s="282" t="s">
        <v>20092</v>
      </c>
      <c r="H6018" s="282" t="s">
        <v>15466</v>
      </c>
      <c r="I6018" s="222" t="s">
        <v>4634</v>
      </c>
      <c r="J6018" s="225" t="s">
        <v>20093</v>
      </c>
      <c r="K6018" s="282" t="s">
        <v>20094</v>
      </c>
      <c r="L6018" s="225" t="s">
        <v>8776</v>
      </c>
      <c r="M6018" s="1427">
        <v>4</v>
      </c>
      <c r="N6018" s="1427">
        <v>4</v>
      </c>
      <c r="O6018" s="1427">
        <v>10</v>
      </c>
      <c r="P6018" s="222">
        <v>0</v>
      </c>
      <c r="Q6018" s="1427">
        <v>10</v>
      </c>
      <c r="R6018" s="2225">
        <v>14.1</v>
      </c>
      <c r="S6018" s="1195">
        <f t="shared" ref="S6018:S6029" si="324">R6018*O6018</f>
        <v>141</v>
      </c>
      <c r="T6018" s="222" t="s">
        <v>18479</v>
      </c>
      <c r="U6018" s="1527" t="s">
        <v>1886</v>
      </c>
      <c r="V6018" s="222" t="s">
        <v>104</v>
      </c>
      <c r="W6018" s="2248" t="s">
        <v>20095</v>
      </c>
      <c r="X6018" s="818"/>
    </row>
    <row r="6019" spans="1:24" ht="15.75" hidden="1" customHeight="1">
      <c r="A6019" s="222">
        <f t="shared" si="322"/>
        <v>6028</v>
      </c>
      <c r="B6019" s="858">
        <v>44852</v>
      </c>
      <c r="C6019" s="225" t="s">
        <v>152</v>
      </c>
      <c r="D6019" s="1445" t="s">
        <v>6</v>
      </c>
      <c r="E6019" s="818" t="s">
        <v>166</v>
      </c>
      <c r="F6019" s="1492" t="s">
        <v>19975</v>
      </c>
      <c r="G6019" s="282" t="s">
        <v>20096</v>
      </c>
      <c r="H6019" s="282" t="s">
        <v>15466</v>
      </c>
      <c r="I6019" s="222" t="s">
        <v>4634</v>
      </c>
      <c r="J6019" s="225" t="s">
        <v>20097</v>
      </c>
      <c r="K6019" s="282" t="s">
        <v>20098</v>
      </c>
      <c r="L6019" s="225" t="s">
        <v>8776</v>
      </c>
      <c r="M6019" s="1427">
        <v>3</v>
      </c>
      <c r="N6019" s="1427">
        <v>3</v>
      </c>
      <c r="O6019" s="1427">
        <v>10</v>
      </c>
      <c r="P6019" s="222">
        <v>0</v>
      </c>
      <c r="Q6019" s="1427">
        <v>10</v>
      </c>
      <c r="R6019" s="2225">
        <v>14.1</v>
      </c>
      <c r="S6019" s="1195">
        <f t="shared" si="324"/>
        <v>141</v>
      </c>
      <c r="T6019" s="222" t="s">
        <v>18479</v>
      </c>
      <c r="U6019" s="1527" t="s">
        <v>1886</v>
      </c>
      <c r="V6019" s="222" t="s">
        <v>104</v>
      </c>
      <c r="W6019" s="2248" t="s">
        <v>20099</v>
      </c>
      <c r="X6019" s="818"/>
    </row>
    <row r="6020" spans="1:24" ht="15.75" hidden="1" customHeight="1">
      <c r="A6020" s="222">
        <f t="shared" si="322"/>
        <v>6029</v>
      </c>
      <c r="B6020" s="858">
        <v>44852</v>
      </c>
      <c r="C6020" s="225" t="s">
        <v>152</v>
      </c>
      <c r="D6020" s="1445" t="s">
        <v>6</v>
      </c>
      <c r="E6020" s="818" t="s">
        <v>166</v>
      </c>
      <c r="F6020" s="1492" t="s">
        <v>19975</v>
      </c>
      <c r="G6020" s="282" t="s">
        <v>20100</v>
      </c>
      <c r="H6020" s="282" t="s">
        <v>15466</v>
      </c>
      <c r="I6020" s="222" t="s">
        <v>4634</v>
      </c>
      <c r="J6020" s="225" t="s">
        <v>20101</v>
      </c>
      <c r="K6020" s="282" t="s">
        <v>20102</v>
      </c>
      <c r="L6020" s="225" t="s">
        <v>8776</v>
      </c>
      <c r="M6020" s="1427">
        <v>4</v>
      </c>
      <c r="N6020" s="1427">
        <v>4</v>
      </c>
      <c r="O6020" s="1427">
        <v>10</v>
      </c>
      <c r="P6020" s="222">
        <v>0</v>
      </c>
      <c r="Q6020" s="1427">
        <v>10</v>
      </c>
      <c r="R6020" s="2225">
        <v>14.1</v>
      </c>
      <c r="S6020" s="1195">
        <f t="shared" si="324"/>
        <v>141</v>
      </c>
      <c r="T6020" s="222" t="s">
        <v>18479</v>
      </c>
      <c r="U6020" s="1527" t="s">
        <v>1886</v>
      </c>
      <c r="V6020" s="222" t="s">
        <v>104</v>
      </c>
      <c r="W6020" s="2248" t="s">
        <v>20103</v>
      </c>
      <c r="X6020" s="818"/>
    </row>
    <row r="6021" spans="1:24" ht="15.75" hidden="1" customHeight="1">
      <c r="A6021" s="222">
        <f t="shared" ref="A6021:A6028" si="325">+A6020+1</f>
        <v>6030</v>
      </c>
      <c r="B6021" s="858">
        <v>44852</v>
      </c>
      <c r="C6021" s="225" t="s">
        <v>152</v>
      </c>
      <c r="D6021" s="1445" t="s">
        <v>6</v>
      </c>
      <c r="E6021" s="818" t="s">
        <v>166</v>
      </c>
      <c r="F6021" s="1492" t="s">
        <v>19975</v>
      </c>
      <c r="G6021" s="282" t="s">
        <v>20104</v>
      </c>
      <c r="H6021" s="282" t="s">
        <v>5413</v>
      </c>
      <c r="I6021" s="222" t="s">
        <v>4634</v>
      </c>
      <c r="J6021" s="225" t="s">
        <v>20105</v>
      </c>
      <c r="K6021" s="282" t="s">
        <v>12651</v>
      </c>
      <c r="L6021" s="225" t="s">
        <v>8776</v>
      </c>
      <c r="M6021" s="1427">
        <v>3</v>
      </c>
      <c r="N6021" s="1427">
        <v>3</v>
      </c>
      <c r="O6021" s="1427">
        <v>10</v>
      </c>
      <c r="P6021" s="222">
        <v>0</v>
      </c>
      <c r="Q6021" s="1427">
        <v>10</v>
      </c>
      <c r="R6021" s="2226">
        <v>111</v>
      </c>
      <c r="S6021" s="1195">
        <f t="shared" si="324"/>
        <v>1110</v>
      </c>
      <c r="T6021" s="222" t="s">
        <v>18479</v>
      </c>
      <c r="U6021" s="1527" t="s">
        <v>1886</v>
      </c>
      <c r="V6021" s="222" t="s">
        <v>104</v>
      </c>
      <c r="W6021" s="2248" t="s">
        <v>20106</v>
      </c>
      <c r="X6021" s="818"/>
    </row>
    <row r="6022" spans="1:24" ht="15.75" hidden="1" customHeight="1">
      <c r="A6022" s="222">
        <f t="shared" si="325"/>
        <v>6031</v>
      </c>
      <c r="B6022" s="858">
        <v>44852</v>
      </c>
      <c r="C6022" s="2221" t="s">
        <v>20112</v>
      </c>
      <c r="D6022" s="1445" t="s">
        <v>6</v>
      </c>
      <c r="E6022" s="818" t="s">
        <v>166</v>
      </c>
      <c r="F6022" s="1492" t="s">
        <v>19975</v>
      </c>
      <c r="G6022" s="532" t="s">
        <v>20113</v>
      </c>
      <c r="H6022" s="2220" t="s">
        <v>1073</v>
      </c>
      <c r="I6022" s="222" t="s">
        <v>4634</v>
      </c>
      <c r="J6022" s="1427" t="s">
        <v>20114</v>
      </c>
      <c r="K6022" s="532" t="s">
        <v>19912</v>
      </c>
      <c r="L6022" s="1650" t="s">
        <v>13128</v>
      </c>
      <c r="M6022" s="1427">
        <v>4</v>
      </c>
      <c r="N6022" s="1427">
        <v>4</v>
      </c>
      <c r="O6022" s="1427">
        <v>5</v>
      </c>
      <c r="P6022" s="222">
        <v>0</v>
      </c>
      <c r="Q6022" s="1427">
        <v>5</v>
      </c>
      <c r="R6022" s="2225">
        <v>733.4</v>
      </c>
      <c r="S6022" s="1195">
        <f t="shared" si="324"/>
        <v>3667</v>
      </c>
      <c r="T6022" s="222" t="s">
        <v>18479</v>
      </c>
      <c r="U6022" s="1527" t="s">
        <v>1886</v>
      </c>
      <c r="V6022" s="222" t="s">
        <v>104</v>
      </c>
      <c r="W6022" s="2297" t="s">
        <v>20115</v>
      </c>
      <c r="X6022" s="818"/>
    </row>
    <row r="6023" spans="1:24" ht="15.75" hidden="1" customHeight="1">
      <c r="A6023" s="222">
        <f t="shared" si="325"/>
        <v>6032</v>
      </c>
      <c r="B6023" s="858">
        <v>44852</v>
      </c>
      <c r="C6023" s="225" t="s">
        <v>20116</v>
      </c>
      <c r="D6023" s="1445" t="s">
        <v>6</v>
      </c>
      <c r="E6023" s="818" t="s">
        <v>166</v>
      </c>
      <c r="F6023" s="1492" t="s">
        <v>19975</v>
      </c>
      <c r="G6023" s="532" t="s">
        <v>20117</v>
      </c>
      <c r="H6023" s="532" t="s">
        <v>10376</v>
      </c>
      <c r="I6023" s="222" t="s">
        <v>4634</v>
      </c>
      <c r="J6023" s="1427" t="s">
        <v>20118</v>
      </c>
      <c r="K6023" s="532" t="s">
        <v>20119</v>
      </c>
      <c r="L6023" s="1650" t="s">
        <v>13128</v>
      </c>
      <c r="M6023" s="1427">
        <v>4</v>
      </c>
      <c r="N6023" s="1427">
        <v>4</v>
      </c>
      <c r="O6023" s="1427">
        <v>4</v>
      </c>
      <c r="P6023" s="222">
        <v>0</v>
      </c>
      <c r="Q6023" s="1427">
        <v>4</v>
      </c>
      <c r="R6023" s="2225">
        <v>1392.4</v>
      </c>
      <c r="S6023" s="1195">
        <f t="shared" si="324"/>
        <v>5569.6</v>
      </c>
      <c r="T6023" s="222" t="s">
        <v>18479</v>
      </c>
      <c r="U6023" s="1527" t="s">
        <v>1886</v>
      </c>
      <c r="V6023" s="222" t="s">
        <v>104</v>
      </c>
      <c r="W6023" s="2248" t="s">
        <v>20120</v>
      </c>
      <c r="X6023" s="818"/>
    </row>
    <row r="6024" spans="1:24" ht="15.75" hidden="1" customHeight="1">
      <c r="A6024" s="222">
        <f t="shared" si="325"/>
        <v>6033</v>
      </c>
      <c r="B6024" s="858">
        <v>44852</v>
      </c>
      <c r="C6024" s="1427" t="s">
        <v>20121</v>
      </c>
      <c r="D6024" s="1445" t="s">
        <v>6</v>
      </c>
      <c r="E6024" s="818" t="s">
        <v>166</v>
      </c>
      <c r="F6024" s="1492" t="s">
        <v>19975</v>
      </c>
      <c r="G6024" s="532" t="s">
        <v>20122</v>
      </c>
      <c r="H6024" s="532" t="s">
        <v>511</v>
      </c>
      <c r="I6024" s="222" t="s">
        <v>4634</v>
      </c>
      <c r="J6024" s="1427" t="s">
        <v>11145</v>
      </c>
      <c r="K6024" s="532" t="s">
        <v>11146</v>
      </c>
      <c r="L6024" s="1650" t="s">
        <v>13128</v>
      </c>
      <c r="M6024" s="1427">
        <v>6</v>
      </c>
      <c r="N6024" s="1427">
        <v>6</v>
      </c>
      <c r="O6024" s="1427">
        <v>8</v>
      </c>
      <c r="P6024" s="222">
        <v>0</v>
      </c>
      <c r="Q6024" s="1427">
        <v>8</v>
      </c>
      <c r="R6024" s="2225">
        <v>68.8</v>
      </c>
      <c r="S6024" s="1195">
        <f t="shared" si="324"/>
        <v>550.4</v>
      </c>
      <c r="T6024" s="222" t="s">
        <v>18479</v>
      </c>
      <c r="U6024" s="1527" t="s">
        <v>1886</v>
      </c>
      <c r="V6024" s="222" t="s">
        <v>104</v>
      </c>
      <c r="W6024" s="2248" t="s">
        <v>20123</v>
      </c>
      <c r="X6024" s="818"/>
    </row>
    <row r="6025" spans="1:24" ht="15.75" hidden="1" customHeight="1">
      <c r="A6025" s="222">
        <f t="shared" si="325"/>
        <v>6034</v>
      </c>
      <c r="B6025" s="858">
        <v>44852</v>
      </c>
      <c r="C6025" s="1427" t="s">
        <v>18318</v>
      </c>
      <c r="D6025" s="1445" t="s">
        <v>6</v>
      </c>
      <c r="E6025" s="818" t="s">
        <v>166</v>
      </c>
      <c r="F6025" s="1492" t="s">
        <v>19975</v>
      </c>
      <c r="G6025" s="532" t="s">
        <v>20124</v>
      </c>
      <c r="H6025" s="532" t="s">
        <v>16190</v>
      </c>
      <c r="I6025" s="222" t="s">
        <v>4634</v>
      </c>
      <c r="J6025" s="2221" t="s">
        <v>11139</v>
      </c>
      <c r="K6025" s="532" t="s">
        <v>6455</v>
      </c>
      <c r="L6025" s="1650" t="s">
        <v>13128</v>
      </c>
      <c r="M6025" s="2221">
        <v>4</v>
      </c>
      <c r="N6025" s="2221">
        <v>4</v>
      </c>
      <c r="O6025" s="1427">
        <v>8</v>
      </c>
      <c r="P6025" s="222">
        <v>0</v>
      </c>
      <c r="Q6025" s="1427">
        <v>8</v>
      </c>
      <c r="R6025" s="2224">
        <v>26.7</v>
      </c>
      <c r="S6025" s="1195">
        <f>R6025*O6025</f>
        <v>213.6</v>
      </c>
      <c r="T6025" s="222" t="s">
        <v>18479</v>
      </c>
      <c r="U6025" s="1527" t="s">
        <v>1886</v>
      </c>
      <c r="V6025" s="222" t="s">
        <v>104</v>
      </c>
      <c r="W6025" s="2248" t="s">
        <v>20125</v>
      </c>
      <c r="X6025" s="818"/>
    </row>
    <row r="6026" spans="1:24" ht="15.75" hidden="1" customHeight="1">
      <c r="A6026" s="222">
        <f t="shared" si="325"/>
        <v>6035</v>
      </c>
      <c r="B6026" s="858">
        <v>44852</v>
      </c>
      <c r="C6026" s="1427" t="s">
        <v>339</v>
      </c>
      <c r="D6026" s="1445" t="s">
        <v>6</v>
      </c>
      <c r="E6026" s="818" t="s">
        <v>166</v>
      </c>
      <c r="F6026" s="1492" t="s">
        <v>19975</v>
      </c>
      <c r="G6026" s="2220" t="s">
        <v>20031</v>
      </c>
      <c r="H6026" s="2220" t="s">
        <v>20032</v>
      </c>
      <c r="I6026" s="222" t="s">
        <v>4634</v>
      </c>
      <c r="J6026" s="1427" t="s">
        <v>20033</v>
      </c>
      <c r="K6026" s="532" t="s">
        <v>20034</v>
      </c>
      <c r="L6026" s="1650" t="s">
        <v>13128</v>
      </c>
      <c r="M6026" s="1427">
        <v>4</v>
      </c>
      <c r="N6026" s="1427">
        <v>4</v>
      </c>
      <c r="O6026" s="1427">
        <v>8</v>
      </c>
      <c r="P6026" s="222">
        <v>0</v>
      </c>
      <c r="Q6026" s="1427">
        <v>8</v>
      </c>
      <c r="R6026" s="2225">
        <v>70.3</v>
      </c>
      <c r="S6026" s="1195">
        <f t="shared" si="324"/>
        <v>562.4</v>
      </c>
      <c r="T6026" s="222" t="s">
        <v>18479</v>
      </c>
      <c r="U6026" s="1527" t="s">
        <v>1886</v>
      </c>
      <c r="V6026" s="222" t="s">
        <v>104</v>
      </c>
      <c r="W6026" s="2248" t="s">
        <v>20036</v>
      </c>
      <c r="X6026" s="818"/>
    </row>
    <row r="6027" spans="1:24" ht="15.75" hidden="1" customHeight="1">
      <c r="A6027" s="222">
        <f t="shared" si="325"/>
        <v>6036</v>
      </c>
      <c r="B6027" s="858">
        <v>44852</v>
      </c>
      <c r="C6027" s="2221" t="s">
        <v>20107</v>
      </c>
      <c r="D6027" s="1445" t="s">
        <v>6</v>
      </c>
      <c r="E6027" s="818" t="s">
        <v>166</v>
      </c>
      <c r="F6027" s="1492" t="s">
        <v>19975</v>
      </c>
      <c r="G6027" s="532" t="s">
        <v>20108</v>
      </c>
      <c r="H6027" s="2220" t="s">
        <v>1073</v>
      </c>
      <c r="I6027" s="222" t="s">
        <v>4634</v>
      </c>
      <c r="J6027" s="225" t="s">
        <v>20109</v>
      </c>
      <c r="K6027" s="282" t="s">
        <v>20110</v>
      </c>
      <c r="L6027" s="225" t="s">
        <v>16451</v>
      </c>
      <c r="M6027" s="2221">
        <v>4</v>
      </c>
      <c r="N6027" s="2221">
        <v>4</v>
      </c>
      <c r="O6027" s="1427">
        <v>5</v>
      </c>
      <c r="P6027" s="222">
        <v>0</v>
      </c>
      <c r="Q6027" s="1427">
        <v>5</v>
      </c>
      <c r="R6027" s="2224">
        <v>1211.0999999999999</v>
      </c>
      <c r="S6027" s="1195">
        <f t="shared" si="324"/>
        <v>6055.5</v>
      </c>
      <c r="T6027" s="222" t="s">
        <v>18479</v>
      </c>
      <c r="U6027" s="1527" t="s">
        <v>1886</v>
      </c>
      <c r="V6027" s="222" t="s">
        <v>104</v>
      </c>
      <c r="W6027" s="2248" t="s">
        <v>20111</v>
      </c>
      <c r="X6027" s="818"/>
    </row>
    <row r="6028" spans="1:24" ht="15.75" hidden="1" customHeight="1">
      <c r="A6028" s="222">
        <f t="shared" si="325"/>
        <v>6037</v>
      </c>
      <c r="B6028" s="858">
        <v>44852</v>
      </c>
      <c r="C6028" s="225" t="s">
        <v>16501</v>
      </c>
      <c r="D6028" s="1445" t="s">
        <v>6</v>
      </c>
      <c r="E6028" s="818" t="s">
        <v>166</v>
      </c>
      <c r="F6028" s="1492" t="s">
        <v>19975</v>
      </c>
      <c r="G6028" s="282" t="s">
        <v>16502</v>
      </c>
      <c r="H6028" s="282" t="s">
        <v>10376</v>
      </c>
      <c r="I6028" s="222" t="s">
        <v>4634</v>
      </c>
      <c r="J6028" s="225" t="s">
        <v>16503</v>
      </c>
      <c r="K6028" s="282" t="s">
        <v>16504</v>
      </c>
      <c r="L6028" s="225" t="s">
        <v>7002</v>
      </c>
      <c r="M6028" s="1427">
        <v>4</v>
      </c>
      <c r="N6028" s="1427">
        <v>4</v>
      </c>
      <c r="O6028" s="1427">
        <v>4</v>
      </c>
      <c r="P6028" s="222">
        <v>0</v>
      </c>
      <c r="Q6028" s="1427">
        <v>4</v>
      </c>
      <c r="R6028" s="2226">
        <v>1228</v>
      </c>
      <c r="S6028" s="1195">
        <f t="shared" si="324"/>
        <v>4912</v>
      </c>
      <c r="T6028" s="222" t="s">
        <v>18479</v>
      </c>
      <c r="U6028" s="1527" t="s">
        <v>1886</v>
      </c>
      <c r="V6028" s="222" t="s">
        <v>104</v>
      </c>
      <c r="W6028" s="2248" t="s">
        <v>16505</v>
      </c>
      <c r="X6028" s="818"/>
    </row>
    <row r="6029" spans="1:24" ht="15.75" hidden="1" customHeight="1">
      <c r="A6029" s="222">
        <f>+A6028+1</f>
        <v>6038</v>
      </c>
      <c r="B6029" s="858">
        <v>44854</v>
      </c>
      <c r="C6029" s="129" t="s">
        <v>19881</v>
      </c>
      <c r="D6029" s="8" t="s">
        <v>6</v>
      </c>
      <c r="E6029" s="818" t="s">
        <v>4951</v>
      </c>
      <c r="F6029" s="1006" t="s">
        <v>19851</v>
      </c>
      <c r="G6029" s="863" t="s">
        <v>19882</v>
      </c>
      <c r="H6029" s="1684" t="s">
        <v>84</v>
      </c>
      <c r="I6029" s="1684" t="s">
        <v>84</v>
      </c>
      <c r="J6029" s="183" t="s">
        <v>19883</v>
      </c>
      <c r="K6029" s="183"/>
      <c r="L6029" s="613"/>
      <c r="M6029" s="183">
        <v>1</v>
      </c>
      <c r="N6029" s="183">
        <v>1</v>
      </c>
      <c r="O6029" s="222">
        <v>1</v>
      </c>
      <c r="P6029" s="222">
        <v>0</v>
      </c>
      <c r="Q6029" s="222">
        <v>0</v>
      </c>
      <c r="R6029" s="1195">
        <v>4890</v>
      </c>
      <c r="S6029" s="1195">
        <f t="shared" si="324"/>
        <v>4890</v>
      </c>
      <c r="T6029" s="222" t="s">
        <v>301</v>
      </c>
      <c r="U6029" s="1527" t="s">
        <v>18479</v>
      </c>
      <c r="V6029" s="222" t="s">
        <v>20333</v>
      </c>
      <c r="W6029" s="2155" t="s">
        <v>19887</v>
      </c>
      <c r="X6029" s="818"/>
    </row>
    <row r="6030" spans="1:24" ht="15.75" hidden="1" customHeight="1">
      <c r="A6030" s="222">
        <f>+A6029+1</f>
        <v>6039</v>
      </c>
      <c r="B6030" s="858">
        <v>44854</v>
      </c>
      <c r="C6030" s="1193" t="s">
        <v>19361</v>
      </c>
      <c r="D6030" s="11" t="s">
        <v>6</v>
      </c>
      <c r="E6030" s="818" t="s">
        <v>572</v>
      </c>
      <c r="F6030" s="1006" t="s">
        <v>131</v>
      </c>
      <c r="G6030" s="863" t="s">
        <v>20334</v>
      </c>
      <c r="H6030" s="222" t="s">
        <v>20335</v>
      </c>
      <c r="I6030" s="222" t="s">
        <v>7613</v>
      </c>
      <c r="J6030" s="222" t="s">
        <v>20336</v>
      </c>
      <c r="K6030" s="222" t="s">
        <v>20336</v>
      </c>
      <c r="L6030" s="613" t="s">
        <v>623</v>
      </c>
      <c r="M6030" s="222">
        <v>6</v>
      </c>
      <c r="N6030" s="222">
        <v>1</v>
      </c>
      <c r="O6030" s="222">
        <v>10</v>
      </c>
      <c r="P6030" s="222">
        <v>0</v>
      </c>
      <c r="Q6030" s="222">
        <v>4</v>
      </c>
      <c r="R6030" s="1195">
        <v>3100</v>
      </c>
      <c r="S6030" s="1195">
        <v>31000</v>
      </c>
      <c r="T6030" s="222" t="s">
        <v>18479</v>
      </c>
      <c r="U6030" s="1527" t="s">
        <v>10016</v>
      </c>
      <c r="V6030" s="222" t="s">
        <v>18479</v>
      </c>
      <c r="W6030" s="2274" t="s">
        <v>20337</v>
      </c>
      <c r="X6030" s="818"/>
    </row>
    <row r="6031" spans="1:24" ht="15.75" hidden="1" customHeight="1">
      <c r="A6031" s="222">
        <f>+A6030+1</f>
        <v>6040</v>
      </c>
      <c r="B6031" s="858">
        <v>44854</v>
      </c>
      <c r="C6031" s="129" t="s">
        <v>3466</v>
      </c>
      <c r="D6031" s="8" t="s">
        <v>6</v>
      </c>
      <c r="E6031" s="818" t="s">
        <v>166</v>
      </c>
      <c r="F6031" s="1006" t="s">
        <v>18540</v>
      </c>
      <c r="G6031" s="863" t="s">
        <v>20338</v>
      </c>
      <c r="H6031" s="222" t="s">
        <v>84</v>
      </c>
      <c r="I6031" s="222" t="s">
        <v>84</v>
      </c>
      <c r="J6031" s="2232" t="s">
        <v>17047</v>
      </c>
      <c r="K6031" s="183" t="s">
        <v>17047</v>
      </c>
      <c r="L6031" s="613" t="s">
        <v>1</v>
      </c>
      <c r="M6031" s="183">
        <v>1</v>
      </c>
      <c r="N6031" s="183">
        <v>1</v>
      </c>
      <c r="O6031" s="222">
        <v>1</v>
      </c>
      <c r="P6031" s="222">
        <v>0</v>
      </c>
      <c r="Q6031" s="222">
        <v>1</v>
      </c>
      <c r="R6031" s="1195">
        <v>2990</v>
      </c>
      <c r="S6031" s="1195">
        <v>2990</v>
      </c>
      <c r="T6031" s="222" t="s">
        <v>14752</v>
      </c>
      <c r="U6031" s="1527" t="s">
        <v>9101</v>
      </c>
      <c r="V6031" s="222" t="s">
        <v>150</v>
      </c>
      <c r="W6031" s="2204" t="s">
        <v>20339</v>
      </c>
      <c r="X6031" s="818"/>
    </row>
    <row r="6032" spans="1:24" ht="15.75" hidden="1" customHeight="1">
      <c r="A6032" s="222">
        <f t="shared" ref="A6032:A6033" si="326">+A6031+1</f>
        <v>6041</v>
      </c>
      <c r="B6032" s="858">
        <v>44855</v>
      </c>
      <c r="C6032" s="129" t="s">
        <v>20340</v>
      </c>
      <c r="D6032" s="8" t="s">
        <v>6</v>
      </c>
      <c r="E6032" s="818" t="s">
        <v>20341</v>
      </c>
      <c r="F6032" s="1006" t="s">
        <v>19325</v>
      </c>
      <c r="G6032" s="863" t="s">
        <v>20342</v>
      </c>
      <c r="H6032" s="222" t="s">
        <v>20343</v>
      </c>
      <c r="I6032" s="222" t="s">
        <v>20271</v>
      </c>
      <c r="J6032" s="2232" t="s">
        <v>20344</v>
      </c>
      <c r="K6032" s="183"/>
      <c r="L6032" s="613"/>
      <c r="M6032" s="183">
        <v>100</v>
      </c>
      <c r="N6032" s="183">
        <v>100</v>
      </c>
      <c r="O6032" s="222">
        <v>100</v>
      </c>
      <c r="P6032" s="222">
        <v>0</v>
      </c>
      <c r="Q6032" s="222">
        <v>100</v>
      </c>
      <c r="R6032" s="1195">
        <v>550</v>
      </c>
      <c r="S6032" s="1195">
        <v>55000</v>
      </c>
      <c r="T6032" s="222" t="s">
        <v>18479</v>
      </c>
      <c r="U6032" s="1527" t="s">
        <v>2703</v>
      </c>
      <c r="V6032" s="222" t="s">
        <v>12577</v>
      </c>
      <c r="W6032" s="2155" t="s">
        <v>20345</v>
      </c>
      <c r="X6032" s="818"/>
    </row>
    <row r="6033" spans="1:24" ht="15.75" hidden="1" customHeight="1">
      <c r="A6033" s="222">
        <f t="shared" si="326"/>
        <v>6042</v>
      </c>
      <c r="B6033" s="858">
        <v>44855</v>
      </c>
      <c r="C6033" s="129" t="s">
        <v>20346</v>
      </c>
      <c r="D6033" s="8" t="s">
        <v>6</v>
      </c>
      <c r="E6033" s="818" t="s">
        <v>20341</v>
      </c>
      <c r="F6033" s="1006" t="s">
        <v>19325</v>
      </c>
      <c r="G6033" s="863" t="s">
        <v>20347</v>
      </c>
      <c r="H6033" s="222" t="s">
        <v>4841</v>
      </c>
      <c r="I6033" s="222" t="s">
        <v>4841</v>
      </c>
      <c r="J6033" s="458" t="s">
        <v>20348</v>
      </c>
      <c r="K6033" s="183" t="s">
        <v>20349</v>
      </c>
      <c r="L6033" s="613"/>
      <c r="M6033" s="183">
        <v>2</v>
      </c>
      <c r="N6033" s="183">
        <v>1</v>
      </c>
      <c r="O6033" s="222">
        <v>2</v>
      </c>
      <c r="P6033" s="222">
        <v>0</v>
      </c>
      <c r="Q6033" s="222">
        <v>2</v>
      </c>
      <c r="R6033" s="1195">
        <v>90</v>
      </c>
      <c r="S6033" s="1195">
        <v>180</v>
      </c>
      <c r="T6033" s="222" t="s">
        <v>18479</v>
      </c>
      <c r="U6033" s="1527" t="s">
        <v>2703</v>
      </c>
      <c r="V6033" s="222" t="s">
        <v>12577</v>
      </c>
      <c r="W6033" s="2155" t="s">
        <v>20350</v>
      </c>
      <c r="X6033" s="818"/>
    </row>
    <row r="6034" spans="1:24" ht="15.75" hidden="1" customHeight="1">
      <c r="A6034" s="222">
        <v>6043</v>
      </c>
      <c r="B6034" s="858">
        <v>44855</v>
      </c>
      <c r="C6034" s="129" t="s">
        <v>20351</v>
      </c>
      <c r="D6034" s="11" t="s">
        <v>6</v>
      </c>
      <c r="E6034" s="818" t="s">
        <v>14758</v>
      </c>
      <c r="F6034" s="1006" t="s">
        <v>2143</v>
      </c>
      <c r="G6034" s="863" t="s">
        <v>20352</v>
      </c>
      <c r="H6034" s="222" t="s">
        <v>17925</v>
      </c>
      <c r="I6034" s="222" t="s">
        <v>17925</v>
      </c>
      <c r="J6034" s="183"/>
      <c r="K6034" s="183"/>
      <c r="L6034" s="613"/>
      <c r="M6034" s="183">
        <v>1</v>
      </c>
      <c r="N6034" s="183">
        <v>1</v>
      </c>
      <c r="O6034" s="222">
        <v>0</v>
      </c>
      <c r="P6034" s="222">
        <v>0</v>
      </c>
      <c r="Q6034" s="222">
        <v>0</v>
      </c>
      <c r="R6034" s="1195">
        <v>100000</v>
      </c>
      <c r="S6034" s="1195">
        <v>100000</v>
      </c>
      <c r="T6034" s="222" t="s">
        <v>20353</v>
      </c>
      <c r="U6034" s="1527" t="s">
        <v>118</v>
      </c>
      <c r="V6034" s="222" t="s">
        <v>17926</v>
      </c>
      <c r="W6034" s="2155"/>
      <c r="X6034" s="818"/>
    </row>
    <row r="6035" spans="1:24" ht="15.75" hidden="1" customHeight="1">
      <c r="A6035" s="222">
        <f t="shared" ref="A6035:A6045" si="327">+A6034+1</f>
        <v>6044</v>
      </c>
      <c r="B6035" s="858">
        <v>44858</v>
      </c>
      <c r="C6035" s="129" t="s">
        <v>20354</v>
      </c>
      <c r="D6035" s="10"/>
      <c r="E6035" s="818" t="s">
        <v>166</v>
      </c>
      <c r="F6035" s="1006" t="s">
        <v>13277</v>
      </c>
      <c r="G6035" s="129" t="s">
        <v>20355</v>
      </c>
      <c r="H6035" s="222" t="s">
        <v>2668</v>
      </c>
      <c r="I6035" s="222" t="s">
        <v>18397</v>
      </c>
      <c r="J6035" s="1522" t="s">
        <v>20356</v>
      </c>
      <c r="K6035" s="183" t="s">
        <v>20357</v>
      </c>
      <c r="L6035" s="613" t="s">
        <v>1</v>
      </c>
      <c r="M6035" s="183">
        <v>1</v>
      </c>
      <c r="N6035" s="183">
        <v>1</v>
      </c>
      <c r="O6035" s="222">
        <v>1</v>
      </c>
      <c r="P6035" s="222">
        <v>0</v>
      </c>
      <c r="Q6035" s="222">
        <v>1</v>
      </c>
      <c r="R6035" s="1195">
        <v>11655</v>
      </c>
      <c r="S6035" s="1195">
        <f>R6035*O6035</f>
        <v>11655</v>
      </c>
      <c r="T6035" s="222" t="s">
        <v>18479</v>
      </c>
      <c r="U6035" s="1527" t="s">
        <v>14001</v>
      </c>
      <c r="V6035" s="222" t="s">
        <v>20358</v>
      </c>
      <c r="W6035" s="2155" t="s">
        <v>20359</v>
      </c>
      <c r="X6035" s="818" t="s">
        <v>20360</v>
      </c>
    </row>
    <row r="6036" spans="1:24" ht="15.75" hidden="1" customHeight="1">
      <c r="A6036" s="222">
        <f t="shared" si="327"/>
        <v>6045</v>
      </c>
      <c r="B6036" s="858">
        <v>44858</v>
      </c>
      <c r="C6036" s="129" t="s">
        <v>20361</v>
      </c>
      <c r="D6036" s="11" t="s">
        <v>6</v>
      </c>
      <c r="E6036" s="818" t="s">
        <v>166</v>
      </c>
      <c r="F6036" s="1006" t="s">
        <v>19265</v>
      </c>
      <c r="G6036" s="863" t="s">
        <v>14895</v>
      </c>
      <c r="H6036" s="222" t="s">
        <v>460</v>
      </c>
      <c r="I6036" s="222" t="s">
        <v>14581</v>
      </c>
      <c r="J6036" s="183" t="s">
        <v>14897</v>
      </c>
      <c r="K6036" s="183" t="s">
        <v>462</v>
      </c>
      <c r="L6036" s="613" t="s">
        <v>5416</v>
      </c>
      <c r="M6036" s="183">
        <v>6</v>
      </c>
      <c r="N6036" s="183">
        <v>1</v>
      </c>
      <c r="O6036" s="222">
        <v>20</v>
      </c>
      <c r="P6036" s="222">
        <v>0</v>
      </c>
      <c r="Q6036" s="222">
        <v>14</v>
      </c>
      <c r="R6036" s="1195">
        <v>232</v>
      </c>
      <c r="S6036" s="1195">
        <f t="shared" ref="S6036:S6053" si="328">R6036*O6036</f>
        <v>4640</v>
      </c>
      <c r="T6036" s="222" t="s">
        <v>18479</v>
      </c>
      <c r="U6036" s="1527" t="s">
        <v>20362</v>
      </c>
      <c r="V6036" s="222" t="s">
        <v>19258</v>
      </c>
      <c r="W6036" s="2162" t="s">
        <v>18570</v>
      </c>
      <c r="X6036" s="818"/>
    </row>
    <row r="6037" spans="1:24" ht="15.75" hidden="1" customHeight="1">
      <c r="A6037" s="222">
        <f t="shared" si="327"/>
        <v>6046</v>
      </c>
      <c r="B6037" s="858">
        <v>44858</v>
      </c>
      <c r="C6037" s="129" t="s">
        <v>20363</v>
      </c>
      <c r="D6037" s="11" t="s">
        <v>6</v>
      </c>
      <c r="E6037" s="818" t="s">
        <v>166</v>
      </c>
      <c r="F6037" s="1006" t="s">
        <v>19265</v>
      </c>
      <c r="G6037" s="863" t="s">
        <v>20364</v>
      </c>
      <c r="H6037" s="222" t="s">
        <v>9182</v>
      </c>
      <c r="I6037" s="222" t="s">
        <v>84</v>
      </c>
      <c r="J6037" s="183" t="s">
        <v>20365</v>
      </c>
      <c r="K6037" s="183" t="s">
        <v>20365</v>
      </c>
      <c r="L6037" s="613"/>
      <c r="M6037" s="183">
        <v>8</v>
      </c>
      <c r="N6037" s="183" t="s">
        <v>20366</v>
      </c>
      <c r="O6037" s="222">
        <v>1</v>
      </c>
      <c r="P6037" s="222">
        <v>0</v>
      </c>
      <c r="Q6037" s="222">
        <v>42</v>
      </c>
      <c r="R6037" s="1195">
        <v>1690</v>
      </c>
      <c r="S6037" s="1195">
        <f t="shared" si="328"/>
        <v>1690</v>
      </c>
      <c r="T6037" s="222" t="s">
        <v>18479</v>
      </c>
      <c r="U6037" s="1527" t="s">
        <v>20362</v>
      </c>
      <c r="V6037" s="222" t="s">
        <v>19258</v>
      </c>
      <c r="W6037" s="2162" t="s">
        <v>17217</v>
      </c>
      <c r="X6037" s="818"/>
    </row>
    <row r="6038" spans="1:24" ht="15.75" hidden="1" customHeight="1">
      <c r="A6038" s="222">
        <v>6047</v>
      </c>
      <c r="B6038" s="858">
        <v>44858</v>
      </c>
      <c r="C6038" s="129" t="s">
        <v>20367</v>
      </c>
      <c r="D6038" s="11" t="s">
        <v>6</v>
      </c>
      <c r="E6038" s="818" t="s">
        <v>166</v>
      </c>
      <c r="F6038" s="1006" t="s">
        <v>19265</v>
      </c>
      <c r="G6038" s="863" t="s">
        <v>20368</v>
      </c>
      <c r="H6038" s="222" t="s">
        <v>9182</v>
      </c>
      <c r="I6038" s="222" t="s">
        <v>84</v>
      </c>
      <c r="J6038" s="183" t="s">
        <v>469</v>
      </c>
      <c r="K6038" s="183" t="s">
        <v>469</v>
      </c>
      <c r="L6038" s="613"/>
      <c r="M6038" s="183">
        <v>8</v>
      </c>
      <c r="N6038" s="183" t="s">
        <v>20369</v>
      </c>
      <c r="O6038" s="222">
        <v>1</v>
      </c>
      <c r="P6038" s="222">
        <v>0</v>
      </c>
      <c r="Q6038" s="222">
        <v>12</v>
      </c>
      <c r="R6038" s="1195">
        <v>699</v>
      </c>
      <c r="S6038" s="1195">
        <f t="shared" si="328"/>
        <v>699</v>
      </c>
      <c r="T6038" s="222" t="s">
        <v>18479</v>
      </c>
      <c r="U6038" s="1527" t="s">
        <v>20362</v>
      </c>
      <c r="V6038" s="222" t="s">
        <v>19258</v>
      </c>
      <c r="W6038" s="2249" t="s">
        <v>8486</v>
      </c>
      <c r="X6038" s="818"/>
    </row>
    <row r="6039" spans="1:24" ht="15.75" hidden="1" customHeight="1">
      <c r="A6039" s="222">
        <f>+A6038+1</f>
        <v>6048</v>
      </c>
      <c r="B6039" s="858">
        <v>44858</v>
      </c>
      <c r="C6039" s="129" t="s">
        <v>20370</v>
      </c>
      <c r="D6039" s="11" t="s">
        <v>6</v>
      </c>
      <c r="E6039" s="818" t="s">
        <v>166</v>
      </c>
      <c r="F6039" s="1006" t="s">
        <v>19265</v>
      </c>
      <c r="G6039" s="863" t="s">
        <v>20371</v>
      </c>
      <c r="H6039" s="222" t="s">
        <v>9182</v>
      </c>
      <c r="I6039" s="222" t="s">
        <v>84</v>
      </c>
      <c r="J6039" s="183" t="s">
        <v>20372</v>
      </c>
      <c r="K6039" s="183" t="s">
        <v>20372</v>
      </c>
      <c r="L6039" s="613"/>
      <c r="M6039" s="183">
        <v>4</v>
      </c>
      <c r="N6039" s="183" t="s">
        <v>20366</v>
      </c>
      <c r="O6039" s="222">
        <v>1</v>
      </c>
      <c r="P6039" s="222">
        <v>0</v>
      </c>
      <c r="Q6039" s="222">
        <v>46</v>
      </c>
      <c r="R6039" s="1195">
        <v>1990</v>
      </c>
      <c r="S6039" s="1195">
        <f t="shared" si="328"/>
        <v>1990</v>
      </c>
      <c r="T6039" s="222" t="s">
        <v>18479</v>
      </c>
      <c r="U6039" s="1527" t="s">
        <v>20362</v>
      </c>
      <c r="V6039" s="222" t="s">
        <v>19258</v>
      </c>
      <c r="W6039" s="811" t="s">
        <v>20373</v>
      </c>
      <c r="X6039" s="818"/>
    </row>
    <row r="6040" spans="1:24" ht="15.75" hidden="1" customHeight="1">
      <c r="A6040" s="222">
        <f t="shared" si="327"/>
        <v>6049</v>
      </c>
      <c r="B6040" s="858">
        <v>44858</v>
      </c>
      <c r="C6040" s="129" t="s">
        <v>20374</v>
      </c>
      <c r="D6040" s="11" t="s">
        <v>6</v>
      </c>
      <c r="E6040" s="818" t="s">
        <v>166</v>
      </c>
      <c r="F6040" s="1006" t="s">
        <v>19265</v>
      </c>
      <c r="G6040" s="863" t="s">
        <v>20375</v>
      </c>
      <c r="H6040" s="222" t="s">
        <v>9182</v>
      </c>
      <c r="I6040" s="222" t="s">
        <v>84</v>
      </c>
      <c r="J6040" s="183" t="s">
        <v>20376</v>
      </c>
      <c r="K6040" s="183" t="s">
        <v>20376</v>
      </c>
      <c r="L6040" s="613"/>
      <c r="M6040" s="183">
        <v>4</v>
      </c>
      <c r="N6040" s="183" t="s">
        <v>20369</v>
      </c>
      <c r="O6040" s="222">
        <v>2</v>
      </c>
      <c r="P6040" s="222">
        <v>0</v>
      </c>
      <c r="Q6040" s="222">
        <v>16</v>
      </c>
      <c r="R6040" s="1195">
        <v>739</v>
      </c>
      <c r="S6040" s="1195">
        <f t="shared" si="328"/>
        <v>1478</v>
      </c>
      <c r="T6040" s="222" t="s">
        <v>18479</v>
      </c>
      <c r="U6040" s="1527" t="s">
        <v>20362</v>
      </c>
      <c r="V6040" s="222" t="s">
        <v>19258</v>
      </c>
      <c r="W6040" s="2249" t="s">
        <v>20377</v>
      </c>
      <c r="X6040" s="818"/>
    </row>
    <row r="6041" spans="1:24" ht="15.75" hidden="1" customHeight="1">
      <c r="A6041" s="222">
        <f t="shared" si="327"/>
        <v>6050</v>
      </c>
      <c r="B6041" s="858">
        <v>44858</v>
      </c>
      <c r="C6041" s="129" t="s">
        <v>20378</v>
      </c>
      <c r="D6041" s="11" t="s">
        <v>6</v>
      </c>
      <c r="E6041" s="818" t="s">
        <v>166</v>
      </c>
      <c r="F6041" s="1006" t="s">
        <v>19265</v>
      </c>
      <c r="G6041" s="863" t="s">
        <v>20379</v>
      </c>
      <c r="H6041" s="222" t="s">
        <v>9182</v>
      </c>
      <c r="I6041" s="222" t="s">
        <v>84</v>
      </c>
      <c r="J6041" s="183" t="s">
        <v>20380</v>
      </c>
      <c r="K6041" s="183" t="s">
        <v>20380</v>
      </c>
      <c r="L6041" s="613"/>
      <c r="M6041" s="183">
        <v>2</v>
      </c>
      <c r="N6041" s="183" t="s">
        <v>20369</v>
      </c>
      <c r="O6041" s="222">
        <v>2</v>
      </c>
      <c r="P6041" s="222">
        <v>0</v>
      </c>
      <c r="Q6041" s="222">
        <v>18</v>
      </c>
      <c r="R6041" s="1195">
        <v>799</v>
      </c>
      <c r="S6041" s="1195">
        <f t="shared" si="328"/>
        <v>1598</v>
      </c>
      <c r="T6041" s="222" t="s">
        <v>18479</v>
      </c>
      <c r="U6041" s="1527" t="s">
        <v>20362</v>
      </c>
      <c r="V6041" s="222" t="s">
        <v>19258</v>
      </c>
      <c r="W6041" s="2249" t="s">
        <v>20381</v>
      </c>
      <c r="X6041" s="818"/>
    </row>
    <row r="6042" spans="1:24" ht="15.75" hidden="1" customHeight="1">
      <c r="A6042" s="222">
        <v>6051</v>
      </c>
      <c r="B6042" s="858">
        <v>44858</v>
      </c>
      <c r="C6042" s="129" t="s">
        <v>20382</v>
      </c>
      <c r="D6042" s="11" t="s">
        <v>6</v>
      </c>
      <c r="E6042" s="818" t="s">
        <v>166</v>
      </c>
      <c r="F6042" s="1006" t="s">
        <v>19265</v>
      </c>
      <c r="G6042" s="863" t="s">
        <v>20383</v>
      </c>
      <c r="H6042" s="222" t="s">
        <v>9182</v>
      </c>
      <c r="I6042" s="222" t="s">
        <v>84</v>
      </c>
      <c r="J6042" s="183" t="s">
        <v>20384</v>
      </c>
      <c r="K6042" s="183" t="s">
        <v>20384</v>
      </c>
      <c r="L6042" s="613"/>
      <c r="M6042" s="183">
        <v>2</v>
      </c>
      <c r="N6042" s="183" t="s">
        <v>20369</v>
      </c>
      <c r="O6042" s="222">
        <v>2</v>
      </c>
      <c r="P6042" s="222">
        <v>0</v>
      </c>
      <c r="Q6042" s="222">
        <v>18</v>
      </c>
      <c r="R6042" s="1195">
        <v>999</v>
      </c>
      <c r="S6042" s="1195">
        <f t="shared" si="328"/>
        <v>1998</v>
      </c>
      <c r="T6042" s="222" t="s">
        <v>18479</v>
      </c>
      <c r="U6042" s="1527" t="s">
        <v>20362</v>
      </c>
      <c r="V6042" s="222" t="s">
        <v>19258</v>
      </c>
      <c r="W6042" s="898" t="s">
        <v>20385</v>
      </c>
      <c r="X6042" s="818"/>
    </row>
    <row r="6043" spans="1:24" ht="15.75" hidden="1" customHeight="1">
      <c r="A6043" s="222">
        <f t="shared" ref="A6043" si="329">+A6042+1</f>
        <v>6052</v>
      </c>
      <c r="B6043" s="858">
        <v>44858</v>
      </c>
      <c r="C6043" s="129" t="s">
        <v>20386</v>
      </c>
      <c r="D6043" s="11" t="s">
        <v>6</v>
      </c>
      <c r="E6043" s="818" t="s">
        <v>166</v>
      </c>
      <c r="F6043" s="1006" t="s">
        <v>19265</v>
      </c>
      <c r="G6043" s="863" t="s">
        <v>20387</v>
      </c>
      <c r="H6043" s="1193" t="s">
        <v>20388</v>
      </c>
      <c r="I6043" s="222" t="s">
        <v>574</v>
      </c>
      <c r="J6043" s="183" t="s">
        <v>16126</v>
      </c>
      <c r="K6043" s="129" t="s">
        <v>20389</v>
      </c>
      <c r="L6043" s="613"/>
      <c r="M6043" s="183">
        <v>2</v>
      </c>
      <c r="N6043" s="183">
        <v>1</v>
      </c>
      <c r="O6043" s="222">
        <v>20</v>
      </c>
      <c r="P6043" s="222">
        <v>0</v>
      </c>
      <c r="Q6043" s="222">
        <v>18</v>
      </c>
      <c r="R6043" s="1195">
        <v>248</v>
      </c>
      <c r="S6043" s="1195">
        <f t="shared" si="328"/>
        <v>4960</v>
      </c>
      <c r="T6043" s="222" t="s">
        <v>18479</v>
      </c>
      <c r="U6043" s="1527" t="s">
        <v>20362</v>
      </c>
      <c r="V6043" s="222" t="s">
        <v>19258</v>
      </c>
      <c r="W6043" s="898" t="s">
        <v>20390</v>
      </c>
      <c r="X6043" s="818"/>
    </row>
    <row r="6044" spans="1:24" ht="15.75" hidden="1" customHeight="1">
      <c r="A6044" s="222">
        <f t="shared" si="327"/>
        <v>6053</v>
      </c>
      <c r="B6044" s="858">
        <v>44858</v>
      </c>
      <c r="C6044" s="129" t="s">
        <v>20391</v>
      </c>
      <c r="D6044" s="11" t="s">
        <v>6</v>
      </c>
      <c r="E6044" s="818" t="s">
        <v>166</v>
      </c>
      <c r="F6044" s="1006" t="s">
        <v>19265</v>
      </c>
      <c r="G6044" s="863" t="s">
        <v>20392</v>
      </c>
      <c r="H6044" s="222" t="s">
        <v>4110</v>
      </c>
      <c r="I6044" s="222" t="s">
        <v>574</v>
      </c>
      <c r="J6044" s="129" t="s">
        <v>20393</v>
      </c>
      <c r="K6044" s="129" t="s">
        <v>20394</v>
      </c>
      <c r="L6044" s="613"/>
      <c r="M6044" s="183">
        <v>2</v>
      </c>
      <c r="N6044" s="183">
        <v>1</v>
      </c>
      <c r="O6044" s="222">
        <v>20</v>
      </c>
      <c r="P6044" s="222">
        <v>0</v>
      </c>
      <c r="Q6044" s="222">
        <v>18</v>
      </c>
      <c r="R6044" s="1195">
        <v>862</v>
      </c>
      <c r="S6044" s="1195">
        <f t="shared" si="328"/>
        <v>17240</v>
      </c>
      <c r="T6044" s="222" t="s">
        <v>18479</v>
      </c>
      <c r="U6044" s="1527" t="s">
        <v>20362</v>
      </c>
      <c r="V6044" s="222" t="s">
        <v>19258</v>
      </c>
      <c r="W6044" s="898" t="s">
        <v>17712</v>
      </c>
      <c r="X6044" s="818"/>
    </row>
    <row r="6045" spans="1:24" ht="15.75" hidden="1" customHeight="1">
      <c r="A6045" s="222">
        <f t="shared" si="327"/>
        <v>6054</v>
      </c>
      <c r="B6045" s="858">
        <v>44858</v>
      </c>
      <c r="C6045" s="129" t="s">
        <v>16687</v>
      </c>
      <c r="D6045" s="11" t="s">
        <v>6</v>
      </c>
      <c r="E6045" s="818" t="s">
        <v>166</v>
      </c>
      <c r="F6045" s="1006" t="s">
        <v>19265</v>
      </c>
      <c r="G6045" s="863" t="s">
        <v>16688</v>
      </c>
      <c r="H6045" s="222"/>
      <c r="I6045" s="222" t="s">
        <v>39</v>
      </c>
      <c r="J6045" s="183" t="s">
        <v>14430</v>
      </c>
      <c r="K6045" s="183" t="s">
        <v>1080</v>
      </c>
      <c r="L6045" s="613"/>
      <c r="M6045" s="183">
        <v>12</v>
      </c>
      <c r="N6045" s="183">
        <v>1</v>
      </c>
      <c r="O6045" s="222">
        <v>30</v>
      </c>
      <c r="P6045" s="222">
        <v>0</v>
      </c>
      <c r="Q6045" s="222">
        <v>18</v>
      </c>
      <c r="R6045" s="1195">
        <v>1110</v>
      </c>
      <c r="S6045" s="1195">
        <f t="shared" si="328"/>
        <v>33300</v>
      </c>
      <c r="T6045" s="222" t="s">
        <v>18479</v>
      </c>
      <c r="U6045" s="1527" t="s">
        <v>20362</v>
      </c>
      <c r="V6045" s="222" t="s">
        <v>19258</v>
      </c>
      <c r="W6045" s="2162" t="s">
        <v>14431</v>
      </c>
      <c r="X6045" s="818"/>
    </row>
    <row r="6046" spans="1:24" ht="15.75" hidden="1" customHeight="1">
      <c r="A6046" s="222">
        <v>6055</v>
      </c>
      <c r="B6046" s="858">
        <v>44858</v>
      </c>
      <c r="C6046" s="129" t="s">
        <v>16690</v>
      </c>
      <c r="D6046" s="11" t="s">
        <v>6</v>
      </c>
      <c r="E6046" s="818" t="s">
        <v>166</v>
      </c>
      <c r="F6046" s="1006" t="s">
        <v>19265</v>
      </c>
      <c r="G6046" s="863" t="s">
        <v>16691</v>
      </c>
      <c r="H6046" s="222" t="s">
        <v>305</v>
      </c>
      <c r="I6046" s="222" t="s">
        <v>5445</v>
      </c>
      <c r="J6046" s="183" t="s">
        <v>16692</v>
      </c>
      <c r="K6046" s="183" t="s">
        <v>16693</v>
      </c>
      <c r="L6046" s="613"/>
      <c r="M6046" s="183">
        <v>12</v>
      </c>
      <c r="N6046" s="183">
        <v>1</v>
      </c>
      <c r="O6046" s="222">
        <v>30</v>
      </c>
      <c r="P6046" s="222">
        <v>0</v>
      </c>
      <c r="Q6046" s="222">
        <v>18</v>
      </c>
      <c r="R6046" s="1195">
        <v>81</v>
      </c>
      <c r="S6046" s="1195">
        <f t="shared" si="328"/>
        <v>2430</v>
      </c>
      <c r="T6046" s="222" t="s">
        <v>18479</v>
      </c>
      <c r="U6046" s="1527" t="s">
        <v>20362</v>
      </c>
      <c r="V6046" s="222" t="s">
        <v>19258</v>
      </c>
      <c r="W6046" s="2249" t="s">
        <v>16695</v>
      </c>
      <c r="X6046" s="818"/>
    </row>
    <row r="6047" spans="1:24" ht="15.75" hidden="1" customHeight="1">
      <c r="A6047" s="222">
        <f t="shared" ref="A6047:A6053" si="330">+A6046+1</f>
        <v>6056</v>
      </c>
      <c r="B6047" s="858">
        <v>44858</v>
      </c>
      <c r="C6047" s="129" t="s">
        <v>20395</v>
      </c>
      <c r="D6047" s="818"/>
      <c r="E6047" s="818"/>
      <c r="F6047" s="1006" t="s">
        <v>19265</v>
      </c>
      <c r="G6047" s="863" t="s">
        <v>20396</v>
      </c>
      <c r="H6047" s="222" t="s">
        <v>14232</v>
      </c>
      <c r="I6047" s="222" t="s">
        <v>14232</v>
      </c>
      <c r="J6047" s="183" t="s">
        <v>19738</v>
      </c>
      <c r="K6047" s="183" t="s">
        <v>19738</v>
      </c>
      <c r="L6047" s="613"/>
      <c r="M6047" s="183">
        <v>6</v>
      </c>
      <c r="N6047" s="183">
        <v>20</v>
      </c>
      <c r="O6047" s="222">
        <v>20</v>
      </c>
      <c r="P6047" s="222">
        <v>0</v>
      </c>
      <c r="Q6047" s="222">
        <v>14</v>
      </c>
      <c r="R6047" s="1195"/>
      <c r="S6047" s="1195"/>
      <c r="T6047" s="222" t="s">
        <v>18479</v>
      </c>
      <c r="U6047" s="1527" t="s">
        <v>20362</v>
      </c>
      <c r="V6047" s="222" t="s">
        <v>19258</v>
      </c>
      <c r="W6047" s="2249" t="s">
        <v>20397</v>
      </c>
      <c r="X6047" s="818"/>
    </row>
    <row r="6048" spans="1:24" ht="15.75" hidden="1" customHeight="1">
      <c r="A6048" s="222">
        <f t="shared" si="330"/>
        <v>6057</v>
      </c>
      <c r="B6048" s="858">
        <v>44858</v>
      </c>
      <c r="C6048" s="129" t="s">
        <v>20398</v>
      </c>
      <c r="D6048" s="8" t="s">
        <v>6</v>
      </c>
      <c r="E6048" s="1483" t="s">
        <v>19577</v>
      </c>
      <c r="F6048" s="924" t="s">
        <v>19840</v>
      </c>
      <c r="G6048" s="863" t="s">
        <v>20399</v>
      </c>
      <c r="H6048" s="222" t="s">
        <v>1143</v>
      </c>
      <c r="I6048" s="222" t="s">
        <v>4634</v>
      </c>
      <c r="J6048" s="183" t="s">
        <v>20400</v>
      </c>
      <c r="K6048" s="183" t="s">
        <v>20401</v>
      </c>
      <c r="L6048" s="613"/>
      <c r="M6048" s="183">
        <v>12</v>
      </c>
      <c r="N6048" s="183">
        <v>10</v>
      </c>
      <c r="O6048" s="222">
        <v>20</v>
      </c>
      <c r="P6048" s="222">
        <v>0</v>
      </c>
      <c r="Q6048" s="222">
        <v>8</v>
      </c>
      <c r="R6048" s="1195">
        <v>211.7</v>
      </c>
      <c r="S6048" s="1195">
        <f t="shared" si="328"/>
        <v>4234</v>
      </c>
      <c r="T6048" s="183" t="s">
        <v>12425</v>
      </c>
      <c r="U6048" s="1893" t="s">
        <v>5794</v>
      </c>
      <c r="V6048" s="183" t="s">
        <v>5990</v>
      </c>
      <c r="W6048" s="2235" t="s">
        <v>20402</v>
      </c>
      <c r="X6048" s="818"/>
    </row>
    <row r="6049" spans="1:24" ht="15.75" hidden="1" customHeight="1">
      <c r="A6049" s="222">
        <f t="shared" si="330"/>
        <v>6058</v>
      </c>
      <c r="B6049" s="858">
        <v>44858</v>
      </c>
      <c r="C6049" s="129" t="s">
        <v>20403</v>
      </c>
      <c r="D6049" s="8" t="s">
        <v>6</v>
      </c>
      <c r="E6049" s="1483" t="s">
        <v>19577</v>
      </c>
      <c r="F6049" s="924" t="s">
        <v>19840</v>
      </c>
      <c r="G6049" s="863" t="s">
        <v>20404</v>
      </c>
      <c r="H6049" s="222" t="s">
        <v>1143</v>
      </c>
      <c r="I6049" s="222" t="s">
        <v>4634</v>
      </c>
      <c r="J6049" s="183" t="s">
        <v>16512</v>
      </c>
      <c r="K6049" s="183" t="s">
        <v>16513</v>
      </c>
      <c r="L6049" s="613"/>
      <c r="M6049" s="183">
        <v>3</v>
      </c>
      <c r="N6049" s="183">
        <v>10</v>
      </c>
      <c r="O6049" s="222">
        <v>10</v>
      </c>
      <c r="P6049" s="222">
        <v>0</v>
      </c>
      <c r="Q6049" s="222">
        <v>7</v>
      </c>
      <c r="R6049" s="1195">
        <v>124.7</v>
      </c>
      <c r="S6049" s="1195">
        <f t="shared" si="328"/>
        <v>1247</v>
      </c>
      <c r="T6049" s="183" t="s">
        <v>12425</v>
      </c>
      <c r="U6049" s="1893" t="s">
        <v>5794</v>
      </c>
      <c r="V6049" s="183" t="s">
        <v>5990</v>
      </c>
      <c r="W6049" s="2233" t="s">
        <v>20405</v>
      </c>
      <c r="X6049" s="818"/>
    </row>
    <row r="6050" spans="1:24" ht="15.75" hidden="1" customHeight="1">
      <c r="A6050" s="222">
        <f t="shared" si="330"/>
        <v>6059</v>
      </c>
      <c r="B6050" s="858">
        <v>44858</v>
      </c>
      <c r="C6050" s="129" t="s">
        <v>20406</v>
      </c>
      <c r="D6050" s="11" t="s">
        <v>6</v>
      </c>
      <c r="E6050" s="1483" t="s">
        <v>19577</v>
      </c>
      <c r="F6050" s="924" t="s">
        <v>19840</v>
      </c>
      <c r="G6050" s="863" t="s">
        <v>20407</v>
      </c>
      <c r="H6050" s="222" t="s">
        <v>1143</v>
      </c>
      <c r="I6050" s="222" t="s">
        <v>39</v>
      </c>
      <c r="J6050" s="183" t="s">
        <v>20408</v>
      </c>
      <c r="K6050" s="183" t="s">
        <v>20409</v>
      </c>
      <c r="L6050" s="613"/>
      <c r="M6050" s="183">
        <v>10</v>
      </c>
      <c r="N6050" s="183">
        <v>10</v>
      </c>
      <c r="O6050" s="222">
        <v>10</v>
      </c>
      <c r="P6050" s="222">
        <v>0</v>
      </c>
      <c r="Q6050" s="222">
        <v>0</v>
      </c>
      <c r="R6050" s="1195">
        <v>37.700000000000003</v>
      </c>
      <c r="S6050" s="1195">
        <f t="shared" si="328"/>
        <v>377</v>
      </c>
      <c r="T6050" s="183" t="s">
        <v>12425</v>
      </c>
      <c r="U6050" s="1893" t="s">
        <v>5794</v>
      </c>
      <c r="V6050" s="183" t="s">
        <v>5990</v>
      </c>
      <c r="W6050" s="2233" t="s">
        <v>20410</v>
      </c>
      <c r="X6050" s="818"/>
    </row>
    <row r="6051" spans="1:24" ht="15.75" hidden="1" customHeight="1">
      <c r="A6051" s="222">
        <f t="shared" si="330"/>
        <v>6060</v>
      </c>
      <c r="B6051" s="858">
        <v>44858</v>
      </c>
      <c r="C6051" s="129" t="s">
        <v>20411</v>
      </c>
      <c r="D6051" s="11" t="s">
        <v>6</v>
      </c>
      <c r="E6051" s="1483" t="s">
        <v>19577</v>
      </c>
      <c r="F6051" s="924" t="s">
        <v>19840</v>
      </c>
      <c r="G6051" s="863" t="s">
        <v>20412</v>
      </c>
      <c r="H6051" s="222" t="s">
        <v>1143</v>
      </c>
      <c r="I6051" s="222" t="s">
        <v>39</v>
      </c>
      <c r="J6051" s="183" t="s">
        <v>20413</v>
      </c>
      <c r="K6051" s="183" t="s">
        <v>20414</v>
      </c>
      <c r="L6051" s="613"/>
      <c r="M6051" s="183">
        <v>10</v>
      </c>
      <c r="N6051" s="183">
        <v>10</v>
      </c>
      <c r="O6051" s="222">
        <v>10</v>
      </c>
      <c r="P6051" s="222">
        <v>0</v>
      </c>
      <c r="Q6051" s="222">
        <v>0</v>
      </c>
      <c r="R6051" s="1195">
        <v>50</v>
      </c>
      <c r="S6051" s="1195">
        <f t="shared" si="328"/>
        <v>500</v>
      </c>
      <c r="T6051" s="183" t="s">
        <v>12425</v>
      </c>
      <c r="U6051" s="1893" t="s">
        <v>5794</v>
      </c>
      <c r="V6051" s="183" t="s">
        <v>5990</v>
      </c>
      <c r="W6051" s="2235" t="s">
        <v>20415</v>
      </c>
      <c r="X6051" s="818"/>
    </row>
    <row r="6052" spans="1:24" ht="15.75" hidden="1" customHeight="1">
      <c r="A6052" s="222">
        <f t="shared" si="330"/>
        <v>6061</v>
      </c>
      <c r="B6052" s="858">
        <v>44858</v>
      </c>
      <c r="C6052" s="129" t="s">
        <v>20416</v>
      </c>
      <c r="D6052" s="11" t="s">
        <v>6</v>
      </c>
      <c r="E6052" s="1483" t="s">
        <v>19577</v>
      </c>
      <c r="F6052" s="924" t="s">
        <v>19840</v>
      </c>
      <c r="G6052" s="863" t="s">
        <v>20417</v>
      </c>
      <c r="H6052" s="222" t="s">
        <v>1143</v>
      </c>
      <c r="I6052" s="222" t="s">
        <v>39</v>
      </c>
      <c r="J6052" s="183" t="s">
        <v>20418</v>
      </c>
      <c r="K6052" s="183" t="s">
        <v>16521</v>
      </c>
      <c r="L6052" s="613"/>
      <c r="M6052" s="183">
        <v>48</v>
      </c>
      <c r="N6052" s="183">
        <v>10</v>
      </c>
      <c r="O6052" s="222">
        <v>50</v>
      </c>
      <c r="P6052" s="222">
        <v>0</v>
      </c>
      <c r="Q6052" s="222">
        <v>2</v>
      </c>
      <c r="R6052" s="1195">
        <v>208.8</v>
      </c>
      <c r="S6052" s="1195">
        <f t="shared" si="328"/>
        <v>10440</v>
      </c>
      <c r="T6052" s="183" t="s">
        <v>12425</v>
      </c>
      <c r="U6052" s="1893" t="s">
        <v>5794</v>
      </c>
      <c r="V6052" s="183" t="s">
        <v>5990</v>
      </c>
      <c r="W6052" s="2235" t="s">
        <v>20419</v>
      </c>
      <c r="X6052" s="818"/>
    </row>
    <row r="6053" spans="1:24" ht="15.75" hidden="1" customHeight="1">
      <c r="A6053" s="222">
        <f t="shared" si="330"/>
        <v>6062</v>
      </c>
      <c r="B6053" s="858">
        <v>44858</v>
      </c>
      <c r="C6053" s="129" t="s">
        <v>20420</v>
      </c>
      <c r="D6053" s="11" t="s">
        <v>6</v>
      </c>
      <c r="E6053" s="1483" t="s">
        <v>19577</v>
      </c>
      <c r="F6053" s="924" t="s">
        <v>19840</v>
      </c>
      <c r="G6053" s="863" t="s">
        <v>20421</v>
      </c>
      <c r="H6053" s="222" t="s">
        <v>260</v>
      </c>
      <c r="I6053" s="222" t="s">
        <v>39</v>
      </c>
      <c r="J6053" s="183" t="s">
        <v>20422</v>
      </c>
      <c r="K6053" s="183" t="s">
        <v>20422</v>
      </c>
      <c r="L6053" s="613"/>
      <c r="M6053" s="183">
        <v>1</v>
      </c>
      <c r="N6053" s="183">
        <v>1</v>
      </c>
      <c r="O6053" s="222">
        <v>1</v>
      </c>
      <c r="P6053" s="222">
        <v>0</v>
      </c>
      <c r="Q6053" s="222">
        <v>0</v>
      </c>
      <c r="R6053" s="1195">
        <v>1152</v>
      </c>
      <c r="S6053" s="1195">
        <f t="shared" si="328"/>
        <v>1152</v>
      </c>
      <c r="T6053" s="183" t="s">
        <v>12425</v>
      </c>
      <c r="U6053" s="1893" t="s">
        <v>5794</v>
      </c>
      <c r="V6053" s="183" t="s">
        <v>5990</v>
      </c>
      <c r="W6053" s="2233" t="s">
        <v>20423</v>
      </c>
      <c r="X6053" s="818"/>
    </row>
    <row r="6054" spans="1:24" ht="15.75" hidden="1" customHeight="1">
      <c r="A6054" s="222">
        <f t="shared" ref="A6054:A6117" si="331">+A6053+1</f>
        <v>6063</v>
      </c>
      <c r="B6054" s="858">
        <v>44858</v>
      </c>
      <c r="C6054" s="129" t="s">
        <v>20424</v>
      </c>
      <c r="D6054" s="8" t="s">
        <v>6</v>
      </c>
      <c r="E6054" s="1483" t="s">
        <v>19566</v>
      </c>
      <c r="F6054" s="1006" t="s">
        <v>131</v>
      </c>
      <c r="G6054" s="863" t="s">
        <v>20425</v>
      </c>
      <c r="H6054" s="222" t="s">
        <v>20426</v>
      </c>
      <c r="I6054" s="222" t="s">
        <v>20426</v>
      </c>
      <c r="J6054" s="183" t="s">
        <v>1</v>
      </c>
      <c r="K6054" s="183" t="s">
        <v>1</v>
      </c>
      <c r="L6054" s="613" t="s">
        <v>1</v>
      </c>
      <c r="M6054" s="183">
        <v>1</v>
      </c>
      <c r="N6054" s="183">
        <v>1</v>
      </c>
      <c r="O6054" s="222">
        <v>1</v>
      </c>
      <c r="P6054" s="222">
        <v>0</v>
      </c>
      <c r="Q6054" s="222">
        <v>0</v>
      </c>
      <c r="R6054" s="1195">
        <v>238000</v>
      </c>
      <c r="S6054" s="1195">
        <f>R6054*O6054</f>
        <v>238000</v>
      </c>
      <c r="T6054" s="222" t="s">
        <v>1123</v>
      </c>
      <c r="U6054" s="1527" t="s">
        <v>118</v>
      </c>
      <c r="V6054" s="222" t="s">
        <v>118</v>
      </c>
      <c r="W6054" s="2233"/>
      <c r="X6054" s="818"/>
    </row>
    <row r="6055" spans="1:24" ht="15.75" hidden="1" customHeight="1">
      <c r="A6055" s="222">
        <f t="shared" si="331"/>
        <v>6064</v>
      </c>
      <c r="B6055" s="858">
        <v>44858</v>
      </c>
      <c r="C6055" s="129" t="s">
        <v>20427</v>
      </c>
      <c r="D6055" s="1515" t="s">
        <v>6</v>
      </c>
      <c r="E6055" s="1483" t="s">
        <v>20428</v>
      </c>
      <c r="F6055" s="1006" t="s">
        <v>131</v>
      </c>
      <c r="G6055" s="863" t="s">
        <v>20429</v>
      </c>
      <c r="H6055" s="222" t="s">
        <v>20430</v>
      </c>
      <c r="I6055" s="222" t="s">
        <v>20430</v>
      </c>
      <c r="J6055" s="183" t="s">
        <v>1</v>
      </c>
      <c r="K6055" s="183" t="s">
        <v>1</v>
      </c>
      <c r="L6055" s="613" t="s">
        <v>1</v>
      </c>
      <c r="M6055" s="183">
        <v>4</v>
      </c>
      <c r="N6055" s="183">
        <v>1</v>
      </c>
      <c r="O6055" s="222">
        <v>4</v>
      </c>
      <c r="P6055" s="222">
        <v>0</v>
      </c>
      <c r="Q6055" s="222">
        <v>0</v>
      </c>
      <c r="R6055" s="1195">
        <v>57250</v>
      </c>
      <c r="S6055" s="1195">
        <f>R6055*O6055</f>
        <v>229000</v>
      </c>
      <c r="T6055" s="222" t="s">
        <v>18479</v>
      </c>
      <c r="U6055" s="1527" t="s">
        <v>20431</v>
      </c>
      <c r="V6055" s="222" t="s">
        <v>18608</v>
      </c>
      <c r="W6055" s="2233"/>
      <c r="X6055" s="818"/>
    </row>
    <row r="6056" spans="1:24" ht="15.75" hidden="1" customHeight="1">
      <c r="A6056" s="222">
        <f t="shared" si="331"/>
        <v>6065</v>
      </c>
      <c r="B6056" s="858">
        <v>44859</v>
      </c>
      <c r="C6056" s="129" t="s">
        <v>20432</v>
      </c>
      <c r="D6056" s="11" t="s">
        <v>6</v>
      </c>
      <c r="E6056" s="818" t="s">
        <v>1031</v>
      </c>
      <c r="F6056" s="1006" t="s">
        <v>15653</v>
      </c>
      <c r="G6056" s="863" t="s">
        <v>20433</v>
      </c>
      <c r="H6056" s="222" t="s">
        <v>8072</v>
      </c>
      <c r="I6056" s="222" t="s">
        <v>39</v>
      </c>
      <c r="J6056" s="129" t="s">
        <v>20434</v>
      </c>
      <c r="K6056" s="129" t="s">
        <v>20435</v>
      </c>
      <c r="L6056" s="613" t="s">
        <v>18231</v>
      </c>
      <c r="M6056" s="183">
        <v>26</v>
      </c>
      <c r="N6056" s="183">
        <v>10</v>
      </c>
      <c r="O6056" s="222">
        <v>60</v>
      </c>
      <c r="P6056" s="222">
        <v>0</v>
      </c>
      <c r="Q6056" s="222">
        <v>30</v>
      </c>
      <c r="R6056" s="1195">
        <v>85.14</v>
      </c>
      <c r="S6056" s="1195">
        <f t="shared" ref="S6056:S6061" si="332">R6056*O6056</f>
        <v>5108.3999999999996</v>
      </c>
      <c r="T6056" s="222" t="s">
        <v>18479</v>
      </c>
      <c r="U6056" s="1527" t="s">
        <v>2703</v>
      </c>
      <c r="V6056" s="222" t="s">
        <v>18608</v>
      </c>
      <c r="W6056" s="811" t="s">
        <v>20436</v>
      </c>
      <c r="X6056" s="818"/>
    </row>
    <row r="6057" spans="1:24" ht="15.75" hidden="1" customHeight="1">
      <c r="A6057" s="222">
        <f t="shared" si="331"/>
        <v>6066</v>
      </c>
      <c r="B6057" s="858">
        <v>44859</v>
      </c>
      <c r="C6057" s="129" t="s">
        <v>20437</v>
      </c>
      <c r="D6057" s="11" t="s">
        <v>6</v>
      </c>
      <c r="E6057" s="818" t="s">
        <v>1031</v>
      </c>
      <c r="F6057" s="1006" t="s">
        <v>15653</v>
      </c>
      <c r="G6057" s="863" t="s">
        <v>20438</v>
      </c>
      <c r="H6057" s="222" t="s">
        <v>184</v>
      </c>
      <c r="I6057" s="222" t="s">
        <v>39</v>
      </c>
      <c r="J6057" s="183" t="s">
        <v>20439</v>
      </c>
      <c r="K6057" s="183" t="s">
        <v>20440</v>
      </c>
      <c r="L6057" s="613" t="s">
        <v>18231</v>
      </c>
      <c r="M6057" s="183">
        <v>6</v>
      </c>
      <c r="N6057" s="183">
        <v>25</v>
      </c>
      <c r="O6057" s="222">
        <v>25</v>
      </c>
      <c r="P6057" s="222">
        <v>0</v>
      </c>
      <c r="Q6057" s="222">
        <v>13</v>
      </c>
      <c r="R6057" s="1195">
        <v>41.05</v>
      </c>
      <c r="S6057" s="1195">
        <f t="shared" si="332"/>
        <v>1026.25</v>
      </c>
      <c r="T6057" s="222" t="s">
        <v>18479</v>
      </c>
      <c r="U6057" s="1527" t="s">
        <v>2703</v>
      </c>
      <c r="V6057" s="222" t="s">
        <v>18608</v>
      </c>
      <c r="W6057" s="811" t="s">
        <v>20441</v>
      </c>
      <c r="X6057" s="818"/>
    </row>
    <row r="6058" spans="1:24" ht="15.75" hidden="1" customHeight="1">
      <c r="A6058" s="222">
        <f t="shared" si="331"/>
        <v>6067</v>
      </c>
      <c r="B6058" s="858">
        <v>44859</v>
      </c>
      <c r="C6058" s="129" t="s">
        <v>20442</v>
      </c>
      <c r="D6058" s="11" t="s">
        <v>6</v>
      </c>
      <c r="E6058" s="818" t="s">
        <v>1031</v>
      </c>
      <c r="F6058" s="1006" t="s">
        <v>15653</v>
      </c>
      <c r="G6058" s="855" t="s">
        <v>20443</v>
      </c>
      <c r="H6058" s="222" t="s">
        <v>249</v>
      </c>
      <c r="I6058" s="222" t="s">
        <v>39</v>
      </c>
      <c r="J6058" s="129" t="s">
        <v>20444</v>
      </c>
      <c r="K6058" s="1005" t="s">
        <v>20445</v>
      </c>
      <c r="L6058" s="613" t="s">
        <v>18231</v>
      </c>
      <c r="M6058" s="183">
        <v>1</v>
      </c>
      <c r="N6058" s="183">
        <v>25</v>
      </c>
      <c r="O6058" s="222">
        <v>25</v>
      </c>
      <c r="P6058" s="222">
        <v>0</v>
      </c>
      <c r="Q6058" s="222">
        <v>24</v>
      </c>
      <c r="R6058" s="1195">
        <v>134.55000000000001</v>
      </c>
      <c r="S6058" s="1195">
        <f t="shared" si="332"/>
        <v>3363.7500000000005</v>
      </c>
      <c r="T6058" s="222" t="s">
        <v>18479</v>
      </c>
      <c r="U6058" s="1527" t="s">
        <v>2703</v>
      </c>
      <c r="V6058" s="222" t="s">
        <v>18608</v>
      </c>
      <c r="W6058" s="2204" t="s">
        <v>20446</v>
      </c>
      <c r="X6058" s="818"/>
    </row>
    <row r="6059" spans="1:24" ht="15.75" hidden="1" customHeight="1">
      <c r="A6059" s="222">
        <f t="shared" si="331"/>
        <v>6068</v>
      </c>
      <c r="B6059" s="858">
        <v>44859</v>
      </c>
      <c r="C6059" s="129" t="s">
        <v>20447</v>
      </c>
      <c r="D6059" s="11" t="s">
        <v>6</v>
      </c>
      <c r="E6059" s="818" t="s">
        <v>1031</v>
      </c>
      <c r="F6059" s="1539" t="s">
        <v>15653</v>
      </c>
      <c r="G6059" s="863" t="s">
        <v>20448</v>
      </c>
      <c r="H6059" s="1122" t="s">
        <v>220</v>
      </c>
      <c r="I6059" s="222" t="s">
        <v>39</v>
      </c>
      <c r="J6059" s="183" t="s">
        <v>1817</v>
      </c>
      <c r="K6059" s="183" t="s">
        <v>1818</v>
      </c>
      <c r="L6059" s="613" t="s">
        <v>20449</v>
      </c>
      <c r="M6059" s="183">
        <v>100</v>
      </c>
      <c r="N6059" s="183">
        <v>250</v>
      </c>
      <c r="O6059" s="222">
        <v>250</v>
      </c>
      <c r="P6059" s="222">
        <v>0</v>
      </c>
      <c r="Q6059" s="222">
        <v>150</v>
      </c>
      <c r="R6059" s="1195">
        <v>5.16</v>
      </c>
      <c r="S6059" s="1195">
        <f t="shared" si="332"/>
        <v>1290</v>
      </c>
      <c r="T6059" s="222" t="s">
        <v>18479</v>
      </c>
      <c r="U6059" s="1527" t="s">
        <v>2703</v>
      </c>
      <c r="V6059" s="222" t="s">
        <v>18608</v>
      </c>
      <c r="W6059" s="811" t="s">
        <v>20450</v>
      </c>
      <c r="X6059" s="818"/>
    </row>
    <row r="6060" spans="1:24" ht="15.75" hidden="1" customHeight="1">
      <c r="A6060" s="222">
        <f t="shared" si="331"/>
        <v>6069</v>
      </c>
      <c r="B6060" s="858">
        <v>44860</v>
      </c>
      <c r="C6060" s="129" t="s">
        <v>20451</v>
      </c>
      <c r="D6060" s="11" t="s">
        <v>6</v>
      </c>
      <c r="E6060" s="818" t="s">
        <v>62</v>
      </c>
      <c r="F6060" s="1539" t="s">
        <v>15653</v>
      </c>
      <c r="G6060" s="863" t="s">
        <v>20452</v>
      </c>
      <c r="H6060" s="1122" t="s">
        <v>482</v>
      </c>
      <c r="I6060" s="222" t="s">
        <v>482</v>
      </c>
      <c r="K6060" s="183"/>
      <c r="L6060" s="613"/>
      <c r="M6060" s="183">
        <v>1</v>
      </c>
      <c r="N6060" s="183">
        <v>1</v>
      </c>
      <c r="O6060" s="222">
        <v>1</v>
      </c>
      <c r="P6060" s="222">
        <v>0</v>
      </c>
      <c r="Q6060" s="222">
        <v>1</v>
      </c>
      <c r="R6060" s="1195">
        <v>8220</v>
      </c>
      <c r="S6060" s="1195">
        <f t="shared" si="332"/>
        <v>8220</v>
      </c>
      <c r="T6060" s="222" t="s">
        <v>20453</v>
      </c>
      <c r="U6060" s="1527" t="s">
        <v>20454</v>
      </c>
      <c r="V6060" s="222" t="s">
        <v>20453</v>
      </c>
      <c r="W6060" s="2204" t="s">
        <v>20455</v>
      </c>
      <c r="X6060" s="818"/>
    </row>
    <row r="6061" spans="1:24" ht="15.75" hidden="1" customHeight="1">
      <c r="A6061" s="222">
        <f t="shared" si="331"/>
        <v>6070</v>
      </c>
      <c r="B6061" s="858">
        <v>44860</v>
      </c>
      <c r="C6061" s="129" t="s">
        <v>20456</v>
      </c>
      <c r="D6061" s="11" t="s">
        <v>6</v>
      </c>
      <c r="E6061" s="818" t="s">
        <v>62</v>
      </c>
      <c r="F6061" s="1539" t="s">
        <v>15653</v>
      </c>
      <c r="G6061" s="863" t="s">
        <v>20457</v>
      </c>
      <c r="H6061" s="2240" t="s">
        <v>482</v>
      </c>
      <c r="I6061" s="222" t="s">
        <v>482</v>
      </c>
      <c r="J6061" s="1500"/>
      <c r="K6061" s="1500"/>
      <c r="L6061" s="613"/>
      <c r="M6061" s="183">
        <v>1</v>
      </c>
      <c r="N6061" s="183">
        <v>1</v>
      </c>
      <c r="O6061" s="222">
        <v>1</v>
      </c>
      <c r="P6061" s="222">
        <v>0</v>
      </c>
      <c r="Q6061" s="222">
        <v>1</v>
      </c>
      <c r="R6061" s="1195">
        <v>4380</v>
      </c>
      <c r="S6061" s="1195">
        <f t="shared" si="332"/>
        <v>4380</v>
      </c>
      <c r="T6061" s="222" t="s">
        <v>20458</v>
      </c>
      <c r="U6061" s="1527" t="s">
        <v>20454</v>
      </c>
      <c r="V6061" s="222" t="s">
        <v>20458</v>
      </c>
      <c r="W6061" s="2204" t="s">
        <v>20459</v>
      </c>
      <c r="X6061" s="818"/>
    </row>
    <row r="6062" spans="1:24" ht="15.75" hidden="1" customHeight="1">
      <c r="A6062" s="222">
        <f>+A6061+1</f>
        <v>6071</v>
      </c>
      <c r="B6062" s="858">
        <v>44860</v>
      </c>
      <c r="C6062" s="129" t="s">
        <v>20460</v>
      </c>
      <c r="D6062" s="22"/>
      <c r="E6062" s="818"/>
      <c r="F6062" s="1539" t="s">
        <v>11544</v>
      </c>
      <c r="G6062" s="863" t="s">
        <v>20461</v>
      </c>
      <c r="H6062" s="833" t="s">
        <v>20462</v>
      </c>
      <c r="I6062" s="1431" t="s">
        <v>574</v>
      </c>
      <c r="J6062" s="2263" t="s">
        <v>20463</v>
      </c>
      <c r="K6062" s="1837" t="s">
        <v>20464</v>
      </c>
      <c r="L6062" s="183" t="s">
        <v>344</v>
      </c>
      <c r="M6062" s="458">
        <v>5</v>
      </c>
      <c r="N6062" s="183">
        <v>1</v>
      </c>
      <c r="O6062" s="222">
        <v>3</v>
      </c>
      <c r="P6062" s="222">
        <v>4</v>
      </c>
      <c r="Q6062" s="222">
        <v>2</v>
      </c>
      <c r="R6062" s="1195">
        <v>692</v>
      </c>
      <c r="S6062" s="1195">
        <f>R6062*O6062</f>
        <v>2076</v>
      </c>
      <c r="T6062" s="1508" t="s">
        <v>1543</v>
      </c>
      <c r="U6062" s="1527" t="s">
        <v>9486</v>
      </c>
      <c r="V6062" s="222" t="s">
        <v>20029</v>
      </c>
      <c r="W6062" s="2250" t="s">
        <v>20465</v>
      </c>
      <c r="X6062" s="818"/>
    </row>
    <row r="6063" spans="1:24" ht="15.75" hidden="1" customHeight="1">
      <c r="A6063" s="222">
        <f>+A6062+1</f>
        <v>6072</v>
      </c>
      <c r="B6063" s="858">
        <v>44860</v>
      </c>
      <c r="C6063" s="129" t="s">
        <v>20466</v>
      </c>
      <c r="D6063" s="22"/>
      <c r="E6063" s="818"/>
      <c r="F6063" s="1539" t="s">
        <v>11544</v>
      </c>
      <c r="G6063" s="2264" t="s">
        <v>20467</v>
      </c>
      <c r="H6063" s="833" t="s">
        <v>752</v>
      </c>
      <c r="I6063" s="1431" t="s">
        <v>39</v>
      </c>
      <c r="J6063" s="2263" t="s">
        <v>20468</v>
      </c>
      <c r="K6063" s="2265" t="s">
        <v>20469</v>
      </c>
      <c r="L6063" s="780" t="s">
        <v>1041</v>
      </c>
      <c r="M6063" s="183">
        <v>10</v>
      </c>
      <c r="N6063" s="183">
        <v>20</v>
      </c>
      <c r="O6063" s="222">
        <v>20</v>
      </c>
      <c r="P6063" s="222">
        <v>8</v>
      </c>
      <c r="Q6063" s="222">
        <v>18</v>
      </c>
      <c r="R6063" s="1195">
        <v>48</v>
      </c>
      <c r="S6063" s="1195">
        <f t="shared" ref="S6063:S6075" si="333">R6063*O6063</f>
        <v>960</v>
      </c>
      <c r="T6063" s="1508" t="s">
        <v>1543</v>
      </c>
      <c r="U6063" s="1527" t="s">
        <v>9486</v>
      </c>
      <c r="V6063" s="222" t="s">
        <v>20029</v>
      </c>
      <c r="W6063" s="2253" t="s">
        <v>20470</v>
      </c>
      <c r="X6063" s="818"/>
    </row>
    <row r="6064" spans="1:24" ht="15.75" hidden="1" customHeight="1">
      <c r="A6064" s="222">
        <f t="shared" si="331"/>
        <v>6073</v>
      </c>
      <c r="B6064" s="858">
        <v>44860</v>
      </c>
      <c r="C6064" s="129" t="s">
        <v>10787</v>
      </c>
      <c r="D6064" s="22"/>
      <c r="E6064" s="818"/>
      <c r="F6064" s="1539" t="s">
        <v>11544</v>
      </c>
      <c r="G6064" s="863" t="s">
        <v>14355</v>
      </c>
      <c r="H6064" s="678" t="s">
        <v>1260</v>
      </c>
      <c r="I6064" s="1431" t="s">
        <v>574</v>
      </c>
      <c r="J6064" s="2263" t="s">
        <v>3006</v>
      </c>
      <c r="K6064" s="1837" t="s">
        <v>3007</v>
      </c>
      <c r="L6064" s="780"/>
      <c r="M6064" s="183">
        <v>5</v>
      </c>
      <c r="N6064" s="183">
        <v>1</v>
      </c>
      <c r="O6064" s="222">
        <v>5</v>
      </c>
      <c r="P6064" s="222">
        <v>2</v>
      </c>
      <c r="Q6064" s="222">
        <v>2</v>
      </c>
      <c r="R6064" s="1195">
        <v>2364</v>
      </c>
      <c r="S6064" s="1195">
        <f t="shared" si="333"/>
        <v>11820</v>
      </c>
      <c r="T6064" s="1508" t="s">
        <v>1543</v>
      </c>
      <c r="U6064" s="1527" t="s">
        <v>9486</v>
      </c>
      <c r="V6064" s="222" t="s">
        <v>20029</v>
      </c>
      <c r="W6064" s="2204" t="s">
        <v>12176</v>
      </c>
      <c r="X6064" s="818"/>
    </row>
    <row r="6065" spans="1:24" ht="15.75" hidden="1" customHeight="1">
      <c r="A6065" s="222">
        <f t="shared" si="331"/>
        <v>6074</v>
      </c>
      <c r="B6065" s="858">
        <v>44860</v>
      </c>
      <c r="C6065" s="129" t="s">
        <v>10768</v>
      </c>
      <c r="D6065" s="22"/>
      <c r="E6065" s="818"/>
      <c r="F6065" s="1539" t="s">
        <v>11544</v>
      </c>
      <c r="G6065" s="863" t="s">
        <v>20471</v>
      </c>
      <c r="H6065" s="833" t="s">
        <v>1715</v>
      </c>
      <c r="I6065" s="1431" t="s">
        <v>574</v>
      </c>
      <c r="J6065" s="2263" t="s">
        <v>20472</v>
      </c>
      <c r="K6065" s="1837" t="s">
        <v>20473</v>
      </c>
      <c r="L6065" s="780" t="s">
        <v>1041</v>
      </c>
      <c r="M6065" s="183">
        <v>5</v>
      </c>
      <c r="N6065" s="183">
        <v>1</v>
      </c>
      <c r="O6065" s="222">
        <v>5</v>
      </c>
      <c r="P6065" s="222">
        <v>0</v>
      </c>
      <c r="Q6065" s="222">
        <v>0</v>
      </c>
      <c r="R6065" s="1195">
        <v>541</v>
      </c>
      <c r="S6065" s="1195">
        <f t="shared" si="333"/>
        <v>2705</v>
      </c>
      <c r="T6065" s="1508" t="s">
        <v>1543</v>
      </c>
      <c r="U6065" s="1527" t="s">
        <v>9486</v>
      </c>
      <c r="V6065" s="222" t="s">
        <v>20029</v>
      </c>
      <c r="W6065" s="2250" t="s">
        <v>20474</v>
      </c>
      <c r="X6065" s="818"/>
    </row>
    <row r="6066" spans="1:24" ht="15.75" hidden="1" customHeight="1">
      <c r="A6066" s="222">
        <f t="shared" si="331"/>
        <v>6075</v>
      </c>
      <c r="B6066" s="858">
        <v>44860</v>
      </c>
      <c r="C6066" s="129" t="s">
        <v>20475</v>
      </c>
      <c r="D6066" s="22"/>
      <c r="E6066" s="818"/>
      <c r="F6066" s="1539" t="s">
        <v>11544</v>
      </c>
      <c r="G6066" s="863" t="s">
        <v>20476</v>
      </c>
      <c r="H6066" s="833" t="s">
        <v>20477</v>
      </c>
      <c r="I6066" s="1431" t="s">
        <v>39</v>
      </c>
      <c r="J6066" s="2263" t="s">
        <v>20478</v>
      </c>
      <c r="K6066" s="1837" t="s">
        <v>20479</v>
      </c>
      <c r="L6066" s="780"/>
      <c r="M6066" s="183">
        <v>20</v>
      </c>
      <c r="N6066" s="183">
        <v>1</v>
      </c>
      <c r="O6066" s="222">
        <v>20</v>
      </c>
      <c r="P6066" s="222">
        <v>0</v>
      </c>
      <c r="Q6066" s="222">
        <v>0</v>
      </c>
      <c r="R6066" s="1195">
        <v>1613</v>
      </c>
      <c r="S6066" s="1195">
        <f t="shared" si="333"/>
        <v>32260</v>
      </c>
      <c r="T6066" s="1508" t="s">
        <v>1543</v>
      </c>
      <c r="U6066" s="1527" t="s">
        <v>9486</v>
      </c>
      <c r="V6066" s="222" t="s">
        <v>20029</v>
      </c>
      <c r="W6066" s="2252" t="s">
        <v>20480</v>
      </c>
      <c r="X6066" s="818"/>
    </row>
    <row r="6067" spans="1:24" ht="15.75" hidden="1" customHeight="1">
      <c r="A6067" s="222">
        <f t="shared" si="331"/>
        <v>6076</v>
      </c>
      <c r="B6067" s="858">
        <v>44860</v>
      </c>
      <c r="C6067" s="129" t="s">
        <v>10787</v>
      </c>
      <c r="D6067" s="22"/>
      <c r="E6067" s="818"/>
      <c r="F6067" s="1539" t="s">
        <v>11544</v>
      </c>
      <c r="G6067" s="222" t="s">
        <v>20481</v>
      </c>
      <c r="H6067" s="833" t="s">
        <v>20482</v>
      </c>
      <c r="I6067" s="1431" t="s">
        <v>1063</v>
      </c>
      <c r="J6067" s="2266" t="s">
        <v>20483</v>
      </c>
      <c r="K6067" s="2267" t="s">
        <v>20484</v>
      </c>
      <c r="L6067" s="780"/>
      <c r="M6067" s="183">
        <v>5</v>
      </c>
      <c r="N6067" s="183">
        <v>1</v>
      </c>
      <c r="O6067" s="222">
        <v>5</v>
      </c>
      <c r="P6067" s="222">
        <v>0</v>
      </c>
      <c r="Q6067" s="222">
        <v>0</v>
      </c>
      <c r="R6067" s="1195">
        <v>500</v>
      </c>
      <c r="S6067" s="1195">
        <f t="shared" si="333"/>
        <v>2500</v>
      </c>
      <c r="T6067" s="1508" t="s">
        <v>1543</v>
      </c>
      <c r="U6067" s="1527" t="s">
        <v>9486</v>
      </c>
      <c r="V6067" s="222" t="s">
        <v>20029</v>
      </c>
      <c r="W6067" s="2252" t="s">
        <v>20485</v>
      </c>
      <c r="X6067" s="818"/>
    </row>
    <row r="6068" spans="1:24" ht="15.75" hidden="1" customHeight="1">
      <c r="A6068" s="222">
        <f t="shared" si="331"/>
        <v>6077</v>
      </c>
      <c r="B6068" s="858">
        <v>44860</v>
      </c>
      <c r="C6068" s="129" t="s">
        <v>20486</v>
      </c>
      <c r="D6068" s="22"/>
      <c r="E6068" s="818"/>
      <c r="F6068" s="1539" t="s">
        <v>11544</v>
      </c>
      <c r="G6068" s="2264" t="s">
        <v>20487</v>
      </c>
      <c r="H6068" s="833" t="s">
        <v>511</v>
      </c>
      <c r="I6068" s="1431" t="s">
        <v>39</v>
      </c>
      <c r="J6068" s="2266" t="s">
        <v>20488</v>
      </c>
      <c r="K6068" s="2267" t="s">
        <v>20489</v>
      </c>
      <c r="L6068" s="780" t="s">
        <v>20490</v>
      </c>
      <c r="M6068" s="183">
        <v>20</v>
      </c>
      <c r="N6068" s="183">
        <v>10</v>
      </c>
      <c r="O6068" s="222">
        <v>20</v>
      </c>
      <c r="P6068" s="222">
        <v>0</v>
      </c>
      <c r="Q6068" s="222">
        <v>0</v>
      </c>
      <c r="R6068" s="1195">
        <v>20.8</v>
      </c>
      <c r="S6068" s="1195">
        <f t="shared" si="333"/>
        <v>416</v>
      </c>
      <c r="T6068" s="1508" t="s">
        <v>1543</v>
      </c>
      <c r="U6068" s="1527" t="s">
        <v>9486</v>
      </c>
      <c r="V6068" s="222" t="s">
        <v>20029</v>
      </c>
      <c r="W6068" s="2251" t="s">
        <v>20491</v>
      </c>
      <c r="X6068" s="818"/>
    </row>
    <row r="6069" spans="1:24" ht="15.75" hidden="1" customHeight="1">
      <c r="A6069" s="222">
        <f t="shared" si="331"/>
        <v>6078</v>
      </c>
      <c r="B6069" s="858">
        <v>44860</v>
      </c>
      <c r="C6069" s="129" t="s">
        <v>8556</v>
      </c>
      <c r="D6069" s="22"/>
      <c r="E6069" s="818"/>
      <c r="F6069" s="1539" t="s">
        <v>11544</v>
      </c>
      <c r="G6069" s="2238" t="s">
        <v>20492</v>
      </c>
      <c r="H6069" s="313" t="s">
        <v>945</v>
      </c>
      <c r="I6069" s="222" t="s">
        <v>39</v>
      </c>
      <c r="J6069" s="225" t="s">
        <v>20493</v>
      </c>
      <c r="K6069" s="225" t="s">
        <v>2548</v>
      </c>
      <c r="L6069" s="613"/>
      <c r="M6069" s="183">
        <v>2</v>
      </c>
      <c r="N6069" s="183">
        <v>1</v>
      </c>
      <c r="O6069" s="222">
        <v>2</v>
      </c>
      <c r="P6069" s="222">
        <v>0</v>
      </c>
      <c r="Q6069" s="222">
        <v>0</v>
      </c>
      <c r="R6069" s="1195">
        <v>224</v>
      </c>
      <c r="S6069" s="1195">
        <f t="shared" si="333"/>
        <v>448</v>
      </c>
      <c r="T6069" s="1508" t="s">
        <v>1543</v>
      </c>
      <c r="U6069" s="1527" t="s">
        <v>9486</v>
      </c>
      <c r="V6069" s="222" t="s">
        <v>20029</v>
      </c>
      <c r="W6069" s="2204" t="s">
        <v>20494</v>
      </c>
      <c r="X6069" s="818"/>
    </row>
    <row r="6070" spans="1:24" ht="15.75" hidden="1" customHeight="1">
      <c r="A6070" s="222">
        <f t="shared" si="331"/>
        <v>6079</v>
      </c>
      <c r="B6070" s="858">
        <v>44860</v>
      </c>
      <c r="C6070" s="129" t="s">
        <v>1819</v>
      </c>
      <c r="D6070" s="22"/>
      <c r="E6070" s="818"/>
      <c r="F6070" s="1539" t="s">
        <v>11544</v>
      </c>
      <c r="G6070" s="2238" t="s">
        <v>20495</v>
      </c>
      <c r="H6070" s="1122" t="s">
        <v>249</v>
      </c>
      <c r="I6070" s="222" t="s">
        <v>39</v>
      </c>
      <c r="J6070" s="183" t="s">
        <v>20496</v>
      </c>
      <c r="K6070" s="183" t="s">
        <v>20497</v>
      </c>
      <c r="L6070" s="613"/>
      <c r="M6070" s="183">
        <v>2</v>
      </c>
      <c r="N6070" s="183">
        <v>5</v>
      </c>
      <c r="O6070" s="222">
        <v>5</v>
      </c>
      <c r="P6070" s="222">
        <v>0</v>
      </c>
      <c r="Q6070" s="222">
        <v>3</v>
      </c>
      <c r="R6070" s="1195">
        <v>729</v>
      </c>
      <c r="S6070" s="1195">
        <f t="shared" si="333"/>
        <v>3645</v>
      </c>
      <c r="T6070" s="1508" t="s">
        <v>1543</v>
      </c>
      <c r="U6070" s="1527" t="s">
        <v>9486</v>
      </c>
      <c r="V6070" s="222" t="s">
        <v>20029</v>
      </c>
      <c r="W6070" s="2204" t="s">
        <v>20498</v>
      </c>
      <c r="X6070" s="818"/>
    </row>
    <row r="6071" spans="1:24" ht="15.75" hidden="1" customHeight="1">
      <c r="A6071" s="222">
        <f t="shared" si="331"/>
        <v>6080</v>
      </c>
      <c r="B6071" s="858">
        <v>44860</v>
      </c>
      <c r="C6071" s="129" t="s">
        <v>20499</v>
      </c>
      <c r="D6071" s="22"/>
      <c r="E6071" s="818"/>
      <c r="F6071" s="1539" t="s">
        <v>11544</v>
      </c>
      <c r="G6071" s="2238" t="s">
        <v>20500</v>
      </c>
      <c r="H6071" s="2240" t="s">
        <v>6989</v>
      </c>
      <c r="I6071" s="222" t="s">
        <v>39</v>
      </c>
      <c r="J6071" s="183" t="s">
        <v>20501</v>
      </c>
      <c r="K6071" s="183">
        <v>1729128</v>
      </c>
      <c r="L6071" s="613"/>
      <c r="M6071" s="183">
        <v>4</v>
      </c>
      <c r="N6071" s="183">
        <v>5</v>
      </c>
      <c r="O6071" s="222">
        <v>5</v>
      </c>
      <c r="P6071" s="222">
        <v>1</v>
      </c>
      <c r="Q6071" s="222">
        <v>2</v>
      </c>
      <c r="R6071" s="1195">
        <v>193</v>
      </c>
      <c r="S6071" s="1195">
        <f t="shared" si="333"/>
        <v>965</v>
      </c>
      <c r="T6071" s="1508" t="s">
        <v>1543</v>
      </c>
      <c r="U6071" s="1527" t="s">
        <v>9486</v>
      </c>
      <c r="V6071" s="222" t="s">
        <v>20029</v>
      </c>
      <c r="W6071" s="2204" t="s">
        <v>20502</v>
      </c>
      <c r="X6071" s="818"/>
    </row>
    <row r="6072" spans="1:24" ht="15.75" hidden="1" customHeight="1">
      <c r="A6072" s="222">
        <f t="shared" si="331"/>
        <v>6081</v>
      </c>
      <c r="B6072" s="858">
        <v>44860</v>
      </c>
      <c r="C6072" s="129" t="s">
        <v>10732</v>
      </c>
      <c r="D6072" s="22"/>
      <c r="E6072" s="818"/>
      <c r="F6072" s="1539" t="s">
        <v>11544</v>
      </c>
      <c r="G6072" s="2264" t="s">
        <v>20503</v>
      </c>
      <c r="H6072" s="1122" t="s">
        <v>20504</v>
      </c>
      <c r="I6072" s="1122" t="s">
        <v>39</v>
      </c>
      <c r="J6072" s="183" t="s">
        <v>20505</v>
      </c>
      <c r="K6072" s="2268" t="s">
        <v>20506</v>
      </c>
      <c r="L6072" s="613"/>
      <c r="M6072" s="183">
        <v>2</v>
      </c>
      <c r="N6072" s="183">
        <v>1</v>
      </c>
      <c r="O6072" s="222">
        <v>2</v>
      </c>
      <c r="P6072" s="222">
        <v>0</v>
      </c>
      <c r="Q6072" s="222">
        <v>0</v>
      </c>
      <c r="R6072" s="1195">
        <v>1650</v>
      </c>
      <c r="S6072" s="1195">
        <f t="shared" si="333"/>
        <v>3300</v>
      </c>
      <c r="T6072" s="1508" t="s">
        <v>1543</v>
      </c>
      <c r="U6072" s="1527" t="s">
        <v>9486</v>
      </c>
      <c r="V6072" s="222" t="s">
        <v>20029</v>
      </c>
      <c r="W6072" s="2204" t="s">
        <v>20507</v>
      </c>
      <c r="X6072" s="818"/>
    </row>
    <row r="6073" spans="1:24" ht="15.75" hidden="1" customHeight="1">
      <c r="A6073" s="222">
        <f t="shared" si="331"/>
        <v>6082</v>
      </c>
      <c r="B6073" s="858">
        <v>44860</v>
      </c>
      <c r="C6073" s="129" t="s">
        <v>10732</v>
      </c>
      <c r="D6073" s="22"/>
      <c r="E6073" s="818"/>
      <c r="F6073" s="1539" t="s">
        <v>11544</v>
      </c>
      <c r="G6073" s="2264" t="s">
        <v>20508</v>
      </c>
      <c r="H6073" s="313" t="s">
        <v>154</v>
      </c>
      <c r="I6073" s="222" t="s">
        <v>39</v>
      </c>
      <c r="J6073" s="183" t="s">
        <v>20509</v>
      </c>
      <c r="K6073" s="1500" t="s">
        <v>20510</v>
      </c>
      <c r="L6073" s="613"/>
      <c r="M6073" s="183">
        <v>5</v>
      </c>
      <c r="N6073" s="183">
        <v>25</v>
      </c>
      <c r="O6073" s="222">
        <v>25</v>
      </c>
      <c r="P6073" s="222">
        <v>0</v>
      </c>
      <c r="Q6073" s="222">
        <v>20</v>
      </c>
      <c r="R6073" s="1195">
        <v>35.520000000000003</v>
      </c>
      <c r="S6073" s="1195">
        <f t="shared" si="333"/>
        <v>888.00000000000011</v>
      </c>
      <c r="T6073" s="1508" t="s">
        <v>1543</v>
      </c>
      <c r="U6073" s="1527" t="s">
        <v>9486</v>
      </c>
      <c r="V6073" s="222" t="s">
        <v>20029</v>
      </c>
      <c r="W6073" s="2235" t="s">
        <v>20511</v>
      </c>
      <c r="X6073" s="818"/>
    </row>
    <row r="6074" spans="1:24" s="1161" customFormat="1" ht="15.75" hidden="1" customHeight="1">
      <c r="A6074" s="1120">
        <f t="shared" si="331"/>
        <v>6083</v>
      </c>
      <c r="B6074" s="854">
        <v>44860</v>
      </c>
      <c r="C6074" s="1499" t="s">
        <v>20466</v>
      </c>
      <c r="D6074" s="2237"/>
      <c r="E6074" s="1191"/>
      <c r="F6074" s="2245" t="s">
        <v>11544</v>
      </c>
      <c r="G6074" s="863" t="s">
        <v>20512</v>
      </c>
      <c r="H6074" s="2269" t="s">
        <v>460</v>
      </c>
      <c r="I6074" s="1120" t="s">
        <v>39</v>
      </c>
      <c r="J6074" s="2244" t="s">
        <v>20513</v>
      </c>
      <c r="K6074" s="183" t="s">
        <v>20514</v>
      </c>
      <c r="L6074" s="530" t="s">
        <v>1041</v>
      </c>
      <c r="M6074" s="1500">
        <v>5</v>
      </c>
      <c r="N6074" s="1500">
        <v>10</v>
      </c>
      <c r="O6074" s="1120">
        <v>10</v>
      </c>
      <c r="P6074" s="1120">
        <v>0</v>
      </c>
      <c r="Q6074" s="1120">
        <v>5</v>
      </c>
      <c r="R6074" s="1501">
        <v>138.80000000000001</v>
      </c>
      <c r="S6074" s="1195">
        <f t="shared" si="333"/>
        <v>1388</v>
      </c>
      <c r="T6074" s="2239" t="s">
        <v>1543</v>
      </c>
      <c r="U6074" s="1965" t="s">
        <v>9486</v>
      </c>
      <c r="V6074" s="1120" t="s">
        <v>20029</v>
      </c>
      <c r="W6074" s="1815" t="s">
        <v>20515</v>
      </c>
      <c r="X6074" s="1191"/>
    </row>
    <row r="6075" spans="1:24" s="1161" customFormat="1" ht="15.75" hidden="1" customHeight="1">
      <c r="A6075" s="1527">
        <f t="shared" si="331"/>
        <v>6084</v>
      </c>
      <c r="B6075" s="858">
        <v>44860</v>
      </c>
      <c r="C6075" s="1534" t="s">
        <v>10732</v>
      </c>
      <c r="D6075" s="818"/>
      <c r="E6075" s="818"/>
      <c r="F6075" s="1539" t="s">
        <v>11544</v>
      </c>
      <c r="G6075" s="2264" t="s">
        <v>20516</v>
      </c>
      <c r="H6075" s="1122" t="s">
        <v>260</v>
      </c>
      <c r="I6075" s="222" t="s">
        <v>39</v>
      </c>
      <c r="J6075" s="1527" t="s">
        <v>20517</v>
      </c>
      <c r="K6075" s="613" t="s">
        <v>20518</v>
      </c>
      <c r="L6075" s="1122"/>
      <c r="M6075" s="222">
        <v>10</v>
      </c>
      <c r="N6075" s="222">
        <v>100</v>
      </c>
      <c r="O6075" s="222">
        <v>100</v>
      </c>
      <c r="P6075" s="222">
        <v>0</v>
      </c>
      <c r="Q6075" s="222">
        <v>90</v>
      </c>
      <c r="R6075" s="1195">
        <v>7.51</v>
      </c>
      <c r="S6075" s="1195">
        <f t="shared" si="333"/>
        <v>751</v>
      </c>
      <c r="T6075" s="1411" t="s">
        <v>1543</v>
      </c>
      <c r="U6075" s="222" t="s">
        <v>9486</v>
      </c>
      <c r="V6075" s="222" t="s">
        <v>20029</v>
      </c>
      <c r="W6075" s="875" t="s">
        <v>20519</v>
      </c>
      <c r="X6075" s="818"/>
    </row>
    <row r="6076" spans="1:24" s="1161" customFormat="1" ht="15.75" hidden="1" customHeight="1">
      <c r="A6076" s="1513">
        <f t="shared" si="331"/>
        <v>6085</v>
      </c>
      <c r="B6076" s="858">
        <v>44861</v>
      </c>
      <c r="C6076" s="2241" t="s">
        <v>20520</v>
      </c>
      <c r="D6076" s="1445" t="s">
        <v>6</v>
      </c>
      <c r="E6076" s="818" t="s">
        <v>166</v>
      </c>
      <c r="F6076" s="1539" t="s">
        <v>19975</v>
      </c>
      <c r="G6076" s="1433" t="s">
        <v>20520</v>
      </c>
      <c r="H6076" s="313" t="s">
        <v>2868</v>
      </c>
      <c r="I6076" s="1428" t="s">
        <v>2868</v>
      </c>
      <c r="J6076" s="225" t="s">
        <v>14346</v>
      </c>
      <c r="K6076" s="225" t="s">
        <v>14346</v>
      </c>
      <c r="L6076" s="1427" t="s">
        <v>14346</v>
      </c>
      <c r="M6076" s="225">
        <v>4</v>
      </c>
      <c r="N6076" s="225">
        <v>2</v>
      </c>
      <c r="O6076" s="1428">
        <v>4</v>
      </c>
      <c r="P6076" s="1428">
        <v>0</v>
      </c>
      <c r="Q6076" s="1428">
        <v>3</v>
      </c>
      <c r="R6076" s="1435" t="s">
        <v>14346</v>
      </c>
      <c r="S6076" s="2243">
        <v>161200</v>
      </c>
      <c r="T6076" s="222" t="s">
        <v>18479</v>
      </c>
      <c r="U6076" s="222" t="s">
        <v>1886</v>
      </c>
      <c r="V6076" s="222" t="s">
        <v>104</v>
      </c>
      <c r="W6076" s="2242"/>
      <c r="X6076" s="818"/>
    </row>
    <row r="6077" spans="1:24" ht="15.75" hidden="1" customHeight="1">
      <c r="A6077" s="222">
        <f t="shared" si="331"/>
        <v>6086</v>
      </c>
      <c r="B6077" s="1434">
        <v>44861</v>
      </c>
      <c r="C6077" s="129" t="s">
        <v>20521</v>
      </c>
      <c r="D6077" s="1515" t="s">
        <v>6</v>
      </c>
      <c r="E6077" s="818" t="s">
        <v>166</v>
      </c>
      <c r="F6077" s="1006" t="s">
        <v>19975</v>
      </c>
      <c r="G6077" s="1433" t="s">
        <v>20522</v>
      </c>
      <c r="H6077" s="222" t="s">
        <v>2868</v>
      </c>
      <c r="I6077" s="222" t="s">
        <v>2868</v>
      </c>
      <c r="J6077" s="183" t="s">
        <v>14346</v>
      </c>
      <c r="K6077" s="183" t="s">
        <v>13128</v>
      </c>
      <c r="L6077" s="613"/>
      <c r="M6077" s="183">
        <v>4</v>
      </c>
      <c r="N6077" s="183">
        <v>2</v>
      </c>
      <c r="O6077" s="222">
        <v>4</v>
      </c>
      <c r="P6077" s="222">
        <v>0</v>
      </c>
      <c r="Q6077" s="222">
        <v>3</v>
      </c>
      <c r="R6077" s="1195"/>
      <c r="S6077" s="1195">
        <v>71973</v>
      </c>
      <c r="T6077" s="1428" t="s">
        <v>18479</v>
      </c>
      <c r="U6077" s="1513" t="s">
        <v>1886</v>
      </c>
      <c r="V6077" s="1428" t="s">
        <v>104</v>
      </c>
      <c r="W6077" s="2233"/>
      <c r="X6077" s="1444"/>
    </row>
    <row r="6078" spans="1:24" ht="15.75" hidden="1" customHeight="1">
      <c r="A6078" s="222">
        <f t="shared" si="331"/>
        <v>6087</v>
      </c>
      <c r="B6078" s="858">
        <v>44861</v>
      </c>
      <c r="C6078" s="129" t="s">
        <v>618</v>
      </c>
      <c r="D6078" s="11" t="s">
        <v>6</v>
      </c>
      <c r="E6078" s="818" t="s">
        <v>572</v>
      </c>
      <c r="F6078" s="1006" t="s">
        <v>784</v>
      </c>
      <c r="G6078" s="863" t="s">
        <v>20523</v>
      </c>
      <c r="H6078" s="222" t="s">
        <v>20524</v>
      </c>
      <c r="I6078" s="222" t="s">
        <v>281</v>
      </c>
      <c r="J6078" s="183" t="s">
        <v>20523</v>
      </c>
      <c r="K6078" s="183" t="s">
        <v>20523</v>
      </c>
      <c r="L6078" s="613" t="s">
        <v>1088</v>
      </c>
      <c r="M6078" s="183">
        <v>10</v>
      </c>
      <c r="N6078" s="183">
        <v>10</v>
      </c>
      <c r="O6078" s="222">
        <v>10</v>
      </c>
      <c r="P6078" s="222">
        <v>0</v>
      </c>
      <c r="Q6078" s="222">
        <v>0</v>
      </c>
      <c r="R6078" s="1195">
        <v>72.2</v>
      </c>
      <c r="S6078" s="1195">
        <f>R6078*O6078</f>
        <v>722</v>
      </c>
      <c r="T6078" s="222" t="s">
        <v>10016</v>
      </c>
      <c r="U6078" s="1527" t="s">
        <v>10016</v>
      </c>
      <c r="V6078" s="222" t="s">
        <v>10323</v>
      </c>
      <c r="W6078" s="2235" t="s">
        <v>20525</v>
      </c>
      <c r="X6078" s="818"/>
    </row>
    <row r="6079" spans="1:24" ht="15.75" hidden="1" customHeight="1">
      <c r="A6079" s="222">
        <f t="shared" si="331"/>
        <v>6088</v>
      </c>
      <c r="B6079" s="858">
        <v>44861</v>
      </c>
      <c r="C6079" s="129" t="s">
        <v>20526</v>
      </c>
      <c r="D6079" s="2236" t="s">
        <v>6</v>
      </c>
      <c r="E6079" s="818" t="s">
        <v>166</v>
      </c>
      <c r="F6079" s="1006" t="s">
        <v>20527</v>
      </c>
      <c r="G6079" s="863" t="s">
        <v>20528</v>
      </c>
      <c r="H6079" s="222" t="s">
        <v>83</v>
      </c>
      <c r="I6079" s="222" t="s">
        <v>84</v>
      </c>
      <c r="J6079" s="183" t="s">
        <v>9418</v>
      </c>
      <c r="K6079" s="183" t="s">
        <v>9418</v>
      </c>
      <c r="L6079" s="613" t="s">
        <v>1</v>
      </c>
      <c r="M6079" s="183">
        <v>10</v>
      </c>
      <c r="N6079" s="183">
        <v>1</v>
      </c>
      <c r="O6079" s="222">
        <v>10</v>
      </c>
      <c r="P6079" s="222">
        <v>0</v>
      </c>
      <c r="Q6079" s="222">
        <v>0</v>
      </c>
      <c r="R6079" s="1195">
        <v>4279</v>
      </c>
      <c r="S6079" s="1195">
        <f>R6079*O6079</f>
        <v>42790</v>
      </c>
      <c r="T6079" s="222" t="s">
        <v>18479</v>
      </c>
      <c r="U6079" s="1527" t="s">
        <v>18479</v>
      </c>
      <c r="V6079" s="222" t="s">
        <v>19258</v>
      </c>
      <c r="W6079" s="2235" t="s">
        <v>18673</v>
      </c>
      <c r="X6079" s="818"/>
    </row>
    <row r="6080" spans="1:24" ht="15.75" hidden="1" customHeight="1">
      <c r="A6080" s="222">
        <f t="shared" si="331"/>
        <v>6089</v>
      </c>
      <c r="B6080" s="858">
        <v>44866</v>
      </c>
      <c r="C6080" s="204" t="s">
        <v>10940</v>
      </c>
      <c r="D6080" s="11" t="s">
        <v>6</v>
      </c>
      <c r="E6080" s="678" t="s">
        <v>20529</v>
      </c>
      <c r="F6080" s="683" t="s">
        <v>404</v>
      </c>
      <c r="G6080" s="683" t="s">
        <v>8223</v>
      </c>
      <c r="H6080" s="683" t="s">
        <v>230</v>
      </c>
      <c r="I6080" s="683" t="s">
        <v>1144</v>
      </c>
      <c r="J6080" s="719" t="s">
        <v>505</v>
      </c>
      <c r="K6080" s="683" t="s">
        <v>506</v>
      </c>
      <c r="L6080" s="683" t="s">
        <v>10941</v>
      </c>
      <c r="M6080" s="683">
        <v>4</v>
      </c>
      <c r="N6080" s="683">
        <v>1</v>
      </c>
      <c r="O6080" s="683">
        <v>5</v>
      </c>
      <c r="P6080" s="683">
        <v>0</v>
      </c>
      <c r="Q6080" s="669">
        <v>1</v>
      </c>
      <c r="R6080" s="629">
        <v>879</v>
      </c>
      <c r="S6080" s="629">
        <v>4395</v>
      </c>
      <c r="T6080" s="683" t="s">
        <v>422</v>
      </c>
      <c r="U6080" s="1909" t="s">
        <v>311</v>
      </c>
      <c r="V6080" s="572" t="s">
        <v>18091</v>
      </c>
      <c r="W6080" s="2255" t="s">
        <v>20530</v>
      </c>
      <c r="X6080" s="818"/>
    </row>
    <row r="6081" spans="1:24" ht="15.75" hidden="1" customHeight="1">
      <c r="A6081" s="222">
        <f t="shared" si="331"/>
        <v>6090</v>
      </c>
      <c r="B6081" s="858">
        <v>44866</v>
      </c>
      <c r="C6081" s="1713" t="s">
        <v>6462</v>
      </c>
      <c r="D6081" s="11" t="s">
        <v>6</v>
      </c>
      <c r="E6081" s="678" t="s">
        <v>20529</v>
      </c>
      <c r="F6081" s="298" t="s">
        <v>404</v>
      </c>
      <c r="G6081" s="1751" t="s">
        <v>6463</v>
      </c>
      <c r="H6081" s="1751" t="s">
        <v>1073</v>
      </c>
      <c r="I6081" s="1751" t="s">
        <v>574</v>
      </c>
      <c r="J6081" s="1751" t="s">
        <v>20531</v>
      </c>
      <c r="K6081" s="1751" t="s">
        <v>20532</v>
      </c>
      <c r="L6081" s="1751" t="s">
        <v>520</v>
      </c>
      <c r="M6081" s="1751">
        <v>8</v>
      </c>
      <c r="N6081" s="1751">
        <v>1</v>
      </c>
      <c r="O6081" s="1751">
        <v>10</v>
      </c>
      <c r="P6081" s="1751">
        <v>0</v>
      </c>
      <c r="Q6081" s="1751">
        <v>2</v>
      </c>
      <c r="R6081" s="1751">
        <v>469</v>
      </c>
      <c r="S6081" s="1751">
        <v>4690</v>
      </c>
      <c r="T6081" s="298" t="s">
        <v>422</v>
      </c>
      <c r="U6081" s="1542" t="s">
        <v>311</v>
      </c>
      <c r="V6081" s="694" t="s">
        <v>18091</v>
      </c>
      <c r="W6081" s="2256" t="s">
        <v>20533</v>
      </c>
      <c r="X6081" s="818"/>
    </row>
    <row r="6082" spans="1:24" ht="15.75" hidden="1" customHeight="1">
      <c r="A6082" s="222">
        <f t="shared" si="331"/>
        <v>6091</v>
      </c>
      <c r="B6082" s="858">
        <v>44866</v>
      </c>
      <c r="C6082" s="1713" t="s">
        <v>20534</v>
      </c>
      <c r="D6082" s="11" t="s">
        <v>6</v>
      </c>
      <c r="E6082" s="678" t="s">
        <v>20529</v>
      </c>
      <c r="F6082" s="298" t="s">
        <v>404</v>
      </c>
      <c r="G6082" s="1751" t="s">
        <v>20535</v>
      </c>
      <c r="H6082" s="1751" t="s">
        <v>460</v>
      </c>
      <c r="I6082" s="1751" t="s">
        <v>574</v>
      </c>
      <c r="J6082" s="1751" t="s">
        <v>20536</v>
      </c>
      <c r="K6082" s="1751" t="s">
        <v>20537</v>
      </c>
      <c r="L6082" s="1751" t="s">
        <v>12881</v>
      </c>
      <c r="M6082" s="1751">
        <v>4</v>
      </c>
      <c r="N6082" s="1751">
        <v>1</v>
      </c>
      <c r="O6082" s="1751">
        <v>10</v>
      </c>
      <c r="P6082" s="1751">
        <v>0</v>
      </c>
      <c r="Q6082" s="1751">
        <v>1</v>
      </c>
      <c r="R6082" s="1751">
        <v>365</v>
      </c>
      <c r="S6082" s="1751">
        <v>1825</v>
      </c>
      <c r="T6082" s="298" t="s">
        <v>422</v>
      </c>
      <c r="U6082" s="1542" t="s">
        <v>311</v>
      </c>
      <c r="V6082" s="694" t="s">
        <v>18091</v>
      </c>
      <c r="W6082" s="2256" t="s">
        <v>20538</v>
      </c>
      <c r="X6082" s="818"/>
    </row>
    <row r="6083" spans="1:24" ht="15.75" customHeight="1">
      <c r="A6083" s="222"/>
      <c r="B6083" s="1063">
        <v>44960</v>
      </c>
      <c r="C6083" s="1713" t="s">
        <v>20539</v>
      </c>
      <c r="D6083" s="22"/>
      <c r="E6083" s="678"/>
      <c r="F6083" s="1568" t="s">
        <v>15474</v>
      </c>
      <c r="G6083" s="1751" t="s">
        <v>20540</v>
      </c>
      <c r="H6083" s="1751" t="s">
        <v>18071</v>
      </c>
      <c r="I6083" s="1751" t="s">
        <v>574</v>
      </c>
      <c r="J6083" s="1751"/>
      <c r="K6083" s="1751" t="s">
        <v>20539</v>
      </c>
      <c r="L6083" s="1751"/>
      <c r="M6083" s="1751">
        <v>3</v>
      </c>
      <c r="N6083" s="1751">
        <v>3</v>
      </c>
      <c r="O6083" s="1751">
        <v>3</v>
      </c>
      <c r="P6083" s="1751">
        <v>0</v>
      </c>
      <c r="Q6083" s="1751">
        <v>3</v>
      </c>
      <c r="R6083" s="1209">
        <v>626</v>
      </c>
      <c r="S6083" s="1209">
        <v>1878</v>
      </c>
      <c r="T6083" s="298" t="s">
        <v>15477</v>
      </c>
      <c r="U6083" s="1542" t="s">
        <v>20541</v>
      </c>
      <c r="V6083" s="572" t="s">
        <v>15478</v>
      </c>
      <c r="W6083" s="2329" t="s">
        <v>20542</v>
      </c>
      <c r="X6083" s="818"/>
    </row>
    <row r="6084" spans="1:24" ht="15.75" hidden="1" customHeight="1">
      <c r="A6084" s="222">
        <f t="shared" si="331"/>
        <v>1</v>
      </c>
      <c r="B6084" s="858">
        <v>44866</v>
      </c>
      <c r="C6084" s="2257" t="s">
        <v>14484</v>
      </c>
      <c r="D6084" s="11" t="s">
        <v>6</v>
      </c>
      <c r="E6084" s="678" t="s">
        <v>20529</v>
      </c>
      <c r="F6084" s="298" t="s">
        <v>404</v>
      </c>
      <c r="G6084" s="899" t="s">
        <v>7127</v>
      </c>
      <c r="H6084" s="899" t="s">
        <v>1853</v>
      </c>
      <c r="I6084" s="1751" t="s">
        <v>574</v>
      </c>
      <c r="J6084" s="899" t="s">
        <v>599</v>
      </c>
      <c r="K6084" s="899" t="s">
        <v>1991</v>
      </c>
      <c r="L6084" s="899" t="s">
        <v>3689</v>
      </c>
      <c r="M6084" s="899">
        <v>4</v>
      </c>
      <c r="N6084" s="899">
        <v>1</v>
      </c>
      <c r="O6084" s="899">
        <v>10</v>
      </c>
      <c r="P6084" s="899">
        <v>0</v>
      </c>
      <c r="Q6084" s="899">
        <v>1</v>
      </c>
      <c r="R6084" s="899">
        <v>40</v>
      </c>
      <c r="S6084" s="2258">
        <v>200</v>
      </c>
      <c r="T6084" s="298" t="s">
        <v>422</v>
      </c>
      <c r="U6084" s="1542" t="s">
        <v>311</v>
      </c>
      <c r="V6084" s="694" t="s">
        <v>18091</v>
      </c>
      <c r="W6084" s="2275" t="s">
        <v>20543</v>
      </c>
      <c r="X6084" s="818"/>
    </row>
    <row r="6085" spans="1:24" ht="15.75" hidden="1" customHeight="1">
      <c r="A6085" s="222">
        <f t="shared" si="331"/>
        <v>2</v>
      </c>
      <c r="B6085" s="858">
        <v>44866</v>
      </c>
      <c r="C6085" s="2259" t="s">
        <v>20544</v>
      </c>
      <c r="D6085" s="11" t="s">
        <v>6</v>
      </c>
      <c r="E6085" s="678" t="s">
        <v>20529</v>
      </c>
      <c r="F6085" s="298" t="s">
        <v>404</v>
      </c>
      <c r="G6085" s="1752" t="s">
        <v>2943</v>
      </c>
      <c r="H6085" s="1752" t="s">
        <v>2944</v>
      </c>
      <c r="I6085" s="1751" t="s">
        <v>574</v>
      </c>
      <c r="J6085" s="1752" t="s">
        <v>2945</v>
      </c>
      <c r="K6085" s="1752" t="s">
        <v>2946</v>
      </c>
      <c r="L6085" s="1752" t="s">
        <v>1088</v>
      </c>
      <c r="M6085" s="1752">
        <v>8</v>
      </c>
      <c r="N6085" s="1752">
        <v>1</v>
      </c>
      <c r="O6085" s="1752">
        <v>10</v>
      </c>
      <c r="P6085" s="1752">
        <v>0</v>
      </c>
      <c r="Q6085" s="1752">
        <v>2</v>
      </c>
      <c r="R6085" s="1752">
        <v>599</v>
      </c>
      <c r="S6085" s="2258">
        <v>5990</v>
      </c>
      <c r="T6085" s="298" t="s">
        <v>422</v>
      </c>
      <c r="U6085" s="1542" t="s">
        <v>311</v>
      </c>
      <c r="V6085" s="694" t="s">
        <v>18091</v>
      </c>
      <c r="W6085" s="2256" t="s">
        <v>20545</v>
      </c>
      <c r="X6085" s="818"/>
    </row>
    <row r="6086" spans="1:24" ht="15.75" hidden="1" customHeight="1">
      <c r="A6086" s="222">
        <f t="shared" si="331"/>
        <v>3</v>
      </c>
      <c r="B6086" s="858">
        <v>44866</v>
      </c>
      <c r="C6086" s="2259" t="s">
        <v>20546</v>
      </c>
      <c r="D6086" s="11" t="s">
        <v>6</v>
      </c>
      <c r="E6086" s="678" t="s">
        <v>20529</v>
      </c>
      <c r="F6086" s="298" t="s">
        <v>404</v>
      </c>
      <c r="G6086" s="1752" t="s">
        <v>9915</v>
      </c>
      <c r="H6086" s="1752" t="s">
        <v>2060</v>
      </c>
      <c r="I6086" s="1751" t="s">
        <v>574</v>
      </c>
      <c r="J6086" s="1752" t="s">
        <v>20547</v>
      </c>
      <c r="K6086" s="1752" t="s">
        <v>9918</v>
      </c>
      <c r="L6086" s="1752" t="s">
        <v>6661</v>
      </c>
      <c r="M6086" s="1752">
        <v>8</v>
      </c>
      <c r="N6086" s="1752">
        <v>1</v>
      </c>
      <c r="O6086" s="1752">
        <v>10</v>
      </c>
      <c r="P6086" s="1752">
        <v>0</v>
      </c>
      <c r="Q6086" s="1752">
        <v>2</v>
      </c>
      <c r="R6086" s="1752">
        <v>119</v>
      </c>
      <c r="S6086" s="2258">
        <v>1190</v>
      </c>
      <c r="T6086" s="298" t="s">
        <v>422</v>
      </c>
      <c r="U6086" s="1542" t="s">
        <v>311</v>
      </c>
      <c r="V6086" s="694" t="s">
        <v>18091</v>
      </c>
      <c r="W6086" s="2256" t="s">
        <v>19506</v>
      </c>
      <c r="X6086" s="818"/>
    </row>
    <row r="6087" spans="1:24" ht="15.75" hidden="1" customHeight="1">
      <c r="A6087" s="222">
        <f t="shared" si="331"/>
        <v>4</v>
      </c>
      <c r="B6087" s="858">
        <v>44866</v>
      </c>
      <c r="C6087" s="2259" t="s">
        <v>2912</v>
      </c>
      <c r="D6087" s="11" t="s">
        <v>6</v>
      </c>
      <c r="E6087" s="678" t="s">
        <v>20529</v>
      </c>
      <c r="F6087" s="298" t="s">
        <v>404</v>
      </c>
      <c r="G6087" s="1752" t="s">
        <v>20548</v>
      </c>
      <c r="H6087" s="1752" t="s">
        <v>3293</v>
      </c>
      <c r="I6087" s="1751" t="s">
        <v>574</v>
      </c>
      <c r="J6087" s="1752" t="s">
        <v>10894</v>
      </c>
      <c r="K6087" s="1752">
        <v>1043</v>
      </c>
      <c r="L6087" s="1752" t="s">
        <v>6661</v>
      </c>
      <c r="M6087" s="1752">
        <v>8</v>
      </c>
      <c r="N6087" s="1752">
        <v>1</v>
      </c>
      <c r="O6087" s="1752">
        <v>10</v>
      </c>
      <c r="P6087" s="1752">
        <v>0</v>
      </c>
      <c r="Q6087" s="1752">
        <v>2</v>
      </c>
      <c r="R6087" s="1752">
        <v>524</v>
      </c>
      <c r="S6087" s="2258">
        <v>5240</v>
      </c>
      <c r="T6087" s="298" t="s">
        <v>422</v>
      </c>
      <c r="U6087" s="1542" t="s">
        <v>311</v>
      </c>
      <c r="V6087" s="694" t="s">
        <v>18091</v>
      </c>
      <c r="W6087" s="2277" t="s">
        <v>20549</v>
      </c>
      <c r="X6087" s="818"/>
    </row>
    <row r="6088" spans="1:24" ht="15.75" hidden="1" customHeight="1">
      <c r="A6088" s="222">
        <f t="shared" si="331"/>
        <v>5</v>
      </c>
      <c r="B6088" s="858">
        <v>44866</v>
      </c>
      <c r="C6088" s="297" t="s">
        <v>10949</v>
      </c>
      <c r="D6088" s="11" t="s">
        <v>6</v>
      </c>
      <c r="E6088" s="678" t="s">
        <v>20529</v>
      </c>
      <c r="F6088" s="298" t="s">
        <v>404</v>
      </c>
      <c r="G6088" s="298" t="s">
        <v>10950</v>
      </c>
      <c r="H6088" s="298" t="s">
        <v>3612</v>
      </c>
      <c r="I6088" s="298" t="s">
        <v>574</v>
      </c>
      <c r="J6088" s="298" t="s">
        <v>10951</v>
      </c>
      <c r="K6088" s="1537" t="s">
        <v>10952</v>
      </c>
      <c r="L6088" s="2259" t="s">
        <v>6661</v>
      </c>
      <c r="M6088" s="298">
        <v>15</v>
      </c>
      <c r="N6088" s="298">
        <v>1</v>
      </c>
      <c r="O6088" s="298">
        <v>15</v>
      </c>
      <c r="P6088" s="298">
        <v>0</v>
      </c>
      <c r="Q6088" s="670">
        <v>0</v>
      </c>
      <c r="R6088" s="703">
        <v>76.900000000000006</v>
      </c>
      <c r="S6088" s="2258">
        <v>1153.5</v>
      </c>
      <c r="T6088" s="298" t="s">
        <v>422</v>
      </c>
      <c r="U6088" s="1542" t="s">
        <v>311</v>
      </c>
      <c r="V6088" s="694" t="s">
        <v>18091</v>
      </c>
      <c r="W6088" s="2260" t="s">
        <v>10953</v>
      </c>
      <c r="X6088" s="818"/>
    </row>
    <row r="6089" spans="1:24" ht="15.75" hidden="1" customHeight="1">
      <c r="A6089" s="222">
        <f t="shared" si="331"/>
        <v>6</v>
      </c>
      <c r="B6089" s="858">
        <v>44866</v>
      </c>
      <c r="C6089" s="297" t="s">
        <v>10954</v>
      </c>
      <c r="D6089" s="11" t="s">
        <v>6</v>
      </c>
      <c r="E6089" s="678" t="s">
        <v>20529</v>
      </c>
      <c r="F6089" s="298" t="s">
        <v>404</v>
      </c>
      <c r="G6089" s="298" t="s">
        <v>10955</v>
      </c>
      <c r="H6089" s="298" t="s">
        <v>3612</v>
      </c>
      <c r="I6089" s="298" t="s">
        <v>574</v>
      </c>
      <c r="J6089" s="298" t="s">
        <v>10956</v>
      </c>
      <c r="K6089" s="2261" t="s">
        <v>10957</v>
      </c>
      <c r="L6089" s="2259" t="s">
        <v>6661</v>
      </c>
      <c r="M6089" s="298">
        <v>40</v>
      </c>
      <c r="N6089" s="298">
        <v>1</v>
      </c>
      <c r="O6089" s="298">
        <v>40</v>
      </c>
      <c r="P6089" s="298">
        <v>0</v>
      </c>
      <c r="Q6089" s="670">
        <v>0</v>
      </c>
      <c r="R6089" s="703">
        <v>82</v>
      </c>
      <c r="S6089" s="2258">
        <v>3280</v>
      </c>
      <c r="T6089" s="298" t="s">
        <v>422</v>
      </c>
      <c r="U6089" s="1542" t="s">
        <v>311</v>
      </c>
      <c r="V6089" s="694" t="s">
        <v>18091</v>
      </c>
      <c r="W6089" s="2260" t="s">
        <v>10958</v>
      </c>
      <c r="X6089" s="818"/>
    </row>
    <row r="6090" spans="1:24" ht="15.75" hidden="1" customHeight="1">
      <c r="A6090" s="222">
        <f t="shared" si="331"/>
        <v>7</v>
      </c>
      <c r="B6090" s="858">
        <v>44866</v>
      </c>
      <c r="C6090" s="2259" t="s">
        <v>20550</v>
      </c>
      <c r="D6090" s="11" t="s">
        <v>6</v>
      </c>
      <c r="E6090" s="678" t="s">
        <v>20529</v>
      </c>
      <c r="F6090" s="298" t="s">
        <v>404</v>
      </c>
      <c r="G6090" s="1752" t="s">
        <v>20551</v>
      </c>
      <c r="H6090" s="1751" t="s">
        <v>1073</v>
      </c>
      <c r="I6090" s="298" t="s">
        <v>574</v>
      </c>
      <c r="J6090" s="1752" t="s">
        <v>20552</v>
      </c>
      <c r="K6090" s="1752" t="s">
        <v>20553</v>
      </c>
      <c r="L6090" s="1752" t="s">
        <v>1868</v>
      </c>
      <c r="M6090" s="1752">
        <v>5</v>
      </c>
      <c r="N6090" s="1752">
        <v>1</v>
      </c>
      <c r="O6090" s="1752">
        <v>5</v>
      </c>
      <c r="P6090" s="1752">
        <v>0</v>
      </c>
      <c r="Q6090" s="1752">
        <v>0</v>
      </c>
      <c r="R6090" s="1752">
        <v>430</v>
      </c>
      <c r="S6090" s="2258">
        <v>2150</v>
      </c>
      <c r="T6090" s="298" t="s">
        <v>422</v>
      </c>
      <c r="U6090" s="1542" t="s">
        <v>311</v>
      </c>
      <c r="V6090" s="694" t="s">
        <v>18091</v>
      </c>
      <c r="W6090" s="2256" t="s">
        <v>20554</v>
      </c>
      <c r="X6090" s="818"/>
    </row>
    <row r="6091" spans="1:24" ht="15.75" hidden="1" customHeight="1">
      <c r="A6091" s="222">
        <f t="shared" si="331"/>
        <v>8</v>
      </c>
      <c r="B6091" s="858">
        <v>44866</v>
      </c>
      <c r="C6091" s="2259" t="s">
        <v>339</v>
      </c>
      <c r="D6091" s="11" t="s">
        <v>6</v>
      </c>
      <c r="E6091" s="678" t="s">
        <v>20529</v>
      </c>
      <c r="F6091" s="298" t="s">
        <v>404</v>
      </c>
      <c r="G6091" s="1752" t="s">
        <v>20555</v>
      </c>
      <c r="H6091" s="1752" t="s">
        <v>2280</v>
      </c>
      <c r="I6091" s="298" t="s">
        <v>574</v>
      </c>
      <c r="J6091" s="1752" t="s">
        <v>20556</v>
      </c>
      <c r="K6091" s="1752" t="s">
        <v>20557</v>
      </c>
      <c r="L6091" s="1752" t="s">
        <v>513</v>
      </c>
      <c r="M6091" s="1752">
        <v>5</v>
      </c>
      <c r="N6091" s="1752">
        <v>1</v>
      </c>
      <c r="O6091" s="1752">
        <v>10</v>
      </c>
      <c r="P6091" s="1752">
        <v>0</v>
      </c>
      <c r="Q6091" s="1752">
        <v>5</v>
      </c>
      <c r="R6091" s="1752">
        <v>63.1</v>
      </c>
      <c r="S6091" s="2258">
        <v>631</v>
      </c>
      <c r="T6091" s="298" t="s">
        <v>422</v>
      </c>
      <c r="U6091" s="1542" t="s">
        <v>311</v>
      </c>
      <c r="V6091" s="694" t="s">
        <v>18091</v>
      </c>
      <c r="W6091" s="2256" t="s">
        <v>20558</v>
      </c>
      <c r="X6091" s="818"/>
    </row>
    <row r="6092" spans="1:24" ht="15.75" hidden="1" customHeight="1">
      <c r="A6092" s="222">
        <f t="shared" si="331"/>
        <v>9</v>
      </c>
      <c r="B6092" s="858">
        <v>44866</v>
      </c>
      <c r="C6092" s="1584" t="s">
        <v>15637</v>
      </c>
      <c r="D6092" s="11" t="s">
        <v>6</v>
      </c>
      <c r="E6092" s="678" t="s">
        <v>20529</v>
      </c>
      <c r="F6092" s="298" t="s">
        <v>404</v>
      </c>
      <c r="G6092" s="270" t="s">
        <v>20559</v>
      </c>
      <c r="H6092" s="270" t="s">
        <v>543</v>
      </c>
      <c r="I6092" s="270" t="s">
        <v>15640</v>
      </c>
      <c r="J6092" s="270" t="s">
        <v>541</v>
      </c>
      <c r="K6092" s="2262" t="s">
        <v>541</v>
      </c>
      <c r="L6092" s="2259" t="s">
        <v>1088</v>
      </c>
      <c r="M6092" s="1752">
        <v>5</v>
      </c>
      <c r="N6092" s="1752">
        <v>1</v>
      </c>
      <c r="O6092" s="1752">
        <v>10</v>
      </c>
      <c r="P6092" s="1752">
        <v>0</v>
      </c>
      <c r="Q6092" s="1752">
        <v>5</v>
      </c>
      <c r="R6092" s="1752">
        <v>421</v>
      </c>
      <c r="S6092" s="2258">
        <v>4210</v>
      </c>
      <c r="T6092" s="298" t="s">
        <v>422</v>
      </c>
      <c r="U6092" s="1542" t="s">
        <v>311</v>
      </c>
      <c r="V6092" s="694" t="s">
        <v>18091</v>
      </c>
      <c r="W6092" s="2256" t="s">
        <v>20560</v>
      </c>
      <c r="X6092" s="818"/>
    </row>
    <row r="6093" spans="1:24" ht="15.75" hidden="1" customHeight="1">
      <c r="A6093" s="222">
        <f t="shared" si="331"/>
        <v>10</v>
      </c>
      <c r="B6093" s="858">
        <v>44866</v>
      </c>
      <c r="C6093" s="2259" t="s">
        <v>2948</v>
      </c>
      <c r="D6093" s="10" t="s">
        <v>6</v>
      </c>
      <c r="E6093" s="678" t="s">
        <v>20529</v>
      </c>
      <c r="F6093" s="298" t="s">
        <v>404</v>
      </c>
      <c r="G6093" s="1752" t="s">
        <v>20561</v>
      </c>
      <c r="H6093" s="1751" t="s">
        <v>1073</v>
      </c>
      <c r="I6093" s="270" t="s">
        <v>15640</v>
      </c>
      <c r="J6093" s="1752" t="s">
        <v>20562</v>
      </c>
      <c r="K6093" s="1605" t="s">
        <v>20563</v>
      </c>
      <c r="L6093" s="1752" t="s">
        <v>20564</v>
      </c>
      <c r="M6093" s="1752">
        <v>5</v>
      </c>
      <c r="N6093" s="1752">
        <v>1</v>
      </c>
      <c r="O6093" s="1752">
        <v>2</v>
      </c>
      <c r="P6093" s="1752">
        <v>0</v>
      </c>
      <c r="Q6093" s="1752">
        <v>0</v>
      </c>
      <c r="R6093" s="1752">
        <v>4367</v>
      </c>
      <c r="S6093" s="2258">
        <v>8734</v>
      </c>
      <c r="T6093" s="298" t="s">
        <v>422</v>
      </c>
      <c r="U6093" s="1542" t="s">
        <v>311</v>
      </c>
      <c r="V6093" s="694" t="s">
        <v>18091</v>
      </c>
      <c r="W6093" s="2277" t="s">
        <v>20565</v>
      </c>
      <c r="X6093" s="818"/>
    </row>
    <row r="6094" spans="1:24" ht="15.75" hidden="1" customHeight="1">
      <c r="A6094" s="222">
        <f t="shared" si="331"/>
        <v>11</v>
      </c>
      <c r="B6094" s="858">
        <v>44866</v>
      </c>
      <c r="C6094" s="297" t="s">
        <v>329</v>
      </c>
      <c r="D6094" s="11" t="s">
        <v>6</v>
      </c>
      <c r="E6094" s="678" t="s">
        <v>20529</v>
      </c>
      <c r="F6094" s="298" t="s">
        <v>404</v>
      </c>
      <c r="G6094" s="298" t="s">
        <v>12280</v>
      </c>
      <c r="H6094" s="298" t="s">
        <v>1653</v>
      </c>
      <c r="I6094" s="298" t="s">
        <v>574</v>
      </c>
      <c r="J6094" s="298" t="s">
        <v>12281</v>
      </c>
      <c r="K6094" s="298" t="s">
        <v>12282</v>
      </c>
      <c r="L6094" s="298">
        <v>805</v>
      </c>
      <c r="M6094" s="298">
        <v>5</v>
      </c>
      <c r="N6094" s="298">
        <v>1</v>
      </c>
      <c r="O6094" s="298">
        <v>5</v>
      </c>
      <c r="P6094" s="298">
        <v>0</v>
      </c>
      <c r="Q6094" s="670">
        <v>0</v>
      </c>
      <c r="R6094" s="703">
        <v>28</v>
      </c>
      <c r="S6094" s="2258">
        <v>140</v>
      </c>
      <c r="T6094" s="298" t="s">
        <v>422</v>
      </c>
      <c r="U6094" s="1542" t="s">
        <v>311</v>
      </c>
      <c r="V6094" s="694" t="s">
        <v>18091</v>
      </c>
      <c r="W6094" s="2260" t="s">
        <v>12283</v>
      </c>
      <c r="X6094" s="818"/>
    </row>
    <row r="6095" spans="1:24" ht="15.75" hidden="1" customHeight="1">
      <c r="A6095" s="222">
        <f t="shared" si="331"/>
        <v>12</v>
      </c>
      <c r="B6095" s="858">
        <v>44873</v>
      </c>
      <c r="C6095" s="129" t="s">
        <v>20566</v>
      </c>
      <c r="D6095" s="8" t="s">
        <v>6</v>
      </c>
      <c r="E6095" s="222" t="s">
        <v>20567</v>
      </c>
      <c r="F6095" s="1006" t="s">
        <v>19325</v>
      </c>
      <c r="G6095" s="863" t="s">
        <v>20568</v>
      </c>
      <c r="H6095" s="222" t="s">
        <v>1871</v>
      </c>
      <c r="I6095" s="222" t="s">
        <v>39</v>
      </c>
      <c r="J6095" s="183" t="s">
        <v>20569</v>
      </c>
      <c r="K6095" s="183" t="s">
        <v>20570</v>
      </c>
      <c r="L6095" s="613" t="s">
        <v>7106</v>
      </c>
      <c r="M6095" s="183">
        <v>20</v>
      </c>
      <c r="N6095" s="183">
        <v>100</v>
      </c>
      <c r="O6095" s="222">
        <v>100</v>
      </c>
      <c r="P6095" s="222">
        <v>0</v>
      </c>
      <c r="Q6095" s="222">
        <v>20</v>
      </c>
      <c r="R6095" s="1195">
        <v>19</v>
      </c>
      <c r="S6095" s="1195">
        <v>1938</v>
      </c>
      <c r="T6095" s="298" t="s">
        <v>422</v>
      </c>
      <c r="U6095" s="1527"/>
      <c r="V6095" s="222" t="s">
        <v>20029</v>
      </c>
      <c r="W6095" s="2235" t="s">
        <v>20571</v>
      </c>
      <c r="X6095" s="818"/>
    </row>
    <row r="6096" spans="1:24" ht="15.75" hidden="1" customHeight="1">
      <c r="A6096" s="222">
        <f t="shared" si="331"/>
        <v>13</v>
      </c>
      <c r="B6096" s="858">
        <v>44873</v>
      </c>
      <c r="C6096" s="129" t="s">
        <v>20572</v>
      </c>
      <c r="D6096" s="8" t="s">
        <v>6</v>
      </c>
      <c r="E6096" s="222" t="s">
        <v>20567</v>
      </c>
      <c r="F6096" s="1006" t="s">
        <v>19325</v>
      </c>
      <c r="G6096" s="863" t="s">
        <v>20573</v>
      </c>
      <c r="H6096" s="222" t="s">
        <v>2361</v>
      </c>
      <c r="I6096" s="222" t="s">
        <v>39</v>
      </c>
      <c r="J6096" s="183" t="s">
        <v>20574</v>
      </c>
      <c r="K6096" s="183" t="s">
        <v>1043</v>
      </c>
      <c r="L6096" s="613" t="s">
        <v>344</v>
      </c>
      <c r="M6096" s="183">
        <v>20</v>
      </c>
      <c r="N6096" s="183">
        <v>20</v>
      </c>
      <c r="O6096" s="222">
        <v>20</v>
      </c>
      <c r="P6096" s="222">
        <v>0</v>
      </c>
      <c r="Q6096" s="222">
        <v>20</v>
      </c>
      <c r="R6096" s="1195">
        <v>75</v>
      </c>
      <c r="S6096" s="1195">
        <v>1505</v>
      </c>
      <c r="T6096" s="298" t="s">
        <v>422</v>
      </c>
      <c r="U6096" s="1527"/>
      <c r="V6096" s="222" t="s">
        <v>20029</v>
      </c>
      <c r="W6096" s="2235" t="s">
        <v>20575</v>
      </c>
      <c r="X6096" s="818"/>
    </row>
    <row r="6097" spans="1:24" ht="15.75" hidden="1" customHeight="1">
      <c r="A6097" s="222">
        <f t="shared" si="331"/>
        <v>14</v>
      </c>
      <c r="B6097" s="858">
        <v>44873</v>
      </c>
      <c r="C6097" s="129" t="s">
        <v>20576</v>
      </c>
      <c r="D6097" s="8" t="s">
        <v>6</v>
      </c>
      <c r="E6097" s="222" t="s">
        <v>20567</v>
      </c>
      <c r="F6097" s="1006" t="s">
        <v>19325</v>
      </c>
      <c r="G6097" s="863" t="s">
        <v>20577</v>
      </c>
      <c r="H6097" s="222" t="s">
        <v>460</v>
      </c>
      <c r="I6097" s="222" t="s">
        <v>15627</v>
      </c>
      <c r="J6097" s="183" t="s">
        <v>20578</v>
      </c>
      <c r="K6097" s="183" t="s">
        <v>20579</v>
      </c>
      <c r="L6097" s="613" t="s">
        <v>344</v>
      </c>
      <c r="M6097" s="183">
        <v>20</v>
      </c>
      <c r="N6097" s="183">
        <v>20</v>
      </c>
      <c r="O6097" s="222">
        <v>20</v>
      </c>
      <c r="P6097" s="222">
        <v>0</v>
      </c>
      <c r="Q6097" s="222">
        <v>20</v>
      </c>
      <c r="R6097" s="1195">
        <v>459</v>
      </c>
      <c r="S6097" s="1195">
        <v>9185</v>
      </c>
      <c r="T6097" s="298" t="s">
        <v>422</v>
      </c>
      <c r="U6097" s="1527"/>
      <c r="V6097" s="222" t="s">
        <v>20029</v>
      </c>
      <c r="W6097" s="2235" t="s">
        <v>20580</v>
      </c>
      <c r="X6097" s="818"/>
    </row>
    <row r="6098" spans="1:24" ht="15.75" hidden="1" customHeight="1">
      <c r="A6098" s="222">
        <f>+A6097+1</f>
        <v>15</v>
      </c>
      <c r="B6098" s="858"/>
      <c r="C6098" s="129"/>
      <c r="D6098" s="22"/>
      <c r="E6098" s="818"/>
      <c r="F6098" s="1006"/>
      <c r="G6098" s="863"/>
      <c r="H6098" s="222"/>
      <c r="I6098" s="222"/>
      <c r="J6098" s="183"/>
      <c r="K6098" s="183"/>
      <c r="L6098" s="613"/>
      <c r="M6098" s="183"/>
      <c r="N6098" s="183"/>
      <c r="O6098" s="222"/>
      <c r="P6098" s="222"/>
      <c r="Q6098" s="222"/>
      <c r="R6098" s="1195"/>
      <c r="S6098" s="1195"/>
      <c r="T6098" s="298"/>
      <c r="U6098" s="1527"/>
      <c r="V6098" s="1527"/>
      <c r="W6098" s="2273"/>
      <c r="X6098" s="818"/>
    </row>
    <row r="6099" spans="1:24" ht="15.75" hidden="1" customHeight="1">
      <c r="A6099" s="222">
        <f>+A6098+1</f>
        <v>16</v>
      </c>
      <c r="B6099" s="858">
        <v>44873</v>
      </c>
      <c r="C6099" s="129" t="s">
        <v>20581</v>
      </c>
      <c r="D6099" s="11" t="s">
        <v>6</v>
      </c>
      <c r="E6099" s="222" t="s">
        <v>20567</v>
      </c>
      <c r="F6099" s="1006" t="s">
        <v>15653</v>
      </c>
      <c r="G6099" s="863" t="s">
        <v>20582</v>
      </c>
      <c r="H6099" s="1428" t="s">
        <v>1379</v>
      </c>
      <c r="I6099" s="222" t="s">
        <v>1379</v>
      </c>
      <c r="J6099" s="1428"/>
      <c r="K6099" s="183"/>
      <c r="L6099" s="613"/>
      <c r="M6099" s="183">
        <v>2</v>
      </c>
      <c r="N6099" s="183">
        <v>1</v>
      </c>
      <c r="O6099" s="222">
        <v>4</v>
      </c>
      <c r="P6099" s="222">
        <v>0</v>
      </c>
      <c r="Q6099" s="222">
        <v>2</v>
      </c>
      <c r="R6099" s="1195"/>
      <c r="S6099" s="1195">
        <v>137379</v>
      </c>
      <c r="T6099" s="1527" t="s">
        <v>18479</v>
      </c>
      <c r="U6099" s="1527" t="s">
        <v>18479</v>
      </c>
      <c r="V6099" s="239" t="s">
        <v>931</v>
      </c>
      <c r="W6099" s="2172"/>
      <c r="X6099" s="222"/>
    </row>
    <row r="6100" spans="1:24" ht="15.75" hidden="1" customHeight="1">
      <c r="A6100" s="222">
        <f t="shared" si="331"/>
        <v>17</v>
      </c>
      <c r="B6100" s="858">
        <v>44872</v>
      </c>
      <c r="C6100" s="129" t="s">
        <v>3714</v>
      </c>
      <c r="D6100" s="1515" t="s">
        <v>6</v>
      </c>
      <c r="E6100" s="818" t="s">
        <v>166</v>
      </c>
      <c r="F6100" s="1006" t="s">
        <v>19975</v>
      </c>
      <c r="G6100" s="863" t="s">
        <v>20583</v>
      </c>
      <c r="H6100" s="222" t="s">
        <v>1653</v>
      </c>
      <c r="I6100" s="222" t="s">
        <v>1653</v>
      </c>
      <c r="J6100" s="2270" t="s">
        <v>20584</v>
      </c>
      <c r="K6100" s="2271" t="s">
        <v>20585</v>
      </c>
      <c r="L6100" s="613" t="s">
        <v>20586</v>
      </c>
      <c r="M6100" s="183">
        <v>20</v>
      </c>
      <c r="N6100" s="183">
        <v>100</v>
      </c>
      <c r="O6100" s="222">
        <v>100</v>
      </c>
      <c r="P6100" s="222">
        <v>0</v>
      </c>
      <c r="Q6100" s="222">
        <v>80</v>
      </c>
      <c r="R6100" s="1195">
        <v>5.92</v>
      </c>
      <c r="S6100" s="1195">
        <v>592</v>
      </c>
      <c r="T6100" s="222" t="s">
        <v>18479</v>
      </c>
      <c r="U6100" s="1527" t="s">
        <v>20587</v>
      </c>
      <c r="V6100" s="222" t="s">
        <v>3187</v>
      </c>
      <c r="W6100" s="2235" t="s">
        <v>20588</v>
      </c>
      <c r="X6100" s="818"/>
    </row>
    <row r="6101" spans="1:24" ht="15.75" hidden="1" customHeight="1">
      <c r="A6101" s="222">
        <f t="shared" si="331"/>
        <v>18</v>
      </c>
      <c r="B6101" s="858">
        <v>44873</v>
      </c>
      <c r="C6101" s="129" t="s">
        <v>11696</v>
      </c>
      <c r="D6101" s="10"/>
      <c r="E6101" s="818" t="s">
        <v>166</v>
      </c>
      <c r="F6101" s="1006" t="s">
        <v>18666</v>
      </c>
      <c r="G6101" s="863" t="s">
        <v>20217</v>
      </c>
      <c r="H6101" s="222" t="s">
        <v>18712</v>
      </c>
      <c r="I6101" s="222" t="s">
        <v>18712</v>
      </c>
      <c r="J6101" s="183" t="s">
        <v>1</v>
      </c>
      <c r="K6101" s="183" t="s">
        <v>1</v>
      </c>
      <c r="L6101" s="183" t="s">
        <v>1</v>
      </c>
      <c r="M6101" s="183">
        <v>6</v>
      </c>
      <c r="N6101" s="183">
        <v>1</v>
      </c>
      <c r="O6101" s="222">
        <v>7</v>
      </c>
      <c r="P6101" s="222">
        <v>1</v>
      </c>
      <c r="Q6101" s="222">
        <v>2</v>
      </c>
      <c r="R6101" s="1195">
        <v>4700</v>
      </c>
      <c r="S6101" s="1195">
        <f>R6101*O6101</f>
        <v>32900</v>
      </c>
      <c r="T6101" s="222" t="s">
        <v>18479</v>
      </c>
      <c r="U6101" s="1527" t="s">
        <v>18670</v>
      </c>
      <c r="V6101" s="1841" t="s">
        <v>11676</v>
      </c>
      <c r="W6101" s="2155" t="s">
        <v>19096</v>
      </c>
      <c r="X6101" s="818"/>
    </row>
    <row r="6102" spans="1:24" ht="15.75" hidden="1" customHeight="1">
      <c r="A6102" s="222">
        <f t="shared" si="331"/>
        <v>19</v>
      </c>
      <c r="B6102" s="858">
        <v>44873</v>
      </c>
      <c r="C6102" s="129" t="s">
        <v>20589</v>
      </c>
      <c r="D6102" s="8" t="s">
        <v>6</v>
      </c>
      <c r="E6102" s="818" t="s">
        <v>166</v>
      </c>
      <c r="F6102" s="1006" t="s">
        <v>18666</v>
      </c>
      <c r="G6102" s="863" t="s">
        <v>20590</v>
      </c>
      <c r="H6102" s="222" t="s">
        <v>10848</v>
      </c>
      <c r="I6102" s="222" t="s">
        <v>10848</v>
      </c>
      <c r="J6102" s="183" t="s">
        <v>20591</v>
      </c>
      <c r="K6102" s="183" t="s">
        <v>20592</v>
      </c>
      <c r="L6102" s="613"/>
      <c r="M6102" s="183">
        <v>1</v>
      </c>
      <c r="N6102" s="183">
        <v>1</v>
      </c>
      <c r="O6102" s="222">
        <v>1</v>
      </c>
      <c r="P6102" s="222">
        <v>0</v>
      </c>
      <c r="Q6102" s="222">
        <v>1</v>
      </c>
      <c r="R6102" s="1195">
        <v>990</v>
      </c>
      <c r="S6102" s="1195">
        <f t="shared" ref="S6102:S6110" si="334">R6102*O6102</f>
        <v>990</v>
      </c>
      <c r="T6102" s="222" t="s">
        <v>18479</v>
      </c>
      <c r="U6102" s="1527" t="s">
        <v>18670</v>
      </c>
      <c r="V6102" s="1841" t="s">
        <v>11676</v>
      </c>
      <c r="W6102" s="2235" t="s">
        <v>8069</v>
      </c>
      <c r="X6102" s="818"/>
    </row>
    <row r="6103" spans="1:24" ht="15.75" hidden="1" customHeight="1">
      <c r="A6103" s="222">
        <f t="shared" si="331"/>
        <v>20</v>
      </c>
      <c r="B6103" s="858">
        <v>44875</v>
      </c>
      <c r="C6103" s="129" t="s">
        <v>20593</v>
      </c>
      <c r="D6103" s="11" t="s">
        <v>6</v>
      </c>
      <c r="E6103" s="818" t="s">
        <v>166</v>
      </c>
      <c r="F6103" s="1006" t="s">
        <v>7046</v>
      </c>
      <c r="G6103" s="863" t="s">
        <v>20594</v>
      </c>
      <c r="H6103" s="222" t="s">
        <v>13048</v>
      </c>
      <c r="I6103" s="222" t="s">
        <v>4634</v>
      </c>
      <c r="J6103" s="183" t="s">
        <v>20595</v>
      </c>
      <c r="K6103" s="183" t="s">
        <v>20596</v>
      </c>
      <c r="L6103" s="613" t="s">
        <v>1</v>
      </c>
      <c r="M6103" s="183">
        <v>1</v>
      </c>
      <c r="N6103" s="183">
        <v>1</v>
      </c>
      <c r="O6103" s="183">
        <v>1</v>
      </c>
      <c r="P6103" s="222">
        <v>0</v>
      </c>
      <c r="Q6103" s="222">
        <v>0</v>
      </c>
      <c r="R6103" s="1195">
        <v>2457.8000000000002</v>
      </c>
      <c r="S6103" s="1195">
        <f t="shared" si="334"/>
        <v>2457.8000000000002</v>
      </c>
      <c r="T6103" s="183" t="s">
        <v>12425</v>
      </c>
      <c r="U6103" s="1527" t="s">
        <v>20597</v>
      </c>
      <c r="V6103" s="1841" t="s">
        <v>11676</v>
      </c>
      <c r="W6103" s="2235" t="s">
        <v>20598</v>
      </c>
      <c r="X6103" s="818"/>
    </row>
    <row r="6104" spans="1:24" ht="15.75" hidden="1" customHeight="1">
      <c r="A6104" s="222">
        <f t="shared" si="331"/>
        <v>21</v>
      </c>
      <c r="B6104" s="858">
        <v>44875</v>
      </c>
      <c r="C6104" s="129" t="s">
        <v>20599</v>
      </c>
      <c r="D6104" s="11" t="s">
        <v>6</v>
      </c>
      <c r="E6104" s="818" t="s">
        <v>166</v>
      </c>
      <c r="F6104" s="1006" t="s">
        <v>7046</v>
      </c>
      <c r="G6104" s="863" t="s">
        <v>20599</v>
      </c>
      <c r="H6104" s="222" t="s">
        <v>20600</v>
      </c>
      <c r="I6104" s="222" t="s">
        <v>4634</v>
      </c>
      <c r="J6104" s="183" t="s">
        <v>17221</v>
      </c>
      <c r="K6104" s="183" t="s">
        <v>5725</v>
      </c>
      <c r="L6104" s="613" t="s">
        <v>16451</v>
      </c>
      <c r="M6104" s="183">
        <v>4</v>
      </c>
      <c r="N6104" s="183">
        <v>1</v>
      </c>
      <c r="O6104" s="183">
        <v>4</v>
      </c>
      <c r="P6104" s="222">
        <v>0</v>
      </c>
      <c r="Q6104" s="222">
        <v>2</v>
      </c>
      <c r="R6104" s="1195">
        <v>984.6</v>
      </c>
      <c r="S6104" s="1195">
        <f t="shared" si="334"/>
        <v>3938.4</v>
      </c>
      <c r="T6104" s="183" t="s">
        <v>12425</v>
      </c>
      <c r="U6104" s="1527" t="s">
        <v>2079</v>
      </c>
      <c r="V6104" s="1841" t="s">
        <v>11676</v>
      </c>
      <c r="W6104" s="2235" t="s">
        <v>20601</v>
      </c>
      <c r="X6104" s="818"/>
    </row>
    <row r="6105" spans="1:24" ht="15.75" hidden="1" customHeight="1">
      <c r="A6105" s="222">
        <f t="shared" si="331"/>
        <v>22</v>
      </c>
      <c r="B6105" s="858">
        <v>44875</v>
      </c>
      <c r="C6105" s="129" t="s">
        <v>329</v>
      </c>
      <c r="D6105" s="11" t="s">
        <v>6</v>
      </c>
      <c r="E6105" s="818" t="s">
        <v>166</v>
      </c>
      <c r="F6105" s="1006" t="s">
        <v>7046</v>
      </c>
      <c r="G6105" s="863" t="s">
        <v>20602</v>
      </c>
      <c r="H6105" s="222" t="s">
        <v>184</v>
      </c>
      <c r="I6105" s="222" t="s">
        <v>4634</v>
      </c>
      <c r="J6105" s="183" t="s">
        <v>20603</v>
      </c>
      <c r="K6105" s="183" t="s">
        <v>20604</v>
      </c>
      <c r="L6105" s="613" t="s">
        <v>8980</v>
      </c>
      <c r="M6105" s="183">
        <v>10</v>
      </c>
      <c r="N6105" s="183">
        <v>10</v>
      </c>
      <c r="O6105" s="183">
        <v>10</v>
      </c>
      <c r="P6105" s="222">
        <v>0</v>
      </c>
      <c r="Q6105" s="222">
        <v>6</v>
      </c>
      <c r="R6105" s="1195">
        <v>181.3</v>
      </c>
      <c r="S6105" s="1195">
        <f t="shared" si="334"/>
        <v>1813</v>
      </c>
      <c r="T6105" s="183" t="s">
        <v>12425</v>
      </c>
      <c r="U6105" s="1527" t="s">
        <v>2079</v>
      </c>
      <c r="V6105" s="1841" t="s">
        <v>11676</v>
      </c>
      <c r="W6105" s="2235" t="s">
        <v>20605</v>
      </c>
      <c r="X6105" s="818"/>
    </row>
    <row r="6106" spans="1:24" ht="15.75" hidden="1" customHeight="1">
      <c r="A6106" s="222">
        <f t="shared" si="331"/>
        <v>23</v>
      </c>
      <c r="B6106" s="858">
        <v>44875</v>
      </c>
      <c r="C6106" s="129" t="s">
        <v>329</v>
      </c>
      <c r="D6106" s="11" t="s">
        <v>6</v>
      </c>
      <c r="E6106" s="818" t="s">
        <v>166</v>
      </c>
      <c r="F6106" s="1006" t="s">
        <v>7046</v>
      </c>
      <c r="G6106" s="863" t="s">
        <v>20606</v>
      </c>
      <c r="H6106" s="222" t="s">
        <v>20607</v>
      </c>
      <c r="I6106" s="222" t="s">
        <v>4634</v>
      </c>
      <c r="J6106" s="183" t="s">
        <v>20608</v>
      </c>
      <c r="K6106" s="183" t="s">
        <v>20609</v>
      </c>
      <c r="L6106" s="613" t="s">
        <v>8980</v>
      </c>
      <c r="M6106" s="183">
        <v>10</v>
      </c>
      <c r="N6106" s="183">
        <v>10</v>
      </c>
      <c r="O6106" s="183">
        <v>10</v>
      </c>
      <c r="P6106" s="222">
        <v>0</v>
      </c>
      <c r="Q6106" s="222">
        <v>6</v>
      </c>
      <c r="R6106" s="1195">
        <v>43.5</v>
      </c>
      <c r="S6106" s="1195">
        <f t="shared" si="334"/>
        <v>435</v>
      </c>
      <c r="T6106" s="183" t="s">
        <v>12425</v>
      </c>
      <c r="U6106" s="1527" t="s">
        <v>2079</v>
      </c>
      <c r="V6106" s="1841" t="s">
        <v>11676</v>
      </c>
      <c r="W6106" s="2235" t="s">
        <v>20610</v>
      </c>
      <c r="X6106" s="818"/>
    </row>
    <row r="6107" spans="1:24" ht="15.75" hidden="1" customHeight="1">
      <c r="A6107" s="222">
        <f t="shared" si="331"/>
        <v>24</v>
      </c>
      <c r="B6107" s="858">
        <v>44875</v>
      </c>
      <c r="C6107" s="129" t="s">
        <v>152</v>
      </c>
      <c r="D6107" s="11" t="s">
        <v>6</v>
      </c>
      <c r="E6107" s="818" t="s">
        <v>166</v>
      </c>
      <c r="F6107" s="1006" t="s">
        <v>7046</v>
      </c>
      <c r="G6107" s="863" t="s">
        <v>20611</v>
      </c>
      <c r="H6107" s="222" t="s">
        <v>166</v>
      </c>
      <c r="I6107" s="222" t="s">
        <v>4634</v>
      </c>
      <c r="J6107" s="183" t="s">
        <v>20612</v>
      </c>
      <c r="K6107" s="183" t="s">
        <v>20613</v>
      </c>
      <c r="L6107" s="613" t="s">
        <v>20614</v>
      </c>
      <c r="M6107" s="183">
        <v>20</v>
      </c>
      <c r="N6107" s="183">
        <v>10</v>
      </c>
      <c r="O6107" s="183">
        <v>20</v>
      </c>
      <c r="P6107" s="222">
        <v>0</v>
      </c>
      <c r="Q6107" s="222">
        <v>12</v>
      </c>
      <c r="R6107" s="1195">
        <v>9</v>
      </c>
      <c r="S6107" s="1195">
        <f t="shared" si="334"/>
        <v>180</v>
      </c>
      <c r="T6107" s="183" t="s">
        <v>12425</v>
      </c>
      <c r="U6107" s="1527" t="s">
        <v>2079</v>
      </c>
      <c r="V6107" s="1841" t="s">
        <v>11676</v>
      </c>
      <c r="W6107" s="2235" t="s">
        <v>20615</v>
      </c>
      <c r="X6107" s="818"/>
    </row>
    <row r="6108" spans="1:24" ht="15.75" hidden="1" customHeight="1">
      <c r="A6108" s="222">
        <f t="shared" si="331"/>
        <v>25</v>
      </c>
      <c r="B6108" s="858">
        <v>44875</v>
      </c>
      <c r="C6108" s="129" t="s">
        <v>20616</v>
      </c>
      <c r="D6108" s="11" t="s">
        <v>6</v>
      </c>
      <c r="E6108" s="818" t="s">
        <v>166</v>
      </c>
      <c r="F6108" s="1006" t="s">
        <v>7046</v>
      </c>
      <c r="G6108" s="863" t="s">
        <v>20617</v>
      </c>
      <c r="H6108" s="222" t="s">
        <v>1143</v>
      </c>
      <c r="I6108" s="222" t="s">
        <v>4634</v>
      </c>
      <c r="J6108" s="183" t="s">
        <v>20618</v>
      </c>
      <c r="K6108" s="183" t="s">
        <v>20619</v>
      </c>
      <c r="L6108" s="613" t="s">
        <v>1061</v>
      </c>
      <c r="M6108" s="183">
        <v>5</v>
      </c>
      <c r="N6108" s="183">
        <v>1</v>
      </c>
      <c r="O6108" s="183">
        <v>5</v>
      </c>
      <c r="P6108" s="222">
        <v>0</v>
      </c>
      <c r="Q6108" s="222">
        <v>2</v>
      </c>
      <c r="R6108" s="1195">
        <v>1010.7</v>
      </c>
      <c r="S6108" s="1195">
        <f t="shared" si="334"/>
        <v>5053.5</v>
      </c>
      <c r="T6108" s="183" t="s">
        <v>12425</v>
      </c>
      <c r="U6108" s="1527" t="s">
        <v>1896</v>
      </c>
      <c r="V6108" s="1841" t="s">
        <v>11676</v>
      </c>
      <c r="W6108" s="2235" t="s">
        <v>20620</v>
      </c>
      <c r="X6108" s="818"/>
    </row>
    <row r="6109" spans="1:24" ht="15.75" hidden="1" customHeight="1">
      <c r="A6109" s="222">
        <f t="shared" si="331"/>
        <v>26</v>
      </c>
      <c r="B6109" s="858">
        <v>44875</v>
      </c>
      <c r="C6109" s="129" t="s">
        <v>20621</v>
      </c>
      <c r="D6109" s="11" t="s">
        <v>6</v>
      </c>
      <c r="E6109" s="818" t="s">
        <v>166</v>
      </c>
      <c r="F6109" s="1006" t="s">
        <v>7046</v>
      </c>
      <c r="G6109" s="863" t="s">
        <v>20622</v>
      </c>
      <c r="H6109" s="222" t="s">
        <v>13048</v>
      </c>
      <c r="I6109" s="222" t="s">
        <v>4634</v>
      </c>
      <c r="J6109" s="183" t="s">
        <v>20623</v>
      </c>
      <c r="K6109" s="183" t="s">
        <v>20624</v>
      </c>
      <c r="L6109" s="613" t="s">
        <v>1</v>
      </c>
      <c r="M6109" s="183">
        <v>3</v>
      </c>
      <c r="N6109" s="183">
        <v>1</v>
      </c>
      <c r="O6109" s="183">
        <v>3</v>
      </c>
      <c r="P6109" s="222">
        <v>0</v>
      </c>
      <c r="Q6109" s="222">
        <v>0</v>
      </c>
      <c r="R6109" s="1195">
        <v>2188.1</v>
      </c>
      <c r="S6109" s="1195">
        <f t="shared" si="334"/>
        <v>6564.2999999999993</v>
      </c>
      <c r="T6109" s="183" t="s">
        <v>12425</v>
      </c>
      <c r="U6109" s="1527" t="s">
        <v>20597</v>
      </c>
      <c r="V6109" s="1841" t="s">
        <v>11676</v>
      </c>
      <c r="W6109" s="2235" t="s">
        <v>20625</v>
      </c>
      <c r="X6109" s="818"/>
    </row>
    <row r="6110" spans="1:24" ht="15.75" hidden="1" customHeight="1">
      <c r="A6110" s="222">
        <f t="shared" si="331"/>
        <v>27</v>
      </c>
      <c r="B6110" s="858">
        <v>44875</v>
      </c>
      <c r="C6110" s="129" t="s">
        <v>20621</v>
      </c>
      <c r="D6110" s="11" t="s">
        <v>6</v>
      </c>
      <c r="E6110" s="818" t="s">
        <v>166</v>
      </c>
      <c r="F6110" s="1006" t="s">
        <v>7046</v>
      </c>
      <c r="G6110" s="863" t="s">
        <v>20626</v>
      </c>
      <c r="H6110" s="222" t="s">
        <v>13048</v>
      </c>
      <c r="I6110" s="222" t="s">
        <v>4634</v>
      </c>
      <c r="J6110" s="183" t="s">
        <v>20627</v>
      </c>
      <c r="K6110" s="183" t="s">
        <v>20628</v>
      </c>
      <c r="L6110" s="613" t="s">
        <v>1</v>
      </c>
      <c r="M6110" s="183">
        <v>3</v>
      </c>
      <c r="N6110" s="183">
        <v>1</v>
      </c>
      <c r="O6110" s="183">
        <v>3</v>
      </c>
      <c r="P6110" s="222">
        <v>0</v>
      </c>
      <c r="Q6110" s="222">
        <v>0</v>
      </c>
      <c r="R6110" s="1195">
        <v>3484.4</v>
      </c>
      <c r="S6110" s="1195">
        <f t="shared" si="334"/>
        <v>10453.200000000001</v>
      </c>
      <c r="T6110" s="183" t="s">
        <v>12425</v>
      </c>
      <c r="U6110" s="1527" t="s">
        <v>20597</v>
      </c>
      <c r="V6110" s="1841" t="s">
        <v>11676</v>
      </c>
      <c r="W6110" s="2235" t="s">
        <v>20629</v>
      </c>
      <c r="X6110" s="818"/>
    </row>
    <row r="6111" spans="1:24" ht="15.75" hidden="1" customHeight="1">
      <c r="A6111" s="222">
        <f t="shared" si="331"/>
        <v>28</v>
      </c>
      <c r="B6111" s="858">
        <v>44875</v>
      </c>
      <c r="C6111" s="129" t="s">
        <v>20398</v>
      </c>
      <c r="D6111" s="11" t="s">
        <v>6</v>
      </c>
      <c r="E6111" s="818" t="s">
        <v>166</v>
      </c>
      <c r="F6111" s="1006" t="s">
        <v>7046</v>
      </c>
      <c r="G6111" s="863" t="s">
        <v>20399</v>
      </c>
      <c r="H6111" s="222" t="s">
        <v>1143</v>
      </c>
      <c r="I6111" s="222" t="s">
        <v>4634</v>
      </c>
      <c r="J6111" s="183" t="s">
        <v>20400</v>
      </c>
      <c r="K6111" s="183" t="s">
        <v>20401</v>
      </c>
      <c r="L6111" s="613" t="s">
        <v>1088</v>
      </c>
      <c r="M6111" s="183">
        <v>2</v>
      </c>
      <c r="N6111" s="183">
        <v>10</v>
      </c>
      <c r="O6111" s="222">
        <v>10</v>
      </c>
      <c r="P6111" s="222">
        <v>0</v>
      </c>
      <c r="Q6111" s="222">
        <v>8</v>
      </c>
      <c r="R6111" s="1195">
        <v>211.7</v>
      </c>
      <c r="S6111" s="1195">
        <f t="shared" ref="S6111" si="335">R6111*O6111</f>
        <v>2117</v>
      </c>
      <c r="T6111" s="183" t="s">
        <v>12425</v>
      </c>
      <c r="U6111" s="1893" t="s">
        <v>5794</v>
      </c>
      <c r="V6111" s="1841" t="s">
        <v>11676</v>
      </c>
      <c r="W6111" s="2235" t="s">
        <v>20402</v>
      </c>
      <c r="X6111" s="818"/>
    </row>
    <row r="6112" spans="1:24" ht="15.75" hidden="1" customHeight="1">
      <c r="A6112" s="222">
        <f t="shared" si="331"/>
        <v>29</v>
      </c>
      <c r="B6112" s="858">
        <v>44889</v>
      </c>
      <c r="C6112" s="129" t="s">
        <v>20630</v>
      </c>
      <c r="D6112" s="11" t="s">
        <v>6</v>
      </c>
      <c r="E6112" s="818" t="s">
        <v>14758</v>
      </c>
      <c r="F6112" s="1006" t="s">
        <v>131</v>
      </c>
      <c r="G6112" s="863" t="s">
        <v>20631</v>
      </c>
      <c r="H6112" s="222" t="s">
        <v>20632</v>
      </c>
      <c r="I6112" s="222" t="s">
        <v>20633</v>
      </c>
      <c r="J6112" s="183" t="s">
        <v>20634</v>
      </c>
      <c r="K6112" s="183" t="s">
        <v>20635</v>
      </c>
      <c r="L6112" s="613"/>
      <c r="M6112" s="183">
        <v>1</v>
      </c>
      <c r="N6112" s="183">
        <v>1</v>
      </c>
      <c r="O6112" s="222">
        <v>1</v>
      </c>
      <c r="P6112" s="222">
        <v>0</v>
      </c>
      <c r="Q6112" s="222">
        <v>1</v>
      </c>
      <c r="R6112" s="1195">
        <v>280000</v>
      </c>
      <c r="S6112" s="1195">
        <v>280000</v>
      </c>
      <c r="T6112" s="183" t="s">
        <v>118</v>
      </c>
      <c r="U6112" s="1893" t="s">
        <v>118</v>
      </c>
      <c r="V6112" s="183" t="s">
        <v>3134</v>
      </c>
      <c r="W6112" s="2285" t="s">
        <v>20636</v>
      </c>
      <c r="X6112" s="818"/>
    </row>
    <row r="6113" spans="1:24" ht="15.75" hidden="1" customHeight="1">
      <c r="A6113" s="222">
        <f t="shared" si="331"/>
        <v>30</v>
      </c>
      <c r="B6113" s="858">
        <v>44902</v>
      </c>
      <c r="C6113" s="129" t="s">
        <v>20637</v>
      </c>
      <c r="D6113" s="10"/>
      <c r="E6113" s="818" t="s">
        <v>14758</v>
      </c>
      <c r="F6113" s="1006" t="s">
        <v>131</v>
      </c>
      <c r="G6113" s="863" t="s">
        <v>20638</v>
      </c>
      <c r="H6113" s="222" t="s">
        <v>1005</v>
      </c>
      <c r="I6113" s="222" t="s">
        <v>20639</v>
      </c>
      <c r="J6113" s="183" t="s">
        <v>20640</v>
      </c>
      <c r="K6113" s="183" t="s">
        <v>20641</v>
      </c>
      <c r="L6113" s="613"/>
      <c r="M6113" s="183">
        <v>1</v>
      </c>
      <c r="N6113" s="183">
        <v>1</v>
      </c>
      <c r="O6113" s="222">
        <v>1</v>
      </c>
      <c r="P6113" s="222">
        <v>0</v>
      </c>
      <c r="Q6113" s="222">
        <v>1</v>
      </c>
      <c r="R6113" s="1195">
        <v>47703</v>
      </c>
      <c r="S6113" s="1195">
        <v>47703</v>
      </c>
      <c r="T6113" s="222" t="s">
        <v>118</v>
      </c>
      <c r="U6113" s="1527" t="s">
        <v>118</v>
      </c>
      <c r="V6113" s="222" t="s">
        <v>3134</v>
      </c>
      <c r="W6113" s="2235" t="s">
        <v>20642</v>
      </c>
      <c r="X6113" s="818"/>
    </row>
    <row r="6114" spans="1:24" ht="15.75" hidden="1" customHeight="1">
      <c r="A6114" s="222"/>
      <c r="B6114" s="858"/>
      <c r="C6114" s="129"/>
      <c r="D6114" s="22"/>
      <c r="E6114" s="818"/>
      <c r="F6114" s="1006"/>
      <c r="G6114" s="863"/>
      <c r="H6114" s="222"/>
      <c r="I6114" s="222"/>
      <c r="J6114" s="183"/>
      <c r="K6114" s="183"/>
      <c r="L6114" s="613"/>
      <c r="M6114" s="183"/>
      <c r="N6114" s="183"/>
      <c r="O6114" s="222"/>
      <c r="P6114" s="222"/>
      <c r="Q6114" s="222"/>
      <c r="R6114" s="1195"/>
      <c r="S6114" s="1195"/>
      <c r="T6114" s="1195"/>
      <c r="U6114" s="1527"/>
      <c r="W6114" s="2235"/>
      <c r="X6114" s="818"/>
    </row>
    <row r="6115" spans="1:24" ht="15.75" hidden="1" customHeight="1">
      <c r="A6115" s="222"/>
      <c r="B6115" s="858"/>
      <c r="C6115" s="129"/>
      <c r="D6115" s="22"/>
      <c r="E6115" s="818"/>
      <c r="F6115" s="1006"/>
      <c r="G6115" s="863"/>
      <c r="H6115" s="222"/>
      <c r="I6115" s="222"/>
      <c r="J6115" s="183"/>
      <c r="K6115" s="183"/>
      <c r="L6115" s="613"/>
      <c r="M6115" s="183"/>
      <c r="N6115" s="183"/>
      <c r="O6115" s="222"/>
      <c r="P6115" s="222"/>
      <c r="Q6115" s="222"/>
      <c r="R6115" s="1195"/>
      <c r="S6115" s="1195"/>
      <c r="T6115" s="222"/>
      <c r="U6115" s="1527"/>
      <c r="W6115" s="811"/>
      <c r="X6115" s="818"/>
    </row>
    <row r="6116" spans="1:24" ht="15.75" hidden="1" customHeight="1">
      <c r="A6116" s="222"/>
      <c r="B6116" s="858"/>
      <c r="C6116" s="129"/>
      <c r="D6116" s="22"/>
      <c r="E6116" s="818"/>
      <c r="F6116" s="1006"/>
      <c r="G6116" s="863"/>
      <c r="H6116" s="222"/>
      <c r="I6116" s="222"/>
      <c r="J6116" s="183"/>
      <c r="K6116" s="183"/>
      <c r="L6116" s="613"/>
      <c r="M6116" s="183"/>
      <c r="N6116" s="183"/>
      <c r="O6116" s="222"/>
      <c r="P6116" s="222"/>
      <c r="Q6116" s="222"/>
      <c r="R6116" s="1195"/>
      <c r="S6116" s="1195"/>
      <c r="T6116" s="222"/>
      <c r="U6116" s="1527"/>
      <c r="W6116" s="2233"/>
      <c r="X6116" s="818"/>
    </row>
    <row r="6117" spans="1:24" ht="15.75" hidden="1" customHeight="1">
      <c r="A6117" s="222">
        <f t="shared" si="331"/>
        <v>1</v>
      </c>
      <c r="B6117" s="858"/>
      <c r="C6117" s="129"/>
      <c r="D6117" s="22"/>
      <c r="E6117" s="818"/>
      <c r="F6117" s="1006"/>
      <c r="G6117" s="863"/>
      <c r="H6117" s="222"/>
      <c r="I6117" s="222"/>
      <c r="J6117" s="183"/>
      <c r="K6117" s="183"/>
      <c r="L6117" s="613"/>
      <c r="M6117" s="183"/>
      <c r="N6117" s="183"/>
      <c r="O6117" s="222"/>
      <c r="P6117" s="222"/>
      <c r="Q6117" s="222"/>
      <c r="R6117" s="1195"/>
      <c r="S6117" s="1195"/>
      <c r="T6117" s="222"/>
      <c r="U6117" s="1527"/>
      <c r="W6117" s="2233"/>
      <c r="X6117" s="818"/>
    </row>
    <row r="6118" spans="1:24" ht="15.75" hidden="1" customHeight="1">
      <c r="A6118" s="222">
        <f t="shared" ref="A6118:A6126" si="336">+A6117+1</f>
        <v>2</v>
      </c>
      <c r="B6118" s="858"/>
      <c r="C6118" s="129"/>
      <c r="D6118" s="22"/>
      <c r="E6118" s="818"/>
      <c r="F6118" s="1006"/>
      <c r="G6118" s="863"/>
      <c r="H6118" s="222"/>
      <c r="I6118" s="222"/>
      <c r="J6118" s="183"/>
      <c r="K6118" s="183"/>
      <c r="L6118" s="613"/>
      <c r="M6118" s="183"/>
      <c r="N6118" s="183"/>
      <c r="O6118" s="222"/>
      <c r="P6118" s="222"/>
      <c r="Q6118" s="222"/>
      <c r="R6118" s="1195"/>
      <c r="S6118" s="1195"/>
      <c r="T6118" s="222"/>
      <c r="U6118" s="1527"/>
      <c r="W6118" s="2233"/>
      <c r="X6118" s="818"/>
    </row>
    <row r="6119" spans="1:24" ht="15.75" hidden="1" customHeight="1">
      <c r="A6119" s="222">
        <f t="shared" si="336"/>
        <v>3</v>
      </c>
      <c r="B6119" s="858"/>
      <c r="C6119" s="129"/>
      <c r="D6119" s="22"/>
      <c r="E6119" s="818"/>
      <c r="F6119" s="1006"/>
      <c r="G6119" s="863"/>
      <c r="H6119" s="222"/>
      <c r="I6119" s="222"/>
      <c r="J6119" s="183"/>
      <c r="K6119" s="183"/>
      <c r="L6119" s="613"/>
      <c r="M6119" s="183"/>
      <c r="N6119" s="183"/>
      <c r="O6119" s="222"/>
      <c r="P6119" s="222"/>
      <c r="Q6119" s="222"/>
      <c r="R6119" s="1195"/>
      <c r="S6119" s="1195"/>
      <c r="T6119" s="222"/>
      <c r="U6119" s="1527"/>
      <c r="W6119" s="2233"/>
      <c r="X6119" s="818"/>
    </row>
    <row r="6120" spans="1:24" ht="15.75" hidden="1" customHeight="1">
      <c r="A6120" s="222">
        <f t="shared" si="336"/>
        <v>4</v>
      </c>
      <c r="B6120" s="858"/>
      <c r="C6120" s="129"/>
      <c r="D6120" s="22"/>
      <c r="E6120" s="818"/>
      <c r="F6120" s="1006"/>
      <c r="G6120" s="863"/>
      <c r="H6120" s="222"/>
      <c r="I6120" s="222"/>
      <c r="J6120" s="183"/>
      <c r="K6120" s="183"/>
      <c r="L6120" s="613"/>
      <c r="M6120" s="183"/>
      <c r="N6120" s="183"/>
      <c r="O6120" s="222"/>
      <c r="P6120" s="222"/>
      <c r="Q6120" s="222"/>
      <c r="R6120" s="1195"/>
      <c r="S6120" s="1195"/>
      <c r="T6120" s="222"/>
      <c r="U6120" s="1527"/>
      <c r="W6120" s="2233"/>
      <c r="X6120" s="818"/>
    </row>
    <row r="6121" spans="1:24" ht="15.75" hidden="1" customHeight="1">
      <c r="A6121" s="222">
        <f t="shared" si="336"/>
        <v>5</v>
      </c>
      <c r="B6121" s="858"/>
      <c r="C6121" s="129"/>
      <c r="D6121" s="22"/>
      <c r="E6121" s="818"/>
      <c r="F6121" s="1006"/>
      <c r="G6121" s="863"/>
      <c r="H6121" s="222"/>
      <c r="I6121" s="222"/>
      <c r="J6121" s="183"/>
      <c r="K6121" s="183"/>
      <c r="L6121" s="613"/>
      <c r="M6121" s="183"/>
      <c r="N6121" s="183"/>
      <c r="O6121" s="222"/>
      <c r="P6121" s="222"/>
      <c r="Q6121" s="222"/>
      <c r="R6121" s="1195"/>
      <c r="S6121" s="1195"/>
      <c r="T6121" s="222"/>
      <c r="U6121" s="1527"/>
      <c r="W6121" s="2233"/>
      <c r="X6121" s="818"/>
    </row>
    <row r="6122" spans="1:24" ht="15.75" hidden="1" customHeight="1">
      <c r="A6122" s="222">
        <f t="shared" si="336"/>
        <v>6</v>
      </c>
      <c r="B6122" s="858"/>
      <c r="C6122" s="129"/>
      <c r="D6122" s="22"/>
      <c r="E6122" s="818"/>
      <c r="F6122" s="1006"/>
      <c r="G6122" s="863"/>
      <c r="H6122" s="222"/>
      <c r="I6122" s="222"/>
      <c r="J6122" s="183"/>
      <c r="K6122" s="183"/>
      <c r="L6122" s="613"/>
      <c r="M6122" s="183"/>
      <c r="N6122" s="183"/>
      <c r="O6122" s="222"/>
      <c r="P6122" s="222"/>
      <c r="Q6122" s="222"/>
      <c r="R6122" s="1195"/>
      <c r="S6122" s="1195"/>
      <c r="T6122" s="222"/>
      <c r="U6122" s="1527"/>
      <c r="W6122" s="2233"/>
      <c r="X6122" s="818"/>
    </row>
    <row r="6123" spans="1:24" ht="15.75" hidden="1" customHeight="1">
      <c r="A6123" s="222">
        <f t="shared" si="336"/>
        <v>7</v>
      </c>
      <c r="B6123" s="858"/>
      <c r="C6123" s="129"/>
      <c r="D6123" s="22"/>
      <c r="E6123" s="818"/>
      <c r="F6123" s="1006"/>
      <c r="G6123" s="863"/>
      <c r="H6123" s="222"/>
      <c r="I6123" s="222"/>
      <c r="J6123" s="183"/>
      <c r="K6123" s="183"/>
      <c r="L6123" s="613"/>
      <c r="M6123" s="183"/>
      <c r="N6123" s="183"/>
      <c r="O6123" s="222"/>
      <c r="P6123" s="222"/>
      <c r="Q6123" s="222"/>
      <c r="R6123" s="1195"/>
      <c r="S6123" s="1195"/>
      <c r="T6123" s="222"/>
      <c r="U6123" s="1527"/>
      <c r="W6123" s="2233"/>
      <c r="X6123" s="818"/>
    </row>
    <row r="6124" spans="1:24" ht="15.75" hidden="1" customHeight="1">
      <c r="A6124" s="222">
        <f t="shared" si="336"/>
        <v>8</v>
      </c>
      <c r="B6124" s="858"/>
      <c r="C6124" s="129"/>
      <c r="D6124" s="22"/>
      <c r="E6124" s="818"/>
      <c r="F6124" s="1006"/>
      <c r="G6124" s="863"/>
      <c r="H6124" s="222"/>
      <c r="I6124" s="222"/>
      <c r="J6124" s="183"/>
      <c r="K6124" s="183"/>
      <c r="L6124" s="613"/>
      <c r="M6124" s="183"/>
      <c r="N6124" s="183"/>
      <c r="O6124" s="222"/>
      <c r="P6124" s="222"/>
      <c r="Q6124" s="222"/>
      <c r="R6124" s="1195"/>
      <c r="S6124" s="1195"/>
      <c r="T6124" s="222"/>
      <c r="U6124" s="1527"/>
      <c r="W6124" s="2233"/>
      <c r="X6124" s="818"/>
    </row>
    <row r="6125" spans="1:24" ht="15.75" hidden="1" customHeight="1">
      <c r="A6125" s="222">
        <f t="shared" si="336"/>
        <v>9</v>
      </c>
      <c r="B6125" s="858"/>
      <c r="C6125" s="129"/>
      <c r="D6125" s="22"/>
      <c r="E6125" s="818"/>
      <c r="F6125" s="1006"/>
      <c r="G6125" s="863"/>
      <c r="H6125" s="222"/>
      <c r="I6125" s="222"/>
      <c r="J6125" s="183"/>
      <c r="K6125" s="183"/>
      <c r="L6125" s="613"/>
      <c r="M6125" s="183"/>
      <c r="N6125" s="183"/>
      <c r="O6125" s="222"/>
      <c r="P6125" s="222"/>
      <c r="Q6125" s="222"/>
      <c r="R6125" s="1195"/>
      <c r="S6125" s="1195"/>
      <c r="T6125" s="222"/>
      <c r="U6125" s="1527"/>
      <c r="W6125" s="2233"/>
      <c r="X6125" s="818"/>
    </row>
    <row r="6126" spans="1:24" ht="15.75" hidden="1" customHeight="1">
      <c r="A6126" s="222">
        <f t="shared" si="336"/>
        <v>10</v>
      </c>
      <c r="B6126" s="858">
        <v>44879</v>
      </c>
      <c r="C6126" s="129" t="s">
        <v>20643</v>
      </c>
      <c r="D6126" s="8" t="s">
        <v>6</v>
      </c>
      <c r="E6126" s="818" t="s">
        <v>62</v>
      </c>
      <c r="F6126" s="1006" t="s">
        <v>11323</v>
      </c>
      <c r="G6126" s="863" t="s">
        <v>20644</v>
      </c>
      <c r="H6126" s="222" t="s">
        <v>20645</v>
      </c>
      <c r="I6126" s="222" t="s">
        <v>10330</v>
      </c>
      <c r="J6126" s="183" t="s">
        <v>6660</v>
      </c>
      <c r="K6126" s="183" t="s">
        <v>6660</v>
      </c>
      <c r="L6126" s="613"/>
      <c r="M6126" s="183" t="s">
        <v>1</v>
      </c>
      <c r="N6126" s="183">
        <v>100</v>
      </c>
      <c r="O6126" s="222">
        <v>100</v>
      </c>
      <c r="P6126" s="222">
        <v>50</v>
      </c>
      <c r="Q6126" s="222">
        <v>150</v>
      </c>
      <c r="R6126" s="1195"/>
      <c r="S6126" s="1195">
        <v>52800</v>
      </c>
      <c r="T6126" s="222" t="s">
        <v>20646</v>
      </c>
      <c r="U6126" s="1527" t="s">
        <v>20647</v>
      </c>
      <c r="V6126" s="222" t="s">
        <v>104</v>
      </c>
      <c r="W6126" s="2233"/>
      <c r="X6126" s="818"/>
    </row>
    <row r="6127" spans="1:24" ht="15.75" hidden="1" customHeight="1">
      <c r="A6127" s="222">
        <f>+A6126+1</f>
        <v>11</v>
      </c>
      <c r="B6127" s="858">
        <v>44881</v>
      </c>
      <c r="C6127" s="129" t="s">
        <v>4832</v>
      </c>
      <c r="D6127" s="11" t="s">
        <v>6</v>
      </c>
      <c r="E6127" s="222" t="s">
        <v>20567</v>
      </c>
      <c r="F6127" s="1006" t="s">
        <v>19325</v>
      </c>
      <c r="G6127" s="863" t="s">
        <v>20648</v>
      </c>
      <c r="H6127" s="222" t="s">
        <v>10833</v>
      </c>
      <c r="I6127" s="222" t="s">
        <v>1063</v>
      </c>
      <c r="J6127" s="183" t="s">
        <v>20649</v>
      </c>
      <c r="K6127" s="183" t="s">
        <v>9978</v>
      </c>
      <c r="L6127" s="613"/>
      <c r="M6127" s="183">
        <v>5</v>
      </c>
      <c r="N6127" s="183">
        <v>1</v>
      </c>
      <c r="O6127" s="222">
        <v>5</v>
      </c>
      <c r="P6127" s="222">
        <v>0</v>
      </c>
      <c r="Q6127" s="222">
        <v>5</v>
      </c>
      <c r="R6127" s="1195">
        <v>182</v>
      </c>
      <c r="S6127" s="1195">
        <v>909</v>
      </c>
      <c r="T6127" s="222" t="s">
        <v>18479</v>
      </c>
      <c r="U6127" s="1527" t="s">
        <v>2703</v>
      </c>
      <c r="V6127" s="222" t="s">
        <v>104</v>
      </c>
      <c r="W6127" s="2235" t="s">
        <v>9981</v>
      </c>
      <c r="X6127" s="818"/>
    </row>
    <row r="6128" spans="1:24" ht="15.75" hidden="1" customHeight="1">
      <c r="A6128" s="222">
        <f>+A6127+1</f>
        <v>12</v>
      </c>
      <c r="B6128" s="858">
        <v>44881</v>
      </c>
      <c r="C6128" s="129" t="s">
        <v>20650</v>
      </c>
      <c r="D6128" s="11" t="s">
        <v>6</v>
      </c>
      <c r="E6128" s="222" t="s">
        <v>20567</v>
      </c>
      <c r="F6128" s="1006" t="s">
        <v>19325</v>
      </c>
      <c r="G6128" s="863" t="s">
        <v>20651</v>
      </c>
      <c r="H6128" s="222" t="s">
        <v>1063</v>
      </c>
      <c r="I6128" s="222" t="s">
        <v>1063</v>
      </c>
      <c r="J6128" s="183" t="s">
        <v>20652</v>
      </c>
      <c r="K6128" s="183" t="s">
        <v>20653</v>
      </c>
      <c r="L6128" s="613"/>
      <c r="M6128" s="183">
        <v>4</v>
      </c>
      <c r="N6128" s="183">
        <v>1</v>
      </c>
      <c r="O6128" s="222">
        <v>4</v>
      </c>
      <c r="P6128" s="222">
        <v>0</v>
      </c>
      <c r="Q6128" s="222">
        <v>4</v>
      </c>
      <c r="R6128" s="1195">
        <v>136</v>
      </c>
      <c r="S6128" s="1195">
        <v>545</v>
      </c>
      <c r="T6128" s="222" t="s">
        <v>18479</v>
      </c>
      <c r="U6128" s="1527" t="s">
        <v>2703</v>
      </c>
      <c r="V6128" s="222" t="s">
        <v>104</v>
      </c>
      <c r="W6128" s="2235" t="s">
        <v>20654</v>
      </c>
      <c r="X6128" s="818"/>
    </row>
    <row r="6129" spans="1:25" ht="15.75" hidden="1" customHeight="1">
      <c r="A6129" s="222">
        <f>+A6128+1</f>
        <v>13</v>
      </c>
      <c r="B6129" s="858">
        <v>44881</v>
      </c>
      <c r="C6129" s="129" t="s">
        <v>20655</v>
      </c>
      <c r="D6129" s="11" t="s">
        <v>6</v>
      </c>
      <c r="E6129" s="222" t="s">
        <v>20567</v>
      </c>
      <c r="F6129" s="1006" t="s">
        <v>19325</v>
      </c>
      <c r="G6129" s="863" t="s">
        <v>20656</v>
      </c>
      <c r="H6129" s="222" t="s">
        <v>220</v>
      </c>
      <c r="I6129" s="222" t="s">
        <v>39</v>
      </c>
      <c r="J6129" s="183" t="s">
        <v>942</v>
      </c>
      <c r="K6129" s="183" t="s">
        <v>941</v>
      </c>
      <c r="L6129" s="613"/>
      <c r="M6129" s="183">
        <v>50</v>
      </c>
      <c r="N6129" s="183">
        <v>10</v>
      </c>
      <c r="O6129" s="222">
        <v>100</v>
      </c>
      <c r="P6129" s="222">
        <v>0</v>
      </c>
      <c r="Q6129" s="222">
        <v>100</v>
      </c>
      <c r="R6129" s="1195">
        <v>47</v>
      </c>
      <c r="S6129" s="1195">
        <v>4700</v>
      </c>
      <c r="T6129" s="222" t="s">
        <v>18479</v>
      </c>
      <c r="U6129" s="1527" t="s">
        <v>2703</v>
      </c>
      <c r="V6129" s="222" t="s">
        <v>104</v>
      </c>
      <c r="W6129" s="2235" t="s">
        <v>20657</v>
      </c>
      <c r="X6129" s="818"/>
    </row>
    <row r="6130" spans="1:25" ht="15.75" hidden="1" customHeight="1">
      <c r="A6130" s="222">
        <f t="shared" ref="A6130:A6192" si="337">+A6129+1</f>
        <v>14</v>
      </c>
      <c r="B6130" s="858">
        <v>44880</v>
      </c>
      <c r="C6130" s="129" t="s">
        <v>20658</v>
      </c>
      <c r="D6130" s="11" t="s">
        <v>6</v>
      </c>
      <c r="E6130" s="818" t="s">
        <v>166</v>
      </c>
      <c r="F6130" s="1006" t="s">
        <v>18666</v>
      </c>
      <c r="G6130" s="2284" t="s">
        <v>11172</v>
      </c>
      <c r="H6130" s="222" t="s">
        <v>366</v>
      </c>
      <c r="I6130" s="222" t="s">
        <v>366</v>
      </c>
      <c r="J6130" s="183" t="s">
        <v>5537</v>
      </c>
      <c r="K6130" s="183" t="s">
        <v>5537</v>
      </c>
      <c r="L6130" s="613"/>
      <c r="M6130" s="183">
        <v>8</v>
      </c>
      <c r="N6130" s="183">
        <v>1</v>
      </c>
      <c r="O6130" s="222">
        <v>10</v>
      </c>
      <c r="P6130" s="222">
        <v>0</v>
      </c>
      <c r="Q6130" s="222">
        <v>2</v>
      </c>
      <c r="R6130" s="1195">
        <v>230</v>
      </c>
      <c r="S6130" s="1195">
        <f>R6130*O6130</f>
        <v>2300</v>
      </c>
      <c r="T6130" s="222" t="s">
        <v>18479</v>
      </c>
      <c r="U6130" s="1527" t="s">
        <v>301</v>
      </c>
      <c r="V6130" s="222" t="s">
        <v>104</v>
      </c>
      <c r="W6130" s="811" t="s">
        <v>20659</v>
      </c>
      <c r="X6130" s="818"/>
    </row>
    <row r="6131" spans="1:25" ht="15.75" hidden="1" customHeight="1">
      <c r="A6131" s="222">
        <f t="shared" si="337"/>
        <v>15</v>
      </c>
      <c r="B6131" s="858">
        <v>44880</v>
      </c>
      <c r="C6131" s="129" t="s">
        <v>20660</v>
      </c>
      <c r="D6131" s="11" t="s">
        <v>6</v>
      </c>
      <c r="E6131" s="818" t="s">
        <v>166</v>
      </c>
      <c r="F6131" s="1006" t="s">
        <v>18666</v>
      </c>
      <c r="G6131" s="863" t="s">
        <v>11172</v>
      </c>
      <c r="H6131" s="222" t="s">
        <v>366</v>
      </c>
      <c r="I6131" s="222" t="s">
        <v>366</v>
      </c>
      <c r="J6131" s="129" t="s">
        <v>20661</v>
      </c>
      <c r="K6131" s="1193" t="s">
        <v>20661</v>
      </c>
      <c r="L6131" s="613"/>
      <c r="M6131" s="183">
        <v>16</v>
      </c>
      <c r="N6131" s="183">
        <v>1</v>
      </c>
      <c r="O6131" s="222">
        <v>20</v>
      </c>
      <c r="P6131" s="222">
        <v>0</v>
      </c>
      <c r="Q6131" s="222">
        <v>4</v>
      </c>
      <c r="R6131" s="1195">
        <v>180</v>
      </c>
      <c r="S6131" s="1195">
        <f>R6131*O6131</f>
        <v>3600</v>
      </c>
      <c r="T6131" s="222" t="s">
        <v>18479</v>
      </c>
      <c r="U6131" s="1527" t="s">
        <v>301</v>
      </c>
      <c r="V6131" s="222" t="s">
        <v>104</v>
      </c>
      <c r="W6131" s="811" t="s">
        <v>20662</v>
      </c>
      <c r="X6131" s="818"/>
    </row>
    <row r="6132" spans="1:25" ht="15.75" hidden="1" customHeight="1">
      <c r="A6132" s="222">
        <f t="shared" si="337"/>
        <v>16</v>
      </c>
      <c r="B6132" s="858">
        <v>44880</v>
      </c>
      <c r="C6132" s="129" t="s">
        <v>20663</v>
      </c>
      <c r="D6132" s="11" t="s">
        <v>6</v>
      </c>
      <c r="E6132" s="818" t="s">
        <v>166</v>
      </c>
      <c r="F6132" s="1006" t="s">
        <v>18666</v>
      </c>
      <c r="G6132" s="863" t="s">
        <v>20664</v>
      </c>
      <c r="H6132" s="222" t="s">
        <v>366</v>
      </c>
      <c r="I6132" s="222" t="s">
        <v>366</v>
      </c>
      <c r="J6132" s="506" t="s">
        <v>4132</v>
      </c>
      <c r="K6132" s="506" t="s">
        <v>4132</v>
      </c>
      <c r="L6132" s="613"/>
      <c r="M6132" s="183">
        <v>16</v>
      </c>
      <c r="N6132" s="183">
        <v>1</v>
      </c>
      <c r="O6132" s="222">
        <v>20</v>
      </c>
      <c r="P6132" s="222">
        <v>0</v>
      </c>
      <c r="Q6132" s="222">
        <v>4</v>
      </c>
      <c r="R6132" s="1195">
        <v>76</v>
      </c>
      <c r="S6132" s="1195">
        <f>R6132*O6132</f>
        <v>1520</v>
      </c>
      <c r="T6132" s="222" t="s">
        <v>18479</v>
      </c>
      <c r="U6132" s="1527" t="s">
        <v>301</v>
      </c>
      <c r="V6132" s="222" t="s">
        <v>104</v>
      </c>
      <c r="W6132" s="811" t="s">
        <v>16860</v>
      </c>
      <c r="X6132" s="818"/>
    </row>
    <row r="6133" spans="1:25" ht="15.75" hidden="1" customHeight="1">
      <c r="A6133" s="222">
        <f t="shared" si="337"/>
        <v>17</v>
      </c>
      <c r="B6133" s="858">
        <v>44881</v>
      </c>
      <c r="C6133" s="129" t="s">
        <v>20665</v>
      </c>
      <c r="D6133" s="11" t="s">
        <v>6</v>
      </c>
      <c r="E6133" s="222" t="s">
        <v>20567</v>
      </c>
      <c r="F6133" s="1006" t="s">
        <v>19325</v>
      </c>
      <c r="G6133" s="863" t="s">
        <v>20666</v>
      </c>
      <c r="H6133" s="222" t="s">
        <v>460</v>
      </c>
      <c r="I6133" s="222" t="s">
        <v>20667</v>
      </c>
      <c r="J6133" s="183" t="s">
        <v>6495</v>
      </c>
      <c r="K6133" s="183" t="s">
        <v>20668</v>
      </c>
      <c r="L6133" s="1092" t="s">
        <v>1907</v>
      </c>
      <c r="M6133" s="183">
        <v>10</v>
      </c>
      <c r="N6133" s="183">
        <v>10</v>
      </c>
      <c r="O6133" s="222">
        <v>20</v>
      </c>
      <c r="P6133" s="222">
        <v>0</v>
      </c>
      <c r="Q6133" s="222">
        <v>20</v>
      </c>
      <c r="R6133" s="1195">
        <v>44</v>
      </c>
      <c r="S6133" s="1195">
        <f>R6133*Q6133</f>
        <v>880</v>
      </c>
      <c r="T6133" s="222" t="s">
        <v>311</v>
      </c>
      <c r="U6133" s="1527"/>
      <c r="V6133" s="222" t="s">
        <v>104</v>
      </c>
      <c r="W6133" s="2235" t="s">
        <v>20669</v>
      </c>
      <c r="X6133" s="818"/>
    </row>
    <row r="6134" spans="1:25" ht="15.75" hidden="1" customHeight="1">
      <c r="A6134" s="222">
        <f t="shared" si="337"/>
        <v>18</v>
      </c>
      <c r="B6134" s="858">
        <v>44881</v>
      </c>
      <c r="C6134" s="129" t="s">
        <v>20670</v>
      </c>
      <c r="D6134" s="11" t="s">
        <v>6</v>
      </c>
      <c r="E6134" s="222" t="s">
        <v>20567</v>
      </c>
      <c r="F6134" s="1006" t="s">
        <v>19325</v>
      </c>
      <c r="G6134" s="863" t="s">
        <v>6491</v>
      </c>
      <c r="H6134" s="222" t="s">
        <v>460</v>
      </c>
      <c r="I6134" s="222" t="s">
        <v>4634</v>
      </c>
      <c r="J6134" s="183" t="s">
        <v>6491</v>
      </c>
      <c r="K6134" s="183" t="s">
        <v>19823</v>
      </c>
      <c r="L6134" s="613" t="s">
        <v>14126</v>
      </c>
      <c r="M6134" s="183">
        <v>10</v>
      </c>
      <c r="N6134" s="183">
        <v>1</v>
      </c>
      <c r="O6134" s="222">
        <v>20</v>
      </c>
      <c r="P6134" s="222">
        <v>0</v>
      </c>
      <c r="Q6134" s="222">
        <v>20</v>
      </c>
      <c r="R6134" s="1195">
        <v>116</v>
      </c>
      <c r="S6134" s="1195">
        <f t="shared" ref="S6134:S6135" si="338">R6134*Q6134</f>
        <v>2320</v>
      </c>
      <c r="T6134" s="222" t="s">
        <v>311</v>
      </c>
      <c r="U6134" s="1527"/>
      <c r="V6134" s="222" t="s">
        <v>104</v>
      </c>
      <c r="W6134" s="2235" t="s">
        <v>20330</v>
      </c>
      <c r="X6134" s="818"/>
    </row>
    <row r="6135" spans="1:25" ht="15.75" hidden="1" customHeight="1">
      <c r="A6135" s="222">
        <f t="shared" si="337"/>
        <v>19</v>
      </c>
      <c r="B6135" s="858">
        <v>44881</v>
      </c>
      <c r="C6135" s="129" t="s">
        <v>20671</v>
      </c>
      <c r="D6135" s="11" t="s">
        <v>6</v>
      </c>
      <c r="E6135" s="222" t="s">
        <v>20567</v>
      </c>
      <c r="F6135" s="1006" t="s">
        <v>19325</v>
      </c>
      <c r="G6135" s="863" t="s">
        <v>586</v>
      </c>
      <c r="H6135" s="222" t="s">
        <v>154</v>
      </c>
      <c r="I6135" s="222" t="s">
        <v>4634</v>
      </c>
      <c r="J6135" s="183" t="s">
        <v>586</v>
      </c>
      <c r="K6135" s="183" t="s">
        <v>15732</v>
      </c>
      <c r="L6135" s="613" t="s">
        <v>6496</v>
      </c>
      <c r="M6135" s="183">
        <v>10</v>
      </c>
      <c r="N6135" s="183">
        <v>1</v>
      </c>
      <c r="O6135" s="222">
        <v>20</v>
      </c>
      <c r="P6135" s="222">
        <v>0</v>
      </c>
      <c r="Q6135" s="222">
        <v>20</v>
      </c>
      <c r="R6135" s="1195">
        <v>64</v>
      </c>
      <c r="S6135" s="1195">
        <f t="shared" si="338"/>
        <v>1280</v>
      </c>
      <c r="T6135" s="222" t="s">
        <v>311</v>
      </c>
      <c r="U6135" s="1527"/>
      <c r="V6135" s="222" t="s">
        <v>104</v>
      </c>
      <c r="W6135" s="2235" t="s">
        <v>15733</v>
      </c>
      <c r="X6135" s="818"/>
    </row>
    <row r="6136" spans="1:25" ht="15.75" hidden="1" customHeight="1">
      <c r="A6136" s="222">
        <f t="shared" si="337"/>
        <v>20</v>
      </c>
      <c r="B6136" s="858">
        <v>44881</v>
      </c>
      <c r="C6136" s="129" t="s">
        <v>20672</v>
      </c>
      <c r="D6136" s="11" t="s">
        <v>6</v>
      </c>
      <c r="E6136" s="222" t="s">
        <v>20567</v>
      </c>
      <c r="F6136" s="1006" t="s">
        <v>19325</v>
      </c>
      <c r="G6136" s="863" t="s">
        <v>20673</v>
      </c>
      <c r="H6136" s="222" t="s">
        <v>166</v>
      </c>
      <c r="I6136" s="222" t="s">
        <v>39</v>
      </c>
      <c r="J6136" s="183" t="s">
        <v>1080</v>
      </c>
      <c r="K6136" s="183" t="s">
        <v>14430</v>
      </c>
      <c r="L6136" s="613"/>
      <c r="M6136" s="183">
        <v>10</v>
      </c>
      <c r="N6136" s="183">
        <v>1</v>
      </c>
      <c r="O6136" s="222">
        <v>13</v>
      </c>
      <c r="P6136" s="222">
        <v>0</v>
      </c>
      <c r="Q6136" s="222">
        <v>13</v>
      </c>
      <c r="R6136" s="1195">
        <v>1066</v>
      </c>
      <c r="S6136" s="1195">
        <f>R6136*Q6136</f>
        <v>13858</v>
      </c>
      <c r="T6136" s="222" t="s">
        <v>311</v>
      </c>
      <c r="U6136" s="1527"/>
      <c r="V6136" s="222" t="s">
        <v>104</v>
      </c>
      <c r="W6136" s="2235" t="s">
        <v>20674</v>
      </c>
      <c r="X6136" s="818"/>
    </row>
    <row r="6137" spans="1:25" ht="15.75" hidden="1" customHeight="1">
      <c r="A6137" s="222">
        <f t="shared" si="337"/>
        <v>21</v>
      </c>
      <c r="B6137" s="858">
        <v>44881</v>
      </c>
      <c r="C6137" s="129" t="s">
        <v>20675</v>
      </c>
      <c r="D6137" s="11" t="s">
        <v>6</v>
      </c>
      <c r="E6137" s="222" t="s">
        <v>20567</v>
      </c>
      <c r="F6137" s="1006" t="s">
        <v>19325</v>
      </c>
      <c r="G6137" s="863" t="s">
        <v>20676</v>
      </c>
      <c r="H6137" s="222" t="s">
        <v>1063</v>
      </c>
      <c r="I6137" s="222" t="s">
        <v>1063</v>
      </c>
      <c r="J6137" s="183" t="s">
        <v>9773</v>
      </c>
      <c r="K6137" s="183" t="s">
        <v>9772</v>
      </c>
      <c r="L6137" s="613"/>
      <c r="M6137" s="183">
        <v>10</v>
      </c>
      <c r="N6137" s="183">
        <v>1</v>
      </c>
      <c r="O6137" s="222">
        <v>10</v>
      </c>
      <c r="P6137" s="222">
        <v>0</v>
      </c>
      <c r="Q6137" s="222">
        <v>10</v>
      </c>
      <c r="R6137" s="1195">
        <v>91</v>
      </c>
      <c r="S6137" s="1195">
        <v>909</v>
      </c>
      <c r="T6137" s="222" t="s">
        <v>311</v>
      </c>
      <c r="U6137" s="1527"/>
      <c r="V6137" s="222" t="s">
        <v>104</v>
      </c>
      <c r="W6137" s="2235" t="s">
        <v>20677</v>
      </c>
      <c r="X6137" s="818"/>
    </row>
    <row r="6138" spans="1:25" ht="15.75" hidden="1" customHeight="1">
      <c r="A6138" s="222">
        <f t="shared" si="337"/>
        <v>22</v>
      </c>
      <c r="B6138" s="858">
        <v>44881</v>
      </c>
      <c r="C6138" s="129" t="s">
        <v>20678</v>
      </c>
      <c r="D6138" s="11" t="s">
        <v>6</v>
      </c>
      <c r="E6138" s="222" t="s">
        <v>20567</v>
      </c>
      <c r="F6138" s="1006" t="s">
        <v>19325</v>
      </c>
      <c r="G6138" s="863" t="s">
        <v>20679</v>
      </c>
      <c r="H6138" s="222" t="s">
        <v>1063</v>
      </c>
      <c r="I6138" s="222" t="s">
        <v>1063</v>
      </c>
      <c r="J6138" s="183" t="s">
        <v>20680</v>
      </c>
      <c r="K6138" s="183" t="s">
        <v>20681</v>
      </c>
      <c r="L6138" s="613"/>
      <c r="M6138" s="183">
        <v>20</v>
      </c>
      <c r="N6138" s="183">
        <v>1</v>
      </c>
      <c r="O6138" s="222">
        <v>20</v>
      </c>
      <c r="P6138" s="222">
        <v>0</v>
      </c>
      <c r="Q6138" s="222">
        <v>20</v>
      </c>
      <c r="R6138" s="1195">
        <v>28</v>
      </c>
      <c r="S6138" s="1195">
        <v>545</v>
      </c>
      <c r="T6138" s="222" t="s">
        <v>311</v>
      </c>
      <c r="U6138" s="1527"/>
      <c r="V6138" s="222" t="s">
        <v>104</v>
      </c>
      <c r="W6138" s="2235" t="s">
        <v>20682</v>
      </c>
      <c r="X6138" s="818"/>
    </row>
    <row r="6139" spans="1:25" s="1005" customFormat="1" ht="15.75" hidden="1" customHeight="1">
      <c r="A6139" s="1006">
        <f t="shared" si="337"/>
        <v>23</v>
      </c>
      <c r="B6139" s="1069">
        <v>44882</v>
      </c>
      <c r="C6139" s="22" t="s">
        <v>20683</v>
      </c>
      <c r="D6139" s="10"/>
      <c r="E6139" s="2278" t="s">
        <v>166</v>
      </c>
      <c r="F6139" s="22" t="s">
        <v>19988</v>
      </c>
      <c r="G6139" s="22" t="s">
        <v>17102</v>
      </c>
      <c r="H6139" s="22" t="s">
        <v>20684</v>
      </c>
      <c r="I6139" s="22" t="s">
        <v>20685</v>
      </c>
      <c r="J6139" s="22">
        <v>4996774367806</v>
      </c>
      <c r="K6139" s="22"/>
      <c r="L6139" s="22"/>
      <c r="M6139" s="22">
        <v>1</v>
      </c>
      <c r="N6139" s="22">
        <v>1</v>
      </c>
      <c r="O6139" s="22">
        <v>1</v>
      </c>
      <c r="P6139" s="22">
        <v>0</v>
      </c>
      <c r="Q6139" s="22">
        <v>1</v>
      </c>
      <c r="R6139" s="2279">
        <v>2180</v>
      </c>
      <c r="S6139" s="2279">
        <v>2180</v>
      </c>
      <c r="T6139" s="22" t="s">
        <v>12425</v>
      </c>
      <c r="U6139" s="22" t="s">
        <v>1896</v>
      </c>
      <c r="V6139" s="22" t="s">
        <v>3140</v>
      </c>
      <c r="W6139" s="2280" t="s">
        <v>20686</v>
      </c>
      <c r="X6139" s="18"/>
      <c r="Y6139" s="1535"/>
    </row>
    <row r="6140" spans="1:25" ht="15.75" hidden="1" customHeight="1">
      <c r="A6140" s="222">
        <f t="shared" si="337"/>
        <v>24</v>
      </c>
      <c r="B6140" s="858">
        <v>44882</v>
      </c>
      <c r="C6140" s="129" t="s">
        <v>20687</v>
      </c>
      <c r="D6140" s="11" t="s">
        <v>6</v>
      </c>
      <c r="E6140" s="222" t="s">
        <v>20688</v>
      </c>
      <c r="F6140" s="1006" t="s">
        <v>17877</v>
      </c>
      <c r="G6140" s="863" t="s">
        <v>14494</v>
      </c>
      <c r="H6140" s="222" t="s">
        <v>5261</v>
      </c>
      <c r="I6140" s="222" t="s">
        <v>5261</v>
      </c>
      <c r="J6140" s="183" t="s">
        <v>20687</v>
      </c>
      <c r="K6140" s="183" t="s">
        <v>20687</v>
      </c>
      <c r="L6140" s="613" t="s">
        <v>623</v>
      </c>
      <c r="M6140" s="183">
        <v>2</v>
      </c>
      <c r="N6140" s="183">
        <v>5</v>
      </c>
      <c r="O6140" s="222">
        <v>5</v>
      </c>
      <c r="P6140" s="222">
        <v>0</v>
      </c>
      <c r="Q6140" s="222">
        <v>3</v>
      </c>
      <c r="R6140" s="1195" t="s">
        <v>20689</v>
      </c>
      <c r="S6140" s="1195" t="s">
        <v>20690</v>
      </c>
      <c r="T6140" s="222" t="s">
        <v>311</v>
      </c>
      <c r="U6140" s="1527" t="s">
        <v>311</v>
      </c>
      <c r="V6140" s="222" t="s">
        <v>19603</v>
      </c>
      <c r="W6140" s="2235" t="s">
        <v>6625</v>
      </c>
      <c r="X6140" s="818"/>
    </row>
    <row r="6141" spans="1:25" ht="15.75" hidden="1" customHeight="1">
      <c r="A6141" s="222">
        <f t="shared" si="337"/>
        <v>25</v>
      </c>
      <c r="B6141" s="858">
        <v>44882</v>
      </c>
      <c r="C6141" s="129" t="s">
        <v>20691</v>
      </c>
      <c r="D6141" s="11" t="s">
        <v>6</v>
      </c>
      <c r="E6141" s="222" t="s">
        <v>20688</v>
      </c>
      <c r="F6141" s="1006" t="s">
        <v>17877</v>
      </c>
      <c r="G6141" s="863" t="s">
        <v>20692</v>
      </c>
      <c r="H6141" s="222" t="s">
        <v>5261</v>
      </c>
      <c r="I6141" s="222" t="s">
        <v>5261</v>
      </c>
      <c r="J6141" s="183" t="s">
        <v>20691</v>
      </c>
      <c r="K6141" s="183" t="s">
        <v>20691</v>
      </c>
      <c r="L6141" s="613" t="s">
        <v>623</v>
      </c>
      <c r="M6141" s="183">
        <v>2</v>
      </c>
      <c r="N6141" s="183">
        <v>5</v>
      </c>
      <c r="O6141" s="222">
        <v>5</v>
      </c>
      <c r="P6141" s="222">
        <v>0</v>
      </c>
      <c r="Q6141" s="222">
        <v>3</v>
      </c>
      <c r="R6141" s="1195" t="s">
        <v>20693</v>
      </c>
      <c r="S6141" s="1195" t="s">
        <v>20694</v>
      </c>
      <c r="T6141" s="222" t="s">
        <v>311</v>
      </c>
      <c r="U6141" s="1527" t="s">
        <v>311</v>
      </c>
      <c r="V6141" s="222" t="s">
        <v>19603</v>
      </c>
      <c r="W6141" s="2235" t="s">
        <v>6621</v>
      </c>
      <c r="X6141" s="818"/>
    </row>
    <row r="6142" spans="1:25" ht="15.75" hidden="1" customHeight="1">
      <c r="A6142" s="222">
        <f t="shared" si="337"/>
        <v>26</v>
      </c>
      <c r="B6142" s="858">
        <v>44882</v>
      </c>
      <c r="C6142" s="129" t="s">
        <v>20695</v>
      </c>
      <c r="D6142" s="11" t="s">
        <v>6</v>
      </c>
      <c r="E6142" s="222" t="s">
        <v>20688</v>
      </c>
      <c r="F6142" s="1006" t="s">
        <v>17877</v>
      </c>
      <c r="G6142" s="863" t="s">
        <v>20696</v>
      </c>
      <c r="H6142" s="222" t="s">
        <v>1</v>
      </c>
      <c r="I6142" s="222" t="s">
        <v>574</v>
      </c>
      <c r="J6142" s="183" t="s">
        <v>20697</v>
      </c>
      <c r="K6142" s="183">
        <v>8997466</v>
      </c>
      <c r="L6142" s="613" t="s">
        <v>1</v>
      </c>
      <c r="M6142" s="183">
        <v>1</v>
      </c>
      <c r="N6142" s="183">
        <v>1</v>
      </c>
      <c r="O6142" s="222">
        <v>1</v>
      </c>
      <c r="P6142" s="222">
        <v>0</v>
      </c>
      <c r="Q6142" s="222">
        <v>0</v>
      </c>
      <c r="R6142" s="1195" t="s">
        <v>20698</v>
      </c>
      <c r="S6142" s="1195" t="s">
        <v>20698</v>
      </c>
      <c r="T6142" s="222" t="s">
        <v>311</v>
      </c>
      <c r="U6142" s="1527" t="s">
        <v>311</v>
      </c>
      <c r="V6142" s="222" t="s">
        <v>19603</v>
      </c>
      <c r="W6142" s="2235" t="s">
        <v>20699</v>
      </c>
      <c r="X6142" s="818"/>
    </row>
    <row r="6143" spans="1:25" ht="15.75" hidden="1" customHeight="1">
      <c r="A6143" s="222">
        <f t="shared" si="337"/>
        <v>27</v>
      </c>
      <c r="B6143" s="858">
        <v>44882</v>
      </c>
      <c r="C6143" s="129" t="s">
        <v>20700</v>
      </c>
      <c r="D6143" s="11" t="s">
        <v>6</v>
      </c>
      <c r="E6143" s="222" t="s">
        <v>20688</v>
      </c>
      <c r="F6143" s="1006" t="s">
        <v>17877</v>
      </c>
      <c r="G6143" s="863" t="s">
        <v>20701</v>
      </c>
      <c r="H6143" s="222" t="s">
        <v>166</v>
      </c>
      <c r="I6143" s="222" t="s">
        <v>574</v>
      </c>
      <c r="J6143" s="183" t="s">
        <v>20702</v>
      </c>
      <c r="K6143" s="183" t="s">
        <v>20703</v>
      </c>
      <c r="L6143" s="613" t="s">
        <v>8980</v>
      </c>
      <c r="M6143" s="183">
        <v>4</v>
      </c>
      <c r="N6143" s="183">
        <v>10</v>
      </c>
      <c r="O6143" s="222">
        <v>10</v>
      </c>
      <c r="P6143" s="222">
        <v>0</v>
      </c>
      <c r="Q6143" s="222">
        <v>6</v>
      </c>
      <c r="R6143" s="1195" t="s">
        <v>20704</v>
      </c>
      <c r="S6143" s="1195" t="s">
        <v>20705</v>
      </c>
      <c r="T6143" s="222" t="s">
        <v>311</v>
      </c>
      <c r="U6143" s="1527" t="s">
        <v>311</v>
      </c>
      <c r="V6143" s="222" t="s">
        <v>19603</v>
      </c>
      <c r="W6143" s="2235" t="s">
        <v>20706</v>
      </c>
      <c r="X6143" s="818"/>
    </row>
    <row r="6144" spans="1:25" ht="15.75" hidden="1" customHeight="1">
      <c r="A6144" s="222">
        <f t="shared" si="337"/>
        <v>28</v>
      </c>
      <c r="B6144" s="858">
        <v>44882</v>
      </c>
      <c r="C6144" s="129" t="s">
        <v>20707</v>
      </c>
      <c r="D6144" s="11" t="s">
        <v>6</v>
      </c>
      <c r="E6144" s="222" t="s">
        <v>20688</v>
      </c>
      <c r="F6144" s="1006" t="s">
        <v>17877</v>
      </c>
      <c r="G6144" s="863" t="s">
        <v>20708</v>
      </c>
      <c r="H6144" s="222" t="s">
        <v>144</v>
      </c>
      <c r="I6144" s="222" t="s">
        <v>574</v>
      </c>
      <c r="J6144" s="183" t="s">
        <v>20709</v>
      </c>
      <c r="K6144" s="183" t="s">
        <v>20710</v>
      </c>
      <c r="L6144" s="613" t="s">
        <v>8980</v>
      </c>
      <c r="M6144" s="183">
        <v>4</v>
      </c>
      <c r="N6144" s="183">
        <v>10</v>
      </c>
      <c r="O6144" s="222">
        <v>10</v>
      </c>
      <c r="P6144" s="222">
        <v>0</v>
      </c>
      <c r="Q6144" s="222">
        <v>6</v>
      </c>
      <c r="R6144" s="1195" t="s">
        <v>20711</v>
      </c>
      <c r="S6144" s="1195" t="s">
        <v>20712</v>
      </c>
      <c r="T6144" s="222" t="s">
        <v>311</v>
      </c>
      <c r="U6144" s="1527" t="s">
        <v>311</v>
      </c>
      <c r="V6144" s="222" t="s">
        <v>19603</v>
      </c>
      <c r="W6144" s="2235" t="s">
        <v>20713</v>
      </c>
      <c r="X6144" s="818"/>
    </row>
    <row r="6145" spans="1:24" ht="15.75" hidden="1" customHeight="1">
      <c r="A6145" s="222">
        <f t="shared" si="337"/>
        <v>29</v>
      </c>
      <c r="B6145" s="858">
        <v>44882</v>
      </c>
      <c r="C6145" s="129" t="s">
        <v>20714</v>
      </c>
      <c r="D6145" s="11" t="s">
        <v>6</v>
      </c>
      <c r="E6145" s="222" t="s">
        <v>20688</v>
      </c>
      <c r="F6145" s="1006" t="s">
        <v>17877</v>
      </c>
      <c r="G6145" s="863" t="s">
        <v>20715</v>
      </c>
      <c r="H6145" s="222" t="s">
        <v>144</v>
      </c>
      <c r="I6145" s="222" t="s">
        <v>574</v>
      </c>
      <c r="J6145" s="183" t="s">
        <v>20716</v>
      </c>
      <c r="K6145" s="183" t="s">
        <v>20717</v>
      </c>
      <c r="L6145" s="613" t="s">
        <v>16346</v>
      </c>
      <c r="M6145" s="183">
        <v>4</v>
      </c>
      <c r="N6145" s="183">
        <v>10</v>
      </c>
      <c r="O6145" s="222">
        <v>10</v>
      </c>
      <c r="P6145" s="222">
        <v>0</v>
      </c>
      <c r="Q6145" s="222">
        <v>6</v>
      </c>
      <c r="R6145" s="1195" t="s">
        <v>20718</v>
      </c>
      <c r="S6145" s="1195" t="s">
        <v>20719</v>
      </c>
      <c r="T6145" s="222" t="s">
        <v>311</v>
      </c>
      <c r="U6145" s="1527" t="s">
        <v>311</v>
      </c>
      <c r="V6145" s="222" t="s">
        <v>19603</v>
      </c>
      <c r="W6145" s="2235" t="s">
        <v>20720</v>
      </c>
      <c r="X6145" s="818"/>
    </row>
    <row r="6146" spans="1:24" ht="15.75" hidden="1" customHeight="1">
      <c r="A6146" s="222">
        <f t="shared" si="337"/>
        <v>30</v>
      </c>
      <c r="B6146" s="858">
        <v>44882</v>
      </c>
      <c r="C6146" s="129" t="s">
        <v>20721</v>
      </c>
      <c r="D6146" s="11" t="s">
        <v>6</v>
      </c>
      <c r="E6146" s="222" t="s">
        <v>20688</v>
      </c>
      <c r="F6146" s="1006" t="s">
        <v>17877</v>
      </c>
      <c r="G6146" s="863" t="s">
        <v>20722</v>
      </c>
      <c r="H6146" s="222" t="s">
        <v>144</v>
      </c>
      <c r="I6146" s="222" t="s">
        <v>574</v>
      </c>
      <c r="J6146" s="183" t="s">
        <v>20723</v>
      </c>
      <c r="K6146" s="183" t="s">
        <v>20724</v>
      </c>
      <c r="L6146" s="613" t="s">
        <v>8980</v>
      </c>
      <c r="M6146" s="183">
        <v>8</v>
      </c>
      <c r="N6146" s="183">
        <v>15</v>
      </c>
      <c r="O6146" s="222">
        <v>15</v>
      </c>
      <c r="P6146" s="222">
        <v>0</v>
      </c>
      <c r="Q6146" s="222">
        <v>7</v>
      </c>
      <c r="R6146" s="1195" t="s">
        <v>20725</v>
      </c>
      <c r="S6146" s="1195" t="s">
        <v>20726</v>
      </c>
      <c r="T6146" s="222" t="s">
        <v>311</v>
      </c>
      <c r="U6146" s="1527" t="s">
        <v>311</v>
      </c>
      <c r="V6146" s="222" t="s">
        <v>19603</v>
      </c>
      <c r="W6146" s="2235" t="s">
        <v>20727</v>
      </c>
      <c r="X6146" s="818"/>
    </row>
    <row r="6147" spans="1:24" ht="15.75" hidden="1" customHeight="1">
      <c r="A6147" s="222">
        <f t="shared" si="337"/>
        <v>31</v>
      </c>
      <c r="B6147" s="858">
        <v>44882</v>
      </c>
      <c r="C6147" s="129" t="s">
        <v>3902</v>
      </c>
      <c r="D6147" s="11" t="s">
        <v>6</v>
      </c>
      <c r="E6147" s="222" t="s">
        <v>20688</v>
      </c>
      <c r="F6147" s="1006" t="s">
        <v>17877</v>
      </c>
      <c r="G6147" s="863" t="s">
        <v>20728</v>
      </c>
      <c r="H6147" s="222" t="s">
        <v>20729</v>
      </c>
      <c r="I6147" s="222" t="s">
        <v>574</v>
      </c>
      <c r="J6147" s="183" t="s">
        <v>20730</v>
      </c>
      <c r="K6147" s="183" t="s">
        <v>20731</v>
      </c>
      <c r="L6147" s="613" t="s">
        <v>1</v>
      </c>
      <c r="M6147" s="183">
        <v>2</v>
      </c>
      <c r="N6147" s="183">
        <v>2</v>
      </c>
      <c r="O6147" s="222">
        <v>2</v>
      </c>
      <c r="P6147" s="222">
        <v>0</v>
      </c>
      <c r="Q6147" s="222">
        <v>0</v>
      </c>
      <c r="R6147" s="1195" t="s">
        <v>20732</v>
      </c>
      <c r="S6147" s="1195" t="s">
        <v>20733</v>
      </c>
      <c r="T6147" s="222" t="s">
        <v>311</v>
      </c>
      <c r="U6147" s="1527" t="s">
        <v>311</v>
      </c>
      <c r="V6147" s="222" t="s">
        <v>19603</v>
      </c>
      <c r="W6147" s="2235" t="s">
        <v>20734</v>
      </c>
      <c r="X6147" s="818"/>
    </row>
    <row r="6148" spans="1:24" ht="15.75" hidden="1" customHeight="1">
      <c r="A6148" s="222">
        <f t="shared" si="337"/>
        <v>32</v>
      </c>
      <c r="B6148" s="858">
        <v>44882</v>
      </c>
      <c r="C6148" s="129" t="s">
        <v>20735</v>
      </c>
      <c r="D6148" s="11" t="s">
        <v>6</v>
      </c>
      <c r="E6148" s="222" t="s">
        <v>20688</v>
      </c>
      <c r="F6148" s="1006" t="s">
        <v>17877</v>
      </c>
      <c r="G6148" s="863" t="s">
        <v>20736</v>
      </c>
      <c r="H6148" s="222" t="s">
        <v>15245</v>
      </c>
      <c r="I6148" s="222" t="s">
        <v>574</v>
      </c>
      <c r="J6148" s="183" t="s">
        <v>20737</v>
      </c>
      <c r="K6148" s="183">
        <v>826</v>
      </c>
      <c r="L6148" s="613" t="s">
        <v>1</v>
      </c>
      <c r="M6148" s="183">
        <v>1</v>
      </c>
      <c r="N6148" s="183">
        <v>1</v>
      </c>
      <c r="O6148" s="222">
        <v>1</v>
      </c>
      <c r="P6148" s="222">
        <v>0</v>
      </c>
      <c r="Q6148" s="222">
        <v>0</v>
      </c>
      <c r="R6148" s="1195" t="s">
        <v>20738</v>
      </c>
      <c r="S6148" s="1195" t="s">
        <v>20738</v>
      </c>
      <c r="T6148" s="222" t="s">
        <v>311</v>
      </c>
      <c r="U6148" s="1527" t="s">
        <v>311</v>
      </c>
      <c r="V6148" s="222" t="s">
        <v>19603</v>
      </c>
      <c r="W6148" s="2235" t="s">
        <v>20739</v>
      </c>
      <c r="X6148" s="818"/>
    </row>
    <row r="6149" spans="1:24" ht="15.75" hidden="1" customHeight="1">
      <c r="A6149" s="222">
        <f t="shared" si="337"/>
        <v>33</v>
      </c>
      <c r="B6149" s="858">
        <v>44882</v>
      </c>
      <c r="C6149" s="129" t="s">
        <v>20740</v>
      </c>
      <c r="D6149" s="11" t="s">
        <v>6</v>
      </c>
      <c r="E6149" s="222" t="s">
        <v>20688</v>
      </c>
      <c r="F6149" s="1006" t="s">
        <v>17877</v>
      </c>
      <c r="G6149" s="863" t="s">
        <v>18764</v>
      </c>
      <c r="H6149" s="222" t="s">
        <v>20741</v>
      </c>
      <c r="I6149" s="222" t="s">
        <v>574</v>
      </c>
      <c r="J6149" s="183" t="s">
        <v>20742</v>
      </c>
      <c r="K6149" s="183" t="s">
        <v>20743</v>
      </c>
      <c r="L6149" s="613" t="s">
        <v>1</v>
      </c>
      <c r="M6149" s="183">
        <v>2</v>
      </c>
      <c r="N6149" s="183">
        <v>10</v>
      </c>
      <c r="O6149" s="222">
        <v>10</v>
      </c>
      <c r="P6149" s="222">
        <v>0</v>
      </c>
      <c r="Q6149" s="222">
        <v>8</v>
      </c>
      <c r="R6149" s="1195" t="s">
        <v>20744</v>
      </c>
      <c r="S6149" s="1195" t="s">
        <v>20745</v>
      </c>
      <c r="T6149" s="222" t="s">
        <v>311</v>
      </c>
      <c r="U6149" s="1527" t="s">
        <v>311</v>
      </c>
      <c r="V6149" s="222" t="s">
        <v>19603</v>
      </c>
      <c r="W6149" s="2235" t="s">
        <v>20746</v>
      </c>
      <c r="X6149" s="818"/>
    </row>
    <row r="6150" spans="1:24" ht="15.75" hidden="1" customHeight="1">
      <c r="A6150" s="222">
        <f t="shared" si="337"/>
        <v>34</v>
      </c>
      <c r="B6150" s="858">
        <v>44882</v>
      </c>
      <c r="C6150" s="129" t="s">
        <v>20747</v>
      </c>
      <c r="D6150" s="8" t="s">
        <v>6</v>
      </c>
      <c r="E6150" s="183" t="s">
        <v>19577</v>
      </c>
      <c r="F6150" s="222" t="s">
        <v>10651</v>
      </c>
      <c r="G6150" s="863" t="s">
        <v>20748</v>
      </c>
      <c r="H6150" s="222" t="s">
        <v>429</v>
      </c>
      <c r="I6150" s="222" t="s">
        <v>429</v>
      </c>
      <c r="J6150" s="183"/>
      <c r="K6150" s="183" t="s">
        <v>372</v>
      </c>
      <c r="L6150" s="613"/>
      <c r="M6150" s="2281">
        <v>10</v>
      </c>
      <c r="N6150" s="2281">
        <v>1</v>
      </c>
      <c r="O6150" s="2281">
        <v>20</v>
      </c>
      <c r="P6150" s="2281">
        <v>0</v>
      </c>
      <c r="Q6150" s="2281">
        <v>10</v>
      </c>
      <c r="R6150" s="1195">
        <v>250</v>
      </c>
      <c r="S6150" s="1195">
        <v>5500</v>
      </c>
      <c r="T6150" s="2282" t="s">
        <v>12330</v>
      </c>
      <c r="U6150" s="2282" t="s">
        <v>301</v>
      </c>
      <c r="V6150" s="2282" t="s">
        <v>10656</v>
      </c>
      <c r="W6150" s="2283" t="s">
        <v>20749</v>
      </c>
      <c r="X6150" s="818"/>
    </row>
    <row r="6151" spans="1:24" ht="15.75" hidden="1" customHeight="1">
      <c r="A6151" s="222">
        <f t="shared" si="337"/>
        <v>35</v>
      </c>
      <c r="B6151" s="858">
        <v>44886</v>
      </c>
      <c r="C6151" s="129" t="s">
        <v>11696</v>
      </c>
      <c r="D6151" s="8" t="s">
        <v>6</v>
      </c>
      <c r="E6151" s="222" t="s">
        <v>19577</v>
      </c>
      <c r="F6151" s="1006" t="s">
        <v>18666</v>
      </c>
      <c r="G6151" s="863" t="s">
        <v>20750</v>
      </c>
      <c r="H6151" s="222" t="s">
        <v>18712</v>
      </c>
      <c r="I6151" s="222" t="s">
        <v>18712</v>
      </c>
      <c r="J6151" s="183" t="s">
        <v>1</v>
      </c>
      <c r="K6151" s="183" t="s">
        <v>1</v>
      </c>
      <c r="L6151" s="183" t="s">
        <v>1</v>
      </c>
      <c r="M6151" s="183">
        <v>4</v>
      </c>
      <c r="N6151" s="183">
        <v>1</v>
      </c>
      <c r="O6151" s="222">
        <v>4</v>
      </c>
      <c r="P6151" s="222">
        <v>0</v>
      </c>
      <c r="Q6151" s="222">
        <v>0</v>
      </c>
      <c r="R6151" s="1195">
        <v>6200</v>
      </c>
      <c r="S6151" s="1195">
        <f t="shared" ref="S6151:S6153" si="339">R6151*O6151</f>
        <v>24800</v>
      </c>
      <c r="T6151" s="222" t="s">
        <v>18479</v>
      </c>
      <c r="U6151" s="1527" t="s">
        <v>18670</v>
      </c>
      <c r="V6151" s="222" t="s">
        <v>104</v>
      </c>
      <c r="W6151" s="2155" t="s">
        <v>19335</v>
      </c>
      <c r="X6151" s="818"/>
    </row>
    <row r="6152" spans="1:24" ht="15.75" hidden="1" customHeight="1">
      <c r="A6152" s="222">
        <f t="shared" si="337"/>
        <v>36</v>
      </c>
      <c r="B6152" s="858">
        <v>44886</v>
      </c>
      <c r="C6152" s="129" t="s">
        <v>20751</v>
      </c>
      <c r="D6152" s="8" t="s">
        <v>6</v>
      </c>
      <c r="E6152" s="222" t="s">
        <v>19577</v>
      </c>
      <c r="F6152" s="1006" t="s">
        <v>18666</v>
      </c>
      <c r="G6152" s="863" t="s">
        <v>20752</v>
      </c>
      <c r="H6152" s="222" t="s">
        <v>20753</v>
      </c>
      <c r="I6152" s="222" t="s">
        <v>113</v>
      </c>
      <c r="J6152" s="183" t="s">
        <v>20754</v>
      </c>
      <c r="K6152" s="183" t="s">
        <v>20754</v>
      </c>
      <c r="L6152" s="183" t="s">
        <v>1</v>
      </c>
      <c r="M6152" s="183">
        <v>4</v>
      </c>
      <c r="N6152" s="183">
        <v>1</v>
      </c>
      <c r="O6152" s="222">
        <v>6</v>
      </c>
      <c r="P6152" s="222">
        <v>0</v>
      </c>
      <c r="Q6152" s="222">
        <v>2</v>
      </c>
      <c r="R6152" s="1195">
        <v>349</v>
      </c>
      <c r="S6152" s="1195">
        <f t="shared" si="339"/>
        <v>2094</v>
      </c>
      <c r="T6152" s="222" t="s">
        <v>18479</v>
      </c>
      <c r="U6152" s="1527" t="s">
        <v>18670</v>
      </c>
      <c r="V6152" s="222" t="s">
        <v>104</v>
      </c>
      <c r="W6152" s="2235" t="s">
        <v>20755</v>
      </c>
      <c r="X6152" s="818"/>
    </row>
    <row r="6153" spans="1:24" ht="15.75" hidden="1" customHeight="1">
      <c r="A6153" s="222">
        <f t="shared" si="337"/>
        <v>37</v>
      </c>
      <c r="B6153" s="858">
        <v>44887</v>
      </c>
      <c r="C6153" s="129" t="s">
        <v>20756</v>
      </c>
      <c r="D6153" s="11" t="s">
        <v>6</v>
      </c>
      <c r="E6153" s="222" t="s">
        <v>19577</v>
      </c>
      <c r="F6153" s="1006" t="s">
        <v>18660</v>
      </c>
      <c r="G6153" s="863" t="s">
        <v>20757</v>
      </c>
      <c r="H6153" s="222" t="s">
        <v>429</v>
      </c>
      <c r="I6153" s="222" t="s">
        <v>429</v>
      </c>
      <c r="J6153" s="183" t="s">
        <v>20758</v>
      </c>
      <c r="K6153" s="183" t="s">
        <v>20758</v>
      </c>
      <c r="L6153" s="613" t="s">
        <v>1</v>
      </c>
      <c r="M6153" s="183">
        <v>2</v>
      </c>
      <c r="N6153" s="183">
        <v>1</v>
      </c>
      <c r="O6153" s="222">
        <v>2</v>
      </c>
      <c r="P6153" s="222">
        <v>0</v>
      </c>
      <c r="Q6153" s="222">
        <v>0</v>
      </c>
      <c r="R6153" s="1195">
        <v>3467</v>
      </c>
      <c r="S6153" s="1195">
        <f t="shared" si="339"/>
        <v>6934</v>
      </c>
      <c r="T6153" s="222" t="s">
        <v>12425</v>
      </c>
      <c r="U6153" s="1527" t="s">
        <v>1886</v>
      </c>
      <c r="V6153" s="222" t="s">
        <v>104</v>
      </c>
      <c r="W6153" s="2235" t="s">
        <v>20759</v>
      </c>
      <c r="X6153" s="818"/>
    </row>
    <row r="6154" spans="1:24" ht="15.75" hidden="1" customHeight="1">
      <c r="A6154" s="222">
        <f t="shared" si="337"/>
        <v>38</v>
      </c>
      <c r="B6154" s="858">
        <v>44889</v>
      </c>
      <c r="C6154" s="129" t="s">
        <v>20760</v>
      </c>
      <c r="D6154" s="11" t="s">
        <v>6</v>
      </c>
      <c r="E6154" s="222" t="s">
        <v>20761</v>
      </c>
      <c r="F6154" s="1006" t="s">
        <v>19325</v>
      </c>
      <c r="G6154" s="863" t="s">
        <v>20762</v>
      </c>
      <c r="H6154" s="222" t="s">
        <v>511</v>
      </c>
      <c r="I6154" s="222" t="s">
        <v>15627</v>
      </c>
      <c r="J6154" s="183" t="s">
        <v>20763</v>
      </c>
      <c r="K6154" s="183" t="s">
        <v>20764</v>
      </c>
      <c r="L6154" s="613" t="s">
        <v>2324</v>
      </c>
      <c r="M6154" s="183">
        <v>20</v>
      </c>
      <c r="N6154" s="183">
        <v>5</v>
      </c>
      <c r="O6154" s="222">
        <v>20</v>
      </c>
      <c r="P6154" s="222">
        <v>0</v>
      </c>
      <c r="Q6154" s="222">
        <v>20</v>
      </c>
      <c r="R6154" s="1195">
        <v>440</v>
      </c>
      <c r="S6154" s="1195">
        <v>8800</v>
      </c>
      <c r="T6154" s="222" t="s">
        <v>311</v>
      </c>
      <c r="U6154" s="1527"/>
      <c r="V6154" s="222" t="s">
        <v>104</v>
      </c>
      <c r="W6154" s="2235" t="s">
        <v>20765</v>
      </c>
      <c r="X6154" s="818"/>
    </row>
    <row r="6155" spans="1:24" ht="15.75" hidden="1" customHeight="1">
      <c r="A6155" s="222">
        <f t="shared" si="337"/>
        <v>39</v>
      </c>
      <c r="B6155" s="858">
        <v>44889</v>
      </c>
      <c r="C6155" s="129" t="s">
        <v>20766</v>
      </c>
      <c r="D6155" s="11" t="s">
        <v>6</v>
      </c>
      <c r="E6155" s="222" t="s">
        <v>20761</v>
      </c>
      <c r="F6155" s="1006" t="s">
        <v>19325</v>
      </c>
      <c r="G6155" s="863" t="s">
        <v>20767</v>
      </c>
      <c r="H6155" s="222" t="s">
        <v>1478</v>
      </c>
      <c r="I6155" s="222" t="s">
        <v>1597</v>
      </c>
      <c r="J6155" s="183" t="s">
        <v>4805</v>
      </c>
      <c r="K6155" s="183" t="s">
        <v>4806</v>
      </c>
      <c r="L6155" s="613"/>
      <c r="M6155" s="183">
        <v>5</v>
      </c>
      <c r="N6155" s="183">
        <v>1</v>
      </c>
      <c r="O6155" s="222">
        <v>10</v>
      </c>
      <c r="P6155" s="222">
        <v>0</v>
      </c>
      <c r="Q6155" s="222">
        <v>10</v>
      </c>
      <c r="R6155" s="1195">
        <f>80/1.1</f>
        <v>72.72727272727272</v>
      </c>
      <c r="S6155" s="1195">
        <v>727</v>
      </c>
      <c r="T6155" s="222" t="s">
        <v>311</v>
      </c>
      <c r="U6155" s="1527"/>
      <c r="V6155" s="222" t="s">
        <v>104</v>
      </c>
      <c r="W6155" s="2235" t="s">
        <v>11845</v>
      </c>
      <c r="X6155" s="818"/>
    </row>
    <row r="6156" spans="1:24" ht="15.75" hidden="1" customHeight="1">
      <c r="A6156" s="222">
        <f t="shared" si="337"/>
        <v>40</v>
      </c>
      <c r="B6156" s="858">
        <v>44889</v>
      </c>
      <c r="C6156" s="129" t="s">
        <v>20768</v>
      </c>
      <c r="D6156" s="11" t="s">
        <v>6</v>
      </c>
      <c r="E6156" s="222" t="s">
        <v>20761</v>
      </c>
      <c r="F6156" s="1006" t="s">
        <v>19325</v>
      </c>
      <c r="G6156" s="863" t="s">
        <v>20768</v>
      </c>
      <c r="H6156" s="222" t="s">
        <v>20769</v>
      </c>
      <c r="I6156" s="222" t="s">
        <v>1597</v>
      </c>
      <c r="J6156" s="183" t="s">
        <v>20770</v>
      </c>
      <c r="K6156" s="183" t="s">
        <v>20771</v>
      </c>
      <c r="L6156" s="613" t="s">
        <v>20772</v>
      </c>
      <c r="M6156" s="183">
        <v>5</v>
      </c>
      <c r="N6156" s="183">
        <v>1</v>
      </c>
      <c r="O6156" s="222">
        <v>5</v>
      </c>
      <c r="P6156" s="222">
        <v>0</v>
      </c>
      <c r="Q6156" s="222">
        <v>5</v>
      </c>
      <c r="R6156" s="1195">
        <f>350/1.1</f>
        <v>318.18181818181813</v>
      </c>
      <c r="S6156" s="1195">
        <f>R6156*O6156</f>
        <v>1590.9090909090905</v>
      </c>
      <c r="T6156" s="222" t="s">
        <v>311</v>
      </c>
      <c r="U6156" s="1527"/>
      <c r="V6156" s="222" t="s">
        <v>104</v>
      </c>
      <c r="W6156" s="2235" t="s">
        <v>20773</v>
      </c>
      <c r="X6156" s="818"/>
    </row>
    <row r="6157" spans="1:24" ht="15.75" hidden="1" customHeight="1">
      <c r="A6157" s="222">
        <f t="shared" si="337"/>
        <v>41</v>
      </c>
      <c r="B6157" s="858">
        <v>44893</v>
      </c>
      <c r="C6157" s="1193" t="s">
        <v>20774</v>
      </c>
      <c r="D6157" s="8" t="s">
        <v>6</v>
      </c>
      <c r="E6157" t="s">
        <v>20775</v>
      </c>
      <c r="F6157" s="1006" t="s">
        <v>17877</v>
      </c>
      <c r="G6157" s="863" t="s">
        <v>20776</v>
      </c>
      <c r="H6157" s="222" t="s">
        <v>20777</v>
      </c>
      <c r="I6157" s="222" t="s">
        <v>1022</v>
      </c>
      <c r="J6157" s="222" t="s">
        <v>1</v>
      </c>
      <c r="K6157" s="222" t="s">
        <v>1</v>
      </c>
      <c r="L6157" s="613" t="s">
        <v>1</v>
      </c>
      <c r="M6157" s="222">
        <v>1</v>
      </c>
      <c r="N6157" s="222">
        <v>1</v>
      </c>
      <c r="O6157" s="222">
        <v>1</v>
      </c>
      <c r="P6157" s="222">
        <v>0</v>
      </c>
      <c r="Q6157" s="222">
        <v>0</v>
      </c>
      <c r="R6157" s="1195" t="s">
        <v>20778</v>
      </c>
      <c r="S6157" s="1195" t="s">
        <v>20778</v>
      </c>
      <c r="T6157" s="222" t="s">
        <v>311</v>
      </c>
      <c r="U6157" s="1527"/>
      <c r="V6157" s="222" t="s">
        <v>19603</v>
      </c>
      <c r="W6157" s="811" t="s">
        <v>20779</v>
      </c>
      <c r="X6157" s="818"/>
    </row>
    <row r="6158" spans="1:24" ht="15.75" hidden="1" customHeight="1">
      <c r="A6158" s="222">
        <f t="shared" si="337"/>
        <v>42</v>
      </c>
      <c r="B6158" s="858">
        <v>44893</v>
      </c>
      <c r="C6158" s="2286" t="s">
        <v>20780</v>
      </c>
      <c r="D6158" s="8" t="s">
        <v>6</v>
      </c>
      <c r="E6158" s="2286" t="s">
        <v>19577</v>
      </c>
      <c r="F6158" s="2286" t="s">
        <v>10651</v>
      </c>
      <c r="G6158" s="2287" t="s">
        <v>20781</v>
      </c>
      <c r="H6158" s="222" t="s">
        <v>429</v>
      </c>
      <c r="I6158" s="222" t="s">
        <v>429</v>
      </c>
      <c r="J6158" s="2286" t="s">
        <v>20782</v>
      </c>
      <c r="K6158" s="222" t="s">
        <v>1</v>
      </c>
      <c r="L6158" s="613" t="s">
        <v>1</v>
      </c>
      <c r="M6158" s="2286">
        <v>8</v>
      </c>
      <c r="N6158" s="2286">
        <v>1</v>
      </c>
      <c r="O6158" s="2286">
        <v>8</v>
      </c>
      <c r="P6158" s="2286">
        <v>0</v>
      </c>
      <c r="Q6158" s="2288">
        <v>0</v>
      </c>
      <c r="R6158" s="1195">
        <v>2816</v>
      </c>
      <c r="S6158" s="1195">
        <v>21402</v>
      </c>
      <c r="T6158" s="2286" t="s">
        <v>12425</v>
      </c>
      <c r="U6158" s="1527" t="s">
        <v>20783</v>
      </c>
      <c r="V6158" s="2288" t="s">
        <v>16215</v>
      </c>
      <c r="W6158" s="2289" t="s">
        <v>20784</v>
      </c>
    </row>
    <row r="6159" spans="1:24" ht="15.75" hidden="1" customHeight="1">
      <c r="A6159" s="222">
        <f t="shared" si="337"/>
        <v>43</v>
      </c>
      <c r="B6159" s="858">
        <v>44893</v>
      </c>
      <c r="C6159" s="2286" t="s">
        <v>20785</v>
      </c>
      <c r="D6159" s="8" t="s">
        <v>6</v>
      </c>
      <c r="E6159" s="2286" t="s">
        <v>19577</v>
      </c>
      <c r="F6159" s="2286" t="s">
        <v>10651</v>
      </c>
      <c r="G6159" s="2287" t="s">
        <v>20786</v>
      </c>
      <c r="H6159" s="222" t="s">
        <v>429</v>
      </c>
      <c r="I6159" s="222" t="s">
        <v>429</v>
      </c>
      <c r="J6159" s="2286" t="s">
        <v>20787</v>
      </c>
      <c r="K6159" s="222" t="s">
        <v>1</v>
      </c>
      <c r="L6159" s="613" t="s">
        <v>1</v>
      </c>
      <c r="M6159" s="2286">
        <v>2</v>
      </c>
      <c r="N6159" s="2286">
        <v>1</v>
      </c>
      <c r="O6159" s="2286">
        <v>2</v>
      </c>
      <c r="P6159" s="2286">
        <v>0</v>
      </c>
      <c r="Q6159" s="2288">
        <v>0</v>
      </c>
      <c r="R6159" s="1195">
        <v>2079</v>
      </c>
      <c r="S6159" s="1195">
        <v>2079</v>
      </c>
      <c r="T6159" s="2286" t="s">
        <v>12425</v>
      </c>
      <c r="U6159" s="1527" t="s">
        <v>301</v>
      </c>
      <c r="V6159" s="2288" t="s">
        <v>16215</v>
      </c>
      <c r="W6159" s="2290" t="s">
        <v>20788</v>
      </c>
    </row>
    <row r="6160" spans="1:24" ht="15.75" hidden="1" customHeight="1">
      <c r="A6160" s="222">
        <f t="shared" si="337"/>
        <v>44</v>
      </c>
      <c r="B6160" s="858">
        <v>44893</v>
      </c>
      <c r="C6160" s="129" t="s">
        <v>20789</v>
      </c>
      <c r="D6160" s="8" t="s">
        <v>6</v>
      </c>
      <c r="E6160" s="2286" t="s">
        <v>19577</v>
      </c>
      <c r="F6160" s="1006" t="s">
        <v>10651</v>
      </c>
      <c r="G6160" s="863" t="s">
        <v>20790</v>
      </c>
      <c r="H6160" s="222" t="s">
        <v>429</v>
      </c>
      <c r="I6160" s="222" t="s">
        <v>429</v>
      </c>
      <c r="J6160" s="183" t="s">
        <v>20791</v>
      </c>
      <c r="K6160" s="613" t="s">
        <v>1</v>
      </c>
      <c r="L6160" s="613" t="s">
        <v>1</v>
      </c>
      <c r="M6160" s="613">
        <v>12</v>
      </c>
      <c r="N6160" s="183">
        <v>1</v>
      </c>
      <c r="O6160" s="183">
        <v>12</v>
      </c>
      <c r="P6160" s="222">
        <v>0</v>
      </c>
      <c r="Q6160" s="222">
        <v>0</v>
      </c>
      <c r="R6160" s="1195">
        <v>208</v>
      </c>
      <c r="S6160" s="1195">
        <v>2746</v>
      </c>
      <c r="T6160" s="2286" t="s">
        <v>12425</v>
      </c>
      <c r="U6160" s="222" t="s">
        <v>301</v>
      </c>
      <c r="V6160" s="1527" t="s">
        <v>19421</v>
      </c>
      <c r="W6160" s="2291" t="s">
        <v>20792</v>
      </c>
      <c r="X6160" s="818"/>
    </row>
    <row r="6161" spans="1:24" ht="15.75" hidden="1" customHeight="1">
      <c r="A6161" s="222">
        <f t="shared" si="337"/>
        <v>45</v>
      </c>
      <c r="B6161" s="858">
        <v>44893</v>
      </c>
      <c r="C6161" s="129" t="s">
        <v>20793</v>
      </c>
      <c r="D6161" s="8" t="s">
        <v>6</v>
      </c>
      <c r="E6161" s="2286" t="s">
        <v>19577</v>
      </c>
      <c r="F6161" s="1006" t="s">
        <v>10651</v>
      </c>
      <c r="G6161" s="863" t="s">
        <v>20794</v>
      </c>
      <c r="H6161" s="222" t="s">
        <v>310</v>
      </c>
      <c r="I6161" s="222" t="s">
        <v>1</v>
      </c>
      <c r="J6161" s="183" t="s">
        <v>1</v>
      </c>
      <c r="K6161" s="183" t="s">
        <v>1</v>
      </c>
      <c r="L6161" s="183" t="s">
        <v>1</v>
      </c>
      <c r="M6161" s="183">
        <v>2</v>
      </c>
      <c r="N6161" s="183">
        <v>1</v>
      </c>
      <c r="O6161" s="222">
        <v>2</v>
      </c>
      <c r="P6161" s="222">
        <v>0</v>
      </c>
      <c r="Q6161" s="222">
        <v>0</v>
      </c>
      <c r="R6161" s="1195">
        <v>1580</v>
      </c>
      <c r="S6161" s="1195">
        <v>2283</v>
      </c>
      <c r="T6161" s="2286" t="s">
        <v>12425</v>
      </c>
      <c r="U6161" s="222" t="s">
        <v>301</v>
      </c>
      <c r="V6161" s="222" t="s">
        <v>19421</v>
      </c>
      <c r="W6161" s="222"/>
      <c r="X6161" s="818"/>
    </row>
    <row r="6162" spans="1:24" ht="15.75" hidden="1" customHeight="1">
      <c r="A6162" s="222">
        <f t="shared" si="337"/>
        <v>46</v>
      </c>
      <c r="B6162" s="858">
        <v>44894</v>
      </c>
      <c r="C6162" s="129" t="s">
        <v>20795</v>
      </c>
      <c r="D6162" s="11" t="s">
        <v>6</v>
      </c>
      <c r="E6162" s="2286" t="s">
        <v>19577</v>
      </c>
      <c r="F6162" s="1006" t="s">
        <v>18660</v>
      </c>
      <c r="G6162" s="863" t="s">
        <v>20796</v>
      </c>
      <c r="H6162" s="222" t="s">
        <v>429</v>
      </c>
      <c r="I6162" s="222" t="s">
        <v>429</v>
      </c>
      <c r="J6162" s="183" t="s">
        <v>20797</v>
      </c>
      <c r="K6162" s="183" t="s">
        <v>1</v>
      </c>
      <c r="L6162" s="613" t="s">
        <v>1</v>
      </c>
      <c r="M6162" s="183">
        <v>2</v>
      </c>
      <c r="N6162" s="183">
        <v>1</v>
      </c>
      <c r="O6162" s="222">
        <v>2</v>
      </c>
      <c r="P6162" s="222">
        <v>0</v>
      </c>
      <c r="Q6162" s="222">
        <v>0</v>
      </c>
      <c r="R6162" s="1195">
        <v>5747</v>
      </c>
      <c r="S6162" s="1195">
        <v>11494</v>
      </c>
      <c r="T6162" s="222" t="s">
        <v>12425</v>
      </c>
      <c r="U6162" s="1527" t="s">
        <v>1886</v>
      </c>
      <c r="V6162" s="222" t="s">
        <v>19421</v>
      </c>
      <c r="W6162" s="2235" t="s">
        <v>20798</v>
      </c>
      <c r="X6162" s="818"/>
    </row>
    <row r="6163" spans="1:24" ht="15.75" hidden="1" customHeight="1">
      <c r="A6163" s="222">
        <f t="shared" si="337"/>
        <v>47</v>
      </c>
      <c r="B6163" s="858">
        <v>44894</v>
      </c>
      <c r="C6163" s="129" t="s">
        <v>20799</v>
      </c>
      <c r="D6163" s="11" t="s">
        <v>6</v>
      </c>
      <c r="E6163" s="2286" t="s">
        <v>19577</v>
      </c>
      <c r="F6163" s="1006" t="s">
        <v>7046</v>
      </c>
      <c r="G6163" s="863" t="s">
        <v>20800</v>
      </c>
      <c r="H6163" s="222" t="s">
        <v>19414</v>
      </c>
      <c r="I6163" s="222" t="s">
        <v>429</v>
      </c>
      <c r="J6163" s="222" t="s">
        <v>19414</v>
      </c>
      <c r="K6163" s="183" t="s">
        <v>20801</v>
      </c>
      <c r="L6163" s="613" t="s">
        <v>1</v>
      </c>
      <c r="M6163" s="183">
        <v>24</v>
      </c>
      <c r="N6163" s="183">
        <v>10</v>
      </c>
      <c r="O6163" s="183">
        <v>20</v>
      </c>
      <c r="P6163" s="222">
        <v>0</v>
      </c>
      <c r="Q6163" s="222">
        <v>6</v>
      </c>
      <c r="R6163" s="1195">
        <v>20</v>
      </c>
      <c r="S6163" s="1195">
        <f>R6163*O6163</f>
        <v>400</v>
      </c>
      <c r="T6163" s="222" t="s">
        <v>12425</v>
      </c>
      <c r="U6163" s="1527" t="s">
        <v>1886</v>
      </c>
      <c r="V6163" s="222" t="s">
        <v>19421</v>
      </c>
      <c r="W6163" s="2235" t="s">
        <v>20802</v>
      </c>
      <c r="X6163" s="818"/>
    </row>
    <row r="6164" spans="1:24" ht="15.75" hidden="1" customHeight="1">
      <c r="A6164" s="222">
        <f t="shared" si="337"/>
        <v>48</v>
      </c>
      <c r="B6164" s="858">
        <v>44894</v>
      </c>
      <c r="C6164" s="129" t="s">
        <v>20799</v>
      </c>
      <c r="D6164" s="11" t="s">
        <v>6</v>
      </c>
      <c r="E6164" s="2286" t="s">
        <v>19577</v>
      </c>
      <c r="F6164" s="1006" t="s">
        <v>7046</v>
      </c>
      <c r="G6164" s="863" t="s">
        <v>20803</v>
      </c>
      <c r="H6164" s="222" t="s">
        <v>19414</v>
      </c>
      <c r="I6164" s="222" t="s">
        <v>429</v>
      </c>
      <c r="J6164" s="222" t="s">
        <v>19414</v>
      </c>
      <c r="K6164" s="183" t="s">
        <v>20804</v>
      </c>
      <c r="L6164" s="613" t="s">
        <v>1</v>
      </c>
      <c r="M6164" s="183">
        <v>24</v>
      </c>
      <c r="N6164" s="183">
        <v>10</v>
      </c>
      <c r="O6164" s="183">
        <v>20</v>
      </c>
      <c r="P6164" s="222">
        <v>0</v>
      </c>
      <c r="Q6164" s="222">
        <v>6</v>
      </c>
      <c r="R6164" s="1195">
        <v>20</v>
      </c>
      <c r="S6164" s="1195">
        <f t="shared" ref="S6164:S6174" si="340">R6164*O6164</f>
        <v>400</v>
      </c>
      <c r="T6164" s="222" t="s">
        <v>12425</v>
      </c>
      <c r="U6164" s="1527" t="s">
        <v>1886</v>
      </c>
      <c r="V6164" s="222" t="s">
        <v>19421</v>
      </c>
      <c r="W6164" s="2235" t="s">
        <v>20805</v>
      </c>
      <c r="X6164" s="818"/>
    </row>
    <row r="6165" spans="1:24" ht="15.75" hidden="1" customHeight="1">
      <c r="A6165" s="222">
        <f t="shared" si="337"/>
        <v>49</v>
      </c>
      <c r="B6165" s="858">
        <v>44894</v>
      </c>
      <c r="C6165" s="129" t="s">
        <v>20799</v>
      </c>
      <c r="D6165" s="11" t="s">
        <v>6</v>
      </c>
      <c r="E6165" s="2286" t="s">
        <v>19577</v>
      </c>
      <c r="F6165" s="1006" t="s">
        <v>7046</v>
      </c>
      <c r="G6165" s="863" t="s">
        <v>20806</v>
      </c>
      <c r="H6165" s="222" t="s">
        <v>19414</v>
      </c>
      <c r="I6165" s="222" t="s">
        <v>429</v>
      </c>
      <c r="J6165" s="222" t="s">
        <v>19414</v>
      </c>
      <c r="K6165" s="183" t="s">
        <v>20807</v>
      </c>
      <c r="L6165" s="613" t="s">
        <v>1</v>
      </c>
      <c r="M6165" s="183">
        <v>24</v>
      </c>
      <c r="N6165" s="183">
        <v>10</v>
      </c>
      <c r="O6165" s="183">
        <v>30</v>
      </c>
      <c r="P6165" s="222">
        <v>0</v>
      </c>
      <c r="Q6165" s="222">
        <v>6</v>
      </c>
      <c r="R6165" s="1195">
        <v>25</v>
      </c>
      <c r="S6165" s="1195">
        <f t="shared" si="340"/>
        <v>750</v>
      </c>
      <c r="T6165" s="222" t="s">
        <v>12425</v>
      </c>
      <c r="U6165" s="1527" t="s">
        <v>1886</v>
      </c>
      <c r="V6165" s="222" t="s">
        <v>19421</v>
      </c>
      <c r="W6165" s="2235" t="s">
        <v>20808</v>
      </c>
      <c r="X6165" s="818"/>
    </row>
    <row r="6166" spans="1:24" ht="15.75" hidden="1" customHeight="1">
      <c r="A6166" s="222">
        <f t="shared" si="337"/>
        <v>50</v>
      </c>
      <c r="B6166" s="858">
        <v>44894</v>
      </c>
      <c r="C6166" s="129" t="s">
        <v>20809</v>
      </c>
      <c r="D6166" s="11" t="s">
        <v>6</v>
      </c>
      <c r="E6166" s="2286" t="s">
        <v>19577</v>
      </c>
      <c r="F6166" s="1006" t="s">
        <v>7046</v>
      </c>
      <c r="G6166" s="859" t="s">
        <v>20810</v>
      </c>
      <c r="H6166" s="222" t="s">
        <v>686</v>
      </c>
      <c r="I6166" s="222" t="s">
        <v>429</v>
      </c>
      <c r="J6166" s="222" t="s">
        <v>686</v>
      </c>
      <c r="K6166" s="183" t="s">
        <v>20811</v>
      </c>
      <c r="L6166" s="613" t="s">
        <v>1</v>
      </c>
      <c r="M6166" s="183">
        <v>24</v>
      </c>
      <c r="N6166" s="183">
        <v>10</v>
      </c>
      <c r="O6166" s="183">
        <v>30</v>
      </c>
      <c r="P6166" s="222">
        <v>0</v>
      </c>
      <c r="Q6166" s="222">
        <v>6</v>
      </c>
      <c r="R6166" s="1195">
        <v>15</v>
      </c>
      <c r="S6166" s="1195">
        <f t="shared" si="340"/>
        <v>450</v>
      </c>
      <c r="T6166" s="222" t="s">
        <v>12425</v>
      </c>
      <c r="U6166" s="1527" t="s">
        <v>1886</v>
      </c>
      <c r="V6166" s="222" t="s">
        <v>19421</v>
      </c>
      <c r="W6166" s="2235" t="s">
        <v>20812</v>
      </c>
      <c r="X6166" s="818"/>
    </row>
    <row r="6167" spans="1:24" ht="15.75" hidden="1" customHeight="1">
      <c r="A6167" s="222">
        <f t="shared" si="337"/>
        <v>51</v>
      </c>
      <c r="B6167" s="858">
        <v>44894</v>
      </c>
      <c r="C6167" s="129" t="s">
        <v>2619</v>
      </c>
      <c r="D6167" s="11" t="s">
        <v>6</v>
      </c>
      <c r="E6167" s="2286" t="s">
        <v>19577</v>
      </c>
      <c r="F6167" s="1006" t="s">
        <v>7046</v>
      </c>
      <c r="G6167" s="863" t="s">
        <v>20813</v>
      </c>
      <c r="H6167" s="222" t="s">
        <v>429</v>
      </c>
      <c r="I6167" s="222" t="s">
        <v>429</v>
      </c>
      <c r="J6167" s="222" t="s">
        <v>429</v>
      </c>
      <c r="K6167" s="183" t="s">
        <v>16229</v>
      </c>
      <c r="L6167" s="613" t="s">
        <v>1</v>
      </c>
      <c r="M6167" s="183">
        <v>24</v>
      </c>
      <c r="N6167" s="183">
        <v>10</v>
      </c>
      <c r="O6167" s="183">
        <v>30</v>
      </c>
      <c r="P6167" s="222">
        <v>0</v>
      </c>
      <c r="Q6167" s="222">
        <v>6</v>
      </c>
      <c r="R6167" s="1195">
        <v>34</v>
      </c>
      <c r="S6167" s="1195">
        <f t="shared" si="340"/>
        <v>1020</v>
      </c>
      <c r="T6167" s="222" t="s">
        <v>12425</v>
      </c>
      <c r="U6167" s="1527" t="s">
        <v>1886</v>
      </c>
      <c r="V6167" s="222" t="s">
        <v>19421</v>
      </c>
      <c r="W6167" s="2235" t="s">
        <v>20814</v>
      </c>
      <c r="X6167" s="818"/>
    </row>
    <row r="6168" spans="1:24" ht="15.75" hidden="1" customHeight="1">
      <c r="A6168" s="222">
        <f t="shared" si="337"/>
        <v>52</v>
      </c>
      <c r="B6168" s="858">
        <v>44894</v>
      </c>
      <c r="C6168" s="129" t="s">
        <v>2619</v>
      </c>
      <c r="D6168" s="11" t="s">
        <v>6</v>
      </c>
      <c r="E6168" s="2286" t="s">
        <v>19577</v>
      </c>
      <c r="F6168" s="1006" t="s">
        <v>7046</v>
      </c>
      <c r="G6168" s="859" t="s">
        <v>20815</v>
      </c>
      <c r="H6168" s="222" t="s">
        <v>429</v>
      </c>
      <c r="I6168" s="222" t="s">
        <v>429</v>
      </c>
      <c r="J6168" s="222" t="s">
        <v>429</v>
      </c>
      <c r="K6168" s="183" t="s">
        <v>20816</v>
      </c>
      <c r="L6168" s="613" t="s">
        <v>1</v>
      </c>
      <c r="M6168" s="183">
        <v>24</v>
      </c>
      <c r="N6168" s="183">
        <v>10</v>
      </c>
      <c r="O6168" s="183">
        <v>20</v>
      </c>
      <c r="P6168" s="222">
        <v>0</v>
      </c>
      <c r="Q6168" s="222">
        <v>6</v>
      </c>
      <c r="R6168" s="1195">
        <v>45</v>
      </c>
      <c r="S6168" s="1195">
        <f t="shared" si="340"/>
        <v>900</v>
      </c>
      <c r="T6168" s="222" t="s">
        <v>12425</v>
      </c>
      <c r="U6168" s="1527" t="s">
        <v>1886</v>
      </c>
      <c r="V6168" s="222" t="s">
        <v>19421</v>
      </c>
      <c r="W6168" s="2235" t="s">
        <v>20817</v>
      </c>
      <c r="X6168" s="818"/>
    </row>
    <row r="6169" spans="1:24" ht="15.75" hidden="1" customHeight="1">
      <c r="A6169" s="222">
        <f t="shared" si="337"/>
        <v>53</v>
      </c>
      <c r="B6169" s="858">
        <v>44894</v>
      </c>
      <c r="C6169" s="129" t="s">
        <v>20809</v>
      </c>
      <c r="D6169" s="11" t="s">
        <v>6</v>
      </c>
      <c r="E6169" s="2286" t="s">
        <v>19577</v>
      </c>
      <c r="F6169" s="1006" t="s">
        <v>7046</v>
      </c>
      <c r="G6169" s="859" t="s">
        <v>20818</v>
      </c>
      <c r="H6169" s="222" t="s">
        <v>686</v>
      </c>
      <c r="I6169" s="222" t="s">
        <v>429</v>
      </c>
      <c r="J6169" s="222" t="s">
        <v>686</v>
      </c>
      <c r="K6169" s="183" t="s">
        <v>20819</v>
      </c>
      <c r="L6169" s="613" t="s">
        <v>1</v>
      </c>
      <c r="M6169" s="183">
        <v>24</v>
      </c>
      <c r="N6169" s="183">
        <v>10</v>
      </c>
      <c r="O6169" s="183">
        <v>30</v>
      </c>
      <c r="P6169" s="222">
        <v>0</v>
      </c>
      <c r="Q6169" s="222">
        <v>6</v>
      </c>
      <c r="R6169" s="1195">
        <v>27</v>
      </c>
      <c r="S6169" s="1195">
        <f t="shared" si="340"/>
        <v>810</v>
      </c>
      <c r="T6169" s="222" t="s">
        <v>12425</v>
      </c>
      <c r="U6169" s="1527" t="s">
        <v>1886</v>
      </c>
      <c r="V6169" s="222" t="s">
        <v>19421</v>
      </c>
      <c r="W6169" s="2235" t="s">
        <v>20820</v>
      </c>
      <c r="X6169" s="818"/>
    </row>
    <row r="6170" spans="1:24" ht="15.75" hidden="1" customHeight="1">
      <c r="A6170" s="222">
        <f t="shared" si="337"/>
        <v>54</v>
      </c>
      <c r="B6170" s="858">
        <v>44894</v>
      </c>
      <c r="C6170" s="129" t="s">
        <v>20821</v>
      </c>
      <c r="D6170" s="11" t="s">
        <v>6</v>
      </c>
      <c r="E6170" s="2286" t="s">
        <v>19577</v>
      </c>
      <c r="F6170" s="1006" t="s">
        <v>7046</v>
      </c>
      <c r="G6170" s="863" t="s">
        <v>20822</v>
      </c>
      <c r="H6170" s="222" t="s">
        <v>429</v>
      </c>
      <c r="I6170" s="222" t="s">
        <v>429</v>
      </c>
      <c r="J6170" s="222" t="s">
        <v>429</v>
      </c>
      <c r="K6170" s="183" t="s">
        <v>20823</v>
      </c>
      <c r="L6170" s="613" t="s">
        <v>1</v>
      </c>
      <c r="M6170" s="183">
        <v>15</v>
      </c>
      <c r="N6170" s="183">
        <v>1</v>
      </c>
      <c r="O6170" s="183">
        <v>15</v>
      </c>
      <c r="P6170" s="222">
        <v>0</v>
      </c>
      <c r="Q6170" s="222">
        <v>0</v>
      </c>
      <c r="R6170" s="1195">
        <v>550</v>
      </c>
      <c r="S6170" s="1195">
        <f t="shared" si="340"/>
        <v>8250</v>
      </c>
      <c r="T6170" s="222" t="s">
        <v>12425</v>
      </c>
      <c r="U6170" s="1527" t="s">
        <v>1886</v>
      </c>
      <c r="V6170" s="222" t="s">
        <v>19421</v>
      </c>
      <c r="W6170" s="2235" t="s">
        <v>20824</v>
      </c>
      <c r="X6170" s="818"/>
    </row>
    <row r="6171" spans="1:24" ht="15.75" hidden="1" customHeight="1">
      <c r="A6171" s="222">
        <f t="shared" si="337"/>
        <v>55</v>
      </c>
      <c r="B6171" s="858">
        <v>44894</v>
      </c>
      <c r="C6171" s="129" t="s">
        <v>20825</v>
      </c>
      <c r="D6171" s="11" t="s">
        <v>6</v>
      </c>
      <c r="E6171" s="2286" t="s">
        <v>19577</v>
      </c>
      <c r="F6171" s="1006" t="s">
        <v>7046</v>
      </c>
      <c r="G6171" s="863" t="s">
        <v>20826</v>
      </c>
      <c r="H6171" s="222" t="s">
        <v>686</v>
      </c>
      <c r="I6171" s="222" t="s">
        <v>429</v>
      </c>
      <c r="J6171" s="222" t="s">
        <v>686</v>
      </c>
      <c r="K6171" s="183" t="s">
        <v>20827</v>
      </c>
      <c r="L6171" s="613" t="s">
        <v>1</v>
      </c>
      <c r="M6171" s="183">
        <v>10</v>
      </c>
      <c r="N6171" s="183">
        <v>1</v>
      </c>
      <c r="O6171" s="183">
        <v>10</v>
      </c>
      <c r="P6171" s="222">
        <v>0</v>
      </c>
      <c r="Q6171" s="222">
        <v>0</v>
      </c>
      <c r="R6171" s="1195">
        <v>284</v>
      </c>
      <c r="S6171" s="1195">
        <f t="shared" si="340"/>
        <v>2840</v>
      </c>
      <c r="T6171" s="222" t="s">
        <v>12425</v>
      </c>
      <c r="U6171" s="1527" t="s">
        <v>1886</v>
      </c>
      <c r="V6171" s="222" t="s">
        <v>19421</v>
      </c>
      <c r="W6171" s="2235" t="s">
        <v>20828</v>
      </c>
      <c r="X6171" s="818"/>
    </row>
    <row r="6172" spans="1:24" ht="15.75" hidden="1" customHeight="1">
      <c r="A6172" s="222">
        <f t="shared" si="337"/>
        <v>56</v>
      </c>
      <c r="B6172" s="858">
        <v>44894</v>
      </c>
      <c r="C6172" s="129" t="s">
        <v>20825</v>
      </c>
      <c r="D6172" s="11" t="s">
        <v>6</v>
      </c>
      <c r="E6172" s="2286" t="s">
        <v>19577</v>
      </c>
      <c r="F6172" s="1006" t="s">
        <v>7046</v>
      </c>
      <c r="G6172" s="863" t="s">
        <v>20829</v>
      </c>
      <c r="H6172" s="222" t="s">
        <v>686</v>
      </c>
      <c r="I6172" s="222" t="s">
        <v>429</v>
      </c>
      <c r="J6172" s="222" t="s">
        <v>686</v>
      </c>
      <c r="K6172" s="183" t="s">
        <v>20830</v>
      </c>
      <c r="L6172" s="613" t="s">
        <v>1</v>
      </c>
      <c r="M6172" s="183">
        <v>10</v>
      </c>
      <c r="N6172" s="183">
        <v>1</v>
      </c>
      <c r="O6172" s="183">
        <v>10</v>
      </c>
      <c r="P6172" s="222">
        <v>0</v>
      </c>
      <c r="Q6172" s="222">
        <v>0</v>
      </c>
      <c r="R6172" s="1195">
        <v>806</v>
      </c>
      <c r="S6172" s="1195">
        <f t="shared" si="340"/>
        <v>8060</v>
      </c>
      <c r="T6172" s="222" t="s">
        <v>12425</v>
      </c>
      <c r="U6172" s="1527" t="s">
        <v>1886</v>
      </c>
      <c r="V6172" s="222" t="s">
        <v>19421</v>
      </c>
      <c r="W6172" s="2235" t="s">
        <v>20831</v>
      </c>
      <c r="X6172" s="818"/>
    </row>
    <row r="6173" spans="1:24" ht="15.75" hidden="1" customHeight="1">
      <c r="A6173" s="222">
        <f t="shared" si="337"/>
        <v>57</v>
      </c>
      <c r="B6173" s="858">
        <v>44894</v>
      </c>
      <c r="C6173" s="129" t="s">
        <v>20832</v>
      </c>
      <c r="D6173" s="11" t="s">
        <v>6</v>
      </c>
      <c r="E6173" s="2286" t="s">
        <v>19577</v>
      </c>
      <c r="F6173" s="1006" t="s">
        <v>7046</v>
      </c>
      <c r="G6173" s="863" t="s">
        <v>20833</v>
      </c>
      <c r="H6173" s="222" t="s">
        <v>429</v>
      </c>
      <c r="I6173" s="222" t="s">
        <v>429</v>
      </c>
      <c r="J6173" s="222" t="s">
        <v>429</v>
      </c>
      <c r="K6173" s="183" t="s">
        <v>20834</v>
      </c>
      <c r="L6173" s="613" t="s">
        <v>1</v>
      </c>
      <c r="M6173" s="183">
        <v>8</v>
      </c>
      <c r="N6173" s="183">
        <v>1</v>
      </c>
      <c r="O6173" s="183">
        <v>8</v>
      </c>
      <c r="P6173" s="222">
        <v>0</v>
      </c>
      <c r="Q6173" s="222">
        <v>0</v>
      </c>
      <c r="R6173" s="1195">
        <v>941</v>
      </c>
      <c r="S6173" s="1195">
        <f t="shared" si="340"/>
        <v>7528</v>
      </c>
      <c r="T6173" s="222" t="s">
        <v>12425</v>
      </c>
      <c r="U6173" s="1527" t="s">
        <v>1886</v>
      </c>
      <c r="V6173" s="222" t="s">
        <v>19421</v>
      </c>
      <c r="W6173" s="2235" t="s">
        <v>20835</v>
      </c>
      <c r="X6173" s="818"/>
    </row>
    <row r="6174" spans="1:24" ht="15.75" hidden="1" customHeight="1">
      <c r="A6174" s="222">
        <f t="shared" si="337"/>
        <v>58</v>
      </c>
      <c r="B6174" s="858">
        <v>44894</v>
      </c>
      <c r="C6174" s="129" t="s">
        <v>20832</v>
      </c>
      <c r="D6174" s="11" t="s">
        <v>6</v>
      </c>
      <c r="E6174" s="2286" t="s">
        <v>19577</v>
      </c>
      <c r="F6174" s="1006" t="s">
        <v>7046</v>
      </c>
      <c r="G6174" s="859" t="s">
        <v>20836</v>
      </c>
      <c r="H6174" s="222" t="s">
        <v>429</v>
      </c>
      <c r="I6174" s="222" t="s">
        <v>429</v>
      </c>
      <c r="J6174" s="222" t="s">
        <v>429</v>
      </c>
      <c r="K6174" s="183" t="s">
        <v>20837</v>
      </c>
      <c r="L6174" s="613" t="s">
        <v>1</v>
      </c>
      <c r="M6174" s="183">
        <v>8</v>
      </c>
      <c r="N6174" s="183">
        <v>1</v>
      </c>
      <c r="O6174" s="183">
        <v>8</v>
      </c>
      <c r="P6174" s="222">
        <v>0</v>
      </c>
      <c r="Q6174" s="222">
        <v>0</v>
      </c>
      <c r="R6174" s="1195">
        <v>1464</v>
      </c>
      <c r="S6174" s="1195">
        <f t="shared" si="340"/>
        <v>11712</v>
      </c>
      <c r="T6174" s="222" t="s">
        <v>12425</v>
      </c>
      <c r="U6174" s="1527" t="s">
        <v>1886</v>
      </c>
      <c r="V6174" s="222" t="s">
        <v>19421</v>
      </c>
      <c r="W6174" s="2235" t="s">
        <v>20838</v>
      </c>
      <c r="X6174" s="818"/>
    </row>
    <row r="6175" spans="1:24" ht="15.75" hidden="1" customHeight="1">
      <c r="A6175" s="222">
        <f t="shared" si="337"/>
        <v>59</v>
      </c>
      <c r="B6175" s="858">
        <v>44895</v>
      </c>
      <c r="C6175" s="129" t="s">
        <v>20839</v>
      </c>
      <c r="D6175" s="11" t="s">
        <v>6</v>
      </c>
      <c r="E6175" t="s">
        <v>20840</v>
      </c>
      <c r="F6175" s="1006" t="s">
        <v>15653</v>
      </c>
      <c r="G6175" s="863" t="s">
        <v>20841</v>
      </c>
      <c r="H6175" s="1193" t="s">
        <v>20842</v>
      </c>
      <c r="I6175" s="222" t="s">
        <v>39</v>
      </c>
      <c r="J6175" s="129" t="s">
        <v>20843</v>
      </c>
      <c r="K6175" s="129" t="s">
        <v>20844</v>
      </c>
      <c r="L6175" s="613" t="s">
        <v>20845</v>
      </c>
      <c r="M6175" s="183">
        <v>4</v>
      </c>
      <c r="N6175" s="183">
        <v>10</v>
      </c>
      <c r="O6175" s="222">
        <v>10</v>
      </c>
      <c r="P6175" s="222">
        <v>0</v>
      </c>
      <c r="Q6175" s="222">
        <v>6</v>
      </c>
      <c r="R6175" s="1195">
        <v>295.68</v>
      </c>
      <c r="S6175" s="1195">
        <f t="shared" ref="S6175:S6180" si="341">R6175*O6175</f>
        <v>2956.8</v>
      </c>
      <c r="T6175" s="222" t="s">
        <v>18479</v>
      </c>
      <c r="U6175" s="1527" t="s">
        <v>2703</v>
      </c>
      <c r="V6175" s="222" t="s">
        <v>931</v>
      </c>
      <c r="W6175" s="811" t="s">
        <v>20846</v>
      </c>
      <c r="X6175" s="818"/>
    </row>
    <row r="6176" spans="1:24" ht="15.75" hidden="1" customHeight="1">
      <c r="A6176" s="222">
        <f t="shared" si="337"/>
        <v>60</v>
      </c>
      <c r="B6176" s="858">
        <v>44895</v>
      </c>
      <c r="C6176" s="129" t="s">
        <v>20847</v>
      </c>
      <c r="D6176" s="11" t="s">
        <v>6</v>
      </c>
      <c r="E6176" s="818" t="s">
        <v>20840</v>
      </c>
      <c r="F6176" s="1006" t="s">
        <v>15653</v>
      </c>
      <c r="G6176" s="863" t="s">
        <v>20848</v>
      </c>
      <c r="H6176" s="222" t="s">
        <v>2701</v>
      </c>
      <c r="I6176" s="222" t="s">
        <v>39</v>
      </c>
      <c r="J6176" s="183" t="s">
        <v>20849</v>
      </c>
      <c r="K6176" s="129" t="s">
        <v>20850</v>
      </c>
      <c r="L6176" s="613" t="s">
        <v>20851</v>
      </c>
      <c r="M6176" s="183">
        <v>2</v>
      </c>
      <c r="N6176" s="183">
        <v>5</v>
      </c>
      <c r="O6176" s="222">
        <v>5</v>
      </c>
      <c r="P6176" s="222">
        <v>0</v>
      </c>
      <c r="Q6176" s="222">
        <v>3</v>
      </c>
      <c r="R6176" s="1195">
        <v>78.98</v>
      </c>
      <c r="S6176" s="1195">
        <f t="shared" si="341"/>
        <v>394.90000000000003</v>
      </c>
      <c r="T6176" s="222" t="s">
        <v>18479</v>
      </c>
      <c r="U6176" s="1527" t="s">
        <v>2703</v>
      </c>
      <c r="V6176" s="222" t="s">
        <v>931</v>
      </c>
      <c r="W6176" s="2235" t="s">
        <v>20852</v>
      </c>
      <c r="X6176" s="818"/>
    </row>
    <row r="6177" spans="1:24" ht="15.75" hidden="1" customHeight="1">
      <c r="A6177" s="222">
        <f t="shared" si="337"/>
        <v>61</v>
      </c>
      <c r="B6177" s="858">
        <v>44896</v>
      </c>
      <c r="C6177" s="129" t="s">
        <v>20853</v>
      </c>
      <c r="D6177" s="11" t="s">
        <v>6</v>
      </c>
      <c r="E6177" s="2286" t="s">
        <v>19577</v>
      </c>
      <c r="F6177" s="1006" t="s">
        <v>7046</v>
      </c>
      <c r="G6177" s="859" t="s">
        <v>20854</v>
      </c>
      <c r="H6177" s="222" t="s">
        <v>429</v>
      </c>
      <c r="I6177" s="222" t="s">
        <v>429</v>
      </c>
      <c r="J6177" s="183" t="s">
        <v>20855</v>
      </c>
      <c r="K6177" s="183" t="s">
        <v>20855</v>
      </c>
      <c r="L6177" s="613" t="s">
        <v>1</v>
      </c>
      <c r="M6177" s="183">
        <v>4</v>
      </c>
      <c r="N6177" s="183">
        <v>1</v>
      </c>
      <c r="O6177" s="222">
        <v>4</v>
      </c>
      <c r="P6177" s="222">
        <v>0</v>
      </c>
      <c r="Q6177" s="222">
        <v>0</v>
      </c>
      <c r="R6177" s="1195">
        <v>420</v>
      </c>
      <c r="S6177" s="1195">
        <f t="shared" si="341"/>
        <v>1680</v>
      </c>
      <c r="T6177" s="222" t="s">
        <v>12425</v>
      </c>
      <c r="U6177" s="1527" t="s">
        <v>1886</v>
      </c>
      <c r="V6177" s="222" t="s">
        <v>19421</v>
      </c>
      <c r="W6177" s="2235" t="s">
        <v>20856</v>
      </c>
      <c r="X6177" s="818"/>
    </row>
    <row r="6178" spans="1:24" ht="15.75" hidden="1" customHeight="1">
      <c r="A6178" s="222">
        <f t="shared" si="337"/>
        <v>62</v>
      </c>
      <c r="B6178" s="858">
        <v>44896</v>
      </c>
      <c r="C6178" s="129" t="s">
        <v>20857</v>
      </c>
      <c r="D6178" s="11" t="s">
        <v>6</v>
      </c>
      <c r="E6178" s="2286" t="s">
        <v>19577</v>
      </c>
      <c r="F6178" s="1006" t="s">
        <v>7046</v>
      </c>
      <c r="G6178" s="859" t="s">
        <v>20858</v>
      </c>
      <c r="H6178" s="222" t="s">
        <v>429</v>
      </c>
      <c r="I6178" s="222" t="s">
        <v>429</v>
      </c>
      <c r="J6178" s="183" t="s">
        <v>20859</v>
      </c>
      <c r="K6178" s="183" t="s">
        <v>20859</v>
      </c>
      <c r="L6178" s="613" t="s">
        <v>1</v>
      </c>
      <c r="M6178" s="183">
        <v>4</v>
      </c>
      <c r="N6178" s="183">
        <v>1</v>
      </c>
      <c r="O6178" s="222">
        <v>4</v>
      </c>
      <c r="P6178" s="222">
        <v>0</v>
      </c>
      <c r="Q6178" s="222">
        <v>0</v>
      </c>
      <c r="R6178" s="1195">
        <v>220</v>
      </c>
      <c r="S6178" s="1195">
        <f t="shared" si="341"/>
        <v>880</v>
      </c>
      <c r="T6178" s="222" t="s">
        <v>12425</v>
      </c>
      <c r="U6178" s="1527" t="s">
        <v>1886</v>
      </c>
      <c r="V6178" s="222" t="s">
        <v>19421</v>
      </c>
      <c r="W6178" s="2235" t="s">
        <v>20860</v>
      </c>
      <c r="X6178" s="818"/>
    </row>
    <row r="6179" spans="1:24" ht="15.75" hidden="1" customHeight="1">
      <c r="A6179" s="222">
        <f t="shared" si="337"/>
        <v>63</v>
      </c>
      <c r="B6179" s="858">
        <v>44896</v>
      </c>
      <c r="C6179" s="129" t="s">
        <v>20861</v>
      </c>
      <c r="D6179" s="8" t="s">
        <v>6</v>
      </c>
      <c r="E6179" s="2286" t="s">
        <v>19577</v>
      </c>
      <c r="F6179" s="924" t="s">
        <v>20862</v>
      </c>
      <c r="G6179" s="863" t="s">
        <v>20863</v>
      </c>
      <c r="H6179" s="2293" t="s">
        <v>20864</v>
      </c>
      <c r="I6179" s="2293" t="s">
        <v>20864</v>
      </c>
      <c r="J6179" s="183"/>
      <c r="K6179" s="183"/>
      <c r="L6179" s="613"/>
      <c r="M6179" s="183"/>
      <c r="N6179" s="183"/>
      <c r="O6179" s="222"/>
      <c r="P6179" s="222"/>
      <c r="Q6179" s="222"/>
      <c r="R6179" s="1195"/>
      <c r="S6179" s="1195">
        <v>132000</v>
      </c>
      <c r="T6179" s="222" t="s">
        <v>12425</v>
      </c>
      <c r="U6179" s="1893" t="s">
        <v>20865</v>
      </c>
      <c r="V6179" s="183" t="s">
        <v>20866</v>
      </c>
      <c r="W6179" s="2233"/>
      <c r="X6179" s="818"/>
    </row>
    <row r="6180" spans="1:24" ht="15.75" hidden="1" customHeight="1">
      <c r="A6180" s="222">
        <f t="shared" si="337"/>
        <v>64</v>
      </c>
      <c r="B6180" s="858">
        <v>44896</v>
      </c>
      <c r="C6180" s="129" t="s">
        <v>19264</v>
      </c>
      <c r="D6180" s="10" t="s">
        <v>6</v>
      </c>
      <c r="E6180" t="s">
        <v>19577</v>
      </c>
      <c r="F6180" s="1006" t="s">
        <v>2876</v>
      </c>
      <c r="G6180" s="1465" t="s">
        <v>20867</v>
      </c>
      <c r="H6180" s="2296" t="s">
        <v>20868</v>
      </c>
      <c r="I6180" s="222" t="s">
        <v>574</v>
      </c>
      <c r="J6180" s="1465" t="s">
        <v>20869</v>
      </c>
      <c r="K6180" s="1465" t="s">
        <v>20870</v>
      </c>
      <c r="L6180" s="613" t="s">
        <v>4179</v>
      </c>
      <c r="M6180" s="183">
        <v>6</v>
      </c>
      <c r="N6180" s="183">
        <v>1</v>
      </c>
      <c r="O6180" s="222">
        <v>10</v>
      </c>
      <c r="P6180" s="222">
        <v>0</v>
      </c>
      <c r="Q6180" s="222">
        <v>10</v>
      </c>
      <c r="R6180" s="1195">
        <v>2581.5</v>
      </c>
      <c r="S6180" s="1195">
        <f t="shared" si="341"/>
        <v>25815</v>
      </c>
      <c r="T6180" s="222" t="s">
        <v>311</v>
      </c>
      <c r="U6180" s="1527" t="s">
        <v>448</v>
      </c>
      <c r="V6180" s="222" t="s">
        <v>20871</v>
      </c>
      <c r="W6180" s="2235" t="s">
        <v>20872</v>
      </c>
      <c r="X6180" s="818"/>
    </row>
    <row r="6181" spans="1:24" ht="15.75" hidden="1" customHeight="1">
      <c r="A6181" s="222">
        <f t="shared" si="337"/>
        <v>65</v>
      </c>
      <c r="B6181" s="858">
        <v>44901</v>
      </c>
      <c r="C6181" s="872" t="s">
        <v>12036</v>
      </c>
      <c r="D6181" s="8" t="s">
        <v>6</v>
      </c>
      <c r="E6181" s="818" t="s">
        <v>683</v>
      </c>
      <c r="F6181" s="1039" t="s">
        <v>10005</v>
      </c>
      <c r="G6181" s="873" t="s">
        <v>20873</v>
      </c>
      <c r="H6181" s="873" t="s">
        <v>20874</v>
      </c>
      <c r="I6181" s="873" t="s">
        <v>84</v>
      </c>
      <c r="J6181" s="873">
        <v>8565401</v>
      </c>
      <c r="K6181" s="873" t="s">
        <v>20875</v>
      </c>
      <c r="L6181" s="873" t="s">
        <v>20876</v>
      </c>
      <c r="M6181" s="873">
        <v>2</v>
      </c>
      <c r="N6181" s="873">
        <v>1</v>
      </c>
      <c r="O6181" s="873">
        <v>1</v>
      </c>
      <c r="P6181" s="873">
        <v>0</v>
      </c>
      <c r="Q6181" s="873">
        <v>1</v>
      </c>
      <c r="R6181" s="1733">
        <v>499</v>
      </c>
      <c r="S6181" s="1680">
        <v>499</v>
      </c>
      <c r="T6181" s="873" t="s">
        <v>4220</v>
      </c>
      <c r="U6181" s="873" t="s">
        <v>4220</v>
      </c>
      <c r="V6181" s="1039" t="s">
        <v>689</v>
      </c>
      <c r="W6181" s="2299" t="s">
        <v>20877</v>
      </c>
      <c r="X6181" s="818"/>
    </row>
    <row r="6182" spans="1:24" ht="15.75" hidden="1" customHeight="1">
      <c r="A6182" s="222">
        <f t="shared" si="337"/>
        <v>66</v>
      </c>
      <c r="B6182" s="858">
        <v>44914</v>
      </c>
      <c r="C6182" s="129" t="s">
        <v>20878</v>
      </c>
      <c r="D6182" s="11" t="s">
        <v>6</v>
      </c>
      <c r="E6182" t="s">
        <v>19577</v>
      </c>
      <c r="F6182" s="1006" t="s">
        <v>19325</v>
      </c>
      <c r="G6182" s="863" t="s">
        <v>20879</v>
      </c>
      <c r="H6182" s="222" t="s">
        <v>4841</v>
      </c>
      <c r="I6182" s="222" t="s">
        <v>1597</v>
      </c>
      <c r="J6182" s="183" t="s">
        <v>20880</v>
      </c>
      <c r="K6182" s="183" t="s">
        <v>20881</v>
      </c>
      <c r="L6182" s="613"/>
      <c r="M6182" s="183">
        <v>40</v>
      </c>
      <c r="N6182" s="183">
        <v>1</v>
      </c>
      <c r="O6182" s="222">
        <v>50</v>
      </c>
      <c r="P6182" s="222">
        <v>0</v>
      </c>
      <c r="Q6182" s="222">
        <v>50</v>
      </c>
      <c r="R6182" s="1195">
        <f>30/1.1</f>
        <v>27.27272727272727</v>
      </c>
      <c r="S6182" s="1195">
        <f>R6182*O6182</f>
        <v>1363.6363636363635</v>
      </c>
      <c r="T6182" s="222" t="s">
        <v>311</v>
      </c>
      <c r="U6182" s="1527"/>
      <c r="V6182" s="222" t="s">
        <v>104</v>
      </c>
      <c r="W6182" s="2235" t="s">
        <v>20882</v>
      </c>
      <c r="X6182" s="818"/>
    </row>
    <row r="6183" spans="1:24" ht="15.75" hidden="1" customHeight="1">
      <c r="A6183" s="222">
        <f t="shared" si="337"/>
        <v>67</v>
      </c>
      <c r="B6183" s="858">
        <v>44914</v>
      </c>
      <c r="C6183" s="129" t="s">
        <v>20883</v>
      </c>
      <c r="D6183" s="8" t="s">
        <v>6</v>
      </c>
      <c r="E6183" t="s">
        <v>19577</v>
      </c>
      <c r="F6183" s="1006" t="s">
        <v>19325</v>
      </c>
      <c r="G6183" s="863" t="s">
        <v>20884</v>
      </c>
      <c r="H6183" s="222" t="s">
        <v>11381</v>
      </c>
      <c r="I6183" s="222" t="s">
        <v>1597</v>
      </c>
      <c r="J6183" s="183" t="s">
        <v>11382</v>
      </c>
      <c r="K6183" s="183" t="s">
        <v>11383</v>
      </c>
      <c r="L6183" s="613"/>
      <c r="M6183" s="183">
        <v>3</v>
      </c>
      <c r="N6183" s="183">
        <v>1</v>
      </c>
      <c r="O6183" s="222">
        <v>3</v>
      </c>
      <c r="P6183" s="222">
        <v>0</v>
      </c>
      <c r="Q6183" s="222">
        <v>3</v>
      </c>
      <c r="R6183" s="1195">
        <f>680/1.1</f>
        <v>618.18181818181813</v>
      </c>
      <c r="S6183" s="1195">
        <f>R6183*O6183</f>
        <v>1854.5454545454545</v>
      </c>
      <c r="T6183" s="222" t="s">
        <v>311</v>
      </c>
      <c r="U6183" s="1527"/>
      <c r="V6183" s="222" t="s">
        <v>104</v>
      </c>
      <c r="W6183" s="2235" t="s">
        <v>11384</v>
      </c>
      <c r="X6183" s="818"/>
    </row>
    <row r="6184" spans="1:24" ht="15.75" hidden="1" customHeight="1">
      <c r="A6184" s="222">
        <f t="shared" si="337"/>
        <v>68</v>
      </c>
      <c r="B6184" s="858">
        <v>44911</v>
      </c>
      <c r="C6184" s="129" t="s">
        <v>20885</v>
      </c>
      <c r="D6184" s="11" t="s">
        <v>6</v>
      </c>
      <c r="E6184" t="s">
        <v>19577</v>
      </c>
      <c r="F6184" s="924" t="s">
        <v>7046</v>
      </c>
      <c r="G6184" s="129" t="s">
        <v>20886</v>
      </c>
      <c r="H6184" s="222" t="s">
        <v>287</v>
      </c>
      <c r="I6184" s="222" t="s">
        <v>287</v>
      </c>
      <c r="J6184" s="183">
        <v>22121600115</v>
      </c>
      <c r="K6184" s="183">
        <v>22121600115</v>
      </c>
      <c r="L6184" s="613" t="s">
        <v>149</v>
      </c>
      <c r="M6184" s="183">
        <v>4</v>
      </c>
      <c r="N6184" s="183">
        <v>1</v>
      </c>
      <c r="O6184" s="222">
        <v>10</v>
      </c>
      <c r="P6184" s="222">
        <v>0</v>
      </c>
      <c r="Q6184" s="222">
        <v>6</v>
      </c>
      <c r="R6184" s="1195">
        <v>47487</v>
      </c>
      <c r="S6184" s="1195">
        <v>47487</v>
      </c>
      <c r="T6184" s="222" t="s">
        <v>12425</v>
      </c>
      <c r="U6184" s="1893" t="s">
        <v>2079</v>
      </c>
      <c r="V6184" s="1845" t="s">
        <v>19929</v>
      </c>
      <c r="W6184" s="2155" t="s">
        <v>5265</v>
      </c>
      <c r="X6184" s="818"/>
    </row>
    <row r="6185" spans="1:24" ht="15.75" hidden="1" customHeight="1">
      <c r="A6185" s="222">
        <f t="shared" si="337"/>
        <v>69</v>
      </c>
      <c r="B6185" s="858">
        <v>44914</v>
      </c>
      <c r="C6185" s="129" t="s">
        <v>20887</v>
      </c>
      <c r="D6185" s="11" t="s">
        <v>6</v>
      </c>
      <c r="E6185" t="s">
        <v>19577</v>
      </c>
      <c r="F6185" s="1006" t="s">
        <v>19325</v>
      </c>
      <c r="G6185" s="863" t="s">
        <v>20888</v>
      </c>
      <c r="H6185" s="222" t="s">
        <v>20889</v>
      </c>
      <c r="I6185" s="222" t="s">
        <v>1597</v>
      </c>
      <c r="J6185" s="183" t="s">
        <v>6181</v>
      </c>
      <c r="K6185" s="183" t="s">
        <v>6182</v>
      </c>
      <c r="L6185" s="613"/>
      <c r="M6185" s="183">
        <v>1</v>
      </c>
      <c r="N6185" s="183">
        <v>1</v>
      </c>
      <c r="O6185" s="222">
        <v>1</v>
      </c>
      <c r="P6185" s="222">
        <v>0</v>
      </c>
      <c r="Q6185" s="222">
        <v>1</v>
      </c>
      <c r="R6185" s="1195">
        <f>220/1.1</f>
        <v>199.99999999999997</v>
      </c>
      <c r="S6185" s="1195">
        <f>R6185*O6185</f>
        <v>199.99999999999997</v>
      </c>
      <c r="T6185" s="222" t="s">
        <v>311</v>
      </c>
      <c r="U6185" s="1527"/>
      <c r="V6185" s="222" t="s">
        <v>104</v>
      </c>
      <c r="W6185" s="2235" t="s">
        <v>13445</v>
      </c>
      <c r="X6185" s="818"/>
    </row>
    <row r="6186" spans="1:24" ht="15.75" hidden="1" customHeight="1">
      <c r="A6186" s="222">
        <f t="shared" si="337"/>
        <v>70</v>
      </c>
      <c r="B6186" s="858">
        <v>44914</v>
      </c>
      <c r="C6186" s="129" t="s">
        <v>20890</v>
      </c>
      <c r="D6186" s="11" t="s">
        <v>6</v>
      </c>
      <c r="E6186" t="s">
        <v>19577</v>
      </c>
      <c r="F6186" s="1006" t="s">
        <v>19325</v>
      </c>
      <c r="G6186" s="863" t="s">
        <v>20891</v>
      </c>
      <c r="H6186" s="222" t="s">
        <v>20892</v>
      </c>
      <c r="I6186" s="222" t="s">
        <v>1597</v>
      </c>
      <c r="J6186" s="183" t="s">
        <v>20893</v>
      </c>
      <c r="K6186" s="183" t="s">
        <v>20894</v>
      </c>
      <c r="L6186" s="613"/>
      <c r="M6186" s="183">
        <v>1</v>
      </c>
      <c r="N6186" s="183">
        <v>1</v>
      </c>
      <c r="O6186" s="222">
        <v>1</v>
      </c>
      <c r="P6186" s="222">
        <v>0</v>
      </c>
      <c r="Q6186" s="222">
        <v>1</v>
      </c>
      <c r="R6186" s="1195">
        <f>220/1.1</f>
        <v>199.99999999999997</v>
      </c>
      <c r="S6186" s="1195">
        <f t="shared" ref="S6186:S6188" si="342">R6186*O6186</f>
        <v>199.99999999999997</v>
      </c>
      <c r="T6186" s="222" t="s">
        <v>311</v>
      </c>
      <c r="U6186" s="1527"/>
      <c r="V6186" s="222" t="s">
        <v>104</v>
      </c>
      <c r="W6186" s="2235" t="s">
        <v>20895</v>
      </c>
      <c r="X6186" s="818"/>
    </row>
    <row r="6187" spans="1:24" ht="15.75" hidden="1" customHeight="1">
      <c r="A6187" s="222">
        <f t="shared" si="337"/>
        <v>71</v>
      </c>
      <c r="B6187" s="858">
        <v>44914</v>
      </c>
      <c r="C6187" s="129" t="s">
        <v>20896</v>
      </c>
      <c r="D6187" s="11" t="s">
        <v>6</v>
      </c>
      <c r="E6187" t="s">
        <v>19577</v>
      </c>
      <c r="F6187" s="1006" t="s">
        <v>19325</v>
      </c>
      <c r="G6187" s="863" t="s">
        <v>20897</v>
      </c>
      <c r="H6187" s="222" t="s">
        <v>20892</v>
      </c>
      <c r="I6187" s="222" t="s">
        <v>1597</v>
      </c>
      <c r="J6187" s="183" t="s">
        <v>20898</v>
      </c>
      <c r="K6187" s="183" t="s">
        <v>20899</v>
      </c>
      <c r="L6187" s="613"/>
      <c r="M6187" s="183">
        <v>1</v>
      </c>
      <c r="N6187" s="183">
        <v>1</v>
      </c>
      <c r="O6187" s="222">
        <v>1</v>
      </c>
      <c r="P6187" s="222">
        <v>0</v>
      </c>
      <c r="Q6187" s="222">
        <v>1</v>
      </c>
      <c r="R6187" s="1195">
        <f>220/1.1</f>
        <v>199.99999999999997</v>
      </c>
      <c r="S6187" s="1195">
        <f t="shared" si="342"/>
        <v>199.99999999999997</v>
      </c>
      <c r="T6187" s="222" t="s">
        <v>311</v>
      </c>
      <c r="U6187" s="1527"/>
      <c r="V6187" s="222" t="s">
        <v>104</v>
      </c>
      <c r="W6187" s="2235" t="s">
        <v>20900</v>
      </c>
      <c r="X6187" s="818"/>
    </row>
    <row r="6188" spans="1:24" ht="15.75" hidden="1" customHeight="1">
      <c r="A6188" s="222">
        <f t="shared" si="337"/>
        <v>72</v>
      </c>
      <c r="B6188" s="858">
        <v>44914</v>
      </c>
      <c r="C6188" s="129" t="s">
        <v>20901</v>
      </c>
      <c r="D6188" s="11" t="s">
        <v>6</v>
      </c>
      <c r="E6188" t="s">
        <v>19577</v>
      </c>
      <c r="F6188" s="1006" t="s">
        <v>19325</v>
      </c>
      <c r="G6188" s="863" t="s">
        <v>20902</v>
      </c>
      <c r="H6188" s="222" t="s">
        <v>4823</v>
      </c>
      <c r="I6188" s="222" t="s">
        <v>1597</v>
      </c>
      <c r="J6188" s="183" t="s">
        <v>4824</v>
      </c>
      <c r="K6188" s="183"/>
      <c r="L6188" s="613"/>
      <c r="M6188" s="183">
        <v>2</v>
      </c>
      <c r="N6188" s="183">
        <v>1</v>
      </c>
      <c r="O6188" s="222">
        <v>2</v>
      </c>
      <c r="P6188" s="222">
        <v>0</v>
      </c>
      <c r="Q6188" s="222">
        <v>2</v>
      </c>
      <c r="R6188" s="1195">
        <f>100/1.1</f>
        <v>90.909090909090907</v>
      </c>
      <c r="S6188" s="1195">
        <f t="shared" si="342"/>
        <v>181.81818181818181</v>
      </c>
      <c r="T6188" s="222" t="s">
        <v>311</v>
      </c>
      <c r="U6188" s="1527"/>
      <c r="V6188" s="222" t="s">
        <v>104</v>
      </c>
      <c r="W6188" s="2235" t="s">
        <v>11849</v>
      </c>
      <c r="X6188" s="818"/>
    </row>
    <row r="6189" spans="1:24" ht="15.75" hidden="1" customHeight="1">
      <c r="A6189" s="222">
        <f t="shared" si="337"/>
        <v>73</v>
      </c>
      <c r="B6189" s="858">
        <v>44914</v>
      </c>
      <c r="C6189" s="129" t="s">
        <v>20903</v>
      </c>
      <c r="D6189" s="11" t="s">
        <v>6</v>
      </c>
      <c r="E6189" t="s">
        <v>19577</v>
      </c>
      <c r="F6189" s="1006" t="s">
        <v>19325</v>
      </c>
      <c r="G6189" s="863" t="s">
        <v>20904</v>
      </c>
      <c r="H6189" s="222" t="s">
        <v>20905</v>
      </c>
      <c r="I6189" s="222" t="s">
        <v>1597</v>
      </c>
      <c r="J6189" s="183" t="s">
        <v>9984</v>
      </c>
      <c r="K6189" s="183" t="s">
        <v>9985</v>
      </c>
      <c r="L6189" s="613"/>
      <c r="M6189" s="183">
        <v>10</v>
      </c>
      <c r="N6189" s="183">
        <v>1</v>
      </c>
      <c r="O6189" s="222">
        <v>10</v>
      </c>
      <c r="P6189" s="222">
        <v>0</v>
      </c>
      <c r="Q6189" s="222">
        <v>10</v>
      </c>
      <c r="R6189" s="1195">
        <f>300/1.1</f>
        <v>272.72727272727269</v>
      </c>
      <c r="S6189" s="1195">
        <f>R6189*O6189</f>
        <v>2727.272727272727</v>
      </c>
      <c r="T6189" s="222" t="s">
        <v>311</v>
      </c>
      <c r="U6189" s="1527"/>
      <c r="V6189" s="222" t="s">
        <v>104</v>
      </c>
      <c r="W6189" s="2235" t="s">
        <v>9987</v>
      </c>
      <c r="X6189" s="818"/>
    </row>
    <row r="6190" spans="1:24" ht="15.75" hidden="1" customHeight="1">
      <c r="A6190" s="222">
        <f t="shared" si="337"/>
        <v>74</v>
      </c>
      <c r="B6190" s="858">
        <v>44914</v>
      </c>
      <c r="C6190" s="2302" t="s">
        <v>20906</v>
      </c>
      <c r="D6190" s="1515" t="s">
        <v>6</v>
      </c>
      <c r="E6190" t="s">
        <v>19577</v>
      </c>
      <c r="F6190" s="1006" t="s">
        <v>18660</v>
      </c>
      <c r="G6190" s="863" t="s">
        <v>20907</v>
      </c>
      <c r="H6190" s="2302" t="s">
        <v>1729</v>
      </c>
      <c r="I6190" s="222" t="s">
        <v>4634</v>
      </c>
      <c r="J6190" s="183" t="s">
        <v>20908</v>
      </c>
      <c r="K6190" s="183" t="s">
        <v>1731</v>
      </c>
      <c r="L6190" s="613" t="s">
        <v>1</v>
      </c>
      <c r="M6190" s="2302">
        <v>1</v>
      </c>
      <c r="N6190" s="183">
        <v>1</v>
      </c>
      <c r="O6190" s="2302">
        <v>1</v>
      </c>
      <c r="P6190" s="222">
        <v>0</v>
      </c>
      <c r="Q6190" s="222">
        <v>0</v>
      </c>
      <c r="R6190" s="1195">
        <v>7018</v>
      </c>
      <c r="S6190" s="1195">
        <f t="shared" ref="S6190:S6203" si="343">R6190*O6190</f>
        <v>7018</v>
      </c>
      <c r="T6190" s="222" t="s">
        <v>311</v>
      </c>
      <c r="U6190" s="1527"/>
      <c r="V6190" s="222" t="s">
        <v>104</v>
      </c>
      <c r="W6190" s="2233" t="s">
        <v>20909</v>
      </c>
      <c r="X6190" s="818"/>
    </row>
    <row r="6191" spans="1:24" ht="15.75" hidden="1" customHeight="1">
      <c r="A6191" s="222">
        <f t="shared" si="337"/>
        <v>75</v>
      </c>
      <c r="B6191" s="858">
        <v>44914</v>
      </c>
      <c r="C6191" s="2259" t="s">
        <v>20910</v>
      </c>
      <c r="D6191" s="1515" t="s">
        <v>6</v>
      </c>
      <c r="E6191" t="s">
        <v>19577</v>
      </c>
      <c r="F6191" s="1006" t="s">
        <v>18660</v>
      </c>
      <c r="G6191" s="863" t="s">
        <v>20911</v>
      </c>
      <c r="H6191" s="2259" t="s">
        <v>15185</v>
      </c>
      <c r="I6191" s="222" t="s">
        <v>4634</v>
      </c>
      <c r="J6191" s="183" t="s">
        <v>20912</v>
      </c>
      <c r="K6191" s="183" t="s">
        <v>20913</v>
      </c>
      <c r="L6191" s="613" t="s">
        <v>1</v>
      </c>
      <c r="M6191" s="2259">
        <v>1</v>
      </c>
      <c r="N6191" s="183">
        <v>1</v>
      </c>
      <c r="O6191" s="2259">
        <v>1</v>
      </c>
      <c r="P6191" s="222">
        <v>0</v>
      </c>
      <c r="Q6191" s="222">
        <v>0</v>
      </c>
      <c r="R6191" s="1195">
        <v>12325</v>
      </c>
      <c r="S6191" s="1195">
        <f t="shared" si="343"/>
        <v>12325</v>
      </c>
      <c r="T6191" s="222" t="s">
        <v>311</v>
      </c>
      <c r="U6191" s="1527"/>
      <c r="V6191" s="222" t="s">
        <v>104</v>
      </c>
      <c r="W6191" s="2233" t="s">
        <v>20914</v>
      </c>
      <c r="X6191" s="818"/>
    </row>
    <row r="6192" spans="1:24" ht="15.75" hidden="1" customHeight="1">
      <c r="A6192" s="222">
        <f t="shared" si="337"/>
        <v>76</v>
      </c>
      <c r="B6192" s="858">
        <v>44914</v>
      </c>
      <c r="C6192" s="2259" t="s">
        <v>20915</v>
      </c>
      <c r="D6192" s="1515" t="s">
        <v>6</v>
      </c>
      <c r="E6192" t="s">
        <v>19577</v>
      </c>
      <c r="F6192" s="1006" t="s">
        <v>18660</v>
      </c>
      <c r="G6192" s="863" t="s">
        <v>20916</v>
      </c>
      <c r="H6192" s="2259" t="s">
        <v>20917</v>
      </c>
      <c r="I6192" s="222" t="s">
        <v>4634</v>
      </c>
      <c r="J6192" s="183" t="s">
        <v>20918</v>
      </c>
      <c r="K6192" s="183" t="s">
        <v>20919</v>
      </c>
      <c r="L6192" s="613" t="s">
        <v>1</v>
      </c>
      <c r="M6192" s="2259">
        <v>2</v>
      </c>
      <c r="N6192" s="183">
        <v>1</v>
      </c>
      <c r="O6192" s="2259">
        <v>2</v>
      </c>
      <c r="P6192" s="222">
        <v>0</v>
      </c>
      <c r="Q6192" s="222">
        <v>0</v>
      </c>
      <c r="R6192" s="1195">
        <v>1435.5</v>
      </c>
      <c r="S6192" s="1195">
        <f t="shared" si="343"/>
        <v>2871</v>
      </c>
      <c r="T6192" s="222" t="s">
        <v>311</v>
      </c>
      <c r="U6192" s="1527"/>
      <c r="V6192" s="222" t="s">
        <v>104</v>
      </c>
      <c r="W6192" s="2233" t="s">
        <v>20920</v>
      </c>
      <c r="X6192" s="818"/>
    </row>
    <row r="6193" spans="1:24" ht="15.75" hidden="1" customHeight="1">
      <c r="A6193" s="222">
        <f>+A6192+1</f>
        <v>77</v>
      </c>
      <c r="B6193" s="858">
        <v>44914</v>
      </c>
      <c r="C6193" s="2259" t="s">
        <v>20921</v>
      </c>
      <c r="D6193" s="1515" t="s">
        <v>6</v>
      </c>
      <c r="E6193" t="s">
        <v>19577</v>
      </c>
      <c r="F6193" s="1006" t="s">
        <v>18660</v>
      </c>
      <c r="G6193" s="863" t="s">
        <v>20922</v>
      </c>
      <c r="H6193" s="2259" t="s">
        <v>14528</v>
      </c>
      <c r="I6193" s="222" t="s">
        <v>4634</v>
      </c>
      <c r="J6193" s="183" t="s">
        <v>20923</v>
      </c>
      <c r="K6193" s="183" t="s">
        <v>4884</v>
      </c>
      <c r="L6193" s="613" t="s">
        <v>1</v>
      </c>
      <c r="M6193" s="2259">
        <v>1</v>
      </c>
      <c r="N6193" s="183">
        <v>1</v>
      </c>
      <c r="O6193" s="2259">
        <v>1</v>
      </c>
      <c r="P6193" s="222">
        <v>0</v>
      </c>
      <c r="Q6193" s="222">
        <v>0</v>
      </c>
      <c r="R6193" s="1195">
        <v>3904.9</v>
      </c>
      <c r="S6193" s="1195">
        <f t="shared" si="343"/>
        <v>3904.9</v>
      </c>
      <c r="T6193" s="222" t="s">
        <v>311</v>
      </c>
      <c r="U6193" s="1527"/>
      <c r="V6193" s="222" t="s">
        <v>104</v>
      </c>
      <c r="W6193" s="2233" t="s">
        <v>20924</v>
      </c>
      <c r="X6193" s="818"/>
    </row>
    <row r="6194" spans="1:24" ht="15.75" hidden="1" customHeight="1">
      <c r="A6194" s="222">
        <f t="shared" ref="A6194:A6197" si="344">+A6193+1</f>
        <v>78</v>
      </c>
      <c r="B6194" s="858">
        <v>44914</v>
      </c>
      <c r="C6194" s="2259" t="s">
        <v>20925</v>
      </c>
      <c r="D6194" s="1515" t="s">
        <v>6</v>
      </c>
      <c r="E6194" t="s">
        <v>19577</v>
      </c>
      <c r="F6194" s="1006" t="s">
        <v>18660</v>
      </c>
      <c r="G6194" s="863" t="s">
        <v>20926</v>
      </c>
      <c r="H6194" s="2259" t="s">
        <v>2547</v>
      </c>
      <c r="I6194" s="222" t="s">
        <v>4634</v>
      </c>
      <c r="J6194" s="183" t="s">
        <v>20927</v>
      </c>
      <c r="K6194" s="183" t="s">
        <v>20928</v>
      </c>
      <c r="L6194" s="613" t="s">
        <v>1</v>
      </c>
      <c r="M6194" s="2259">
        <v>3</v>
      </c>
      <c r="N6194" s="183">
        <v>1</v>
      </c>
      <c r="O6194" s="2259">
        <v>10</v>
      </c>
      <c r="P6194" s="222">
        <v>0</v>
      </c>
      <c r="Q6194" s="222">
        <v>7</v>
      </c>
      <c r="R6194" s="1195">
        <v>107.3</v>
      </c>
      <c r="S6194" s="1195">
        <f t="shared" si="343"/>
        <v>1073</v>
      </c>
      <c r="T6194" s="222" t="s">
        <v>311</v>
      </c>
      <c r="U6194" s="1527"/>
      <c r="V6194" s="222" t="s">
        <v>104</v>
      </c>
      <c r="W6194" s="2233" t="s">
        <v>20929</v>
      </c>
      <c r="X6194" s="818"/>
    </row>
    <row r="6195" spans="1:24" ht="15.75" hidden="1" customHeight="1">
      <c r="A6195" s="222">
        <f t="shared" si="344"/>
        <v>79</v>
      </c>
      <c r="B6195" s="858">
        <v>44914</v>
      </c>
      <c r="C6195" s="2259" t="s">
        <v>20930</v>
      </c>
      <c r="D6195" s="1515" t="s">
        <v>6</v>
      </c>
      <c r="E6195" t="s">
        <v>19577</v>
      </c>
      <c r="F6195" s="1006" t="s">
        <v>18660</v>
      </c>
      <c r="G6195" s="863" t="s">
        <v>20931</v>
      </c>
      <c r="H6195" s="2259" t="s">
        <v>20932</v>
      </c>
      <c r="I6195" s="222" t="s">
        <v>4634</v>
      </c>
      <c r="J6195" s="183" t="s">
        <v>20933</v>
      </c>
      <c r="K6195" s="183" t="s">
        <v>20934</v>
      </c>
      <c r="L6195" s="613" t="s">
        <v>7002</v>
      </c>
      <c r="M6195" s="2259">
        <v>1</v>
      </c>
      <c r="N6195" s="183">
        <v>1</v>
      </c>
      <c r="O6195" s="2259">
        <v>1</v>
      </c>
      <c r="P6195" s="222">
        <v>0</v>
      </c>
      <c r="Q6195" s="222">
        <v>0</v>
      </c>
      <c r="R6195" s="1195">
        <v>638</v>
      </c>
      <c r="S6195" s="1195">
        <f t="shared" si="343"/>
        <v>638</v>
      </c>
      <c r="T6195" s="222" t="s">
        <v>311</v>
      </c>
      <c r="U6195" s="1527"/>
      <c r="V6195" s="222" t="s">
        <v>104</v>
      </c>
      <c r="W6195" s="2233" t="s">
        <v>20935</v>
      </c>
      <c r="X6195" s="818"/>
    </row>
    <row r="6196" spans="1:24" ht="15.75" hidden="1" customHeight="1">
      <c r="A6196" s="222">
        <f t="shared" si="344"/>
        <v>80</v>
      </c>
      <c r="B6196" s="858">
        <v>44914</v>
      </c>
      <c r="C6196" s="2259" t="s">
        <v>20936</v>
      </c>
      <c r="D6196" s="1515" t="s">
        <v>6</v>
      </c>
      <c r="E6196" t="s">
        <v>19577</v>
      </c>
      <c r="F6196" s="1006" t="s">
        <v>18660</v>
      </c>
      <c r="G6196" s="863" t="s">
        <v>20937</v>
      </c>
      <c r="H6196" s="2259" t="s">
        <v>20932</v>
      </c>
      <c r="I6196" s="222" t="s">
        <v>4634</v>
      </c>
      <c r="J6196" s="183" t="s">
        <v>17790</v>
      </c>
      <c r="K6196" s="183" t="s">
        <v>17791</v>
      </c>
      <c r="L6196" s="613" t="s">
        <v>7002</v>
      </c>
      <c r="M6196" s="2259">
        <v>1</v>
      </c>
      <c r="N6196" s="183">
        <v>1</v>
      </c>
      <c r="O6196" s="2259">
        <v>1</v>
      </c>
      <c r="P6196" s="222">
        <v>0</v>
      </c>
      <c r="Q6196" s="222">
        <v>0</v>
      </c>
      <c r="R6196" s="1195">
        <v>638</v>
      </c>
      <c r="S6196" s="1195">
        <f t="shared" si="343"/>
        <v>638</v>
      </c>
      <c r="T6196" s="222" t="s">
        <v>311</v>
      </c>
      <c r="U6196" s="1527"/>
      <c r="V6196" s="222" t="s">
        <v>104</v>
      </c>
      <c r="W6196" s="2233" t="s">
        <v>20938</v>
      </c>
      <c r="X6196" s="818"/>
    </row>
    <row r="6197" spans="1:24" ht="15.75" hidden="1" customHeight="1">
      <c r="A6197" s="222">
        <f t="shared" si="344"/>
        <v>81</v>
      </c>
      <c r="B6197" s="858">
        <v>44914</v>
      </c>
      <c r="C6197" s="2302" t="s">
        <v>20939</v>
      </c>
      <c r="D6197" s="8" t="s">
        <v>6</v>
      </c>
      <c r="E6197" t="s">
        <v>19577</v>
      </c>
      <c r="F6197" s="1006" t="s">
        <v>18660</v>
      </c>
      <c r="G6197" s="2301" t="s">
        <v>20940</v>
      </c>
      <c r="H6197" s="222" t="s">
        <v>1199</v>
      </c>
      <c r="I6197" s="222" t="s">
        <v>20941</v>
      </c>
      <c r="J6197" s="183" t="s">
        <v>1</v>
      </c>
      <c r="K6197" s="183" t="s">
        <v>1</v>
      </c>
      <c r="L6197" s="613" t="s">
        <v>1</v>
      </c>
      <c r="M6197" s="183">
        <v>3</v>
      </c>
      <c r="N6197" s="183">
        <v>1</v>
      </c>
      <c r="O6197" s="222">
        <v>3</v>
      </c>
      <c r="P6197" s="222">
        <v>0</v>
      </c>
      <c r="Q6197" s="222">
        <v>0</v>
      </c>
      <c r="R6197" s="1195">
        <v>6999</v>
      </c>
      <c r="S6197" s="1195">
        <f t="shared" si="343"/>
        <v>20997</v>
      </c>
      <c r="T6197" s="222" t="s">
        <v>311</v>
      </c>
      <c r="U6197" s="1527"/>
      <c r="V6197" s="222" t="s">
        <v>104</v>
      </c>
      <c r="W6197" s="2235" t="s">
        <v>20942</v>
      </c>
      <c r="X6197" s="818"/>
    </row>
    <row r="6198" spans="1:24" ht="15.75" hidden="1" customHeight="1">
      <c r="A6198" s="222">
        <f t="shared" ref="A6198" si="345">+A6197+1</f>
        <v>82</v>
      </c>
      <c r="B6198" s="858">
        <v>44915</v>
      </c>
      <c r="C6198" s="129" t="s">
        <v>20943</v>
      </c>
      <c r="D6198" s="11" t="s">
        <v>6</v>
      </c>
      <c r="E6198" t="s">
        <v>19577</v>
      </c>
      <c r="F6198" s="1006" t="s">
        <v>7046</v>
      </c>
      <c r="G6198" s="863" t="s">
        <v>19100</v>
      </c>
      <c r="H6198" s="222" t="s">
        <v>19101</v>
      </c>
      <c r="I6198" s="222" t="s">
        <v>19101</v>
      </c>
      <c r="J6198" s="183" t="s">
        <v>19102</v>
      </c>
      <c r="K6198" s="183" t="s">
        <v>19102</v>
      </c>
      <c r="L6198" s="613"/>
      <c r="M6198" s="183">
        <v>2</v>
      </c>
      <c r="N6198" s="183">
        <v>1</v>
      </c>
      <c r="O6198" s="222">
        <v>2</v>
      </c>
      <c r="P6198" s="222">
        <v>0</v>
      </c>
      <c r="Q6198" s="222">
        <v>0</v>
      </c>
      <c r="R6198" s="1195">
        <v>118000</v>
      </c>
      <c r="S6198" s="1195">
        <v>236000</v>
      </c>
      <c r="T6198" s="222" t="s">
        <v>12425</v>
      </c>
      <c r="U6198" s="1527" t="s">
        <v>20944</v>
      </c>
      <c r="V6198" s="222" t="s">
        <v>104</v>
      </c>
      <c r="W6198" s="2155" t="s">
        <v>16931</v>
      </c>
      <c r="X6198" s="818"/>
    </row>
    <row r="6199" spans="1:24" ht="15.75" hidden="1" customHeight="1">
      <c r="A6199" s="222">
        <f t="shared" ref="A6199" si="346">+A6198+1</f>
        <v>83</v>
      </c>
      <c r="B6199" s="858">
        <v>44915</v>
      </c>
      <c r="C6199" s="129" t="s">
        <v>20945</v>
      </c>
      <c r="D6199" s="11" t="s">
        <v>6</v>
      </c>
      <c r="E6199" t="s">
        <v>19577</v>
      </c>
      <c r="F6199" s="1006" t="s">
        <v>7046</v>
      </c>
      <c r="G6199" s="863" t="s">
        <v>19717</v>
      </c>
      <c r="H6199" s="222" t="s">
        <v>1143</v>
      </c>
      <c r="I6199" s="222" t="s">
        <v>574</v>
      </c>
      <c r="J6199" s="183" t="s">
        <v>20946</v>
      </c>
      <c r="K6199" s="183">
        <v>5011938000</v>
      </c>
      <c r="L6199" s="613"/>
      <c r="M6199" s="183">
        <v>20</v>
      </c>
      <c r="N6199" s="183">
        <v>10</v>
      </c>
      <c r="O6199" s="183">
        <v>50</v>
      </c>
      <c r="P6199" s="222">
        <v>0</v>
      </c>
      <c r="Q6199" s="222">
        <v>30</v>
      </c>
      <c r="R6199" s="1195">
        <v>24.4</v>
      </c>
      <c r="S6199" s="1195">
        <f t="shared" si="343"/>
        <v>1220</v>
      </c>
      <c r="T6199" s="222" t="s">
        <v>12425</v>
      </c>
      <c r="U6199" s="1527" t="s">
        <v>20944</v>
      </c>
      <c r="V6199" s="222" t="s">
        <v>104</v>
      </c>
      <c r="W6199" s="2235" t="s">
        <v>20947</v>
      </c>
      <c r="X6199" s="818"/>
    </row>
    <row r="6200" spans="1:24" ht="15.75" hidden="1" customHeight="1">
      <c r="A6200" s="222">
        <f t="shared" ref="A6200" si="347">+A6199+1</f>
        <v>84</v>
      </c>
      <c r="B6200" s="858">
        <v>44915</v>
      </c>
      <c r="C6200" s="129" t="s">
        <v>4886</v>
      </c>
      <c r="D6200" s="11" t="s">
        <v>6</v>
      </c>
      <c r="E6200" t="s">
        <v>19577</v>
      </c>
      <c r="F6200" s="1006" t="s">
        <v>7046</v>
      </c>
      <c r="G6200" s="863" t="s">
        <v>20948</v>
      </c>
      <c r="H6200" s="222" t="s">
        <v>1143</v>
      </c>
      <c r="I6200" s="222" t="s">
        <v>574</v>
      </c>
      <c r="J6200" s="183" t="s">
        <v>20949</v>
      </c>
      <c r="K6200" s="183">
        <v>5013310707</v>
      </c>
      <c r="L6200" s="613"/>
      <c r="M6200" s="183">
        <v>2</v>
      </c>
      <c r="N6200" s="183">
        <v>10</v>
      </c>
      <c r="O6200" s="183">
        <v>10</v>
      </c>
      <c r="P6200" s="222">
        <v>0</v>
      </c>
      <c r="Q6200" s="222">
        <v>8</v>
      </c>
      <c r="R6200" s="1195">
        <v>94.2</v>
      </c>
      <c r="S6200" s="1195">
        <f t="shared" si="343"/>
        <v>942</v>
      </c>
      <c r="T6200" s="222" t="s">
        <v>12425</v>
      </c>
      <c r="U6200" s="1527" t="s">
        <v>20944</v>
      </c>
      <c r="V6200" s="222" t="s">
        <v>104</v>
      </c>
      <c r="W6200" s="2235" t="s">
        <v>20950</v>
      </c>
      <c r="X6200" s="818"/>
    </row>
    <row r="6201" spans="1:24" ht="15.75" hidden="1" customHeight="1">
      <c r="A6201" s="222">
        <f t="shared" ref="A6201" si="348">+A6200+1</f>
        <v>85</v>
      </c>
      <c r="B6201" s="858">
        <v>44915</v>
      </c>
      <c r="C6201" s="129" t="s">
        <v>152</v>
      </c>
      <c r="D6201" s="11" t="s">
        <v>6</v>
      </c>
      <c r="E6201" t="s">
        <v>19577</v>
      </c>
      <c r="F6201" s="1006" t="s">
        <v>7046</v>
      </c>
      <c r="G6201" s="863" t="s">
        <v>20951</v>
      </c>
      <c r="H6201" s="222" t="s">
        <v>166</v>
      </c>
      <c r="I6201" s="222" t="s">
        <v>574</v>
      </c>
      <c r="J6201" s="183" t="s">
        <v>20952</v>
      </c>
      <c r="K6201" s="183" t="s">
        <v>20953</v>
      </c>
      <c r="L6201" s="613" t="s">
        <v>732</v>
      </c>
      <c r="M6201" s="183">
        <v>4</v>
      </c>
      <c r="N6201" s="183">
        <v>10</v>
      </c>
      <c r="O6201" s="183">
        <v>10</v>
      </c>
      <c r="P6201" s="222">
        <v>0</v>
      </c>
      <c r="Q6201" s="222">
        <v>6</v>
      </c>
      <c r="R6201" s="1195">
        <v>52</v>
      </c>
      <c r="S6201" s="1195">
        <f t="shared" si="343"/>
        <v>520</v>
      </c>
      <c r="T6201" s="222" t="s">
        <v>12425</v>
      </c>
      <c r="U6201" s="1527" t="s">
        <v>20944</v>
      </c>
      <c r="V6201" s="222" t="s">
        <v>104</v>
      </c>
      <c r="W6201" s="2235" t="s">
        <v>20954</v>
      </c>
      <c r="X6201" s="818"/>
    </row>
    <row r="6202" spans="1:24" ht="15.75" hidden="1" customHeight="1">
      <c r="A6202" s="222">
        <v>6211</v>
      </c>
      <c r="B6202" s="858">
        <v>44915</v>
      </c>
      <c r="C6202" s="129" t="s">
        <v>20955</v>
      </c>
      <c r="D6202" s="11" t="s">
        <v>6</v>
      </c>
      <c r="E6202" t="s">
        <v>19577</v>
      </c>
      <c r="F6202" s="1006" t="s">
        <v>7046</v>
      </c>
      <c r="G6202" s="863" t="s">
        <v>20956</v>
      </c>
      <c r="H6202" s="222" t="s">
        <v>1143</v>
      </c>
      <c r="I6202" s="222" t="s">
        <v>574</v>
      </c>
      <c r="J6202" s="183" t="s">
        <v>20957</v>
      </c>
      <c r="K6202" s="183">
        <v>5013300700</v>
      </c>
      <c r="L6202" s="613"/>
      <c r="M6202" s="183">
        <v>2</v>
      </c>
      <c r="N6202" s="183">
        <v>10</v>
      </c>
      <c r="O6202" s="222">
        <v>10</v>
      </c>
      <c r="P6202" s="222">
        <v>0</v>
      </c>
      <c r="Q6202" s="222">
        <v>8</v>
      </c>
      <c r="R6202" s="1195">
        <v>53.8</v>
      </c>
      <c r="S6202" s="1195">
        <f t="shared" si="343"/>
        <v>538</v>
      </c>
      <c r="T6202" s="222" t="s">
        <v>12425</v>
      </c>
      <c r="U6202" s="1527" t="s">
        <v>20944</v>
      </c>
      <c r="V6202" s="222" t="s">
        <v>104</v>
      </c>
      <c r="W6202" s="2235" t="s">
        <v>20958</v>
      </c>
      <c r="X6202" s="818"/>
    </row>
    <row r="6203" spans="1:24" ht="15.75" hidden="1" customHeight="1">
      <c r="A6203" s="222">
        <v>6212</v>
      </c>
      <c r="B6203" s="858">
        <v>44915</v>
      </c>
      <c r="C6203" s="129" t="s">
        <v>20959</v>
      </c>
      <c r="D6203" s="11" t="s">
        <v>6</v>
      </c>
      <c r="E6203" t="s">
        <v>19577</v>
      </c>
      <c r="F6203" s="1006" t="s">
        <v>7046</v>
      </c>
      <c r="G6203" s="863" t="s">
        <v>20960</v>
      </c>
      <c r="H6203" s="222" t="s">
        <v>20961</v>
      </c>
      <c r="I6203" s="222" t="s">
        <v>574</v>
      </c>
      <c r="J6203" s="183" t="s">
        <v>20962</v>
      </c>
      <c r="K6203" s="183" t="s">
        <v>17860</v>
      </c>
      <c r="L6203" s="613"/>
      <c r="M6203" s="183">
        <v>2</v>
      </c>
      <c r="N6203" s="183">
        <v>1</v>
      </c>
      <c r="O6203" s="222">
        <v>2</v>
      </c>
      <c r="P6203" s="222">
        <v>0</v>
      </c>
      <c r="Q6203" s="222">
        <v>1</v>
      </c>
      <c r="R6203" s="1195">
        <v>4578</v>
      </c>
      <c r="S6203" s="1195">
        <f t="shared" si="343"/>
        <v>9156</v>
      </c>
      <c r="T6203" s="222" t="s">
        <v>12425</v>
      </c>
      <c r="U6203" s="1527" t="s">
        <v>20944</v>
      </c>
      <c r="V6203" s="222" t="s">
        <v>104</v>
      </c>
      <c r="W6203" s="2235" t="s">
        <v>20963</v>
      </c>
      <c r="X6203" s="818"/>
    </row>
    <row r="6204" spans="1:24" ht="15.75" hidden="1" customHeight="1">
      <c r="A6204" s="222">
        <v>6213</v>
      </c>
      <c r="B6204" s="858">
        <v>44916</v>
      </c>
      <c r="C6204" s="129" t="s">
        <v>20964</v>
      </c>
      <c r="D6204" s="8" t="s">
        <v>6</v>
      </c>
      <c r="E6204" s="818" t="s">
        <v>683</v>
      </c>
      <c r="F6204" s="1006" t="s">
        <v>73</v>
      </c>
      <c r="G6204" s="863" t="s">
        <v>20965</v>
      </c>
      <c r="H6204" s="222" t="s">
        <v>366</v>
      </c>
      <c r="I6204" s="222" t="s">
        <v>366</v>
      </c>
      <c r="J6204" s="183" t="s">
        <v>20966</v>
      </c>
      <c r="K6204" s="183" t="s">
        <v>20966</v>
      </c>
      <c r="L6204" s="613" t="s">
        <v>1</v>
      </c>
      <c r="M6204" s="183">
        <v>8</v>
      </c>
      <c r="N6204" s="183">
        <v>1</v>
      </c>
      <c r="O6204" s="222">
        <v>8</v>
      </c>
      <c r="P6204" s="222">
        <v>0</v>
      </c>
      <c r="Q6204" s="222">
        <v>0</v>
      </c>
      <c r="R6204" s="1195">
        <v>172</v>
      </c>
      <c r="S6204" s="1195">
        <v>1376</v>
      </c>
      <c r="T6204" s="222" t="s">
        <v>4220</v>
      </c>
      <c r="U6204" s="222" t="s">
        <v>17161</v>
      </c>
      <c r="V6204" s="222" t="s">
        <v>689</v>
      </c>
      <c r="W6204" s="2235" t="s">
        <v>20967</v>
      </c>
      <c r="X6204" s="818"/>
    </row>
    <row r="6205" spans="1:24" ht="15.75" hidden="1" customHeight="1">
      <c r="A6205" s="222">
        <v>6214</v>
      </c>
      <c r="B6205" s="858">
        <v>44916</v>
      </c>
      <c r="C6205" s="129" t="s">
        <v>4133</v>
      </c>
      <c r="D6205" s="8" t="s">
        <v>6</v>
      </c>
      <c r="E6205" s="818" t="s">
        <v>683</v>
      </c>
      <c r="F6205" s="1006" t="s">
        <v>73</v>
      </c>
      <c r="G6205" s="863" t="s">
        <v>20968</v>
      </c>
      <c r="H6205" s="222" t="s">
        <v>686</v>
      </c>
      <c r="I6205" s="222" t="s">
        <v>366</v>
      </c>
      <c r="J6205" s="183" t="s">
        <v>20969</v>
      </c>
      <c r="K6205" s="183" t="s">
        <v>20969</v>
      </c>
      <c r="L6205" s="613" t="s">
        <v>1</v>
      </c>
      <c r="M6205" s="183">
        <v>8</v>
      </c>
      <c r="N6205" s="183">
        <v>1</v>
      </c>
      <c r="O6205" s="222">
        <v>8</v>
      </c>
      <c r="P6205" s="222">
        <v>0</v>
      </c>
      <c r="Q6205" s="222">
        <v>0</v>
      </c>
      <c r="R6205" s="1195">
        <v>60</v>
      </c>
      <c r="S6205" s="1195">
        <v>480</v>
      </c>
      <c r="T6205" s="222" t="s">
        <v>4220</v>
      </c>
      <c r="U6205" s="222" t="s">
        <v>17161</v>
      </c>
      <c r="V6205" s="222" t="s">
        <v>689</v>
      </c>
      <c r="W6205" s="2235" t="s">
        <v>20970</v>
      </c>
      <c r="X6205" s="818"/>
    </row>
    <row r="6206" spans="1:24" ht="15.75" hidden="1" customHeight="1">
      <c r="A6206" s="222">
        <v>6215</v>
      </c>
      <c r="B6206" s="858">
        <v>44916</v>
      </c>
      <c r="C6206" s="1132" t="s">
        <v>20971</v>
      </c>
      <c r="D6206" s="874" t="s">
        <v>16488</v>
      </c>
      <c r="E6206" s="874" t="s">
        <v>16488</v>
      </c>
      <c r="F6206" s="1039" t="s">
        <v>10005</v>
      </c>
      <c r="G6206" s="874" t="s">
        <v>20972</v>
      </c>
      <c r="H6206" s="874" t="s">
        <v>2103</v>
      </c>
      <c r="I6206" s="874" t="s">
        <v>2103</v>
      </c>
      <c r="J6206" s="1461" t="s">
        <v>1</v>
      </c>
      <c r="K6206" s="1461" t="s">
        <v>1</v>
      </c>
      <c r="L6206" s="874" t="s">
        <v>149</v>
      </c>
      <c r="M6206" s="1461" t="s">
        <v>1</v>
      </c>
      <c r="N6206" s="1461" t="s">
        <v>1</v>
      </c>
      <c r="O6206" s="874">
        <v>1</v>
      </c>
      <c r="P6206" s="1180" t="s">
        <v>1</v>
      </c>
      <c r="Q6206" s="1180" t="s">
        <v>1</v>
      </c>
      <c r="R6206" s="1733">
        <v>168000</v>
      </c>
      <c r="S6206" s="1680">
        <v>168000</v>
      </c>
      <c r="T6206" s="873" t="s">
        <v>4220</v>
      </c>
      <c r="U6206" s="873" t="s">
        <v>4220</v>
      </c>
      <c r="V6206" s="1039" t="s">
        <v>689</v>
      </c>
      <c r="W6206" s="1460" t="s">
        <v>2103</v>
      </c>
      <c r="X6206" s="818"/>
    </row>
    <row r="6207" spans="1:24" ht="15.75" hidden="1" customHeight="1">
      <c r="A6207" s="222">
        <v>6216</v>
      </c>
      <c r="B6207" s="858">
        <v>44916</v>
      </c>
      <c r="C6207" s="1139" t="s">
        <v>20973</v>
      </c>
      <c r="D6207" s="1041" t="s">
        <v>16488</v>
      </c>
      <c r="E6207" s="1041" t="s">
        <v>16488</v>
      </c>
      <c r="F6207" s="1040" t="s">
        <v>10005</v>
      </c>
      <c r="G6207" s="1041" t="s">
        <v>20974</v>
      </c>
      <c r="H6207" s="1041" t="s">
        <v>2103</v>
      </c>
      <c r="I6207" s="1041" t="s">
        <v>2103</v>
      </c>
      <c r="J6207" s="1669" t="s">
        <v>1</v>
      </c>
      <c r="K6207" s="1669" t="s">
        <v>1</v>
      </c>
      <c r="L6207" s="1041" t="s">
        <v>149</v>
      </c>
      <c r="M6207" s="1669" t="s">
        <v>1</v>
      </c>
      <c r="N6207" s="1669" t="s">
        <v>1</v>
      </c>
      <c r="O6207" s="1041">
        <v>1</v>
      </c>
      <c r="P6207" s="2201" t="s">
        <v>1</v>
      </c>
      <c r="Q6207" s="2201" t="s">
        <v>1</v>
      </c>
      <c r="R6207" s="2200">
        <v>72000</v>
      </c>
      <c r="S6207" s="1681">
        <v>72000</v>
      </c>
      <c r="T6207" s="1128" t="s">
        <v>4220</v>
      </c>
      <c r="U6207" s="1128" t="s">
        <v>4220</v>
      </c>
      <c r="V6207" s="1040" t="s">
        <v>689</v>
      </c>
      <c r="W6207" s="889" t="s">
        <v>2103</v>
      </c>
      <c r="X6207" s="818"/>
    </row>
    <row r="6208" spans="1:24" ht="15.75" hidden="1" customHeight="1">
      <c r="A6208" s="222">
        <v>6217</v>
      </c>
      <c r="B6208" s="858">
        <v>44916</v>
      </c>
      <c r="C6208" s="1139" t="s">
        <v>20975</v>
      </c>
      <c r="D6208" s="1041" t="s">
        <v>16488</v>
      </c>
      <c r="E6208" s="1041" t="s">
        <v>16488</v>
      </c>
      <c r="F6208" s="1040" t="s">
        <v>10005</v>
      </c>
      <c r="G6208" s="1041" t="s">
        <v>20976</v>
      </c>
      <c r="H6208" s="1041" t="s">
        <v>2103</v>
      </c>
      <c r="I6208" s="1041" t="s">
        <v>2103</v>
      </c>
      <c r="J6208" s="1669" t="s">
        <v>1</v>
      </c>
      <c r="K6208" s="1669" t="s">
        <v>1</v>
      </c>
      <c r="L6208" s="1041" t="s">
        <v>149</v>
      </c>
      <c r="M6208" s="1669" t="s">
        <v>1</v>
      </c>
      <c r="N6208" s="1669" t="s">
        <v>1</v>
      </c>
      <c r="O6208" s="1041">
        <v>1</v>
      </c>
      <c r="P6208" s="2201" t="s">
        <v>1</v>
      </c>
      <c r="Q6208" s="2201" t="s">
        <v>1</v>
      </c>
      <c r="R6208" s="2200">
        <v>41800</v>
      </c>
      <c r="S6208" s="1681">
        <v>41800</v>
      </c>
      <c r="T6208" s="1128" t="s">
        <v>4220</v>
      </c>
      <c r="U6208" s="1128" t="s">
        <v>4220</v>
      </c>
      <c r="V6208" s="1040" t="s">
        <v>689</v>
      </c>
      <c r="W6208" s="889" t="s">
        <v>2103</v>
      </c>
      <c r="X6208" s="818"/>
    </row>
    <row r="6209" spans="1:24" ht="15.75" hidden="1" customHeight="1">
      <c r="A6209" s="222">
        <v>6218</v>
      </c>
      <c r="B6209" s="858">
        <v>44916</v>
      </c>
      <c r="C6209" s="1139" t="s">
        <v>20977</v>
      </c>
      <c r="D6209" s="1041" t="s">
        <v>16488</v>
      </c>
      <c r="E6209" s="1041" t="s">
        <v>16488</v>
      </c>
      <c r="F6209" s="1040" t="s">
        <v>10005</v>
      </c>
      <c r="G6209" s="1041" t="s">
        <v>20978</v>
      </c>
      <c r="H6209" s="1041" t="s">
        <v>2103</v>
      </c>
      <c r="I6209" s="1041" t="s">
        <v>2103</v>
      </c>
      <c r="J6209" s="1041" t="s">
        <v>20979</v>
      </c>
      <c r="K6209" s="1041" t="s">
        <v>20979</v>
      </c>
      <c r="L6209" s="1041" t="s">
        <v>20980</v>
      </c>
      <c r="M6209" s="1041">
        <v>1</v>
      </c>
      <c r="N6209" s="1041">
        <v>1</v>
      </c>
      <c r="O6209" s="1041">
        <v>1</v>
      </c>
      <c r="P6209" s="1128">
        <v>0</v>
      </c>
      <c r="Q6209" s="1128">
        <v>1</v>
      </c>
      <c r="R6209" s="2200">
        <v>1150000</v>
      </c>
      <c r="S6209" s="1681">
        <v>1150000</v>
      </c>
      <c r="T6209" s="1128" t="s">
        <v>4220</v>
      </c>
      <c r="U6209" s="1128" t="s">
        <v>4220</v>
      </c>
      <c r="V6209" s="1040" t="s">
        <v>689</v>
      </c>
      <c r="W6209" s="2303" t="s">
        <v>20981</v>
      </c>
      <c r="X6209" s="818"/>
    </row>
    <row r="6210" spans="1:24" ht="15.75" hidden="1" customHeight="1">
      <c r="A6210" s="222">
        <v>6219</v>
      </c>
      <c r="B6210" s="858">
        <v>44916</v>
      </c>
      <c r="C6210" s="1139" t="s">
        <v>20982</v>
      </c>
      <c r="D6210" s="1041" t="s">
        <v>16488</v>
      </c>
      <c r="E6210" s="1041" t="s">
        <v>16488</v>
      </c>
      <c r="F6210" s="1040" t="s">
        <v>10005</v>
      </c>
      <c r="G6210" s="1041" t="s">
        <v>20983</v>
      </c>
      <c r="H6210" s="1041" t="s">
        <v>2103</v>
      </c>
      <c r="I6210" s="1041" t="s">
        <v>2103</v>
      </c>
      <c r="J6210" s="1669" t="s">
        <v>1</v>
      </c>
      <c r="K6210" s="1669" t="s">
        <v>1</v>
      </c>
      <c r="L6210" s="1041" t="s">
        <v>149</v>
      </c>
      <c r="M6210" s="1669" t="s">
        <v>1</v>
      </c>
      <c r="N6210" s="1669" t="s">
        <v>1</v>
      </c>
      <c r="O6210" s="1041">
        <v>1</v>
      </c>
      <c r="P6210" s="2201" t="s">
        <v>1</v>
      </c>
      <c r="Q6210" s="2201" t="s">
        <v>1</v>
      </c>
      <c r="R6210" s="2200">
        <v>20000</v>
      </c>
      <c r="S6210" s="1681">
        <v>20000</v>
      </c>
      <c r="T6210" s="1128" t="s">
        <v>4220</v>
      </c>
      <c r="U6210" s="1128" t="s">
        <v>4220</v>
      </c>
      <c r="V6210" s="1040" t="s">
        <v>689</v>
      </c>
      <c r="W6210" s="889" t="s">
        <v>2103</v>
      </c>
      <c r="X6210" s="818"/>
    </row>
    <row r="6211" spans="1:24" ht="15.75" hidden="1" customHeight="1">
      <c r="A6211" s="222">
        <v>6220</v>
      </c>
      <c r="B6211" s="858">
        <v>44916</v>
      </c>
      <c r="C6211" s="1139" t="s">
        <v>20984</v>
      </c>
      <c r="D6211" s="1041" t="s">
        <v>16488</v>
      </c>
      <c r="E6211" s="1041" t="s">
        <v>16488</v>
      </c>
      <c r="F6211" s="1040" t="s">
        <v>10005</v>
      </c>
      <c r="G6211" s="1669" t="s">
        <v>1</v>
      </c>
      <c r="H6211" s="1041" t="s">
        <v>2103</v>
      </c>
      <c r="I6211" s="1041" t="s">
        <v>2103</v>
      </c>
      <c r="J6211" s="1669" t="s">
        <v>1</v>
      </c>
      <c r="K6211" s="1669" t="s">
        <v>1</v>
      </c>
      <c r="L6211" s="1041" t="s">
        <v>149</v>
      </c>
      <c r="M6211" s="1669" t="s">
        <v>1</v>
      </c>
      <c r="N6211" s="1669" t="s">
        <v>1</v>
      </c>
      <c r="O6211" s="1041">
        <v>1</v>
      </c>
      <c r="P6211" s="2201" t="s">
        <v>1</v>
      </c>
      <c r="Q6211" s="2201" t="s">
        <v>1</v>
      </c>
      <c r="R6211" s="2200">
        <v>145000</v>
      </c>
      <c r="S6211" s="1681">
        <v>145000</v>
      </c>
      <c r="T6211" s="1128" t="s">
        <v>4220</v>
      </c>
      <c r="U6211" s="1128" t="s">
        <v>4220</v>
      </c>
      <c r="V6211" s="1040" t="s">
        <v>689</v>
      </c>
      <c r="W6211" s="889" t="s">
        <v>2103</v>
      </c>
      <c r="X6211" s="818"/>
    </row>
    <row r="6212" spans="1:24" ht="15.75" hidden="1" customHeight="1">
      <c r="A6212" s="222">
        <v>6221</v>
      </c>
      <c r="B6212" s="858">
        <v>44932</v>
      </c>
      <c r="C6212" s="129" t="s">
        <v>20985</v>
      </c>
      <c r="D6212" s="11" t="s">
        <v>6</v>
      </c>
      <c r="E6212" s="818" t="s">
        <v>14758</v>
      </c>
      <c r="F6212" s="458" t="s">
        <v>16174</v>
      </c>
      <c r="G6212" s="863" t="s">
        <v>20986</v>
      </c>
      <c r="H6212" t="s">
        <v>16176</v>
      </c>
      <c r="I6212" t="s">
        <v>16176</v>
      </c>
      <c r="J6212" s="924" t="s">
        <v>20987</v>
      </c>
      <c r="K6212" s="924"/>
      <c r="L6212" s="1474"/>
      <c r="M6212" s="924">
        <v>1</v>
      </c>
      <c r="N6212" s="924">
        <v>1</v>
      </c>
      <c r="O6212" s="1006">
        <v>1</v>
      </c>
      <c r="P6212" s="1006">
        <v>0</v>
      </c>
      <c r="Q6212" s="1006">
        <v>0</v>
      </c>
      <c r="R6212" s="1195">
        <v>125</v>
      </c>
      <c r="S6212" s="1195">
        <v>125</v>
      </c>
      <c r="T6212" t="s">
        <v>20988</v>
      </c>
      <c r="U6212" t="s">
        <v>20989</v>
      </c>
      <c r="V6212" t="s">
        <v>20990</v>
      </c>
      <c r="W6212" s="2233"/>
      <c r="X6212" s="818"/>
    </row>
    <row r="6213" spans="1:24" s="1148" customFormat="1" ht="20.25" hidden="1" customHeight="1">
      <c r="A6213" s="1006">
        <v>6222</v>
      </c>
      <c r="B6213" s="858">
        <v>44932</v>
      </c>
      <c r="C6213" s="54" t="s">
        <v>20991</v>
      </c>
      <c r="D6213" s="1515" t="s">
        <v>6</v>
      </c>
      <c r="E6213" s="2306" t="s">
        <v>20992</v>
      </c>
      <c r="F6213" s="1006" t="s">
        <v>2876</v>
      </c>
      <c r="G6213" s="863" t="s">
        <v>20993</v>
      </c>
      <c r="H6213" s="1006" t="s">
        <v>20994</v>
      </c>
      <c r="I6213" s="1006" t="s">
        <v>1022</v>
      </c>
      <c r="J6213" s="924" t="s">
        <v>149</v>
      </c>
      <c r="K6213" s="924" t="s">
        <v>149</v>
      </c>
      <c r="L6213" s="1041" t="s">
        <v>149</v>
      </c>
      <c r="M6213" s="924">
        <v>2</v>
      </c>
      <c r="N6213" s="924">
        <v>2</v>
      </c>
      <c r="O6213" s="1006">
        <v>2</v>
      </c>
      <c r="P6213" s="1006">
        <v>0</v>
      </c>
      <c r="Q6213" s="1006">
        <v>2</v>
      </c>
      <c r="R6213" s="1529">
        <v>3220</v>
      </c>
      <c r="S6213" s="1529">
        <f>O6213*R6213</f>
        <v>6440</v>
      </c>
      <c r="T6213" s="1006" t="s">
        <v>20995</v>
      </c>
      <c r="U6213" s="1539" t="s">
        <v>20996</v>
      </c>
      <c r="V6213" s="1006" t="s">
        <v>1141</v>
      </c>
      <c r="W6213" s="2305" t="s">
        <v>20997</v>
      </c>
      <c r="X6213" s="1160"/>
    </row>
    <row r="6214" spans="1:24" ht="15.75" hidden="1" customHeight="1">
      <c r="A6214" s="222">
        <v>6223</v>
      </c>
      <c r="B6214" s="858">
        <v>44932</v>
      </c>
      <c r="C6214" s="129" t="s">
        <v>797</v>
      </c>
      <c r="D6214" s="11" t="s">
        <v>6</v>
      </c>
      <c r="E6214" s="1483" t="s">
        <v>20998</v>
      </c>
      <c r="F6214" s="1006" t="s">
        <v>2876</v>
      </c>
      <c r="G6214" s="863" t="s">
        <v>20999</v>
      </c>
      <c r="H6214" s="222" t="s">
        <v>21000</v>
      </c>
      <c r="I6214" s="222" t="s">
        <v>5690</v>
      </c>
      <c r="J6214" s="183">
        <v>33240313</v>
      </c>
      <c r="K6214" s="183" t="s">
        <v>800</v>
      </c>
      <c r="L6214" s="613" t="s">
        <v>149</v>
      </c>
      <c r="M6214" s="183">
        <v>2</v>
      </c>
      <c r="N6214" s="183">
        <v>1</v>
      </c>
      <c r="O6214" s="222">
        <v>2</v>
      </c>
      <c r="P6214" s="222">
        <v>0</v>
      </c>
      <c r="Q6214" s="222">
        <v>2</v>
      </c>
      <c r="R6214" s="1195">
        <v>10900</v>
      </c>
      <c r="S6214" s="1195">
        <f>O6214*R6214</f>
        <v>21800</v>
      </c>
      <c r="T6214" s="222" t="s">
        <v>12425</v>
      </c>
      <c r="U6214" s="1527" t="s">
        <v>21001</v>
      </c>
      <c r="V6214" s="222" t="s">
        <v>21002</v>
      </c>
      <c r="W6214" s="2235" t="s">
        <v>802</v>
      </c>
      <c r="X6214" s="818"/>
    </row>
    <row r="6215" spans="1:24" ht="15.75" hidden="1" customHeight="1">
      <c r="A6215" s="222">
        <v>6224</v>
      </c>
      <c r="B6215" s="858">
        <v>44932</v>
      </c>
      <c r="C6215" s="129" t="s">
        <v>21003</v>
      </c>
      <c r="D6215" s="11" t="s">
        <v>6</v>
      </c>
      <c r="E6215" s="1483" t="s">
        <v>20998</v>
      </c>
      <c r="F6215" s="1006" t="s">
        <v>21004</v>
      </c>
      <c r="G6215" s="863" t="s">
        <v>21005</v>
      </c>
      <c r="H6215" s="222" t="s">
        <v>2379</v>
      </c>
      <c r="I6215" s="222" t="s">
        <v>5690</v>
      </c>
      <c r="J6215" s="183" t="s">
        <v>21006</v>
      </c>
      <c r="K6215" s="183">
        <v>8756307</v>
      </c>
      <c r="L6215" s="613" t="s">
        <v>149</v>
      </c>
      <c r="M6215" s="183">
        <v>5</v>
      </c>
      <c r="N6215" s="183">
        <v>1</v>
      </c>
      <c r="O6215" s="222">
        <v>5</v>
      </c>
      <c r="P6215" s="222">
        <v>1</v>
      </c>
      <c r="Q6215" s="222">
        <v>6</v>
      </c>
      <c r="R6215" s="1195">
        <v>509</v>
      </c>
      <c r="S6215" s="1195">
        <f>O6215*R6215</f>
        <v>2545</v>
      </c>
      <c r="T6215" s="222" t="s">
        <v>12425</v>
      </c>
      <c r="U6215" s="1527" t="s">
        <v>21007</v>
      </c>
      <c r="V6215" s="222" t="s">
        <v>21002</v>
      </c>
      <c r="W6215" s="2235" t="s">
        <v>21008</v>
      </c>
      <c r="X6215" s="818"/>
    </row>
    <row r="6216" spans="1:24" ht="15.75" hidden="1" customHeight="1">
      <c r="A6216" s="222">
        <v>6225</v>
      </c>
      <c r="B6216" s="858">
        <v>44932</v>
      </c>
      <c r="C6216" s="129" t="s">
        <v>21009</v>
      </c>
      <c r="D6216" s="11" t="s">
        <v>6</v>
      </c>
      <c r="E6216" s="1483" t="s">
        <v>21010</v>
      </c>
      <c r="F6216" s="458" t="s">
        <v>16174</v>
      </c>
      <c r="G6216" s="863" t="s">
        <v>21011</v>
      </c>
      <c r="H6216" t="s">
        <v>21012</v>
      </c>
      <c r="I6216" t="s">
        <v>21012</v>
      </c>
      <c r="J6216" s="183" t="s">
        <v>21013</v>
      </c>
      <c r="K6216" s="183" t="s">
        <v>21013</v>
      </c>
      <c r="L6216" s="613" t="s">
        <v>21013</v>
      </c>
      <c r="M6216" s="183">
        <v>1</v>
      </c>
      <c r="N6216" s="183">
        <v>1</v>
      </c>
      <c r="O6216" s="222">
        <v>1</v>
      </c>
      <c r="P6216" s="222">
        <v>0</v>
      </c>
      <c r="Q6216" s="222">
        <v>1</v>
      </c>
      <c r="R6216" s="1195">
        <v>19800</v>
      </c>
      <c r="S6216" s="1195">
        <v>19800</v>
      </c>
      <c r="T6216" t="s">
        <v>21014</v>
      </c>
      <c r="U6216" t="s">
        <v>21014</v>
      </c>
      <c r="V6216" t="s">
        <v>21015</v>
      </c>
      <c r="W6216" s="2233" t="s">
        <v>21016</v>
      </c>
      <c r="X6216" s="818"/>
    </row>
    <row r="6217" spans="1:24" ht="15.75" hidden="1" customHeight="1">
      <c r="A6217" s="222">
        <v>6226</v>
      </c>
      <c r="B6217" s="858">
        <v>44932</v>
      </c>
      <c r="C6217" s="129" t="s">
        <v>21017</v>
      </c>
      <c r="D6217" s="11" t="s">
        <v>6</v>
      </c>
      <c r="E6217" s="1483" t="s">
        <v>20998</v>
      </c>
      <c r="F6217" s="1006" t="s">
        <v>2876</v>
      </c>
      <c r="G6217" s="863" t="s">
        <v>21018</v>
      </c>
      <c r="H6217" s="222" t="s">
        <v>21019</v>
      </c>
      <c r="I6217" s="222" t="s">
        <v>5690</v>
      </c>
      <c r="J6217" s="2304">
        <v>37040595</v>
      </c>
      <c r="K6217" s="2304" t="s">
        <v>21020</v>
      </c>
      <c r="L6217" s="613" t="s">
        <v>149</v>
      </c>
      <c r="M6217" s="183">
        <v>1</v>
      </c>
      <c r="N6217" s="183">
        <v>1</v>
      </c>
      <c r="O6217" s="222">
        <v>2</v>
      </c>
      <c r="P6217" s="222">
        <v>0</v>
      </c>
      <c r="Q6217" s="222">
        <v>2</v>
      </c>
      <c r="R6217" s="1195">
        <v>1990</v>
      </c>
      <c r="S6217" s="1195">
        <f>O6217*R6217</f>
        <v>3980</v>
      </c>
      <c r="T6217" s="222" t="s">
        <v>12425</v>
      </c>
      <c r="U6217" s="1527" t="s">
        <v>8715</v>
      </c>
      <c r="V6217" s="222" t="s">
        <v>21021</v>
      </c>
      <c r="W6217" s="811" t="s">
        <v>21022</v>
      </c>
      <c r="X6217" s="818"/>
    </row>
    <row r="6218" spans="1:24" ht="15.75" hidden="1" customHeight="1">
      <c r="A6218" s="222">
        <v>6227</v>
      </c>
      <c r="B6218" s="858">
        <v>44932</v>
      </c>
      <c r="C6218" s="129" t="s">
        <v>21023</v>
      </c>
      <c r="D6218" s="11" t="s">
        <v>6</v>
      </c>
      <c r="E6218" s="1483" t="s">
        <v>20998</v>
      </c>
      <c r="F6218" s="1006" t="s">
        <v>2876</v>
      </c>
      <c r="G6218" s="506" t="s">
        <v>17081</v>
      </c>
      <c r="H6218" s="222" t="s">
        <v>21024</v>
      </c>
      <c r="I6218" s="222" t="s">
        <v>5690</v>
      </c>
      <c r="J6218" s="183">
        <v>50958328</v>
      </c>
      <c r="K6218" s="2304">
        <v>50958328</v>
      </c>
      <c r="L6218" s="613" t="s">
        <v>149</v>
      </c>
      <c r="M6218" s="1193">
        <v>1</v>
      </c>
      <c r="N6218" s="183">
        <v>1</v>
      </c>
      <c r="O6218" s="222">
        <v>1</v>
      </c>
      <c r="P6218" s="222">
        <v>0</v>
      </c>
      <c r="Q6218" s="222">
        <v>1</v>
      </c>
      <c r="R6218" s="1195">
        <v>1590</v>
      </c>
      <c r="S6218" s="1195">
        <f>O6218*R6218</f>
        <v>1590</v>
      </c>
      <c r="T6218" s="222" t="s">
        <v>12425</v>
      </c>
      <c r="U6218" s="1527" t="s">
        <v>8715</v>
      </c>
      <c r="V6218" s="222" t="s">
        <v>21021</v>
      </c>
      <c r="W6218" s="811" t="s">
        <v>21025</v>
      </c>
      <c r="X6218" s="818"/>
    </row>
    <row r="6219" spans="1:24" ht="15.75" hidden="1" customHeight="1">
      <c r="A6219" s="222">
        <v>6228</v>
      </c>
      <c r="B6219" s="858">
        <v>44932</v>
      </c>
      <c r="C6219" s="129" t="s">
        <v>2586</v>
      </c>
      <c r="D6219" s="11" t="s">
        <v>6</v>
      </c>
      <c r="E6219" s="1483" t="s">
        <v>20998</v>
      </c>
      <c r="F6219" s="1006" t="s">
        <v>21026</v>
      </c>
      <c r="G6219" s="863" t="s">
        <v>21027</v>
      </c>
      <c r="H6219" s="222" t="s">
        <v>166</v>
      </c>
      <c r="I6219" s="222" t="s">
        <v>5690</v>
      </c>
      <c r="J6219" s="222">
        <v>29158579</v>
      </c>
      <c r="K6219" s="183" t="s">
        <v>14301</v>
      </c>
      <c r="L6219" s="613" t="s">
        <v>149</v>
      </c>
      <c r="M6219" s="350">
        <v>4</v>
      </c>
      <c r="N6219" s="183">
        <v>4</v>
      </c>
      <c r="O6219" s="222">
        <v>8</v>
      </c>
      <c r="P6219" s="222"/>
      <c r="Q6219" s="222"/>
      <c r="R6219" s="1195">
        <v>2390</v>
      </c>
      <c r="S6219" s="1195">
        <f>R6219*O6219</f>
        <v>19120</v>
      </c>
      <c r="T6219" s="222" t="s">
        <v>21028</v>
      </c>
      <c r="U6219" s="1527" t="s">
        <v>8715</v>
      </c>
      <c r="V6219" s="222" t="s">
        <v>21029</v>
      </c>
      <c r="W6219" s="811" t="s">
        <v>14302</v>
      </c>
      <c r="X6219" s="818"/>
    </row>
    <row r="6220" spans="1:24" ht="15.75" hidden="1" customHeight="1">
      <c r="A6220" s="222">
        <v>6229</v>
      </c>
      <c r="B6220" s="858">
        <v>44932</v>
      </c>
      <c r="C6220" s="129" t="s">
        <v>8406</v>
      </c>
      <c r="D6220" s="11" t="s">
        <v>6</v>
      </c>
      <c r="E6220" s="1483" t="s">
        <v>20998</v>
      </c>
      <c r="F6220" s="1006" t="s">
        <v>15653</v>
      </c>
      <c r="G6220" s="863" t="s">
        <v>21030</v>
      </c>
      <c r="H6220" s="222" t="s">
        <v>154</v>
      </c>
      <c r="I6220" s="222" t="s">
        <v>39</v>
      </c>
      <c r="J6220" s="183" t="s">
        <v>19327</v>
      </c>
      <c r="K6220" s="183" t="s">
        <v>1051</v>
      </c>
      <c r="L6220" s="613" t="s">
        <v>1046</v>
      </c>
      <c r="M6220" s="183">
        <v>50</v>
      </c>
      <c r="N6220" s="183">
        <v>50</v>
      </c>
      <c r="O6220" s="222">
        <v>50</v>
      </c>
      <c r="P6220" s="222">
        <v>10</v>
      </c>
      <c r="Q6220" s="222">
        <v>10</v>
      </c>
      <c r="R6220" s="1195">
        <v>158.13999999999999</v>
      </c>
      <c r="S6220" s="1195">
        <f>R6220*O6220</f>
        <v>7906.9999999999991</v>
      </c>
      <c r="T6220" s="222" t="s">
        <v>18479</v>
      </c>
      <c r="U6220" s="1527" t="s">
        <v>2703</v>
      </c>
      <c r="V6220" s="222" t="s">
        <v>931</v>
      </c>
      <c r="W6220" s="811" t="s">
        <v>19328</v>
      </c>
      <c r="X6220" s="818"/>
    </row>
    <row r="6221" spans="1:24" ht="15.75" hidden="1" customHeight="1">
      <c r="A6221" s="222">
        <v>6230</v>
      </c>
      <c r="B6221" s="858">
        <v>44932</v>
      </c>
      <c r="C6221" s="129" t="s">
        <v>1045</v>
      </c>
      <c r="D6221" s="11" t="s">
        <v>6</v>
      </c>
      <c r="E6221" s="1483" t="s">
        <v>20998</v>
      </c>
      <c r="F6221" s="1006" t="s">
        <v>15653</v>
      </c>
      <c r="G6221" s="863" t="s">
        <v>21031</v>
      </c>
      <c r="H6221" s="222" t="s">
        <v>1039</v>
      </c>
      <c r="I6221" s="222" t="s">
        <v>21032</v>
      </c>
      <c r="J6221" s="129" t="s">
        <v>21033</v>
      </c>
      <c r="K6221" s="183" t="s">
        <v>1045</v>
      </c>
      <c r="L6221" s="613" t="s">
        <v>21034</v>
      </c>
      <c r="M6221" s="183">
        <v>100</v>
      </c>
      <c r="N6221" s="183">
        <v>5</v>
      </c>
      <c r="O6221" s="222">
        <v>100</v>
      </c>
      <c r="P6221" s="222">
        <v>0</v>
      </c>
      <c r="Q6221" s="222">
        <v>50</v>
      </c>
      <c r="R6221" s="1195">
        <v>52.8</v>
      </c>
      <c r="S6221" s="1195">
        <f>R6221*O6221</f>
        <v>5280</v>
      </c>
      <c r="T6221" s="222" t="s">
        <v>18479</v>
      </c>
      <c r="U6221" s="1527" t="s">
        <v>2703</v>
      </c>
      <c r="V6221" s="222" t="s">
        <v>931</v>
      </c>
      <c r="W6221" s="811" t="s">
        <v>21035</v>
      </c>
      <c r="X6221" s="818"/>
    </row>
    <row r="6222" spans="1:24" ht="15.75" hidden="1" customHeight="1">
      <c r="A6222" s="222">
        <v>6231</v>
      </c>
      <c r="B6222" s="858">
        <v>44932</v>
      </c>
      <c r="C6222" s="129" t="s">
        <v>21036</v>
      </c>
      <c r="D6222" s="11" t="s">
        <v>6</v>
      </c>
      <c r="E6222" s="1483" t="s">
        <v>21037</v>
      </c>
      <c r="F6222" s="1006" t="s">
        <v>15653</v>
      </c>
      <c r="G6222" s="863" t="s">
        <v>21038</v>
      </c>
      <c r="H6222" s="222" t="s">
        <v>1614</v>
      </c>
      <c r="I6222" s="222" t="s">
        <v>113</v>
      </c>
      <c r="J6222" s="183">
        <v>20344932</v>
      </c>
      <c r="K6222" s="183" t="s">
        <v>1615</v>
      </c>
      <c r="L6222" s="613"/>
      <c r="M6222" s="183">
        <v>1</v>
      </c>
      <c r="N6222" s="183">
        <v>1</v>
      </c>
      <c r="O6222" s="222">
        <v>1</v>
      </c>
      <c r="P6222" s="222">
        <v>0</v>
      </c>
      <c r="Q6222" s="222">
        <v>1</v>
      </c>
      <c r="R6222" s="1195">
        <v>109890</v>
      </c>
      <c r="S6222" s="1195">
        <f>R6222*O6222</f>
        <v>109890</v>
      </c>
      <c r="T6222" s="222" t="s">
        <v>18479</v>
      </c>
      <c r="U6222" s="1527" t="s">
        <v>2703</v>
      </c>
      <c r="V6222" s="222" t="s">
        <v>931</v>
      </c>
      <c r="W6222" s="811" t="s">
        <v>21039</v>
      </c>
      <c r="X6222" s="818"/>
    </row>
    <row r="6223" spans="1:24" ht="15.75" hidden="1" customHeight="1">
      <c r="A6223" s="222">
        <v>6232</v>
      </c>
      <c r="B6223" s="858">
        <v>44932</v>
      </c>
      <c r="C6223" s="129" t="s">
        <v>21040</v>
      </c>
      <c r="D6223" s="10"/>
      <c r="E6223" s="1483" t="s">
        <v>20998</v>
      </c>
      <c r="F6223" s="1006" t="s">
        <v>15653</v>
      </c>
      <c r="G6223" s="863" t="s">
        <v>21041</v>
      </c>
      <c r="H6223" s="222" t="s">
        <v>21042</v>
      </c>
      <c r="I6223" s="222" t="s">
        <v>76</v>
      </c>
      <c r="J6223" s="183" t="s">
        <v>21043</v>
      </c>
      <c r="K6223" s="183" t="s">
        <v>21044</v>
      </c>
      <c r="L6223" s="613"/>
      <c r="M6223" s="183">
        <v>2</v>
      </c>
      <c r="N6223" s="183">
        <v>1</v>
      </c>
      <c r="O6223" s="222">
        <v>2</v>
      </c>
      <c r="P6223" s="222">
        <v>0</v>
      </c>
      <c r="Q6223" s="222">
        <v>2</v>
      </c>
      <c r="R6223" s="1195">
        <v>52369</v>
      </c>
      <c r="S6223" s="1195">
        <f>R6223*O6223</f>
        <v>104738</v>
      </c>
      <c r="T6223" s="222" t="s">
        <v>18479</v>
      </c>
      <c r="U6223" s="1527" t="s">
        <v>2703</v>
      </c>
      <c r="V6223" s="222" t="s">
        <v>931</v>
      </c>
      <c r="W6223" s="811" t="s">
        <v>21045</v>
      </c>
      <c r="X6223" s="818"/>
    </row>
    <row r="6224" spans="1:24" ht="15.75" hidden="1" customHeight="1">
      <c r="A6224" s="222">
        <v>6233</v>
      </c>
      <c r="B6224" s="858">
        <v>44933</v>
      </c>
      <c r="C6224" s="129" t="s">
        <v>21046</v>
      </c>
      <c r="D6224" s="11" t="s">
        <v>6</v>
      </c>
      <c r="E6224" s="1483" t="s">
        <v>20998</v>
      </c>
      <c r="F6224" s="1006" t="s">
        <v>21047</v>
      </c>
      <c r="G6224" s="863" t="s">
        <v>21048</v>
      </c>
      <c r="H6224" s="222" t="s">
        <v>1073</v>
      </c>
      <c r="I6224" s="222" t="s">
        <v>574</v>
      </c>
      <c r="J6224" s="183" t="s">
        <v>21049</v>
      </c>
      <c r="K6224" s="183" t="s">
        <v>21046</v>
      </c>
      <c r="L6224" s="613"/>
      <c r="M6224" s="183">
        <v>2</v>
      </c>
      <c r="N6224" s="183">
        <v>1</v>
      </c>
      <c r="O6224" s="222">
        <v>2</v>
      </c>
      <c r="P6224" s="222">
        <v>0</v>
      </c>
      <c r="Q6224" s="222">
        <v>2</v>
      </c>
      <c r="R6224" s="1195">
        <v>10499</v>
      </c>
      <c r="S6224" s="1195">
        <f>O6224*R6224</f>
        <v>20998</v>
      </c>
      <c r="T6224" s="222" t="s">
        <v>15477</v>
      </c>
      <c r="U6224" s="1527"/>
      <c r="V6224" s="222" t="s">
        <v>15478</v>
      </c>
      <c r="W6224" s="2233"/>
      <c r="X6224" s="818"/>
    </row>
    <row r="6225" spans="1:24" ht="15.75" hidden="1" customHeight="1">
      <c r="A6225" s="222">
        <v>6234</v>
      </c>
      <c r="B6225" s="858">
        <v>44933</v>
      </c>
      <c r="C6225" s="129" t="s">
        <v>21050</v>
      </c>
      <c r="D6225" s="11" t="s">
        <v>6</v>
      </c>
      <c r="E6225" s="1483" t="s">
        <v>20998</v>
      </c>
      <c r="F6225" s="1006" t="s">
        <v>21047</v>
      </c>
      <c r="G6225" s="863" t="s">
        <v>21051</v>
      </c>
      <c r="H6225" s="222" t="s">
        <v>1073</v>
      </c>
      <c r="I6225" s="222" t="s">
        <v>574</v>
      </c>
      <c r="J6225" s="183" t="s">
        <v>21052</v>
      </c>
      <c r="K6225" s="183" t="s">
        <v>21050</v>
      </c>
      <c r="L6225" s="613"/>
      <c r="M6225" s="183">
        <v>1</v>
      </c>
      <c r="N6225" s="183">
        <v>1</v>
      </c>
      <c r="O6225" s="222">
        <v>1</v>
      </c>
      <c r="P6225" s="222">
        <v>0</v>
      </c>
      <c r="Q6225" s="222">
        <v>1</v>
      </c>
      <c r="R6225" s="1195">
        <v>10499</v>
      </c>
      <c r="S6225" s="1195">
        <f>O6225*R6225</f>
        <v>10499</v>
      </c>
      <c r="T6225" s="222" t="s">
        <v>15477</v>
      </c>
      <c r="U6225" s="1527"/>
      <c r="V6225" s="222" t="s">
        <v>15478</v>
      </c>
      <c r="W6225" s="2233"/>
      <c r="X6225" s="818"/>
    </row>
    <row r="6226" spans="1:24" ht="15.75" hidden="1" customHeight="1">
      <c r="A6226" s="222">
        <v>6235</v>
      </c>
      <c r="B6226" s="858">
        <v>44936</v>
      </c>
      <c r="C6226" s="129" t="s">
        <v>21053</v>
      </c>
      <c r="D6226" s="8" t="s">
        <v>6</v>
      </c>
      <c r="E6226" s="818" t="s">
        <v>21054</v>
      </c>
      <c r="F6226" s="924" t="s">
        <v>21055</v>
      </c>
      <c r="G6226" s="863" t="s">
        <v>21056</v>
      </c>
      <c r="H6226" s="183" t="s">
        <v>21057</v>
      </c>
      <c r="I6226" s="183" t="s">
        <v>21058</v>
      </c>
      <c r="J6226" s="183" t="s">
        <v>21059</v>
      </c>
      <c r="K6226" s="183" t="s">
        <v>21059</v>
      </c>
      <c r="L6226" s="613" t="s">
        <v>21013</v>
      </c>
      <c r="M6226" s="183">
        <v>1</v>
      </c>
      <c r="N6226" s="183">
        <v>1</v>
      </c>
      <c r="O6226" s="183">
        <v>0</v>
      </c>
      <c r="P6226" s="183">
        <v>0</v>
      </c>
      <c r="Q6226" s="183">
        <v>0</v>
      </c>
      <c r="R6226" s="1195">
        <v>27800</v>
      </c>
      <c r="S6226" s="1195">
        <v>27800</v>
      </c>
      <c r="T6226" s="183" t="s">
        <v>21060</v>
      </c>
      <c r="U6226" s="1893" t="s">
        <v>20989</v>
      </c>
      <c r="V6226" s="183" t="s">
        <v>21061</v>
      </c>
      <c r="W6226" s="2233"/>
      <c r="X6226" s="818"/>
    </row>
    <row r="6227" spans="1:24" ht="15.75" hidden="1" customHeight="1">
      <c r="A6227" s="222">
        <v>6236</v>
      </c>
      <c r="B6227" s="858">
        <v>44936</v>
      </c>
      <c r="C6227" s="129" t="s">
        <v>21062</v>
      </c>
      <c r="D6227" s="8" t="s">
        <v>6</v>
      </c>
      <c r="E6227" s="818" t="s">
        <v>21054</v>
      </c>
      <c r="F6227" s="924" t="s">
        <v>16174</v>
      </c>
      <c r="G6227" s="863" t="s">
        <v>21063</v>
      </c>
      <c r="H6227" s="183" t="s">
        <v>21064</v>
      </c>
      <c r="I6227" s="183" t="s">
        <v>21058</v>
      </c>
      <c r="J6227" s="183" t="s">
        <v>21065</v>
      </c>
      <c r="K6227" s="183" t="s">
        <v>21065</v>
      </c>
      <c r="L6227" s="613" t="s">
        <v>21066</v>
      </c>
      <c r="M6227" s="183">
        <v>1</v>
      </c>
      <c r="N6227" s="183">
        <v>1</v>
      </c>
      <c r="O6227" s="222">
        <v>0</v>
      </c>
      <c r="P6227" s="222">
        <v>0</v>
      </c>
      <c r="Q6227" s="222">
        <v>0</v>
      </c>
      <c r="R6227" s="1195">
        <v>6700</v>
      </c>
      <c r="S6227" s="1195">
        <v>6700</v>
      </c>
      <c r="T6227" s="183" t="s">
        <v>21060</v>
      </c>
      <c r="U6227" s="1893" t="s">
        <v>20989</v>
      </c>
      <c r="V6227" s="183" t="s">
        <v>21061</v>
      </c>
      <c r="W6227" s="2233"/>
      <c r="X6227" s="818"/>
    </row>
    <row r="6228" spans="1:24" ht="15.75" hidden="1" customHeight="1">
      <c r="A6228" s="222">
        <v>6237</v>
      </c>
      <c r="B6228" s="858">
        <v>44936</v>
      </c>
      <c r="C6228" s="129" t="s">
        <v>21067</v>
      </c>
      <c r="D6228" s="11" t="s">
        <v>6</v>
      </c>
      <c r="E6228" s="818" t="s">
        <v>683</v>
      </c>
      <c r="F6228" s="924" t="s">
        <v>7046</v>
      </c>
      <c r="G6228" s="863" t="s">
        <v>21068</v>
      </c>
      <c r="H6228" s="183" t="s">
        <v>84</v>
      </c>
      <c r="I6228" s="183" t="s">
        <v>84</v>
      </c>
      <c r="J6228" s="183">
        <v>7083781</v>
      </c>
      <c r="K6228" s="183">
        <v>7083781</v>
      </c>
      <c r="L6228" s="613"/>
      <c r="M6228" s="183">
        <v>5</v>
      </c>
      <c r="N6228" s="183">
        <v>1</v>
      </c>
      <c r="O6228" s="222">
        <v>5</v>
      </c>
      <c r="P6228" s="222">
        <v>0</v>
      </c>
      <c r="Q6228" s="222">
        <v>0</v>
      </c>
      <c r="R6228" s="1195">
        <v>799</v>
      </c>
      <c r="S6228" s="1195">
        <f>O6228*R6228</f>
        <v>3995</v>
      </c>
      <c r="T6228" s="183" t="s">
        <v>12425</v>
      </c>
      <c r="U6228" s="1893" t="s">
        <v>21069</v>
      </c>
      <c r="V6228" s="183" t="s">
        <v>21070</v>
      </c>
      <c r="W6228" s="2235" t="s">
        <v>21071</v>
      </c>
      <c r="X6228" s="818"/>
    </row>
    <row r="6229" spans="1:24" ht="15.75" hidden="1" customHeight="1">
      <c r="A6229" s="222">
        <v>6238</v>
      </c>
      <c r="B6229" s="858">
        <v>44940</v>
      </c>
      <c r="C6229" s="129" t="s">
        <v>21072</v>
      </c>
      <c r="D6229" s="10"/>
      <c r="E6229" s="1483" t="s">
        <v>20998</v>
      </c>
      <c r="F6229" s="1006" t="s">
        <v>11323</v>
      </c>
      <c r="G6229" s="863" t="s">
        <v>21073</v>
      </c>
      <c r="H6229" s="222" t="s">
        <v>1379</v>
      </c>
      <c r="I6229" s="222" t="s">
        <v>1379</v>
      </c>
      <c r="J6229" s="183"/>
      <c r="K6229" s="183"/>
      <c r="L6229" s="613"/>
      <c r="M6229" s="183">
        <v>1</v>
      </c>
      <c r="N6229" s="183">
        <v>1</v>
      </c>
      <c r="O6229" s="222">
        <v>2</v>
      </c>
      <c r="P6229" s="222">
        <v>0</v>
      </c>
      <c r="Q6229" s="222">
        <v>2</v>
      </c>
      <c r="R6229" s="1195">
        <v>92255</v>
      </c>
      <c r="S6229" s="1195">
        <v>92255</v>
      </c>
      <c r="T6229" s="222" t="s">
        <v>21074</v>
      </c>
      <c r="U6229" s="1527" t="s">
        <v>3637</v>
      </c>
      <c r="V6229" s="222" t="s">
        <v>931</v>
      </c>
      <c r="W6229" s="2233"/>
      <c r="X6229" s="818"/>
    </row>
    <row r="6230" spans="1:24" ht="15.75" hidden="1" customHeight="1">
      <c r="A6230" s="222">
        <v>6239</v>
      </c>
      <c r="B6230" s="858">
        <v>44942</v>
      </c>
      <c r="C6230" s="129" t="s">
        <v>21075</v>
      </c>
      <c r="D6230" s="10" t="s">
        <v>6</v>
      </c>
      <c r="E6230" s="818" t="s">
        <v>20688</v>
      </c>
      <c r="F6230" s="1006" t="s">
        <v>17877</v>
      </c>
      <c r="G6230" s="863" t="s">
        <v>21076</v>
      </c>
      <c r="H6230" s="222" t="s">
        <v>21077</v>
      </c>
      <c r="I6230" s="222" t="s">
        <v>1022</v>
      </c>
      <c r="J6230" s="183" t="s">
        <v>21078</v>
      </c>
      <c r="K6230" s="183" t="s">
        <v>21079</v>
      </c>
      <c r="L6230" s="613" t="s">
        <v>1</v>
      </c>
      <c r="M6230" s="183">
        <v>3</v>
      </c>
      <c r="N6230" s="183">
        <v>3</v>
      </c>
      <c r="O6230" s="222">
        <v>3</v>
      </c>
      <c r="P6230" s="222">
        <v>0</v>
      </c>
      <c r="Q6230" s="222">
        <v>0</v>
      </c>
      <c r="R6230" s="1195" t="s">
        <v>21080</v>
      </c>
      <c r="S6230" s="1195" t="s">
        <v>21081</v>
      </c>
      <c r="T6230" s="222" t="s">
        <v>311</v>
      </c>
      <c r="U6230" s="1527" t="s">
        <v>311</v>
      </c>
      <c r="V6230" s="222" t="s">
        <v>19603</v>
      </c>
      <c r="W6230" s="2233" t="s">
        <v>21082</v>
      </c>
      <c r="X6230" s="818"/>
    </row>
    <row r="6231" spans="1:24" ht="15.75" hidden="1" customHeight="1">
      <c r="A6231" s="222">
        <v>6240</v>
      </c>
      <c r="B6231" s="858">
        <v>44942</v>
      </c>
      <c r="C6231" s="129" t="s">
        <v>21083</v>
      </c>
      <c r="D6231" s="10" t="s">
        <v>6</v>
      </c>
      <c r="E6231" s="818" t="s">
        <v>20688</v>
      </c>
      <c r="F6231" s="1006" t="s">
        <v>17877</v>
      </c>
      <c r="G6231" s="863" t="s">
        <v>21084</v>
      </c>
      <c r="H6231" s="222" t="s">
        <v>21085</v>
      </c>
      <c r="I6231" s="222" t="s">
        <v>1022</v>
      </c>
      <c r="J6231" s="183" t="s">
        <v>21086</v>
      </c>
      <c r="K6231" s="183" t="s">
        <v>21087</v>
      </c>
      <c r="L6231" s="613" t="s">
        <v>1</v>
      </c>
      <c r="M6231" s="183">
        <v>1</v>
      </c>
      <c r="N6231" s="183">
        <v>1</v>
      </c>
      <c r="O6231" s="222">
        <v>1</v>
      </c>
      <c r="P6231" s="222">
        <v>0</v>
      </c>
      <c r="Q6231" s="222">
        <v>0</v>
      </c>
      <c r="R6231" s="1195" t="s">
        <v>21088</v>
      </c>
      <c r="S6231" s="1195" t="s">
        <v>21088</v>
      </c>
      <c r="T6231" s="222" t="s">
        <v>311</v>
      </c>
      <c r="U6231" s="1527" t="s">
        <v>311</v>
      </c>
      <c r="V6231" s="222" t="s">
        <v>19603</v>
      </c>
      <c r="W6231" s="2233" t="s">
        <v>21089</v>
      </c>
      <c r="X6231" s="818"/>
    </row>
    <row r="6232" spans="1:24" ht="15.75" hidden="1" customHeight="1">
      <c r="A6232" s="222">
        <v>6241</v>
      </c>
      <c r="B6232" s="858">
        <v>44942</v>
      </c>
      <c r="C6232" s="129" t="s">
        <v>21090</v>
      </c>
      <c r="D6232" s="10" t="s">
        <v>6</v>
      </c>
      <c r="E6232" s="818" t="s">
        <v>20688</v>
      </c>
      <c r="F6232" s="1006" t="s">
        <v>17877</v>
      </c>
      <c r="G6232" s="863" t="s">
        <v>21091</v>
      </c>
      <c r="H6232" s="222" t="s">
        <v>21092</v>
      </c>
      <c r="I6232" s="222" t="s">
        <v>1022</v>
      </c>
      <c r="J6232" s="183" t="s">
        <v>21093</v>
      </c>
      <c r="K6232" s="183" t="s">
        <v>1</v>
      </c>
      <c r="L6232" s="613" t="s">
        <v>1</v>
      </c>
      <c r="M6232" s="183">
        <v>1</v>
      </c>
      <c r="N6232" s="183">
        <v>1</v>
      </c>
      <c r="O6232" s="222">
        <v>1</v>
      </c>
      <c r="P6232" s="222">
        <v>0</v>
      </c>
      <c r="Q6232" s="222">
        <v>0</v>
      </c>
      <c r="R6232" s="1195" t="s">
        <v>21094</v>
      </c>
      <c r="S6232" s="1195" t="s">
        <v>21094</v>
      </c>
      <c r="T6232" s="222" t="s">
        <v>311</v>
      </c>
      <c r="U6232" s="1527" t="s">
        <v>311</v>
      </c>
      <c r="V6232" s="222" t="s">
        <v>19603</v>
      </c>
      <c r="W6232" s="2233" t="s">
        <v>21095</v>
      </c>
      <c r="X6232" s="818"/>
    </row>
    <row r="6233" spans="1:24" ht="15.75" hidden="1" customHeight="1">
      <c r="A6233" s="222">
        <v>6242</v>
      </c>
      <c r="B6233" s="858">
        <v>44942</v>
      </c>
      <c r="C6233" s="129" t="s">
        <v>21096</v>
      </c>
      <c r="D6233" s="10" t="s">
        <v>6</v>
      </c>
      <c r="E6233" s="818" t="s">
        <v>20688</v>
      </c>
      <c r="F6233" s="1006" t="s">
        <v>17877</v>
      </c>
      <c r="G6233" s="863" t="s">
        <v>21097</v>
      </c>
      <c r="H6233" s="222" t="s">
        <v>21098</v>
      </c>
      <c r="I6233" s="222" t="s">
        <v>1022</v>
      </c>
      <c r="J6233" s="183" t="s">
        <v>21099</v>
      </c>
      <c r="K6233" s="183" t="s">
        <v>1</v>
      </c>
      <c r="L6233" s="613" t="s">
        <v>1</v>
      </c>
      <c r="M6233" s="183">
        <v>1</v>
      </c>
      <c r="N6233" s="183">
        <v>1</v>
      </c>
      <c r="O6233" s="222">
        <v>1</v>
      </c>
      <c r="P6233" s="222">
        <v>0</v>
      </c>
      <c r="Q6233" s="222">
        <v>0</v>
      </c>
      <c r="R6233" s="1195" t="s">
        <v>21100</v>
      </c>
      <c r="S6233" s="1195" t="s">
        <v>21100</v>
      </c>
      <c r="T6233" s="222" t="s">
        <v>311</v>
      </c>
      <c r="U6233" s="1527" t="s">
        <v>311</v>
      </c>
      <c r="V6233" s="222" t="s">
        <v>19603</v>
      </c>
      <c r="W6233" s="2233" t="s">
        <v>21101</v>
      </c>
      <c r="X6233" s="818"/>
    </row>
    <row r="6234" spans="1:24" ht="15.75" hidden="1" customHeight="1">
      <c r="A6234" s="222">
        <v>6243</v>
      </c>
      <c r="B6234" s="858">
        <v>44942</v>
      </c>
      <c r="C6234" s="129" t="s">
        <v>21102</v>
      </c>
      <c r="D6234" s="10" t="s">
        <v>6</v>
      </c>
      <c r="E6234" s="818" t="s">
        <v>20688</v>
      </c>
      <c r="F6234" s="1006" t="s">
        <v>17877</v>
      </c>
      <c r="G6234" s="863" t="s">
        <v>21103</v>
      </c>
      <c r="H6234" s="222" t="s">
        <v>20917</v>
      </c>
      <c r="I6234" s="222" t="s">
        <v>574</v>
      </c>
      <c r="J6234" s="183" t="s">
        <v>21104</v>
      </c>
      <c r="K6234" s="183" t="s">
        <v>21102</v>
      </c>
      <c r="L6234" s="613" t="s">
        <v>1</v>
      </c>
      <c r="M6234" s="183">
        <v>2</v>
      </c>
      <c r="N6234" s="183">
        <v>2</v>
      </c>
      <c r="O6234" s="222">
        <v>2</v>
      </c>
      <c r="P6234" s="222">
        <v>0</v>
      </c>
      <c r="Q6234" s="222">
        <v>0</v>
      </c>
      <c r="R6234" s="1195" t="s">
        <v>21105</v>
      </c>
      <c r="S6234" s="1195" t="s">
        <v>21106</v>
      </c>
      <c r="T6234" s="222" t="s">
        <v>311</v>
      </c>
      <c r="U6234" s="1527" t="s">
        <v>311</v>
      </c>
      <c r="V6234" s="222" t="s">
        <v>19603</v>
      </c>
      <c r="W6234" s="2233" t="s">
        <v>21107</v>
      </c>
      <c r="X6234" s="818"/>
    </row>
    <row r="6235" spans="1:24" ht="15.75" hidden="1" customHeight="1">
      <c r="A6235" s="222">
        <v>6244</v>
      </c>
      <c r="B6235" s="858">
        <v>44942</v>
      </c>
      <c r="C6235" s="129" t="s">
        <v>21108</v>
      </c>
      <c r="D6235" s="10" t="s">
        <v>6</v>
      </c>
      <c r="E6235" s="818" t="s">
        <v>20688</v>
      </c>
      <c r="F6235" s="1006" t="s">
        <v>17877</v>
      </c>
      <c r="G6235" s="863" t="s">
        <v>21109</v>
      </c>
      <c r="H6235" s="222" t="s">
        <v>15245</v>
      </c>
      <c r="I6235" s="222" t="s">
        <v>574</v>
      </c>
      <c r="J6235" s="183" t="s">
        <v>21110</v>
      </c>
      <c r="K6235" s="183">
        <v>4413</v>
      </c>
      <c r="L6235" s="613" t="s">
        <v>1</v>
      </c>
      <c r="M6235" s="183">
        <v>1</v>
      </c>
      <c r="N6235" s="183">
        <v>1</v>
      </c>
      <c r="O6235" s="222">
        <v>1</v>
      </c>
      <c r="P6235" s="222">
        <v>0</v>
      </c>
      <c r="Q6235" s="222">
        <v>0</v>
      </c>
      <c r="R6235" s="1195" t="s">
        <v>21111</v>
      </c>
      <c r="S6235" s="1195" t="s">
        <v>21111</v>
      </c>
      <c r="T6235" s="222" t="s">
        <v>311</v>
      </c>
      <c r="U6235" s="1527" t="s">
        <v>311</v>
      </c>
      <c r="V6235" s="222" t="s">
        <v>19603</v>
      </c>
      <c r="W6235" s="2233" t="s">
        <v>21112</v>
      </c>
      <c r="X6235" s="818"/>
    </row>
    <row r="6236" spans="1:24" ht="15.75" hidden="1" customHeight="1">
      <c r="A6236" s="222">
        <v>6245</v>
      </c>
      <c r="B6236" s="858">
        <v>44942</v>
      </c>
      <c r="C6236" s="129" t="s">
        <v>21113</v>
      </c>
      <c r="D6236" s="10" t="s">
        <v>6</v>
      </c>
      <c r="E6236" s="818" t="s">
        <v>20688</v>
      </c>
      <c r="F6236" s="1006" t="s">
        <v>17877</v>
      </c>
      <c r="G6236" s="863" t="s">
        <v>21114</v>
      </c>
      <c r="H6236" s="222" t="s">
        <v>1762</v>
      </c>
      <c r="I6236" s="222" t="s">
        <v>574</v>
      </c>
      <c r="J6236" s="183" t="s">
        <v>21115</v>
      </c>
      <c r="K6236" s="183" t="s">
        <v>21116</v>
      </c>
      <c r="L6236" s="613" t="s">
        <v>1</v>
      </c>
      <c r="M6236" s="183">
        <v>1</v>
      </c>
      <c r="N6236" s="183">
        <v>1</v>
      </c>
      <c r="O6236" s="222">
        <v>1</v>
      </c>
      <c r="P6236" s="222">
        <v>0</v>
      </c>
      <c r="Q6236" s="222">
        <v>0</v>
      </c>
      <c r="R6236" s="1195" t="s">
        <v>21117</v>
      </c>
      <c r="S6236" s="1195" t="s">
        <v>21117</v>
      </c>
      <c r="T6236" s="222" t="s">
        <v>311</v>
      </c>
      <c r="U6236" s="1527" t="s">
        <v>311</v>
      </c>
      <c r="V6236" s="222" t="s">
        <v>19603</v>
      </c>
      <c r="W6236" s="2233" t="s">
        <v>21118</v>
      </c>
      <c r="X6236" s="818"/>
    </row>
    <row r="6237" spans="1:24" ht="15.75" hidden="1" customHeight="1">
      <c r="A6237" s="222">
        <v>6246</v>
      </c>
      <c r="B6237" s="858">
        <v>44942</v>
      </c>
      <c r="C6237" s="129" t="s">
        <v>21119</v>
      </c>
      <c r="D6237" s="10" t="s">
        <v>6</v>
      </c>
      <c r="E6237" s="818" t="s">
        <v>20688</v>
      </c>
      <c r="F6237" s="1006" t="s">
        <v>17877</v>
      </c>
      <c r="G6237" s="863" t="s">
        <v>21120</v>
      </c>
      <c r="H6237" s="222" t="s">
        <v>21121</v>
      </c>
      <c r="I6237" s="222" t="s">
        <v>574</v>
      </c>
      <c r="J6237" s="183" t="s">
        <v>21122</v>
      </c>
      <c r="K6237" s="183" t="s">
        <v>21123</v>
      </c>
      <c r="L6237" s="613" t="s">
        <v>1</v>
      </c>
      <c r="M6237" s="183">
        <v>1</v>
      </c>
      <c r="N6237" s="183">
        <v>2</v>
      </c>
      <c r="O6237" s="222">
        <v>2</v>
      </c>
      <c r="P6237" s="222">
        <v>0</v>
      </c>
      <c r="Q6237" s="222">
        <v>0</v>
      </c>
      <c r="R6237" s="1195" t="s">
        <v>21124</v>
      </c>
      <c r="S6237" s="1195" t="s">
        <v>21125</v>
      </c>
      <c r="T6237" s="222" t="s">
        <v>311</v>
      </c>
      <c r="U6237" s="1527" t="s">
        <v>311</v>
      </c>
      <c r="V6237" s="222" t="s">
        <v>19603</v>
      </c>
      <c r="W6237" s="2233" t="s">
        <v>21126</v>
      </c>
      <c r="X6237" s="818"/>
    </row>
    <row r="6238" spans="1:24" ht="15.75" hidden="1" customHeight="1">
      <c r="A6238" s="222">
        <v>6247</v>
      </c>
      <c r="B6238" s="858">
        <v>44942</v>
      </c>
      <c r="C6238" s="129" t="s">
        <v>13759</v>
      </c>
      <c r="D6238" s="10" t="s">
        <v>6</v>
      </c>
      <c r="E6238" s="818" t="s">
        <v>20688</v>
      </c>
      <c r="F6238" s="1006" t="s">
        <v>17877</v>
      </c>
      <c r="G6238" s="863" t="s">
        <v>21127</v>
      </c>
      <c r="H6238" s="222" t="s">
        <v>15245</v>
      </c>
      <c r="I6238" s="222" t="s">
        <v>574</v>
      </c>
      <c r="J6238" s="183" t="s">
        <v>21128</v>
      </c>
      <c r="K6238" s="183">
        <v>5422</v>
      </c>
      <c r="L6238" s="613" t="s">
        <v>1</v>
      </c>
      <c r="M6238" s="183">
        <v>2</v>
      </c>
      <c r="N6238" s="183">
        <v>2</v>
      </c>
      <c r="O6238" s="222">
        <v>2</v>
      </c>
      <c r="P6238" s="222">
        <v>0</v>
      </c>
      <c r="Q6238" s="222">
        <v>0</v>
      </c>
      <c r="R6238" s="1195" t="s">
        <v>21129</v>
      </c>
      <c r="S6238" s="1195" t="s">
        <v>21130</v>
      </c>
      <c r="T6238" s="222" t="s">
        <v>311</v>
      </c>
      <c r="U6238" s="1527" t="s">
        <v>311</v>
      </c>
      <c r="V6238" s="222" t="s">
        <v>19603</v>
      </c>
      <c r="W6238" s="2233" t="s">
        <v>21131</v>
      </c>
      <c r="X6238" s="818"/>
    </row>
    <row r="6239" spans="1:24" ht="15.75" hidden="1" customHeight="1">
      <c r="A6239" s="222">
        <v>6248</v>
      </c>
      <c r="B6239" s="858">
        <v>44942</v>
      </c>
      <c r="C6239" s="129" t="s">
        <v>21132</v>
      </c>
      <c r="D6239" s="10" t="s">
        <v>6</v>
      </c>
      <c r="E6239" s="818" t="s">
        <v>20688</v>
      </c>
      <c r="F6239" s="1006" t="s">
        <v>17877</v>
      </c>
      <c r="G6239" s="863" t="s">
        <v>21133</v>
      </c>
      <c r="H6239" s="222" t="s">
        <v>15245</v>
      </c>
      <c r="I6239" s="222" t="s">
        <v>574</v>
      </c>
      <c r="J6239" s="183" t="s">
        <v>4567</v>
      </c>
      <c r="K6239" s="183">
        <v>1957</v>
      </c>
      <c r="L6239" s="613" t="s">
        <v>1</v>
      </c>
      <c r="M6239" s="183">
        <v>1</v>
      </c>
      <c r="N6239" s="183">
        <v>1</v>
      </c>
      <c r="O6239" s="222">
        <v>1</v>
      </c>
      <c r="P6239" s="222">
        <v>0</v>
      </c>
      <c r="Q6239" s="222">
        <v>0</v>
      </c>
      <c r="R6239" s="1195" t="s">
        <v>21134</v>
      </c>
      <c r="S6239" s="1195" t="s">
        <v>21134</v>
      </c>
      <c r="T6239" s="222" t="s">
        <v>311</v>
      </c>
      <c r="U6239" s="1527" t="s">
        <v>311</v>
      </c>
      <c r="V6239" s="222" t="s">
        <v>19603</v>
      </c>
      <c r="W6239" s="2233" t="s">
        <v>21135</v>
      </c>
      <c r="X6239" s="818"/>
    </row>
    <row r="6240" spans="1:24" ht="15.75" hidden="1" customHeight="1">
      <c r="A6240" s="222">
        <v>6249</v>
      </c>
      <c r="B6240" s="858">
        <v>44942</v>
      </c>
      <c r="C6240" s="129" t="s">
        <v>21136</v>
      </c>
      <c r="D6240" s="10" t="s">
        <v>6</v>
      </c>
      <c r="E6240" s="818" t="s">
        <v>20688</v>
      </c>
      <c r="F6240" s="1006" t="s">
        <v>17877</v>
      </c>
      <c r="G6240" s="863" t="s">
        <v>21137</v>
      </c>
      <c r="H6240" s="222" t="s">
        <v>20917</v>
      </c>
      <c r="I6240" s="222" t="s">
        <v>574</v>
      </c>
      <c r="J6240" s="183" t="s">
        <v>21138</v>
      </c>
      <c r="K6240" s="183" t="s">
        <v>21139</v>
      </c>
      <c r="L6240" s="613" t="s">
        <v>1</v>
      </c>
      <c r="M6240" s="183">
        <v>1</v>
      </c>
      <c r="N6240" s="183">
        <v>2</v>
      </c>
      <c r="O6240" s="222">
        <v>2</v>
      </c>
      <c r="P6240" s="222">
        <v>0</v>
      </c>
      <c r="Q6240" s="222">
        <v>0</v>
      </c>
      <c r="R6240" s="1195" t="s">
        <v>21140</v>
      </c>
      <c r="S6240" s="1195" t="s">
        <v>21141</v>
      </c>
      <c r="T6240" s="222" t="s">
        <v>311</v>
      </c>
      <c r="U6240" s="1527" t="s">
        <v>311</v>
      </c>
      <c r="V6240" s="222" t="s">
        <v>19603</v>
      </c>
      <c r="W6240" s="2233" t="s">
        <v>21142</v>
      </c>
      <c r="X6240" s="818"/>
    </row>
    <row r="6241" spans="1:25" s="2307" customFormat="1" ht="15.75" hidden="1" customHeight="1">
      <c r="A6241" s="646">
        <v>6250</v>
      </c>
      <c r="B6241" s="1416">
        <v>44945</v>
      </c>
      <c r="C6241" s="1489" t="s">
        <v>18868</v>
      </c>
      <c r="D6241" s="39"/>
      <c r="E6241" s="1485" t="s">
        <v>166</v>
      </c>
      <c r="F6241" s="1043" t="s">
        <v>10651</v>
      </c>
      <c r="G6241" s="1417" t="s">
        <v>18869</v>
      </c>
      <c r="H6241" s="646" t="s">
        <v>686</v>
      </c>
      <c r="I6241" s="646" t="s">
        <v>686</v>
      </c>
      <c r="J6241" s="646" t="s">
        <v>1</v>
      </c>
      <c r="K6241" s="646" t="s">
        <v>21143</v>
      </c>
      <c r="L6241" s="608" t="s">
        <v>1</v>
      </c>
      <c r="M6241" s="646">
        <v>16</v>
      </c>
      <c r="N6241" s="646">
        <v>1</v>
      </c>
      <c r="O6241" s="646">
        <v>20</v>
      </c>
      <c r="P6241" s="646">
        <v>0</v>
      </c>
      <c r="Q6241" s="646">
        <v>0</v>
      </c>
      <c r="R6241" s="1486">
        <v>78</v>
      </c>
      <c r="S6241" s="1486">
        <v>858</v>
      </c>
      <c r="T6241" s="646" t="s">
        <v>12425</v>
      </c>
      <c r="U6241" s="1966" t="s">
        <v>1896</v>
      </c>
      <c r="V6241" s="646" t="s">
        <v>21144</v>
      </c>
      <c r="W6241" s="2166" t="s">
        <v>21145</v>
      </c>
      <c r="X6241" s="1485"/>
      <c r="Y6241" s="1490"/>
    </row>
    <row r="6242" spans="1:25" ht="15.75" hidden="1" customHeight="1">
      <c r="A6242" s="222">
        <v>6251</v>
      </c>
      <c r="B6242" s="858">
        <v>44945</v>
      </c>
      <c r="C6242" s="129" t="s">
        <v>21146</v>
      </c>
      <c r="D6242" s="22"/>
      <c r="E6242" s="818" t="s">
        <v>166</v>
      </c>
      <c r="F6242" s="1006" t="s">
        <v>10651</v>
      </c>
      <c r="G6242" s="863" t="s">
        <v>18861</v>
      </c>
      <c r="H6242" s="183" t="s">
        <v>686</v>
      </c>
      <c r="I6242" s="183" t="s">
        <v>686</v>
      </c>
      <c r="J6242" s="183" t="s">
        <v>1</v>
      </c>
      <c r="K6242" s="183" t="s">
        <v>18862</v>
      </c>
      <c r="L6242" s="613" t="s">
        <v>1</v>
      </c>
      <c r="M6242" s="183">
        <v>16</v>
      </c>
      <c r="N6242" s="183">
        <v>1</v>
      </c>
      <c r="O6242" s="222">
        <v>20</v>
      </c>
      <c r="P6242" s="222">
        <v>0</v>
      </c>
      <c r="Q6242" s="222">
        <v>0</v>
      </c>
      <c r="R6242" s="1195">
        <v>78</v>
      </c>
      <c r="S6242" s="1195">
        <v>858</v>
      </c>
      <c r="T6242" s="222" t="s">
        <v>12425</v>
      </c>
      <c r="U6242" s="1527" t="s">
        <v>1896</v>
      </c>
      <c r="V6242" s="222" t="s">
        <v>21144</v>
      </c>
      <c r="W6242" s="2274" t="s">
        <v>21147</v>
      </c>
      <c r="X6242" s="818"/>
    </row>
    <row r="6243" spans="1:25" s="2307" customFormat="1" ht="15.75" hidden="1" customHeight="1">
      <c r="A6243" s="646">
        <v>6252</v>
      </c>
      <c r="B6243" s="1416">
        <v>44945</v>
      </c>
      <c r="C6243" s="1489" t="s">
        <v>21148</v>
      </c>
      <c r="D6243" s="39"/>
      <c r="E6243" s="1485" t="s">
        <v>166</v>
      </c>
      <c r="F6243" s="1043" t="s">
        <v>10651</v>
      </c>
      <c r="G6243" s="1417" t="s">
        <v>21149</v>
      </c>
      <c r="H6243" s="646" t="s">
        <v>21150</v>
      </c>
      <c r="I6243" s="646" t="s">
        <v>429</v>
      </c>
      <c r="J6243" s="646" t="s">
        <v>1</v>
      </c>
      <c r="K6243" s="646" t="s">
        <v>17237</v>
      </c>
      <c r="L6243" s="608" t="s">
        <v>1</v>
      </c>
      <c r="M6243" s="646">
        <v>12</v>
      </c>
      <c r="N6243" s="646">
        <v>50</v>
      </c>
      <c r="O6243" s="646">
        <v>50</v>
      </c>
      <c r="P6243" s="646">
        <v>0</v>
      </c>
      <c r="Q6243" s="646">
        <v>0</v>
      </c>
      <c r="R6243" s="1486">
        <v>2200</v>
      </c>
      <c r="S6243" s="1486">
        <v>2200</v>
      </c>
      <c r="T6243" s="646" t="s">
        <v>12425</v>
      </c>
      <c r="U6243" s="1966" t="s">
        <v>1896</v>
      </c>
      <c r="V6243" s="646" t="s">
        <v>21144</v>
      </c>
      <c r="W6243" s="2308" t="s">
        <v>21151</v>
      </c>
      <c r="X6243" s="1485"/>
      <c r="Y6243" s="459"/>
    </row>
    <row r="6244" spans="1:25" ht="15.75" hidden="1" customHeight="1">
      <c r="A6244" s="222">
        <v>6253</v>
      </c>
      <c r="B6244" s="858">
        <v>44945</v>
      </c>
      <c r="C6244" s="129" t="s">
        <v>9052</v>
      </c>
      <c r="D6244" s="22"/>
      <c r="E6244" s="818" t="s">
        <v>62</v>
      </c>
      <c r="F6244" s="1006" t="s">
        <v>15108</v>
      </c>
      <c r="G6244" s="863" t="s">
        <v>21152</v>
      </c>
      <c r="H6244" s="222" t="s">
        <v>21153</v>
      </c>
      <c r="I6244" s="222" t="s">
        <v>21153</v>
      </c>
      <c r="J6244" s="183" t="s">
        <v>21154</v>
      </c>
      <c r="K6244" s="183" t="s">
        <v>21154</v>
      </c>
      <c r="L6244" s="613"/>
      <c r="M6244" s="183">
        <v>1</v>
      </c>
      <c r="N6244" s="183">
        <v>1</v>
      </c>
      <c r="O6244" s="222">
        <v>1</v>
      </c>
      <c r="P6244" s="222">
        <v>0</v>
      </c>
      <c r="Q6244" s="222">
        <v>1</v>
      </c>
      <c r="R6244" s="1195">
        <v>103950</v>
      </c>
      <c r="S6244" s="1195">
        <v>103950</v>
      </c>
      <c r="T6244" s="222" t="s">
        <v>311</v>
      </c>
      <c r="U6244" s="222" t="s">
        <v>311</v>
      </c>
      <c r="V6244" s="222" t="s">
        <v>21155</v>
      </c>
      <c r="W6244" s="2235" t="s">
        <v>21156</v>
      </c>
      <c r="X6244" s="818"/>
    </row>
    <row r="6245" spans="1:25" ht="15.75" hidden="1" customHeight="1">
      <c r="A6245" s="222">
        <v>6254</v>
      </c>
      <c r="B6245" s="858">
        <v>44946</v>
      </c>
      <c r="C6245" s="129" t="s">
        <v>21157</v>
      </c>
      <c r="D6245" s="22"/>
      <c r="E6245" s="818" t="s">
        <v>1031</v>
      </c>
      <c r="F6245" s="1006" t="s">
        <v>19325</v>
      </c>
      <c r="G6245" s="863" t="s">
        <v>21158</v>
      </c>
      <c r="H6245" s="222" t="s">
        <v>4834</v>
      </c>
      <c r="I6245" s="222" t="s">
        <v>1597</v>
      </c>
      <c r="J6245" s="183" t="s">
        <v>20649</v>
      </c>
      <c r="K6245" s="183" t="s">
        <v>9978</v>
      </c>
      <c r="L6245" s="613"/>
      <c r="M6245" s="183">
        <v>10</v>
      </c>
      <c r="N6245" s="183">
        <v>1</v>
      </c>
      <c r="O6245" s="222">
        <v>10</v>
      </c>
      <c r="P6245" s="222">
        <v>2</v>
      </c>
      <c r="Q6245" s="222">
        <v>12</v>
      </c>
      <c r="R6245" s="1195">
        <f>200/1.1</f>
        <v>181.81818181818181</v>
      </c>
      <c r="S6245" s="1195">
        <f>R6245*O6245</f>
        <v>1818.181818181818</v>
      </c>
      <c r="T6245" s="222" t="s">
        <v>311</v>
      </c>
      <c r="U6245" s="1527"/>
      <c r="V6245" s="222" t="s">
        <v>21159</v>
      </c>
      <c r="W6245" s="2235" t="s">
        <v>9981</v>
      </c>
      <c r="X6245" s="818"/>
    </row>
    <row r="6246" spans="1:25" ht="15.75" hidden="1" customHeight="1">
      <c r="A6246" s="222">
        <v>6255</v>
      </c>
      <c r="B6246" s="858">
        <v>44946</v>
      </c>
      <c r="C6246" s="129" t="s">
        <v>21160</v>
      </c>
      <c r="D6246" s="22"/>
      <c r="E6246" s="818" t="s">
        <v>1031</v>
      </c>
      <c r="F6246" s="1006" t="s">
        <v>19325</v>
      </c>
      <c r="G6246" s="863" t="s">
        <v>21161</v>
      </c>
      <c r="H6246" s="222" t="s">
        <v>21162</v>
      </c>
      <c r="I6246" s="222" t="s">
        <v>1597</v>
      </c>
      <c r="J6246" s="183" t="s">
        <v>21163</v>
      </c>
      <c r="K6246" s="183"/>
      <c r="L6246" s="613"/>
      <c r="M6246" s="183">
        <v>1</v>
      </c>
      <c r="N6246" s="183">
        <v>1</v>
      </c>
      <c r="O6246" s="222">
        <v>1</v>
      </c>
      <c r="P6246" s="222">
        <v>0</v>
      </c>
      <c r="Q6246" s="222">
        <v>1</v>
      </c>
      <c r="R6246" s="1195">
        <f>900/1.1</f>
        <v>818.18181818181813</v>
      </c>
      <c r="S6246" s="1195">
        <f>R6246*O6246</f>
        <v>818.18181818181813</v>
      </c>
      <c r="T6246" s="222" t="s">
        <v>311</v>
      </c>
      <c r="U6246" s="1527"/>
      <c r="V6246" s="222" t="s">
        <v>21159</v>
      </c>
      <c r="W6246" s="2235" t="s">
        <v>21164</v>
      </c>
      <c r="X6246" s="818"/>
    </row>
    <row r="6247" spans="1:25" ht="15.75" hidden="1" customHeight="1">
      <c r="A6247" s="222">
        <v>6256</v>
      </c>
      <c r="B6247" s="858">
        <v>44946</v>
      </c>
      <c r="C6247" s="129" t="s">
        <v>20901</v>
      </c>
      <c r="D6247" s="22"/>
      <c r="E6247" s="818" t="s">
        <v>1031</v>
      </c>
      <c r="F6247" s="1006" t="s">
        <v>19325</v>
      </c>
      <c r="G6247" s="863" t="s">
        <v>21165</v>
      </c>
      <c r="H6247" s="222" t="s">
        <v>4823</v>
      </c>
      <c r="I6247" s="222" t="s">
        <v>1597</v>
      </c>
      <c r="J6247" s="183" t="s">
        <v>4824</v>
      </c>
      <c r="K6247" s="183"/>
      <c r="L6247" s="613"/>
      <c r="M6247" s="183">
        <v>3</v>
      </c>
      <c r="N6247" s="183">
        <v>1</v>
      </c>
      <c r="O6247" s="222">
        <v>3</v>
      </c>
      <c r="P6247" s="222">
        <v>1</v>
      </c>
      <c r="Q6247" s="222">
        <v>4</v>
      </c>
      <c r="R6247" s="1195">
        <f>100/1.1</f>
        <v>90.909090909090907</v>
      </c>
      <c r="S6247" s="1195">
        <f t="shared" ref="S6247:S6255" si="349">R6247*O6247</f>
        <v>272.72727272727275</v>
      </c>
      <c r="T6247" s="222" t="s">
        <v>311</v>
      </c>
      <c r="U6247" s="1527"/>
      <c r="V6247" s="222" t="s">
        <v>21159</v>
      </c>
      <c r="W6247" s="2235" t="s">
        <v>11849</v>
      </c>
      <c r="X6247" s="818"/>
    </row>
    <row r="6248" spans="1:25" ht="15.75" hidden="1" customHeight="1">
      <c r="A6248" s="222">
        <v>6257</v>
      </c>
      <c r="B6248" s="858">
        <v>44946</v>
      </c>
      <c r="C6248" s="129" t="s">
        <v>11843</v>
      </c>
      <c r="D6248" s="22"/>
      <c r="E6248" s="818" t="s">
        <v>1031</v>
      </c>
      <c r="F6248" s="1006" t="s">
        <v>19325</v>
      </c>
      <c r="G6248" s="863" t="s">
        <v>21166</v>
      </c>
      <c r="H6248" s="222" t="s">
        <v>1478</v>
      </c>
      <c r="I6248" s="222" t="s">
        <v>1597</v>
      </c>
      <c r="J6248" s="183" t="s">
        <v>4806</v>
      </c>
      <c r="K6248" s="183" t="s">
        <v>4805</v>
      </c>
      <c r="L6248" s="613"/>
      <c r="M6248" s="183">
        <v>10</v>
      </c>
      <c r="N6248" s="183">
        <v>1</v>
      </c>
      <c r="O6248" s="222">
        <v>10</v>
      </c>
      <c r="P6248" s="222">
        <v>0</v>
      </c>
      <c r="Q6248" s="222">
        <v>10</v>
      </c>
      <c r="R6248" s="1195">
        <f>80/1.1</f>
        <v>72.72727272727272</v>
      </c>
      <c r="S6248" s="1195">
        <f t="shared" si="349"/>
        <v>727.27272727272725</v>
      </c>
      <c r="T6248" s="222" t="s">
        <v>311</v>
      </c>
      <c r="U6248" s="1527"/>
      <c r="V6248" s="222" t="s">
        <v>21159</v>
      </c>
      <c r="W6248" s="2235" t="s">
        <v>11845</v>
      </c>
      <c r="X6248" s="818"/>
    </row>
    <row r="6249" spans="1:25" ht="15.75" hidden="1" customHeight="1">
      <c r="A6249" s="222">
        <v>6258</v>
      </c>
      <c r="B6249" s="858">
        <v>44946</v>
      </c>
      <c r="C6249" s="129" t="s">
        <v>21167</v>
      </c>
      <c r="D6249" s="22"/>
      <c r="E6249" s="818" t="s">
        <v>1031</v>
      </c>
      <c r="F6249" s="1006" t="s">
        <v>19325</v>
      </c>
      <c r="G6249" s="863" t="s">
        <v>21168</v>
      </c>
      <c r="H6249" s="222" t="s">
        <v>4841</v>
      </c>
      <c r="I6249" s="222" t="s">
        <v>1597</v>
      </c>
      <c r="J6249" s="183" t="s">
        <v>9772</v>
      </c>
      <c r="K6249" s="183" t="s">
        <v>9773</v>
      </c>
      <c r="L6249" s="613"/>
      <c r="M6249" s="183">
        <v>5</v>
      </c>
      <c r="N6249" s="183">
        <v>1</v>
      </c>
      <c r="O6249" s="222">
        <v>5</v>
      </c>
      <c r="P6249" s="222">
        <v>2</v>
      </c>
      <c r="Q6249" s="222">
        <v>7</v>
      </c>
      <c r="R6249" s="1195">
        <f>100/1.1</f>
        <v>90.909090909090907</v>
      </c>
      <c r="S6249" s="1195">
        <f t="shared" si="349"/>
        <v>454.5454545454545</v>
      </c>
      <c r="T6249" s="222" t="s">
        <v>311</v>
      </c>
      <c r="U6249" s="1527"/>
      <c r="V6249" s="222" t="s">
        <v>21159</v>
      </c>
      <c r="W6249" s="2235" t="s">
        <v>20677</v>
      </c>
      <c r="X6249" s="818"/>
    </row>
    <row r="6250" spans="1:25" ht="15.75" hidden="1" customHeight="1">
      <c r="A6250" s="222">
        <v>6259</v>
      </c>
      <c r="B6250" s="858">
        <v>44946</v>
      </c>
      <c r="C6250" s="129" t="s">
        <v>21169</v>
      </c>
      <c r="D6250" s="22"/>
      <c r="E6250" s="818" t="s">
        <v>1031</v>
      </c>
      <c r="F6250" s="1006" t="s">
        <v>19325</v>
      </c>
      <c r="G6250" s="863" t="s">
        <v>21170</v>
      </c>
      <c r="H6250" s="222" t="s">
        <v>4841</v>
      </c>
      <c r="I6250" s="222" t="s">
        <v>1597</v>
      </c>
      <c r="J6250" s="183" t="s">
        <v>21171</v>
      </c>
      <c r="K6250" s="183" t="s">
        <v>21172</v>
      </c>
      <c r="L6250" s="613"/>
      <c r="M6250" s="183">
        <v>2</v>
      </c>
      <c r="N6250" s="183">
        <v>1</v>
      </c>
      <c r="O6250" s="222">
        <v>3</v>
      </c>
      <c r="P6250" s="222">
        <v>0</v>
      </c>
      <c r="Q6250" s="222">
        <v>3</v>
      </c>
      <c r="R6250" s="1195">
        <f>100/1.1</f>
        <v>90.909090909090907</v>
      </c>
      <c r="S6250" s="1195">
        <f t="shared" si="349"/>
        <v>272.72727272727275</v>
      </c>
      <c r="T6250" s="222" t="s">
        <v>311</v>
      </c>
      <c r="U6250" s="1527"/>
      <c r="V6250" s="222" t="s">
        <v>21159</v>
      </c>
      <c r="W6250" s="2235" t="s">
        <v>21173</v>
      </c>
      <c r="X6250" s="818"/>
    </row>
    <row r="6251" spans="1:25" ht="15.75" hidden="1" customHeight="1">
      <c r="A6251" s="222">
        <v>6260</v>
      </c>
      <c r="B6251" s="858">
        <v>44946</v>
      </c>
      <c r="C6251" s="129" t="s">
        <v>21174</v>
      </c>
      <c r="D6251" s="22"/>
      <c r="E6251" s="818" t="s">
        <v>1031</v>
      </c>
      <c r="F6251" s="1006" t="s">
        <v>19325</v>
      </c>
      <c r="G6251" s="863" t="s">
        <v>21175</v>
      </c>
      <c r="H6251" s="222" t="s">
        <v>20214</v>
      </c>
      <c r="I6251" s="222" t="s">
        <v>5690</v>
      </c>
      <c r="J6251" s="183">
        <v>5233418</v>
      </c>
      <c r="K6251" s="183" t="s">
        <v>20215</v>
      </c>
      <c r="L6251" s="613"/>
      <c r="M6251" s="183">
        <v>2</v>
      </c>
      <c r="N6251" s="183">
        <v>1</v>
      </c>
      <c r="O6251" s="222">
        <v>2</v>
      </c>
      <c r="P6251" s="222">
        <v>0</v>
      </c>
      <c r="Q6251" s="222">
        <v>2</v>
      </c>
      <c r="R6251" s="1195">
        <v>999</v>
      </c>
      <c r="S6251" s="1195">
        <f t="shared" si="349"/>
        <v>1998</v>
      </c>
      <c r="T6251" s="222" t="s">
        <v>311</v>
      </c>
      <c r="U6251" s="1527"/>
      <c r="V6251" s="222" t="s">
        <v>21159</v>
      </c>
      <c r="W6251" s="2235" t="s">
        <v>20216</v>
      </c>
      <c r="X6251" s="818"/>
    </row>
    <row r="6252" spans="1:25" ht="15.75" hidden="1" customHeight="1">
      <c r="A6252" s="222">
        <v>6261</v>
      </c>
      <c r="B6252" s="858">
        <v>44946</v>
      </c>
      <c r="C6252" s="129" t="s">
        <v>21176</v>
      </c>
      <c r="D6252" s="22"/>
      <c r="E6252" s="818" t="s">
        <v>1031</v>
      </c>
      <c r="F6252" s="1006" t="s">
        <v>19325</v>
      </c>
      <c r="G6252" s="863" t="s">
        <v>21177</v>
      </c>
      <c r="H6252" s="222" t="s">
        <v>107</v>
      </c>
      <c r="I6252" s="222" t="s">
        <v>5690</v>
      </c>
      <c r="J6252" s="183">
        <v>11355977</v>
      </c>
      <c r="K6252" s="183" t="s">
        <v>19653</v>
      </c>
      <c r="L6252" s="613"/>
      <c r="M6252" s="183">
        <v>1</v>
      </c>
      <c r="N6252" s="183">
        <v>1</v>
      </c>
      <c r="O6252" s="222">
        <v>2</v>
      </c>
      <c r="P6252" s="222">
        <v>0</v>
      </c>
      <c r="Q6252" s="222">
        <v>2</v>
      </c>
      <c r="R6252" s="1195">
        <v>1390</v>
      </c>
      <c r="S6252" s="1195">
        <f t="shared" si="349"/>
        <v>2780</v>
      </c>
      <c r="T6252" s="222" t="s">
        <v>311</v>
      </c>
      <c r="U6252" s="1527"/>
      <c r="V6252" s="222" t="s">
        <v>21159</v>
      </c>
      <c r="W6252" s="2235" t="s">
        <v>19654</v>
      </c>
      <c r="X6252" s="818"/>
    </row>
    <row r="6253" spans="1:25" ht="15.75" hidden="1" customHeight="1">
      <c r="A6253" s="222">
        <v>6262</v>
      </c>
      <c r="B6253" s="858">
        <v>44946</v>
      </c>
      <c r="C6253" s="129" t="s">
        <v>21178</v>
      </c>
      <c r="D6253" s="22"/>
      <c r="E6253" s="818" t="s">
        <v>1031</v>
      </c>
      <c r="F6253" s="1006" t="s">
        <v>19325</v>
      </c>
      <c r="G6253" s="863" t="s">
        <v>21179</v>
      </c>
      <c r="H6253" s="222" t="s">
        <v>17899</v>
      </c>
      <c r="I6253" s="222" t="s">
        <v>5690</v>
      </c>
      <c r="J6253" s="183">
        <v>49019582</v>
      </c>
      <c r="K6253" s="183" t="s">
        <v>11371</v>
      </c>
      <c r="L6253" s="613"/>
      <c r="M6253" s="183">
        <v>1</v>
      </c>
      <c r="N6253" s="183">
        <v>1</v>
      </c>
      <c r="O6253" s="222">
        <v>1</v>
      </c>
      <c r="P6253" s="222">
        <v>0</v>
      </c>
      <c r="Q6253" s="222">
        <v>1</v>
      </c>
      <c r="R6253" s="1195">
        <v>399</v>
      </c>
      <c r="S6253" s="1195">
        <f t="shared" si="349"/>
        <v>399</v>
      </c>
      <c r="T6253" s="222" t="s">
        <v>311</v>
      </c>
      <c r="U6253" s="1527"/>
      <c r="V6253" s="222" t="s">
        <v>21159</v>
      </c>
      <c r="W6253" s="2235" t="s">
        <v>21180</v>
      </c>
      <c r="X6253" s="818"/>
    </row>
    <row r="6254" spans="1:25" ht="15.75" hidden="1" customHeight="1">
      <c r="A6254" s="222">
        <v>6263</v>
      </c>
      <c r="B6254" s="858">
        <v>44946</v>
      </c>
      <c r="C6254" s="129" t="s">
        <v>21181</v>
      </c>
      <c r="D6254" s="22"/>
      <c r="E6254" s="818" t="s">
        <v>1031</v>
      </c>
      <c r="F6254" s="1006" t="s">
        <v>19325</v>
      </c>
      <c r="G6254" s="863" t="s">
        <v>21182</v>
      </c>
      <c r="H6254" s="222" t="s">
        <v>21183</v>
      </c>
      <c r="I6254" s="222" t="s">
        <v>5690</v>
      </c>
      <c r="J6254" s="183">
        <v>58274135</v>
      </c>
      <c r="K6254" s="183" t="s">
        <v>19649</v>
      </c>
      <c r="L6254" s="613"/>
      <c r="M6254" s="183">
        <v>10</v>
      </c>
      <c r="N6254" s="183">
        <v>1</v>
      </c>
      <c r="O6254" s="222">
        <v>10</v>
      </c>
      <c r="P6254" s="222">
        <v>0</v>
      </c>
      <c r="Q6254" s="222">
        <v>10</v>
      </c>
      <c r="R6254" s="1195">
        <v>259</v>
      </c>
      <c r="S6254" s="1195">
        <f>R6254*O6254</f>
        <v>2590</v>
      </c>
      <c r="T6254" s="222" t="s">
        <v>311</v>
      </c>
      <c r="U6254" s="1527"/>
      <c r="V6254" s="222" t="s">
        <v>21159</v>
      </c>
      <c r="W6254" s="2235" t="s">
        <v>19650</v>
      </c>
      <c r="X6254" s="818"/>
    </row>
    <row r="6255" spans="1:25" ht="15.75" hidden="1" customHeight="1">
      <c r="A6255" s="222">
        <v>6264</v>
      </c>
      <c r="B6255" s="858">
        <v>44946</v>
      </c>
      <c r="C6255" s="129" t="s">
        <v>21184</v>
      </c>
      <c r="D6255" s="22"/>
      <c r="E6255" s="818" t="s">
        <v>1031</v>
      </c>
      <c r="F6255" s="1006" t="s">
        <v>19325</v>
      </c>
      <c r="G6255" s="859" t="s">
        <v>21185</v>
      </c>
      <c r="H6255" s="222" t="s">
        <v>21183</v>
      </c>
      <c r="I6255" s="222" t="s">
        <v>5690</v>
      </c>
      <c r="J6255" s="183">
        <v>40789736</v>
      </c>
      <c r="K6255" s="183" t="s">
        <v>20210</v>
      </c>
      <c r="L6255" s="613"/>
      <c r="M6255" s="183">
        <v>1</v>
      </c>
      <c r="N6255" s="183">
        <v>1</v>
      </c>
      <c r="O6255" s="222">
        <v>2</v>
      </c>
      <c r="P6255" s="222">
        <v>0</v>
      </c>
      <c r="Q6255" s="222">
        <v>2</v>
      </c>
      <c r="R6255" s="1195">
        <v>219</v>
      </c>
      <c r="S6255" s="1195">
        <f t="shared" si="349"/>
        <v>438</v>
      </c>
      <c r="T6255" s="222" t="s">
        <v>311</v>
      </c>
      <c r="U6255" s="1527"/>
      <c r="V6255" s="222" t="s">
        <v>21159</v>
      </c>
      <c r="W6255" s="2235" t="s">
        <v>20211</v>
      </c>
      <c r="X6255" s="818"/>
    </row>
    <row r="6256" spans="1:25" ht="15.75" hidden="1" customHeight="1">
      <c r="A6256" s="222">
        <v>6265</v>
      </c>
      <c r="B6256" s="858">
        <v>44948</v>
      </c>
      <c r="C6256" s="129" t="s">
        <v>21186</v>
      </c>
      <c r="D6256" s="11" t="s">
        <v>6</v>
      </c>
      <c r="E6256" s="818" t="s">
        <v>21187</v>
      </c>
      <c r="F6256" s="1006" t="s">
        <v>19265</v>
      </c>
      <c r="G6256" s="863" t="s">
        <v>21188</v>
      </c>
      <c r="H6256" s="222" t="s">
        <v>166</v>
      </c>
      <c r="I6256" s="222" t="s">
        <v>21189</v>
      </c>
      <c r="J6256" s="183"/>
      <c r="K6256" s="183" t="s">
        <v>21190</v>
      </c>
      <c r="L6256" s="613"/>
      <c r="M6256" s="183">
        <v>16</v>
      </c>
      <c r="N6256" s="183">
        <v>1</v>
      </c>
      <c r="O6256" s="222">
        <v>30</v>
      </c>
      <c r="P6256" s="222">
        <v>0</v>
      </c>
      <c r="Q6256" s="222">
        <v>14</v>
      </c>
      <c r="R6256" s="1195">
        <v>4900</v>
      </c>
      <c r="S6256" s="1195">
        <v>162200</v>
      </c>
      <c r="T6256" s="222" t="s">
        <v>18479</v>
      </c>
      <c r="U6256" s="1527" t="s">
        <v>448</v>
      </c>
      <c r="V6256" s="222" t="s">
        <v>19258</v>
      </c>
      <c r="W6256" s="2235" t="s">
        <v>21191</v>
      </c>
      <c r="X6256" s="818"/>
    </row>
    <row r="6257" spans="1:24" ht="15.75" hidden="1" customHeight="1">
      <c r="A6257" s="222">
        <v>6266</v>
      </c>
      <c r="B6257" s="858">
        <v>44949</v>
      </c>
      <c r="C6257" s="129">
        <v>5023520200</v>
      </c>
      <c r="D6257" s="1515"/>
      <c r="E6257" s="2311" t="s">
        <v>1031</v>
      </c>
      <c r="F6257" s="1006" t="s">
        <v>11323</v>
      </c>
      <c r="G6257" s="863" t="s">
        <v>21192</v>
      </c>
      <c r="H6257" s="222" t="s">
        <v>1143</v>
      </c>
      <c r="I6257" s="222" t="s">
        <v>39</v>
      </c>
      <c r="J6257" s="183" t="s">
        <v>21193</v>
      </c>
      <c r="K6257" s="183" t="s">
        <v>21194</v>
      </c>
      <c r="L6257" s="613"/>
      <c r="M6257" s="183">
        <v>6</v>
      </c>
      <c r="N6257" s="183">
        <v>1</v>
      </c>
      <c r="O6257" s="222">
        <v>10</v>
      </c>
      <c r="P6257" s="222">
        <v>0</v>
      </c>
      <c r="Q6257" s="222">
        <v>10</v>
      </c>
      <c r="R6257" s="1195">
        <v>200.44</v>
      </c>
      <c r="S6257" s="1195">
        <f>Q6257*R6257</f>
        <v>2004.4</v>
      </c>
      <c r="T6257" s="222" t="s">
        <v>311</v>
      </c>
      <c r="U6257" s="1527"/>
      <c r="V6257" s="222" t="s">
        <v>352</v>
      </c>
      <c r="W6257" s="2235" t="s">
        <v>21195</v>
      </c>
      <c r="X6257" s="818"/>
    </row>
    <row r="6258" spans="1:24" ht="15.75" hidden="1" customHeight="1">
      <c r="A6258" s="222">
        <v>6267</v>
      </c>
      <c r="B6258" s="858">
        <v>44949</v>
      </c>
      <c r="C6258" s="129" t="s">
        <v>1991</v>
      </c>
      <c r="D6258" s="2310"/>
      <c r="E6258" s="2309" t="s">
        <v>1031</v>
      </c>
      <c r="F6258" s="1534" t="s">
        <v>11323</v>
      </c>
      <c r="G6258" s="863" t="s">
        <v>21196</v>
      </c>
      <c r="H6258" s="222" t="s">
        <v>5290</v>
      </c>
      <c r="I6258" s="222" t="s">
        <v>39</v>
      </c>
      <c r="J6258" s="129" t="s">
        <v>5291</v>
      </c>
      <c r="K6258" s="183" t="s">
        <v>1991</v>
      </c>
      <c r="L6258" s="613"/>
      <c r="M6258" s="183">
        <v>2</v>
      </c>
      <c r="N6258" s="183">
        <v>5</v>
      </c>
      <c r="O6258" s="222">
        <v>5</v>
      </c>
      <c r="P6258" s="222">
        <v>0</v>
      </c>
      <c r="Q6258" s="222">
        <v>5</v>
      </c>
      <c r="R6258" s="1195">
        <v>44.4</v>
      </c>
      <c r="S6258" s="1195">
        <f>Q6258*R6258</f>
        <v>222</v>
      </c>
      <c r="T6258" s="222" t="s">
        <v>311</v>
      </c>
      <c r="U6258" s="1527"/>
      <c r="V6258" s="222" t="s">
        <v>352</v>
      </c>
      <c r="W6258" s="2235" t="s">
        <v>21197</v>
      </c>
      <c r="X6258" s="818"/>
    </row>
    <row r="6259" spans="1:24" ht="15.75" hidden="1" customHeight="1">
      <c r="A6259" s="222">
        <v>6268</v>
      </c>
      <c r="B6259" s="858">
        <v>44949</v>
      </c>
      <c r="C6259" s="129" t="s">
        <v>21198</v>
      </c>
      <c r="D6259" s="1515"/>
      <c r="E6259" s="1444" t="s">
        <v>1031</v>
      </c>
      <c r="F6259" s="1006" t="s">
        <v>11323</v>
      </c>
      <c r="G6259" s="863" t="s">
        <v>21199</v>
      </c>
      <c r="H6259" s="222" t="s">
        <v>641</v>
      </c>
      <c r="I6259" s="222" t="s">
        <v>574</v>
      </c>
      <c r="J6259" s="183" t="s">
        <v>21200</v>
      </c>
      <c r="K6259" s="183" t="s">
        <v>21198</v>
      </c>
      <c r="L6259" s="613"/>
      <c r="M6259" s="183">
        <v>2</v>
      </c>
      <c r="N6259" s="183">
        <v>1</v>
      </c>
      <c r="O6259" s="222">
        <v>10</v>
      </c>
      <c r="P6259" s="222">
        <v>0</v>
      </c>
      <c r="Q6259" s="222">
        <v>10</v>
      </c>
      <c r="R6259" s="1195">
        <v>11.8</v>
      </c>
      <c r="S6259" s="1195">
        <f>Q6259*R6259</f>
        <v>118</v>
      </c>
      <c r="T6259" s="222" t="s">
        <v>311</v>
      </c>
      <c r="U6259" s="1527"/>
      <c r="V6259" s="222" t="s">
        <v>352</v>
      </c>
      <c r="W6259" s="2235" t="s">
        <v>21201</v>
      </c>
      <c r="X6259" s="818"/>
    </row>
    <row r="6260" spans="1:24" ht="15.75" hidden="1" customHeight="1">
      <c r="A6260" s="222">
        <v>6269</v>
      </c>
      <c r="B6260" s="858">
        <v>44949</v>
      </c>
      <c r="C6260" s="129" t="s">
        <v>21202</v>
      </c>
      <c r="D6260" s="1515"/>
      <c r="E6260" s="818" t="s">
        <v>1031</v>
      </c>
      <c r="F6260" s="1006" t="s">
        <v>11323</v>
      </c>
      <c r="G6260" s="863" t="s">
        <v>18079</v>
      </c>
      <c r="H6260" s="222" t="s">
        <v>460</v>
      </c>
      <c r="I6260" s="222" t="s">
        <v>574</v>
      </c>
      <c r="J6260" s="183" t="s">
        <v>21203</v>
      </c>
      <c r="K6260" s="183" t="s">
        <v>21202</v>
      </c>
      <c r="L6260" s="613"/>
      <c r="M6260" s="183">
        <v>2</v>
      </c>
      <c r="N6260" s="183">
        <v>1</v>
      </c>
      <c r="O6260" s="222">
        <v>10</v>
      </c>
      <c r="P6260" s="222">
        <v>0</v>
      </c>
      <c r="Q6260" s="222">
        <v>10</v>
      </c>
      <c r="R6260" s="1195">
        <v>173.7</v>
      </c>
      <c r="S6260" s="1195">
        <f>Q6260*R6260</f>
        <v>1737</v>
      </c>
      <c r="T6260" s="222" t="s">
        <v>311</v>
      </c>
      <c r="U6260" s="1527"/>
      <c r="V6260" s="222" t="s">
        <v>352</v>
      </c>
      <c r="W6260" s="2235" t="s">
        <v>21204</v>
      </c>
      <c r="X6260" s="818"/>
    </row>
    <row r="6261" spans="1:24" ht="15.75" hidden="1" customHeight="1">
      <c r="A6261" s="222">
        <v>6270</v>
      </c>
      <c r="B6261" s="858">
        <v>44949</v>
      </c>
      <c r="C6261" s="129" t="s">
        <v>20557</v>
      </c>
      <c r="D6261" s="1515"/>
      <c r="E6261" s="818" t="s">
        <v>1031</v>
      </c>
      <c r="F6261" s="1006" t="s">
        <v>11323</v>
      </c>
      <c r="G6261" s="863" t="s">
        <v>21205</v>
      </c>
      <c r="H6261" s="222" t="s">
        <v>2280</v>
      </c>
      <c r="I6261" s="222" t="s">
        <v>574</v>
      </c>
      <c r="J6261" s="183" t="s">
        <v>21206</v>
      </c>
      <c r="K6261" s="183" t="s">
        <v>20557</v>
      </c>
      <c r="L6261" s="613"/>
      <c r="M6261" s="183">
        <v>2</v>
      </c>
      <c r="N6261" s="183">
        <v>1</v>
      </c>
      <c r="O6261" s="222">
        <v>10</v>
      </c>
      <c r="P6261" s="222">
        <v>0</v>
      </c>
      <c r="Q6261" s="222">
        <v>10</v>
      </c>
      <c r="R6261" s="1195">
        <v>54</v>
      </c>
      <c r="S6261" s="1195">
        <f>Q6261*R6261</f>
        <v>540</v>
      </c>
      <c r="T6261" s="222" t="s">
        <v>311</v>
      </c>
      <c r="U6261" s="1527"/>
      <c r="V6261" s="222" t="s">
        <v>352</v>
      </c>
      <c r="W6261" s="2235" t="s">
        <v>21207</v>
      </c>
      <c r="X6261" s="818"/>
    </row>
    <row r="6262" spans="1:24" ht="15.75" hidden="1" customHeight="1">
      <c r="A6262" s="222">
        <v>6271</v>
      </c>
      <c r="B6262" s="858">
        <v>44949</v>
      </c>
      <c r="C6262" s="129" t="s">
        <v>21208</v>
      </c>
      <c r="D6262" s="1515"/>
      <c r="E6262" s="818" t="s">
        <v>1031</v>
      </c>
      <c r="F6262" s="1006" t="s">
        <v>11323</v>
      </c>
      <c r="G6262" s="863" t="s">
        <v>14414</v>
      </c>
      <c r="H6262" s="222" t="s">
        <v>468</v>
      </c>
      <c r="I6262" s="222" t="s">
        <v>84</v>
      </c>
      <c r="J6262" s="183">
        <v>26344578</v>
      </c>
      <c r="K6262" s="183" t="s">
        <v>5989</v>
      </c>
      <c r="L6262" s="613"/>
      <c r="M6262" s="183">
        <v>4</v>
      </c>
      <c r="N6262" s="183">
        <v>50</v>
      </c>
      <c r="O6262" s="222">
        <v>50</v>
      </c>
      <c r="P6262" s="222">
        <v>0</v>
      </c>
      <c r="Q6262" s="222">
        <v>50</v>
      </c>
      <c r="R6262" s="1195">
        <v>1790</v>
      </c>
      <c r="S6262" s="1195">
        <v>1790</v>
      </c>
      <c r="T6262" s="222" t="s">
        <v>311</v>
      </c>
      <c r="U6262" s="1527"/>
      <c r="V6262" s="222" t="s">
        <v>352</v>
      </c>
      <c r="W6262" s="2235" t="s">
        <v>14415</v>
      </c>
      <c r="X6262" s="818"/>
    </row>
    <row r="6263" spans="1:24" ht="15.75" hidden="1" customHeight="1">
      <c r="A6263" s="222">
        <v>6272</v>
      </c>
      <c r="B6263" s="858">
        <v>44949</v>
      </c>
      <c r="C6263" s="129" t="s">
        <v>21209</v>
      </c>
      <c r="D6263" s="1515"/>
      <c r="E6263" s="818" t="s">
        <v>1031</v>
      </c>
      <c r="F6263" s="1006" t="s">
        <v>11323</v>
      </c>
      <c r="G6263" s="863" t="s">
        <v>21210</v>
      </c>
      <c r="H6263" s="222" t="s">
        <v>468</v>
      </c>
      <c r="I6263" s="222" t="s">
        <v>84</v>
      </c>
      <c r="J6263" s="183">
        <v>26336485</v>
      </c>
      <c r="K6263" s="183" t="s">
        <v>21209</v>
      </c>
      <c r="L6263" s="613"/>
      <c r="M6263" s="183">
        <v>4</v>
      </c>
      <c r="N6263" s="183">
        <v>50</v>
      </c>
      <c r="O6263" s="222">
        <v>50</v>
      </c>
      <c r="P6263" s="222">
        <v>0</v>
      </c>
      <c r="Q6263" s="222">
        <v>50</v>
      </c>
      <c r="R6263" s="1195">
        <v>2490</v>
      </c>
      <c r="S6263" s="1195">
        <v>2490</v>
      </c>
      <c r="T6263" s="222" t="s">
        <v>311</v>
      </c>
      <c r="U6263" s="1527"/>
      <c r="V6263" s="222" t="s">
        <v>352</v>
      </c>
      <c r="W6263" s="2235" t="s">
        <v>21211</v>
      </c>
      <c r="X6263" s="818"/>
    </row>
    <row r="6264" spans="1:24" ht="15.75" hidden="1" customHeight="1">
      <c r="A6264" s="222">
        <v>6273</v>
      </c>
      <c r="B6264" s="858">
        <v>44949</v>
      </c>
      <c r="C6264" s="129" t="s">
        <v>21212</v>
      </c>
      <c r="D6264" s="1515"/>
      <c r="E6264" s="818" t="s">
        <v>1031</v>
      </c>
      <c r="F6264" s="1006" t="s">
        <v>11323</v>
      </c>
      <c r="G6264" s="863" t="s">
        <v>21213</v>
      </c>
      <c r="H6264" s="222" t="s">
        <v>468</v>
      </c>
      <c r="I6264" s="222" t="s">
        <v>84</v>
      </c>
      <c r="J6264" s="183">
        <v>26355963</v>
      </c>
      <c r="K6264" s="183" t="s">
        <v>21212</v>
      </c>
      <c r="L6264" s="613"/>
      <c r="M6264" s="183">
        <v>6</v>
      </c>
      <c r="N6264" s="183">
        <v>50</v>
      </c>
      <c r="O6264" s="222">
        <v>50</v>
      </c>
      <c r="P6264" s="222">
        <v>0</v>
      </c>
      <c r="Q6264" s="222">
        <v>50</v>
      </c>
      <c r="R6264" s="1195">
        <v>969</v>
      </c>
      <c r="S6264" s="1195">
        <v>969</v>
      </c>
      <c r="T6264" s="222" t="s">
        <v>311</v>
      </c>
      <c r="U6264" s="1527"/>
      <c r="V6264" s="222" t="s">
        <v>352</v>
      </c>
      <c r="W6264" s="2235" t="s">
        <v>21214</v>
      </c>
      <c r="X6264" s="818"/>
    </row>
    <row r="6265" spans="1:24" ht="15.75" hidden="1" customHeight="1">
      <c r="A6265" s="222">
        <v>6274</v>
      </c>
      <c r="B6265" s="858">
        <v>44952</v>
      </c>
      <c r="C6265" s="129" t="s">
        <v>21215</v>
      </c>
      <c r="D6265" s="1515"/>
      <c r="E6265" s="818" t="s">
        <v>21216</v>
      </c>
      <c r="F6265" s="1006" t="s">
        <v>21217</v>
      </c>
      <c r="G6265" s="863" t="s">
        <v>21218</v>
      </c>
      <c r="H6265" s="222" t="s">
        <v>1584</v>
      </c>
      <c r="I6265" s="222" t="s">
        <v>1584</v>
      </c>
      <c r="J6265" s="183"/>
      <c r="K6265" s="183" t="s">
        <v>2528</v>
      </c>
      <c r="L6265" s="613"/>
      <c r="M6265" s="183">
        <v>8</v>
      </c>
      <c r="N6265" s="183">
        <v>8</v>
      </c>
      <c r="O6265" s="222">
        <v>8</v>
      </c>
      <c r="P6265" s="222">
        <v>0</v>
      </c>
      <c r="Q6265" s="222">
        <v>2</v>
      </c>
      <c r="R6265" s="1195">
        <v>20300</v>
      </c>
      <c r="S6265" s="1195">
        <v>97231</v>
      </c>
      <c r="T6265" s="222" t="s">
        <v>21028</v>
      </c>
      <c r="U6265" s="1527" t="s">
        <v>4846</v>
      </c>
      <c r="V6265" s="222" t="s">
        <v>21029</v>
      </c>
      <c r="W6265" s="2235" t="s">
        <v>2529</v>
      </c>
      <c r="X6265" s="818"/>
    </row>
    <row r="6266" spans="1:24" ht="15.75" hidden="1" customHeight="1">
      <c r="A6266" s="222">
        <v>6275</v>
      </c>
      <c r="B6266" s="858">
        <v>44952</v>
      </c>
      <c r="C6266" s="129" t="s">
        <v>21219</v>
      </c>
      <c r="D6266" s="10"/>
      <c r="E6266" s="818" t="s">
        <v>1031</v>
      </c>
      <c r="F6266" s="1006" t="s">
        <v>21047</v>
      </c>
      <c r="G6266" s="863" t="s">
        <v>21220</v>
      </c>
      <c r="H6266" s="222" t="s">
        <v>5730</v>
      </c>
      <c r="I6266" s="222" t="s">
        <v>574</v>
      </c>
      <c r="J6266" s="183"/>
      <c r="K6266" s="183" t="s">
        <v>21219</v>
      </c>
      <c r="L6266" s="613"/>
      <c r="M6266" s="183">
        <v>100</v>
      </c>
      <c r="N6266" s="183">
        <v>100</v>
      </c>
      <c r="O6266" s="222">
        <v>100</v>
      </c>
      <c r="P6266" s="222">
        <v>0</v>
      </c>
      <c r="Q6266" s="222">
        <v>0</v>
      </c>
      <c r="R6266" s="1195">
        <v>7.68</v>
      </c>
      <c r="S6266" s="1195">
        <v>768</v>
      </c>
      <c r="T6266" s="222" t="s">
        <v>21028</v>
      </c>
      <c r="U6266" s="1527" t="s">
        <v>20541</v>
      </c>
      <c r="V6266" s="222" t="s">
        <v>15478</v>
      </c>
      <c r="W6266" s="2235" t="s">
        <v>21221</v>
      </c>
      <c r="X6266" s="818"/>
    </row>
    <row r="6267" spans="1:24" ht="15.75" hidden="1" customHeight="1">
      <c r="A6267" s="222">
        <v>6276</v>
      </c>
      <c r="B6267" s="858">
        <v>44952</v>
      </c>
      <c r="C6267" s="129" t="s">
        <v>3840</v>
      </c>
      <c r="D6267" s="10"/>
      <c r="E6267" s="818" t="s">
        <v>1031</v>
      </c>
      <c r="F6267" s="1006" t="s">
        <v>21047</v>
      </c>
      <c r="G6267" s="863" t="s">
        <v>21222</v>
      </c>
      <c r="H6267" s="222" t="s">
        <v>5730</v>
      </c>
      <c r="I6267" s="222" t="s">
        <v>574</v>
      </c>
      <c r="J6267" s="183"/>
      <c r="K6267" s="183" t="s">
        <v>3840</v>
      </c>
      <c r="L6267" s="613"/>
      <c r="M6267" s="183">
        <v>50</v>
      </c>
      <c r="N6267" s="183">
        <v>50</v>
      </c>
      <c r="O6267" s="222">
        <v>50</v>
      </c>
      <c r="P6267" s="222">
        <v>0</v>
      </c>
      <c r="Q6267" s="222">
        <v>0</v>
      </c>
      <c r="R6267" s="1195">
        <v>5.3</v>
      </c>
      <c r="S6267" s="1195">
        <v>265</v>
      </c>
      <c r="T6267" s="222" t="s">
        <v>21028</v>
      </c>
      <c r="U6267" s="1527" t="s">
        <v>20541</v>
      </c>
      <c r="V6267" s="222" t="s">
        <v>15478</v>
      </c>
      <c r="W6267" s="2235" t="s">
        <v>21223</v>
      </c>
      <c r="X6267" s="818"/>
    </row>
    <row r="6268" spans="1:24" ht="15.75" hidden="1" customHeight="1">
      <c r="A6268" s="222">
        <v>6277</v>
      </c>
      <c r="B6268" s="858">
        <v>44952</v>
      </c>
      <c r="C6268" s="129" t="s">
        <v>21224</v>
      </c>
      <c r="D6268" s="10"/>
      <c r="E6268" s="818" t="s">
        <v>1031</v>
      </c>
      <c r="F6268" s="1006" t="s">
        <v>21047</v>
      </c>
      <c r="G6268" s="863" t="s">
        <v>21225</v>
      </c>
      <c r="H6268" s="222" t="s">
        <v>5730</v>
      </c>
      <c r="I6268" s="222" t="s">
        <v>574</v>
      </c>
      <c r="J6268" s="183"/>
      <c r="K6268" s="183" t="s">
        <v>21224</v>
      </c>
      <c r="L6268" s="613"/>
      <c r="M6268" s="183">
        <v>50</v>
      </c>
      <c r="N6268" s="183">
        <v>50</v>
      </c>
      <c r="O6268" s="222">
        <v>50</v>
      </c>
      <c r="P6268" s="222">
        <v>0</v>
      </c>
      <c r="Q6268" s="222">
        <v>0</v>
      </c>
      <c r="R6268" s="1195">
        <v>3.68</v>
      </c>
      <c r="S6268" s="1195">
        <v>184</v>
      </c>
      <c r="T6268" s="222" t="s">
        <v>21028</v>
      </c>
      <c r="U6268" s="1527" t="s">
        <v>20541</v>
      </c>
      <c r="V6268" s="222" t="s">
        <v>15478</v>
      </c>
      <c r="W6268" s="2235" t="s">
        <v>21226</v>
      </c>
      <c r="X6268" s="818"/>
    </row>
    <row r="6269" spans="1:24" ht="15.75" hidden="1" customHeight="1">
      <c r="A6269" s="222">
        <v>6278</v>
      </c>
      <c r="B6269" s="858">
        <v>44952</v>
      </c>
      <c r="C6269" s="129" t="s">
        <v>21227</v>
      </c>
      <c r="D6269" s="10"/>
      <c r="E6269" s="818" t="s">
        <v>1031</v>
      </c>
      <c r="F6269" s="1006" t="s">
        <v>21047</v>
      </c>
      <c r="G6269" s="863" t="s">
        <v>21228</v>
      </c>
      <c r="H6269" s="222" t="s">
        <v>5730</v>
      </c>
      <c r="I6269" s="222" t="s">
        <v>574</v>
      </c>
      <c r="J6269" s="183"/>
      <c r="K6269" s="183" t="s">
        <v>21227</v>
      </c>
      <c r="L6269" s="613"/>
      <c r="M6269" s="183">
        <v>50</v>
      </c>
      <c r="N6269" s="183">
        <v>50</v>
      </c>
      <c r="O6269" s="222">
        <v>50</v>
      </c>
      <c r="P6269" s="222">
        <v>0</v>
      </c>
      <c r="Q6269" s="222">
        <v>0</v>
      </c>
      <c r="R6269" s="1195">
        <v>3.68</v>
      </c>
      <c r="S6269" s="1195">
        <v>184</v>
      </c>
      <c r="T6269" s="222" t="s">
        <v>21028</v>
      </c>
      <c r="U6269" s="1527" t="s">
        <v>20541</v>
      </c>
      <c r="V6269" s="222" t="s">
        <v>15478</v>
      </c>
      <c r="W6269" s="2235" t="s">
        <v>21229</v>
      </c>
      <c r="X6269" s="818"/>
    </row>
    <row r="6270" spans="1:24" ht="15.75" hidden="1" customHeight="1">
      <c r="A6270" s="222">
        <v>6279</v>
      </c>
      <c r="B6270" s="858">
        <v>44952</v>
      </c>
      <c r="C6270" s="129" t="s">
        <v>21230</v>
      </c>
      <c r="D6270" s="10"/>
      <c r="E6270" s="818" t="s">
        <v>1031</v>
      </c>
      <c r="F6270" s="1006" t="s">
        <v>21047</v>
      </c>
      <c r="G6270" s="863" t="s">
        <v>21231</v>
      </c>
      <c r="H6270" s="222" t="s">
        <v>5730</v>
      </c>
      <c r="I6270" s="222" t="s">
        <v>574</v>
      </c>
      <c r="J6270" s="183"/>
      <c r="K6270" s="183" t="s">
        <v>21230</v>
      </c>
      <c r="L6270" s="613"/>
      <c r="M6270" s="183">
        <v>50</v>
      </c>
      <c r="N6270" s="183">
        <v>50</v>
      </c>
      <c r="O6270" s="222">
        <v>50</v>
      </c>
      <c r="P6270" s="222">
        <v>0</v>
      </c>
      <c r="Q6270" s="222">
        <v>0</v>
      </c>
      <c r="R6270" s="1195">
        <v>9.26</v>
      </c>
      <c r="S6270" s="1195">
        <v>463</v>
      </c>
      <c r="T6270" s="222" t="s">
        <v>21028</v>
      </c>
      <c r="U6270" s="1527" t="s">
        <v>20541</v>
      </c>
      <c r="V6270" s="222" t="s">
        <v>15478</v>
      </c>
      <c r="W6270" s="2235" t="s">
        <v>21232</v>
      </c>
      <c r="X6270" s="818"/>
    </row>
    <row r="6271" spans="1:24" ht="15.75" hidden="1" customHeight="1">
      <c r="A6271" s="222">
        <v>6280</v>
      </c>
      <c r="B6271" s="858">
        <v>44952</v>
      </c>
      <c r="C6271" s="129" t="s">
        <v>21233</v>
      </c>
      <c r="D6271" s="10"/>
      <c r="E6271" s="818" t="s">
        <v>1031</v>
      </c>
      <c r="F6271" s="1006" t="s">
        <v>21047</v>
      </c>
      <c r="G6271" s="863" t="s">
        <v>21234</v>
      </c>
      <c r="H6271" s="222" t="s">
        <v>5730</v>
      </c>
      <c r="I6271" s="222" t="s">
        <v>574</v>
      </c>
      <c r="J6271" s="183"/>
      <c r="K6271" s="183" t="s">
        <v>21233</v>
      </c>
      <c r="L6271" s="613"/>
      <c r="M6271" s="183">
        <v>50</v>
      </c>
      <c r="N6271" s="183">
        <v>50</v>
      </c>
      <c r="O6271" s="222">
        <v>50</v>
      </c>
      <c r="P6271" s="222">
        <v>0</v>
      </c>
      <c r="Q6271" s="222">
        <v>0</v>
      </c>
      <c r="R6271" s="1195">
        <v>5.52</v>
      </c>
      <c r="S6271" s="1195">
        <v>276</v>
      </c>
      <c r="T6271" s="222" t="s">
        <v>21028</v>
      </c>
      <c r="U6271" s="1527" t="s">
        <v>20541</v>
      </c>
      <c r="V6271" s="222" t="s">
        <v>15478</v>
      </c>
      <c r="W6271" s="2235" t="s">
        <v>21235</v>
      </c>
      <c r="X6271" s="818"/>
    </row>
    <row r="6272" spans="1:24" ht="15.75" hidden="1" customHeight="1">
      <c r="A6272" s="222">
        <v>6281</v>
      </c>
      <c r="B6272" s="858">
        <v>44952</v>
      </c>
      <c r="C6272" s="129" t="s">
        <v>21236</v>
      </c>
      <c r="D6272" s="10"/>
      <c r="E6272" s="818" t="s">
        <v>1031</v>
      </c>
      <c r="F6272" s="1006" t="s">
        <v>21047</v>
      </c>
      <c r="G6272" s="863" t="s">
        <v>21237</v>
      </c>
      <c r="H6272" s="222" t="s">
        <v>5730</v>
      </c>
      <c r="I6272" s="222" t="s">
        <v>574</v>
      </c>
      <c r="J6272" s="183"/>
      <c r="K6272" s="183" t="s">
        <v>21236</v>
      </c>
      <c r="L6272" s="613"/>
      <c r="M6272" s="183">
        <v>50</v>
      </c>
      <c r="N6272" s="183">
        <v>50</v>
      </c>
      <c r="O6272" s="222">
        <v>50</v>
      </c>
      <c r="P6272" s="222">
        <v>0</v>
      </c>
      <c r="Q6272" s="222">
        <v>0</v>
      </c>
      <c r="R6272" s="1195">
        <v>10.4</v>
      </c>
      <c r="S6272" s="1195">
        <v>520</v>
      </c>
      <c r="T6272" s="222" t="s">
        <v>21028</v>
      </c>
      <c r="U6272" s="1527" t="s">
        <v>20541</v>
      </c>
      <c r="V6272" s="222" t="s">
        <v>15478</v>
      </c>
      <c r="W6272" s="2235" t="s">
        <v>21238</v>
      </c>
      <c r="X6272" s="818"/>
    </row>
    <row r="6273" spans="1:24" ht="15.75" hidden="1" customHeight="1">
      <c r="A6273" s="222">
        <v>6282</v>
      </c>
      <c r="B6273" s="858">
        <v>44952</v>
      </c>
      <c r="C6273" s="129" t="s">
        <v>21239</v>
      </c>
      <c r="D6273" s="10"/>
      <c r="E6273" s="818" t="s">
        <v>1031</v>
      </c>
      <c r="F6273" s="1006" t="s">
        <v>21047</v>
      </c>
      <c r="G6273" s="863" t="s">
        <v>21240</v>
      </c>
      <c r="H6273" s="222" t="s">
        <v>5730</v>
      </c>
      <c r="I6273" s="222" t="s">
        <v>574</v>
      </c>
      <c r="J6273" s="183"/>
      <c r="K6273" s="183" t="s">
        <v>21239</v>
      </c>
      <c r="L6273" s="613"/>
      <c r="M6273" s="183">
        <v>50</v>
      </c>
      <c r="N6273" s="183">
        <v>50</v>
      </c>
      <c r="O6273" s="222">
        <v>50</v>
      </c>
      <c r="P6273" s="222">
        <v>0</v>
      </c>
      <c r="Q6273" s="222">
        <v>0</v>
      </c>
      <c r="R6273" s="1195">
        <v>7.34</v>
      </c>
      <c r="S6273" s="1195">
        <v>367</v>
      </c>
      <c r="T6273" s="222" t="s">
        <v>21028</v>
      </c>
      <c r="U6273" s="1527" t="s">
        <v>20541</v>
      </c>
      <c r="V6273" s="222" t="s">
        <v>15478</v>
      </c>
      <c r="W6273" s="2235" t="s">
        <v>21241</v>
      </c>
      <c r="X6273" s="818"/>
    </row>
    <row r="6274" spans="1:24" ht="15.75" hidden="1" customHeight="1">
      <c r="A6274" s="222">
        <v>6283</v>
      </c>
      <c r="B6274" s="858">
        <v>44952</v>
      </c>
      <c r="C6274" s="129" t="s">
        <v>21242</v>
      </c>
      <c r="D6274" s="10"/>
      <c r="E6274" s="818" t="s">
        <v>1031</v>
      </c>
      <c r="F6274" s="1006" t="s">
        <v>21047</v>
      </c>
      <c r="G6274" s="863" t="s">
        <v>21243</v>
      </c>
      <c r="H6274" s="222" t="s">
        <v>578</v>
      </c>
      <c r="I6274" s="222" t="s">
        <v>574</v>
      </c>
      <c r="J6274" s="183"/>
      <c r="K6274" s="183" t="s">
        <v>21242</v>
      </c>
      <c r="L6274" s="613"/>
      <c r="M6274" s="183">
        <v>10</v>
      </c>
      <c r="N6274" s="183">
        <v>10</v>
      </c>
      <c r="O6274" s="222">
        <v>10</v>
      </c>
      <c r="P6274" s="222">
        <v>0</v>
      </c>
      <c r="Q6274" s="222">
        <v>0</v>
      </c>
      <c r="R6274" s="1195">
        <v>110.4</v>
      </c>
      <c r="S6274" s="1195">
        <v>1104</v>
      </c>
      <c r="T6274" s="222" t="s">
        <v>21028</v>
      </c>
      <c r="U6274" s="1527" t="s">
        <v>20541</v>
      </c>
      <c r="V6274" s="222" t="s">
        <v>15478</v>
      </c>
      <c r="W6274" s="2235" t="s">
        <v>21244</v>
      </c>
      <c r="X6274" s="818"/>
    </row>
    <row r="6275" spans="1:24" ht="15.75" hidden="1" customHeight="1">
      <c r="A6275" s="222">
        <v>6284</v>
      </c>
      <c r="B6275" s="858">
        <v>44952</v>
      </c>
      <c r="C6275" s="129" t="s">
        <v>21245</v>
      </c>
      <c r="D6275" s="10"/>
      <c r="E6275" s="818" t="s">
        <v>1031</v>
      </c>
      <c r="F6275" s="1006" t="s">
        <v>21047</v>
      </c>
      <c r="G6275" s="863" t="s">
        <v>21246</v>
      </c>
      <c r="H6275" s="222" t="s">
        <v>5174</v>
      </c>
      <c r="I6275" s="222" t="s">
        <v>574</v>
      </c>
      <c r="J6275" s="183"/>
      <c r="K6275" s="183" t="s">
        <v>21245</v>
      </c>
      <c r="L6275" s="613"/>
      <c r="M6275" s="183">
        <v>100</v>
      </c>
      <c r="N6275" s="183">
        <v>100</v>
      </c>
      <c r="O6275" s="222">
        <v>100</v>
      </c>
      <c r="P6275" s="222">
        <v>0</v>
      </c>
      <c r="Q6275" s="222">
        <v>0</v>
      </c>
      <c r="R6275" s="1195">
        <v>0.96</v>
      </c>
      <c r="S6275" s="1195">
        <v>96</v>
      </c>
      <c r="T6275" s="222" t="s">
        <v>21028</v>
      </c>
      <c r="U6275" s="1527" t="s">
        <v>20541</v>
      </c>
      <c r="V6275" s="222" t="s">
        <v>15478</v>
      </c>
      <c r="W6275" s="2235" t="s">
        <v>21247</v>
      </c>
      <c r="X6275" s="818"/>
    </row>
    <row r="6276" spans="1:24" ht="15.75" hidden="1" customHeight="1">
      <c r="A6276" s="222">
        <v>6285</v>
      </c>
      <c r="B6276" s="858">
        <v>44952</v>
      </c>
      <c r="C6276" s="129" t="s">
        <v>21248</v>
      </c>
      <c r="D6276" s="10"/>
      <c r="E6276" s="818" t="s">
        <v>1031</v>
      </c>
      <c r="F6276" s="1006" t="s">
        <v>21047</v>
      </c>
      <c r="G6276" s="863" t="s">
        <v>21249</v>
      </c>
      <c r="H6276" s="222" t="s">
        <v>15466</v>
      </c>
      <c r="I6276" s="222" t="s">
        <v>574</v>
      </c>
      <c r="J6276" s="183"/>
      <c r="K6276" s="129" t="s">
        <v>21248</v>
      </c>
      <c r="L6276" s="613"/>
      <c r="M6276" s="183">
        <v>15</v>
      </c>
      <c r="N6276" s="183">
        <v>15</v>
      </c>
      <c r="O6276" s="222">
        <v>15</v>
      </c>
      <c r="P6276" s="222">
        <v>0</v>
      </c>
      <c r="Q6276" s="222">
        <v>0</v>
      </c>
      <c r="R6276" s="1195">
        <v>5.8</v>
      </c>
      <c r="S6276" s="1195">
        <v>87</v>
      </c>
      <c r="T6276" s="222" t="s">
        <v>21028</v>
      </c>
      <c r="U6276" s="1527" t="s">
        <v>20541</v>
      </c>
      <c r="V6276" s="222" t="s">
        <v>15478</v>
      </c>
      <c r="W6276" s="2235" t="s">
        <v>21250</v>
      </c>
      <c r="X6276" s="818"/>
    </row>
    <row r="6277" spans="1:24" ht="15.75" hidden="1" customHeight="1">
      <c r="A6277" s="222">
        <v>6286</v>
      </c>
      <c r="B6277" s="858">
        <v>44952</v>
      </c>
      <c r="C6277" s="129" t="s">
        <v>21251</v>
      </c>
      <c r="D6277" s="10"/>
      <c r="E6277" s="818" t="s">
        <v>1031</v>
      </c>
      <c r="F6277" s="1006" t="s">
        <v>21047</v>
      </c>
      <c r="G6277" s="863" t="s">
        <v>21252</v>
      </c>
      <c r="H6277" s="222" t="s">
        <v>15466</v>
      </c>
      <c r="I6277" s="222" t="s">
        <v>574</v>
      </c>
      <c r="J6277" s="183"/>
      <c r="K6277" s="129" t="s">
        <v>21251</v>
      </c>
      <c r="L6277" s="613"/>
      <c r="M6277" s="183">
        <v>100</v>
      </c>
      <c r="N6277" s="183">
        <v>100</v>
      </c>
      <c r="O6277" s="222">
        <v>100</v>
      </c>
      <c r="P6277" s="222">
        <v>0</v>
      </c>
      <c r="Q6277" s="222">
        <v>0</v>
      </c>
      <c r="R6277" s="1195">
        <v>1.07</v>
      </c>
      <c r="S6277" s="1195">
        <v>107</v>
      </c>
      <c r="T6277" s="222" t="s">
        <v>21028</v>
      </c>
      <c r="U6277" s="1527" t="s">
        <v>20541</v>
      </c>
      <c r="V6277" s="222" t="s">
        <v>15478</v>
      </c>
      <c r="W6277" s="2235" t="s">
        <v>21253</v>
      </c>
      <c r="X6277" s="818"/>
    </row>
    <row r="6278" spans="1:24" ht="15.75" hidden="1" customHeight="1">
      <c r="A6278" s="222">
        <v>6287</v>
      </c>
      <c r="B6278" s="858">
        <v>44952</v>
      </c>
      <c r="C6278" s="129" t="s">
        <v>21254</v>
      </c>
      <c r="D6278" s="10"/>
      <c r="E6278" s="818" t="s">
        <v>1031</v>
      </c>
      <c r="F6278" s="1006" t="s">
        <v>21047</v>
      </c>
      <c r="G6278" s="863" t="s">
        <v>21255</v>
      </c>
      <c r="H6278" s="222" t="s">
        <v>15466</v>
      </c>
      <c r="I6278" s="222" t="s">
        <v>574</v>
      </c>
      <c r="J6278" s="183"/>
      <c r="K6278" s="129" t="s">
        <v>21254</v>
      </c>
      <c r="L6278" s="613"/>
      <c r="M6278" s="183">
        <v>10</v>
      </c>
      <c r="N6278" s="183">
        <v>10</v>
      </c>
      <c r="O6278" s="222">
        <v>10</v>
      </c>
      <c r="P6278" s="222">
        <v>0</v>
      </c>
      <c r="Q6278" s="222">
        <v>0</v>
      </c>
      <c r="R6278" s="1195">
        <v>2.6</v>
      </c>
      <c r="S6278" s="1195">
        <v>26</v>
      </c>
      <c r="T6278" s="222" t="s">
        <v>21028</v>
      </c>
      <c r="U6278" s="1527" t="s">
        <v>20541</v>
      </c>
      <c r="V6278" s="222" t="s">
        <v>15478</v>
      </c>
      <c r="W6278" s="2235" t="s">
        <v>21256</v>
      </c>
      <c r="X6278" s="818"/>
    </row>
    <row r="6279" spans="1:24" ht="15.75" hidden="1" customHeight="1">
      <c r="A6279" s="222">
        <v>6288</v>
      </c>
      <c r="B6279" s="858">
        <v>44952</v>
      </c>
      <c r="C6279" s="1193" t="s">
        <v>21257</v>
      </c>
      <c r="D6279" s="10"/>
      <c r="E6279" s="818" t="s">
        <v>1031</v>
      </c>
      <c r="F6279" s="1006" t="s">
        <v>15108</v>
      </c>
      <c r="G6279" s="863" t="s">
        <v>21258</v>
      </c>
      <c r="H6279" s="222" t="s">
        <v>21259</v>
      </c>
      <c r="I6279" s="222" t="s">
        <v>15288</v>
      </c>
      <c r="J6279" s="183"/>
      <c r="K6279" s="183"/>
      <c r="L6279" s="613"/>
      <c r="M6279" s="183">
        <v>3</v>
      </c>
      <c r="N6279" s="183">
        <v>1</v>
      </c>
      <c r="O6279" s="222">
        <v>3</v>
      </c>
      <c r="P6279" s="222">
        <v>0</v>
      </c>
      <c r="Q6279" s="222">
        <v>0</v>
      </c>
      <c r="R6279" s="1195">
        <v>1371</v>
      </c>
      <c r="S6279" s="1195">
        <f>R6279*O6279</f>
        <v>4113</v>
      </c>
      <c r="T6279" s="222" t="s">
        <v>311</v>
      </c>
      <c r="U6279" s="1527"/>
      <c r="V6279" s="222" t="s">
        <v>19603</v>
      </c>
      <c r="W6279" s="811" t="s">
        <v>21260</v>
      </c>
      <c r="X6279" s="818"/>
    </row>
    <row r="6280" spans="1:24" ht="15.75" hidden="1" customHeight="1">
      <c r="A6280" s="222">
        <v>6289</v>
      </c>
      <c r="B6280" s="858">
        <v>44952</v>
      </c>
      <c r="C6280" s="1193" t="s">
        <v>21261</v>
      </c>
      <c r="D6280" s="10"/>
      <c r="E6280" s="818" t="s">
        <v>1031</v>
      </c>
      <c r="F6280" s="1006" t="s">
        <v>15108</v>
      </c>
      <c r="G6280" s="863" t="s">
        <v>21262</v>
      </c>
      <c r="H6280" s="222" t="s">
        <v>21263</v>
      </c>
      <c r="I6280" s="222" t="s">
        <v>15288</v>
      </c>
      <c r="J6280" s="2312"/>
      <c r="K6280" s="222"/>
      <c r="L6280" s="2312"/>
      <c r="M6280" s="183">
        <v>2</v>
      </c>
      <c r="N6280" s="183">
        <v>1</v>
      </c>
      <c r="O6280" s="222">
        <v>2</v>
      </c>
      <c r="P6280" s="222">
        <v>0</v>
      </c>
      <c r="Q6280" s="222">
        <v>0</v>
      </c>
      <c r="R6280" s="1195">
        <v>700</v>
      </c>
      <c r="S6280" s="1195">
        <f>R6280*O6280</f>
        <v>1400</v>
      </c>
      <c r="T6280" s="222" t="s">
        <v>311</v>
      </c>
      <c r="U6280" s="1527"/>
      <c r="V6280" s="222" t="s">
        <v>19603</v>
      </c>
      <c r="W6280" s="811" t="s">
        <v>21264</v>
      </c>
      <c r="X6280" s="818"/>
    </row>
    <row r="6281" spans="1:24" ht="15.75" hidden="1" customHeight="1">
      <c r="A6281" s="222">
        <v>6290</v>
      </c>
      <c r="B6281" s="858">
        <v>44952</v>
      </c>
      <c r="C6281" s="129" t="s">
        <v>21261</v>
      </c>
      <c r="D6281" s="10"/>
      <c r="E6281" s="818" t="s">
        <v>1031</v>
      </c>
      <c r="F6281" s="1006" t="s">
        <v>15108</v>
      </c>
      <c r="G6281" s="863" t="s">
        <v>21265</v>
      </c>
      <c r="H6281" s="222" t="s">
        <v>21266</v>
      </c>
      <c r="I6281" s="222" t="s">
        <v>15288</v>
      </c>
      <c r="J6281" s="183"/>
      <c r="K6281" s="183" t="s">
        <v>21267</v>
      </c>
      <c r="L6281" s="613"/>
      <c r="M6281" s="183">
        <v>2</v>
      </c>
      <c r="N6281" s="183">
        <v>1</v>
      </c>
      <c r="O6281" s="222">
        <v>2</v>
      </c>
      <c r="P6281" s="222">
        <v>0</v>
      </c>
      <c r="Q6281" s="222">
        <v>0</v>
      </c>
      <c r="R6281" s="1195">
        <v>999</v>
      </c>
      <c r="S6281" s="1195">
        <f>R6281*O6281</f>
        <v>1998</v>
      </c>
      <c r="T6281" s="222" t="s">
        <v>311</v>
      </c>
      <c r="U6281" s="1527"/>
      <c r="V6281" s="222" t="s">
        <v>19603</v>
      </c>
      <c r="W6281" s="811" t="s">
        <v>21268</v>
      </c>
      <c r="X6281" s="818"/>
    </row>
    <row r="6282" spans="1:24" ht="15.75" hidden="1" customHeight="1">
      <c r="A6282" s="222">
        <v>6291</v>
      </c>
      <c r="B6282" s="858">
        <v>44952</v>
      </c>
      <c r="C6282" s="1504" t="s">
        <v>21269</v>
      </c>
      <c r="D6282" s="10"/>
      <c r="E6282" s="818" t="s">
        <v>1031</v>
      </c>
      <c r="F6282" s="1062" t="s">
        <v>10005</v>
      </c>
      <c r="G6282" s="882" t="s">
        <v>21270</v>
      </c>
      <c r="H6282" s="882" t="s">
        <v>8888</v>
      </c>
      <c r="I6282" s="882" t="s">
        <v>13153</v>
      </c>
      <c r="J6282" s="882" t="s">
        <v>21271</v>
      </c>
      <c r="K6282" s="882" t="s">
        <v>21272</v>
      </c>
      <c r="L6282" s="882" t="s">
        <v>21273</v>
      </c>
      <c r="M6282" s="882">
        <v>1</v>
      </c>
      <c r="N6282" s="882">
        <v>1</v>
      </c>
      <c r="O6282" s="882">
        <v>2</v>
      </c>
      <c r="P6282" s="882">
        <v>0</v>
      </c>
      <c r="Q6282" s="882">
        <v>1</v>
      </c>
      <c r="R6282" s="2313">
        <v>7401</v>
      </c>
      <c r="S6282" s="1687">
        <v>14802</v>
      </c>
      <c r="T6282" s="880" t="s">
        <v>14509</v>
      </c>
      <c r="U6282" s="882" t="s">
        <v>4220</v>
      </c>
      <c r="V6282" s="1062" t="s">
        <v>689</v>
      </c>
      <c r="W6282" s="2314" t="s">
        <v>21274</v>
      </c>
      <c r="X6282" s="818"/>
    </row>
    <row r="6283" spans="1:24" ht="15.75" hidden="1" customHeight="1">
      <c r="A6283" s="222">
        <v>6292</v>
      </c>
      <c r="B6283" s="858">
        <v>44952</v>
      </c>
      <c r="C6283" s="1505" t="s">
        <v>21275</v>
      </c>
      <c r="D6283" s="10"/>
      <c r="E6283" s="818" t="s">
        <v>1031</v>
      </c>
      <c r="F6283" s="2318" t="s">
        <v>10005</v>
      </c>
      <c r="G6283" s="1506" t="s">
        <v>21270</v>
      </c>
      <c r="H6283" s="1506" t="s">
        <v>8888</v>
      </c>
      <c r="I6283" s="1506" t="s">
        <v>13153</v>
      </c>
      <c r="J6283" s="1506" t="s">
        <v>21276</v>
      </c>
      <c r="K6283" s="1506" t="s">
        <v>21277</v>
      </c>
      <c r="L6283" s="1506" t="s">
        <v>21273</v>
      </c>
      <c r="M6283" s="1506">
        <v>1</v>
      </c>
      <c r="N6283" s="1506">
        <v>1</v>
      </c>
      <c r="O6283" s="1506">
        <v>2</v>
      </c>
      <c r="P6283" s="1506">
        <v>0</v>
      </c>
      <c r="Q6283" s="1506">
        <v>1</v>
      </c>
      <c r="R6283" s="2315">
        <v>12322</v>
      </c>
      <c r="S6283" s="1688">
        <v>24644</v>
      </c>
      <c r="T6283" s="1508" t="s">
        <v>14509</v>
      </c>
      <c r="U6283" s="1506" t="s">
        <v>4220</v>
      </c>
      <c r="V6283" s="2318" t="s">
        <v>689</v>
      </c>
      <c r="W6283" s="1675" t="s">
        <v>21278</v>
      </c>
      <c r="X6283" s="222"/>
    </row>
    <row r="6284" spans="1:24" ht="15.75" hidden="1" customHeight="1">
      <c r="A6284" s="222">
        <v>6293</v>
      </c>
      <c r="B6284" s="858">
        <v>44952</v>
      </c>
      <c r="C6284" s="1505" t="s">
        <v>21279</v>
      </c>
      <c r="D6284" s="10"/>
      <c r="E6284" s="818" t="s">
        <v>1031</v>
      </c>
      <c r="F6284" s="2318" t="s">
        <v>10005</v>
      </c>
      <c r="G6284" s="1506" t="s">
        <v>21280</v>
      </c>
      <c r="H6284" s="1506" t="s">
        <v>8888</v>
      </c>
      <c r="I6284" s="1506" t="s">
        <v>2513</v>
      </c>
      <c r="J6284" s="1506" t="s">
        <v>21281</v>
      </c>
      <c r="K6284" s="1506" t="s">
        <v>21282</v>
      </c>
      <c r="L6284" s="1506" t="s">
        <v>149</v>
      </c>
      <c r="M6284" s="1506">
        <v>4</v>
      </c>
      <c r="N6284" s="1506">
        <v>1</v>
      </c>
      <c r="O6284" s="1506">
        <v>6</v>
      </c>
      <c r="P6284" s="1506">
        <v>0</v>
      </c>
      <c r="Q6284" s="1506">
        <v>2</v>
      </c>
      <c r="R6284" s="2316">
        <v>471.3</v>
      </c>
      <c r="S6284" s="2317">
        <v>2827.8</v>
      </c>
      <c r="T6284" s="1508" t="s">
        <v>14509</v>
      </c>
      <c r="U6284" s="1506" t="s">
        <v>4220</v>
      </c>
      <c r="V6284" s="2318" t="s">
        <v>689</v>
      </c>
      <c r="W6284" s="1675" t="s">
        <v>21283</v>
      </c>
      <c r="X6284" s="222"/>
    </row>
    <row r="6285" spans="1:24" ht="15.75" hidden="1" customHeight="1">
      <c r="A6285" s="222">
        <v>6294</v>
      </c>
      <c r="B6285" s="858">
        <v>44952</v>
      </c>
      <c r="C6285" s="1505" t="s">
        <v>21284</v>
      </c>
      <c r="D6285" s="10"/>
      <c r="E6285" s="818" t="s">
        <v>1031</v>
      </c>
      <c r="F6285" s="2318" t="s">
        <v>10005</v>
      </c>
      <c r="G6285" s="1506" t="s">
        <v>21280</v>
      </c>
      <c r="H6285" s="1506" t="s">
        <v>8888</v>
      </c>
      <c r="I6285" s="1506" t="s">
        <v>2513</v>
      </c>
      <c r="J6285" s="1506" t="s">
        <v>21285</v>
      </c>
      <c r="K6285" s="1506" t="s">
        <v>21286</v>
      </c>
      <c r="L6285" s="1506" t="s">
        <v>149</v>
      </c>
      <c r="M6285" s="1506">
        <v>4</v>
      </c>
      <c r="N6285" s="1506">
        <v>1</v>
      </c>
      <c r="O6285" s="1506">
        <v>6</v>
      </c>
      <c r="P6285" s="1506">
        <v>0</v>
      </c>
      <c r="Q6285" s="1506">
        <v>2</v>
      </c>
      <c r="R6285" s="2316">
        <v>471.3</v>
      </c>
      <c r="S6285" s="2317">
        <v>2827.8</v>
      </c>
      <c r="T6285" s="1508" t="s">
        <v>14509</v>
      </c>
      <c r="U6285" s="1506" t="s">
        <v>4220</v>
      </c>
      <c r="V6285" s="2318" t="s">
        <v>689</v>
      </c>
      <c r="W6285" s="1675" t="s">
        <v>21287</v>
      </c>
      <c r="X6285" s="222"/>
    </row>
    <row r="6286" spans="1:24" ht="15.75" hidden="1" customHeight="1">
      <c r="A6286" s="222">
        <v>6295</v>
      </c>
      <c r="B6286" s="858">
        <v>44952</v>
      </c>
      <c r="C6286" s="1505" t="s">
        <v>21288</v>
      </c>
      <c r="D6286" s="10"/>
      <c r="E6286" s="818" t="s">
        <v>1031</v>
      </c>
      <c r="F6286" s="2318" t="s">
        <v>10005</v>
      </c>
      <c r="G6286" s="1676" t="s">
        <v>1</v>
      </c>
      <c r="H6286" s="1506" t="s">
        <v>21289</v>
      </c>
      <c r="I6286" s="1506" t="s">
        <v>84</v>
      </c>
      <c r="J6286" s="1676" t="s">
        <v>1</v>
      </c>
      <c r="K6286" s="1506" t="s">
        <v>21290</v>
      </c>
      <c r="L6286" s="1506" t="s">
        <v>149</v>
      </c>
      <c r="M6286" s="1506">
        <v>1</v>
      </c>
      <c r="N6286" s="1506">
        <v>1</v>
      </c>
      <c r="O6286" s="1506">
        <v>1</v>
      </c>
      <c r="P6286" s="1506">
        <v>0</v>
      </c>
      <c r="Q6286" s="1506">
        <v>0</v>
      </c>
      <c r="R6286" s="2315">
        <v>1790</v>
      </c>
      <c r="S6286" s="1688">
        <v>1790</v>
      </c>
      <c r="T6286" s="1508" t="s">
        <v>14509</v>
      </c>
      <c r="U6286" s="1506" t="s">
        <v>4220</v>
      </c>
      <c r="V6286" s="2318" t="s">
        <v>689</v>
      </c>
      <c r="W6286" s="1675" t="s">
        <v>21291</v>
      </c>
      <c r="X6286" s="222"/>
    </row>
    <row r="6287" spans="1:24" ht="15.75" hidden="1" customHeight="1">
      <c r="A6287" s="222">
        <v>6296</v>
      </c>
      <c r="B6287" s="858">
        <v>44952</v>
      </c>
      <c r="C6287" s="1505" t="s">
        <v>21292</v>
      </c>
      <c r="D6287" s="10"/>
      <c r="E6287" s="818" t="s">
        <v>1031</v>
      </c>
      <c r="F6287" s="2318" t="s">
        <v>10005</v>
      </c>
      <c r="G6287" s="1506" t="s">
        <v>21293</v>
      </c>
      <c r="H6287" s="1506" t="s">
        <v>21294</v>
      </c>
      <c r="I6287" s="1506" t="s">
        <v>84</v>
      </c>
      <c r="J6287" s="1506">
        <v>58767116</v>
      </c>
      <c r="K6287" s="1676" t="s">
        <v>1</v>
      </c>
      <c r="L6287" s="1506" t="s">
        <v>149</v>
      </c>
      <c r="M6287" s="1506">
        <v>1</v>
      </c>
      <c r="N6287" s="1506">
        <v>1</v>
      </c>
      <c r="O6287" s="1506">
        <v>1</v>
      </c>
      <c r="P6287" s="1506">
        <v>0</v>
      </c>
      <c r="Q6287" s="1506">
        <v>0</v>
      </c>
      <c r="R6287" s="2315">
        <v>7790</v>
      </c>
      <c r="S6287" s="1688">
        <v>7790</v>
      </c>
      <c r="T6287" s="1508" t="s">
        <v>14509</v>
      </c>
      <c r="U6287" s="1506" t="s">
        <v>4220</v>
      </c>
      <c r="V6287" s="2318" t="s">
        <v>689</v>
      </c>
      <c r="W6287" s="1675" t="s">
        <v>21295</v>
      </c>
      <c r="X6287" s="222"/>
    </row>
    <row r="6288" spans="1:24" ht="15.75" hidden="1" customHeight="1">
      <c r="A6288" s="222">
        <v>6297</v>
      </c>
      <c r="B6288" s="858">
        <v>44952</v>
      </c>
      <c r="C6288" s="1505" t="s">
        <v>21296</v>
      </c>
      <c r="D6288" s="10"/>
      <c r="E6288" s="818" t="s">
        <v>1031</v>
      </c>
      <c r="F6288" s="2318" t="s">
        <v>10005</v>
      </c>
      <c r="G6288" s="1506" t="s">
        <v>21297</v>
      </c>
      <c r="H6288" s="1506" t="s">
        <v>166</v>
      </c>
      <c r="I6288" s="1506" t="s">
        <v>84</v>
      </c>
      <c r="J6288" s="1506">
        <v>35062264</v>
      </c>
      <c r="K6288" s="1506" t="s">
        <v>21298</v>
      </c>
      <c r="L6288" s="1506" t="s">
        <v>149</v>
      </c>
      <c r="M6288" s="1506">
        <v>1</v>
      </c>
      <c r="N6288" s="1506">
        <v>1</v>
      </c>
      <c r="O6288" s="1506">
        <v>1</v>
      </c>
      <c r="P6288" s="1506">
        <v>0</v>
      </c>
      <c r="Q6288" s="1506">
        <v>0</v>
      </c>
      <c r="R6288" s="2315">
        <v>699</v>
      </c>
      <c r="S6288" s="1688">
        <v>699</v>
      </c>
      <c r="T6288" s="1508" t="s">
        <v>14509</v>
      </c>
      <c r="U6288" s="1506" t="s">
        <v>4220</v>
      </c>
      <c r="V6288" s="2318" t="s">
        <v>689</v>
      </c>
      <c r="W6288" s="1675" t="s">
        <v>21299</v>
      </c>
      <c r="X6288" s="222"/>
    </row>
    <row r="6289" spans="1:24" ht="15.75" hidden="1" customHeight="1">
      <c r="A6289" s="222">
        <v>6298</v>
      </c>
      <c r="B6289" s="858">
        <v>44952</v>
      </c>
      <c r="C6289" s="1505" t="s">
        <v>21300</v>
      </c>
      <c r="D6289" s="10"/>
      <c r="E6289" s="818" t="s">
        <v>1031</v>
      </c>
      <c r="F6289" s="2318" t="s">
        <v>10005</v>
      </c>
      <c r="G6289" s="1506" t="s">
        <v>21301</v>
      </c>
      <c r="H6289" s="1506" t="s">
        <v>21302</v>
      </c>
      <c r="I6289" s="1506" t="s">
        <v>84</v>
      </c>
      <c r="J6289" s="1506">
        <v>86857057</v>
      </c>
      <c r="K6289" s="1506" t="s">
        <v>21303</v>
      </c>
      <c r="L6289" s="1506" t="s">
        <v>149</v>
      </c>
      <c r="M6289" s="1506">
        <v>1</v>
      </c>
      <c r="N6289" s="1506">
        <v>1</v>
      </c>
      <c r="O6289" s="1506">
        <v>1</v>
      </c>
      <c r="P6289" s="1506">
        <v>0</v>
      </c>
      <c r="Q6289" s="1506">
        <v>0</v>
      </c>
      <c r="R6289" s="2315">
        <v>409</v>
      </c>
      <c r="S6289" s="1688">
        <v>409</v>
      </c>
      <c r="T6289" s="1508" t="s">
        <v>14509</v>
      </c>
      <c r="U6289" s="1506" t="s">
        <v>4220</v>
      </c>
      <c r="V6289" s="2318" t="s">
        <v>689</v>
      </c>
      <c r="W6289" s="1675" t="s">
        <v>21304</v>
      </c>
      <c r="X6289" s="222"/>
    </row>
    <row r="6290" spans="1:24" ht="15.75" hidden="1" customHeight="1">
      <c r="A6290" s="222">
        <v>6299</v>
      </c>
      <c r="B6290" s="858">
        <v>44952</v>
      </c>
      <c r="C6290" s="1505" t="s">
        <v>21305</v>
      </c>
      <c r="D6290" s="10"/>
      <c r="E6290" s="818" t="s">
        <v>1031</v>
      </c>
      <c r="F6290" s="2318" t="s">
        <v>10005</v>
      </c>
      <c r="G6290" s="1506" t="s">
        <v>21306</v>
      </c>
      <c r="H6290" s="1506" t="s">
        <v>166</v>
      </c>
      <c r="I6290" s="1506" t="s">
        <v>84</v>
      </c>
      <c r="J6290" s="1506">
        <v>8729402</v>
      </c>
      <c r="K6290" s="1506" t="s">
        <v>21307</v>
      </c>
      <c r="L6290" s="1506" t="s">
        <v>149</v>
      </c>
      <c r="M6290" s="1506">
        <v>1</v>
      </c>
      <c r="N6290" s="1506">
        <v>1</v>
      </c>
      <c r="O6290" s="1506">
        <v>1</v>
      </c>
      <c r="P6290" s="1506">
        <v>0</v>
      </c>
      <c r="Q6290" s="1506">
        <v>0</v>
      </c>
      <c r="R6290" s="2315">
        <v>339</v>
      </c>
      <c r="S6290" s="1688">
        <v>339</v>
      </c>
      <c r="T6290" s="1508" t="s">
        <v>14509</v>
      </c>
      <c r="U6290" s="1506" t="s">
        <v>4220</v>
      </c>
      <c r="V6290" s="2318" t="s">
        <v>689</v>
      </c>
      <c r="W6290" s="1675" t="s">
        <v>21308</v>
      </c>
      <c r="X6290" s="222"/>
    </row>
    <row r="6291" spans="1:24" ht="15.75" hidden="1" customHeight="1">
      <c r="A6291" s="222">
        <v>6300</v>
      </c>
      <c r="B6291" s="858">
        <v>44952</v>
      </c>
      <c r="C6291" s="1505" t="s">
        <v>21309</v>
      </c>
      <c r="D6291" s="10"/>
      <c r="E6291" s="818" t="s">
        <v>1031</v>
      </c>
      <c r="F6291" s="2318" t="s">
        <v>10005</v>
      </c>
      <c r="G6291" s="1506" t="s">
        <v>21310</v>
      </c>
      <c r="H6291" s="1506" t="s">
        <v>166</v>
      </c>
      <c r="I6291" s="1506" t="s">
        <v>84</v>
      </c>
      <c r="J6291" s="1506">
        <v>8729375</v>
      </c>
      <c r="K6291" s="1506" t="s">
        <v>21311</v>
      </c>
      <c r="L6291" s="1506" t="s">
        <v>149</v>
      </c>
      <c r="M6291" s="1506">
        <v>1</v>
      </c>
      <c r="N6291" s="1506">
        <v>1</v>
      </c>
      <c r="O6291" s="1506">
        <v>1</v>
      </c>
      <c r="P6291" s="1506">
        <v>0</v>
      </c>
      <c r="Q6291" s="1506">
        <v>0</v>
      </c>
      <c r="R6291" s="2315">
        <v>139</v>
      </c>
      <c r="S6291" s="1688">
        <v>139</v>
      </c>
      <c r="T6291" s="1508" t="s">
        <v>14509</v>
      </c>
      <c r="U6291" s="1506" t="s">
        <v>4220</v>
      </c>
      <c r="V6291" s="2318" t="s">
        <v>689</v>
      </c>
      <c r="W6291" s="1675" t="s">
        <v>21312</v>
      </c>
      <c r="X6291" s="222"/>
    </row>
    <row r="6292" spans="1:24" ht="15.75" hidden="1" customHeight="1">
      <c r="A6292" s="222">
        <v>6301</v>
      </c>
      <c r="B6292" s="858">
        <v>44952</v>
      </c>
      <c r="C6292" s="222" t="s">
        <v>21313</v>
      </c>
      <c r="D6292" s="10"/>
      <c r="E6292" s="818" t="s">
        <v>1031</v>
      </c>
      <c r="F6292" s="222" t="s">
        <v>21314</v>
      </c>
      <c r="G6292" s="222" t="s">
        <v>21315</v>
      </c>
      <c r="H6292" s="1006" t="s">
        <v>2269</v>
      </c>
      <c r="I6292" s="1006" t="s">
        <v>281</v>
      </c>
      <c r="J6292" s="1006"/>
      <c r="K6292" s="1006" t="s">
        <v>21316</v>
      </c>
      <c r="L6292" s="1006" t="s">
        <v>18493</v>
      </c>
      <c r="M6292" s="1006">
        <v>2</v>
      </c>
      <c r="N6292" s="222">
        <v>2</v>
      </c>
      <c r="O6292" s="222">
        <v>2</v>
      </c>
      <c r="P6292" s="222">
        <v>0</v>
      </c>
      <c r="Q6292" s="222">
        <v>0</v>
      </c>
      <c r="R6292" s="2315">
        <v>349</v>
      </c>
      <c r="S6292" s="1688">
        <v>698</v>
      </c>
      <c r="T6292" s="222" t="s">
        <v>21028</v>
      </c>
      <c r="U6292" s="222" t="s">
        <v>21317</v>
      </c>
      <c r="V6292" s="222" t="s">
        <v>15478</v>
      </c>
      <c r="W6292" s="2319" t="s">
        <v>21318</v>
      </c>
      <c r="X6292" s="222"/>
    </row>
    <row r="6293" spans="1:24" ht="15.75" hidden="1" customHeight="1">
      <c r="A6293" s="222">
        <v>6302</v>
      </c>
      <c r="B6293" s="858">
        <v>44952</v>
      </c>
      <c r="C6293" s="222" t="s">
        <v>21319</v>
      </c>
      <c r="D6293" s="10"/>
      <c r="E6293" s="818" t="s">
        <v>1031</v>
      </c>
      <c r="F6293" s="222" t="s">
        <v>21047</v>
      </c>
      <c r="G6293" s="222" t="s">
        <v>21320</v>
      </c>
      <c r="H6293" s="222" t="s">
        <v>15466</v>
      </c>
      <c r="I6293" s="1006" t="s">
        <v>281</v>
      </c>
      <c r="J6293" s="222"/>
      <c r="K6293" s="222" t="s">
        <v>21319</v>
      </c>
      <c r="L6293" s="222"/>
      <c r="M6293" s="222">
        <v>10</v>
      </c>
      <c r="N6293" s="222">
        <v>10</v>
      </c>
      <c r="O6293" s="222">
        <v>10</v>
      </c>
      <c r="P6293" s="222">
        <v>0</v>
      </c>
      <c r="Q6293" s="222">
        <v>0</v>
      </c>
      <c r="R6293" s="2315">
        <v>2.6</v>
      </c>
      <c r="S6293" s="1688">
        <v>26</v>
      </c>
      <c r="T6293" s="222" t="s">
        <v>21028</v>
      </c>
      <c r="U6293" s="222" t="s">
        <v>20541</v>
      </c>
      <c r="V6293" s="222" t="s">
        <v>15478</v>
      </c>
      <c r="W6293" s="2319" t="s">
        <v>21321</v>
      </c>
      <c r="X6293" s="222"/>
    </row>
    <row r="6294" spans="1:24" ht="15.75" hidden="1" customHeight="1">
      <c r="A6294" s="222">
        <v>6303</v>
      </c>
      <c r="B6294" s="858">
        <v>44952</v>
      </c>
      <c r="C6294" s="222" t="s">
        <v>21322</v>
      </c>
      <c r="D6294" s="10"/>
      <c r="E6294" s="818" t="s">
        <v>1031</v>
      </c>
      <c r="F6294" s="222" t="s">
        <v>21047</v>
      </c>
      <c r="G6294" s="222" t="s">
        <v>21323</v>
      </c>
      <c r="H6294" s="222" t="s">
        <v>15466</v>
      </c>
      <c r="I6294" s="1006" t="s">
        <v>281</v>
      </c>
      <c r="J6294" s="222"/>
      <c r="K6294" s="222" t="s">
        <v>21322</v>
      </c>
      <c r="L6294" s="222"/>
      <c r="M6294" s="222">
        <v>10</v>
      </c>
      <c r="N6294" s="222">
        <v>10</v>
      </c>
      <c r="O6294" s="222">
        <v>10</v>
      </c>
      <c r="P6294" s="222">
        <v>0</v>
      </c>
      <c r="Q6294" s="222">
        <v>0</v>
      </c>
      <c r="R6294" s="2315">
        <v>2.2000000000000002</v>
      </c>
      <c r="S6294" s="1688">
        <v>22</v>
      </c>
      <c r="T6294" s="222" t="s">
        <v>21028</v>
      </c>
      <c r="U6294" s="222" t="s">
        <v>20541</v>
      </c>
      <c r="V6294" s="222" t="s">
        <v>15478</v>
      </c>
      <c r="W6294" s="2319" t="s">
        <v>21324</v>
      </c>
      <c r="X6294" s="222"/>
    </row>
    <row r="6295" spans="1:24" ht="15.75" hidden="1" customHeight="1">
      <c r="A6295" s="222">
        <v>6304</v>
      </c>
      <c r="B6295" s="858">
        <v>44952</v>
      </c>
      <c r="C6295" s="222" t="s">
        <v>21325</v>
      </c>
      <c r="D6295" s="10"/>
      <c r="E6295" s="818" t="s">
        <v>1031</v>
      </c>
      <c r="F6295" s="222" t="s">
        <v>21047</v>
      </c>
      <c r="G6295" s="222" t="s">
        <v>21326</v>
      </c>
      <c r="H6295" s="222" t="s">
        <v>15466</v>
      </c>
      <c r="I6295" s="1006" t="s">
        <v>281</v>
      </c>
      <c r="J6295" s="222"/>
      <c r="K6295" s="222" t="s">
        <v>21325</v>
      </c>
      <c r="L6295" s="222"/>
      <c r="M6295" s="222">
        <v>10</v>
      </c>
      <c r="N6295" s="222">
        <v>10</v>
      </c>
      <c r="O6295" s="222">
        <v>10</v>
      </c>
      <c r="P6295" s="222">
        <v>0</v>
      </c>
      <c r="Q6295" s="222">
        <v>0</v>
      </c>
      <c r="R6295" s="2315">
        <v>2.2000000000000002</v>
      </c>
      <c r="S6295" s="1688">
        <v>22</v>
      </c>
      <c r="T6295" s="222" t="s">
        <v>21028</v>
      </c>
      <c r="U6295" s="222" t="s">
        <v>20541</v>
      </c>
      <c r="V6295" s="222" t="s">
        <v>15478</v>
      </c>
      <c r="W6295" s="2319" t="s">
        <v>21327</v>
      </c>
      <c r="X6295" s="222"/>
    </row>
    <row r="6296" spans="1:24" ht="15.75" hidden="1" customHeight="1">
      <c r="A6296" s="222">
        <v>6305</v>
      </c>
      <c r="B6296" s="858">
        <v>44952</v>
      </c>
      <c r="C6296" s="222" t="s">
        <v>21328</v>
      </c>
      <c r="D6296" s="10"/>
      <c r="E6296" s="818" t="s">
        <v>1031</v>
      </c>
      <c r="F6296" s="222" t="s">
        <v>21047</v>
      </c>
      <c r="G6296" s="222" t="s">
        <v>21329</v>
      </c>
      <c r="H6296" s="222" t="s">
        <v>15466</v>
      </c>
      <c r="I6296" s="1006" t="s">
        <v>281</v>
      </c>
      <c r="J6296" s="222"/>
      <c r="K6296" s="222" t="s">
        <v>21328</v>
      </c>
      <c r="L6296" s="222"/>
      <c r="M6296" s="222">
        <v>10</v>
      </c>
      <c r="N6296" s="222">
        <v>10</v>
      </c>
      <c r="O6296" s="222">
        <v>10</v>
      </c>
      <c r="P6296" s="222">
        <v>0</v>
      </c>
      <c r="Q6296" s="222">
        <v>0</v>
      </c>
      <c r="R6296" s="2315">
        <v>2.2000000000000002</v>
      </c>
      <c r="S6296" s="1688">
        <v>22</v>
      </c>
      <c r="T6296" s="222" t="s">
        <v>21028</v>
      </c>
      <c r="U6296" s="222" t="s">
        <v>20541</v>
      </c>
      <c r="V6296" s="222" t="s">
        <v>15478</v>
      </c>
      <c r="W6296" s="2319" t="s">
        <v>21330</v>
      </c>
      <c r="X6296" s="222"/>
    </row>
    <row r="6297" spans="1:24" ht="15.75" hidden="1" customHeight="1">
      <c r="A6297" s="222">
        <v>6306</v>
      </c>
      <c r="B6297" s="858">
        <v>44952</v>
      </c>
      <c r="C6297" s="222" t="s">
        <v>21331</v>
      </c>
      <c r="D6297" s="10"/>
      <c r="E6297" s="818" t="s">
        <v>1031</v>
      </c>
      <c r="F6297" s="222" t="s">
        <v>21047</v>
      </c>
      <c r="G6297" s="222" t="s">
        <v>21332</v>
      </c>
      <c r="H6297" s="222" t="s">
        <v>15466</v>
      </c>
      <c r="I6297" s="1006" t="s">
        <v>281</v>
      </c>
      <c r="J6297" s="222"/>
      <c r="K6297" s="222" t="s">
        <v>21331</v>
      </c>
      <c r="L6297" s="222"/>
      <c r="M6297" s="222">
        <v>10</v>
      </c>
      <c r="N6297" s="222">
        <v>10</v>
      </c>
      <c r="O6297" s="222">
        <v>10</v>
      </c>
      <c r="P6297" s="222">
        <v>0</v>
      </c>
      <c r="Q6297" s="222">
        <v>0</v>
      </c>
      <c r="R6297" s="2315">
        <v>2.6</v>
      </c>
      <c r="S6297" s="1688">
        <v>26</v>
      </c>
      <c r="T6297" s="222" t="s">
        <v>21028</v>
      </c>
      <c r="U6297" s="222" t="s">
        <v>20541</v>
      </c>
      <c r="V6297" s="222" t="s">
        <v>15478</v>
      </c>
      <c r="W6297" s="2319" t="s">
        <v>21333</v>
      </c>
      <c r="X6297" s="222"/>
    </row>
    <row r="6298" spans="1:24" ht="15.75" hidden="1" customHeight="1">
      <c r="A6298" s="222">
        <v>6307</v>
      </c>
      <c r="B6298" s="858">
        <v>44952</v>
      </c>
      <c r="C6298" s="222" t="s">
        <v>21334</v>
      </c>
      <c r="D6298" s="10"/>
      <c r="E6298" s="818" t="s">
        <v>1031</v>
      </c>
      <c r="F6298" s="222" t="s">
        <v>21047</v>
      </c>
      <c r="G6298" s="222" t="s">
        <v>21335</v>
      </c>
      <c r="H6298" s="222" t="s">
        <v>15466</v>
      </c>
      <c r="I6298" s="1006" t="s">
        <v>281</v>
      </c>
      <c r="J6298" s="222"/>
      <c r="K6298" s="222" t="s">
        <v>21334</v>
      </c>
      <c r="L6298" s="222"/>
      <c r="M6298" s="222">
        <v>10</v>
      </c>
      <c r="N6298" s="222">
        <v>10</v>
      </c>
      <c r="O6298" s="222">
        <v>10</v>
      </c>
      <c r="P6298" s="222">
        <v>0</v>
      </c>
      <c r="Q6298" s="222">
        <v>0</v>
      </c>
      <c r="R6298" s="2315">
        <v>2.6</v>
      </c>
      <c r="S6298" s="1688">
        <v>26</v>
      </c>
      <c r="T6298" s="222" t="s">
        <v>21028</v>
      </c>
      <c r="U6298" s="222" t="s">
        <v>20541</v>
      </c>
      <c r="V6298" s="222" t="s">
        <v>15478</v>
      </c>
      <c r="W6298" s="2319" t="s">
        <v>21336</v>
      </c>
      <c r="X6298" s="222"/>
    </row>
    <row r="6299" spans="1:24" ht="15.75" hidden="1" customHeight="1">
      <c r="A6299" s="222">
        <v>6308</v>
      </c>
      <c r="B6299" s="858">
        <v>44952</v>
      </c>
      <c r="C6299" s="222" t="s">
        <v>21337</v>
      </c>
      <c r="D6299" s="10"/>
      <c r="E6299" s="818" t="s">
        <v>1031</v>
      </c>
      <c r="F6299" s="222" t="s">
        <v>21047</v>
      </c>
      <c r="G6299" s="222" t="s">
        <v>21338</v>
      </c>
      <c r="H6299" s="222" t="s">
        <v>2269</v>
      </c>
      <c r="I6299" s="1006" t="s">
        <v>281</v>
      </c>
      <c r="J6299" s="222"/>
      <c r="K6299" s="222" t="s">
        <v>21337</v>
      </c>
      <c r="L6299" s="222"/>
      <c r="M6299" s="222">
        <v>10</v>
      </c>
      <c r="N6299" s="222">
        <v>10</v>
      </c>
      <c r="O6299" s="222">
        <v>10</v>
      </c>
      <c r="P6299" s="222">
        <v>0</v>
      </c>
      <c r="Q6299" s="222">
        <v>0</v>
      </c>
      <c r="R6299" s="2315">
        <v>110.7</v>
      </c>
      <c r="S6299" s="1688">
        <v>1107</v>
      </c>
      <c r="T6299" s="222" t="s">
        <v>21028</v>
      </c>
      <c r="U6299" s="222" t="s">
        <v>20541</v>
      </c>
      <c r="V6299" s="222" t="s">
        <v>15478</v>
      </c>
      <c r="W6299" s="2319" t="s">
        <v>21339</v>
      </c>
      <c r="X6299" s="222"/>
    </row>
    <row r="6300" spans="1:24" ht="15.75" hidden="1" customHeight="1">
      <c r="A6300" s="222">
        <v>6309</v>
      </c>
      <c r="B6300" s="858">
        <v>44952</v>
      </c>
      <c r="C6300" s="222" t="s">
        <v>21340</v>
      </c>
      <c r="D6300" s="10"/>
      <c r="E6300" s="818" t="s">
        <v>1031</v>
      </c>
      <c r="F6300" s="222" t="s">
        <v>21047</v>
      </c>
      <c r="G6300" s="222" t="s">
        <v>21341</v>
      </c>
      <c r="H6300" s="222" t="s">
        <v>1865</v>
      </c>
      <c r="I6300" s="1006" t="s">
        <v>281</v>
      </c>
      <c r="J6300" s="222"/>
      <c r="K6300" s="222" t="s">
        <v>21340</v>
      </c>
      <c r="L6300" s="222"/>
      <c r="M6300" s="222">
        <v>10</v>
      </c>
      <c r="N6300" s="222">
        <v>10</v>
      </c>
      <c r="O6300" s="222">
        <v>10</v>
      </c>
      <c r="P6300" s="222">
        <v>0</v>
      </c>
      <c r="Q6300" s="222">
        <v>0</v>
      </c>
      <c r="R6300" s="1688">
        <v>299.8</v>
      </c>
      <c r="S6300" s="1688">
        <v>2998</v>
      </c>
      <c r="T6300" s="222" t="s">
        <v>21028</v>
      </c>
      <c r="U6300" s="222" t="s">
        <v>20541</v>
      </c>
      <c r="V6300" s="222" t="s">
        <v>15478</v>
      </c>
      <c r="W6300" s="2319" t="s">
        <v>21342</v>
      </c>
      <c r="X6300" s="222"/>
    </row>
    <row r="6301" spans="1:24" ht="15.75" hidden="1" customHeight="1">
      <c r="A6301" s="222">
        <v>6310</v>
      </c>
      <c r="B6301" s="858">
        <v>44952</v>
      </c>
      <c r="C6301" s="222" t="s">
        <v>1991</v>
      </c>
      <c r="D6301" s="10"/>
      <c r="E6301" s="818" t="s">
        <v>1031</v>
      </c>
      <c r="F6301" s="222" t="s">
        <v>21047</v>
      </c>
      <c r="G6301" s="222" t="s">
        <v>21343</v>
      </c>
      <c r="H6301" s="222" t="s">
        <v>1853</v>
      </c>
      <c r="I6301" s="1006" t="s">
        <v>281</v>
      </c>
      <c r="J6301" s="222"/>
      <c r="K6301" s="222" t="s">
        <v>1991</v>
      </c>
      <c r="L6301" s="222"/>
      <c r="M6301" s="222">
        <v>20</v>
      </c>
      <c r="N6301" s="222">
        <v>20</v>
      </c>
      <c r="O6301" s="222">
        <v>20</v>
      </c>
      <c r="P6301" s="222">
        <v>0</v>
      </c>
      <c r="Q6301" s="222">
        <v>0</v>
      </c>
      <c r="R6301" s="1688">
        <v>30.1</v>
      </c>
      <c r="S6301" s="1688">
        <v>602</v>
      </c>
      <c r="T6301" s="222" t="s">
        <v>21028</v>
      </c>
      <c r="U6301" s="222" t="s">
        <v>20541</v>
      </c>
      <c r="V6301" s="222" t="s">
        <v>15478</v>
      </c>
      <c r="W6301" s="2319" t="s">
        <v>20543</v>
      </c>
      <c r="X6301" s="222"/>
    </row>
    <row r="6302" spans="1:24" ht="15.75" hidden="1" customHeight="1">
      <c r="A6302" s="222">
        <v>6311</v>
      </c>
      <c r="B6302" s="858">
        <v>44952</v>
      </c>
      <c r="C6302" s="222" t="s">
        <v>21344</v>
      </c>
      <c r="D6302" s="10"/>
      <c r="E6302" s="818" t="s">
        <v>1031</v>
      </c>
      <c r="F6302" s="222" t="s">
        <v>21047</v>
      </c>
      <c r="G6302" s="222" t="s">
        <v>21345</v>
      </c>
      <c r="H6302" s="222" t="s">
        <v>460</v>
      </c>
      <c r="I6302" s="1006" t="s">
        <v>281</v>
      </c>
      <c r="J6302" s="222"/>
      <c r="K6302" s="222" t="s">
        <v>21344</v>
      </c>
      <c r="L6302" s="222"/>
      <c r="M6302" s="222">
        <v>5</v>
      </c>
      <c r="N6302" s="222">
        <v>5</v>
      </c>
      <c r="O6302" s="222">
        <v>5</v>
      </c>
      <c r="P6302" s="222">
        <v>0</v>
      </c>
      <c r="Q6302" s="222">
        <v>0</v>
      </c>
      <c r="R6302" s="1688">
        <v>285</v>
      </c>
      <c r="S6302" s="1688">
        <v>1425</v>
      </c>
      <c r="T6302" s="222" t="s">
        <v>21028</v>
      </c>
      <c r="U6302" s="222" t="s">
        <v>20541</v>
      </c>
      <c r="V6302" s="222" t="s">
        <v>15478</v>
      </c>
      <c r="W6302" s="2319" t="s">
        <v>21346</v>
      </c>
      <c r="X6302" s="222"/>
    </row>
    <row r="6303" spans="1:24" ht="15.75" hidden="1" customHeight="1">
      <c r="A6303" s="222">
        <v>6312</v>
      </c>
      <c r="B6303" s="858">
        <v>44952</v>
      </c>
      <c r="C6303" s="222" t="s">
        <v>21347</v>
      </c>
      <c r="D6303" s="10"/>
      <c r="E6303" s="818" t="s">
        <v>1031</v>
      </c>
      <c r="F6303" s="222" t="s">
        <v>21047</v>
      </c>
      <c r="G6303" s="222" t="s">
        <v>21348</v>
      </c>
      <c r="H6303" s="222" t="s">
        <v>1073</v>
      </c>
      <c r="I6303" s="1006" t="s">
        <v>281</v>
      </c>
      <c r="J6303" s="222"/>
      <c r="K6303" s="222" t="s">
        <v>21347</v>
      </c>
      <c r="L6303" s="222"/>
      <c r="M6303" s="222">
        <v>3</v>
      </c>
      <c r="N6303" s="222">
        <v>3</v>
      </c>
      <c r="O6303" s="222">
        <v>3</v>
      </c>
      <c r="P6303" s="222">
        <v>0</v>
      </c>
      <c r="Q6303" s="222">
        <v>0</v>
      </c>
      <c r="R6303" s="1688">
        <v>1157</v>
      </c>
      <c r="S6303" s="1688">
        <v>3471</v>
      </c>
      <c r="T6303" s="222" t="s">
        <v>21028</v>
      </c>
      <c r="U6303" s="222" t="s">
        <v>20541</v>
      </c>
      <c r="V6303" s="222" t="s">
        <v>15478</v>
      </c>
      <c r="W6303" s="2319" t="s">
        <v>21349</v>
      </c>
      <c r="X6303" s="222"/>
    </row>
    <row r="6304" spans="1:24" ht="15.75" hidden="1" customHeight="1">
      <c r="A6304" s="222">
        <v>6313</v>
      </c>
      <c r="B6304" s="858">
        <v>44952</v>
      </c>
      <c r="C6304" s="222" t="s">
        <v>21350</v>
      </c>
      <c r="D6304" s="10"/>
      <c r="E6304" s="818" t="s">
        <v>1031</v>
      </c>
      <c r="F6304" s="222" t="s">
        <v>21047</v>
      </c>
      <c r="G6304" s="222" t="s">
        <v>21351</v>
      </c>
      <c r="H6304" s="222" t="s">
        <v>5730</v>
      </c>
      <c r="I6304" s="1006" t="s">
        <v>281</v>
      </c>
      <c r="J6304" s="222"/>
      <c r="K6304" s="222" t="s">
        <v>21350</v>
      </c>
      <c r="L6304" s="222"/>
      <c r="M6304" s="222">
        <v>10</v>
      </c>
      <c r="N6304" s="222">
        <v>10</v>
      </c>
      <c r="O6304" s="222">
        <v>10</v>
      </c>
      <c r="P6304" s="222">
        <v>0</v>
      </c>
      <c r="Q6304" s="222">
        <v>0</v>
      </c>
      <c r="R6304" s="1688">
        <v>30.8</v>
      </c>
      <c r="S6304" s="1688">
        <v>308</v>
      </c>
      <c r="T6304" s="222" t="s">
        <v>21028</v>
      </c>
      <c r="U6304" s="222" t="s">
        <v>20541</v>
      </c>
      <c r="V6304" s="222" t="s">
        <v>15478</v>
      </c>
      <c r="W6304" s="2319" t="s">
        <v>21352</v>
      </c>
      <c r="X6304" s="222"/>
    </row>
    <row r="6305" spans="1:25" ht="15.75" hidden="1" customHeight="1">
      <c r="A6305" s="222">
        <v>6314</v>
      </c>
      <c r="B6305" s="858">
        <v>44952</v>
      </c>
      <c r="C6305" s="1120" t="s">
        <v>21353</v>
      </c>
      <c r="D6305" s="2325"/>
      <c r="E6305" s="1191" t="s">
        <v>1031</v>
      </c>
      <c r="F6305" s="1120" t="s">
        <v>21047</v>
      </c>
      <c r="G6305" s="1120" t="s">
        <v>21354</v>
      </c>
      <c r="H6305" s="1120" t="s">
        <v>20037</v>
      </c>
      <c r="I6305" s="1190" t="s">
        <v>281</v>
      </c>
      <c r="J6305" s="1120"/>
      <c r="K6305" s="1120" t="s">
        <v>21353</v>
      </c>
      <c r="L6305" s="1120"/>
      <c r="M6305" s="1120">
        <v>10</v>
      </c>
      <c r="N6305" s="1120">
        <v>10</v>
      </c>
      <c r="O6305" s="1120">
        <v>10</v>
      </c>
      <c r="P6305" s="1120">
        <v>0</v>
      </c>
      <c r="Q6305" s="1120">
        <v>0</v>
      </c>
      <c r="R6305" s="2326">
        <v>55.3</v>
      </c>
      <c r="S6305" s="2326">
        <v>553</v>
      </c>
      <c r="T6305" s="1120" t="s">
        <v>21028</v>
      </c>
      <c r="U6305" s="1120" t="s">
        <v>20541</v>
      </c>
      <c r="V6305" s="1120" t="s">
        <v>15478</v>
      </c>
      <c r="W6305" s="2327" t="s">
        <v>21355</v>
      </c>
      <c r="X6305" s="1120"/>
    </row>
    <row r="6306" spans="1:25" ht="15.75" hidden="1" customHeight="1">
      <c r="A6306" s="222">
        <v>6315</v>
      </c>
      <c r="B6306" s="1394">
        <v>44952</v>
      </c>
      <c r="C6306" s="222" t="s">
        <v>21356</v>
      </c>
      <c r="D6306" s="10"/>
      <c r="E6306" s="1483" t="s">
        <v>1031</v>
      </c>
      <c r="F6306" s="222" t="s">
        <v>21047</v>
      </c>
      <c r="G6306" s="222" t="s">
        <v>21357</v>
      </c>
      <c r="H6306" s="222" t="s">
        <v>21358</v>
      </c>
      <c r="I6306" s="1006" t="s">
        <v>281</v>
      </c>
      <c r="J6306" s="222"/>
      <c r="K6306" s="222" t="s">
        <v>21356</v>
      </c>
      <c r="L6306" s="222"/>
      <c r="M6306" s="222">
        <v>10</v>
      </c>
      <c r="N6306" s="222">
        <v>10</v>
      </c>
      <c r="O6306" s="222">
        <v>10</v>
      </c>
      <c r="P6306" s="222">
        <v>0</v>
      </c>
      <c r="Q6306" s="222">
        <v>0</v>
      </c>
      <c r="R6306" s="2321">
        <v>30.5</v>
      </c>
      <c r="S6306" s="2321">
        <v>305</v>
      </c>
      <c r="T6306" s="222" t="s">
        <v>21028</v>
      </c>
      <c r="U6306" s="222" t="s">
        <v>20541</v>
      </c>
      <c r="V6306" s="222" t="s">
        <v>15478</v>
      </c>
      <c r="W6306" s="2319" t="s">
        <v>21359</v>
      </c>
      <c r="X6306" s="222"/>
      <c r="Y6306" s="1161"/>
    </row>
    <row r="6307" spans="1:25" ht="15.75" hidden="1" customHeight="1">
      <c r="A6307" s="222">
        <v>6316</v>
      </c>
      <c r="B6307" s="1394">
        <v>44952</v>
      </c>
      <c r="C6307" s="222" t="s">
        <v>21360</v>
      </c>
      <c r="D6307" s="10"/>
      <c r="E6307" s="818" t="s">
        <v>1031</v>
      </c>
      <c r="F6307" s="222" t="s">
        <v>21047</v>
      </c>
      <c r="G6307" s="222" t="s">
        <v>21361</v>
      </c>
      <c r="H6307" s="222" t="s">
        <v>5730</v>
      </c>
      <c r="I6307" s="1006" t="s">
        <v>281</v>
      </c>
      <c r="J6307" s="222"/>
      <c r="K6307" s="222" t="s">
        <v>21360</v>
      </c>
      <c r="L6307" s="222"/>
      <c r="M6307" s="222">
        <v>10</v>
      </c>
      <c r="N6307" s="222">
        <v>10</v>
      </c>
      <c r="O6307" s="222">
        <v>10</v>
      </c>
      <c r="P6307" s="222">
        <v>0</v>
      </c>
      <c r="Q6307" s="222">
        <v>0</v>
      </c>
      <c r="R6307" s="2321">
        <v>57.5</v>
      </c>
      <c r="S6307" s="2321">
        <v>575</v>
      </c>
      <c r="T6307" s="222" t="s">
        <v>21028</v>
      </c>
      <c r="U6307" s="222" t="s">
        <v>20541</v>
      </c>
      <c r="V6307" s="222" t="s">
        <v>15478</v>
      </c>
      <c r="W6307" s="2319" t="s">
        <v>21362</v>
      </c>
      <c r="X6307" s="222"/>
      <c r="Y6307" s="1161"/>
    </row>
    <row r="6308" spans="1:25" ht="15.75" hidden="1" customHeight="1">
      <c r="A6308" s="222">
        <v>6317</v>
      </c>
      <c r="B6308" s="1394">
        <v>44952</v>
      </c>
      <c r="C6308" s="222" t="s">
        <v>21363</v>
      </c>
      <c r="D6308" s="10"/>
      <c r="E6308" s="1483" t="s">
        <v>1031</v>
      </c>
      <c r="F6308" s="222" t="s">
        <v>21047</v>
      </c>
      <c r="G6308" s="222" t="s">
        <v>21364</v>
      </c>
      <c r="H6308" s="222" t="s">
        <v>641</v>
      </c>
      <c r="I6308" s="1006" t="s">
        <v>281</v>
      </c>
      <c r="J6308" s="222"/>
      <c r="K6308" s="222" t="s">
        <v>21363</v>
      </c>
      <c r="L6308" s="222"/>
      <c r="M6308" s="222">
        <v>10</v>
      </c>
      <c r="N6308" s="222">
        <v>10</v>
      </c>
      <c r="O6308" s="222">
        <v>10</v>
      </c>
      <c r="P6308" s="222">
        <v>0</v>
      </c>
      <c r="Q6308" s="222">
        <v>0</v>
      </c>
      <c r="R6308" s="2321">
        <v>34.1</v>
      </c>
      <c r="S6308" s="2321">
        <v>341</v>
      </c>
      <c r="T6308" s="222" t="s">
        <v>21028</v>
      </c>
      <c r="U6308" s="222" t="s">
        <v>20541</v>
      </c>
      <c r="V6308" s="222" t="s">
        <v>15478</v>
      </c>
      <c r="W6308" s="2319" t="s">
        <v>21365</v>
      </c>
      <c r="X6308" s="222"/>
      <c r="Y6308" s="1161"/>
    </row>
    <row r="6309" spans="1:25" ht="15.75" hidden="1" customHeight="1">
      <c r="A6309" s="222">
        <v>6318</v>
      </c>
      <c r="B6309" s="1394">
        <v>44952</v>
      </c>
      <c r="C6309" s="222" t="s">
        <v>21366</v>
      </c>
      <c r="D6309" s="10"/>
      <c r="E6309" s="818" t="s">
        <v>1031</v>
      </c>
      <c r="F6309" s="222" t="s">
        <v>21047</v>
      </c>
      <c r="G6309" s="222" t="s">
        <v>21367</v>
      </c>
      <c r="H6309" s="222" t="s">
        <v>21358</v>
      </c>
      <c r="I6309" s="1006" t="s">
        <v>281</v>
      </c>
      <c r="J6309" s="222"/>
      <c r="K6309" s="222" t="s">
        <v>21366</v>
      </c>
      <c r="L6309" s="222"/>
      <c r="M6309" s="222">
        <v>10</v>
      </c>
      <c r="N6309" s="222">
        <v>10</v>
      </c>
      <c r="O6309" s="222">
        <v>10</v>
      </c>
      <c r="P6309" s="222">
        <v>0</v>
      </c>
      <c r="Q6309" s="222">
        <v>0</v>
      </c>
      <c r="R6309" s="2321">
        <v>30.5</v>
      </c>
      <c r="S6309" s="2321">
        <v>305</v>
      </c>
      <c r="T6309" s="222" t="s">
        <v>21028</v>
      </c>
      <c r="U6309" s="222" t="s">
        <v>20541</v>
      </c>
      <c r="V6309" s="222" t="s">
        <v>15478</v>
      </c>
      <c r="W6309" s="2319" t="s">
        <v>21368</v>
      </c>
      <c r="X6309" s="222"/>
      <c r="Y6309" s="1161"/>
    </row>
    <row r="6310" spans="1:25" ht="15.75" hidden="1" customHeight="1">
      <c r="A6310" s="222">
        <v>6319</v>
      </c>
      <c r="B6310" s="1394">
        <v>44952</v>
      </c>
      <c r="C6310" s="222" t="s">
        <v>21369</v>
      </c>
      <c r="D6310" s="10"/>
      <c r="E6310" s="1483" t="s">
        <v>1031</v>
      </c>
      <c r="F6310" s="222" t="s">
        <v>21047</v>
      </c>
      <c r="G6310" s="222" t="s">
        <v>21370</v>
      </c>
      <c r="H6310" s="222" t="s">
        <v>5730</v>
      </c>
      <c r="I6310" s="1006" t="s">
        <v>281</v>
      </c>
      <c r="J6310" s="222"/>
      <c r="K6310" s="222" t="s">
        <v>21369</v>
      </c>
      <c r="L6310" s="222"/>
      <c r="M6310" s="222">
        <v>10</v>
      </c>
      <c r="N6310" s="222">
        <v>10</v>
      </c>
      <c r="O6310" s="222">
        <v>10</v>
      </c>
      <c r="P6310" s="222">
        <v>0</v>
      </c>
      <c r="Q6310" s="222">
        <v>0</v>
      </c>
      <c r="R6310" s="2321">
        <v>30.8</v>
      </c>
      <c r="S6310" s="2321">
        <v>308</v>
      </c>
      <c r="T6310" s="222" t="s">
        <v>21028</v>
      </c>
      <c r="U6310" s="222" t="s">
        <v>20541</v>
      </c>
      <c r="V6310" s="222" t="s">
        <v>15478</v>
      </c>
      <c r="W6310" s="2319" t="s">
        <v>21371</v>
      </c>
      <c r="X6310" s="222"/>
      <c r="Y6310" s="1161"/>
    </row>
    <row r="6311" spans="1:25" ht="15.75" hidden="1" customHeight="1">
      <c r="A6311" s="222">
        <v>6320</v>
      </c>
      <c r="B6311" s="1394">
        <v>44952</v>
      </c>
      <c r="C6311" s="222" t="s">
        <v>21372</v>
      </c>
      <c r="D6311" s="10"/>
      <c r="E6311" s="818" t="s">
        <v>1031</v>
      </c>
      <c r="F6311" s="222" t="s">
        <v>21047</v>
      </c>
      <c r="G6311" s="222" t="s">
        <v>21373</v>
      </c>
      <c r="H6311" s="222" t="s">
        <v>2128</v>
      </c>
      <c r="I6311" s="1006" t="s">
        <v>281</v>
      </c>
      <c r="J6311" s="222"/>
      <c r="K6311" s="222" t="s">
        <v>21372</v>
      </c>
      <c r="L6311" s="222"/>
      <c r="M6311" s="222">
        <v>5</v>
      </c>
      <c r="N6311" s="222">
        <v>5</v>
      </c>
      <c r="O6311" s="222">
        <v>5</v>
      </c>
      <c r="P6311" s="222">
        <v>0</v>
      </c>
      <c r="Q6311" s="222">
        <v>0</v>
      </c>
      <c r="R6311" s="2321">
        <v>133</v>
      </c>
      <c r="S6311" s="2321">
        <v>665</v>
      </c>
      <c r="T6311" s="222" t="s">
        <v>21028</v>
      </c>
      <c r="U6311" s="222" t="s">
        <v>20541</v>
      </c>
      <c r="V6311" s="222" t="s">
        <v>15478</v>
      </c>
      <c r="W6311" s="2319" t="s">
        <v>21374</v>
      </c>
      <c r="X6311" s="222"/>
      <c r="Y6311" s="1161"/>
    </row>
    <row r="6312" spans="1:25" ht="15.75" hidden="1" customHeight="1">
      <c r="A6312" s="222">
        <v>6321</v>
      </c>
      <c r="B6312" s="1394">
        <v>44952</v>
      </c>
      <c r="C6312" s="222" t="s">
        <v>21375</v>
      </c>
      <c r="D6312" s="10"/>
      <c r="E6312" s="1483" t="s">
        <v>1031</v>
      </c>
      <c r="F6312" s="222" t="s">
        <v>21047</v>
      </c>
      <c r="G6312" s="222" t="s">
        <v>21376</v>
      </c>
      <c r="H6312" s="222" t="s">
        <v>21358</v>
      </c>
      <c r="I6312" s="1006" t="s">
        <v>281</v>
      </c>
      <c r="J6312" s="222"/>
      <c r="K6312" s="222" t="s">
        <v>21375</v>
      </c>
      <c r="L6312" s="222"/>
      <c r="M6312" s="222">
        <v>10</v>
      </c>
      <c r="N6312" s="222">
        <v>10</v>
      </c>
      <c r="O6312" s="222">
        <v>10</v>
      </c>
      <c r="P6312" s="222">
        <v>0</v>
      </c>
      <c r="Q6312" s="222">
        <v>0</v>
      </c>
      <c r="R6312" s="2321">
        <v>30.5</v>
      </c>
      <c r="S6312" s="2321">
        <v>305</v>
      </c>
      <c r="T6312" s="222" t="s">
        <v>21028</v>
      </c>
      <c r="U6312" s="222" t="s">
        <v>20541</v>
      </c>
      <c r="V6312" s="222" t="s">
        <v>15478</v>
      </c>
      <c r="W6312" s="2319" t="s">
        <v>21377</v>
      </c>
      <c r="X6312" s="222"/>
      <c r="Y6312" s="1161"/>
    </row>
    <row r="6313" spans="1:25" ht="15.75" hidden="1" customHeight="1">
      <c r="A6313" s="222">
        <v>6322</v>
      </c>
      <c r="B6313" s="1394">
        <v>44952</v>
      </c>
      <c r="C6313" s="222" t="s">
        <v>2257</v>
      </c>
      <c r="D6313" s="10"/>
      <c r="E6313" s="818" t="s">
        <v>1031</v>
      </c>
      <c r="F6313" s="222" t="s">
        <v>21047</v>
      </c>
      <c r="G6313" s="222" t="s">
        <v>21378</v>
      </c>
      <c r="H6313" s="222" t="s">
        <v>2255</v>
      </c>
      <c r="I6313" s="1006" t="s">
        <v>281</v>
      </c>
      <c r="J6313" s="222"/>
      <c r="K6313" s="222" t="s">
        <v>2257</v>
      </c>
      <c r="L6313" s="222"/>
      <c r="M6313" s="222">
        <v>10</v>
      </c>
      <c r="N6313" s="222">
        <v>10</v>
      </c>
      <c r="O6313" s="222">
        <v>10</v>
      </c>
      <c r="P6313" s="222">
        <v>0</v>
      </c>
      <c r="Q6313" s="222">
        <v>0</v>
      </c>
      <c r="R6313" s="2321">
        <v>128.69999999999999</v>
      </c>
      <c r="S6313" s="2321">
        <v>1287</v>
      </c>
      <c r="T6313" s="222" t="s">
        <v>21028</v>
      </c>
      <c r="U6313" s="222" t="s">
        <v>20541</v>
      </c>
      <c r="V6313" s="222" t="s">
        <v>15478</v>
      </c>
      <c r="W6313" s="2319" t="s">
        <v>21379</v>
      </c>
      <c r="X6313" s="222"/>
      <c r="Y6313" s="1161"/>
    </row>
    <row r="6314" spans="1:25" ht="15.75" hidden="1" customHeight="1">
      <c r="A6314" s="222">
        <v>6323</v>
      </c>
      <c r="B6314" s="1394">
        <v>44952</v>
      </c>
      <c r="C6314" s="222" t="s">
        <v>2264</v>
      </c>
      <c r="D6314" s="10"/>
      <c r="E6314" s="1483" t="s">
        <v>1031</v>
      </c>
      <c r="F6314" s="222" t="s">
        <v>21047</v>
      </c>
      <c r="G6314" s="222" t="s">
        <v>21380</v>
      </c>
      <c r="H6314" s="222" t="s">
        <v>6553</v>
      </c>
      <c r="I6314" s="1006" t="s">
        <v>281</v>
      </c>
      <c r="J6314" s="222"/>
      <c r="K6314" s="222" t="s">
        <v>2264</v>
      </c>
      <c r="L6314" s="222"/>
      <c r="M6314" s="222">
        <v>5</v>
      </c>
      <c r="N6314" s="222">
        <v>5</v>
      </c>
      <c r="O6314" s="222">
        <v>5</v>
      </c>
      <c r="P6314" s="222">
        <v>0</v>
      </c>
      <c r="Q6314" s="222">
        <v>0</v>
      </c>
      <c r="R6314" s="2321">
        <v>90</v>
      </c>
      <c r="S6314" s="2321">
        <v>450</v>
      </c>
      <c r="T6314" s="222" t="s">
        <v>21028</v>
      </c>
      <c r="U6314" s="222" t="s">
        <v>20541</v>
      </c>
      <c r="V6314" s="222" t="s">
        <v>15478</v>
      </c>
      <c r="W6314" s="2319" t="s">
        <v>21381</v>
      </c>
      <c r="X6314" s="222"/>
      <c r="Y6314" s="1161"/>
    </row>
    <row r="6315" spans="1:25" ht="15.75" hidden="1" customHeight="1">
      <c r="A6315" s="222">
        <v>6324</v>
      </c>
      <c r="B6315" s="1394">
        <v>44952</v>
      </c>
      <c r="C6315" s="222" t="s">
        <v>2243</v>
      </c>
      <c r="D6315" s="10"/>
      <c r="E6315" s="818" t="s">
        <v>1031</v>
      </c>
      <c r="F6315" s="222" t="s">
        <v>21047</v>
      </c>
      <c r="G6315" s="222" t="s">
        <v>21382</v>
      </c>
      <c r="H6315" s="222" t="s">
        <v>3890</v>
      </c>
      <c r="I6315" s="1006" t="s">
        <v>281</v>
      </c>
      <c r="J6315" s="222"/>
      <c r="K6315" s="222" t="s">
        <v>2243</v>
      </c>
      <c r="L6315" s="222"/>
      <c r="M6315" s="222">
        <v>5</v>
      </c>
      <c r="N6315" s="222">
        <v>5</v>
      </c>
      <c r="O6315" s="222">
        <v>5</v>
      </c>
      <c r="P6315" s="222">
        <v>0</v>
      </c>
      <c r="Q6315" s="222">
        <v>0</v>
      </c>
      <c r="R6315" s="2321">
        <v>1107</v>
      </c>
      <c r="S6315" s="2321">
        <v>5535</v>
      </c>
      <c r="T6315" s="222" t="s">
        <v>21028</v>
      </c>
      <c r="U6315" s="222" t="s">
        <v>20541</v>
      </c>
      <c r="V6315" s="222" t="s">
        <v>15478</v>
      </c>
      <c r="W6315" s="2319" t="s">
        <v>21383</v>
      </c>
      <c r="X6315" s="222"/>
      <c r="Y6315" s="1161"/>
    </row>
    <row r="6316" spans="1:25" ht="15.75" hidden="1" customHeight="1">
      <c r="A6316" s="222">
        <v>6325</v>
      </c>
      <c r="B6316" s="1394">
        <v>44952</v>
      </c>
      <c r="C6316" s="222" t="s">
        <v>21384</v>
      </c>
      <c r="D6316" s="10"/>
      <c r="E6316" s="1483" t="s">
        <v>1031</v>
      </c>
      <c r="F6316" s="222" t="s">
        <v>21047</v>
      </c>
      <c r="G6316" s="222" t="s">
        <v>21385</v>
      </c>
      <c r="H6316" s="222" t="s">
        <v>460</v>
      </c>
      <c r="I6316" s="1006" t="s">
        <v>281</v>
      </c>
      <c r="J6316" s="222"/>
      <c r="K6316" s="222" t="s">
        <v>21384</v>
      </c>
      <c r="L6316" s="222"/>
      <c r="M6316" s="222">
        <v>10</v>
      </c>
      <c r="N6316" s="222">
        <v>10</v>
      </c>
      <c r="O6316" s="222">
        <v>10</v>
      </c>
      <c r="P6316" s="222">
        <v>0</v>
      </c>
      <c r="Q6316" s="222">
        <v>0</v>
      </c>
      <c r="R6316" s="2321">
        <v>163.80000000000001</v>
      </c>
      <c r="S6316" s="2321">
        <v>1638</v>
      </c>
      <c r="T6316" s="222" t="s">
        <v>21028</v>
      </c>
      <c r="U6316" s="222" t="s">
        <v>20541</v>
      </c>
      <c r="V6316" s="222" t="s">
        <v>15478</v>
      </c>
      <c r="W6316" s="2322" t="s">
        <v>21386</v>
      </c>
      <c r="X6316" s="222"/>
      <c r="Y6316" s="1161"/>
    </row>
    <row r="6317" spans="1:25" ht="15.75" hidden="1" customHeight="1">
      <c r="A6317" s="222">
        <v>6326</v>
      </c>
      <c r="B6317" s="1394">
        <v>44952</v>
      </c>
      <c r="C6317" s="222" t="s">
        <v>21387</v>
      </c>
      <c r="D6317" s="10"/>
      <c r="E6317" s="1483" t="s">
        <v>1031</v>
      </c>
      <c r="F6317" s="222" t="s">
        <v>21047</v>
      </c>
      <c r="G6317" s="222" t="s">
        <v>21388</v>
      </c>
      <c r="H6317" s="222" t="s">
        <v>1073</v>
      </c>
      <c r="I6317" s="1006" t="s">
        <v>281</v>
      </c>
      <c r="J6317" s="222"/>
      <c r="K6317" s="222" t="s">
        <v>21387</v>
      </c>
      <c r="L6317" s="222"/>
      <c r="M6317" s="222">
        <v>5</v>
      </c>
      <c r="N6317" s="222">
        <v>5</v>
      </c>
      <c r="O6317" s="222">
        <v>5</v>
      </c>
      <c r="P6317" s="222">
        <v>0</v>
      </c>
      <c r="Q6317" s="222">
        <v>0</v>
      </c>
      <c r="R6317" s="2321">
        <v>1380</v>
      </c>
      <c r="S6317" s="2321">
        <v>6900</v>
      </c>
      <c r="T6317" s="222" t="s">
        <v>21028</v>
      </c>
      <c r="U6317" s="222" t="s">
        <v>20541</v>
      </c>
      <c r="V6317" s="222" t="s">
        <v>15478</v>
      </c>
      <c r="W6317" s="2322" t="s">
        <v>21389</v>
      </c>
      <c r="X6317" s="222"/>
      <c r="Y6317" s="1161"/>
    </row>
    <row r="6318" spans="1:25" ht="15.75" hidden="1" customHeight="1">
      <c r="A6318" s="222">
        <v>6327</v>
      </c>
      <c r="B6318" s="1394">
        <v>44952</v>
      </c>
      <c r="C6318" s="222" t="s">
        <v>21390</v>
      </c>
      <c r="D6318" s="10"/>
      <c r="E6318" s="818" t="s">
        <v>1031</v>
      </c>
      <c r="F6318" s="222" t="s">
        <v>21047</v>
      </c>
      <c r="G6318" s="222" t="s">
        <v>21391</v>
      </c>
      <c r="H6318" s="222" t="s">
        <v>16190</v>
      </c>
      <c r="I6318" s="1006" t="s">
        <v>281</v>
      </c>
      <c r="J6318" s="222"/>
      <c r="K6318" s="222" t="s">
        <v>21390</v>
      </c>
      <c r="L6318" s="222"/>
      <c r="M6318" s="222">
        <v>16</v>
      </c>
      <c r="N6318" s="222">
        <v>16</v>
      </c>
      <c r="O6318" s="222">
        <v>16</v>
      </c>
      <c r="P6318" s="222">
        <v>0</v>
      </c>
      <c r="Q6318" s="222">
        <v>0</v>
      </c>
      <c r="R6318" s="2321">
        <v>282.5</v>
      </c>
      <c r="S6318" s="2321">
        <v>4520</v>
      </c>
      <c r="T6318" s="222" t="s">
        <v>21028</v>
      </c>
      <c r="U6318" s="222" t="s">
        <v>20541</v>
      </c>
      <c r="V6318" s="222" t="s">
        <v>15478</v>
      </c>
      <c r="W6318" s="2322" t="s">
        <v>21392</v>
      </c>
      <c r="X6318" s="222"/>
      <c r="Y6318" s="1161"/>
    </row>
    <row r="6319" spans="1:25" ht="15.75" hidden="1" customHeight="1">
      <c r="A6319" s="222">
        <v>6328</v>
      </c>
      <c r="B6319" s="1394">
        <v>44952</v>
      </c>
      <c r="C6319" s="222" t="s">
        <v>21393</v>
      </c>
      <c r="D6319" s="10"/>
      <c r="E6319" s="1483" t="s">
        <v>1031</v>
      </c>
      <c r="F6319" s="222" t="s">
        <v>21047</v>
      </c>
      <c r="G6319" s="222" t="s">
        <v>21394</v>
      </c>
      <c r="H6319" s="222" t="s">
        <v>1715</v>
      </c>
      <c r="I6319" s="1006" t="s">
        <v>281</v>
      </c>
      <c r="J6319" s="222"/>
      <c r="K6319" s="222" t="s">
        <v>21393</v>
      </c>
      <c r="L6319" s="222"/>
      <c r="M6319" s="222">
        <v>5</v>
      </c>
      <c r="N6319" s="222">
        <v>5</v>
      </c>
      <c r="O6319" s="222">
        <v>5</v>
      </c>
      <c r="P6319" s="222">
        <v>0</v>
      </c>
      <c r="Q6319" s="222">
        <v>0</v>
      </c>
      <c r="R6319" s="2321">
        <v>2465</v>
      </c>
      <c r="S6319" s="2321">
        <v>12325</v>
      </c>
      <c r="T6319" s="222" t="s">
        <v>21028</v>
      </c>
      <c r="U6319" s="222" t="s">
        <v>20541</v>
      </c>
      <c r="V6319" s="222" t="s">
        <v>15478</v>
      </c>
      <c r="W6319" s="2322" t="s">
        <v>21395</v>
      </c>
      <c r="X6319" s="222"/>
      <c r="Y6319" s="1161"/>
    </row>
    <row r="6320" spans="1:25" ht="15.75" hidden="1" customHeight="1">
      <c r="A6320" s="222">
        <v>6329</v>
      </c>
      <c r="B6320" s="1394">
        <v>44952</v>
      </c>
      <c r="C6320" s="222" t="s">
        <v>21396</v>
      </c>
      <c r="D6320" s="10"/>
      <c r="E6320" s="818" t="s">
        <v>1031</v>
      </c>
      <c r="F6320" s="222" t="s">
        <v>21047</v>
      </c>
      <c r="G6320" s="222" t="s">
        <v>21397</v>
      </c>
      <c r="H6320" s="222" t="s">
        <v>21398</v>
      </c>
      <c r="I6320" s="1006" t="s">
        <v>281</v>
      </c>
      <c r="J6320" s="222"/>
      <c r="K6320" s="222" t="s">
        <v>21396</v>
      </c>
      <c r="L6320" s="222"/>
      <c r="M6320" s="222">
        <v>5</v>
      </c>
      <c r="N6320" s="222">
        <v>5</v>
      </c>
      <c r="O6320" s="222">
        <v>5</v>
      </c>
      <c r="P6320" s="222">
        <v>0</v>
      </c>
      <c r="Q6320" s="222">
        <v>0</v>
      </c>
      <c r="R6320" s="2321">
        <v>169</v>
      </c>
      <c r="S6320" s="2321">
        <v>845</v>
      </c>
      <c r="T6320" s="222" t="s">
        <v>21028</v>
      </c>
      <c r="U6320" s="222" t="s">
        <v>20541</v>
      </c>
      <c r="V6320" s="222" t="s">
        <v>15478</v>
      </c>
      <c r="W6320" s="2322" t="s">
        <v>21399</v>
      </c>
      <c r="X6320" s="222"/>
      <c r="Y6320" s="1161"/>
    </row>
    <row r="6321" spans="1:25" ht="15.75" hidden="1" customHeight="1">
      <c r="A6321" s="222">
        <v>6330</v>
      </c>
      <c r="B6321" s="1394">
        <v>44952</v>
      </c>
      <c r="C6321" s="222" t="s">
        <v>21400</v>
      </c>
      <c r="D6321" s="10"/>
      <c r="E6321" s="818" t="s">
        <v>1031</v>
      </c>
      <c r="F6321" s="222" t="s">
        <v>21047</v>
      </c>
      <c r="G6321" s="222" t="s">
        <v>21401</v>
      </c>
      <c r="H6321" s="222" t="s">
        <v>21398</v>
      </c>
      <c r="I6321" s="1006" t="s">
        <v>281</v>
      </c>
      <c r="J6321" s="222"/>
      <c r="K6321" s="222" t="s">
        <v>21400</v>
      </c>
      <c r="L6321" s="222"/>
      <c r="M6321" s="222">
        <v>5</v>
      </c>
      <c r="N6321" s="222">
        <v>5</v>
      </c>
      <c r="O6321" s="222">
        <v>5</v>
      </c>
      <c r="P6321" s="222">
        <v>0</v>
      </c>
      <c r="Q6321" s="222">
        <v>0</v>
      </c>
      <c r="R6321" s="2321">
        <v>165</v>
      </c>
      <c r="S6321" s="2321">
        <v>825</v>
      </c>
      <c r="T6321" s="222" t="s">
        <v>21028</v>
      </c>
      <c r="U6321" s="222" t="s">
        <v>20541</v>
      </c>
      <c r="V6321" s="222" t="s">
        <v>15478</v>
      </c>
      <c r="W6321" s="2322" t="s">
        <v>21402</v>
      </c>
      <c r="X6321" s="222"/>
      <c r="Y6321" s="1161"/>
    </row>
    <row r="6322" spans="1:25" ht="15.75" hidden="1" customHeight="1">
      <c r="A6322" s="222">
        <v>6331</v>
      </c>
      <c r="B6322" s="1394">
        <v>44952</v>
      </c>
      <c r="C6322" s="222" t="s">
        <v>21403</v>
      </c>
      <c r="D6322" s="10"/>
      <c r="E6322" s="1483" t="s">
        <v>1031</v>
      </c>
      <c r="F6322" s="222" t="s">
        <v>21047</v>
      </c>
      <c r="G6322" s="222" t="s">
        <v>21404</v>
      </c>
      <c r="H6322" s="222" t="s">
        <v>1111</v>
      </c>
      <c r="I6322" s="1006" t="s">
        <v>281</v>
      </c>
      <c r="J6322" s="222"/>
      <c r="K6322" s="222" t="s">
        <v>21403</v>
      </c>
      <c r="L6322" s="222"/>
      <c r="M6322" s="222">
        <v>5</v>
      </c>
      <c r="N6322" s="222">
        <v>5</v>
      </c>
      <c r="O6322" s="222">
        <v>5</v>
      </c>
      <c r="P6322" s="222">
        <v>0</v>
      </c>
      <c r="Q6322" s="222">
        <v>0</v>
      </c>
      <c r="R6322" s="2321">
        <v>831</v>
      </c>
      <c r="S6322" s="2321">
        <v>4155</v>
      </c>
      <c r="T6322" s="222" t="s">
        <v>21028</v>
      </c>
      <c r="U6322" s="222" t="s">
        <v>20541</v>
      </c>
      <c r="V6322" s="222" t="s">
        <v>15478</v>
      </c>
      <c r="W6322" s="2322" t="s">
        <v>21405</v>
      </c>
      <c r="X6322" s="222"/>
      <c r="Y6322" s="1161"/>
    </row>
    <row r="6323" spans="1:25" ht="15.75" hidden="1" customHeight="1">
      <c r="A6323" s="222">
        <v>6332</v>
      </c>
      <c r="B6323" s="2324">
        <v>44956</v>
      </c>
      <c r="C6323" s="222" t="s">
        <v>21406</v>
      </c>
      <c r="D6323" s="10"/>
      <c r="E6323" s="818" t="s">
        <v>1031</v>
      </c>
      <c r="F6323" s="222" t="s">
        <v>19265</v>
      </c>
      <c r="G6323" s="222" t="s">
        <v>21407</v>
      </c>
      <c r="H6323" s="222" t="s">
        <v>9182</v>
      </c>
      <c r="I6323" s="222" t="s">
        <v>84</v>
      </c>
      <c r="J6323" s="222" t="s">
        <v>21408</v>
      </c>
      <c r="K6323" s="222" t="s">
        <v>21408</v>
      </c>
      <c r="L6323" s="222"/>
      <c r="M6323" s="222">
        <v>2</v>
      </c>
      <c r="N6323" s="222" t="s">
        <v>20366</v>
      </c>
      <c r="O6323" s="222">
        <v>1</v>
      </c>
      <c r="P6323" s="222">
        <v>0</v>
      </c>
      <c r="Q6323" s="222">
        <v>48</v>
      </c>
      <c r="R6323" s="1195">
        <v>2490</v>
      </c>
      <c r="S6323" s="1195">
        <f>R6323*O6323</f>
        <v>2490</v>
      </c>
      <c r="T6323" s="222" t="s">
        <v>18479</v>
      </c>
      <c r="U6323" s="222" t="s">
        <v>20362</v>
      </c>
      <c r="V6323" s="222" t="s">
        <v>19258</v>
      </c>
      <c r="W6323" s="875" t="s">
        <v>21409</v>
      </c>
      <c r="X6323" s="222"/>
      <c r="Y6323" s="1161"/>
    </row>
    <row r="6324" spans="1:25" ht="15.75" hidden="1" customHeight="1">
      <c r="A6324" s="222">
        <v>6333</v>
      </c>
      <c r="B6324" s="2324">
        <v>44956</v>
      </c>
      <c r="C6324" s="222" t="s">
        <v>21410</v>
      </c>
      <c r="D6324" s="10"/>
      <c r="E6324" s="818" t="s">
        <v>1031</v>
      </c>
      <c r="F6324" s="222" t="s">
        <v>19265</v>
      </c>
      <c r="G6324" s="222" t="s">
        <v>21411</v>
      </c>
      <c r="H6324" s="222" t="s">
        <v>9182</v>
      </c>
      <c r="I6324" s="222" t="s">
        <v>84</v>
      </c>
      <c r="J6324" s="222" t="s">
        <v>21412</v>
      </c>
      <c r="K6324" s="222" t="s">
        <v>21412</v>
      </c>
      <c r="L6324" s="222"/>
      <c r="M6324" s="222">
        <v>2</v>
      </c>
      <c r="N6324" s="222" t="s">
        <v>20369</v>
      </c>
      <c r="O6324" s="222">
        <v>1</v>
      </c>
      <c r="P6324" s="222">
        <v>0</v>
      </c>
      <c r="Q6324" s="222">
        <v>8</v>
      </c>
      <c r="R6324" s="1195">
        <v>799</v>
      </c>
      <c r="S6324" s="1195">
        <f t="shared" ref="S6324:S6352" si="350">R6324*O6324</f>
        <v>799</v>
      </c>
      <c r="T6324" s="222" t="s">
        <v>18479</v>
      </c>
      <c r="U6324" s="222" t="s">
        <v>20362</v>
      </c>
      <c r="V6324" s="222" t="s">
        <v>19258</v>
      </c>
      <c r="W6324" s="875" t="s">
        <v>21413</v>
      </c>
      <c r="X6324" s="222"/>
      <c r="Y6324" s="1161"/>
    </row>
    <row r="6325" spans="1:25" ht="15.75" hidden="1" customHeight="1">
      <c r="A6325" s="222">
        <v>6334</v>
      </c>
      <c r="B6325" s="2324">
        <v>44956</v>
      </c>
      <c r="C6325" s="222" t="s">
        <v>21414</v>
      </c>
      <c r="D6325" s="10"/>
      <c r="E6325" s="818" t="s">
        <v>1031</v>
      </c>
      <c r="F6325" s="222" t="s">
        <v>19265</v>
      </c>
      <c r="G6325" s="222" t="s">
        <v>21415</v>
      </c>
      <c r="H6325" s="222" t="s">
        <v>9182</v>
      </c>
      <c r="I6325" s="222" t="s">
        <v>84</v>
      </c>
      <c r="J6325" s="222" t="s">
        <v>21416</v>
      </c>
      <c r="K6325" s="222" t="s">
        <v>21417</v>
      </c>
      <c r="L6325" s="222"/>
      <c r="M6325" s="222">
        <v>2</v>
      </c>
      <c r="N6325" s="222" t="s">
        <v>20369</v>
      </c>
      <c r="O6325" s="222">
        <v>1</v>
      </c>
      <c r="P6325" s="222">
        <v>0</v>
      </c>
      <c r="Q6325" s="222">
        <v>8</v>
      </c>
      <c r="R6325" s="1195">
        <v>879</v>
      </c>
      <c r="S6325" s="1195">
        <f t="shared" si="350"/>
        <v>879</v>
      </c>
      <c r="T6325" s="222" t="s">
        <v>18479</v>
      </c>
      <c r="U6325" s="222" t="s">
        <v>20362</v>
      </c>
      <c r="V6325" s="222" t="s">
        <v>19258</v>
      </c>
      <c r="W6325" s="875" t="s">
        <v>21418</v>
      </c>
      <c r="X6325" s="222"/>
      <c r="Y6325" s="1161"/>
    </row>
    <row r="6326" spans="1:25" ht="15.75" hidden="1" customHeight="1">
      <c r="A6326" s="222">
        <v>6335</v>
      </c>
      <c r="B6326" s="2324">
        <v>44956</v>
      </c>
      <c r="C6326" s="222" t="s">
        <v>21419</v>
      </c>
      <c r="D6326" s="10"/>
      <c r="E6326" s="818" t="s">
        <v>1031</v>
      </c>
      <c r="F6326" s="222" t="s">
        <v>19265</v>
      </c>
      <c r="G6326" s="222" t="s">
        <v>21420</v>
      </c>
      <c r="H6326" s="222" t="s">
        <v>10376</v>
      </c>
      <c r="I6326" s="222" t="s">
        <v>4634</v>
      </c>
      <c r="J6326" s="222" t="s">
        <v>21421</v>
      </c>
      <c r="K6326" s="222" t="s">
        <v>21422</v>
      </c>
      <c r="L6326" s="222"/>
      <c r="M6326" s="222">
        <v>2</v>
      </c>
      <c r="N6326" s="222">
        <v>1</v>
      </c>
      <c r="O6326" s="222">
        <v>6</v>
      </c>
      <c r="P6326" s="222">
        <v>0</v>
      </c>
      <c r="Q6326" s="222">
        <v>4</v>
      </c>
      <c r="R6326" s="1195">
        <v>1934</v>
      </c>
      <c r="S6326" s="1195">
        <f t="shared" si="350"/>
        <v>11604</v>
      </c>
      <c r="T6326" s="222" t="s">
        <v>18479</v>
      </c>
      <c r="U6326" s="222" t="s">
        <v>20362</v>
      </c>
      <c r="V6326" s="222" t="s">
        <v>19258</v>
      </c>
      <c r="W6326" s="2242" t="s">
        <v>21423</v>
      </c>
      <c r="X6326" s="222"/>
      <c r="Y6326" s="1161"/>
    </row>
    <row r="6327" spans="1:25" ht="15.75" hidden="1" customHeight="1">
      <c r="A6327" s="222">
        <v>6336</v>
      </c>
      <c r="B6327" s="2324">
        <v>44956</v>
      </c>
      <c r="C6327" s="222" t="s">
        <v>1869</v>
      </c>
      <c r="D6327" s="10"/>
      <c r="E6327" s="818" t="s">
        <v>1031</v>
      </c>
      <c r="F6327" s="222" t="s">
        <v>19265</v>
      </c>
      <c r="G6327" s="222" t="s">
        <v>21424</v>
      </c>
      <c r="H6327" s="222" t="s">
        <v>511</v>
      </c>
      <c r="I6327" s="222" t="s">
        <v>4634</v>
      </c>
      <c r="J6327" s="222" t="s">
        <v>21425</v>
      </c>
      <c r="K6327" s="222" t="s">
        <v>21426</v>
      </c>
      <c r="L6327" s="222"/>
      <c r="M6327" s="222">
        <v>32</v>
      </c>
      <c r="N6327" s="222">
        <v>1</v>
      </c>
      <c r="O6327" s="222">
        <v>50</v>
      </c>
      <c r="P6327" s="222">
        <v>0</v>
      </c>
      <c r="Q6327" s="222">
        <v>18</v>
      </c>
      <c r="R6327" s="1195">
        <v>55</v>
      </c>
      <c r="S6327" s="1195">
        <f t="shared" si="350"/>
        <v>2750</v>
      </c>
      <c r="T6327" s="222" t="s">
        <v>18479</v>
      </c>
      <c r="U6327" s="222" t="s">
        <v>20362</v>
      </c>
      <c r="V6327" s="222" t="s">
        <v>19258</v>
      </c>
      <c r="W6327" s="2242" t="s">
        <v>21427</v>
      </c>
      <c r="X6327" s="222"/>
      <c r="Y6327" s="1161"/>
    </row>
    <row r="6328" spans="1:25" ht="15.75" hidden="1" customHeight="1">
      <c r="A6328" s="222">
        <v>6337</v>
      </c>
      <c r="B6328" s="2324">
        <v>44956</v>
      </c>
      <c r="C6328" s="222" t="s">
        <v>21428</v>
      </c>
      <c r="D6328" s="10"/>
      <c r="E6328" s="818" t="s">
        <v>1031</v>
      </c>
      <c r="F6328" s="222" t="s">
        <v>19265</v>
      </c>
      <c r="G6328" s="222" t="s">
        <v>21429</v>
      </c>
      <c r="H6328" s="222" t="s">
        <v>1143</v>
      </c>
      <c r="I6328" s="222" t="s">
        <v>4634</v>
      </c>
      <c r="J6328" s="222" t="s">
        <v>21430</v>
      </c>
      <c r="K6328" s="222" t="s">
        <v>21431</v>
      </c>
      <c r="L6328" s="222"/>
      <c r="M6328" s="222">
        <v>8</v>
      </c>
      <c r="N6328" s="222">
        <v>1</v>
      </c>
      <c r="O6328" s="222">
        <v>12</v>
      </c>
      <c r="P6328" s="222">
        <v>0</v>
      </c>
      <c r="Q6328" s="222">
        <v>4</v>
      </c>
      <c r="R6328" s="1195">
        <v>441</v>
      </c>
      <c r="S6328" s="1195">
        <f t="shared" si="350"/>
        <v>5292</v>
      </c>
      <c r="T6328" s="222" t="s">
        <v>18479</v>
      </c>
      <c r="U6328" s="222" t="s">
        <v>20362</v>
      </c>
      <c r="V6328" s="222" t="s">
        <v>19258</v>
      </c>
      <c r="W6328" s="2242" t="s">
        <v>21432</v>
      </c>
      <c r="X6328" s="222"/>
      <c r="Y6328" s="1161"/>
    </row>
    <row r="6329" spans="1:25" ht="15.75" hidden="1" customHeight="1">
      <c r="A6329" s="222">
        <v>6338</v>
      </c>
      <c r="B6329" s="2324">
        <v>44956</v>
      </c>
      <c r="C6329" s="222" t="s">
        <v>21433</v>
      </c>
      <c r="D6329" s="10"/>
      <c r="E6329" s="818" t="s">
        <v>1031</v>
      </c>
      <c r="F6329" s="222" t="s">
        <v>19265</v>
      </c>
      <c r="G6329" s="222" t="s">
        <v>21434</v>
      </c>
      <c r="H6329" s="222" t="s">
        <v>21435</v>
      </c>
      <c r="I6329" s="222" t="s">
        <v>4634</v>
      </c>
      <c r="J6329" s="222" t="s">
        <v>21436</v>
      </c>
      <c r="K6329" s="222" t="s">
        <v>21437</v>
      </c>
      <c r="L6329" s="222" t="s">
        <v>8776</v>
      </c>
      <c r="M6329" s="222">
        <v>2</v>
      </c>
      <c r="N6329" s="222">
        <v>1</v>
      </c>
      <c r="O6329" s="222">
        <v>8</v>
      </c>
      <c r="P6329" s="222">
        <v>0</v>
      </c>
      <c r="Q6329" s="222">
        <v>6</v>
      </c>
      <c r="R6329" s="1195">
        <v>113</v>
      </c>
      <c r="S6329" s="1195">
        <f t="shared" si="350"/>
        <v>904</v>
      </c>
      <c r="T6329" s="222" t="s">
        <v>18479</v>
      </c>
      <c r="U6329" s="222" t="s">
        <v>20362</v>
      </c>
      <c r="V6329" s="222" t="s">
        <v>19258</v>
      </c>
      <c r="W6329" s="2242" t="s">
        <v>21438</v>
      </c>
      <c r="X6329" s="222"/>
      <c r="Y6329" s="1161"/>
    </row>
    <row r="6330" spans="1:25" ht="15.75" hidden="1" customHeight="1">
      <c r="A6330" s="222">
        <v>6339</v>
      </c>
      <c r="B6330" s="2324">
        <v>44956</v>
      </c>
      <c r="C6330" s="222" t="s">
        <v>8733</v>
      </c>
      <c r="D6330" s="10"/>
      <c r="E6330" s="818" t="s">
        <v>1031</v>
      </c>
      <c r="F6330" s="222" t="s">
        <v>19265</v>
      </c>
      <c r="G6330" s="222" t="s">
        <v>21439</v>
      </c>
      <c r="H6330" s="222" t="s">
        <v>154</v>
      </c>
      <c r="I6330" s="222" t="s">
        <v>4634</v>
      </c>
      <c r="J6330" s="222" t="s">
        <v>21440</v>
      </c>
      <c r="K6330" s="222" t="s">
        <v>6389</v>
      </c>
      <c r="L6330" s="222" t="s">
        <v>21441</v>
      </c>
      <c r="M6330" s="222">
        <v>28</v>
      </c>
      <c r="N6330" s="222">
        <v>1</v>
      </c>
      <c r="O6330" s="222">
        <v>40</v>
      </c>
      <c r="P6330" s="222">
        <v>0</v>
      </c>
      <c r="Q6330" s="222">
        <v>12</v>
      </c>
      <c r="R6330" s="1195">
        <v>17</v>
      </c>
      <c r="S6330" s="1195">
        <f t="shared" si="350"/>
        <v>680</v>
      </c>
      <c r="T6330" s="222" t="s">
        <v>18479</v>
      </c>
      <c r="U6330" s="222" t="s">
        <v>20362</v>
      </c>
      <c r="V6330" s="222" t="s">
        <v>19258</v>
      </c>
      <c r="W6330" s="2322" t="s">
        <v>21442</v>
      </c>
      <c r="X6330" s="222"/>
      <c r="Y6330" s="1161"/>
    </row>
    <row r="6331" spans="1:25" ht="15.75" hidden="1" customHeight="1">
      <c r="A6331" s="222">
        <v>6340</v>
      </c>
      <c r="B6331" s="2324">
        <v>44956</v>
      </c>
      <c r="C6331" s="1006" t="s">
        <v>21443</v>
      </c>
      <c r="D6331" s="10"/>
      <c r="E6331" s="818" t="s">
        <v>1031</v>
      </c>
      <c r="F6331" s="222" t="s">
        <v>19265</v>
      </c>
      <c r="G6331" s="222" t="s">
        <v>21444</v>
      </c>
      <c r="H6331" s="222" t="s">
        <v>154</v>
      </c>
      <c r="I6331" s="222" t="s">
        <v>4634</v>
      </c>
      <c r="J6331" s="222" t="s">
        <v>21445</v>
      </c>
      <c r="K6331" s="818" t="s">
        <v>21446</v>
      </c>
      <c r="L6331" s="222" t="s">
        <v>21441</v>
      </c>
      <c r="M6331" s="222">
        <v>12</v>
      </c>
      <c r="N6331" s="222">
        <v>1</v>
      </c>
      <c r="O6331" s="222">
        <v>20</v>
      </c>
      <c r="P6331" s="222">
        <v>0</v>
      </c>
      <c r="Q6331" s="222">
        <v>8</v>
      </c>
      <c r="R6331" s="1195">
        <v>15</v>
      </c>
      <c r="S6331" s="1195">
        <f t="shared" si="350"/>
        <v>300</v>
      </c>
      <c r="T6331" s="222" t="s">
        <v>18479</v>
      </c>
      <c r="U6331" s="222" t="s">
        <v>20362</v>
      </c>
      <c r="V6331" s="222" t="s">
        <v>19258</v>
      </c>
      <c r="W6331" s="2322" t="s">
        <v>21447</v>
      </c>
      <c r="X6331" s="222"/>
      <c r="Y6331" s="1161"/>
    </row>
    <row r="6332" spans="1:25" ht="15.75" hidden="1" customHeight="1">
      <c r="A6332" s="222">
        <v>6341</v>
      </c>
      <c r="B6332" s="2324">
        <v>44956</v>
      </c>
      <c r="C6332" s="222" t="s">
        <v>11075</v>
      </c>
      <c r="D6332" s="10"/>
      <c r="E6332" s="818" t="s">
        <v>1031</v>
      </c>
      <c r="F6332" s="222" t="s">
        <v>19265</v>
      </c>
      <c r="G6332" s="222" t="s">
        <v>21448</v>
      </c>
      <c r="H6332" s="222" t="s">
        <v>184</v>
      </c>
      <c r="I6332" s="222" t="s">
        <v>4634</v>
      </c>
      <c r="J6332" s="222" t="s">
        <v>21449</v>
      </c>
      <c r="K6332" s="222" t="s">
        <v>21450</v>
      </c>
      <c r="L6332" s="222" t="s">
        <v>21441</v>
      </c>
      <c r="M6332" s="222">
        <v>6</v>
      </c>
      <c r="N6332" s="222">
        <v>1</v>
      </c>
      <c r="O6332" s="222">
        <v>12</v>
      </c>
      <c r="P6332" s="222">
        <v>0</v>
      </c>
      <c r="Q6332" s="222">
        <v>6</v>
      </c>
      <c r="R6332" s="1195">
        <v>13</v>
      </c>
      <c r="S6332" s="1195">
        <f t="shared" si="350"/>
        <v>156</v>
      </c>
      <c r="T6332" s="222" t="s">
        <v>18479</v>
      </c>
      <c r="U6332" s="222" t="s">
        <v>20362</v>
      </c>
      <c r="V6332" s="222" t="s">
        <v>19258</v>
      </c>
      <c r="W6332" s="2242" t="s">
        <v>21451</v>
      </c>
      <c r="X6332" s="222"/>
      <c r="Y6332" s="1161"/>
    </row>
    <row r="6333" spans="1:25" ht="15.75" hidden="1" customHeight="1">
      <c r="A6333" s="222">
        <v>6342</v>
      </c>
      <c r="B6333" s="2324">
        <v>44956</v>
      </c>
      <c r="C6333" s="222" t="s">
        <v>21452</v>
      </c>
      <c r="D6333" s="10"/>
      <c r="E6333" s="818" t="s">
        <v>1031</v>
      </c>
      <c r="F6333" s="222" t="s">
        <v>19265</v>
      </c>
      <c r="G6333" s="222" t="s">
        <v>16641</v>
      </c>
      <c r="H6333" s="222" t="s">
        <v>184</v>
      </c>
      <c r="I6333" s="222" t="s">
        <v>4634</v>
      </c>
      <c r="J6333" s="222" t="s">
        <v>21453</v>
      </c>
      <c r="K6333" s="222" t="s">
        <v>6300</v>
      </c>
      <c r="L6333" s="222" t="s">
        <v>21441</v>
      </c>
      <c r="M6333" s="222">
        <v>48</v>
      </c>
      <c r="N6333" s="222">
        <v>1</v>
      </c>
      <c r="O6333" s="222">
        <v>60</v>
      </c>
      <c r="P6333" s="222">
        <v>0</v>
      </c>
      <c r="Q6333" s="222">
        <v>12</v>
      </c>
      <c r="R6333" s="1195">
        <v>157</v>
      </c>
      <c r="S6333" s="1195">
        <f t="shared" si="350"/>
        <v>9420</v>
      </c>
      <c r="T6333" s="222" t="s">
        <v>18479</v>
      </c>
      <c r="U6333" s="222" t="s">
        <v>20362</v>
      </c>
      <c r="V6333" s="222" t="s">
        <v>19258</v>
      </c>
      <c r="W6333" s="2242" t="s">
        <v>21454</v>
      </c>
      <c r="X6333" s="222"/>
      <c r="Y6333" s="1161"/>
    </row>
    <row r="6334" spans="1:25" ht="15.75" hidden="1" customHeight="1">
      <c r="A6334" s="222">
        <v>6343</v>
      </c>
      <c r="B6334" s="2324">
        <v>44956</v>
      </c>
      <c r="C6334" s="222" t="s">
        <v>16699</v>
      </c>
      <c r="D6334" s="10"/>
      <c r="E6334" s="818" t="s">
        <v>1031</v>
      </c>
      <c r="F6334" s="222" t="s">
        <v>19265</v>
      </c>
      <c r="G6334" s="222" t="s">
        <v>16700</v>
      </c>
      <c r="H6334" s="222"/>
      <c r="I6334" s="222" t="s">
        <v>17981</v>
      </c>
      <c r="J6334" s="222" t="s">
        <v>16702</v>
      </c>
      <c r="K6334" s="222" t="s">
        <v>16702</v>
      </c>
      <c r="L6334" s="222" t="s">
        <v>7678</v>
      </c>
      <c r="M6334" s="222">
        <v>36</v>
      </c>
      <c r="N6334" s="222" t="s">
        <v>21455</v>
      </c>
      <c r="O6334" s="222">
        <v>1</v>
      </c>
      <c r="P6334" s="222">
        <v>0</v>
      </c>
      <c r="Q6334" s="222">
        <v>64</v>
      </c>
      <c r="R6334" s="1195">
        <v>300</v>
      </c>
      <c r="S6334" s="1195">
        <f t="shared" si="350"/>
        <v>300</v>
      </c>
      <c r="T6334" s="222" t="s">
        <v>18479</v>
      </c>
      <c r="U6334" s="222" t="s">
        <v>20362</v>
      </c>
      <c r="V6334" s="222" t="s">
        <v>19258</v>
      </c>
      <c r="W6334" s="2322" t="s">
        <v>16704</v>
      </c>
      <c r="X6334" s="222"/>
      <c r="Y6334" s="1161"/>
    </row>
    <row r="6335" spans="1:25" ht="15.75" hidden="1" customHeight="1">
      <c r="A6335" s="222">
        <v>6344</v>
      </c>
      <c r="B6335" s="2324">
        <v>44958</v>
      </c>
      <c r="C6335" s="222" t="s">
        <v>21456</v>
      </c>
      <c r="D6335" s="10"/>
      <c r="E6335" s="818" t="s">
        <v>1031</v>
      </c>
      <c r="F6335" s="222" t="s">
        <v>15444</v>
      </c>
      <c r="G6335" s="1193" t="s">
        <v>21457</v>
      </c>
      <c r="H6335" s="222" t="s">
        <v>21458</v>
      </c>
      <c r="I6335" s="222" t="s">
        <v>4804</v>
      </c>
      <c r="J6335" s="222" t="s">
        <v>21459</v>
      </c>
      <c r="K6335" s="222" t="s">
        <v>18225</v>
      </c>
      <c r="L6335" s="222" t="s">
        <v>344</v>
      </c>
      <c r="M6335" s="222">
        <v>10</v>
      </c>
      <c r="N6335" s="222">
        <v>1</v>
      </c>
      <c r="O6335" s="222">
        <v>10</v>
      </c>
      <c r="P6335" s="222">
        <v>10</v>
      </c>
      <c r="Q6335" s="222">
        <v>10</v>
      </c>
      <c r="R6335" s="1195">
        <v>320</v>
      </c>
      <c r="S6335" s="1195">
        <f t="shared" si="350"/>
        <v>3200</v>
      </c>
      <c r="T6335" s="222" t="s">
        <v>2703</v>
      </c>
      <c r="U6335" s="222" t="s">
        <v>2703</v>
      </c>
      <c r="V6335" s="222" t="s">
        <v>19258</v>
      </c>
      <c r="W6335" s="222"/>
      <c r="X6335" s="222"/>
      <c r="Y6335" s="1161"/>
    </row>
    <row r="6336" spans="1:25" ht="15.75" hidden="1" customHeight="1">
      <c r="A6336" s="222">
        <v>6345</v>
      </c>
      <c r="B6336" s="2324">
        <v>44958</v>
      </c>
      <c r="C6336" s="222" t="s">
        <v>21460</v>
      </c>
      <c r="D6336" s="10"/>
      <c r="E6336" s="818" t="s">
        <v>1031</v>
      </c>
      <c r="F6336" s="222" t="s">
        <v>15444</v>
      </c>
      <c r="G6336" s="222" t="s">
        <v>21461</v>
      </c>
      <c r="H6336" s="222" t="s">
        <v>460</v>
      </c>
      <c r="I6336" s="222" t="s">
        <v>39</v>
      </c>
      <c r="J6336" s="222" t="s">
        <v>21462</v>
      </c>
      <c r="K6336" s="222" t="s">
        <v>21463</v>
      </c>
      <c r="L6336" s="1193" t="s">
        <v>21464</v>
      </c>
      <c r="M6336" s="222">
        <v>3</v>
      </c>
      <c r="N6336" s="222">
        <v>1</v>
      </c>
      <c r="O6336" s="222">
        <v>5</v>
      </c>
      <c r="P6336" s="222">
        <v>0</v>
      </c>
      <c r="Q6336" s="222">
        <v>2</v>
      </c>
      <c r="R6336" s="1195">
        <v>2885</v>
      </c>
      <c r="S6336" s="1195">
        <f t="shared" si="350"/>
        <v>14425</v>
      </c>
      <c r="T6336" s="222" t="s">
        <v>2703</v>
      </c>
      <c r="U6336" s="222" t="s">
        <v>2703</v>
      </c>
      <c r="V6336" s="222" t="s">
        <v>19258</v>
      </c>
      <c r="W6336" s="2323" t="s">
        <v>21465</v>
      </c>
      <c r="X6336" s="222"/>
      <c r="Y6336" s="1161"/>
    </row>
    <row r="6337" spans="1:25" ht="15.75" hidden="1" customHeight="1">
      <c r="A6337" s="222">
        <v>6346</v>
      </c>
      <c r="B6337" s="2324">
        <v>44958</v>
      </c>
      <c r="C6337" s="222" t="s">
        <v>21466</v>
      </c>
      <c r="D6337" s="10"/>
      <c r="E6337" s="818" t="s">
        <v>1031</v>
      </c>
      <c r="F6337" s="222" t="s">
        <v>15444</v>
      </c>
      <c r="G6337" s="222" t="s">
        <v>21467</v>
      </c>
      <c r="H6337" s="222" t="s">
        <v>578</v>
      </c>
      <c r="I6337" s="222" t="s">
        <v>39</v>
      </c>
      <c r="J6337" s="1193" t="s">
        <v>21468</v>
      </c>
      <c r="K6337" s="222" t="s">
        <v>21469</v>
      </c>
      <c r="L6337" s="222" t="s">
        <v>18231</v>
      </c>
      <c r="M6337" s="222">
        <v>150</v>
      </c>
      <c r="N6337" s="222">
        <v>4000</v>
      </c>
      <c r="O6337" s="222">
        <v>4000</v>
      </c>
      <c r="P6337" s="222">
        <v>0</v>
      </c>
      <c r="Q6337" s="222">
        <v>3850</v>
      </c>
      <c r="R6337" s="1195">
        <v>1.355</v>
      </c>
      <c r="S6337" s="1195">
        <f t="shared" si="350"/>
        <v>5420</v>
      </c>
      <c r="T6337" s="222" t="s">
        <v>2703</v>
      </c>
      <c r="U6337" s="222" t="s">
        <v>2703</v>
      </c>
      <c r="V6337" s="222" t="s">
        <v>19258</v>
      </c>
      <c r="W6337" s="2291" t="s">
        <v>21470</v>
      </c>
      <c r="X6337" s="222"/>
      <c r="Y6337" s="1161"/>
    </row>
    <row r="6338" spans="1:25" ht="15.75" hidden="1" customHeight="1">
      <c r="A6338" s="222">
        <v>6347</v>
      </c>
      <c r="B6338" s="2324">
        <v>44958</v>
      </c>
      <c r="C6338" s="222" t="s">
        <v>21471</v>
      </c>
      <c r="D6338" s="10"/>
      <c r="E6338" s="818" t="s">
        <v>1031</v>
      </c>
      <c r="F6338" s="222" t="s">
        <v>15444</v>
      </c>
      <c r="G6338" s="222" t="s">
        <v>18228</v>
      </c>
      <c r="H6338" s="222" t="s">
        <v>201</v>
      </c>
      <c r="I6338" s="222" t="s">
        <v>39</v>
      </c>
      <c r="J6338" s="1193" t="s">
        <v>21472</v>
      </c>
      <c r="K6338" s="222" t="s">
        <v>18230</v>
      </c>
      <c r="L6338" s="222" t="s">
        <v>18231</v>
      </c>
      <c r="M6338" s="222">
        <v>30</v>
      </c>
      <c r="N6338" s="222">
        <v>10</v>
      </c>
      <c r="O6338" s="222">
        <v>50</v>
      </c>
      <c r="P6338" s="222">
        <v>0</v>
      </c>
      <c r="Q6338" s="222">
        <v>20</v>
      </c>
      <c r="R6338" s="1195">
        <v>53.1</v>
      </c>
      <c r="S6338" s="1195">
        <f t="shared" si="350"/>
        <v>2655</v>
      </c>
      <c r="T6338" s="222" t="s">
        <v>2703</v>
      </c>
      <c r="U6338" s="222" t="s">
        <v>2703</v>
      </c>
      <c r="V6338" s="222" t="s">
        <v>19258</v>
      </c>
      <c r="W6338" s="2323" t="s">
        <v>21473</v>
      </c>
      <c r="X6338" s="222"/>
      <c r="Y6338" s="1161"/>
    </row>
    <row r="6339" spans="1:25" ht="15.75" hidden="1" customHeight="1">
      <c r="A6339" s="222">
        <v>6348</v>
      </c>
      <c r="B6339" s="2324">
        <v>44958</v>
      </c>
      <c r="C6339" s="222" t="s">
        <v>1455</v>
      </c>
      <c r="D6339" s="10"/>
      <c r="E6339" s="818" t="s">
        <v>1031</v>
      </c>
      <c r="F6339" s="222" t="s">
        <v>15444</v>
      </c>
      <c r="G6339" s="222" t="s">
        <v>1455</v>
      </c>
      <c r="H6339" s="1193" t="s">
        <v>21474</v>
      </c>
      <c r="I6339" s="222" t="s">
        <v>39</v>
      </c>
      <c r="J6339" s="1193" t="s">
        <v>21475</v>
      </c>
      <c r="K6339" s="1193" t="s">
        <v>21476</v>
      </c>
      <c r="L6339" s="1193" t="s">
        <v>21477</v>
      </c>
      <c r="M6339" s="222">
        <v>20</v>
      </c>
      <c r="N6339" s="222">
        <v>1</v>
      </c>
      <c r="O6339" s="222">
        <v>50</v>
      </c>
      <c r="P6339" s="222">
        <v>10</v>
      </c>
      <c r="Q6339" s="222">
        <v>60</v>
      </c>
      <c r="R6339" s="1195">
        <v>718.16</v>
      </c>
      <c r="S6339" s="1195">
        <f t="shared" si="350"/>
        <v>35908</v>
      </c>
      <c r="T6339" s="222" t="s">
        <v>2703</v>
      </c>
      <c r="U6339" s="222" t="s">
        <v>2703</v>
      </c>
      <c r="V6339" s="222" t="s">
        <v>19258</v>
      </c>
      <c r="W6339" s="2322" t="s">
        <v>21478</v>
      </c>
      <c r="X6339" s="222"/>
      <c r="Y6339" s="1161"/>
    </row>
    <row r="6340" spans="1:25" ht="15.75" hidden="1" customHeight="1">
      <c r="A6340" s="222">
        <v>6349</v>
      </c>
      <c r="B6340" s="2324">
        <v>44958</v>
      </c>
      <c r="C6340" s="222" t="s">
        <v>21479</v>
      </c>
      <c r="D6340" s="10"/>
      <c r="E6340" s="818" t="s">
        <v>1031</v>
      </c>
      <c r="F6340" s="222" t="s">
        <v>15444</v>
      </c>
      <c r="G6340" s="222" t="s">
        <v>21479</v>
      </c>
      <c r="H6340" s="222" t="s">
        <v>1715</v>
      </c>
      <c r="I6340" s="222" t="s">
        <v>21480</v>
      </c>
      <c r="J6340" s="222" t="s">
        <v>21481</v>
      </c>
      <c r="K6340" s="222" t="s">
        <v>21479</v>
      </c>
      <c r="L6340" s="1193" t="s">
        <v>21482</v>
      </c>
      <c r="M6340" s="222">
        <v>20</v>
      </c>
      <c r="N6340" s="222">
        <v>20</v>
      </c>
      <c r="O6340" s="222">
        <v>20</v>
      </c>
      <c r="P6340" s="222">
        <v>0</v>
      </c>
      <c r="Q6340" s="222">
        <v>0</v>
      </c>
      <c r="R6340" s="1195">
        <v>656</v>
      </c>
      <c r="S6340" s="1195">
        <f t="shared" si="350"/>
        <v>13120</v>
      </c>
      <c r="T6340" s="222" t="s">
        <v>2703</v>
      </c>
      <c r="U6340" s="222" t="s">
        <v>2703</v>
      </c>
      <c r="V6340" s="222" t="s">
        <v>19258</v>
      </c>
      <c r="W6340" s="2322" t="s">
        <v>21483</v>
      </c>
      <c r="X6340" s="222"/>
      <c r="Y6340" s="1161"/>
    </row>
    <row r="6341" spans="1:25" ht="15.75" hidden="1" customHeight="1">
      <c r="A6341" s="222">
        <v>6350</v>
      </c>
      <c r="B6341" s="2324">
        <v>44958</v>
      </c>
      <c r="C6341" s="222" t="s">
        <v>21484</v>
      </c>
      <c r="D6341" s="10"/>
      <c r="E6341" s="818" t="s">
        <v>1031</v>
      </c>
      <c r="F6341" s="222" t="s">
        <v>15444</v>
      </c>
      <c r="G6341" s="1193" t="s">
        <v>21485</v>
      </c>
      <c r="H6341" s="222" t="s">
        <v>21486</v>
      </c>
      <c r="I6341" s="222" t="s">
        <v>4804</v>
      </c>
      <c r="J6341" s="222" t="s">
        <v>21487</v>
      </c>
      <c r="K6341" s="222" t="s">
        <v>21488</v>
      </c>
      <c r="L6341" s="222" t="s">
        <v>21489</v>
      </c>
      <c r="M6341" s="222">
        <v>1</v>
      </c>
      <c r="N6341" s="222">
        <v>1</v>
      </c>
      <c r="O6341" s="222">
        <v>2</v>
      </c>
      <c r="P6341" s="222">
        <v>1</v>
      </c>
      <c r="Q6341" s="222">
        <v>1</v>
      </c>
      <c r="R6341" s="1195">
        <v>850</v>
      </c>
      <c r="S6341" s="1195">
        <f t="shared" si="350"/>
        <v>1700</v>
      </c>
      <c r="T6341" s="222" t="s">
        <v>2703</v>
      </c>
      <c r="U6341" s="222" t="s">
        <v>2703</v>
      </c>
      <c r="V6341" s="222" t="s">
        <v>19258</v>
      </c>
      <c r="W6341" s="2322" t="s">
        <v>21490</v>
      </c>
      <c r="X6341" s="222"/>
      <c r="Y6341" s="1161"/>
    </row>
    <row r="6342" spans="1:25" ht="15.75" hidden="1" customHeight="1">
      <c r="A6342" s="222">
        <v>6351</v>
      </c>
      <c r="B6342" s="2324">
        <v>44958</v>
      </c>
      <c r="C6342" s="222" t="s">
        <v>21491</v>
      </c>
      <c r="D6342" s="10"/>
      <c r="E6342" s="818" t="s">
        <v>1031</v>
      </c>
      <c r="F6342" s="222" t="s">
        <v>15444</v>
      </c>
      <c r="G6342" s="222" t="s">
        <v>21492</v>
      </c>
      <c r="H6342" s="222" t="s">
        <v>17980</v>
      </c>
      <c r="I6342" s="222" t="s">
        <v>4804</v>
      </c>
      <c r="J6342" s="222" t="s">
        <v>21493</v>
      </c>
      <c r="K6342" s="1193" t="s">
        <v>21494</v>
      </c>
      <c r="L6342" s="222"/>
      <c r="M6342" s="222">
        <v>1</v>
      </c>
      <c r="N6342" s="222">
        <v>1</v>
      </c>
      <c r="O6342" s="222">
        <v>1</v>
      </c>
      <c r="P6342" s="222">
        <v>2</v>
      </c>
      <c r="Q6342" s="222">
        <v>1</v>
      </c>
      <c r="R6342" s="1195">
        <v>33800</v>
      </c>
      <c r="S6342" s="1195">
        <f t="shared" si="350"/>
        <v>33800</v>
      </c>
      <c r="T6342" s="222" t="s">
        <v>2703</v>
      </c>
      <c r="U6342" s="222" t="s">
        <v>2703</v>
      </c>
      <c r="V6342" s="222" t="s">
        <v>19258</v>
      </c>
      <c r="W6342" s="2322" t="s">
        <v>21495</v>
      </c>
      <c r="X6342" s="222"/>
      <c r="Y6342" s="1161"/>
    </row>
    <row r="6343" spans="1:25" ht="15.75" hidden="1" customHeight="1">
      <c r="A6343" s="222">
        <v>6352</v>
      </c>
      <c r="B6343" s="2324">
        <v>44958</v>
      </c>
      <c r="C6343" s="222" t="s">
        <v>1819</v>
      </c>
      <c r="D6343" s="10"/>
      <c r="E6343" s="818" t="s">
        <v>1031</v>
      </c>
      <c r="F6343" s="222" t="s">
        <v>15444</v>
      </c>
      <c r="G6343" s="222" t="s">
        <v>21496</v>
      </c>
      <c r="H6343" s="222" t="s">
        <v>1478</v>
      </c>
      <c r="I6343" s="222" t="s">
        <v>4804</v>
      </c>
      <c r="J6343" s="222" t="s">
        <v>4805</v>
      </c>
      <c r="K6343" s="222"/>
      <c r="L6343" s="222"/>
      <c r="M6343" s="222">
        <v>3</v>
      </c>
      <c r="N6343" s="222">
        <v>1</v>
      </c>
      <c r="O6343" s="222">
        <v>50</v>
      </c>
      <c r="P6343" s="222">
        <v>1</v>
      </c>
      <c r="Q6343" s="222">
        <v>40</v>
      </c>
      <c r="R6343" s="1195">
        <v>80</v>
      </c>
      <c r="S6343" s="1195">
        <f t="shared" si="350"/>
        <v>4000</v>
      </c>
      <c r="T6343" s="222" t="s">
        <v>2703</v>
      </c>
      <c r="U6343" s="222" t="s">
        <v>2703</v>
      </c>
      <c r="V6343" s="222" t="s">
        <v>19258</v>
      </c>
      <c r="W6343" s="2322" t="s">
        <v>11845</v>
      </c>
      <c r="X6343" s="222"/>
      <c r="Y6343" s="1161"/>
    </row>
    <row r="6344" spans="1:25" ht="15.75" hidden="1" customHeight="1">
      <c r="A6344" s="222">
        <v>6353</v>
      </c>
      <c r="B6344" s="2324">
        <v>44958</v>
      </c>
      <c r="C6344" s="222" t="s">
        <v>8556</v>
      </c>
      <c r="D6344" s="10"/>
      <c r="E6344" s="818" t="s">
        <v>1031</v>
      </c>
      <c r="F6344" s="222" t="s">
        <v>15444</v>
      </c>
      <c r="G6344" s="222" t="s">
        <v>21497</v>
      </c>
      <c r="H6344" s="1193" t="s">
        <v>1478</v>
      </c>
      <c r="I6344" s="222" t="s">
        <v>4804</v>
      </c>
      <c r="J6344" s="222" t="s">
        <v>1479</v>
      </c>
      <c r="K6344" s="222"/>
      <c r="L6344" s="222"/>
      <c r="M6344" s="222">
        <v>3</v>
      </c>
      <c r="N6344" s="222">
        <v>1</v>
      </c>
      <c r="O6344" s="222">
        <v>50</v>
      </c>
      <c r="P6344" s="222">
        <v>1</v>
      </c>
      <c r="Q6344" s="222">
        <v>40</v>
      </c>
      <c r="R6344" s="1195">
        <v>35</v>
      </c>
      <c r="S6344" s="1195">
        <f t="shared" si="350"/>
        <v>1750</v>
      </c>
      <c r="T6344" s="222" t="s">
        <v>2703</v>
      </c>
      <c r="U6344" s="222" t="s">
        <v>2703</v>
      </c>
      <c r="V6344" s="222" t="s">
        <v>19258</v>
      </c>
      <c r="W6344" s="2322" t="s">
        <v>10998</v>
      </c>
      <c r="X6344" s="222"/>
      <c r="Y6344" s="1161"/>
    </row>
    <row r="6345" spans="1:25" ht="15.75" hidden="1" customHeight="1">
      <c r="A6345" s="222">
        <v>6354</v>
      </c>
      <c r="B6345" s="2324">
        <v>44958</v>
      </c>
      <c r="C6345" s="222" t="s">
        <v>3466</v>
      </c>
      <c r="D6345" s="10"/>
      <c r="E6345" s="818" t="s">
        <v>1031</v>
      </c>
      <c r="F6345" s="222" t="s">
        <v>15444</v>
      </c>
      <c r="G6345" s="222" t="s">
        <v>21498</v>
      </c>
      <c r="H6345" s="222" t="s">
        <v>12842</v>
      </c>
      <c r="I6345" s="222" t="s">
        <v>113</v>
      </c>
      <c r="J6345" s="222">
        <v>6393606</v>
      </c>
      <c r="K6345" s="222"/>
      <c r="L6345" s="222" t="s">
        <v>21499</v>
      </c>
      <c r="M6345" s="222">
        <v>1</v>
      </c>
      <c r="N6345" s="222">
        <v>1</v>
      </c>
      <c r="O6345" s="222">
        <v>20</v>
      </c>
      <c r="P6345" s="222">
        <v>0</v>
      </c>
      <c r="Q6345" s="222">
        <v>9</v>
      </c>
      <c r="R6345" s="1195">
        <v>1790</v>
      </c>
      <c r="S6345" s="1195">
        <f t="shared" si="350"/>
        <v>35800</v>
      </c>
      <c r="T6345" s="222" t="s">
        <v>2703</v>
      </c>
      <c r="U6345" s="222" t="s">
        <v>2703</v>
      </c>
      <c r="V6345" s="222" t="s">
        <v>19258</v>
      </c>
      <c r="W6345" s="2322" t="s">
        <v>21500</v>
      </c>
      <c r="X6345" s="222"/>
      <c r="Y6345" s="1161"/>
    </row>
    <row r="6346" spans="1:25" ht="15.75" hidden="1" customHeight="1">
      <c r="A6346" s="222">
        <v>6355</v>
      </c>
      <c r="B6346" s="2324">
        <v>44958</v>
      </c>
      <c r="C6346" s="222" t="s">
        <v>21501</v>
      </c>
      <c r="D6346" s="10"/>
      <c r="E6346" s="818" t="s">
        <v>1031</v>
      </c>
      <c r="F6346" s="222" t="s">
        <v>15444</v>
      </c>
      <c r="G6346" s="222" t="s">
        <v>21502</v>
      </c>
      <c r="H6346" s="222" t="s">
        <v>12842</v>
      </c>
      <c r="I6346" s="222" t="s">
        <v>113</v>
      </c>
      <c r="J6346" s="222">
        <v>12122626</v>
      </c>
      <c r="K6346" s="222"/>
      <c r="L6346" s="222" t="s">
        <v>21503</v>
      </c>
      <c r="M6346" s="222">
        <v>1</v>
      </c>
      <c r="N6346" s="222">
        <v>1</v>
      </c>
      <c r="O6346" s="222">
        <v>1</v>
      </c>
      <c r="P6346" s="222">
        <v>0</v>
      </c>
      <c r="Q6346" s="222">
        <v>0</v>
      </c>
      <c r="R6346" s="1195">
        <v>9990</v>
      </c>
      <c r="S6346" s="1195">
        <f t="shared" si="350"/>
        <v>9990</v>
      </c>
      <c r="T6346" s="222" t="s">
        <v>2703</v>
      </c>
      <c r="U6346" s="222" t="s">
        <v>2703</v>
      </c>
      <c r="V6346" s="222" t="s">
        <v>19258</v>
      </c>
      <c r="W6346" s="2322" t="s">
        <v>21504</v>
      </c>
      <c r="X6346" s="222"/>
      <c r="Y6346" s="1161"/>
    </row>
    <row r="6347" spans="1:25" ht="15.75" hidden="1" customHeight="1">
      <c r="A6347" s="222">
        <v>6356</v>
      </c>
      <c r="B6347" s="2324">
        <v>44958</v>
      </c>
      <c r="C6347" s="222" t="s">
        <v>21505</v>
      </c>
      <c r="D6347" s="10"/>
      <c r="E6347" s="818" t="s">
        <v>1031</v>
      </c>
      <c r="F6347" s="222" t="s">
        <v>15444</v>
      </c>
      <c r="G6347" s="222" t="s">
        <v>21506</v>
      </c>
      <c r="H6347" s="222" t="s">
        <v>9456</v>
      </c>
      <c r="I6347" s="222" t="s">
        <v>113</v>
      </c>
      <c r="J6347" s="222">
        <v>59409708</v>
      </c>
      <c r="K6347" s="222"/>
      <c r="L6347" s="222" t="s">
        <v>21507</v>
      </c>
      <c r="M6347" s="222">
        <v>1</v>
      </c>
      <c r="N6347" s="222">
        <v>1</v>
      </c>
      <c r="O6347" s="222">
        <v>1</v>
      </c>
      <c r="P6347" s="222">
        <v>0</v>
      </c>
      <c r="Q6347" s="222">
        <v>0</v>
      </c>
      <c r="R6347" s="1195">
        <v>4990</v>
      </c>
      <c r="S6347" s="1195">
        <f t="shared" si="350"/>
        <v>4990</v>
      </c>
      <c r="T6347" s="222" t="s">
        <v>2703</v>
      </c>
      <c r="U6347" s="222" t="s">
        <v>2703</v>
      </c>
      <c r="V6347" s="222" t="s">
        <v>19258</v>
      </c>
      <c r="W6347" s="2322" t="s">
        <v>21508</v>
      </c>
      <c r="X6347" s="222"/>
      <c r="Y6347" s="1161"/>
    </row>
    <row r="6348" spans="1:25" ht="15.75" hidden="1" customHeight="1">
      <c r="A6348" s="222">
        <v>6357</v>
      </c>
      <c r="B6348" s="2324">
        <v>44958</v>
      </c>
      <c r="C6348" s="222" t="s">
        <v>21509</v>
      </c>
      <c r="D6348" s="10"/>
      <c r="E6348" s="818" t="s">
        <v>1031</v>
      </c>
      <c r="F6348" s="222" t="s">
        <v>15444</v>
      </c>
      <c r="G6348" s="222" t="s">
        <v>21509</v>
      </c>
      <c r="H6348" s="222" t="s">
        <v>8535</v>
      </c>
      <c r="I6348" s="222" t="s">
        <v>113</v>
      </c>
      <c r="J6348" s="222">
        <v>10054256</v>
      </c>
      <c r="K6348" s="222"/>
      <c r="L6348" s="222" t="s">
        <v>21510</v>
      </c>
      <c r="M6348" s="222">
        <v>1</v>
      </c>
      <c r="N6348" s="222">
        <v>1</v>
      </c>
      <c r="O6348" s="222">
        <v>1</v>
      </c>
      <c r="P6348" s="222">
        <v>0</v>
      </c>
      <c r="Q6348" s="222">
        <v>0</v>
      </c>
      <c r="R6348" s="1195">
        <v>1590</v>
      </c>
      <c r="S6348" s="1195">
        <f t="shared" si="350"/>
        <v>1590</v>
      </c>
      <c r="T6348" s="222" t="s">
        <v>18479</v>
      </c>
      <c r="U6348" s="222" t="s">
        <v>2703</v>
      </c>
      <c r="V6348" s="222" t="s">
        <v>19258</v>
      </c>
      <c r="W6348" s="2322" t="s">
        <v>21511</v>
      </c>
      <c r="X6348" s="222"/>
      <c r="Y6348" s="1161"/>
    </row>
    <row r="6349" spans="1:25" ht="15.75" hidden="1" customHeight="1">
      <c r="A6349" s="222">
        <v>6358</v>
      </c>
      <c r="B6349" s="2324">
        <v>44958</v>
      </c>
      <c r="C6349" s="222" t="s">
        <v>1595</v>
      </c>
      <c r="D6349" s="10"/>
      <c r="E6349" s="818" t="s">
        <v>1031</v>
      </c>
      <c r="F6349" s="222" t="s">
        <v>15444</v>
      </c>
      <c r="G6349" s="222" t="s">
        <v>21512</v>
      </c>
      <c r="H6349" s="222" t="s">
        <v>4841</v>
      </c>
      <c r="I6349" s="222" t="s">
        <v>4804</v>
      </c>
      <c r="J6349" s="222" t="s">
        <v>1598</v>
      </c>
      <c r="K6349" s="222" t="s">
        <v>1599</v>
      </c>
      <c r="L6349" s="222" t="s">
        <v>21513</v>
      </c>
      <c r="M6349" s="222">
        <v>20</v>
      </c>
      <c r="N6349" s="222">
        <v>1</v>
      </c>
      <c r="O6349" s="222">
        <v>50</v>
      </c>
      <c r="P6349" s="222">
        <v>0</v>
      </c>
      <c r="Q6349" s="222">
        <v>20</v>
      </c>
      <c r="R6349" s="1195">
        <v>20</v>
      </c>
      <c r="S6349" s="1195">
        <f t="shared" si="350"/>
        <v>1000</v>
      </c>
      <c r="T6349" s="222" t="s">
        <v>2703</v>
      </c>
      <c r="U6349" s="222" t="s">
        <v>2703</v>
      </c>
      <c r="V6349" s="222" t="s">
        <v>19258</v>
      </c>
      <c r="W6349" s="2322" t="s">
        <v>21514</v>
      </c>
      <c r="X6349" s="222"/>
      <c r="Y6349" s="1161"/>
    </row>
    <row r="6350" spans="1:25" ht="15.75" hidden="1" customHeight="1">
      <c r="A6350" s="222">
        <v>6359</v>
      </c>
      <c r="B6350" s="2324">
        <v>44958</v>
      </c>
      <c r="C6350" s="222" t="s">
        <v>21515</v>
      </c>
      <c r="D6350" s="10"/>
      <c r="E6350" s="818" t="s">
        <v>1031</v>
      </c>
      <c r="F6350" s="222" t="s">
        <v>15444</v>
      </c>
      <c r="G6350" s="222" t="s">
        <v>21516</v>
      </c>
      <c r="H6350" s="222" t="s">
        <v>4841</v>
      </c>
      <c r="I6350" s="222" t="s">
        <v>4804</v>
      </c>
      <c r="J6350" s="222" t="s">
        <v>21171</v>
      </c>
      <c r="K6350" s="222" t="s">
        <v>21172</v>
      </c>
      <c r="L6350" s="222" t="s">
        <v>21517</v>
      </c>
      <c r="M6350" s="222">
        <v>1</v>
      </c>
      <c r="N6350" s="222">
        <v>1</v>
      </c>
      <c r="O6350" s="222">
        <v>5</v>
      </c>
      <c r="P6350" s="222">
        <v>0</v>
      </c>
      <c r="Q6350" s="222">
        <v>4</v>
      </c>
      <c r="R6350" s="1195">
        <v>100</v>
      </c>
      <c r="S6350" s="1195">
        <f t="shared" si="350"/>
        <v>500</v>
      </c>
      <c r="T6350" s="222" t="s">
        <v>2703</v>
      </c>
      <c r="U6350" s="222" t="s">
        <v>2703</v>
      </c>
      <c r="V6350" s="222" t="s">
        <v>19258</v>
      </c>
      <c r="W6350" s="2322" t="s">
        <v>21173</v>
      </c>
      <c r="X6350" s="222"/>
      <c r="Y6350" s="1161"/>
    </row>
    <row r="6351" spans="1:25" ht="15.75" hidden="1" customHeight="1">
      <c r="A6351" s="222">
        <v>6360</v>
      </c>
      <c r="B6351" s="2324">
        <v>44958</v>
      </c>
      <c r="C6351" s="222" t="s">
        <v>21518</v>
      </c>
      <c r="D6351" s="10"/>
      <c r="E6351" s="818" t="s">
        <v>1031</v>
      </c>
      <c r="F6351" s="222" t="s">
        <v>15444</v>
      </c>
      <c r="G6351" s="222" t="s">
        <v>21519</v>
      </c>
      <c r="H6351" s="222" t="s">
        <v>4841</v>
      </c>
      <c r="I6351" s="222" t="s">
        <v>4804</v>
      </c>
      <c r="J6351" s="222" t="s">
        <v>21520</v>
      </c>
      <c r="K6351" s="222" t="s">
        <v>21521</v>
      </c>
      <c r="L6351" s="222" t="s">
        <v>21522</v>
      </c>
      <c r="M6351" s="222">
        <v>1</v>
      </c>
      <c r="N6351" s="222">
        <v>1</v>
      </c>
      <c r="O6351" s="222">
        <v>5</v>
      </c>
      <c r="P6351" s="222">
        <v>0</v>
      </c>
      <c r="Q6351" s="222">
        <v>4</v>
      </c>
      <c r="R6351" s="1195">
        <v>120</v>
      </c>
      <c r="S6351" s="1195">
        <f t="shared" si="350"/>
        <v>600</v>
      </c>
      <c r="T6351" s="222" t="s">
        <v>2703</v>
      </c>
      <c r="U6351" s="222" t="s">
        <v>2703</v>
      </c>
      <c r="V6351" s="222" t="s">
        <v>19258</v>
      </c>
      <c r="W6351" s="2322" t="s">
        <v>21523</v>
      </c>
      <c r="X6351" s="222"/>
      <c r="Y6351" s="1161"/>
    </row>
    <row r="6352" spans="1:25" ht="15.75" hidden="1" customHeight="1">
      <c r="A6352" s="222">
        <v>6361</v>
      </c>
      <c r="B6352" s="2324">
        <v>44958</v>
      </c>
      <c r="C6352" s="222" t="s">
        <v>21524</v>
      </c>
      <c r="D6352" s="10"/>
      <c r="E6352" s="818" t="s">
        <v>1031</v>
      </c>
      <c r="F6352" s="222" t="s">
        <v>15444</v>
      </c>
      <c r="G6352" s="222" t="s">
        <v>21525</v>
      </c>
      <c r="H6352" s="222" t="s">
        <v>4841</v>
      </c>
      <c r="I6352" s="222" t="s">
        <v>4804</v>
      </c>
      <c r="J6352" s="222" t="s">
        <v>21526</v>
      </c>
      <c r="K6352" s="222" t="s">
        <v>21527</v>
      </c>
      <c r="L6352" s="222" t="s">
        <v>21517</v>
      </c>
      <c r="M6352" s="222">
        <v>1</v>
      </c>
      <c r="N6352" s="222">
        <v>1</v>
      </c>
      <c r="O6352" s="222">
        <v>5</v>
      </c>
      <c r="P6352" s="222">
        <v>0</v>
      </c>
      <c r="Q6352" s="222">
        <v>4</v>
      </c>
      <c r="R6352" s="1195">
        <v>80</v>
      </c>
      <c r="S6352" s="1195">
        <f t="shared" si="350"/>
        <v>400</v>
      </c>
      <c r="T6352" s="222" t="s">
        <v>2703</v>
      </c>
      <c r="U6352" s="222" t="s">
        <v>2703</v>
      </c>
      <c r="V6352" s="222" t="s">
        <v>19258</v>
      </c>
      <c r="W6352" s="2322" t="s">
        <v>21528</v>
      </c>
      <c r="X6352" s="222"/>
      <c r="Y6352" s="1161"/>
    </row>
    <row r="6353" spans="1:25" ht="15.75" hidden="1" customHeight="1">
      <c r="A6353" s="222">
        <v>6362</v>
      </c>
      <c r="B6353" s="2324">
        <v>44958</v>
      </c>
      <c r="C6353" s="222" t="s">
        <v>9479</v>
      </c>
      <c r="D6353" s="222"/>
      <c r="E6353" s="222"/>
      <c r="F6353" s="222" t="s">
        <v>15444</v>
      </c>
      <c r="G6353" s="222" t="s">
        <v>21529</v>
      </c>
      <c r="H6353" s="222" t="s">
        <v>9483</v>
      </c>
      <c r="I6353" s="222" t="s">
        <v>113</v>
      </c>
      <c r="J6353" s="222">
        <v>56420716</v>
      </c>
      <c r="K6353" s="222" t="s">
        <v>9484</v>
      </c>
      <c r="L6353" s="222" t="s">
        <v>21530</v>
      </c>
      <c r="M6353" s="222">
        <v>1</v>
      </c>
      <c r="N6353" s="222">
        <v>1</v>
      </c>
      <c r="O6353" s="222">
        <v>1</v>
      </c>
      <c r="P6353" s="222">
        <v>0</v>
      </c>
      <c r="Q6353" s="222">
        <v>1</v>
      </c>
      <c r="R6353" s="1195">
        <v>18900</v>
      </c>
      <c r="S6353" s="1195">
        <f t="shared" ref="S6353:S6369" si="351">R6353*O6353</f>
        <v>18900</v>
      </c>
      <c r="T6353" s="222" t="s">
        <v>18479</v>
      </c>
      <c r="U6353" s="222" t="s">
        <v>2703</v>
      </c>
      <c r="V6353" s="222" t="s">
        <v>19258</v>
      </c>
      <c r="W6353" s="2247" t="s">
        <v>21531</v>
      </c>
      <c r="X6353" s="222"/>
      <c r="Y6353" s="1161"/>
    </row>
    <row r="6354" spans="1:25" ht="15.75" hidden="1" customHeight="1">
      <c r="A6354" s="222">
        <v>6363</v>
      </c>
      <c r="B6354" s="2324">
        <v>44958</v>
      </c>
      <c r="C6354" s="222" t="s">
        <v>21532</v>
      </c>
      <c r="D6354" s="10"/>
      <c r="E6354" s="818" t="s">
        <v>1031</v>
      </c>
      <c r="F6354" s="222" t="s">
        <v>15444</v>
      </c>
      <c r="G6354" s="222" t="s">
        <v>21533</v>
      </c>
      <c r="H6354" s="222" t="s">
        <v>1150</v>
      </c>
      <c r="I6354" s="222" t="s">
        <v>113</v>
      </c>
      <c r="J6354" s="222">
        <v>9252984</v>
      </c>
      <c r="K6354" s="222" t="s">
        <v>21534</v>
      </c>
      <c r="L6354" s="222" t="s">
        <v>21535</v>
      </c>
      <c r="M6354" s="222">
        <v>2</v>
      </c>
      <c r="N6354" s="222">
        <v>1</v>
      </c>
      <c r="O6354" s="222">
        <v>2</v>
      </c>
      <c r="P6354" s="222">
        <v>0</v>
      </c>
      <c r="Q6354" s="222">
        <v>2</v>
      </c>
      <c r="R6354" s="1195">
        <v>2990</v>
      </c>
      <c r="S6354" s="1195">
        <f t="shared" si="351"/>
        <v>5980</v>
      </c>
      <c r="T6354" s="222" t="s">
        <v>18479</v>
      </c>
      <c r="U6354" s="222" t="s">
        <v>2703</v>
      </c>
      <c r="V6354" s="222" t="s">
        <v>19258</v>
      </c>
      <c r="W6354" s="2322" t="s">
        <v>21536</v>
      </c>
      <c r="X6354" s="222"/>
      <c r="Y6354" s="1161"/>
    </row>
    <row r="6355" spans="1:25" ht="15.75" hidden="1" customHeight="1">
      <c r="A6355" s="222">
        <v>6364</v>
      </c>
      <c r="B6355" s="2324">
        <v>44958</v>
      </c>
      <c r="C6355" s="222" t="s">
        <v>21537</v>
      </c>
      <c r="D6355" s="10"/>
      <c r="E6355" s="818" t="s">
        <v>1031</v>
      </c>
      <c r="F6355" s="222" t="s">
        <v>15444</v>
      </c>
      <c r="G6355" s="222" t="s">
        <v>21537</v>
      </c>
      <c r="H6355" s="222" t="s">
        <v>17899</v>
      </c>
      <c r="I6355" s="222" t="s">
        <v>113</v>
      </c>
      <c r="J6355" s="222">
        <v>49019582</v>
      </c>
      <c r="K6355" s="222" t="s">
        <v>11371</v>
      </c>
      <c r="L6355" s="222" t="s">
        <v>20449</v>
      </c>
      <c r="M6355" s="222">
        <v>3</v>
      </c>
      <c r="N6355" s="222">
        <v>1</v>
      </c>
      <c r="O6355" s="222">
        <v>3</v>
      </c>
      <c r="P6355" s="222">
        <v>1</v>
      </c>
      <c r="Q6355" s="222">
        <v>1</v>
      </c>
      <c r="R6355" s="1195">
        <v>399</v>
      </c>
      <c r="S6355" s="1195">
        <f t="shared" si="351"/>
        <v>1197</v>
      </c>
      <c r="T6355" s="222" t="s">
        <v>2703</v>
      </c>
      <c r="U6355" s="222" t="s">
        <v>2703</v>
      </c>
      <c r="V6355" s="222" t="s">
        <v>19258</v>
      </c>
      <c r="W6355" s="2322" t="s">
        <v>21538</v>
      </c>
      <c r="X6355" s="222"/>
      <c r="Y6355" s="1161"/>
    </row>
    <row r="6356" spans="1:25" ht="15.75" hidden="1" customHeight="1">
      <c r="A6356" s="222">
        <v>6365</v>
      </c>
      <c r="B6356" s="2324">
        <v>44958</v>
      </c>
      <c r="C6356" s="222" t="s">
        <v>21539</v>
      </c>
      <c r="D6356" s="10"/>
      <c r="E6356" s="818" t="s">
        <v>1031</v>
      </c>
      <c r="F6356" s="222" t="s">
        <v>15444</v>
      </c>
      <c r="G6356" s="222" t="s">
        <v>21540</v>
      </c>
      <c r="H6356" s="1193" t="s">
        <v>21541</v>
      </c>
      <c r="I6356" s="222" t="s">
        <v>39</v>
      </c>
      <c r="J6356" s="222" t="s">
        <v>21542</v>
      </c>
      <c r="K6356" s="222" t="s">
        <v>21543</v>
      </c>
      <c r="L6356" s="222" t="s">
        <v>21544</v>
      </c>
      <c r="M6356" s="222">
        <v>20</v>
      </c>
      <c r="N6356" s="222">
        <v>20</v>
      </c>
      <c r="O6356" s="222">
        <v>60</v>
      </c>
      <c r="P6356" s="222">
        <v>0</v>
      </c>
      <c r="Q6356" s="222">
        <v>0</v>
      </c>
      <c r="R6356" s="1195">
        <v>107.85</v>
      </c>
      <c r="S6356" s="1195">
        <f t="shared" si="351"/>
        <v>6471</v>
      </c>
      <c r="T6356" s="222" t="s">
        <v>2703</v>
      </c>
      <c r="U6356" s="222" t="s">
        <v>2703</v>
      </c>
      <c r="V6356" s="222" t="s">
        <v>19258</v>
      </c>
      <c r="W6356" s="2322" t="s">
        <v>21545</v>
      </c>
      <c r="X6356" s="222"/>
      <c r="Y6356" s="1161"/>
    </row>
    <row r="6357" spans="1:25" ht="15.75" hidden="1" customHeight="1">
      <c r="A6357" s="222">
        <v>6366</v>
      </c>
      <c r="B6357" s="2324">
        <v>44959</v>
      </c>
      <c r="C6357" s="222" t="s">
        <v>21546</v>
      </c>
      <c r="D6357" s="8" t="s">
        <v>6</v>
      </c>
      <c r="E6357" s="818" t="s">
        <v>1031</v>
      </c>
      <c r="F6357" s="222" t="s">
        <v>15444</v>
      </c>
      <c r="G6357" s="863" t="s">
        <v>21546</v>
      </c>
      <c r="H6357" s="222" t="s">
        <v>1379</v>
      </c>
      <c r="I6357" s="222" t="s">
        <v>1379</v>
      </c>
      <c r="J6357" s="183"/>
      <c r="K6357" s="183"/>
      <c r="L6357" s="613"/>
      <c r="M6357" s="183">
        <v>1</v>
      </c>
      <c r="N6357" s="183">
        <v>1</v>
      </c>
      <c r="O6357" s="222">
        <v>2</v>
      </c>
      <c r="P6357" s="222">
        <v>0</v>
      </c>
      <c r="Q6357" s="222">
        <v>2</v>
      </c>
      <c r="R6357" s="1195">
        <v>63038</v>
      </c>
      <c r="S6357" s="1195">
        <v>63038</v>
      </c>
      <c r="T6357" s="222" t="s">
        <v>18479</v>
      </c>
      <c r="U6357" s="222" t="s">
        <v>2703</v>
      </c>
      <c r="V6357" s="222" t="s">
        <v>19258</v>
      </c>
      <c r="W6357" s="2322"/>
      <c r="X6357" s="222"/>
      <c r="Y6357" s="1161"/>
    </row>
    <row r="6358" spans="1:25" ht="15.75" hidden="1" customHeight="1">
      <c r="A6358" s="222">
        <v>6367</v>
      </c>
      <c r="B6358" s="2324">
        <v>44960</v>
      </c>
      <c r="C6358" s="2320" t="s">
        <v>21547</v>
      </c>
      <c r="D6358" s="818"/>
      <c r="E6358" s="818"/>
      <c r="F6358" s="1006" t="s">
        <v>404</v>
      </c>
      <c r="G6358" s="2320" t="s">
        <v>21547</v>
      </c>
      <c r="H6358" s="222" t="s">
        <v>14238</v>
      </c>
      <c r="I6358" s="222" t="s">
        <v>14238</v>
      </c>
      <c r="J6358" s="222" t="s">
        <v>21548</v>
      </c>
      <c r="K6358" s="818"/>
      <c r="L6358" s="222"/>
      <c r="M6358" s="222">
        <v>5</v>
      </c>
      <c r="N6358" s="222">
        <v>1</v>
      </c>
      <c r="O6358" s="222">
        <v>5</v>
      </c>
      <c r="P6358" s="222">
        <v>0</v>
      </c>
      <c r="Q6358" s="222">
        <v>0</v>
      </c>
      <c r="R6358" s="1195">
        <v>16071</v>
      </c>
      <c r="S6358" s="1195">
        <f t="shared" si="351"/>
        <v>80355</v>
      </c>
      <c r="T6358" s="222" t="s">
        <v>18416</v>
      </c>
      <c r="U6358" s="222" t="s">
        <v>12265</v>
      </c>
      <c r="V6358" s="222" t="s">
        <v>21549</v>
      </c>
      <c r="W6358" s="2323" t="s">
        <v>21550</v>
      </c>
      <c r="X6358" s="818"/>
      <c r="Y6358" s="1161"/>
    </row>
    <row r="6359" spans="1:25" ht="15.75" hidden="1" customHeight="1">
      <c r="A6359" s="222">
        <v>6368</v>
      </c>
      <c r="B6359" s="2324">
        <v>44960</v>
      </c>
      <c r="C6359" s="2320" t="s">
        <v>21551</v>
      </c>
      <c r="D6359" s="818"/>
      <c r="E6359" s="818"/>
      <c r="F6359" s="1006" t="s">
        <v>404</v>
      </c>
      <c r="G6359" s="2320" t="s">
        <v>21551</v>
      </c>
      <c r="H6359" s="222" t="s">
        <v>14238</v>
      </c>
      <c r="I6359" s="222" t="s">
        <v>14238</v>
      </c>
      <c r="J6359" s="222" t="s">
        <v>21552</v>
      </c>
      <c r="K6359" s="818"/>
      <c r="L6359" s="222"/>
      <c r="M6359" s="222">
        <v>5</v>
      </c>
      <c r="N6359" s="222">
        <v>1</v>
      </c>
      <c r="O6359" s="222">
        <v>5</v>
      </c>
      <c r="P6359" s="222">
        <v>0</v>
      </c>
      <c r="Q6359" s="222">
        <v>0</v>
      </c>
      <c r="R6359" s="1195">
        <v>18955</v>
      </c>
      <c r="S6359" s="1195">
        <f t="shared" si="351"/>
        <v>94775</v>
      </c>
      <c r="T6359" s="222" t="s">
        <v>18416</v>
      </c>
      <c r="U6359" s="222" t="s">
        <v>12265</v>
      </c>
      <c r="V6359" s="222" t="s">
        <v>21549</v>
      </c>
      <c r="W6359" s="2323" t="s">
        <v>21550</v>
      </c>
      <c r="X6359" s="818"/>
      <c r="Y6359" s="1161"/>
    </row>
    <row r="6360" spans="1:25" ht="15.75" hidden="1" customHeight="1">
      <c r="A6360" s="222">
        <v>6369</v>
      </c>
      <c r="B6360" s="2324"/>
      <c r="C6360" s="2320"/>
      <c r="D6360" s="818"/>
      <c r="E6360" s="818"/>
      <c r="F6360" s="1006"/>
      <c r="G6360" s="818"/>
      <c r="H6360" s="818"/>
      <c r="I6360" s="222"/>
      <c r="J6360" s="222"/>
      <c r="K6360" s="818"/>
      <c r="L6360" s="222"/>
      <c r="M6360" s="222"/>
      <c r="N6360" s="222"/>
      <c r="O6360" s="222"/>
      <c r="P6360" s="222"/>
      <c r="Q6360" s="222"/>
      <c r="R6360" s="1195"/>
      <c r="S6360" s="1195">
        <f t="shared" si="351"/>
        <v>0</v>
      </c>
      <c r="T6360" s="222"/>
      <c r="U6360" s="222"/>
      <c r="W6360" s="818"/>
      <c r="X6360" s="818"/>
      <c r="Y6360" s="1161"/>
    </row>
    <row r="6361" spans="1:25" ht="15.75" hidden="1" customHeight="1">
      <c r="A6361" s="222">
        <v>6370</v>
      </c>
      <c r="B6361" s="2324"/>
      <c r="C6361" s="2320"/>
      <c r="D6361" s="818"/>
      <c r="E6361" s="818"/>
      <c r="F6361" s="1006"/>
      <c r="G6361" s="818"/>
      <c r="H6361" s="818"/>
      <c r="I6361" s="222"/>
      <c r="J6361" s="222"/>
      <c r="K6361" s="818"/>
      <c r="L6361" s="222"/>
      <c r="M6361" s="222"/>
      <c r="N6361" s="222"/>
      <c r="O6361" s="222"/>
      <c r="P6361" s="222"/>
      <c r="Q6361" s="222"/>
      <c r="R6361" s="1195"/>
      <c r="S6361" s="1195">
        <f t="shared" si="351"/>
        <v>0</v>
      </c>
      <c r="T6361" s="222"/>
      <c r="U6361" s="222"/>
      <c r="W6361" s="818"/>
      <c r="X6361" s="818"/>
      <c r="Y6361" s="1161"/>
    </row>
    <row r="6362" spans="1:25" ht="15.75" hidden="1" customHeight="1">
      <c r="C6362" s="1535"/>
      <c r="D6362" s="1161"/>
      <c r="E6362" s="1161"/>
      <c r="F6362" s="1535"/>
      <c r="G6362" s="1161"/>
      <c r="H6362" s="1161"/>
      <c r="I6362" s="1121"/>
      <c r="J6362" s="1121"/>
      <c r="K6362" s="1161"/>
      <c r="L6362" s="1121"/>
      <c r="M6362" s="1121"/>
      <c r="N6362" s="1121"/>
      <c r="O6362" s="1121"/>
      <c r="P6362" s="1121"/>
      <c r="Q6362" s="1121"/>
      <c r="R6362" s="2328"/>
      <c r="S6362" s="1435">
        <f t="shared" si="351"/>
        <v>0</v>
      </c>
      <c r="T6362" s="1121"/>
      <c r="V6362" s="1428"/>
      <c r="X6362" s="1161"/>
    </row>
    <row r="6363" spans="1:25" ht="15.75" hidden="1" customHeight="1">
      <c r="S6363" s="1195">
        <f t="shared" si="351"/>
        <v>0</v>
      </c>
    </row>
    <row r="6364" spans="1:25" ht="15.75" hidden="1" customHeight="1">
      <c r="S6364" s="1195">
        <f t="shared" si="351"/>
        <v>0</v>
      </c>
    </row>
    <row r="6365" spans="1:25" ht="15.75" hidden="1" customHeight="1">
      <c r="S6365" s="1195">
        <f t="shared" si="351"/>
        <v>0</v>
      </c>
    </row>
    <row r="6366" spans="1:25" ht="15.75" hidden="1" customHeight="1">
      <c r="S6366" s="1195">
        <f t="shared" si="351"/>
        <v>0</v>
      </c>
    </row>
    <row r="6367" spans="1:25" ht="15.75" hidden="1" customHeight="1">
      <c r="S6367" s="1195">
        <f t="shared" si="351"/>
        <v>0</v>
      </c>
    </row>
    <row r="6368" spans="1:25" ht="15.75" hidden="1" customHeight="1">
      <c r="S6368" s="1195">
        <f t="shared" si="351"/>
        <v>0</v>
      </c>
    </row>
    <row r="6369" spans="19:19" ht="15.75" hidden="1" customHeight="1">
      <c r="S6369" s="1195">
        <f t="shared" si="351"/>
        <v>0</v>
      </c>
    </row>
  </sheetData>
  <autoFilter ref="A9:AZ6369" xr:uid="{00000000-0009-0000-0000-000000000000}">
    <filterColumn colId="2">
      <filters>
        <filter val="OCP"/>
      </filters>
    </filterColumn>
  </autoFilter>
  <customSheetViews>
    <customSheetView guid="{4ED59AE7-2B13-4519-853E-B1A779B91DEC}" filter="1" showAutoFilter="1">
      <pageMargins left="0" right="0" top="0" bottom="0" header="0" footer="0"/>
      <autoFilter ref="A9:W12" xr:uid="{B2C803B2-D810-4D2A-BD43-EB66282554B6}"/>
    </customSheetView>
    <customSheetView guid="{53E84CB6-49EF-4026-A1BD-2E0AD56DB957}" filter="1" showAutoFilter="1">
      <pageMargins left="0" right="0" top="0" bottom="0" header="0" footer="0"/>
      <autoFilter ref="A4:A5" xr:uid="{0CC19310-C874-40C1-9D6E-6D467EDD359B}"/>
    </customSheetView>
    <customSheetView guid="{DA7C584E-10B5-4B11-A8CE-B2B25DB5E0E3}" filter="1" showAutoFilter="1">
      <pageMargins left="0" right="0" top="0" bottom="0" header="0" footer="0"/>
      <autoFilter ref="A9:X12" xr:uid="{D12EC0B8-E6E7-4AF7-9332-4FD1FEC2CCB7}"/>
    </customSheetView>
  </customSheetViews>
  <mergeCells count="35">
    <mergeCell ref="K3072:L3072"/>
    <mergeCell ref="K3073:L3073"/>
    <mergeCell ref="H17:H18"/>
    <mergeCell ref="I17:I18"/>
    <mergeCell ref="J17:J18"/>
    <mergeCell ref="K17:K18"/>
    <mergeCell ref="L17:L18"/>
    <mergeCell ref="B17:B18"/>
    <mergeCell ref="C17:C18"/>
    <mergeCell ref="E17:E18"/>
    <mergeCell ref="F17:F18"/>
    <mergeCell ref="G17:G18"/>
    <mergeCell ref="M17:M18"/>
    <mergeCell ref="N17:N18"/>
    <mergeCell ref="O17:O18"/>
    <mergeCell ref="P17:P18"/>
    <mergeCell ref="Q17:Q18"/>
    <mergeCell ref="T17:T18"/>
    <mergeCell ref="U17:U18"/>
    <mergeCell ref="V17:V18"/>
    <mergeCell ref="W17:W18"/>
    <mergeCell ref="U1443:U1444"/>
    <mergeCell ref="V1443:V1444"/>
    <mergeCell ref="W2976:X2976"/>
    <mergeCell ref="W2977:X2977"/>
    <mergeCell ref="W2978:X2978"/>
    <mergeCell ref="W2979:X2979"/>
    <mergeCell ref="W2980:X2980"/>
    <mergeCell ref="W2986:X2986"/>
    <mergeCell ref="W2987:X2987"/>
    <mergeCell ref="W2981:X2981"/>
    <mergeCell ref="W2982:X2982"/>
    <mergeCell ref="W2983:X2983"/>
    <mergeCell ref="W2984:X2984"/>
    <mergeCell ref="W2985:X2985"/>
  </mergeCells>
  <phoneticPr fontId="256"/>
  <conditionalFormatting sqref="R15:S15">
    <cfRule type="colorScale" priority="1">
      <colorScale>
        <cfvo type="min"/>
        <cfvo type="max"/>
        <color rgb="FF57BB8A"/>
        <color rgb="FFFFFFFF"/>
      </colorScale>
    </cfRule>
  </conditionalFormatting>
  <conditionalFormatting sqref="D6">
    <cfRule type="notContainsBlanks" dxfId="0" priority="2">
      <formula>LEN(TRIM(D6))&gt;0</formula>
    </cfRule>
  </conditionalFormatting>
  <hyperlinks>
    <hyperlink ref="W10" r:id="rId1" xr:uid="{00000000-0004-0000-0000-000000000000}"/>
    <hyperlink ref="W11" r:id="rId2" xr:uid="{00000000-0004-0000-0000-000001000000}"/>
    <hyperlink ref="W12" r:id="rId3" xr:uid="{00000000-0004-0000-0000-000002000000}"/>
    <hyperlink ref="W15" r:id="rId4" xr:uid="{00000000-0004-0000-0000-000003000000}"/>
    <hyperlink ref="W16" r:id="rId5" xr:uid="{00000000-0004-0000-0000-000004000000}"/>
    <hyperlink ref="W17" r:id="rId6" xr:uid="{00000000-0004-0000-0000-000005000000}"/>
    <hyperlink ref="W20" r:id="rId7" xr:uid="{00000000-0004-0000-0000-000006000000}"/>
    <hyperlink ref="W21" r:id="rId8" xr:uid="{00000000-0004-0000-0000-000007000000}"/>
    <hyperlink ref="C22" r:id="rId9" xr:uid="{00000000-0004-0000-0000-000008000000}"/>
    <hyperlink ref="W22" r:id="rId10" xr:uid="{00000000-0004-0000-0000-000009000000}"/>
    <hyperlink ref="W25" r:id="rId11" xr:uid="{00000000-0004-0000-0000-00000A000000}"/>
    <hyperlink ref="W26" r:id="rId12" xr:uid="{00000000-0004-0000-0000-00000B000000}"/>
    <hyperlink ref="W27" r:id="rId13" xr:uid="{00000000-0004-0000-0000-00000C000000}"/>
    <hyperlink ref="W28" r:id="rId14" xr:uid="{00000000-0004-0000-0000-00000D000000}"/>
    <hyperlink ref="W29" r:id="rId15" xr:uid="{00000000-0004-0000-0000-00000E000000}"/>
    <hyperlink ref="W30" r:id="rId16" xr:uid="{00000000-0004-0000-0000-00000F000000}"/>
    <hyperlink ref="W31" r:id="rId17" xr:uid="{00000000-0004-0000-0000-000010000000}"/>
    <hyperlink ref="W32" r:id="rId18" xr:uid="{00000000-0004-0000-0000-000011000000}"/>
    <hyperlink ref="W33" r:id="rId19" xr:uid="{00000000-0004-0000-0000-000012000000}"/>
    <hyperlink ref="W34" r:id="rId20" xr:uid="{00000000-0004-0000-0000-000013000000}"/>
    <hyperlink ref="W35" r:id="rId21" xr:uid="{00000000-0004-0000-0000-000014000000}"/>
    <hyperlink ref="W36" r:id="rId22" xr:uid="{00000000-0004-0000-0000-000015000000}"/>
    <hyperlink ref="W37" r:id="rId23" xr:uid="{00000000-0004-0000-0000-000016000000}"/>
    <hyperlink ref="W38" r:id="rId24" xr:uid="{00000000-0004-0000-0000-000017000000}"/>
    <hyperlink ref="W39" r:id="rId25" xr:uid="{00000000-0004-0000-0000-000018000000}"/>
    <hyperlink ref="W40" r:id="rId26" xr:uid="{00000000-0004-0000-0000-000019000000}"/>
    <hyperlink ref="W41" r:id="rId27" xr:uid="{00000000-0004-0000-0000-00001A000000}"/>
    <hyperlink ref="W42" r:id="rId28" xr:uid="{00000000-0004-0000-0000-00001B000000}"/>
    <hyperlink ref="W43" r:id="rId29" xr:uid="{00000000-0004-0000-0000-00001C000000}"/>
    <hyperlink ref="W44" r:id="rId30" xr:uid="{00000000-0004-0000-0000-00001D000000}"/>
    <hyperlink ref="W45" r:id="rId31" xr:uid="{00000000-0004-0000-0000-00001E000000}"/>
    <hyperlink ref="W46" r:id="rId32" xr:uid="{00000000-0004-0000-0000-00001F000000}"/>
    <hyperlink ref="W47" r:id="rId33" xr:uid="{00000000-0004-0000-0000-000020000000}"/>
    <hyperlink ref="W48" r:id="rId34" xr:uid="{00000000-0004-0000-0000-000021000000}"/>
    <hyperlink ref="W49" r:id="rId35" xr:uid="{00000000-0004-0000-0000-000022000000}"/>
    <hyperlink ref="W50" r:id="rId36" xr:uid="{00000000-0004-0000-0000-000023000000}"/>
    <hyperlink ref="W57" r:id="rId37" xr:uid="{00000000-0004-0000-0000-000024000000}"/>
    <hyperlink ref="W58" r:id="rId38" xr:uid="{00000000-0004-0000-0000-000025000000}"/>
    <hyperlink ref="W60" r:id="rId39" xr:uid="{00000000-0004-0000-0000-000026000000}"/>
    <hyperlink ref="W61" r:id="rId40" xr:uid="{00000000-0004-0000-0000-000027000000}"/>
    <hyperlink ref="W62" r:id="rId41" xr:uid="{00000000-0004-0000-0000-000028000000}"/>
    <hyperlink ref="W63" r:id="rId42" xr:uid="{00000000-0004-0000-0000-000029000000}"/>
    <hyperlink ref="W64" r:id="rId43" xr:uid="{00000000-0004-0000-0000-00002A000000}"/>
    <hyperlink ref="W65" r:id="rId44" xr:uid="{00000000-0004-0000-0000-00002B000000}"/>
    <hyperlink ref="W66" r:id="rId45" xr:uid="{00000000-0004-0000-0000-00002C000000}"/>
    <hyperlink ref="W67" r:id="rId46" xr:uid="{00000000-0004-0000-0000-00002D000000}"/>
    <hyperlink ref="W68" r:id="rId47" xr:uid="{00000000-0004-0000-0000-00002E000000}"/>
    <hyperlink ref="W69" r:id="rId48" xr:uid="{00000000-0004-0000-0000-00002F000000}"/>
    <hyperlink ref="W70" r:id="rId49" xr:uid="{00000000-0004-0000-0000-000030000000}"/>
    <hyperlink ref="W71" r:id="rId50" xr:uid="{00000000-0004-0000-0000-000031000000}"/>
    <hyperlink ref="W72" r:id="rId51" xr:uid="{00000000-0004-0000-0000-000032000000}"/>
    <hyperlink ref="W73" r:id="rId52" xr:uid="{00000000-0004-0000-0000-000033000000}"/>
    <hyperlink ref="W74" r:id="rId53" xr:uid="{00000000-0004-0000-0000-000034000000}"/>
    <hyperlink ref="W75" r:id="rId54" xr:uid="{00000000-0004-0000-0000-000035000000}"/>
    <hyperlink ref="W76" r:id="rId55" xr:uid="{00000000-0004-0000-0000-000036000000}"/>
    <hyperlink ref="W77" r:id="rId56" xr:uid="{00000000-0004-0000-0000-000037000000}"/>
    <hyperlink ref="W78" r:id="rId57" xr:uid="{00000000-0004-0000-0000-000038000000}"/>
    <hyperlink ref="W79" r:id="rId58" xr:uid="{00000000-0004-0000-0000-000039000000}"/>
    <hyperlink ref="W80" r:id="rId59" xr:uid="{00000000-0004-0000-0000-00003A000000}"/>
    <hyperlink ref="W81" r:id="rId60" xr:uid="{00000000-0004-0000-0000-00003B000000}"/>
    <hyperlink ref="W82" r:id="rId61" xr:uid="{00000000-0004-0000-0000-00003C000000}"/>
    <hyperlink ref="W83" r:id="rId62" xr:uid="{00000000-0004-0000-0000-00003D000000}"/>
    <hyperlink ref="W84" r:id="rId63" xr:uid="{00000000-0004-0000-0000-00003E000000}"/>
    <hyperlink ref="W85" r:id="rId64" xr:uid="{00000000-0004-0000-0000-00003F000000}"/>
    <hyperlink ref="W86" r:id="rId65" xr:uid="{00000000-0004-0000-0000-000040000000}"/>
    <hyperlink ref="W87" r:id="rId66" xr:uid="{00000000-0004-0000-0000-000041000000}"/>
    <hyperlink ref="W88" r:id="rId67" xr:uid="{00000000-0004-0000-0000-000042000000}"/>
    <hyperlink ref="W89" r:id="rId68" xr:uid="{00000000-0004-0000-0000-000043000000}"/>
    <hyperlink ref="W90" r:id="rId69" xr:uid="{00000000-0004-0000-0000-000044000000}"/>
    <hyperlink ref="W91" r:id="rId70" xr:uid="{00000000-0004-0000-0000-000045000000}"/>
    <hyperlink ref="W92" r:id="rId71" xr:uid="{00000000-0004-0000-0000-000046000000}"/>
    <hyperlink ref="W93" r:id="rId72" xr:uid="{00000000-0004-0000-0000-000047000000}"/>
    <hyperlink ref="W95" r:id="rId73" xr:uid="{00000000-0004-0000-0000-000048000000}"/>
    <hyperlink ref="W96" r:id="rId74" xr:uid="{00000000-0004-0000-0000-000049000000}"/>
    <hyperlink ref="W97" r:id="rId75" xr:uid="{00000000-0004-0000-0000-00004A000000}"/>
    <hyperlink ref="W98" r:id="rId76" xr:uid="{00000000-0004-0000-0000-00004B000000}"/>
    <hyperlink ref="W99" r:id="rId77" xr:uid="{00000000-0004-0000-0000-00004C000000}"/>
    <hyperlink ref="W100" r:id="rId78" xr:uid="{00000000-0004-0000-0000-00004D000000}"/>
    <hyperlink ref="W101" r:id="rId79" xr:uid="{00000000-0004-0000-0000-00004E000000}"/>
    <hyperlink ref="W102" r:id="rId80" xr:uid="{00000000-0004-0000-0000-00004F000000}"/>
    <hyperlink ref="W103" r:id="rId81" xr:uid="{00000000-0004-0000-0000-000050000000}"/>
    <hyperlink ref="W104" r:id="rId82" xr:uid="{00000000-0004-0000-0000-000051000000}"/>
    <hyperlink ref="W105" r:id="rId83" xr:uid="{00000000-0004-0000-0000-000052000000}"/>
    <hyperlink ref="W106" r:id="rId84" xr:uid="{00000000-0004-0000-0000-000053000000}"/>
    <hyperlink ref="W107" r:id="rId85" xr:uid="{00000000-0004-0000-0000-000054000000}"/>
    <hyperlink ref="W108" r:id="rId86" xr:uid="{00000000-0004-0000-0000-000055000000}"/>
    <hyperlink ref="W109" r:id="rId87" xr:uid="{00000000-0004-0000-0000-000056000000}"/>
    <hyperlink ref="W110" r:id="rId88" xr:uid="{00000000-0004-0000-0000-000057000000}"/>
    <hyperlink ref="W111" r:id="rId89" xr:uid="{00000000-0004-0000-0000-000058000000}"/>
    <hyperlink ref="W112" r:id="rId90" xr:uid="{00000000-0004-0000-0000-000059000000}"/>
    <hyperlink ref="W113" r:id="rId91" xr:uid="{00000000-0004-0000-0000-00005A000000}"/>
    <hyperlink ref="W114" r:id="rId92" xr:uid="{00000000-0004-0000-0000-00005B000000}"/>
    <hyperlink ref="W115" r:id="rId93" xr:uid="{00000000-0004-0000-0000-00005C000000}"/>
    <hyperlink ref="W116" r:id="rId94" xr:uid="{00000000-0004-0000-0000-00005D000000}"/>
    <hyperlink ref="W118" r:id="rId95" xr:uid="{00000000-0004-0000-0000-00005E000000}"/>
    <hyperlink ref="W119" r:id="rId96" xr:uid="{00000000-0004-0000-0000-00005F000000}"/>
    <hyperlink ref="W120" r:id="rId97" xr:uid="{00000000-0004-0000-0000-000060000000}"/>
    <hyperlink ref="W122" r:id="rId98" xr:uid="{00000000-0004-0000-0000-000061000000}"/>
    <hyperlink ref="W123" r:id="rId99" xr:uid="{00000000-0004-0000-0000-000062000000}"/>
    <hyperlink ref="W124" r:id="rId100" xr:uid="{00000000-0004-0000-0000-000063000000}"/>
    <hyperlink ref="W125" r:id="rId101" xr:uid="{00000000-0004-0000-0000-000064000000}"/>
    <hyperlink ref="W126" r:id="rId102" xr:uid="{00000000-0004-0000-0000-000065000000}"/>
    <hyperlink ref="W127" r:id="rId103" xr:uid="{00000000-0004-0000-0000-000066000000}"/>
    <hyperlink ref="W128" r:id="rId104" xr:uid="{00000000-0004-0000-0000-000067000000}"/>
    <hyperlink ref="W129" r:id="rId105" xr:uid="{00000000-0004-0000-0000-000068000000}"/>
    <hyperlink ref="W130" r:id="rId106" xr:uid="{00000000-0004-0000-0000-000069000000}"/>
    <hyperlink ref="W131" r:id="rId107" xr:uid="{00000000-0004-0000-0000-00006A000000}"/>
    <hyperlink ref="W132" r:id="rId108" xr:uid="{00000000-0004-0000-0000-00006B000000}"/>
    <hyperlink ref="W133" r:id="rId109" xr:uid="{00000000-0004-0000-0000-00006C000000}"/>
    <hyperlink ref="W134" r:id="rId110" xr:uid="{00000000-0004-0000-0000-00006D000000}"/>
    <hyperlink ref="W135" r:id="rId111" xr:uid="{00000000-0004-0000-0000-00006E000000}"/>
    <hyperlink ref="W136" r:id="rId112" xr:uid="{00000000-0004-0000-0000-00006F000000}"/>
    <hyperlink ref="W137" r:id="rId113" xr:uid="{00000000-0004-0000-0000-000070000000}"/>
    <hyperlink ref="W138" r:id="rId114" xr:uid="{00000000-0004-0000-0000-000071000000}"/>
    <hyperlink ref="W139" r:id="rId115" xr:uid="{00000000-0004-0000-0000-000072000000}"/>
    <hyperlink ref="W140" r:id="rId116" xr:uid="{00000000-0004-0000-0000-000073000000}"/>
    <hyperlink ref="W141" r:id="rId117" xr:uid="{00000000-0004-0000-0000-000074000000}"/>
    <hyperlink ref="W142" r:id="rId118" xr:uid="{00000000-0004-0000-0000-000075000000}"/>
    <hyperlink ref="W143" r:id="rId119" xr:uid="{00000000-0004-0000-0000-000076000000}"/>
    <hyperlink ref="W144" r:id="rId120" xr:uid="{00000000-0004-0000-0000-000077000000}"/>
    <hyperlink ref="W145" r:id="rId121" xr:uid="{00000000-0004-0000-0000-000078000000}"/>
    <hyperlink ref="W146" r:id="rId122" xr:uid="{00000000-0004-0000-0000-000079000000}"/>
    <hyperlink ref="W147" r:id="rId123" xr:uid="{00000000-0004-0000-0000-00007A000000}"/>
    <hyperlink ref="W148" r:id="rId124" xr:uid="{00000000-0004-0000-0000-00007B000000}"/>
    <hyperlink ref="W149" r:id="rId125" xr:uid="{00000000-0004-0000-0000-00007C000000}"/>
    <hyperlink ref="W150" r:id="rId126" xr:uid="{00000000-0004-0000-0000-00007D000000}"/>
    <hyperlink ref="W151" r:id="rId127" xr:uid="{00000000-0004-0000-0000-00007E000000}"/>
    <hyperlink ref="W152" r:id="rId128" xr:uid="{00000000-0004-0000-0000-00007F000000}"/>
    <hyperlink ref="W153" r:id="rId129" xr:uid="{00000000-0004-0000-0000-000080000000}"/>
    <hyperlink ref="W154" r:id="rId130" xr:uid="{00000000-0004-0000-0000-000081000000}"/>
    <hyperlink ref="W155" r:id="rId131" xr:uid="{00000000-0004-0000-0000-000082000000}"/>
    <hyperlink ref="W156" r:id="rId132" xr:uid="{00000000-0004-0000-0000-000083000000}"/>
    <hyperlink ref="W157" r:id="rId133" xr:uid="{00000000-0004-0000-0000-000084000000}"/>
    <hyperlink ref="W158" r:id="rId134" xr:uid="{00000000-0004-0000-0000-000085000000}"/>
    <hyperlink ref="W161" r:id="rId135" xr:uid="{00000000-0004-0000-0000-000086000000}"/>
    <hyperlink ref="W164" r:id="rId136" xr:uid="{00000000-0004-0000-0000-000087000000}"/>
    <hyperlink ref="W165" r:id="rId137" xr:uid="{00000000-0004-0000-0000-000088000000}"/>
    <hyperlink ref="W166" r:id="rId138" xr:uid="{00000000-0004-0000-0000-000089000000}"/>
    <hyperlink ref="W167" r:id="rId139" xr:uid="{00000000-0004-0000-0000-00008A000000}"/>
    <hyperlink ref="W169" r:id="rId140" xr:uid="{00000000-0004-0000-0000-00008B000000}"/>
    <hyperlink ref="W187" r:id="rId141" xr:uid="{00000000-0004-0000-0000-00008C000000}"/>
    <hyperlink ref="W188" r:id="rId142" xr:uid="{00000000-0004-0000-0000-00008D000000}"/>
    <hyperlink ref="W189" r:id="rId143" xr:uid="{00000000-0004-0000-0000-00008E000000}"/>
    <hyperlink ref="W190" r:id="rId144" xr:uid="{00000000-0004-0000-0000-00008F000000}"/>
    <hyperlink ref="W191" r:id="rId145" xr:uid="{00000000-0004-0000-0000-000090000000}"/>
    <hyperlink ref="W192" r:id="rId146" xr:uid="{00000000-0004-0000-0000-000091000000}"/>
    <hyperlink ref="W194" r:id="rId147" xr:uid="{00000000-0004-0000-0000-000092000000}"/>
    <hyperlink ref="W195" r:id="rId148" xr:uid="{00000000-0004-0000-0000-000093000000}"/>
    <hyperlink ref="W196" r:id="rId149" xr:uid="{00000000-0004-0000-0000-000094000000}"/>
    <hyperlink ref="W198" r:id="rId150" xr:uid="{00000000-0004-0000-0000-000095000000}"/>
    <hyperlink ref="W199" r:id="rId151" xr:uid="{00000000-0004-0000-0000-000096000000}"/>
    <hyperlink ref="W201" r:id="rId152" xr:uid="{00000000-0004-0000-0000-000097000000}"/>
    <hyperlink ref="W208" r:id="rId153" xr:uid="{00000000-0004-0000-0000-000098000000}"/>
    <hyperlink ref="W209" r:id="rId154" xr:uid="{00000000-0004-0000-0000-000099000000}"/>
    <hyperlink ref="W210" r:id="rId155" xr:uid="{00000000-0004-0000-0000-00009A000000}"/>
    <hyperlink ref="W211" r:id="rId156" xr:uid="{00000000-0004-0000-0000-00009B000000}"/>
    <hyperlink ref="W212" r:id="rId157" xr:uid="{00000000-0004-0000-0000-00009C000000}"/>
    <hyperlink ref="W213" r:id="rId158" xr:uid="{00000000-0004-0000-0000-00009D000000}"/>
    <hyperlink ref="W214" r:id="rId159" xr:uid="{00000000-0004-0000-0000-00009E000000}"/>
    <hyperlink ref="W215" r:id="rId160" xr:uid="{00000000-0004-0000-0000-00009F000000}"/>
    <hyperlink ref="W216" r:id="rId161" xr:uid="{00000000-0004-0000-0000-0000A0000000}"/>
    <hyperlink ref="W219" r:id="rId162" xr:uid="{00000000-0004-0000-0000-0000A1000000}"/>
    <hyperlink ref="W220" r:id="rId163" xr:uid="{00000000-0004-0000-0000-0000A2000000}"/>
    <hyperlink ref="W221" r:id="rId164" xr:uid="{00000000-0004-0000-0000-0000A3000000}"/>
    <hyperlink ref="W222" r:id="rId165" xr:uid="{00000000-0004-0000-0000-0000A4000000}"/>
    <hyperlink ref="W223" r:id="rId166" xr:uid="{00000000-0004-0000-0000-0000A5000000}"/>
    <hyperlink ref="W224" r:id="rId167" xr:uid="{00000000-0004-0000-0000-0000A6000000}"/>
    <hyperlink ref="W225" r:id="rId168" xr:uid="{00000000-0004-0000-0000-0000A7000000}"/>
    <hyperlink ref="W226" r:id="rId169" xr:uid="{00000000-0004-0000-0000-0000A8000000}"/>
    <hyperlink ref="W227" r:id="rId170" xr:uid="{00000000-0004-0000-0000-0000A9000000}"/>
    <hyperlink ref="W234" r:id="rId171" xr:uid="{00000000-0004-0000-0000-0000AA000000}"/>
    <hyperlink ref="W235" r:id="rId172" xr:uid="{00000000-0004-0000-0000-0000AB000000}"/>
    <hyperlink ref="W236" r:id="rId173" xr:uid="{00000000-0004-0000-0000-0000AC000000}"/>
    <hyperlink ref="W237" r:id="rId174" xr:uid="{00000000-0004-0000-0000-0000AD000000}"/>
    <hyperlink ref="W238" r:id="rId175" xr:uid="{00000000-0004-0000-0000-0000AE000000}"/>
    <hyperlink ref="W239" r:id="rId176" xr:uid="{00000000-0004-0000-0000-0000AF000000}"/>
    <hyperlink ref="W240" r:id="rId177" xr:uid="{00000000-0004-0000-0000-0000B0000000}"/>
    <hyperlink ref="W241" r:id="rId178" xr:uid="{00000000-0004-0000-0000-0000B1000000}"/>
    <hyperlink ref="W242" r:id="rId179" xr:uid="{00000000-0004-0000-0000-0000B2000000}"/>
    <hyperlink ref="W243" r:id="rId180" xr:uid="{00000000-0004-0000-0000-0000B3000000}"/>
    <hyperlink ref="W245" r:id="rId181" xr:uid="{00000000-0004-0000-0000-0000B4000000}"/>
    <hyperlink ref="W248" r:id="rId182" xr:uid="{00000000-0004-0000-0000-0000B5000000}"/>
    <hyperlink ref="W249" r:id="rId183" xr:uid="{00000000-0004-0000-0000-0000B6000000}"/>
    <hyperlink ref="W250" r:id="rId184" xr:uid="{00000000-0004-0000-0000-0000B7000000}"/>
    <hyperlink ref="W252" r:id="rId185" xr:uid="{00000000-0004-0000-0000-0000B8000000}"/>
    <hyperlink ref="W253" r:id="rId186" xr:uid="{00000000-0004-0000-0000-0000B9000000}"/>
    <hyperlink ref="W254" r:id="rId187" xr:uid="{00000000-0004-0000-0000-0000BA000000}"/>
    <hyperlink ref="W255" r:id="rId188" xr:uid="{00000000-0004-0000-0000-0000BB000000}"/>
    <hyperlink ref="W257" r:id="rId189" xr:uid="{00000000-0004-0000-0000-0000BC000000}"/>
    <hyperlink ref="W258" r:id="rId190" xr:uid="{00000000-0004-0000-0000-0000BD000000}"/>
    <hyperlink ref="W259" r:id="rId191" xr:uid="{00000000-0004-0000-0000-0000BE000000}"/>
    <hyperlink ref="W260" r:id="rId192" xr:uid="{00000000-0004-0000-0000-0000BF000000}"/>
    <hyperlink ref="W261" r:id="rId193" xr:uid="{00000000-0004-0000-0000-0000C0000000}"/>
    <hyperlink ref="W262" r:id="rId194" xr:uid="{00000000-0004-0000-0000-0000C1000000}"/>
    <hyperlink ref="W263" r:id="rId195" xr:uid="{00000000-0004-0000-0000-0000C2000000}"/>
    <hyperlink ref="W264" r:id="rId196" xr:uid="{00000000-0004-0000-0000-0000C3000000}"/>
    <hyperlink ref="W265" r:id="rId197" xr:uid="{00000000-0004-0000-0000-0000C4000000}"/>
    <hyperlink ref="W266" r:id="rId198" xr:uid="{00000000-0004-0000-0000-0000C5000000}"/>
    <hyperlink ref="W267" r:id="rId199" xr:uid="{00000000-0004-0000-0000-0000C6000000}"/>
    <hyperlink ref="W269" r:id="rId200" xr:uid="{00000000-0004-0000-0000-0000C7000000}"/>
    <hyperlink ref="W270" r:id="rId201" xr:uid="{00000000-0004-0000-0000-0000C8000000}"/>
    <hyperlink ref="W271" r:id="rId202" xr:uid="{00000000-0004-0000-0000-0000C9000000}"/>
    <hyperlink ref="W272" r:id="rId203" xr:uid="{00000000-0004-0000-0000-0000CA000000}"/>
    <hyperlink ref="W273" r:id="rId204" xr:uid="{00000000-0004-0000-0000-0000CB000000}"/>
    <hyperlink ref="W274" r:id="rId205" xr:uid="{00000000-0004-0000-0000-0000CC000000}"/>
    <hyperlink ref="W275" r:id="rId206" xr:uid="{00000000-0004-0000-0000-0000CD000000}"/>
    <hyperlink ref="W276" r:id="rId207" xr:uid="{00000000-0004-0000-0000-0000CE000000}"/>
    <hyperlink ref="W277" r:id="rId208" xr:uid="{00000000-0004-0000-0000-0000CF000000}"/>
    <hyperlink ref="W279" r:id="rId209" xr:uid="{00000000-0004-0000-0000-0000D0000000}"/>
    <hyperlink ref="W280" r:id="rId210" xr:uid="{00000000-0004-0000-0000-0000D1000000}"/>
    <hyperlink ref="W281" r:id="rId211" xr:uid="{00000000-0004-0000-0000-0000D2000000}"/>
    <hyperlink ref="W282" r:id="rId212" xr:uid="{00000000-0004-0000-0000-0000D3000000}"/>
    <hyperlink ref="W283" r:id="rId213" xr:uid="{00000000-0004-0000-0000-0000D4000000}"/>
    <hyperlink ref="W285" r:id="rId214" xr:uid="{00000000-0004-0000-0000-0000D5000000}"/>
    <hyperlink ref="W286" r:id="rId215" xr:uid="{00000000-0004-0000-0000-0000D6000000}"/>
    <hyperlink ref="W287" r:id="rId216" xr:uid="{00000000-0004-0000-0000-0000D7000000}"/>
    <hyperlink ref="W288" r:id="rId217" xr:uid="{00000000-0004-0000-0000-0000D8000000}"/>
    <hyperlink ref="W289" r:id="rId218" xr:uid="{00000000-0004-0000-0000-0000D9000000}"/>
    <hyperlink ref="W290" r:id="rId219" xr:uid="{00000000-0004-0000-0000-0000DA000000}"/>
    <hyperlink ref="W291" r:id="rId220" xr:uid="{00000000-0004-0000-0000-0000DB000000}"/>
    <hyperlink ref="W292" r:id="rId221" xr:uid="{00000000-0004-0000-0000-0000DC000000}"/>
    <hyperlink ref="W293" r:id="rId222" xr:uid="{00000000-0004-0000-0000-0000DD000000}"/>
    <hyperlink ref="W294" r:id="rId223" xr:uid="{00000000-0004-0000-0000-0000DE000000}"/>
    <hyperlink ref="W295" r:id="rId224" xr:uid="{00000000-0004-0000-0000-0000DF000000}"/>
    <hyperlink ref="W296" r:id="rId225" xr:uid="{00000000-0004-0000-0000-0000E0000000}"/>
    <hyperlink ref="W297" r:id="rId226" xr:uid="{00000000-0004-0000-0000-0000E1000000}"/>
    <hyperlink ref="W298" r:id="rId227" xr:uid="{00000000-0004-0000-0000-0000E2000000}"/>
    <hyperlink ref="W299" r:id="rId228" xr:uid="{00000000-0004-0000-0000-0000E3000000}"/>
    <hyperlink ref="W300" r:id="rId229" xr:uid="{00000000-0004-0000-0000-0000E4000000}"/>
    <hyperlink ref="W301" r:id="rId230" xr:uid="{00000000-0004-0000-0000-0000E5000000}"/>
    <hyperlink ref="W302" r:id="rId231" xr:uid="{00000000-0004-0000-0000-0000E6000000}"/>
    <hyperlink ref="W303" r:id="rId232" xr:uid="{00000000-0004-0000-0000-0000E7000000}"/>
    <hyperlink ref="W304" r:id="rId233" xr:uid="{00000000-0004-0000-0000-0000E8000000}"/>
    <hyperlink ref="W305" r:id="rId234" xr:uid="{00000000-0004-0000-0000-0000E9000000}"/>
    <hyperlink ref="W306" r:id="rId235" xr:uid="{00000000-0004-0000-0000-0000EA000000}"/>
    <hyperlink ref="W307" r:id="rId236" xr:uid="{00000000-0004-0000-0000-0000EB000000}"/>
    <hyperlink ref="W308" r:id="rId237" xr:uid="{00000000-0004-0000-0000-0000EC000000}"/>
    <hyperlink ref="W309" r:id="rId238" xr:uid="{00000000-0004-0000-0000-0000ED000000}"/>
    <hyperlink ref="W310" r:id="rId239" xr:uid="{00000000-0004-0000-0000-0000EE000000}"/>
    <hyperlink ref="W311" r:id="rId240" xr:uid="{00000000-0004-0000-0000-0000EF000000}"/>
    <hyperlink ref="W312" r:id="rId241" xr:uid="{00000000-0004-0000-0000-0000F0000000}"/>
    <hyperlink ref="W313" r:id="rId242" xr:uid="{00000000-0004-0000-0000-0000F1000000}"/>
    <hyperlink ref="W314" r:id="rId243" xr:uid="{00000000-0004-0000-0000-0000F2000000}"/>
    <hyperlink ref="W315" r:id="rId244" xr:uid="{00000000-0004-0000-0000-0000F3000000}"/>
    <hyperlink ref="W316" r:id="rId245" xr:uid="{00000000-0004-0000-0000-0000F4000000}"/>
    <hyperlink ref="W317" r:id="rId246" xr:uid="{00000000-0004-0000-0000-0000F5000000}"/>
    <hyperlink ref="W318" r:id="rId247" xr:uid="{00000000-0004-0000-0000-0000F6000000}"/>
    <hyperlink ref="W319" r:id="rId248" xr:uid="{00000000-0004-0000-0000-0000F7000000}"/>
    <hyperlink ref="W322" r:id="rId249" xr:uid="{00000000-0004-0000-0000-0000F8000000}"/>
    <hyperlink ref="W323" r:id="rId250" xr:uid="{00000000-0004-0000-0000-0000F9000000}"/>
    <hyperlink ref="J324" r:id="rId251" display="https://www.monotaro.com/p/3108/5048/" xr:uid="{00000000-0004-0000-0000-0000FA000000}"/>
    <hyperlink ref="K324" r:id="rId252" display="https://www.monotaro.com/p/3108/5048/" xr:uid="{00000000-0004-0000-0000-0000FB000000}"/>
    <hyperlink ref="W324" r:id="rId253" xr:uid="{00000000-0004-0000-0000-0000FC000000}"/>
    <hyperlink ref="W325" r:id="rId254" xr:uid="{00000000-0004-0000-0000-0000FD000000}"/>
    <hyperlink ref="W326" r:id="rId255" xr:uid="{00000000-0004-0000-0000-0000FE000000}"/>
    <hyperlink ref="W327" r:id="rId256" xr:uid="{00000000-0004-0000-0000-0000FF000000}"/>
    <hyperlink ref="W328" r:id="rId257" xr:uid="{00000000-0004-0000-0000-000000010000}"/>
    <hyperlink ref="W330" r:id="rId258" xr:uid="{00000000-0004-0000-0000-000001010000}"/>
    <hyperlink ref="W331" r:id="rId259" xr:uid="{00000000-0004-0000-0000-000002010000}"/>
    <hyperlink ref="W332" r:id="rId260" xr:uid="{00000000-0004-0000-0000-000003010000}"/>
    <hyperlink ref="W333" r:id="rId261" xr:uid="{00000000-0004-0000-0000-000004010000}"/>
    <hyperlink ref="W334" r:id="rId262" xr:uid="{00000000-0004-0000-0000-000005010000}"/>
    <hyperlink ref="W335" r:id="rId263" xr:uid="{00000000-0004-0000-0000-000006010000}"/>
    <hyperlink ref="W336" r:id="rId264" xr:uid="{00000000-0004-0000-0000-000007010000}"/>
    <hyperlink ref="W337" r:id="rId265" xr:uid="{00000000-0004-0000-0000-000008010000}"/>
    <hyperlink ref="W338" r:id="rId266" xr:uid="{00000000-0004-0000-0000-000009010000}"/>
    <hyperlink ref="W340" r:id="rId267" xr:uid="{00000000-0004-0000-0000-00000A010000}"/>
    <hyperlink ref="J341" r:id="rId268" display="https://www.monotaro.com/p/1940/2048/" xr:uid="{00000000-0004-0000-0000-00000B010000}"/>
    <hyperlink ref="W341" r:id="rId269" xr:uid="{00000000-0004-0000-0000-00000C010000}"/>
    <hyperlink ref="W343" r:id="rId270" xr:uid="{00000000-0004-0000-0000-00000D010000}"/>
    <hyperlink ref="W344" r:id="rId271" xr:uid="{00000000-0004-0000-0000-00000E010000}"/>
    <hyperlink ref="W345" r:id="rId272" xr:uid="{00000000-0004-0000-0000-00000F010000}"/>
    <hyperlink ref="W346" r:id="rId273" xr:uid="{00000000-0004-0000-0000-000010010000}"/>
    <hyperlink ref="W347" r:id="rId274" xr:uid="{00000000-0004-0000-0000-000011010000}"/>
    <hyperlink ref="W348" r:id="rId275" xr:uid="{00000000-0004-0000-0000-000012010000}"/>
    <hyperlink ref="W349" r:id="rId276" xr:uid="{00000000-0004-0000-0000-000013010000}"/>
    <hyperlink ref="W350" r:id="rId277" xr:uid="{00000000-0004-0000-0000-000014010000}"/>
    <hyperlink ref="W351" r:id="rId278" xr:uid="{00000000-0004-0000-0000-000015010000}"/>
    <hyperlink ref="W352" r:id="rId279" xr:uid="{00000000-0004-0000-0000-000016010000}"/>
    <hyperlink ref="W353" r:id="rId280" xr:uid="{00000000-0004-0000-0000-000017010000}"/>
    <hyperlink ref="W354" r:id="rId281" xr:uid="{00000000-0004-0000-0000-000018010000}"/>
    <hyperlink ref="W355" r:id="rId282" xr:uid="{00000000-0004-0000-0000-000019010000}"/>
    <hyperlink ref="W356" r:id="rId283" xr:uid="{00000000-0004-0000-0000-00001A010000}"/>
    <hyperlink ref="W357" r:id="rId284" xr:uid="{00000000-0004-0000-0000-00001B010000}"/>
    <hyperlink ref="W358" r:id="rId285" xr:uid="{00000000-0004-0000-0000-00001C010000}"/>
    <hyperlink ref="W359" r:id="rId286" xr:uid="{00000000-0004-0000-0000-00001D010000}"/>
    <hyperlink ref="W360" r:id="rId287" xr:uid="{00000000-0004-0000-0000-00001E010000}"/>
    <hyperlink ref="W361" r:id="rId288" xr:uid="{00000000-0004-0000-0000-00001F010000}"/>
    <hyperlink ref="W362" r:id="rId289" xr:uid="{00000000-0004-0000-0000-000020010000}"/>
    <hyperlink ref="W363" r:id="rId290" xr:uid="{00000000-0004-0000-0000-000021010000}"/>
    <hyperlink ref="W364" r:id="rId291" xr:uid="{00000000-0004-0000-0000-000022010000}"/>
    <hyperlink ref="W365" r:id="rId292" xr:uid="{00000000-0004-0000-0000-000023010000}"/>
    <hyperlink ref="W366" r:id="rId293" xr:uid="{00000000-0004-0000-0000-000024010000}"/>
    <hyperlink ref="W367" r:id="rId294" xr:uid="{00000000-0004-0000-0000-000025010000}"/>
    <hyperlink ref="W368" r:id="rId295" xr:uid="{00000000-0004-0000-0000-000026010000}"/>
    <hyperlink ref="W369" r:id="rId296" xr:uid="{00000000-0004-0000-0000-000027010000}"/>
    <hyperlink ref="W370" r:id="rId297" xr:uid="{00000000-0004-0000-0000-000028010000}"/>
    <hyperlink ref="W386" r:id="rId298" xr:uid="{00000000-0004-0000-0000-000029010000}"/>
    <hyperlink ref="W387" r:id="rId299" xr:uid="{00000000-0004-0000-0000-00002A010000}"/>
    <hyperlink ref="W388" r:id="rId300" xr:uid="{00000000-0004-0000-0000-00002B010000}"/>
    <hyperlink ref="W389" r:id="rId301" xr:uid="{00000000-0004-0000-0000-00002C010000}"/>
    <hyperlink ref="W391" r:id="rId302" xr:uid="{00000000-0004-0000-0000-00002D010000}"/>
    <hyperlink ref="W392" r:id="rId303" xr:uid="{00000000-0004-0000-0000-00002E010000}"/>
    <hyperlink ref="W393" r:id="rId304" xr:uid="{00000000-0004-0000-0000-00002F010000}"/>
    <hyperlink ref="W394" r:id="rId305" xr:uid="{00000000-0004-0000-0000-000030010000}"/>
    <hyperlink ref="W395" r:id="rId306" xr:uid="{00000000-0004-0000-0000-000031010000}"/>
    <hyperlink ref="W396" r:id="rId307" xr:uid="{00000000-0004-0000-0000-000032010000}"/>
    <hyperlink ref="W397" r:id="rId308" xr:uid="{00000000-0004-0000-0000-000033010000}"/>
    <hyperlink ref="W398" r:id="rId309" location="image505868" xr:uid="{00000000-0004-0000-0000-000034010000}"/>
    <hyperlink ref="W401" r:id="rId310" xr:uid="{00000000-0004-0000-0000-000035010000}"/>
    <hyperlink ref="W402" r:id="rId311" xr:uid="{00000000-0004-0000-0000-000036010000}"/>
    <hyperlink ref="W403" r:id="rId312" xr:uid="{00000000-0004-0000-0000-000037010000}"/>
    <hyperlink ref="W404" r:id="rId313" xr:uid="{00000000-0004-0000-0000-000038010000}"/>
    <hyperlink ref="W405" r:id="rId314" xr:uid="{00000000-0004-0000-0000-000039010000}"/>
    <hyperlink ref="W406" r:id="rId315" xr:uid="{00000000-0004-0000-0000-00003A010000}"/>
    <hyperlink ref="W407" r:id="rId316" xr:uid="{00000000-0004-0000-0000-00003B010000}"/>
    <hyperlink ref="W408" r:id="rId317" xr:uid="{00000000-0004-0000-0000-00003C010000}"/>
    <hyperlink ref="W409" r:id="rId318" xr:uid="{00000000-0004-0000-0000-00003D010000}"/>
    <hyperlink ref="W410" r:id="rId319" xr:uid="{00000000-0004-0000-0000-00003E010000}"/>
    <hyperlink ref="W411" r:id="rId320" xr:uid="{00000000-0004-0000-0000-00003F010000}"/>
    <hyperlink ref="W412" r:id="rId321" xr:uid="{00000000-0004-0000-0000-000040010000}"/>
    <hyperlink ref="W413" r:id="rId322" xr:uid="{00000000-0004-0000-0000-000041010000}"/>
    <hyperlink ref="W414" r:id="rId323" xr:uid="{00000000-0004-0000-0000-000042010000}"/>
    <hyperlink ref="W415" r:id="rId324" xr:uid="{00000000-0004-0000-0000-000043010000}"/>
    <hyperlink ref="W417" r:id="rId325" xr:uid="{00000000-0004-0000-0000-000044010000}"/>
    <hyperlink ref="W418" r:id="rId326" xr:uid="{00000000-0004-0000-0000-000045010000}"/>
    <hyperlink ref="W419" r:id="rId327" xr:uid="{00000000-0004-0000-0000-000046010000}"/>
    <hyperlink ref="W420" r:id="rId328" xr:uid="{00000000-0004-0000-0000-000047010000}"/>
    <hyperlink ref="W421" r:id="rId329" xr:uid="{00000000-0004-0000-0000-000048010000}"/>
    <hyperlink ref="W422" r:id="rId330" xr:uid="{00000000-0004-0000-0000-000049010000}"/>
    <hyperlink ref="W423" r:id="rId331" xr:uid="{00000000-0004-0000-0000-00004A010000}"/>
    <hyperlink ref="W424" r:id="rId332" xr:uid="{00000000-0004-0000-0000-00004B010000}"/>
    <hyperlink ref="W425" r:id="rId333" xr:uid="{00000000-0004-0000-0000-00004C010000}"/>
    <hyperlink ref="W426" r:id="rId334" xr:uid="{00000000-0004-0000-0000-00004D010000}"/>
    <hyperlink ref="W427" r:id="rId335" xr:uid="{00000000-0004-0000-0000-00004E010000}"/>
    <hyperlink ref="W428" r:id="rId336" xr:uid="{00000000-0004-0000-0000-00004F010000}"/>
    <hyperlink ref="W429" r:id="rId337" xr:uid="{00000000-0004-0000-0000-000050010000}"/>
    <hyperlink ref="W430" r:id="rId338" xr:uid="{00000000-0004-0000-0000-000051010000}"/>
    <hyperlink ref="W431" r:id="rId339" xr:uid="{00000000-0004-0000-0000-000052010000}"/>
    <hyperlink ref="W432" r:id="rId340" xr:uid="{00000000-0004-0000-0000-000053010000}"/>
    <hyperlink ref="W433" r:id="rId341" xr:uid="{00000000-0004-0000-0000-000054010000}"/>
    <hyperlink ref="I434" r:id="rId342" xr:uid="{00000000-0004-0000-0000-000055010000}"/>
    <hyperlink ref="W434" r:id="rId343" xr:uid="{00000000-0004-0000-0000-000056010000}"/>
    <hyperlink ref="W435" r:id="rId344" xr:uid="{00000000-0004-0000-0000-000057010000}"/>
    <hyperlink ref="W436" r:id="rId345" xr:uid="{00000000-0004-0000-0000-000058010000}"/>
    <hyperlink ref="W437" r:id="rId346" xr:uid="{00000000-0004-0000-0000-000059010000}"/>
    <hyperlink ref="W438" r:id="rId347" xr:uid="{00000000-0004-0000-0000-00005A010000}"/>
    <hyperlink ref="W439" r:id="rId348" xr:uid="{00000000-0004-0000-0000-00005B010000}"/>
    <hyperlink ref="W440" r:id="rId349" xr:uid="{00000000-0004-0000-0000-00005C010000}"/>
    <hyperlink ref="W441" r:id="rId350" xr:uid="{00000000-0004-0000-0000-00005D010000}"/>
    <hyperlink ref="W442" r:id="rId351" xr:uid="{00000000-0004-0000-0000-00005E010000}"/>
    <hyperlink ref="W443" r:id="rId352" xr:uid="{00000000-0004-0000-0000-00005F010000}"/>
    <hyperlink ref="W444" r:id="rId353" xr:uid="{00000000-0004-0000-0000-000060010000}"/>
    <hyperlink ref="W445" r:id="rId354" xr:uid="{00000000-0004-0000-0000-000061010000}"/>
    <hyperlink ref="W446" r:id="rId355" xr:uid="{00000000-0004-0000-0000-000062010000}"/>
    <hyperlink ref="W447" r:id="rId356" xr:uid="{00000000-0004-0000-0000-000063010000}"/>
    <hyperlink ref="W448" r:id="rId357" xr:uid="{00000000-0004-0000-0000-000064010000}"/>
    <hyperlink ref="W449" r:id="rId358" xr:uid="{00000000-0004-0000-0000-000065010000}"/>
    <hyperlink ref="W450" r:id="rId359" xr:uid="{00000000-0004-0000-0000-000066010000}"/>
    <hyperlink ref="W451" r:id="rId360" xr:uid="{00000000-0004-0000-0000-000067010000}"/>
    <hyperlink ref="W452" r:id="rId361" xr:uid="{00000000-0004-0000-0000-000068010000}"/>
    <hyperlink ref="W453" r:id="rId362" xr:uid="{00000000-0004-0000-0000-000069010000}"/>
    <hyperlink ref="W454" r:id="rId363" xr:uid="{00000000-0004-0000-0000-00006A010000}"/>
    <hyperlink ref="W455" r:id="rId364" xr:uid="{00000000-0004-0000-0000-00006B010000}"/>
    <hyperlink ref="W456" r:id="rId365" xr:uid="{00000000-0004-0000-0000-00006C010000}"/>
    <hyperlink ref="W457" r:id="rId366" xr:uid="{00000000-0004-0000-0000-00006D010000}"/>
    <hyperlink ref="W458" r:id="rId367" xr:uid="{00000000-0004-0000-0000-00006E010000}"/>
    <hyperlink ref="W459" r:id="rId368" xr:uid="{00000000-0004-0000-0000-00006F010000}"/>
    <hyperlink ref="W460" r:id="rId369" xr:uid="{00000000-0004-0000-0000-000070010000}"/>
    <hyperlink ref="W461" r:id="rId370" xr:uid="{00000000-0004-0000-0000-000071010000}"/>
    <hyperlink ref="W462" r:id="rId371" xr:uid="{00000000-0004-0000-0000-000072010000}"/>
    <hyperlink ref="W463" r:id="rId372" xr:uid="{00000000-0004-0000-0000-000073010000}"/>
    <hyperlink ref="W464" r:id="rId373" xr:uid="{00000000-0004-0000-0000-000074010000}"/>
    <hyperlink ref="W465" r:id="rId374" xr:uid="{00000000-0004-0000-0000-000075010000}"/>
    <hyperlink ref="W466" r:id="rId375" xr:uid="{00000000-0004-0000-0000-000076010000}"/>
    <hyperlink ref="W468" r:id="rId376" xr:uid="{00000000-0004-0000-0000-000077010000}"/>
    <hyperlink ref="W469" r:id="rId377" xr:uid="{00000000-0004-0000-0000-000078010000}"/>
    <hyperlink ref="W470" r:id="rId378" xr:uid="{00000000-0004-0000-0000-000079010000}"/>
    <hyperlink ref="W471" r:id="rId379" xr:uid="{00000000-0004-0000-0000-00007A010000}"/>
    <hyperlink ref="W472" r:id="rId380" xr:uid="{00000000-0004-0000-0000-00007B010000}"/>
    <hyperlink ref="W473" r:id="rId381" xr:uid="{00000000-0004-0000-0000-00007C010000}"/>
    <hyperlink ref="W474" r:id="rId382" xr:uid="{00000000-0004-0000-0000-00007D010000}"/>
    <hyperlink ref="W475" r:id="rId383" xr:uid="{00000000-0004-0000-0000-00007E010000}"/>
    <hyperlink ref="W476" r:id="rId384" xr:uid="{00000000-0004-0000-0000-00007F010000}"/>
    <hyperlink ref="W477" r:id="rId385" xr:uid="{00000000-0004-0000-0000-000080010000}"/>
    <hyperlink ref="W478" r:id="rId386" xr:uid="{00000000-0004-0000-0000-000081010000}"/>
    <hyperlink ref="W479" r:id="rId387" xr:uid="{00000000-0004-0000-0000-000082010000}"/>
    <hyperlink ref="W480" r:id="rId388" xr:uid="{00000000-0004-0000-0000-000083010000}"/>
    <hyperlink ref="W481" r:id="rId389" xr:uid="{00000000-0004-0000-0000-000084010000}"/>
    <hyperlink ref="W482" r:id="rId390" xr:uid="{00000000-0004-0000-0000-000085010000}"/>
    <hyperlink ref="W483" r:id="rId391" xr:uid="{00000000-0004-0000-0000-000086010000}"/>
    <hyperlink ref="W485" r:id="rId392" xr:uid="{00000000-0004-0000-0000-000087010000}"/>
    <hyperlink ref="W486" r:id="rId393" xr:uid="{00000000-0004-0000-0000-000088010000}"/>
    <hyperlink ref="W487" r:id="rId394" xr:uid="{00000000-0004-0000-0000-000089010000}"/>
    <hyperlink ref="W488" r:id="rId395" xr:uid="{00000000-0004-0000-0000-00008A010000}"/>
    <hyperlink ref="W489" r:id="rId396" xr:uid="{00000000-0004-0000-0000-00008B010000}"/>
    <hyperlink ref="W490" r:id="rId397" xr:uid="{00000000-0004-0000-0000-00008C010000}"/>
    <hyperlink ref="W491" r:id="rId398" xr:uid="{00000000-0004-0000-0000-00008D010000}"/>
    <hyperlink ref="W492" r:id="rId399" xr:uid="{00000000-0004-0000-0000-00008E010000}"/>
    <hyperlink ref="W493" r:id="rId400" xr:uid="{00000000-0004-0000-0000-00008F010000}"/>
    <hyperlink ref="W494" r:id="rId401" xr:uid="{00000000-0004-0000-0000-000090010000}"/>
    <hyperlink ref="W495" r:id="rId402" xr:uid="{00000000-0004-0000-0000-000091010000}"/>
    <hyperlink ref="W497" r:id="rId403" xr:uid="{00000000-0004-0000-0000-000092010000}"/>
    <hyperlink ref="W498" r:id="rId404" xr:uid="{00000000-0004-0000-0000-000093010000}"/>
    <hyperlink ref="W499" r:id="rId405" xr:uid="{00000000-0004-0000-0000-000094010000}"/>
    <hyperlink ref="W500" r:id="rId406" xr:uid="{00000000-0004-0000-0000-000095010000}"/>
    <hyperlink ref="W502" r:id="rId407" xr:uid="{00000000-0004-0000-0000-000096010000}"/>
    <hyperlink ref="W503" r:id="rId408" xr:uid="{00000000-0004-0000-0000-000097010000}"/>
    <hyperlink ref="W504" r:id="rId409" xr:uid="{00000000-0004-0000-0000-000098010000}"/>
    <hyperlink ref="W505" r:id="rId410" xr:uid="{00000000-0004-0000-0000-000099010000}"/>
    <hyperlink ref="W506" r:id="rId411" xr:uid="{00000000-0004-0000-0000-00009A010000}"/>
    <hyperlink ref="W507" r:id="rId412" xr:uid="{00000000-0004-0000-0000-00009B010000}"/>
    <hyperlink ref="W508" r:id="rId413" xr:uid="{00000000-0004-0000-0000-00009C010000}"/>
    <hyperlink ref="W509" r:id="rId414" xr:uid="{00000000-0004-0000-0000-00009D010000}"/>
    <hyperlink ref="W510" r:id="rId415" xr:uid="{00000000-0004-0000-0000-00009E010000}"/>
    <hyperlink ref="W511" r:id="rId416" xr:uid="{00000000-0004-0000-0000-00009F010000}"/>
    <hyperlink ref="W512" r:id="rId417" xr:uid="{00000000-0004-0000-0000-0000A0010000}"/>
    <hyperlink ref="W513" r:id="rId418" xr:uid="{00000000-0004-0000-0000-0000A1010000}"/>
    <hyperlink ref="W514" r:id="rId419" xr:uid="{00000000-0004-0000-0000-0000A2010000}"/>
    <hyperlink ref="W515" r:id="rId420" xr:uid="{00000000-0004-0000-0000-0000A3010000}"/>
    <hyperlink ref="W516" r:id="rId421" xr:uid="{00000000-0004-0000-0000-0000A4010000}"/>
    <hyperlink ref="W517" r:id="rId422" xr:uid="{00000000-0004-0000-0000-0000A5010000}"/>
    <hyperlink ref="W518" r:id="rId423" xr:uid="{00000000-0004-0000-0000-0000A6010000}"/>
    <hyperlink ref="W519" r:id="rId424" xr:uid="{00000000-0004-0000-0000-0000A7010000}"/>
    <hyperlink ref="W520" r:id="rId425" xr:uid="{00000000-0004-0000-0000-0000A8010000}"/>
    <hyperlink ref="W521" r:id="rId426" xr:uid="{00000000-0004-0000-0000-0000A9010000}"/>
    <hyperlink ref="W522" r:id="rId427" xr:uid="{00000000-0004-0000-0000-0000AA010000}"/>
    <hyperlink ref="W523" r:id="rId428" xr:uid="{00000000-0004-0000-0000-0000AB010000}"/>
    <hyperlink ref="W524" r:id="rId429" xr:uid="{00000000-0004-0000-0000-0000AC010000}"/>
    <hyperlink ref="W525" r:id="rId430" xr:uid="{00000000-0004-0000-0000-0000AD010000}"/>
    <hyperlink ref="W526" r:id="rId431" xr:uid="{00000000-0004-0000-0000-0000AE010000}"/>
    <hyperlink ref="W527" r:id="rId432" xr:uid="{00000000-0004-0000-0000-0000AF010000}"/>
    <hyperlink ref="W528" r:id="rId433" xr:uid="{00000000-0004-0000-0000-0000B0010000}"/>
    <hyperlink ref="W529" r:id="rId434" xr:uid="{00000000-0004-0000-0000-0000B1010000}"/>
    <hyperlink ref="W530" r:id="rId435" xr:uid="{00000000-0004-0000-0000-0000B2010000}"/>
    <hyperlink ref="W532" r:id="rId436" xr:uid="{00000000-0004-0000-0000-0000B3010000}"/>
    <hyperlink ref="W533" r:id="rId437" xr:uid="{00000000-0004-0000-0000-0000B4010000}"/>
    <hyperlink ref="W534" r:id="rId438" xr:uid="{00000000-0004-0000-0000-0000B5010000}"/>
    <hyperlink ref="W535" r:id="rId439" xr:uid="{00000000-0004-0000-0000-0000B6010000}"/>
    <hyperlink ref="W536" r:id="rId440" xr:uid="{00000000-0004-0000-0000-0000B7010000}"/>
    <hyperlink ref="W537" r:id="rId441" xr:uid="{00000000-0004-0000-0000-0000B8010000}"/>
    <hyperlink ref="W553" r:id="rId442" xr:uid="{00000000-0004-0000-0000-0000B9010000}"/>
    <hyperlink ref="W554" r:id="rId443" xr:uid="{00000000-0004-0000-0000-0000BA010000}"/>
    <hyperlink ref="W555" r:id="rId444" xr:uid="{00000000-0004-0000-0000-0000BB010000}"/>
    <hyperlink ref="W556" r:id="rId445" xr:uid="{00000000-0004-0000-0000-0000BC010000}"/>
    <hyperlink ref="W557" r:id="rId446" xr:uid="{00000000-0004-0000-0000-0000BD010000}"/>
    <hyperlink ref="W558" r:id="rId447" xr:uid="{00000000-0004-0000-0000-0000BE010000}"/>
    <hyperlink ref="W559" r:id="rId448" xr:uid="{00000000-0004-0000-0000-0000BF010000}"/>
    <hyperlink ref="W560" r:id="rId449" xr:uid="{00000000-0004-0000-0000-0000C0010000}"/>
    <hyperlink ref="W561" r:id="rId450" xr:uid="{00000000-0004-0000-0000-0000C1010000}"/>
    <hyperlink ref="W562" r:id="rId451" xr:uid="{00000000-0004-0000-0000-0000C2010000}"/>
    <hyperlink ref="W563" r:id="rId452" xr:uid="{00000000-0004-0000-0000-0000C3010000}"/>
    <hyperlink ref="W564" r:id="rId453" xr:uid="{00000000-0004-0000-0000-0000C4010000}"/>
    <hyperlink ref="W565" r:id="rId454" xr:uid="{00000000-0004-0000-0000-0000C5010000}"/>
    <hyperlink ref="W566" r:id="rId455" xr:uid="{00000000-0004-0000-0000-0000C6010000}"/>
    <hyperlink ref="W567" r:id="rId456" xr:uid="{00000000-0004-0000-0000-0000C7010000}"/>
    <hyperlink ref="W568" r:id="rId457" xr:uid="{00000000-0004-0000-0000-0000C8010000}"/>
    <hyperlink ref="W569" r:id="rId458" xr:uid="{00000000-0004-0000-0000-0000C9010000}"/>
    <hyperlink ref="W570" r:id="rId459" xr:uid="{00000000-0004-0000-0000-0000CA010000}"/>
    <hyperlink ref="W571" r:id="rId460" xr:uid="{00000000-0004-0000-0000-0000CB010000}"/>
    <hyperlink ref="W572" r:id="rId461" xr:uid="{00000000-0004-0000-0000-0000CC010000}"/>
    <hyperlink ref="W573" r:id="rId462" xr:uid="{00000000-0004-0000-0000-0000CD010000}"/>
    <hyperlink ref="W574" r:id="rId463" xr:uid="{00000000-0004-0000-0000-0000CE010000}"/>
    <hyperlink ref="W575" r:id="rId464" xr:uid="{00000000-0004-0000-0000-0000CF010000}"/>
    <hyperlink ref="W576" r:id="rId465" xr:uid="{00000000-0004-0000-0000-0000D0010000}"/>
    <hyperlink ref="W577" r:id="rId466" xr:uid="{00000000-0004-0000-0000-0000D1010000}"/>
    <hyperlink ref="W581" r:id="rId467" xr:uid="{00000000-0004-0000-0000-0000D2010000}"/>
    <hyperlink ref="W582" r:id="rId468" xr:uid="{00000000-0004-0000-0000-0000D3010000}"/>
    <hyperlink ref="W583" r:id="rId469" xr:uid="{00000000-0004-0000-0000-0000D4010000}"/>
    <hyperlink ref="W584" r:id="rId470" xr:uid="{00000000-0004-0000-0000-0000D5010000}"/>
    <hyperlink ref="W585" r:id="rId471" xr:uid="{00000000-0004-0000-0000-0000D6010000}"/>
    <hyperlink ref="W586" r:id="rId472" xr:uid="{00000000-0004-0000-0000-0000D7010000}"/>
    <hyperlink ref="W587" r:id="rId473" xr:uid="{00000000-0004-0000-0000-0000D8010000}"/>
    <hyperlink ref="W588" r:id="rId474" xr:uid="{00000000-0004-0000-0000-0000D9010000}"/>
    <hyperlink ref="W589" r:id="rId475" xr:uid="{00000000-0004-0000-0000-0000DA010000}"/>
    <hyperlink ref="W591" r:id="rId476" xr:uid="{00000000-0004-0000-0000-0000DB010000}"/>
    <hyperlink ref="W592" r:id="rId477" xr:uid="{00000000-0004-0000-0000-0000DC010000}"/>
    <hyperlink ref="W593" r:id="rId478" xr:uid="{00000000-0004-0000-0000-0000DD010000}"/>
    <hyperlink ref="W594" r:id="rId479" xr:uid="{00000000-0004-0000-0000-0000DE010000}"/>
    <hyperlink ref="W595" r:id="rId480" xr:uid="{00000000-0004-0000-0000-0000DF010000}"/>
    <hyperlink ref="W596" r:id="rId481" xr:uid="{00000000-0004-0000-0000-0000E0010000}"/>
    <hyperlink ref="W597" r:id="rId482" xr:uid="{00000000-0004-0000-0000-0000E1010000}"/>
    <hyperlink ref="W598" r:id="rId483" xr:uid="{00000000-0004-0000-0000-0000E2010000}"/>
    <hyperlink ref="W599" r:id="rId484" xr:uid="{00000000-0004-0000-0000-0000E3010000}"/>
    <hyperlink ref="W600" r:id="rId485" xr:uid="{00000000-0004-0000-0000-0000E4010000}"/>
    <hyperlink ref="W603" r:id="rId486" xr:uid="{00000000-0004-0000-0000-0000E5010000}"/>
    <hyperlink ref="W604" r:id="rId487" xr:uid="{00000000-0004-0000-0000-0000E6010000}"/>
    <hyperlink ref="W606" r:id="rId488" xr:uid="{00000000-0004-0000-0000-0000E7010000}"/>
    <hyperlink ref="W607" r:id="rId489" xr:uid="{00000000-0004-0000-0000-0000E8010000}"/>
    <hyperlink ref="W608" r:id="rId490" xr:uid="{00000000-0004-0000-0000-0000E9010000}"/>
    <hyperlink ref="W609" r:id="rId491" xr:uid="{00000000-0004-0000-0000-0000EA010000}"/>
    <hyperlink ref="W610" r:id="rId492" xr:uid="{00000000-0004-0000-0000-0000EB010000}"/>
    <hyperlink ref="W611" r:id="rId493" xr:uid="{00000000-0004-0000-0000-0000EC010000}"/>
    <hyperlink ref="W612" r:id="rId494" xr:uid="{00000000-0004-0000-0000-0000ED010000}"/>
    <hyperlink ref="W613" r:id="rId495" xr:uid="{00000000-0004-0000-0000-0000EE010000}"/>
    <hyperlink ref="W614" r:id="rId496" xr:uid="{00000000-0004-0000-0000-0000EF010000}"/>
    <hyperlink ref="W615" r:id="rId497" xr:uid="{00000000-0004-0000-0000-0000F0010000}"/>
    <hyperlink ref="W616" r:id="rId498" xr:uid="{00000000-0004-0000-0000-0000F1010000}"/>
    <hyperlink ref="W617" r:id="rId499" xr:uid="{00000000-0004-0000-0000-0000F2010000}"/>
    <hyperlink ref="W618" r:id="rId500" xr:uid="{00000000-0004-0000-0000-0000F3010000}"/>
    <hyperlink ref="W619" r:id="rId501" xr:uid="{00000000-0004-0000-0000-0000F4010000}"/>
    <hyperlink ref="W620" r:id="rId502" xr:uid="{00000000-0004-0000-0000-0000F5010000}"/>
    <hyperlink ref="W621" r:id="rId503" xr:uid="{00000000-0004-0000-0000-0000F6010000}"/>
    <hyperlink ref="W622" r:id="rId504" xr:uid="{00000000-0004-0000-0000-0000F7010000}"/>
    <hyperlink ref="W623" r:id="rId505" xr:uid="{00000000-0004-0000-0000-0000F8010000}"/>
    <hyperlink ref="W624" r:id="rId506" xr:uid="{00000000-0004-0000-0000-0000F9010000}"/>
    <hyperlink ref="W625" r:id="rId507" xr:uid="{00000000-0004-0000-0000-0000FA010000}"/>
    <hyperlink ref="W626" r:id="rId508" xr:uid="{00000000-0004-0000-0000-0000FB010000}"/>
    <hyperlink ref="W627" r:id="rId509" xr:uid="{00000000-0004-0000-0000-0000FC010000}"/>
    <hyperlink ref="W628" r:id="rId510" xr:uid="{00000000-0004-0000-0000-0000FD010000}"/>
    <hyperlink ref="W629" r:id="rId511" xr:uid="{00000000-0004-0000-0000-0000FE010000}"/>
    <hyperlink ref="W630" r:id="rId512" xr:uid="{00000000-0004-0000-0000-0000FF010000}"/>
    <hyperlink ref="W631" r:id="rId513" xr:uid="{00000000-0004-0000-0000-000000020000}"/>
    <hyperlink ref="W632" r:id="rId514" xr:uid="{00000000-0004-0000-0000-000001020000}"/>
    <hyperlink ref="W633" r:id="rId515" xr:uid="{00000000-0004-0000-0000-000002020000}"/>
    <hyperlink ref="W634" r:id="rId516" xr:uid="{00000000-0004-0000-0000-000003020000}"/>
    <hyperlink ref="W635" r:id="rId517" xr:uid="{00000000-0004-0000-0000-000004020000}"/>
    <hyperlink ref="W636" r:id="rId518" xr:uid="{00000000-0004-0000-0000-000005020000}"/>
    <hyperlink ref="W637" r:id="rId519" xr:uid="{00000000-0004-0000-0000-000006020000}"/>
    <hyperlink ref="W638" r:id="rId520" xr:uid="{00000000-0004-0000-0000-000007020000}"/>
    <hyperlink ref="W639" r:id="rId521" xr:uid="{00000000-0004-0000-0000-000008020000}"/>
    <hyperlink ref="W640" r:id="rId522" xr:uid="{00000000-0004-0000-0000-000009020000}"/>
    <hyperlink ref="W641" r:id="rId523" xr:uid="{00000000-0004-0000-0000-00000A020000}"/>
    <hyperlink ref="W642" r:id="rId524" xr:uid="{00000000-0004-0000-0000-00000B020000}"/>
    <hyperlink ref="W643" r:id="rId525" xr:uid="{00000000-0004-0000-0000-00000C020000}"/>
    <hyperlink ref="W644" r:id="rId526" xr:uid="{00000000-0004-0000-0000-00000D020000}"/>
    <hyperlink ref="W645" r:id="rId527" xr:uid="{00000000-0004-0000-0000-00000E020000}"/>
    <hyperlink ref="W646" r:id="rId528" xr:uid="{00000000-0004-0000-0000-00000F020000}"/>
    <hyperlink ref="W647" r:id="rId529" xr:uid="{00000000-0004-0000-0000-000010020000}"/>
    <hyperlink ref="W648" r:id="rId530" xr:uid="{00000000-0004-0000-0000-000011020000}"/>
    <hyperlink ref="W649" r:id="rId531" xr:uid="{00000000-0004-0000-0000-000012020000}"/>
    <hyperlink ref="W650" r:id="rId532" xr:uid="{00000000-0004-0000-0000-000013020000}"/>
    <hyperlink ref="W651" r:id="rId533" xr:uid="{00000000-0004-0000-0000-000014020000}"/>
    <hyperlink ref="W652" r:id="rId534" xr:uid="{00000000-0004-0000-0000-000015020000}"/>
    <hyperlink ref="W653" r:id="rId535" xr:uid="{00000000-0004-0000-0000-000016020000}"/>
    <hyperlink ref="W654" r:id="rId536" xr:uid="{00000000-0004-0000-0000-000017020000}"/>
    <hyperlink ref="W655" r:id="rId537" xr:uid="{00000000-0004-0000-0000-000018020000}"/>
    <hyperlink ref="W656" r:id="rId538" xr:uid="{00000000-0004-0000-0000-000019020000}"/>
    <hyperlink ref="W657" r:id="rId539" xr:uid="{00000000-0004-0000-0000-00001A020000}"/>
    <hyperlink ref="W658" r:id="rId540" xr:uid="{00000000-0004-0000-0000-00001B020000}"/>
    <hyperlink ref="W659" r:id="rId541" xr:uid="{00000000-0004-0000-0000-00001C020000}"/>
    <hyperlink ref="W660" r:id="rId542" xr:uid="{00000000-0004-0000-0000-00001D020000}"/>
    <hyperlink ref="W661" r:id="rId543" xr:uid="{00000000-0004-0000-0000-00001E020000}"/>
    <hyperlink ref="W662" r:id="rId544" xr:uid="{00000000-0004-0000-0000-00001F020000}"/>
    <hyperlink ref="W663" r:id="rId545" xr:uid="{00000000-0004-0000-0000-000020020000}"/>
    <hyperlink ref="W664" r:id="rId546" xr:uid="{00000000-0004-0000-0000-000021020000}"/>
    <hyperlink ref="W665" r:id="rId547" xr:uid="{00000000-0004-0000-0000-000022020000}"/>
    <hyperlink ref="W666" r:id="rId548" xr:uid="{00000000-0004-0000-0000-000023020000}"/>
    <hyperlink ref="W667" r:id="rId549" xr:uid="{00000000-0004-0000-0000-000024020000}"/>
    <hyperlink ref="W668" r:id="rId550" xr:uid="{00000000-0004-0000-0000-000025020000}"/>
    <hyperlink ref="W669" r:id="rId551" xr:uid="{00000000-0004-0000-0000-000026020000}"/>
    <hyperlink ref="W670" r:id="rId552" xr:uid="{00000000-0004-0000-0000-000027020000}"/>
    <hyperlink ref="W671" r:id="rId553" xr:uid="{00000000-0004-0000-0000-000028020000}"/>
    <hyperlink ref="W672" r:id="rId554" xr:uid="{00000000-0004-0000-0000-000029020000}"/>
    <hyperlink ref="K673" r:id="rId555" xr:uid="{00000000-0004-0000-0000-00002A020000}"/>
    <hyperlink ref="N673" r:id="rId556" display="https://www.digikey.jp/product-detail/en/te-connectivity-amp-connectors/1375820-3/A99614-ND/1864916" xr:uid="{00000000-0004-0000-0000-00002B020000}"/>
    <hyperlink ref="W673" r:id="rId557" xr:uid="{00000000-0004-0000-0000-00002C020000}"/>
    <hyperlink ref="W674" r:id="rId558" xr:uid="{00000000-0004-0000-0000-00002D020000}"/>
    <hyperlink ref="W675" r:id="rId559" xr:uid="{00000000-0004-0000-0000-00002E020000}"/>
    <hyperlink ref="W676" r:id="rId560" xr:uid="{00000000-0004-0000-0000-00002F020000}"/>
    <hyperlink ref="W677" r:id="rId561" xr:uid="{00000000-0004-0000-0000-000030020000}"/>
    <hyperlink ref="W678" r:id="rId562" xr:uid="{00000000-0004-0000-0000-000031020000}"/>
    <hyperlink ref="W679" r:id="rId563" xr:uid="{00000000-0004-0000-0000-000032020000}"/>
    <hyperlink ref="W680" r:id="rId564" xr:uid="{00000000-0004-0000-0000-000033020000}"/>
    <hyperlink ref="W681" r:id="rId565" xr:uid="{00000000-0004-0000-0000-000034020000}"/>
    <hyperlink ref="W682" r:id="rId566" xr:uid="{00000000-0004-0000-0000-000035020000}"/>
    <hyperlink ref="W683" r:id="rId567" xr:uid="{00000000-0004-0000-0000-000036020000}"/>
    <hyperlink ref="W684" r:id="rId568" xr:uid="{00000000-0004-0000-0000-000037020000}"/>
    <hyperlink ref="W686" r:id="rId569" xr:uid="{00000000-0004-0000-0000-000038020000}"/>
    <hyperlink ref="W688" r:id="rId570" xr:uid="{00000000-0004-0000-0000-000039020000}"/>
    <hyperlink ref="H689" r:id="rId571" xr:uid="{00000000-0004-0000-0000-00003A020000}"/>
    <hyperlink ref="W689" r:id="rId572" xr:uid="{00000000-0004-0000-0000-00003B020000}"/>
    <hyperlink ref="H690" r:id="rId573" xr:uid="{00000000-0004-0000-0000-00003C020000}"/>
    <hyperlink ref="W690" r:id="rId574" xr:uid="{00000000-0004-0000-0000-00003D020000}"/>
    <hyperlink ref="H691" r:id="rId575" xr:uid="{00000000-0004-0000-0000-00003E020000}"/>
    <hyperlink ref="W691" r:id="rId576" xr:uid="{00000000-0004-0000-0000-00003F020000}"/>
    <hyperlink ref="H692" r:id="rId577" xr:uid="{00000000-0004-0000-0000-000040020000}"/>
    <hyperlink ref="W692" r:id="rId578" xr:uid="{00000000-0004-0000-0000-000041020000}"/>
    <hyperlink ref="H693" r:id="rId579" xr:uid="{00000000-0004-0000-0000-000042020000}"/>
    <hyperlink ref="W693" r:id="rId580" xr:uid="{00000000-0004-0000-0000-000043020000}"/>
    <hyperlink ref="W694" r:id="rId581" xr:uid="{00000000-0004-0000-0000-000044020000}"/>
    <hyperlink ref="H695" r:id="rId582" xr:uid="{00000000-0004-0000-0000-000045020000}"/>
    <hyperlink ref="W695" r:id="rId583" xr:uid="{00000000-0004-0000-0000-000046020000}"/>
    <hyperlink ref="W696" r:id="rId584" xr:uid="{00000000-0004-0000-0000-000047020000}"/>
    <hyperlink ref="W697" r:id="rId585" xr:uid="{00000000-0004-0000-0000-000048020000}"/>
    <hyperlink ref="W698" r:id="rId586" xr:uid="{00000000-0004-0000-0000-000049020000}"/>
    <hyperlink ref="W699" r:id="rId587" xr:uid="{00000000-0004-0000-0000-00004A020000}"/>
    <hyperlink ref="I700" r:id="rId588" xr:uid="{00000000-0004-0000-0000-00004B020000}"/>
    <hyperlink ref="W700" r:id="rId589" xr:uid="{00000000-0004-0000-0000-00004C020000}"/>
    <hyperlink ref="I701" r:id="rId590" xr:uid="{00000000-0004-0000-0000-00004D020000}"/>
    <hyperlink ref="W701" r:id="rId591" xr:uid="{00000000-0004-0000-0000-00004E020000}"/>
    <hyperlink ref="I702" r:id="rId592" xr:uid="{00000000-0004-0000-0000-00004F020000}"/>
    <hyperlink ref="W702" r:id="rId593" xr:uid="{00000000-0004-0000-0000-000050020000}"/>
    <hyperlink ref="H703" r:id="rId594" xr:uid="{00000000-0004-0000-0000-000051020000}"/>
    <hyperlink ref="W703" r:id="rId595" xr:uid="{00000000-0004-0000-0000-000052020000}"/>
    <hyperlink ref="H704" r:id="rId596" xr:uid="{00000000-0004-0000-0000-000053020000}"/>
    <hyperlink ref="W704" r:id="rId597" xr:uid="{00000000-0004-0000-0000-000054020000}"/>
    <hyperlink ref="H705" r:id="rId598" xr:uid="{00000000-0004-0000-0000-000055020000}"/>
    <hyperlink ref="W705" r:id="rId599" xr:uid="{00000000-0004-0000-0000-000056020000}"/>
    <hyperlink ref="W707" r:id="rId600" xr:uid="{00000000-0004-0000-0000-000057020000}"/>
    <hyperlink ref="W708" r:id="rId601" xr:uid="{00000000-0004-0000-0000-000058020000}"/>
    <hyperlink ref="W709" r:id="rId602" xr:uid="{00000000-0004-0000-0000-000059020000}"/>
    <hyperlink ref="W710" r:id="rId603" xr:uid="{00000000-0004-0000-0000-00005A020000}"/>
    <hyperlink ref="W711" r:id="rId604" xr:uid="{00000000-0004-0000-0000-00005B020000}"/>
    <hyperlink ref="W713" r:id="rId605" xr:uid="{00000000-0004-0000-0000-00005C020000}"/>
    <hyperlink ref="W714" r:id="rId606" xr:uid="{00000000-0004-0000-0000-00005D020000}"/>
    <hyperlink ref="W715" r:id="rId607" xr:uid="{00000000-0004-0000-0000-00005E020000}"/>
    <hyperlink ref="W716" r:id="rId608" xr:uid="{00000000-0004-0000-0000-00005F020000}"/>
    <hyperlink ref="W717" r:id="rId609" xr:uid="{00000000-0004-0000-0000-000060020000}"/>
    <hyperlink ref="W718" r:id="rId610" xr:uid="{00000000-0004-0000-0000-000061020000}"/>
    <hyperlink ref="W719" r:id="rId611" xr:uid="{00000000-0004-0000-0000-000062020000}"/>
    <hyperlink ref="W720" r:id="rId612" xr:uid="{00000000-0004-0000-0000-000063020000}"/>
    <hyperlink ref="W721" r:id="rId613" xr:uid="{00000000-0004-0000-0000-000064020000}"/>
    <hyperlink ref="W722" r:id="rId614" xr:uid="{00000000-0004-0000-0000-000065020000}"/>
    <hyperlink ref="W723" r:id="rId615" xr:uid="{00000000-0004-0000-0000-000066020000}"/>
    <hyperlink ref="W724" r:id="rId616" xr:uid="{00000000-0004-0000-0000-000067020000}"/>
    <hyperlink ref="W725" r:id="rId617" xr:uid="{00000000-0004-0000-0000-000068020000}"/>
    <hyperlink ref="W726" r:id="rId618" xr:uid="{00000000-0004-0000-0000-000069020000}"/>
    <hyperlink ref="W727" r:id="rId619" xr:uid="{00000000-0004-0000-0000-00006A020000}"/>
    <hyperlink ref="W728" r:id="rId620" xr:uid="{00000000-0004-0000-0000-00006B020000}"/>
    <hyperlink ref="W729" r:id="rId621" xr:uid="{00000000-0004-0000-0000-00006C020000}"/>
    <hyperlink ref="W730" r:id="rId622" xr:uid="{00000000-0004-0000-0000-00006D020000}"/>
    <hyperlink ref="W731" r:id="rId623" xr:uid="{00000000-0004-0000-0000-00006E020000}"/>
    <hyperlink ref="W732" r:id="rId624" xr:uid="{00000000-0004-0000-0000-00006F020000}"/>
    <hyperlink ref="W733" r:id="rId625" xr:uid="{00000000-0004-0000-0000-000070020000}"/>
    <hyperlink ref="W734" r:id="rId626" xr:uid="{00000000-0004-0000-0000-000071020000}"/>
    <hyperlink ref="W735" r:id="rId627" xr:uid="{00000000-0004-0000-0000-000072020000}"/>
    <hyperlink ref="W736" r:id="rId628" xr:uid="{00000000-0004-0000-0000-000073020000}"/>
    <hyperlink ref="W737" r:id="rId629" xr:uid="{00000000-0004-0000-0000-000074020000}"/>
    <hyperlink ref="W738" r:id="rId630" xr:uid="{00000000-0004-0000-0000-000075020000}"/>
    <hyperlink ref="W739" r:id="rId631" xr:uid="{00000000-0004-0000-0000-000076020000}"/>
    <hyperlink ref="W740" r:id="rId632" xr:uid="{00000000-0004-0000-0000-000077020000}"/>
    <hyperlink ref="W742" r:id="rId633" xr:uid="{00000000-0004-0000-0000-000078020000}"/>
    <hyperlink ref="W743" r:id="rId634" xr:uid="{00000000-0004-0000-0000-000079020000}"/>
    <hyperlink ref="W744" r:id="rId635" xr:uid="{00000000-0004-0000-0000-00007A020000}"/>
    <hyperlink ref="W745" r:id="rId636" xr:uid="{00000000-0004-0000-0000-00007B020000}"/>
    <hyperlink ref="W746" r:id="rId637" xr:uid="{00000000-0004-0000-0000-00007C020000}"/>
    <hyperlink ref="W747" r:id="rId638" xr:uid="{00000000-0004-0000-0000-00007D020000}"/>
    <hyperlink ref="W748" r:id="rId639" xr:uid="{00000000-0004-0000-0000-00007E020000}"/>
    <hyperlink ref="W749" r:id="rId640" xr:uid="{00000000-0004-0000-0000-00007F020000}"/>
    <hyperlink ref="W750" r:id="rId641" xr:uid="{00000000-0004-0000-0000-000080020000}"/>
    <hyperlink ref="W751" r:id="rId642" xr:uid="{00000000-0004-0000-0000-000081020000}"/>
    <hyperlink ref="W752" r:id="rId643" xr:uid="{00000000-0004-0000-0000-000082020000}"/>
    <hyperlink ref="W753" r:id="rId644" xr:uid="{00000000-0004-0000-0000-000083020000}"/>
    <hyperlink ref="W754" r:id="rId645" xr:uid="{00000000-0004-0000-0000-000084020000}"/>
    <hyperlink ref="W755" r:id="rId646" xr:uid="{00000000-0004-0000-0000-000085020000}"/>
    <hyperlink ref="W756" r:id="rId647" xr:uid="{00000000-0004-0000-0000-000086020000}"/>
    <hyperlink ref="W757" r:id="rId648" xr:uid="{00000000-0004-0000-0000-000087020000}"/>
    <hyperlink ref="W758" r:id="rId649" xr:uid="{00000000-0004-0000-0000-000088020000}"/>
    <hyperlink ref="W759" r:id="rId650" xr:uid="{00000000-0004-0000-0000-000089020000}"/>
    <hyperlink ref="W760" r:id="rId651" xr:uid="{00000000-0004-0000-0000-00008A020000}"/>
    <hyperlink ref="W761" r:id="rId652" xr:uid="{00000000-0004-0000-0000-00008B020000}"/>
    <hyperlink ref="W762" r:id="rId653" xr:uid="{00000000-0004-0000-0000-00008C020000}"/>
    <hyperlink ref="W763" r:id="rId654" xr:uid="{00000000-0004-0000-0000-00008D020000}"/>
    <hyperlink ref="W764" r:id="rId655" xr:uid="{00000000-0004-0000-0000-00008E020000}"/>
    <hyperlink ref="W765" r:id="rId656" xr:uid="{00000000-0004-0000-0000-00008F020000}"/>
    <hyperlink ref="W766" r:id="rId657" xr:uid="{00000000-0004-0000-0000-000090020000}"/>
    <hyperlink ref="W767" r:id="rId658" xr:uid="{00000000-0004-0000-0000-000091020000}"/>
    <hyperlink ref="W768" r:id="rId659" xr:uid="{00000000-0004-0000-0000-000092020000}"/>
    <hyperlink ref="W769" r:id="rId660" xr:uid="{00000000-0004-0000-0000-000093020000}"/>
    <hyperlink ref="W771" r:id="rId661" xr:uid="{00000000-0004-0000-0000-000094020000}"/>
    <hyperlink ref="W772" r:id="rId662" xr:uid="{00000000-0004-0000-0000-000095020000}"/>
    <hyperlink ref="W773" r:id="rId663" xr:uid="{00000000-0004-0000-0000-000096020000}"/>
    <hyperlink ref="W774" r:id="rId664" xr:uid="{00000000-0004-0000-0000-000097020000}"/>
    <hyperlink ref="W775" r:id="rId665" xr:uid="{00000000-0004-0000-0000-000098020000}"/>
    <hyperlink ref="W776" r:id="rId666" xr:uid="{00000000-0004-0000-0000-000099020000}"/>
    <hyperlink ref="W777" r:id="rId667" xr:uid="{00000000-0004-0000-0000-00009A020000}"/>
    <hyperlink ref="W778" r:id="rId668" xr:uid="{00000000-0004-0000-0000-00009B020000}"/>
    <hyperlink ref="W779" r:id="rId669" xr:uid="{00000000-0004-0000-0000-00009C020000}"/>
    <hyperlink ref="W780" r:id="rId670" xr:uid="{00000000-0004-0000-0000-00009D020000}"/>
    <hyperlink ref="W781" r:id="rId671" xr:uid="{00000000-0004-0000-0000-00009E020000}"/>
    <hyperlink ref="W784" r:id="rId672" xr:uid="{00000000-0004-0000-0000-00009F020000}"/>
    <hyperlink ref="W786" r:id="rId673" xr:uid="{00000000-0004-0000-0000-0000A0020000}"/>
    <hyperlink ref="W787" r:id="rId674" xr:uid="{00000000-0004-0000-0000-0000A1020000}"/>
    <hyperlink ref="W788" r:id="rId675" xr:uid="{00000000-0004-0000-0000-0000A2020000}"/>
    <hyperlink ref="W789" r:id="rId676" xr:uid="{00000000-0004-0000-0000-0000A3020000}"/>
    <hyperlink ref="W791" r:id="rId677" xr:uid="{00000000-0004-0000-0000-0000A4020000}"/>
    <hyperlink ref="W792" r:id="rId678" xr:uid="{00000000-0004-0000-0000-0000A5020000}"/>
    <hyperlink ref="W793" r:id="rId679" xr:uid="{00000000-0004-0000-0000-0000A6020000}"/>
    <hyperlink ref="W794" r:id="rId680" xr:uid="{00000000-0004-0000-0000-0000A7020000}"/>
    <hyperlink ref="W795" r:id="rId681" xr:uid="{00000000-0004-0000-0000-0000A8020000}"/>
    <hyperlink ref="W796" r:id="rId682" xr:uid="{00000000-0004-0000-0000-0000A9020000}"/>
    <hyperlink ref="W797" r:id="rId683" xr:uid="{00000000-0004-0000-0000-0000AA020000}"/>
    <hyperlink ref="W798" r:id="rId684" xr:uid="{00000000-0004-0000-0000-0000AB020000}"/>
    <hyperlink ref="W799" r:id="rId685" xr:uid="{00000000-0004-0000-0000-0000AC020000}"/>
    <hyperlink ref="W800" r:id="rId686" xr:uid="{00000000-0004-0000-0000-0000AD020000}"/>
    <hyperlink ref="W801" r:id="rId687" xr:uid="{00000000-0004-0000-0000-0000AE020000}"/>
    <hyperlink ref="W802" r:id="rId688" xr:uid="{00000000-0004-0000-0000-0000AF020000}"/>
    <hyperlink ref="W803" r:id="rId689" xr:uid="{00000000-0004-0000-0000-0000B0020000}"/>
    <hyperlink ref="W804" r:id="rId690" xr:uid="{00000000-0004-0000-0000-0000B1020000}"/>
    <hyperlink ref="W805" r:id="rId691" xr:uid="{00000000-0004-0000-0000-0000B2020000}"/>
    <hyperlink ref="W806" r:id="rId692" xr:uid="{00000000-0004-0000-0000-0000B3020000}"/>
    <hyperlink ref="W807" r:id="rId693" xr:uid="{00000000-0004-0000-0000-0000B4020000}"/>
    <hyperlink ref="W808" r:id="rId694" xr:uid="{00000000-0004-0000-0000-0000B5020000}"/>
    <hyperlink ref="W809" r:id="rId695" xr:uid="{00000000-0004-0000-0000-0000B6020000}"/>
    <hyperlink ref="W810" r:id="rId696" xr:uid="{00000000-0004-0000-0000-0000B7020000}"/>
    <hyperlink ref="W811" r:id="rId697" xr:uid="{00000000-0004-0000-0000-0000B8020000}"/>
    <hyperlink ref="W812" r:id="rId698" xr:uid="{00000000-0004-0000-0000-0000B9020000}"/>
    <hyperlink ref="W813" r:id="rId699" xr:uid="{00000000-0004-0000-0000-0000BA020000}"/>
    <hyperlink ref="W814" r:id="rId700" xr:uid="{00000000-0004-0000-0000-0000BB020000}"/>
    <hyperlink ref="W815" r:id="rId701" xr:uid="{00000000-0004-0000-0000-0000BC020000}"/>
    <hyperlink ref="W816" r:id="rId702" xr:uid="{00000000-0004-0000-0000-0000BD020000}"/>
    <hyperlink ref="W817" r:id="rId703" xr:uid="{00000000-0004-0000-0000-0000BE020000}"/>
    <hyperlink ref="W818" r:id="rId704" xr:uid="{00000000-0004-0000-0000-0000BF020000}"/>
    <hyperlink ref="W819" r:id="rId705" xr:uid="{00000000-0004-0000-0000-0000C0020000}"/>
    <hyperlink ref="W820" r:id="rId706" xr:uid="{00000000-0004-0000-0000-0000C1020000}"/>
    <hyperlink ref="W821" r:id="rId707" xr:uid="{00000000-0004-0000-0000-0000C2020000}"/>
    <hyperlink ref="W822" r:id="rId708" xr:uid="{00000000-0004-0000-0000-0000C3020000}"/>
    <hyperlink ref="W823" r:id="rId709" xr:uid="{00000000-0004-0000-0000-0000C4020000}"/>
    <hyperlink ref="W824" r:id="rId710" xr:uid="{00000000-0004-0000-0000-0000C5020000}"/>
    <hyperlink ref="W825" r:id="rId711" xr:uid="{00000000-0004-0000-0000-0000C6020000}"/>
    <hyperlink ref="W826" r:id="rId712" xr:uid="{00000000-0004-0000-0000-0000C7020000}"/>
    <hyperlink ref="W827" r:id="rId713" xr:uid="{00000000-0004-0000-0000-0000C8020000}"/>
    <hyperlink ref="W828" r:id="rId714" xr:uid="{00000000-0004-0000-0000-0000C9020000}"/>
    <hyperlink ref="W829" r:id="rId715" xr:uid="{00000000-0004-0000-0000-0000CA020000}"/>
    <hyperlink ref="W830" r:id="rId716" xr:uid="{00000000-0004-0000-0000-0000CB020000}"/>
    <hyperlink ref="W831" r:id="rId717" xr:uid="{00000000-0004-0000-0000-0000CC020000}"/>
    <hyperlink ref="W832" r:id="rId718" xr:uid="{00000000-0004-0000-0000-0000CD020000}"/>
    <hyperlink ref="W833" r:id="rId719" xr:uid="{00000000-0004-0000-0000-0000CE020000}"/>
    <hyperlink ref="W834" r:id="rId720" xr:uid="{00000000-0004-0000-0000-0000CF020000}"/>
    <hyperlink ref="W835" r:id="rId721" xr:uid="{00000000-0004-0000-0000-0000D0020000}"/>
    <hyperlink ref="W836" r:id="rId722" xr:uid="{00000000-0004-0000-0000-0000D1020000}"/>
    <hyperlink ref="W837" r:id="rId723" xr:uid="{00000000-0004-0000-0000-0000D2020000}"/>
    <hyperlink ref="W838" r:id="rId724" xr:uid="{00000000-0004-0000-0000-0000D3020000}"/>
    <hyperlink ref="W839" r:id="rId725" xr:uid="{00000000-0004-0000-0000-0000D4020000}"/>
    <hyperlink ref="W840" r:id="rId726" xr:uid="{00000000-0004-0000-0000-0000D5020000}"/>
    <hyperlink ref="W841" r:id="rId727" xr:uid="{00000000-0004-0000-0000-0000D6020000}"/>
    <hyperlink ref="W842" r:id="rId728" xr:uid="{00000000-0004-0000-0000-0000D7020000}"/>
    <hyperlink ref="W843" r:id="rId729" xr:uid="{00000000-0004-0000-0000-0000D8020000}"/>
    <hyperlink ref="W844" r:id="rId730" xr:uid="{00000000-0004-0000-0000-0000D9020000}"/>
    <hyperlink ref="W845" r:id="rId731" xr:uid="{00000000-0004-0000-0000-0000DA020000}"/>
    <hyperlink ref="W846" r:id="rId732" xr:uid="{00000000-0004-0000-0000-0000DB020000}"/>
    <hyperlink ref="W847" r:id="rId733" xr:uid="{00000000-0004-0000-0000-0000DC020000}"/>
    <hyperlink ref="W848" r:id="rId734" xr:uid="{00000000-0004-0000-0000-0000DD020000}"/>
    <hyperlink ref="W849" r:id="rId735" xr:uid="{00000000-0004-0000-0000-0000DE020000}"/>
    <hyperlink ref="W850" r:id="rId736" xr:uid="{00000000-0004-0000-0000-0000DF020000}"/>
    <hyperlink ref="W851" r:id="rId737" xr:uid="{00000000-0004-0000-0000-0000E0020000}"/>
    <hyperlink ref="W852" r:id="rId738" xr:uid="{00000000-0004-0000-0000-0000E1020000}"/>
    <hyperlink ref="W853" r:id="rId739" xr:uid="{00000000-0004-0000-0000-0000E2020000}"/>
    <hyperlink ref="W854" r:id="rId740" xr:uid="{00000000-0004-0000-0000-0000E3020000}"/>
    <hyperlink ref="W855" r:id="rId741" xr:uid="{00000000-0004-0000-0000-0000E4020000}"/>
    <hyperlink ref="W856" r:id="rId742" xr:uid="{00000000-0004-0000-0000-0000E5020000}"/>
    <hyperlink ref="W857" r:id="rId743" xr:uid="{00000000-0004-0000-0000-0000E6020000}"/>
    <hyperlink ref="W858" r:id="rId744" xr:uid="{00000000-0004-0000-0000-0000E7020000}"/>
    <hyperlink ref="W859" r:id="rId745" xr:uid="{00000000-0004-0000-0000-0000E8020000}"/>
    <hyperlink ref="W860" r:id="rId746" xr:uid="{00000000-0004-0000-0000-0000E9020000}"/>
    <hyperlink ref="W861" r:id="rId747" xr:uid="{00000000-0004-0000-0000-0000EA020000}"/>
    <hyperlink ref="W862" r:id="rId748" xr:uid="{00000000-0004-0000-0000-0000EB020000}"/>
    <hyperlink ref="W863" r:id="rId749" xr:uid="{00000000-0004-0000-0000-0000EC020000}"/>
    <hyperlink ref="W864" r:id="rId750" xr:uid="{00000000-0004-0000-0000-0000ED020000}"/>
    <hyperlink ref="W865" r:id="rId751" xr:uid="{00000000-0004-0000-0000-0000EE020000}"/>
    <hyperlink ref="W866" r:id="rId752" xr:uid="{00000000-0004-0000-0000-0000EF020000}"/>
    <hyperlink ref="W867" r:id="rId753" xr:uid="{00000000-0004-0000-0000-0000F0020000}"/>
    <hyperlink ref="W868" r:id="rId754" xr:uid="{00000000-0004-0000-0000-0000F1020000}"/>
    <hyperlink ref="W869" r:id="rId755" xr:uid="{00000000-0004-0000-0000-0000F2020000}"/>
    <hyperlink ref="W870" r:id="rId756" xr:uid="{00000000-0004-0000-0000-0000F3020000}"/>
    <hyperlink ref="W871" r:id="rId757" xr:uid="{00000000-0004-0000-0000-0000F4020000}"/>
    <hyperlink ref="W872" r:id="rId758" xr:uid="{00000000-0004-0000-0000-0000F5020000}"/>
    <hyperlink ref="W873" r:id="rId759" xr:uid="{00000000-0004-0000-0000-0000F6020000}"/>
    <hyperlink ref="W874" r:id="rId760" xr:uid="{00000000-0004-0000-0000-0000F7020000}"/>
    <hyperlink ref="W875" r:id="rId761" xr:uid="{00000000-0004-0000-0000-0000F8020000}"/>
    <hyperlink ref="W876" r:id="rId762" xr:uid="{00000000-0004-0000-0000-0000F9020000}"/>
    <hyperlink ref="W877" r:id="rId763" xr:uid="{00000000-0004-0000-0000-0000FA020000}"/>
    <hyperlink ref="W878" r:id="rId764" xr:uid="{00000000-0004-0000-0000-0000FB020000}"/>
    <hyperlink ref="W879" r:id="rId765" xr:uid="{00000000-0004-0000-0000-0000FC020000}"/>
    <hyperlink ref="W880" r:id="rId766" xr:uid="{00000000-0004-0000-0000-0000FD020000}"/>
    <hyperlink ref="W881" r:id="rId767" xr:uid="{00000000-0004-0000-0000-0000FE020000}"/>
    <hyperlink ref="W882" r:id="rId768" xr:uid="{00000000-0004-0000-0000-0000FF020000}"/>
    <hyperlink ref="W883" r:id="rId769" xr:uid="{00000000-0004-0000-0000-000000030000}"/>
    <hyperlink ref="W884" r:id="rId770" xr:uid="{00000000-0004-0000-0000-000001030000}"/>
    <hyperlink ref="W885" r:id="rId771" xr:uid="{00000000-0004-0000-0000-000002030000}"/>
    <hyperlink ref="W886" r:id="rId772" xr:uid="{00000000-0004-0000-0000-000003030000}"/>
    <hyperlink ref="W887" r:id="rId773" xr:uid="{00000000-0004-0000-0000-000004030000}"/>
    <hyperlink ref="W888" r:id="rId774" xr:uid="{00000000-0004-0000-0000-000005030000}"/>
    <hyperlink ref="W889" r:id="rId775" xr:uid="{00000000-0004-0000-0000-000006030000}"/>
    <hyperlink ref="W890" r:id="rId776" xr:uid="{00000000-0004-0000-0000-000007030000}"/>
    <hyperlink ref="W891" r:id="rId777" xr:uid="{00000000-0004-0000-0000-000008030000}"/>
    <hyperlink ref="W892" r:id="rId778" xr:uid="{00000000-0004-0000-0000-000009030000}"/>
    <hyperlink ref="W893" r:id="rId779" xr:uid="{00000000-0004-0000-0000-00000A030000}"/>
    <hyperlink ref="W894" r:id="rId780" xr:uid="{00000000-0004-0000-0000-00000B030000}"/>
    <hyperlink ref="W895" r:id="rId781" xr:uid="{00000000-0004-0000-0000-00000C030000}"/>
    <hyperlink ref="W896" r:id="rId782" xr:uid="{00000000-0004-0000-0000-00000D030000}"/>
    <hyperlink ref="W898" r:id="rId783" xr:uid="{00000000-0004-0000-0000-00000E030000}"/>
    <hyperlink ref="W899" r:id="rId784" xr:uid="{00000000-0004-0000-0000-00000F030000}"/>
    <hyperlink ref="W900" r:id="rId785" xr:uid="{00000000-0004-0000-0000-000010030000}"/>
    <hyperlink ref="W901" r:id="rId786" xr:uid="{00000000-0004-0000-0000-000011030000}"/>
    <hyperlink ref="W902" r:id="rId787" xr:uid="{00000000-0004-0000-0000-000012030000}"/>
    <hyperlink ref="W903" r:id="rId788" xr:uid="{00000000-0004-0000-0000-000013030000}"/>
    <hyperlink ref="W904" r:id="rId789" xr:uid="{00000000-0004-0000-0000-000014030000}"/>
    <hyperlink ref="W905" r:id="rId790" xr:uid="{00000000-0004-0000-0000-000015030000}"/>
    <hyperlink ref="W906" r:id="rId791" xr:uid="{00000000-0004-0000-0000-000016030000}"/>
    <hyperlink ref="W907" r:id="rId792" xr:uid="{00000000-0004-0000-0000-000017030000}"/>
    <hyperlink ref="W908" r:id="rId793" xr:uid="{00000000-0004-0000-0000-000018030000}"/>
    <hyperlink ref="W909" r:id="rId794" xr:uid="{00000000-0004-0000-0000-000019030000}"/>
    <hyperlink ref="W910" r:id="rId795" xr:uid="{00000000-0004-0000-0000-00001A030000}"/>
    <hyperlink ref="W911" r:id="rId796" xr:uid="{00000000-0004-0000-0000-00001B030000}"/>
    <hyperlink ref="W912" r:id="rId797" xr:uid="{00000000-0004-0000-0000-00001C030000}"/>
    <hyperlink ref="W913" r:id="rId798" xr:uid="{00000000-0004-0000-0000-00001D030000}"/>
    <hyperlink ref="W914" r:id="rId799" xr:uid="{00000000-0004-0000-0000-00001E030000}"/>
    <hyperlink ref="W915" r:id="rId800" xr:uid="{00000000-0004-0000-0000-00001F030000}"/>
    <hyperlink ref="W916" r:id="rId801" xr:uid="{00000000-0004-0000-0000-000020030000}"/>
    <hyperlink ref="W917" r:id="rId802" xr:uid="{00000000-0004-0000-0000-000021030000}"/>
    <hyperlink ref="W918" r:id="rId803" xr:uid="{00000000-0004-0000-0000-000022030000}"/>
    <hyperlink ref="W919" r:id="rId804" xr:uid="{00000000-0004-0000-0000-000023030000}"/>
    <hyperlink ref="W920" r:id="rId805" xr:uid="{00000000-0004-0000-0000-000024030000}"/>
    <hyperlink ref="W921" r:id="rId806" xr:uid="{00000000-0004-0000-0000-000025030000}"/>
    <hyperlink ref="W922" r:id="rId807" xr:uid="{00000000-0004-0000-0000-000026030000}"/>
    <hyperlink ref="W923" r:id="rId808" xr:uid="{00000000-0004-0000-0000-000027030000}"/>
    <hyperlink ref="W925" r:id="rId809" xr:uid="{00000000-0004-0000-0000-000028030000}"/>
    <hyperlink ref="W926" r:id="rId810" xr:uid="{00000000-0004-0000-0000-000029030000}"/>
    <hyperlink ref="W927" r:id="rId811" xr:uid="{00000000-0004-0000-0000-00002A030000}"/>
    <hyperlink ref="W928" r:id="rId812" xr:uid="{00000000-0004-0000-0000-00002B030000}"/>
    <hyperlink ref="W929" r:id="rId813" xr:uid="{00000000-0004-0000-0000-00002C030000}"/>
    <hyperlink ref="W930" r:id="rId814" xr:uid="{00000000-0004-0000-0000-00002D030000}"/>
    <hyperlink ref="W931" r:id="rId815" xr:uid="{00000000-0004-0000-0000-00002E030000}"/>
    <hyperlink ref="W932" r:id="rId816" xr:uid="{00000000-0004-0000-0000-00002F030000}"/>
    <hyperlink ref="W933" r:id="rId817" xr:uid="{00000000-0004-0000-0000-000030030000}"/>
    <hyperlink ref="W934" r:id="rId818" xr:uid="{00000000-0004-0000-0000-000031030000}"/>
    <hyperlink ref="W935" r:id="rId819" xr:uid="{00000000-0004-0000-0000-000032030000}"/>
    <hyperlink ref="W936" r:id="rId820" xr:uid="{00000000-0004-0000-0000-000033030000}"/>
    <hyperlink ref="W938" r:id="rId821" xr:uid="{00000000-0004-0000-0000-000034030000}"/>
    <hyperlink ref="W939" r:id="rId822" xr:uid="{00000000-0004-0000-0000-000035030000}"/>
    <hyperlink ref="W941" r:id="rId823" xr:uid="{00000000-0004-0000-0000-000036030000}"/>
    <hyperlink ref="W942" r:id="rId824" xr:uid="{00000000-0004-0000-0000-000037030000}"/>
    <hyperlink ref="W943" r:id="rId825" xr:uid="{00000000-0004-0000-0000-000038030000}"/>
    <hyperlink ref="W944" r:id="rId826" xr:uid="{00000000-0004-0000-0000-000039030000}"/>
    <hyperlink ref="W945" r:id="rId827" xr:uid="{00000000-0004-0000-0000-00003A030000}"/>
    <hyperlink ref="W946" r:id="rId828" xr:uid="{00000000-0004-0000-0000-00003B030000}"/>
    <hyperlink ref="W949" r:id="rId829" xr:uid="{00000000-0004-0000-0000-00003C030000}"/>
    <hyperlink ref="W950" r:id="rId830" xr:uid="{00000000-0004-0000-0000-00003D030000}"/>
    <hyperlink ref="W951" r:id="rId831" xr:uid="{00000000-0004-0000-0000-00003E030000}"/>
    <hyperlink ref="W965" r:id="rId832" xr:uid="{00000000-0004-0000-0000-00003F030000}"/>
    <hyperlink ref="W970" r:id="rId833" xr:uid="{00000000-0004-0000-0000-000040030000}"/>
    <hyperlink ref="W972" r:id="rId834" xr:uid="{00000000-0004-0000-0000-000041030000}"/>
    <hyperlink ref="W973" r:id="rId835" xr:uid="{00000000-0004-0000-0000-000042030000}"/>
    <hyperlink ref="W974" r:id="rId836" xr:uid="{00000000-0004-0000-0000-000043030000}"/>
    <hyperlink ref="W975" r:id="rId837" xr:uid="{00000000-0004-0000-0000-000044030000}"/>
    <hyperlink ref="W976" r:id="rId838" xr:uid="{00000000-0004-0000-0000-000045030000}"/>
    <hyperlink ref="W977" r:id="rId839" xr:uid="{00000000-0004-0000-0000-000046030000}"/>
    <hyperlink ref="W979" r:id="rId840" xr:uid="{00000000-0004-0000-0000-000047030000}"/>
    <hyperlink ref="W983" r:id="rId841" xr:uid="{00000000-0004-0000-0000-000048030000}"/>
    <hyperlink ref="W984" r:id="rId842" xr:uid="{00000000-0004-0000-0000-000049030000}"/>
    <hyperlink ref="W985" r:id="rId843" xr:uid="{00000000-0004-0000-0000-00004A030000}"/>
    <hyperlink ref="W986" r:id="rId844" xr:uid="{00000000-0004-0000-0000-00004B030000}"/>
    <hyperlink ref="W987" r:id="rId845" xr:uid="{00000000-0004-0000-0000-00004C030000}"/>
    <hyperlink ref="W988" r:id="rId846" xr:uid="{00000000-0004-0000-0000-00004D030000}"/>
    <hyperlink ref="W989" r:id="rId847" xr:uid="{00000000-0004-0000-0000-00004E030000}"/>
    <hyperlink ref="W990" r:id="rId848" xr:uid="{00000000-0004-0000-0000-00004F030000}"/>
    <hyperlink ref="W991" r:id="rId849" xr:uid="{00000000-0004-0000-0000-000050030000}"/>
    <hyperlink ref="W992" r:id="rId850" xr:uid="{00000000-0004-0000-0000-000051030000}"/>
    <hyperlink ref="W993" r:id="rId851" xr:uid="{00000000-0004-0000-0000-000052030000}"/>
    <hyperlink ref="W994" r:id="rId852" xr:uid="{00000000-0004-0000-0000-000053030000}"/>
    <hyperlink ref="W995" r:id="rId853" xr:uid="{00000000-0004-0000-0000-000054030000}"/>
    <hyperlink ref="W996" r:id="rId854" xr:uid="{00000000-0004-0000-0000-000055030000}"/>
    <hyperlink ref="W997" r:id="rId855" xr:uid="{00000000-0004-0000-0000-000056030000}"/>
    <hyperlink ref="W998" r:id="rId856" xr:uid="{00000000-0004-0000-0000-000057030000}"/>
    <hyperlink ref="W999" r:id="rId857" xr:uid="{00000000-0004-0000-0000-000058030000}"/>
    <hyperlink ref="W1000" r:id="rId858" xr:uid="{00000000-0004-0000-0000-000059030000}"/>
    <hyperlink ref="W1001" r:id="rId859" xr:uid="{00000000-0004-0000-0000-00005A030000}"/>
    <hyperlink ref="W1002" r:id="rId860" xr:uid="{00000000-0004-0000-0000-00005B030000}"/>
    <hyperlink ref="W1003" r:id="rId861" xr:uid="{00000000-0004-0000-0000-00005C030000}"/>
    <hyperlink ref="W1004" r:id="rId862" xr:uid="{00000000-0004-0000-0000-00005D030000}"/>
    <hyperlink ref="W1005" r:id="rId863" xr:uid="{00000000-0004-0000-0000-00005E030000}"/>
    <hyperlink ref="W1006" r:id="rId864" xr:uid="{00000000-0004-0000-0000-00005F030000}"/>
    <hyperlink ref="W1007" r:id="rId865" xr:uid="{00000000-0004-0000-0000-000060030000}"/>
    <hyperlink ref="W1008" r:id="rId866" xr:uid="{00000000-0004-0000-0000-000061030000}"/>
    <hyperlink ref="W1009" r:id="rId867" xr:uid="{00000000-0004-0000-0000-000062030000}"/>
    <hyperlink ref="W1010" r:id="rId868" xr:uid="{00000000-0004-0000-0000-000063030000}"/>
    <hyperlink ref="W1011" r:id="rId869" xr:uid="{00000000-0004-0000-0000-000064030000}"/>
    <hyperlink ref="W1012" r:id="rId870" xr:uid="{00000000-0004-0000-0000-000065030000}"/>
    <hyperlink ref="W1013" r:id="rId871" xr:uid="{00000000-0004-0000-0000-000066030000}"/>
    <hyperlink ref="W1014" r:id="rId872" xr:uid="{00000000-0004-0000-0000-000067030000}"/>
    <hyperlink ref="W1015" r:id="rId873" xr:uid="{00000000-0004-0000-0000-000068030000}"/>
    <hyperlink ref="W1016" r:id="rId874" xr:uid="{00000000-0004-0000-0000-000069030000}"/>
    <hyperlink ref="W1017" r:id="rId875" xr:uid="{00000000-0004-0000-0000-00006A030000}"/>
    <hyperlink ref="W1021" r:id="rId876" xr:uid="{00000000-0004-0000-0000-00006B030000}"/>
    <hyperlink ref="W1022" r:id="rId877" xr:uid="{00000000-0004-0000-0000-00006C030000}"/>
    <hyperlink ref="W1023" r:id="rId878" xr:uid="{00000000-0004-0000-0000-00006D030000}"/>
    <hyperlink ref="W1024" r:id="rId879" xr:uid="{00000000-0004-0000-0000-00006E030000}"/>
    <hyperlink ref="W1025" r:id="rId880" xr:uid="{00000000-0004-0000-0000-00006F030000}"/>
    <hyperlink ref="W1026" r:id="rId881" xr:uid="{00000000-0004-0000-0000-000070030000}"/>
    <hyperlink ref="W1027" r:id="rId882" xr:uid="{00000000-0004-0000-0000-000071030000}"/>
    <hyperlink ref="W1028" r:id="rId883" xr:uid="{00000000-0004-0000-0000-000072030000}"/>
    <hyperlink ref="W1029" r:id="rId884" xr:uid="{00000000-0004-0000-0000-000073030000}"/>
    <hyperlink ref="W1030" r:id="rId885" xr:uid="{00000000-0004-0000-0000-000074030000}"/>
    <hyperlink ref="W1031" r:id="rId886" xr:uid="{00000000-0004-0000-0000-000075030000}"/>
    <hyperlink ref="W1032" r:id="rId887" xr:uid="{00000000-0004-0000-0000-000076030000}"/>
    <hyperlink ref="W1033" r:id="rId888" xr:uid="{00000000-0004-0000-0000-000077030000}"/>
    <hyperlink ref="W1034" r:id="rId889" xr:uid="{00000000-0004-0000-0000-000078030000}"/>
    <hyperlink ref="W1035" r:id="rId890" xr:uid="{00000000-0004-0000-0000-000079030000}"/>
    <hyperlink ref="W1036" r:id="rId891" xr:uid="{00000000-0004-0000-0000-00007A030000}"/>
    <hyperlink ref="W1037" r:id="rId892" xr:uid="{00000000-0004-0000-0000-00007B030000}"/>
    <hyperlink ref="W1038" r:id="rId893" xr:uid="{00000000-0004-0000-0000-00007C030000}"/>
    <hyperlink ref="W1039" r:id="rId894" xr:uid="{00000000-0004-0000-0000-00007D030000}"/>
    <hyperlink ref="W1040" r:id="rId895" xr:uid="{00000000-0004-0000-0000-00007E030000}"/>
    <hyperlink ref="W1041" r:id="rId896" xr:uid="{00000000-0004-0000-0000-00007F030000}"/>
    <hyperlink ref="W1042" r:id="rId897" xr:uid="{00000000-0004-0000-0000-000080030000}"/>
    <hyperlink ref="W1043" r:id="rId898" xr:uid="{00000000-0004-0000-0000-000081030000}"/>
    <hyperlink ref="W1044" r:id="rId899" xr:uid="{00000000-0004-0000-0000-000082030000}"/>
    <hyperlink ref="W1045" r:id="rId900" xr:uid="{00000000-0004-0000-0000-000083030000}"/>
    <hyperlink ref="W1046" r:id="rId901" xr:uid="{00000000-0004-0000-0000-000084030000}"/>
    <hyperlink ref="W1047" r:id="rId902" xr:uid="{00000000-0004-0000-0000-000085030000}"/>
    <hyperlink ref="W1048" r:id="rId903" xr:uid="{00000000-0004-0000-0000-000086030000}"/>
    <hyperlink ref="W1049" r:id="rId904" xr:uid="{00000000-0004-0000-0000-000087030000}"/>
    <hyperlink ref="W1050" r:id="rId905" xr:uid="{00000000-0004-0000-0000-000088030000}"/>
    <hyperlink ref="W1051" r:id="rId906" xr:uid="{00000000-0004-0000-0000-000089030000}"/>
    <hyperlink ref="W1052" r:id="rId907" xr:uid="{00000000-0004-0000-0000-00008A030000}"/>
    <hyperlink ref="W1053" r:id="rId908" xr:uid="{00000000-0004-0000-0000-00008B030000}"/>
    <hyperlink ref="W1054" r:id="rId909" xr:uid="{00000000-0004-0000-0000-00008C030000}"/>
    <hyperlink ref="W1055" r:id="rId910" xr:uid="{00000000-0004-0000-0000-00008D030000}"/>
    <hyperlink ref="W1056" r:id="rId911" xr:uid="{00000000-0004-0000-0000-00008E030000}"/>
    <hyperlink ref="W1057" r:id="rId912" xr:uid="{00000000-0004-0000-0000-00008F030000}"/>
    <hyperlink ref="W1058" r:id="rId913" xr:uid="{00000000-0004-0000-0000-000090030000}"/>
    <hyperlink ref="W1059" r:id="rId914" xr:uid="{00000000-0004-0000-0000-000091030000}"/>
    <hyperlink ref="W1060" r:id="rId915" xr:uid="{00000000-0004-0000-0000-000092030000}"/>
    <hyperlink ref="W1061" r:id="rId916" xr:uid="{00000000-0004-0000-0000-000093030000}"/>
    <hyperlink ref="W1062" r:id="rId917" xr:uid="{00000000-0004-0000-0000-000094030000}"/>
    <hyperlink ref="W1063" r:id="rId918" xr:uid="{00000000-0004-0000-0000-000095030000}"/>
    <hyperlink ref="W1064" r:id="rId919" xr:uid="{00000000-0004-0000-0000-000096030000}"/>
    <hyperlink ref="W1067" r:id="rId920" xr:uid="{00000000-0004-0000-0000-000097030000}"/>
    <hyperlink ref="W1068" r:id="rId921" xr:uid="{00000000-0004-0000-0000-000098030000}"/>
    <hyperlink ref="W1069" r:id="rId922" xr:uid="{00000000-0004-0000-0000-000099030000}"/>
    <hyperlink ref="W1070" r:id="rId923" xr:uid="{00000000-0004-0000-0000-00009A030000}"/>
    <hyperlink ref="W1071" r:id="rId924" xr:uid="{00000000-0004-0000-0000-00009B030000}"/>
    <hyperlink ref="W1072" r:id="rId925" xr:uid="{00000000-0004-0000-0000-00009C030000}"/>
    <hyperlink ref="W1073" r:id="rId926" xr:uid="{00000000-0004-0000-0000-00009D030000}"/>
    <hyperlink ref="W1074" r:id="rId927" xr:uid="{00000000-0004-0000-0000-00009E030000}"/>
    <hyperlink ref="W1075" r:id="rId928" xr:uid="{00000000-0004-0000-0000-00009F030000}"/>
    <hyperlink ref="W1076" r:id="rId929" xr:uid="{00000000-0004-0000-0000-0000A0030000}"/>
    <hyperlink ref="W1077" r:id="rId930" xr:uid="{00000000-0004-0000-0000-0000A1030000}"/>
    <hyperlink ref="W1078" r:id="rId931" xr:uid="{00000000-0004-0000-0000-0000A2030000}"/>
    <hyperlink ref="W1079" r:id="rId932" xr:uid="{00000000-0004-0000-0000-0000A3030000}"/>
    <hyperlink ref="W1080" r:id="rId933" xr:uid="{00000000-0004-0000-0000-0000A4030000}"/>
    <hyperlink ref="W1081" r:id="rId934" xr:uid="{00000000-0004-0000-0000-0000A5030000}"/>
    <hyperlink ref="W1082" r:id="rId935" xr:uid="{00000000-0004-0000-0000-0000A6030000}"/>
    <hyperlink ref="W1083" r:id="rId936" xr:uid="{00000000-0004-0000-0000-0000A7030000}"/>
    <hyperlink ref="W1084" r:id="rId937" xr:uid="{00000000-0004-0000-0000-0000A8030000}"/>
    <hyperlink ref="W1085" r:id="rId938" xr:uid="{00000000-0004-0000-0000-0000A9030000}"/>
    <hyperlink ref="W1086" r:id="rId939" xr:uid="{00000000-0004-0000-0000-0000AA030000}"/>
    <hyperlink ref="W1087" r:id="rId940" xr:uid="{00000000-0004-0000-0000-0000AB030000}"/>
    <hyperlink ref="W1088" r:id="rId941" xr:uid="{00000000-0004-0000-0000-0000AC030000}"/>
    <hyperlink ref="W1089" r:id="rId942" xr:uid="{00000000-0004-0000-0000-0000AD030000}"/>
    <hyperlink ref="W1090" r:id="rId943" xr:uid="{00000000-0004-0000-0000-0000AE030000}"/>
    <hyperlink ref="W1091" r:id="rId944" xr:uid="{00000000-0004-0000-0000-0000AF030000}"/>
    <hyperlink ref="W1092" r:id="rId945" xr:uid="{00000000-0004-0000-0000-0000B0030000}"/>
    <hyperlink ref="W1093" r:id="rId946" xr:uid="{00000000-0004-0000-0000-0000B1030000}"/>
    <hyperlink ref="W1094" r:id="rId947" xr:uid="{00000000-0004-0000-0000-0000B2030000}"/>
    <hyperlink ref="W1095" r:id="rId948" xr:uid="{00000000-0004-0000-0000-0000B3030000}"/>
    <hyperlink ref="W1096" r:id="rId949" xr:uid="{00000000-0004-0000-0000-0000B4030000}"/>
    <hyperlink ref="W1098" r:id="rId950" xr:uid="{00000000-0004-0000-0000-0000B5030000}"/>
    <hyperlink ref="W1099" r:id="rId951" xr:uid="{00000000-0004-0000-0000-0000B6030000}"/>
    <hyperlink ref="W1100" r:id="rId952" xr:uid="{00000000-0004-0000-0000-0000B7030000}"/>
    <hyperlink ref="W1101" r:id="rId953" xr:uid="{00000000-0004-0000-0000-0000B8030000}"/>
    <hyperlink ref="W1102" r:id="rId954" xr:uid="{00000000-0004-0000-0000-0000B9030000}"/>
    <hyperlink ref="W1103" r:id="rId955" xr:uid="{00000000-0004-0000-0000-0000BA030000}"/>
    <hyperlink ref="W1105" r:id="rId956" xr:uid="{00000000-0004-0000-0000-0000BB030000}"/>
    <hyperlink ref="W1107" r:id="rId957" xr:uid="{00000000-0004-0000-0000-0000BC030000}"/>
    <hyperlink ref="W1108" r:id="rId958" xr:uid="{00000000-0004-0000-0000-0000BD030000}"/>
    <hyperlink ref="W1109" r:id="rId959" xr:uid="{00000000-0004-0000-0000-0000BE030000}"/>
    <hyperlink ref="W1110" r:id="rId960" xr:uid="{00000000-0004-0000-0000-0000BF030000}"/>
    <hyperlink ref="W1111" r:id="rId961" xr:uid="{00000000-0004-0000-0000-0000C0030000}"/>
    <hyperlink ref="W1113" r:id="rId962" xr:uid="{00000000-0004-0000-0000-0000C1030000}"/>
    <hyperlink ref="W1114" r:id="rId963" xr:uid="{00000000-0004-0000-0000-0000C2030000}"/>
    <hyperlink ref="W1117" r:id="rId964" xr:uid="{00000000-0004-0000-0000-0000C3030000}"/>
    <hyperlink ref="W1118" r:id="rId965" xr:uid="{00000000-0004-0000-0000-0000C4030000}"/>
    <hyperlink ref="W1119" r:id="rId966" xr:uid="{00000000-0004-0000-0000-0000C5030000}"/>
    <hyperlink ref="W1120" r:id="rId967" xr:uid="{00000000-0004-0000-0000-0000C6030000}"/>
    <hyperlink ref="W1121" r:id="rId968" xr:uid="{00000000-0004-0000-0000-0000C7030000}"/>
    <hyperlink ref="W1122" r:id="rId969" xr:uid="{00000000-0004-0000-0000-0000C8030000}"/>
    <hyperlink ref="W1123" r:id="rId970" xr:uid="{00000000-0004-0000-0000-0000C9030000}"/>
    <hyperlink ref="W1124" r:id="rId971" xr:uid="{00000000-0004-0000-0000-0000CA030000}"/>
    <hyperlink ref="W1125" r:id="rId972" xr:uid="{00000000-0004-0000-0000-0000CB030000}"/>
    <hyperlink ref="W1126" r:id="rId973" xr:uid="{00000000-0004-0000-0000-0000CC030000}"/>
    <hyperlink ref="W1127" r:id="rId974" xr:uid="{00000000-0004-0000-0000-0000CD030000}"/>
    <hyperlink ref="W1128" r:id="rId975" xr:uid="{00000000-0004-0000-0000-0000CE030000}"/>
    <hyperlink ref="W1129" r:id="rId976" xr:uid="{00000000-0004-0000-0000-0000CF030000}"/>
    <hyperlink ref="W1130" r:id="rId977" xr:uid="{00000000-0004-0000-0000-0000D0030000}"/>
    <hyperlink ref="W1131" r:id="rId978" xr:uid="{00000000-0004-0000-0000-0000D1030000}"/>
    <hyperlink ref="W1132" r:id="rId979" xr:uid="{00000000-0004-0000-0000-0000D2030000}"/>
    <hyperlink ref="W1133" r:id="rId980" xr:uid="{00000000-0004-0000-0000-0000D3030000}"/>
    <hyperlink ref="W1134" r:id="rId981" xr:uid="{00000000-0004-0000-0000-0000D4030000}"/>
    <hyperlink ref="W1135" r:id="rId982" xr:uid="{00000000-0004-0000-0000-0000D5030000}"/>
    <hyperlink ref="W1136" r:id="rId983" xr:uid="{00000000-0004-0000-0000-0000D6030000}"/>
    <hyperlink ref="W1137" r:id="rId984" xr:uid="{00000000-0004-0000-0000-0000D7030000}"/>
    <hyperlink ref="W1138" r:id="rId985" xr:uid="{00000000-0004-0000-0000-0000D8030000}"/>
    <hyperlink ref="W1139" r:id="rId986" xr:uid="{00000000-0004-0000-0000-0000D9030000}"/>
    <hyperlink ref="W1140" r:id="rId987" xr:uid="{00000000-0004-0000-0000-0000DA030000}"/>
    <hyperlink ref="W1141" r:id="rId988" xr:uid="{00000000-0004-0000-0000-0000DB030000}"/>
    <hyperlink ref="W1142" r:id="rId989" xr:uid="{00000000-0004-0000-0000-0000DC030000}"/>
    <hyperlink ref="W1143" r:id="rId990" xr:uid="{00000000-0004-0000-0000-0000DD030000}"/>
    <hyperlink ref="W1144" r:id="rId991" xr:uid="{00000000-0004-0000-0000-0000DE030000}"/>
    <hyperlink ref="W1145" r:id="rId992" xr:uid="{00000000-0004-0000-0000-0000DF030000}"/>
    <hyperlink ref="W1146" r:id="rId993" xr:uid="{00000000-0004-0000-0000-0000E0030000}"/>
    <hyperlink ref="W1147" r:id="rId994" xr:uid="{00000000-0004-0000-0000-0000E1030000}"/>
    <hyperlink ref="W1148" r:id="rId995" xr:uid="{00000000-0004-0000-0000-0000E2030000}"/>
    <hyperlink ref="W1149" r:id="rId996" xr:uid="{00000000-0004-0000-0000-0000E3030000}"/>
    <hyperlink ref="W1150" r:id="rId997" xr:uid="{00000000-0004-0000-0000-0000E4030000}"/>
    <hyperlink ref="W1151" r:id="rId998" xr:uid="{00000000-0004-0000-0000-0000E5030000}"/>
    <hyperlink ref="W1152" r:id="rId999" xr:uid="{00000000-0004-0000-0000-0000E6030000}"/>
    <hyperlink ref="W1153" r:id="rId1000" xr:uid="{00000000-0004-0000-0000-0000E7030000}"/>
    <hyperlink ref="W1154" r:id="rId1001" xr:uid="{00000000-0004-0000-0000-0000E8030000}"/>
    <hyperlink ref="W1155" r:id="rId1002" xr:uid="{00000000-0004-0000-0000-0000E9030000}"/>
    <hyperlink ref="W1156" r:id="rId1003" xr:uid="{00000000-0004-0000-0000-0000EA030000}"/>
    <hyperlink ref="W1157" r:id="rId1004" xr:uid="{00000000-0004-0000-0000-0000EB030000}"/>
    <hyperlink ref="W1158" r:id="rId1005" xr:uid="{00000000-0004-0000-0000-0000EC030000}"/>
    <hyperlink ref="W1159" r:id="rId1006" xr:uid="{00000000-0004-0000-0000-0000ED030000}"/>
    <hyperlink ref="W1160" r:id="rId1007" xr:uid="{00000000-0004-0000-0000-0000EE030000}"/>
    <hyperlink ref="W1161" r:id="rId1008" xr:uid="{00000000-0004-0000-0000-0000EF030000}"/>
    <hyperlink ref="W1162" r:id="rId1009" xr:uid="{00000000-0004-0000-0000-0000F0030000}"/>
    <hyperlink ref="W1163" r:id="rId1010" xr:uid="{00000000-0004-0000-0000-0000F1030000}"/>
    <hyperlink ref="W1164" r:id="rId1011" xr:uid="{00000000-0004-0000-0000-0000F2030000}"/>
    <hyperlink ref="W1166" r:id="rId1012" xr:uid="{00000000-0004-0000-0000-0000F3030000}"/>
    <hyperlink ref="W1167" r:id="rId1013" xr:uid="{00000000-0004-0000-0000-0000F4030000}"/>
    <hyperlink ref="W1168" r:id="rId1014" xr:uid="{00000000-0004-0000-0000-0000F5030000}"/>
    <hyperlink ref="W1169" r:id="rId1015" xr:uid="{00000000-0004-0000-0000-0000F6030000}"/>
    <hyperlink ref="W1170" r:id="rId1016" xr:uid="{00000000-0004-0000-0000-0000F7030000}"/>
    <hyperlink ref="W1171" r:id="rId1017" xr:uid="{00000000-0004-0000-0000-0000F8030000}"/>
    <hyperlink ref="W1172" r:id="rId1018" xr:uid="{00000000-0004-0000-0000-0000F9030000}"/>
    <hyperlink ref="W1173" r:id="rId1019" xr:uid="{00000000-0004-0000-0000-0000FA030000}"/>
    <hyperlink ref="H1174" r:id="rId1020" xr:uid="{00000000-0004-0000-0000-0000FB030000}"/>
    <hyperlink ref="W1174" r:id="rId1021" xr:uid="{00000000-0004-0000-0000-0000FC030000}"/>
    <hyperlink ref="H1175" r:id="rId1022" xr:uid="{00000000-0004-0000-0000-0000FD030000}"/>
    <hyperlink ref="W1175" r:id="rId1023" xr:uid="{00000000-0004-0000-0000-0000FE030000}"/>
    <hyperlink ref="W1176" r:id="rId1024" xr:uid="{00000000-0004-0000-0000-0000FF030000}"/>
    <hyperlink ref="W1177" r:id="rId1025" xr:uid="{00000000-0004-0000-0000-000000040000}"/>
    <hyperlink ref="I1180" r:id="rId1026" xr:uid="{00000000-0004-0000-0000-000001040000}"/>
    <hyperlink ref="W1180" r:id="rId1027" xr:uid="{00000000-0004-0000-0000-000002040000}"/>
    <hyperlink ref="W1182" r:id="rId1028" xr:uid="{00000000-0004-0000-0000-000003040000}"/>
    <hyperlink ref="W1183" r:id="rId1029" xr:uid="{00000000-0004-0000-0000-000004040000}"/>
    <hyperlink ref="W1184" r:id="rId1030" xr:uid="{00000000-0004-0000-0000-000005040000}"/>
    <hyperlink ref="W1185" r:id="rId1031" xr:uid="{00000000-0004-0000-0000-000006040000}"/>
    <hyperlink ref="W1186" r:id="rId1032" xr:uid="{00000000-0004-0000-0000-000007040000}"/>
    <hyperlink ref="W1187" r:id="rId1033" xr:uid="{00000000-0004-0000-0000-000008040000}"/>
    <hyperlink ref="W1188" r:id="rId1034" xr:uid="{00000000-0004-0000-0000-000009040000}"/>
    <hyperlink ref="W1189" r:id="rId1035" xr:uid="{00000000-0004-0000-0000-00000A040000}"/>
    <hyperlink ref="W1241" r:id="rId1036" xr:uid="{00000000-0004-0000-0000-00000B040000}"/>
    <hyperlink ref="W1242" r:id="rId1037" xr:uid="{00000000-0004-0000-0000-00000C040000}"/>
    <hyperlink ref="W1243" r:id="rId1038" xr:uid="{00000000-0004-0000-0000-00000D040000}"/>
    <hyperlink ref="W1244" r:id="rId1039" xr:uid="{00000000-0004-0000-0000-00000E040000}"/>
    <hyperlink ref="W1245" r:id="rId1040" xr:uid="{00000000-0004-0000-0000-00000F040000}"/>
    <hyperlink ref="W1246" r:id="rId1041" xr:uid="{00000000-0004-0000-0000-000010040000}"/>
    <hyperlink ref="W1247" r:id="rId1042" xr:uid="{00000000-0004-0000-0000-000011040000}"/>
    <hyperlink ref="W1248" r:id="rId1043" xr:uid="{00000000-0004-0000-0000-000012040000}"/>
    <hyperlink ref="W1249" r:id="rId1044" xr:uid="{00000000-0004-0000-0000-000013040000}"/>
    <hyperlink ref="W1250" r:id="rId1045" xr:uid="{00000000-0004-0000-0000-000014040000}"/>
    <hyperlink ref="W1251" r:id="rId1046" xr:uid="{00000000-0004-0000-0000-000015040000}"/>
    <hyperlink ref="W1252" r:id="rId1047" xr:uid="{00000000-0004-0000-0000-000016040000}"/>
    <hyperlink ref="W1253" r:id="rId1048" xr:uid="{00000000-0004-0000-0000-000017040000}"/>
    <hyperlink ref="W1254" r:id="rId1049" xr:uid="{00000000-0004-0000-0000-000018040000}"/>
    <hyperlink ref="W1255" r:id="rId1050" xr:uid="{00000000-0004-0000-0000-000019040000}"/>
    <hyperlink ref="W1256" r:id="rId1051" xr:uid="{00000000-0004-0000-0000-00001A040000}"/>
    <hyperlink ref="W1257" r:id="rId1052" xr:uid="{00000000-0004-0000-0000-00001B040000}"/>
    <hyperlink ref="W1258" r:id="rId1053" xr:uid="{00000000-0004-0000-0000-00001C040000}"/>
    <hyperlink ref="W1259" r:id="rId1054" xr:uid="{00000000-0004-0000-0000-00001D040000}"/>
    <hyperlink ref="W1260" r:id="rId1055" xr:uid="{00000000-0004-0000-0000-00001E040000}"/>
    <hyperlink ref="W1261" r:id="rId1056" xr:uid="{00000000-0004-0000-0000-00001F040000}"/>
    <hyperlink ref="W1262" r:id="rId1057" xr:uid="{00000000-0004-0000-0000-000020040000}"/>
    <hyperlink ref="W1263" r:id="rId1058" xr:uid="{00000000-0004-0000-0000-000021040000}"/>
    <hyperlink ref="W1264" r:id="rId1059" xr:uid="{00000000-0004-0000-0000-000022040000}"/>
    <hyperlink ref="W1265" r:id="rId1060" xr:uid="{00000000-0004-0000-0000-000023040000}"/>
    <hyperlink ref="W1266" r:id="rId1061" xr:uid="{00000000-0004-0000-0000-000024040000}"/>
    <hyperlink ref="W1267" r:id="rId1062" xr:uid="{00000000-0004-0000-0000-000025040000}"/>
    <hyperlink ref="W1268" r:id="rId1063" xr:uid="{00000000-0004-0000-0000-000026040000}"/>
    <hyperlink ref="W1269" r:id="rId1064" xr:uid="{00000000-0004-0000-0000-000027040000}"/>
    <hyperlink ref="W1270" r:id="rId1065" xr:uid="{00000000-0004-0000-0000-000028040000}"/>
    <hyperlink ref="W1271" r:id="rId1066" xr:uid="{00000000-0004-0000-0000-000029040000}"/>
    <hyperlink ref="W1272" r:id="rId1067" xr:uid="{00000000-0004-0000-0000-00002A040000}"/>
    <hyperlink ref="W1273" r:id="rId1068" xr:uid="{00000000-0004-0000-0000-00002B040000}"/>
    <hyperlink ref="W1274" r:id="rId1069" xr:uid="{00000000-0004-0000-0000-00002C040000}"/>
    <hyperlink ref="W1275" r:id="rId1070" xr:uid="{00000000-0004-0000-0000-00002D040000}"/>
    <hyperlink ref="W1276" r:id="rId1071" xr:uid="{00000000-0004-0000-0000-00002E040000}"/>
    <hyperlink ref="W1277" r:id="rId1072" xr:uid="{00000000-0004-0000-0000-00002F040000}"/>
    <hyperlink ref="W1278" r:id="rId1073" xr:uid="{00000000-0004-0000-0000-000030040000}"/>
    <hyperlink ref="W1279" r:id="rId1074" xr:uid="{00000000-0004-0000-0000-000031040000}"/>
    <hyperlink ref="W1280" r:id="rId1075" xr:uid="{00000000-0004-0000-0000-000032040000}"/>
    <hyperlink ref="W1281" r:id="rId1076" xr:uid="{00000000-0004-0000-0000-000033040000}"/>
    <hyperlink ref="W1282" r:id="rId1077" xr:uid="{00000000-0004-0000-0000-000034040000}"/>
    <hyperlink ref="W1283" r:id="rId1078" xr:uid="{00000000-0004-0000-0000-000035040000}"/>
    <hyperlink ref="W1284" r:id="rId1079" xr:uid="{00000000-0004-0000-0000-000036040000}"/>
    <hyperlink ref="W1285" r:id="rId1080" xr:uid="{00000000-0004-0000-0000-000037040000}"/>
    <hyperlink ref="W1286" r:id="rId1081" xr:uid="{00000000-0004-0000-0000-000038040000}"/>
    <hyperlink ref="W1287" r:id="rId1082" xr:uid="{00000000-0004-0000-0000-000039040000}"/>
    <hyperlink ref="W1288" r:id="rId1083" xr:uid="{00000000-0004-0000-0000-00003A040000}"/>
    <hyperlink ref="W1289" r:id="rId1084" xr:uid="{00000000-0004-0000-0000-00003B040000}"/>
    <hyperlink ref="W1290" r:id="rId1085" xr:uid="{00000000-0004-0000-0000-00003C040000}"/>
    <hyperlink ref="W1291" r:id="rId1086" xr:uid="{00000000-0004-0000-0000-00003D040000}"/>
    <hyperlink ref="W1292" r:id="rId1087" xr:uid="{00000000-0004-0000-0000-00003E040000}"/>
    <hyperlink ref="W1293" r:id="rId1088" xr:uid="{00000000-0004-0000-0000-00003F040000}"/>
    <hyperlink ref="W1294" r:id="rId1089" xr:uid="{00000000-0004-0000-0000-000040040000}"/>
    <hyperlink ref="W1295" r:id="rId1090" xr:uid="{00000000-0004-0000-0000-000041040000}"/>
    <hyperlink ref="W1296" r:id="rId1091" xr:uid="{00000000-0004-0000-0000-000042040000}"/>
    <hyperlink ref="W1297" r:id="rId1092" xr:uid="{00000000-0004-0000-0000-000043040000}"/>
    <hyperlink ref="W1298" r:id="rId1093" xr:uid="{00000000-0004-0000-0000-000044040000}"/>
    <hyperlink ref="W1299" r:id="rId1094" xr:uid="{00000000-0004-0000-0000-000045040000}"/>
    <hyperlink ref="W1300" r:id="rId1095" xr:uid="{00000000-0004-0000-0000-000046040000}"/>
    <hyperlink ref="W1301" r:id="rId1096" xr:uid="{00000000-0004-0000-0000-000047040000}"/>
    <hyperlink ref="W1302" r:id="rId1097" xr:uid="{00000000-0004-0000-0000-000048040000}"/>
    <hyperlink ref="W1303" r:id="rId1098" xr:uid="{00000000-0004-0000-0000-000049040000}"/>
    <hyperlink ref="W1304" r:id="rId1099" xr:uid="{00000000-0004-0000-0000-00004A040000}"/>
    <hyperlink ref="W1305" r:id="rId1100" xr:uid="{00000000-0004-0000-0000-00004B040000}"/>
    <hyperlink ref="W1306" r:id="rId1101" xr:uid="{00000000-0004-0000-0000-00004C040000}"/>
    <hyperlink ref="W1307" r:id="rId1102" xr:uid="{00000000-0004-0000-0000-00004D040000}"/>
    <hyperlink ref="W1308" r:id="rId1103" xr:uid="{00000000-0004-0000-0000-00004E040000}"/>
    <hyperlink ref="W1309" r:id="rId1104" xr:uid="{00000000-0004-0000-0000-00004F040000}"/>
    <hyperlink ref="W1310" r:id="rId1105" xr:uid="{00000000-0004-0000-0000-000050040000}"/>
    <hyperlink ref="W1311" r:id="rId1106" xr:uid="{00000000-0004-0000-0000-000051040000}"/>
    <hyperlink ref="W1312" r:id="rId1107" xr:uid="{00000000-0004-0000-0000-000052040000}"/>
    <hyperlink ref="W1329" r:id="rId1108" xr:uid="{00000000-0004-0000-0000-000053040000}"/>
    <hyperlink ref="W1330" r:id="rId1109" xr:uid="{00000000-0004-0000-0000-000054040000}"/>
    <hyperlink ref="W1331" r:id="rId1110" xr:uid="{00000000-0004-0000-0000-000055040000}"/>
    <hyperlink ref="W1332" r:id="rId1111" xr:uid="{00000000-0004-0000-0000-000056040000}"/>
    <hyperlink ref="W1333" r:id="rId1112" xr:uid="{00000000-0004-0000-0000-000057040000}"/>
    <hyperlink ref="W1334" r:id="rId1113" xr:uid="{00000000-0004-0000-0000-000058040000}"/>
    <hyperlink ref="W1335" r:id="rId1114" xr:uid="{00000000-0004-0000-0000-000059040000}"/>
    <hyperlink ref="W1336" r:id="rId1115" xr:uid="{00000000-0004-0000-0000-00005A040000}"/>
    <hyperlink ref="W1337" r:id="rId1116" xr:uid="{00000000-0004-0000-0000-00005B040000}"/>
    <hyperlink ref="W1338" r:id="rId1117" xr:uid="{00000000-0004-0000-0000-00005C040000}"/>
    <hyperlink ref="W1339" r:id="rId1118" xr:uid="{00000000-0004-0000-0000-00005D040000}"/>
    <hyperlink ref="W1340" r:id="rId1119" xr:uid="{00000000-0004-0000-0000-00005E040000}"/>
    <hyperlink ref="W1341" r:id="rId1120" xr:uid="{00000000-0004-0000-0000-00005F040000}"/>
    <hyperlink ref="W1342" r:id="rId1121" xr:uid="{00000000-0004-0000-0000-000060040000}"/>
    <hyperlink ref="W1343" r:id="rId1122" xr:uid="{00000000-0004-0000-0000-000061040000}"/>
    <hyperlink ref="W1344" r:id="rId1123" xr:uid="{00000000-0004-0000-0000-000062040000}"/>
    <hyperlink ref="W1345" r:id="rId1124" xr:uid="{00000000-0004-0000-0000-000063040000}"/>
    <hyperlink ref="W1346" r:id="rId1125" xr:uid="{00000000-0004-0000-0000-000064040000}"/>
    <hyperlink ref="W1347" r:id="rId1126" xr:uid="{00000000-0004-0000-0000-000065040000}"/>
    <hyperlink ref="W1348" r:id="rId1127" xr:uid="{00000000-0004-0000-0000-000066040000}"/>
    <hyperlink ref="W1349" r:id="rId1128" xr:uid="{00000000-0004-0000-0000-000067040000}"/>
    <hyperlink ref="W1350" r:id="rId1129" xr:uid="{00000000-0004-0000-0000-000068040000}"/>
    <hyperlink ref="I1351" r:id="rId1130" xr:uid="{00000000-0004-0000-0000-000069040000}"/>
    <hyperlink ref="W1351" r:id="rId1131" xr:uid="{00000000-0004-0000-0000-00006A040000}"/>
    <hyperlink ref="H1353" r:id="rId1132" xr:uid="{00000000-0004-0000-0000-00006B040000}"/>
    <hyperlink ref="W1353" r:id="rId1133" xr:uid="{00000000-0004-0000-0000-00006C040000}"/>
    <hyperlink ref="H1354" r:id="rId1134" xr:uid="{00000000-0004-0000-0000-00006D040000}"/>
    <hyperlink ref="W1354" r:id="rId1135" xr:uid="{00000000-0004-0000-0000-00006E040000}"/>
    <hyperlink ref="H1355" r:id="rId1136" xr:uid="{00000000-0004-0000-0000-00006F040000}"/>
    <hyperlink ref="W1355" r:id="rId1137" xr:uid="{00000000-0004-0000-0000-000070040000}"/>
    <hyperlink ref="H1356" r:id="rId1138" xr:uid="{00000000-0004-0000-0000-000071040000}"/>
    <hyperlink ref="W1356" r:id="rId1139" xr:uid="{00000000-0004-0000-0000-000072040000}"/>
    <hyperlink ref="H1357" r:id="rId1140" xr:uid="{00000000-0004-0000-0000-000073040000}"/>
    <hyperlink ref="W1357" r:id="rId1141" xr:uid="{00000000-0004-0000-0000-000074040000}"/>
    <hyperlink ref="H1358" r:id="rId1142" xr:uid="{00000000-0004-0000-0000-000075040000}"/>
    <hyperlink ref="W1358" r:id="rId1143" xr:uid="{00000000-0004-0000-0000-000076040000}"/>
    <hyperlink ref="H1359" r:id="rId1144" xr:uid="{00000000-0004-0000-0000-000077040000}"/>
    <hyperlink ref="W1359" r:id="rId1145" xr:uid="{00000000-0004-0000-0000-000078040000}"/>
    <hyperlink ref="W1360" r:id="rId1146" xr:uid="{00000000-0004-0000-0000-000079040000}"/>
    <hyperlink ref="H1361" r:id="rId1147" xr:uid="{00000000-0004-0000-0000-00007A040000}"/>
    <hyperlink ref="W1361" r:id="rId1148" xr:uid="{00000000-0004-0000-0000-00007B040000}"/>
    <hyperlink ref="H1362" r:id="rId1149" xr:uid="{00000000-0004-0000-0000-00007C040000}"/>
    <hyperlink ref="W1362" r:id="rId1150" xr:uid="{00000000-0004-0000-0000-00007D040000}"/>
    <hyperlink ref="H1363" r:id="rId1151" xr:uid="{00000000-0004-0000-0000-00007E040000}"/>
    <hyperlink ref="W1363" r:id="rId1152" xr:uid="{00000000-0004-0000-0000-00007F040000}"/>
    <hyperlink ref="H1364" r:id="rId1153" xr:uid="{00000000-0004-0000-0000-000080040000}"/>
    <hyperlink ref="W1364" r:id="rId1154" xr:uid="{00000000-0004-0000-0000-000081040000}"/>
    <hyperlink ref="H1365" r:id="rId1155" xr:uid="{00000000-0004-0000-0000-000082040000}"/>
    <hyperlink ref="W1365" r:id="rId1156" xr:uid="{00000000-0004-0000-0000-000083040000}"/>
    <hyperlink ref="W1366" r:id="rId1157" xr:uid="{00000000-0004-0000-0000-000084040000}"/>
    <hyperlink ref="W1367" r:id="rId1158" xr:uid="{00000000-0004-0000-0000-000085040000}"/>
    <hyperlink ref="W1368" r:id="rId1159" xr:uid="{00000000-0004-0000-0000-000086040000}"/>
    <hyperlink ref="W1369" r:id="rId1160" xr:uid="{00000000-0004-0000-0000-000087040000}"/>
    <hyperlink ref="W1370" r:id="rId1161" xr:uid="{00000000-0004-0000-0000-000088040000}"/>
    <hyperlink ref="W1371" r:id="rId1162" xr:uid="{00000000-0004-0000-0000-000089040000}"/>
    <hyperlink ref="W1372" r:id="rId1163" xr:uid="{00000000-0004-0000-0000-00008A040000}"/>
    <hyperlink ref="W1373" r:id="rId1164" xr:uid="{00000000-0004-0000-0000-00008B040000}"/>
    <hyperlink ref="W1374" r:id="rId1165" xr:uid="{00000000-0004-0000-0000-00008C040000}"/>
    <hyperlink ref="W1375" r:id="rId1166" xr:uid="{00000000-0004-0000-0000-00008D040000}"/>
    <hyperlink ref="W1376" r:id="rId1167" xr:uid="{00000000-0004-0000-0000-00008E040000}"/>
    <hyperlink ref="W1377" r:id="rId1168" xr:uid="{00000000-0004-0000-0000-00008F040000}"/>
    <hyperlink ref="W1378" r:id="rId1169" xr:uid="{00000000-0004-0000-0000-000090040000}"/>
    <hyperlink ref="W1379" r:id="rId1170" xr:uid="{00000000-0004-0000-0000-000091040000}"/>
    <hyperlink ref="W1380" r:id="rId1171" xr:uid="{00000000-0004-0000-0000-000092040000}"/>
    <hyperlink ref="W1381" r:id="rId1172" xr:uid="{00000000-0004-0000-0000-000093040000}"/>
    <hyperlink ref="W1382" r:id="rId1173" xr:uid="{00000000-0004-0000-0000-000094040000}"/>
    <hyperlink ref="W1383" r:id="rId1174" xr:uid="{00000000-0004-0000-0000-000095040000}"/>
    <hyperlink ref="W1384" r:id="rId1175" xr:uid="{00000000-0004-0000-0000-000096040000}"/>
    <hyperlink ref="W1385" r:id="rId1176" xr:uid="{00000000-0004-0000-0000-000097040000}"/>
    <hyperlink ref="W1386" r:id="rId1177" xr:uid="{00000000-0004-0000-0000-000098040000}"/>
    <hyperlink ref="W1387" r:id="rId1178" xr:uid="{00000000-0004-0000-0000-000099040000}"/>
    <hyperlink ref="W1388" r:id="rId1179" xr:uid="{00000000-0004-0000-0000-00009A040000}"/>
    <hyperlink ref="W1389" r:id="rId1180" xr:uid="{00000000-0004-0000-0000-00009B040000}"/>
    <hyperlink ref="W1390" r:id="rId1181" xr:uid="{00000000-0004-0000-0000-00009C040000}"/>
    <hyperlink ref="W1391" r:id="rId1182" xr:uid="{00000000-0004-0000-0000-00009D040000}"/>
    <hyperlink ref="W1392" r:id="rId1183" xr:uid="{00000000-0004-0000-0000-00009E040000}"/>
    <hyperlink ref="W1393" r:id="rId1184" xr:uid="{00000000-0004-0000-0000-00009F040000}"/>
    <hyperlink ref="W1394" r:id="rId1185" xr:uid="{00000000-0004-0000-0000-0000A0040000}"/>
    <hyperlink ref="W1395" r:id="rId1186" xr:uid="{00000000-0004-0000-0000-0000A1040000}"/>
    <hyperlink ref="W1396" r:id="rId1187" xr:uid="{00000000-0004-0000-0000-0000A2040000}"/>
    <hyperlink ref="W1398" r:id="rId1188" xr:uid="{00000000-0004-0000-0000-0000A3040000}"/>
    <hyperlink ref="W1399" r:id="rId1189" xr:uid="{00000000-0004-0000-0000-0000A4040000}"/>
    <hyperlink ref="W1400" r:id="rId1190" xr:uid="{00000000-0004-0000-0000-0000A5040000}"/>
    <hyperlink ref="W1401" r:id="rId1191" xr:uid="{00000000-0004-0000-0000-0000A6040000}"/>
    <hyperlink ref="W1402" r:id="rId1192" xr:uid="{00000000-0004-0000-0000-0000A7040000}"/>
    <hyperlink ref="W1403" r:id="rId1193" xr:uid="{00000000-0004-0000-0000-0000A8040000}"/>
    <hyperlink ref="W1404" r:id="rId1194" xr:uid="{00000000-0004-0000-0000-0000A9040000}"/>
    <hyperlink ref="W1405" r:id="rId1195" xr:uid="{00000000-0004-0000-0000-0000AA040000}"/>
    <hyperlink ref="W1406" r:id="rId1196" xr:uid="{00000000-0004-0000-0000-0000AB040000}"/>
    <hyperlink ref="W1407" r:id="rId1197" xr:uid="{00000000-0004-0000-0000-0000AC040000}"/>
    <hyperlink ref="W1408" r:id="rId1198" xr:uid="{00000000-0004-0000-0000-0000AD040000}"/>
    <hyperlink ref="W1409" r:id="rId1199" xr:uid="{00000000-0004-0000-0000-0000AE040000}"/>
    <hyperlink ref="W1410" r:id="rId1200" xr:uid="{00000000-0004-0000-0000-0000AF040000}"/>
    <hyperlink ref="W1411" r:id="rId1201" xr:uid="{00000000-0004-0000-0000-0000B0040000}"/>
    <hyperlink ref="W1412" r:id="rId1202" xr:uid="{00000000-0004-0000-0000-0000B1040000}"/>
    <hyperlink ref="W1413" r:id="rId1203" xr:uid="{00000000-0004-0000-0000-0000B2040000}"/>
    <hyperlink ref="W1414" r:id="rId1204" xr:uid="{00000000-0004-0000-0000-0000B3040000}"/>
    <hyperlink ref="W1415" r:id="rId1205" xr:uid="{00000000-0004-0000-0000-0000B4040000}"/>
    <hyperlink ref="W1416" r:id="rId1206" xr:uid="{00000000-0004-0000-0000-0000B5040000}"/>
    <hyperlink ref="W1417" r:id="rId1207" xr:uid="{00000000-0004-0000-0000-0000B6040000}"/>
    <hyperlink ref="W1418" r:id="rId1208" xr:uid="{00000000-0004-0000-0000-0000B7040000}"/>
    <hyperlink ref="W1419" r:id="rId1209" xr:uid="{00000000-0004-0000-0000-0000B8040000}"/>
    <hyperlink ref="W1420" r:id="rId1210" xr:uid="{00000000-0004-0000-0000-0000B9040000}"/>
    <hyperlink ref="W1421" r:id="rId1211" xr:uid="{00000000-0004-0000-0000-0000BA040000}"/>
    <hyperlink ref="W1422" r:id="rId1212" xr:uid="{00000000-0004-0000-0000-0000BB040000}"/>
    <hyperlink ref="W1423" r:id="rId1213" xr:uid="{00000000-0004-0000-0000-0000BC040000}"/>
    <hyperlink ref="W1424" r:id="rId1214" xr:uid="{00000000-0004-0000-0000-0000BD040000}"/>
    <hyperlink ref="W1425" r:id="rId1215" xr:uid="{00000000-0004-0000-0000-0000BE040000}"/>
    <hyperlink ref="W1426" r:id="rId1216" xr:uid="{00000000-0004-0000-0000-0000BF040000}"/>
    <hyperlink ref="W1427" r:id="rId1217" xr:uid="{00000000-0004-0000-0000-0000C0040000}"/>
    <hyperlink ref="W1428" r:id="rId1218" xr:uid="{00000000-0004-0000-0000-0000C1040000}"/>
    <hyperlink ref="W1429" r:id="rId1219" xr:uid="{00000000-0004-0000-0000-0000C2040000}"/>
    <hyperlink ref="W1430" r:id="rId1220" xr:uid="{00000000-0004-0000-0000-0000C3040000}"/>
    <hyperlink ref="W1431" r:id="rId1221" xr:uid="{00000000-0004-0000-0000-0000C4040000}"/>
    <hyperlink ref="W1432" r:id="rId1222" xr:uid="{00000000-0004-0000-0000-0000C5040000}"/>
    <hyperlink ref="W1433" r:id="rId1223" xr:uid="{00000000-0004-0000-0000-0000C6040000}"/>
    <hyperlink ref="W1434" r:id="rId1224" xr:uid="{00000000-0004-0000-0000-0000C7040000}"/>
    <hyperlink ref="W1435" r:id="rId1225" xr:uid="{00000000-0004-0000-0000-0000C8040000}"/>
    <hyperlink ref="W1436" r:id="rId1226" xr:uid="{00000000-0004-0000-0000-0000C9040000}"/>
    <hyperlink ref="W1437" r:id="rId1227" xr:uid="{00000000-0004-0000-0000-0000CA040000}"/>
    <hyperlink ref="W1438" r:id="rId1228" xr:uid="{00000000-0004-0000-0000-0000CB040000}"/>
    <hyperlink ref="W1439" r:id="rId1229" xr:uid="{00000000-0004-0000-0000-0000CC040000}"/>
    <hyperlink ref="W1440" r:id="rId1230" xr:uid="{00000000-0004-0000-0000-0000CD040000}"/>
    <hyperlink ref="I1441" r:id="rId1231" xr:uid="{00000000-0004-0000-0000-0000CE040000}"/>
    <hyperlink ref="W1445" r:id="rId1232" xr:uid="{00000000-0004-0000-0000-0000CF040000}"/>
    <hyperlink ref="W1446" r:id="rId1233" xr:uid="{00000000-0004-0000-0000-0000D0040000}"/>
    <hyperlink ref="W1447" r:id="rId1234" xr:uid="{00000000-0004-0000-0000-0000D1040000}"/>
    <hyperlink ref="W1448" r:id="rId1235" xr:uid="{00000000-0004-0000-0000-0000D2040000}"/>
    <hyperlink ref="W1449" r:id="rId1236" xr:uid="{00000000-0004-0000-0000-0000D3040000}"/>
    <hyperlink ref="W1450" r:id="rId1237" xr:uid="{00000000-0004-0000-0000-0000D4040000}"/>
    <hyperlink ref="W1451" r:id="rId1238" xr:uid="{00000000-0004-0000-0000-0000D5040000}"/>
    <hyperlink ref="W1452" r:id="rId1239" xr:uid="{00000000-0004-0000-0000-0000D6040000}"/>
    <hyperlink ref="W1453" r:id="rId1240" xr:uid="{00000000-0004-0000-0000-0000D7040000}"/>
    <hyperlink ref="W1454" r:id="rId1241" xr:uid="{00000000-0004-0000-0000-0000D8040000}"/>
    <hyperlink ref="W1455" r:id="rId1242" xr:uid="{00000000-0004-0000-0000-0000D9040000}"/>
    <hyperlink ref="W1456" r:id="rId1243" xr:uid="{00000000-0004-0000-0000-0000DA040000}"/>
    <hyperlink ref="W1457" r:id="rId1244" xr:uid="{00000000-0004-0000-0000-0000DB040000}"/>
    <hyperlink ref="W1458" r:id="rId1245" xr:uid="{00000000-0004-0000-0000-0000DC040000}"/>
    <hyperlink ref="K1459" r:id="rId1246" display="https://www.monotaro.com/p/5031/5597/" xr:uid="{00000000-0004-0000-0000-0000DD040000}"/>
    <hyperlink ref="W1459" r:id="rId1247" xr:uid="{00000000-0004-0000-0000-0000DE040000}"/>
    <hyperlink ref="W1460" r:id="rId1248" xr:uid="{00000000-0004-0000-0000-0000DF040000}"/>
    <hyperlink ref="W1461" r:id="rId1249" xr:uid="{00000000-0004-0000-0000-0000E0040000}"/>
    <hyperlink ref="W1462" r:id="rId1250" xr:uid="{00000000-0004-0000-0000-0000E1040000}"/>
    <hyperlink ref="W1463" r:id="rId1251" xr:uid="{00000000-0004-0000-0000-0000E2040000}"/>
    <hyperlink ref="W1464" r:id="rId1252" xr:uid="{00000000-0004-0000-0000-0000E3040000}"/>
    <hyperlink ref="W1465" r:id="rId1253" xr:uid="{00000000-0004-0000-0000-0000E4040000}"/>
    <hyperlink ref="W1466" r:id="rId1254" xr:uid="{00000000-0004-0000-0000-0000E5040000}"/>
    <hyperlink ref="W1467" r:id="rId1255" xr:uid="{00000000-0004-0000-0000-0000E6040000}"/>
    <hyperlink ref="W1468" r:id="rId1256" xr:uid="{00000000-0004-0000-0000-0000E7040000}"/>
    <hyperlink ref="W1469" r:id="rId1257" xr:uid="{00000000-0004-0000-0000-0000E8040000}"/>
    <hyperlink ref="W1470" r:id="rId1258" xr:uid="{00000000-0004-0000-0000-0000E9040000}"/>
    <hyperlink ref="W1471" r:id="rId1259" xr:uid="{00000000-0004-0000-0000-0000EA040000}"/>
    <hyperlink ref="W1473" r:id="rId1260" xr:uid="{00000000-0004-0000-0000-0000EB040000}"/>
    <hyperlink ref="W1474" r:id="rId1261" xr:uid="{00000000-0004-0000-0000-0000EC040000}"/>
    <hyperlink ref="W1475" r:id="rId1262" xr:uid="{00000000-0004-0000-0000-0000ED040000}"/>
    <hyperlink ref="I1476" r:id="rId1263" xr:uid="{00000000-0004-0000-0000-0000EE040000}"/>
    <hyperlink ref="W1476" r:id="rId1264" xr:uid="{00000000-0004-0000-0000-0000EF040000}"/>
    <hyperlink ref="W1478" r:id="rId1265" xr:uid="{00000000-0004-0000-0000-0000F0040000}"/>
    <hyperlink ref="W1479" r:id="rId1266" xr:uid="{00000000-0004-0000-0000-0000F1040000}"/>
    <hyperlink ref="W1480" r:id="rId1267" xr:uid="{00000000-0004-0000-0000-0000F2040000}"/>
    <hyperlink ref="W1481" r:id="rId1268" xr:uid="{00000000-0004-0000-0000-0000F3040000}"/>
    <hyperlink ref="W1482" r:id="rId1269" xr:uid="{00000000-0004-0000-0000-0000F4040000}"/>
    <hyperlink ref="W1483" r:id="rId1270" xr:uid="{00000000-0004-0000-0000-0000F5040000}"/>
    <hyperlink ref="W1485" r:id="rId1271" xr:uid="{00000000-0004-0000-0000-0000F6040000}"/>
    <hyperlink ref="W1486" r:id="rId1272" xr:uid="{00000000-0004-0000-0000-0000F7040000}"/>
    <hyperlink ref="W1487" r:id="rId1273" xr:uid="{00000000-0004-0000-0000-0000F8040000}"/>
    <hyperlink ref="W1488" r:id="rId1274" xr:uid="{00000000-0004-0000-0000-0000F9040000}"/>
    <hyperlink ref="W1489" r:id="rId1275" xr:uid="{00000000-0004-0000-0000-0000FA040000}"/>
    <hyperlink ref="W1490" r:id="rId1276" xr:uid="{00000000-0004-0000-0000-0000FB040000}"/>
    <hyperlink ref="W1491" r:id="rId1277" xr:uid="{00000000-0004-0000-0000-0000FC040000}"/>
    <hyperlink ref="W1492" r:id="rId1278" xr:uid="{00000000-0004-0000-0000-0000FD040000}"/>
    <hyperlink ref="W1493" r:id="rId1279" xr:uid="{00000000-0004-0000-0000-0000FE040000}"/>
    <hyperlink ref="W1494" r:id="rId1280" xr:uid="{00000000-0004-0000-0000-0000FF040000}"/>
    <hyperlink ref="W1495" r:id="rId1281" xr:uid="{00000000-0004-0000-0000-000000050000}"/>
    <hyperlink ref="H1496" r:id="rId1282" xr:uid="{00000000-0004-0000-0000-000001050000}"/>
    <hyperlink ref="I1496" r:id="rId1283" xr:uid="{00000000-0004-0000-0000-000002050000}"/>
    <hyperlink ref="W1496" r:id="rId1284" xr:uid="{00000000-0004-0000-0000-000003050000}"/>
    <hyperlink ref="H1497" r:id="rId1285" xr:uid="{00000000-0004-0000-0000-000004050000}"/>
    <hyperlink ref="I1497" r:id="rId1286" xr:uid="{00000000-0004-0000-0000-000005050000}"/>
    <hyperlink ref="W1497" r:id="rId1287" xr:uid="{00000000-0004-0000-0000-000006050000}"/>
    <hyperlink ref="H1498" r:id="rId1288" xr:uid="{00000000-0004-0000-0000-000007050000}"/>
    <hyperlink ref="I1498" r:id="rId1289" xr:uid="{00000000-0004-0000-0000-000008050000}"/>
    <hyperlink ref="W1498" r:id="rId1290" xr:uid="{00000000-0004-0000-0000-000009050000}"/>
    <hyperlink ref="H1499" r:id="rId1291" xr:uid="{00000000-0004-0000-0000-00000A050000}"/>
    <hyperlink ref="I1499" r:id="rId1292" xr:uid="{00000000-0004-0000-0000-00000B050000}"/>
    <hyperlink ref="W1499" r:id="rId1293" xr:uid="{00000000-0004-0000-0000-00000C050000}"/>
    <hyperlink ref="W1500" r:id="rId1294" xr:uid="{00000000-0004-0000-0000-00000D050000}"/>
    <hyperlink ref="W1501" r:id="rId1295" xr:uid="{00000000-0004-0000-0000-00000E050000}"/>
    <hyperlink ref="W1502" r:id="rId1296" xr:uid="{00000000-0004-0000-0000-00000F050000}"/>
    <hyperlink ref="W1503" r:id="rId1297" xr:uid="{00000000-0004-0000-0000-000010050000}"/>
    <hyperlink ref="W1504" r:id="rId1298" xr:uid="{00000000-0004-0000-0000-000011050000}"/>
    <hyperlink ref="W1505" r:id="rId1299" xr:uid="{00000000-0004-0000-0000-000012050000}"/>
    <hyperlink ref="J1506" r:id="rId1300" display="https://www.monotaro.com/p/3273/5875/?t.q=UV" xr:uid="{00000000-0004-0000-0000-000013050000}"/>
    <hyperlink ref="W1506" r:id="rId1301" xr:uid="{00000000-0004-0000-0000-000014050000}"/>
    <hyperlink ref="J1507" r:id="rId1302" display="https://www.monotaro.com/p/1886/4003/?t.q=UV%83J%83b%83g%93%A7%96%BE%83J%83o%81%5B%83t%83B%83%8B%83%80" xr:uid="{00000000-0004-0000-0000-000015050000}"/>
    <hyperlink ref="W1507" r:id="rId1303" xr:uid="{00000000-0004-0000-0000-000016050000}"/>
    <hyperlink ref="W1508" r:id="rId1304" xr:uid="{00000000-0004-0000-0000-000017050000}"/>
    <hyperlink ref="W1509" r:id="rId1305" xr:uid="{00000000-0004-0000-0000-000018050000}"/>
    <hyperlink ref="W1510" r:id="rId1306" xr:uid="{00000000-0004-0000-0000-000019050000}"/>
    <hyperlink ref="W1511" r:id="rId1307" xr:uid="{00000000-0004-0000-0000-00001A050000}"/>
    <hyperlink ref="W1512" r:id="rId1308" xr:uid="{00000000-0004-0000-0000-00001B050000}"/>
    <hyperlink ref="W1513" r:id="rId1309" xr:uid="{00000000-0004-0000-0000-00001C050000}"/>
    <hyperlink ref="W1514" r:id="rId1310" xr:uid="{00000000-0004-0000-0000-00001D050000}"/>
    <hyperlink ref="W1515" r:id="rId1311" xr:uid="{00000000-0004-0000-0000-00001E050000}"/>
    <hyperlink ref="W1516" r:id="rId1312" xr:uid="{00000000-0004-0000-0000-00001F050000}"/>
    <hyperlink ref="W1517" r:id="rId1313" xr:uid="{00000000-0004-0000-0000-000020050000}"/>
    <hyperlink ref="W1518" r:id="rId1314" xr:uid="{00000000-0004-0000-0000-000021050000}"/>
    <hyperlink ref="W1519" r:id="rId1315" xr:uid="{00000000-0004-0000-0000-000022050000}"/>
    <hyperlink ref="W1520" r:id="rId1316" xr:uid="{00000000-0004-0000-0000-000023050000}"/>
    <hyperlink ref="W1521" r:id="rId1317" xr:uid="{00000000-0004-0000-0000-000024050000}"/>
    <hyperlink ref="W1522" r:id="rId1318" xr:uid="{00000000-0004-0000-0000-000025050000}"/>
    <hyperlink ref="W1523" r:id="rId1319" xr:uid="{00000000-0004-0000-0000-000026050000}"/>
    <hyperlink ref="W1524" r:id="rId1320" xr:uid="{00000000-0004-0000-0000-000027050000}"/>
    <hyperlink ref="W1525" r:id="rId1321" xr:uid="{00000000-0004-0000-0000-000028050000}"/>
    <hyperlink ref="W1527" r:id="rId1322" xr:uid="{00000000-0004-0000-0000-000029050000}"/>
    <hyperlink ref="W1528" r:id="rId1323" xr:uid="{00000000-0004-0000-0000-00002A050000}"/>
    <hyperlink ref="W1529" r:id="rId1324" xr:uid="{00000000-0004-0000-0000-00002B050000}"/>
    <hyperlink ref="W1530" r:id="rId1325" xr:uid="{00000000-0004-0000-0000-00002C050000}"/>
    <hyperlink ref="W1531" r:id="rId1326" xr:uid="{00000000-0004-0000-0000-00002D050000}"/>
    <hyperlink ref="W1532" r:id="rId1327" xr:uid="{00000000-0004-0000-0000-00002E050000}"/>
    <hyperlink ref="W1533" r:id="rId1328" xr:uid="{00000000-0004-0000-0000-00002F050000}"/>
    <hyperlink ref="W1534" r:id="rId1329" xr:uid="{00000000-0004-0000-0000-000030050000}"/>
    <hyperlink ref="W1535" r:id="rId1330" xr:uid="{00000000-0004-0000-0000-000031050000}"/>
    <hyperlink ref="W1536" r:id="rId1331" xr:uid="{00000000-0004-0000-0000-000032050000}"/>
    <hyperlink ref="W1537" r:id="rId1332" xr:uid="{00000000-0004-0000-0000-000033050000}"/>
    <hyperlink ref="W1538" r:id="rId1333" xr:uid="{00000000-0004-0000-0000-000034050000}"/>
    <hyperlink ref="W1540" r:id="rId1334" xr:uid="{00000000-0004-0000-0000-000035050000}"/>
    <hyperlink ref="W1542" r:id="rId1335" xr:uid="{00000000-0004-0000-0000-000036050000}"/>
    <hyperlink ref="W1543" r:id="rId1336" xr:uid="{00000000-0004-0000-0000-000037050000}"/>
    <hyperlink ref="W1544" r:id="rId1337" xr:uid="{00000000-0004-0000-0000-000038050000}"/>
    <hyperlink ref="W1545" r:id="rId1338" xr:uid="{00000000-0004-0000-0000-000039050000}"/>
    <hyperlink ref="W1546" r:id="rId1339" xr:uid="{00000000-0004-0000-0000-00003A050000}"/>
    <hyperlink ref="W1547" r:id="rId1340" xr:uid="{00000000-0004-0000-0000-00003B050000}"/>
    <hyperlink ref="W1548" r:id="rId1341" xr:uid="{00000000-0004-0000-0000-00003C050000}"/>
    <hyperlink ref="W1549" r:id="rId1342" xr:uid="{00000000-0004-0000-0000-00003D050000}"/>
    <hyperlink ref="W1550" r:id="rId1343" xr:uid="{00000000-0004-0000-0000-00003E050000}"/>
    <hyperlink ref="W1551" r:id="rId1344" xr:uid="{00000000-0004-0000-0000-00003F050000}"/>
    <hyperlink ref="W1552" r:id="rId1345" xr:uid="{00000000-0004-0000-0000-000040050000}"/>
    <hyperlink ref="W1553" r:id="rId1346" xr:uid="{00000000-0004-0000-0000-000041050000}"/>
    <hyperlink ref="W1554" r:id="rId1347" xr:uid="{00000000-0004-0000-0000-000042050000}"/>
    <hyperlink ref="W1555" r:id="rId1348" xr:uid="{00000000-0004-0000-0000-000043050000}"/>
    <hyperlink ref="W1556" r:id="rId1349" xr:uid="{00000000-0004-0000-0000-000044050000}"/>
    <hyperlink ref="W1557" r:id="rId1350" xr:uid="{00000000-0004-0000-0000-000045050000}"/>
    <hyperlink ref="W1558" r:id="rId1351" xr:uid="{00000000-0004-0000-0000-000046050000}"/>
    <hyperlink ref="W1559" r:id="rId1352" xr:uid="{00000000-0004-0000-0000-000047050000}"/>
    <hyperlink ref="W1560" r:id="rId1353" xr:uid="{00000000-0004-0000-0000-000048050000}"/>
    <hyperlink ref="W1561" r:id="rId1354" xr:uid="{00000000-0004-0000-0000-000049050000}"/>
    <hyperlink ref="W1562" r:id="rId1355" xr:uid="{00000000-0004-0000-0000-00004A050000}"/>
    <hyperlink ref="W1563" r:id="rId1356" xr:uid="{00000000-0004-0000-0000-00004B050000}"/>
    <hyperlink ref="W1564" r:id="rId1357" xr:uid="{00000000-0004-0000-0000-00004C050000}"/>
    <hyperlink ref="W1565" r:id="rId1358" xr:uid="{00000000-0004-0000-0000-00004D050000}"/>
    <hyperlink ref="W1566" r:id="rId1359" xr:uid="{00000000-0004-0000-0000-00004E050000}"/>
    <hyperlink ref="W1567" r:id="rId1360" xr:uid="{00000000-0004-0000-0000-00004F050000}"/>
    <hyperlink ref="W1568" r:id="rId1361" xr:uid="{00000000-0004-0000-0000-000050050000}"/>
    <hyperlink ref="W1570" r:id="rId1362" xr:uid="{00000000-0004-0000-0000-000051050000}"/>
    <hyperlink ref="W1571" r:id="rId1363" xr:uid="{00000000-0004-0000-0000-000052050000}"/>
    <hyperlink ref="W1573" r:id="rId1364" xr:uid="{00000000-0004-0000-0000-000053050000}"/>
    <hyperlink ref="W1575" r:id="rId1365" xr:uid="{00000000-0004-0000-0000-000054050000}"/>
    <hyperlink ref="W1576" r:id="rId1366" xr:uid="{00000000-0004-0000-0000-000055050000}"/>
    <hyperlink ref="W1577" r:id="rId1367" xr:uid="{00000000-0004-0000-0000-000056050000}"/>
    <hyperlink ref="W1578" r:id="rId1368" xr:uid="{00000000-0004-0000-0000-000057050000}"/>
    <hyperlink ref="W1579" r:id="rId1369" xr:uid="{00000000-0004-0000-0000-000058050000}"/>
    <hyperlink ref="W1580" r:id="rId1370" xr:uid="{00000000-0004-0000-0000-000059050000}"/>
    <hyperlink ref="W1581" r:id="rId1371" xr:uid="{00000000-0004-0000-0000-00005A050000}"/>
    <hyperlink ref="W1582" r:id="rId1372" xr:uid="{00000000-0004-0000-0000-00005B050000}"/>
    <hyperlink ref="W1583" r:id="rId1373" xr:uid="{00000000-0004-0000-0000-00005C050000}"/>
    <hyperlink ref="W1584" r:id="rId1374" xr:uid="{00000000-0004-0000-0000-00005D050000}"/>
    <hyperlink ref="W1585" r:id="rId1375" xr:uid="{00000000-0004-0000-0000-00005E050000}"/>
    <hyperlink ref="W1586" r:id="rId1376" xr:uid="{00000000-0004-0000-0000-00005F050000}"/>
    <hyperlink ref="W1587" r:id="rId1377" xr:uid="{00000000-0004-0000-0000-000060050000}"/>
    <hyperlink ref="W1588" r:id="rId1378" xr:uid="{00000000-0004-0000-0000-000061050000}"/>
    <hyperlink ref="W1589" r:id="rId1379" xr:uid="{00000000-0004-0000-0000-000062050000}"/>
    <hyperlink ref="W1590" r:id="rId1380" xr:uid="{00000000-0004-0000-0000-000063050000}"/>
    <hyperlink ref="W1591" r:id="rId1381" xr:uid="{00000000-0004-0000-0000-000064050000}"/>
    <hyperlink ref="W1592" r:id="rId1382" xr:uid="{00000000-0004-0000-0000-000065050000}"/>
    <hyperlink ref="W1593" r:id="rId1383" xr:uid="{00000000-0004-0000-0000-000066050000}"/>
    <hyperlink ref="W1594" r:id="rId1384" xr:uid="{00000000-0004-0000-0000-000067050000}"/>
    <hyperlink ref="W1595" r:id="rId1385" xr:uid="{00000000-0004-0000-0000-000068050000}"/>
    <hyperlink ref="W1596" r:id="rId1386" xr:uid="{00000000-0004-0000-0000-000069050000}"/>
    <hyperlink ref="W1597" r:id="rId1387" xr:uid="{00000000-0004-0000-0000-00006A050000}"/>
    <hyperlink ref="W1598" r:id="rId1388" xr:uid="{00000000-0004-0000-0000-00006B050000}"/>
    <hyperlink ref="W1599" r:id="rId1389" xr:uid="{00000000-0004-0000-0000-00006C050000}"/>
    <hyperlink ref="W1600" r:id="rId1390" xr:uid="{00000000-0004-0000-0000-00006D050000}"/>
    <hyperlink ref="W1601" r:id="rId1391" xr:uid="{00000000-0004-0000-0000-00006E050000}"/>
    <hyperlink ref="W1602" r:id="rId1392" xr:uid="{00000000-0004-0000-0000-00006F050000}"/>
    <hyperlink ref="W1603" r:id="rId1393" xr:uid="{00000000-0004-0000-0000-000070050000}"/>
    <hyperlink ref="W1604" r:id="rId1394" xr:uid="{00000000-0004-0000-0000-000071050000}"/>
    <hyperlink ref="W1605" r:id="rId1395" xr:uid="{00000000-0004-0000-0000-000072050000}"/>
    <hyperlink ref="W1606" r:id="rId1396" xr:uid="{00000000-0004-0000-0000-000073050000}"/>
    <hyperlink ref="W1607" r:id="rId1397" xr:uid="{00000000-0004-0000-0000-000074050000}"/>
    <hyperlink ref="W1608" r:id="rId1398" xr:uid="{00000000-0004-0000-0000-000075050000}"/>
    <hyperlink ref="W1609" r:id="rId1399" xr:uid="{00000000-0004-0000-0000-000076050000}"/>
    <hyperlink ref="W1610" r:id="rId1400" xr:uid="{00000000-0004-0000-0000-000077050000}"/>
    <hyperlink ref="W1611" r:id="rId1401" xr:uid="{00000000-0004-0000-0000-000078050000}"/>
    <hyperlink ref="W1612" r:id="rId1402" xr:uid="{00000000-0004-0000-0000-000079050000}"/>
    <hyperlink ref="W1613" r:id="rId1403" xr:uid="{00000000-0004-0000-0000-00007A050000}"/>
    <hyperlink ref="W1614" r:id="rId1404" xr:uid="{00000000-0004-0000-0000-00007B050000}"/>
    <hyperlink ref="W1615" r:id="rId1405" xr:uid="{00000000-0004-0000-0000-00007C050000}"/>
    <hyperlink ref="W1616" r:id="rId1406" xr:uid="{00000000-0004-0000-0000-00007D050000}"/>
    <hyperlink ref="W1617" r:id="rId1407" xr:uid="{00000000-0004-0000-0000-00007E050000}"/>
    <hyperlink ref="W1618" r:id="rId1408" xr:uid="{00000000-0004-0000-0000-00007F050000}"/>
    <hyperlink ref="W1619" r:id="rId1409" xr:uid="{00000000-0004-0000-0000-000080050000}"/>
    <hyperlink ref="W1620" r:id="rId1410" xr:uid="{00000000-0004-0000-0000-000081050000}"/>
    <hyperlink ref="W1621" r:id="rId1411" xr:uid="{00000000-0004-0000-0000-000082050000}"/>
    <hyperlink ref="W1622" r:id="rId1412" xr:uid="{00000000-0004-0000-0000-000083050000}"/>
    <hyperlink ref="W1623" r:id="rId1413" xr:uid="{00000000-0004-0000-0000-000084050000}"/>
    <hyperlink ref="W1624" r:id="rId1414" xr:uid="{00000000-0004-0000-0000-000085050000}"/>
    <hyperlink ref="W1625" r:id="rId1415" xr:uid="{00000000-0004-0000-0000-000086050000}"/>
    <hyperlink ref="W1626" r:id="rId1416" xr:uid="{00000000-0004-0000-0000-000087050000}"/>
    <hyperlink ref="W1627" r:id="rId1417" xr:uid="{00000000-0004-0000-0000-000088050000}"/>
    <hyperlink ref="W1628" r:id="rId1418" xr:uid="{00000000-0004-0000-0000-000089050000}"/>
    <hyperlink ref="W1629" r:id="rId1419" xr:uid="{00000000-0004-0000-0000-00008A050000}"/>
    <hyperlink ref="W1630" r:id="rId1420" xr:uid="{00000000-0004-0000-0000-00008B050000}"/>
    <hyperlink ref="W1631" r:id="rId1421" xr:uid="{00000000-0004-0000-0000-00008C050000}"/>
    <hyperlink ref="W1632" r:id="rId1422" xr:uid="{00000000-0004-0000-0000-00008D050000}"/>
    <hyperlink ref="W1633" r:id="rId1423" xr:uid="{00000000-0004-0000-0000-00008E050000}"/>
    <hyperlink ref="W1634" r:id="rId1424" xr:uid="{00000000-0004-0000-0000-00008F050000}"/>
    <hyperlink ref="W1635" r:id="rId1425" xr:uid="{00000000-0004-0000-0000-000090050000}"/>
    <hyperlink ref="W1636" r:id="rId1426" xr:uid="{00000000-0004-0000-0000-000091050000}"/>
    <hyperlink ref="W1637" r:id="rId1427" xr:uid="{00000000-0004-0000-0000-000092050000}"/>
    <hyperlink ref="W1638" r:id="rId1428" xr:uid="{00000000-0004-0000-0000-000093050000}"/>
    <hyperlink ref="W1639" r:id="rId1429" xr:uid="{00000000-0004-0000-0000-000094050000}"/>
    <hyperlink ref="W1640" r:id="rId1430" xr:uid="{00000000-0004-0000-0000-000095050000}"/>
    <hyperlink ref="W1641" r:id="rId1431" xr:uid="{00000000-0004-0000-0000-000096050000}"/>
    <hyperlink ref="W1644" r:id="rId1432" xr:uid="{00000000-0004-0000-0000-000097050000}"/>
    <hyperlink ref="W1645" r:id="rId1433" xr:uid="{00000000-0004-0000-0000-000098050000}"/>
    <hyperlink ref="W1646" r:id="rId1434" xr:uid="{00000000-0004-0000-0000-000099050000}"/>
    <hyperlink ref="W1647" r:id="rId1435" xr:uid="{00000000-0004-0000-0000-00009A050000}"/>
    <hyperlink ref="W1648" r:id="rId1436" xr:uid="{00000000-0004-0000-0000-00009B050000}"/>
    <hyperlink ref="W1649" r:id="rId1437" xr:uid="{00000000-0004-0000-0000-00009C050000}"/>
    <hyperlink ref="W1650" r:id="rId1438" xr:uid="{00000000-0004-0000-0000-00009D050000}"/>
    <hyperlink ref="W1651" r:id="rId1439" xr:uid="{00000000-0004-0000-0000-00009E050000}"/>
    <hyperlink ref="W1652" r:id="rId1440" xr:uid="{00000000-0004-0000-0000-00009F050000}"/>
    <hyperlink ref="W1653" r:id="rId1441" xr:uid="{00000000-0004-0000-0000-0000A0050000}"/>
    <hyperlink ref="W1654" r:id="rId1442" xr:uid="{00000000-0004-0000-0000-0000A1050000}"/>
    <hyperlink ref="W1655" r:id="rId1443" xr:uid="{00000000-0004-0000-0000-0000A2050000}"/>
    <hyperlink ref="W1656" r:id="rId1444" xr:uid="{00000000-0004-0000-0000-0000A3050000}"/>
    <hyperlink ref="W1657" r:id="rId1445" xr:uid="{00000000-0004-0000-0000-0000A4050000}"/>
    <hyperlink ref="W1658" r:id="rId1446" xr:uid="{00000000-0004-0000-0000-0000A5050000}"/>
    <hyperlink ref="W1659" r:id="rId1447" xr:uid="{00000000-0004-0000-0000-0000A6050000}"/>
    <hyperlink ref="W1660" r:id="rId1448" xr:uid="{00000000-0004-0000-0000-0000A7050000}"/>
    <hyperlink ref="W1661" r:id="rId1449" xr:uid="{00000000-0004-0000-0000-0000A8050000}"/>
    <hyperlink ref="W1662" r:id="rId1450" xr:uid="{00000000-0004-0000-0000-0000A9050000}"/>
    <hyperlink ref="W1663" r:id="rId1451" xr:uid="{00000000-0004-0000-0000-0000AA050000}"/>
    <hyperlink ref="W1664" r:id="rId1452" xr:uid="{00000000-0004-0000-0000-0000AB050000}"/>
    <hyperlink ref="W1665" r:id="rId1453" xr:uid="{00000000-0004-0000-0000-0000AC050000}"/>
    <hyperlink ref="W1666" r:id="rId1454" xr:uid="{00000000-0004-0000-0000-0000AD050000}"/>
    <hyperlink ref="W1667" r:id="rId1455" xr:uid="{00000000-0004-0000-0000-0000AE050000}"/>
    <hyperlink ref="W1668" r:id="rId1456" xr:uid="{00000000-0004-0000-0000-0000AF050000}"/>
    <hyperlink ref="W1669" r:id="rId1457" xr:uid="{00000000-0004-0000-0000-0000B0050000}"/>
    <hyperlink ref="W1670" r:id="rId1458" xr:uid="{00000000-0004-0000-0000-0000B1050000}"/>
    <hyperlink ref="W1671" r:id="rId1459" xr:uid="{00000000-0004-0000-0000-0000B2050000}"/>
    <hyperlink ref="W1672" r:id="rId1460" xr:uid="{00000000-0004-0000-0000-0000B3050000}"/>
    <hyperlink ref="W1673" r:id="rId1461" xr:uid="{00000000-0004-0000-0000-0000B4050000}"/>
    <hyperlink ref="W1674" r:id="rId1462" xr:uid="{00000000-0004-0000-0000-0000B5050000}"/>
    <hyperlink ref="W1675" r:id="rId1463" xr:uid="{00000000-0004-0000-0000-0000B6050000}"/>
    <hyperlink ref="W1676" r:id="rId1464" xr:uid="{00000000-0004-0000-0000-0000B7050000}"/>
    <hyperlink ref="W1677" r:id="rId1465" xr:uid="{00000000-0004-0000-0000-0000B8050000}"/>
    <hyperlink ref="W1678" r:id="rId1466" xr:uid="{00000000-0004-0000-0000-0000B9050000}"/>
    <hyperlink ref="W1679" r:id="rId1467" xr:uid="{00000000-0004-0000-0000-0000BA050000}"/>
    <hyperlink ref="W1680" r:id="rId1468" xr:uid="{00000000-0004-0000-0000-0000BB050000}"/>
    <hyperlink ref="W1681" r:id="rId1469" xr:uid="{00000000-0004-0000-0000-0000BC050000}"/>
    <hyperlink ref="W1682" r:id="rId1470" xr:uid="{00000000-0004-0000-0000-0000BD050000}"/>
    <hyperlink ref="W1683" r:id="rId1471" xr:uid="{00000000-0004-0000-0000-0000BE050000}"/>
    <hyperlink ref="W1684" r:id="rId1472" xr:uid="{00000000-0004-0000-0000-0000BF050000}"/>
    <hyperlink ref="W1685" r:id="rId1473" xr:uid="{00000000-0004-0000-0000-0000C0050000}"/>
    <hyperlink ref="W1686" r:id="rId1474" xr:uid="{00000000-0004-0000-0000-0000C1050000}"/>
    <hyperlink ref="W1687" r:id="rId1475" xr:uid="{00000000-0004-0000-0000-0000C2050000}"/>
    <hyperlink ref="W1688" r:id="rId1476" xr:uid="{00000000-0004-0000-0000-0000C3050000}"/>
    <hyperlink ref="W1689" r:id="rId1477" xr:uid="{00000000-0004-0000-0000-0000C4050000}"/>
    <hyperlink ref="W1690" r:id="rId1478" xr:uid="{00000000-0004-0000-0000-0000C5050000}"/>
    <hyperlink ref="W1691" r:id="rId1479" xr:uid="{00000000-0004-0000-0000-0000C6050000}"/>
    <hyperlink ref="W1692" r:id="rId1480" xr:uid="{00000000-0004-0000-0000-0000C7050000}"/>
    <hyperlink ref="W1695" r:id="rId1481" xr:uid="{00000000-0004-0000-0000-0000C8050000}"/>
    <hyperlink ref="W1696" r:id="rId1482" xr:uid="{00000000-0004-0000-0000-0000C9050000}"/>
    <hyperlink ref="W1697" r:id="rId1483" xr:uid="{00000000-0004-0000-0000-0000CA050000}"/>
    <hyperlink ref="W1698" r:id="rId1484" xr:uid="{00000000-0004-0000-0000-0000CB050000}"/>
    <hyperlink ref="W1699" r:id="rId1485" xr:uid="{00000000-0004-0000-0000-0000CC050000}"/>
    <hyperlink ref="W1700" r:id="rId1486" xr:uid="{00000000-0004-0000-0000-0000CD050000}"/>
    <hyperlink ref="W1703" r:id="rId1487" xr:uid="{00000000-0004-0000-0000-0000CE050000}"/>
    <hyperlink ref="W1705" r:id="rId1488" xr:uid="{00000000-0004-0000-0000-0000CF050000}"/>
    <hyperlink ref="W1707" r:id="rId1489" xr:uid="{00000000-0004-0000-0000-0000D0050000}"/>
    <hyperlink ref="W1708" r:id="rId1490" xr:uid="{00000000-0004-0000-0000-0000D1050000}"/>
    <hyperlink ref="W1711" r:id="rId1491" xr:uid="{00000000-0004-0000-0000-0000D2050000}"/>
    <hyperlink ref="W1713" r:id="rId1492" xr:uid="{00000000-0004-0000-0000-0000D3050000}"/>
    <hyperlink ref="W1772" r:id="rId1493" xr:uid="{00000000-0004-0000-0000-0000D4050000}"/>
    <hyperlink ref="W1773" r:id="rId1494" xr:uid="{00000000-0004-0000-0000-0000D5050000}"/>
    <hyperlink ref="W1774" r:id="rId1495" xr:uid="{00000000-0004-0000-0000-0000D6050000}"/>
    <hyperlink ref="W1775" r:id="rId1496" xr:uid="{00000000-0004-0000-0000-0000D7050000}"/>
    <hyperlink ref="W1776" r:id="rId1497" xr:uid="{00000000-0004-0000-0000-0000D8050000}"/>
    <hyperlink ref="W1777" r:id="rId1498" xr:uid="{00000000-0004-0000-0000-0000D9050000}"/>
    <hyperlink ref="W1778" r:id="rId1499" xr:uid="{00000000-0004-0000-0000-0000DA050000}"/>
    <hyperlink ref="W1779" r:id="rId1500" xr:uid="{00000000-0004-0000-0000-0000DB050000}"/>
    <hyperlink ref="W1780" r:id="rId1501" xr:uid="{00000000-0004-0000-0000-0000DC050000}"/>
    <hyperlink ref="W1781" r:id="rId1502" xr:uid="{00000000-0004-0000-0000-0000DD050000}"/>
    <hyperlink ref="W1782" r:id="rId1503" xr:uid="{00000000-0004-0000-0000-0000DE050000}"/>
    <hyperlink ref="W1783" r:id="rId1504" xr:uid="{00000000-0004-0000-0000-0000DF050000}"/>
    <hyperlink ref="W1784" r:id="rId1505" xr:uid="{00000000-0004-0000-0000-0000E0050000}"/>
    <hyperlink ref="W1785" r:id="rId1506" xr:uid="{00000000-0004-0000-0000-0000E1050000}"/>
    <hyperlink ref="W1786" r:id="rId1507" xr:uid="{00000000-0004-0000-0000-0000E2050000}"/>
    <hyperlink ref="W1787" r:id="rId1508" xr:uid="{00000000-0004-0000-0000-0000E3050000}"/>
    <hyperlink ref="W1788" r:id="rId1509" xr:uid="{00000000-0004-0000-0000-0000E4050000}"/>
    <hyperlink ref="W1789" r:id="rId1510" xr:uid="{00000000-0004-0000-0000-0000E5050000}"/>
    <hyperlink ref="W1790" r:id="rId1511" xr:uid="{00000000-0004-0000-0000-0000E6050000}"/>
    <hyperlink ref="H1791" r:id="rId1512" xr:uid="{00000000-0004-0000-0000-0000E7050000}"/>
    <hyperlink ref="W1791" r:id="rId1513" xr:uid="{00000000-0004-0000-0000-0000E8050000}"/>
    <hyperlink ref="H1792" r:id="rId1514" xr:uid="{00000000-0004-0000-0000-0000E9050000}"/>
    <hyperlink ref="W1792" r:id="rId1515" xr:uid="{00000000-0004-0000-0000-0000EA050000}"/>
    <hyperlink ref="H1793" r:id="rId1516" xr:uid="{00000000-0004-0000-0000-0000EB050000}"/>
    <hyperlink ref="W1793" r:id="rId1517" xr:uid="{00000000-0004-0000-0000-0000EC050000}"/>
    <hyperlink ref="W1794" r:id="rId1518" xr:uid="{00000000-0004-0000-0000-0000ED050000}"/>
    <hyperlink ref="H1795" r:id="rId1519" xr:uid="{00000000-0004-0000-0000-0000EE050000}"/>
    <hyperlink ref="W1795" r:id="rId1520" xr:uid="{00000000-0004-0000-0000-0000EF050000}"/>
    <hyperlink ref="W1796" r:id="rId1521" xr:uid="{00000000-0004-0000-0000-0000F0050000}"/>
    <hyperlink ref="W1797" r:id="rId1522" xr:uid="{00000000-0004-0000-0000-0000F1050000}"/>
    <hyperlink ref="W1798" r:id="rId1523" xr:uid="{00000000-0004-0000-0000-0000F2050000}"/>
    <hyperlink ref="W1799" r:id="rId1524" xr:uid="{00000000-0004-0000-0000-0000F3050000}"/>
    <hyperlink ref="W1800" r:id="rId1525" xr:uid="{00000000-0004-0000-0000-0000F4050000}"/>
    <hyperlink ref="W1801" r:id="rId1526" xr:uid="{00000000-0004-0000-0000-0000F5050000}"/>
    <hyperlink ref="W1802" r:id="rId1527" xr:uid="{00000000-0004-0000-0000-0000F6050000}"/>
    <hyperlink ref="W1803" r:id="rId1528" xr:uid="{00000000-0004-0000-0000-0000F7050000}"/>
    <hyperlink ref="W1804" r:id="rId1529" xr:uid="{00000000-0004-0000-0000-0000F8050000}"/>
    <hyperlink ref="W1805" r:id="rId1530" xr:uid="{00000000-0004-0000-0000-0000F9050000}"/>
    <hyperlink ref="W1806" r:id="rId1531" xr:uid="{00000000-0004-0000-0000-0000FA050000}"/>
    <hyperlink ref="W1807" r:id="rId1532" xr:uid="{00000000-0004-0000-0000-0000FB050000}"/>
    <hyperlink ref="W1808" r:id="rId1533" xr:uid="{00000000-0004-0000-0000-0000FC050000}"/>
    <hyperlink ref="W1809" r:id="rId1534" xr:uid="{00000000-0004-0000-0000-0000FD050000}"/>
    <hyperlink ref="W1810" r:id="rId1535" xr:uid="{00000000-0004-0000-0000-0000FE050000}"/>
    <hyperlink ref="W1811" r:id="rId1536" xr:uid="{00000000-0004-0000-0000-0000FF050000}"/>
    <hyperlink ref="W1812" r:id="rId1537" xr:uid="{00000000-0004-0000-0000-000000060000}"/>
    <hyperlink ref="W1813" r:id="rId1538" xr:uid="{00000000-0004-0000-0000-000001060000}"/>
    <hyperlink ref="W1814" r:id="rId1539" xr:uid="{00000000-0004-0000-0000-000002060000}"/>
    <hyperlink ref="W1815" r:id="rId1540" xr:uid="{00000000-0004-0000-0000-000003060000}"/>
    <hyperlink ref="W1816" r:id="rId1541" xr:uid="{00000000-0004-0000-0000-000004060000}"/>
    <hyperlink ref="W1817" r:id="rId1542" xr:uid="{00000000-0004-0000-0000-000005060000}"/>
    <hyperlink ref="W1818" r:id="rId1543" xr:uid="{00000000-0004-0000-0000-000006060000}"/>
    <hyperlink ref="W1819" r:id="rId1544" xr:uid="{00000000-0004-0000-0000-000007060000}"/>
    <hyperlink ref="W1820" r:id="rId1545" xr:uid="{00000000-0004-0000-0000-000008060000}"/>
    <hyperlink ref="W1821" r:id="rId1546" xr:uid="{00000000-0004-0000-0000-000009060000}"/>
    <hyperlink ref="W1822" r:id="rId1547" xr:uid="{00000000-0004-0000-0000-00000A060000}"/>
    <hyperlink ref="W1823" r:id="rId1548" xr:uid="{00000000-0004-0000-0000-00000B060000}"/>
    <hyperlink ref="W1824" r:id="rId1549" xr:uid="{00000000-0004-0000-0000-00000C060000}"/>
    <hyperlink ref="W1825" r:id="rId1550" xr:uid="{00000000-0004-0000-0000-00000D060000}"/>
    <hyperlink ref="W1826" r:id="rId1551" xr:uid="{00000000-0004-0000-0000-00000E060000}"/>
    <hyperlink ref="H1827" r:id="rId1552" xr:uid="{00000000-0004-0000-0000-00000F060000}"/>
    <hyperlink ref="W1827" r:id="rId1553" xr:uid="{00000000-0004-0000-0000-000010060000}"/>
    <hyperlink ref="W1828" r:id="rId1554" xr:uid="{00000000-0004-0000-0000-000011060000}"/>
    <hyperlink ref="W1829" r:id="rId1555" xr:uid="{00000000-0004-0000-0000-000012060000}"/>
    <hyperlink ref="W1830" r:id="rId1556" xr:uid="{00000000-0004-0000-0000-000013060000}"/>
    <hyperlink ref="W1831" r:id="rId1557" xr:uid="{00000000-0004-0000-0000-000014060000}"/>
    <hyperlink ref="W1832" r:id="rId1558" xr:uid="{00000000-0004-0000-0000-000015060000}"/>
    <hyperlink ref="W1833" r:id="rId1559" xr:uid="{00000000-0004-0000-0000-000016060000}"/>
    <hyperlink ref="W1834" r:id="rId1560" xr:uid="{00000000-0004-0000-0000-000017060000}"/>
    <hyperlink ref="W1835" r:id="rId1561" xr:uid="{00000000-0004-0000-0000-000018060000}"/>
    <hyperlink ref="W1836" r:id="rId1562" xr:uid="{00000000-0004-0000-0000-000019060000}"/>
    <hyperlink ref="W1837" r:id="rId1563" xr:uid="{00000000-0004-0000-0000-00001A060000}"/>
    <hyperlink ref="W1838" r:id="rId1564" xr:uid="{00000000-0004-0000-0000-00001B060000}"/>
    <hyperlink ref="W1839" r:id="rId1565" xr:uid="{00000000-0004-0000-0000-00001C060000}"/>
    <hyperlink ref="W1840" r:id="rId1566" xr:uid="{00000000-0004-0000-0000-00001D060000}"/>
    <hyperlink ref="W1841" r:id="rId1567" xr:uid="{00000000-0004-0000-0000-00001E060000}"/>
    <hyperlink ref="W1842" r:id="rId1568" xr:uid="{00000000-0004-0000-0000-00001F060000}"/>
    <hyperlink ref="W1843" r:id="rId1569" xr:uid="{00000000-0004-0000-0000-000020060000}"/>
    <hyperlink ref="W1844" r:id="rId1570" xr:uid="{00000000-0004-0000-0000-000021060000}"/>
    <hyperlink ref="W1846" r:id="rId1571" xr:uid="{00000000-0004-0000-0000-000022060000}"/>
    <hyperlink ref="W1847" r:id="rId1572" xr:uid="{00000000-0004-0000-0000-000023060000}"/>
    <hyperlink ref="W1848" r:id="rId1573" xr:uid="{00000000-0004-0000-0000-000024060000}"/>
    <hyperlink ref="W1849" r:id="rId1574" xr:uid="{00000000-0004-0000-0000-000025060000}"/>
    <hyperlink ref="W1850" r:id="rId1575" xr:uid="{00000000-0004-0000-0000-000026060000}"/>
    <hyperlink ref="W1851" r:id="rId1576" xr:uid="{00000000-0004-0000-0000-000027060000}"/>
    <hyperlink ref="W1852" r:id="rId1577" xr:uid="{00000000-0004-0000-0000-000028060000}"/>
    <hyperlink ref="W1853" r:id="rId1578" xr:uid="{00000000-0004-0000-0000-000029060000}"/>
    <hyperlink ref="W1854" r:id="rId1579" xr:uid="{00000000-0004-0000-0000-00002A060000}"/>
    <hyperlink ref="W1855" r:id="rId1580" xr:uid="{00000000-0004-0000-0000-00002B060000}"/>
    <hyperlink ref="W1856" r:id="rId1581" xr:uid="{00000000-0004-0000-0000-00002C060000}"/>
    <hyperlink ref="W1857" r:id="rId1582" xr:uid="{00000000-0004-0000-0000-00002D060000}"/>
    <hyperlink ref="W1858" r:id="rId1583" xr:uid="{00000000-0004-0000-0000-00002E060000}"/>
    <hyperlink ref="W1859" r:id="rId1584" xr:uid="{00000000-0004-0000-0000-00002F060000}"/>
    <hyperlink ref="W1860" r:id="rId1585" xr:uid="{00000000-0004-0000-0000-000030060000}"/>
    <hyperlink ref="W1861" r:id="rId1586" xr:uid="{00000000-0004-0000-0000-000031060000}"/>
    <hyperlink ref="W1862" r:id="rId1587" xr:uid="{00000000-0004-0000-0000-000032060000}"/>
    <hyperlink ref="W1863" r:id="rId1588" xr:uid="{00000000-0004-0000-0000-000033060000}"/>
    <hyperlink ref="W1864" r:id="rId1589" xr:uid="{00000000-0004-0000-0000-000034060000}"/>
    <hyperlink ref="W1865" r:id="rId1590" xr:uid="{00000000-0004-0000-0000-000035060000}"/>
    <hyperlink ref="W1866" r:id="rId1591" xr:uid="{00000000-0004-0000-0000-000036060000}"/>
    <hyperlink ref="W1867" r:id="rId1592" xr:uid="{00000000-0004-0000-0000-000037060000}"/>
    <hyperlink ref="W1868" r:id="rId1593" xr:uid="{00000000-0004-0000-0000-000038060000}"/>
    <hyperlink ref="W1869" r:id="rId1594" xr:uid="{00000000-0004-0000-0000-000039060000}"/>
    <hyperlink ref="W1870" r:id="rId1595" xr:uid="{00000000-0004-0000-0000-00003A060000}"/>
    <hyperlink ref="W1871" r:id="rId1596" xr:uid="{00000000-0004-0000-0000-00003B060000}"/>
    <hyperlink ref="W1872" r:id="rId1597" xr:uid="{00000000-0004-0000-0000-00003C060000}"/>
    <hyperlink ref="W1873" r:id="rId1598" xr:uid="{00000000-0004-0000-0000-00003D060000}"/>
    <hyperlink ref="W1874" r:id="rId1599" xr:uid="{00000000-0004-0000-0000-00003E060000}"/>
    <hyperlink ref="W1875" r:id="rId1600" xr:uid="{00000000-0004-0000-0000-00003F060000}"/>
    <hyperlink ref="W1876" r:id="rId1601" xr:uid="{00000000-0004-0000-0000-000040060000}"/>
    <hyperlink ref="W1877" r:id="rId1602" xr:uid="{00000000-0004-0000-0000-000041060000}"/>
    <hyperlink ref="W1878" r:id="rId1603" xr:uid="{00000000-0004-0000-0000-000042060000}"/>
    <hyperlink ref="W1879" r:id="rId1604" xr:uid="{00000000-0004-0000-0000-000043060000}"/>
    <hyperlink ref="W1880" r:id="rId1605" xr:uid="{00000000-0004-0000-0000-000044060000}"/>
    <hyperlink ref="W1881" r:id="rId1606" xr:uid="{00000000-0004-0000-0000-000045060000}"/>
    <hyperlink ref="W1882" r:id="rId1607" xr:uid="{00000000-0004-0000-0000-000046060000}"/>
    <hyperlink ref="W1883" r:id="rId1608" xr:uid="{00000000-0004-0000-0000-000047060000}"/>
    <hyperlink ref="W1884" r:id="rId1609" xr:uid="{00000000-0004-0000-0000-000048060000}"/>
    <hyperlink ref="W1885" r:id="rId1610" xr:uid="{00000000-0004-0000-0000-000049060000}"/>
    <hyperlink ref="W1886" r:id="rId1611" xr:uid="{00000000-0004-0000-0000-00004A060000}"/>
    <hyperlink ref="W1887" r:id="rId1612" xr:uid="{00000000-0004-0000-0000-00004B060000}"/>
    <hyperlink ref="W1889" r:id="rId1613" xr:uid="{00000000-0004-0000-0000-00004C060000}"/>
    <hyperlink ref="W1890" r:id="rId1614" xr:uid="{00000000-0004-0000-0000-00004D060000}"/>
    <hyperlink ref="W1891" r:id="rId1615" xr:uid="{00000000-0004-0000-0000-00004E060000}"/>
    <hyperlink ref="W1892" r:id="rId1616" xr:uid="{00000000-0004-0000-0000-00004F060000}"/>
    <hyperlink ref="W1894" r:id="rId1617" xr:uid="{00000000-0004-0000-0000-000050060000}"/>
    <hyperlink ref="W1895" r:id="rId1618" xr:uid="{00000000-0004-0000-0000-000051060000}"/>
    <hyperlink ref="W1896" r:id="rId1619" xr:uid="{00000000-0004-0000-0000-000052060000}"/>
    <hyperlink ref="W1897" r:id="rId1620" xr:uid="{00000000-0004-0000-0000-000053060000}"/>
    <hyperlink ref="W1898" r:id="rId1621" xr:uid="{00000000-0004-0000-0000-000054060000}"/>
    <hyperlink ref="W1899" r:id="rId1622" xr:uid="{00000000-0004-0000-0000-000055060000}"/>
    <hyperlink ref="H1900" r:id="rId1623" xr:uid="{00000000-0004-0000-0000-000056060000}"/>
    <hyperlink ref="W1900" r:id="rId1624" xr:uid="{00000000-0004-0000-0000-000057060000}"/>
    <hyperlink ref="H1901" r:id="rId1625" xr:uid="{00000000-0004-0000-0000-000058060000}"/>
    <hyperlink ref="W1901" r:id="rId1626" xr:uid="{00000000-0004-0000-0000-000059060000}"/>
    <hyperlink ref="H1902" r:id="rId1627" xr:uid="{00000000-0004-0000-0000-00005A060000}"/>
    <hyperlink ref="W1902" r:id="rId1628" xr:uid="{00000000-0004-0000-0000-00005B060000}"/>
    <hyperlink ref="H1903" r:id="rId1629" xr:uid="{00000000-0004-0000-0000-00005C060000}"/>
    <hyperlink ref="W1903" r:id="rId1630" xr:uid="{00000000-0004-0000-0000-00005D060000}"/>
    <hyperlink ref="W1942" r:id="rId1631" xr:uid="{00000000-0004-0000-0000-00005E060000}"/>
    <hyperlink ref="W1943" r:id="rId1632" xr:uid="{00000000-0004-0000-0000-00005F060000}"/>
    <hyperlink ref="W1944" r:id="rId1633" xr:uid="{00000000-0004-0000-0000-000060060000}"/>
    <hyperlink ref="W1945" r:id="rId1634" xr:uid="{00000000-0004-0000-0000-000061060000}"/>
    <hyperlink ref="W1946" r:id="rId1635" xr:uid="{00000000-0004-0000-0000-000062060000}"/>
    <hyperlink ref="W1978" r:id="rId1636" xr:uid="{00000000-0004-0000-0000-000063060000}"/>
    <hyperlink ref="W1979" r:id="rId1637" xr:uid="{00000000-0004-0000-0000-000064060000}"/>
    <hyperlink ref="W1980" r:id="rId1638" xr:uid="{00000000-0004-0000-0000-000065060000}"/>
    <hyperlink ref="W1981" r:id="rId1639" xr:uid="{00000000-0004-0000-0000-000066060000}"/>
    <hyperlink ref="W1982" r:id="rId1640" xr:uid="{00000000-0004-0000-0000-000067060000}"/>
    <hyperlink ref="W1983" r:id="rId1641" xr:uid="{00000000-0004-0000-0000-000068060000}"/>
    <hyperlink ref="W1984" r:id="rId1642" xr:uid="{00000000-0004-0000-0000-000069060000}"/>
    <hyperlink ref="W1985" r:id="rId1643" xr:uid="{00000000-0004-0000-0000-00006A060000}"/>
    <hyperlink ref="W1986" r:id="rId1644" xr:uid="{00000000-0004-0000-0000-00006B060000}"/>
    <hyperlink ref="W1987" r:id="rId1645" xr:uid="{00000000-0004-0000-0000-00006C060000}"/>
    <hyperlink ref="W1988" r:id="rId1646" xr:uid="{00000000-0004-0000-0000-00006D060000}"/>
    <hyperlink ref="W1989" r:id="rId1647" xr:uid="{00000000-0004-0000-0000-00006E060000}"/>
    <hyperlink ref="W1990" r:id="rId1648" xr:uid="{00000000-0004-0000-0000-00006F060000}"/>
    <hyperlink ref="W1991" r:id="rId1649" xr:uid="{00000000-0004-0000-0000-000070060000}"/>
    <hyperlink ref="W1992" r:id="rId1650" xr:uid="{00000000-0004-0000-0000-000071060000}"/>
    <hyperlink ref="W1993" r:id="rId1651" xr:uid="{00000000-0004-0000-0000-000072060000}"/>
    <hyperlink ref="W1994" r:id="rId1652" xr:uid="{00000000-0004-0000-0000-000073060000}"/>
    <hyperlink ref="W1995" r:id="rId1653" xr:uid="{00000000-0004-0000-0000-000074060000}"/>
    <hyperlink ref="W1996" r:id="rId1654" xr:uid="{00000000-0004-0000-0000-000075060000}"/>
    <hyperlink ref="W1997" r:id="rId1655" xr:uid="{00000000-0004-0000-0000-000076060000}"/>
    <hyperlink ref="W1998" r:id="rId1656" xr:uid="{00000000-0004-0000-0000-000077060000}"/>
    <hyperlink ref="W1999" r:id="rId1657" xr:uid="{00000000-0004-0000-0000-000078060000}"/>
    <hyperlink ref="W2000" r:id="rId1658" xr:uid="{00000000-0004-0000-0000-000079060000}"/>
    <hyperlink ref="W2001" r:id="rId1659" xr:uid="{00000000-0004-0000-0000-00007A060000}"/>
    <hyperlink ref="W2002" r:id="rId1660" xr:uid="{00000000-0004-0000-0000-00007B060000}"/>
    <hyperlink ref="W2003" r:id="rId1661" xr:uid="{00000000-0004-0000-0000-00007C060000}"/>
    <hyperlink ref="W2004" r:id="rId1662" xr:uid="{00000000-0004-0000-0000-00007D060000}"/>
    <hyperlink ref="W2005" r:id="rId1663" xr:uid="{00000000-0004-0000-0000-00007E060000}"/>
    <hyperlink ref="W2006" r:id="rId1664" xr:uid="{00000000-0004-0000-0000-00007F060000}"/>
    <hyperlink ref="W2007" r:id="rId1665" xr:uid="{00000000-0004-0000-0000-000080060000}"/>
    <hyperlink ref="W2017" r:id="rId1666" xr:uid="{00000000-0004-0000-0000-000081060000}"/>
    <hyperlink ref="W2018" r:id="rId1667" xr:uid="{00000000-0004-0000-0000-000082060000}"/>
    <hyperlink ref="J2019" r:id="rId1668" xr:uid="{00000000-0004-0000-0000-000083060000}"/>
    <hyperlink ref="J2020" r:id="rId1669" xr:uid="{00000000-0004-0000-0000-000084060000}"/>
    <hyperlink ref="J2021" r:id="rId1670" xr:uid="{00000000-0004-0000-0000-000085060000}"/>
    <hyperlink ref="J2022" r:id="rId1671" xr:uid="{00000000-0004-0000-0000-000086060000}"/>
    <hyperlink ref="J2023" r:id="rId1672" xr:uid="{00000000-0004-0000-0000-000087060000}"/>
    <hyperlink ref="W2024" r:id="rId1673" xr:uid="{00000000-0004-0000-0000-000088060000}"/>
    <hyperlink ref="W2025" r:id="rId1674" xr:uid="{00000000-0004-0000-0000-000089060000}"/>
    <hyperlink ref="W2026" r:id="rId1675" xr:uid="{00000000-0004-0000-0000-00008A060000}"/>
    <hyperlink ref="W2027" r:id="rId1676" xr:uid="{00000000-0004-0000-0000-00008B060000}"/>
    <hyperlink ref="W2028" r:id="rId1677" xr:uid="{00000000-0004-0000-0000-00008C060000}"/>
    <hyperlink ref="W2029" r:id="rId1678" xr:uid="{00000000-0004-0000-0000-00008D060000}"/>
    <hyperlink ref="W2030" r:id="rId1679" xr:uid="{00000000-0004-0000-0000-00008E060000}"/>
    <hyperlink ref="W2031" r:id="rId1680" xr:uid="{00000000-0004-0000-0000-00008F060000}"/>
    <hyperlink ref="W2032" r:id="rId1681" xr:uid="{00000000-0004-0000-0000-000090060000}"/>
    <hyperlink ref="W2033" r:id="rId1682" xr:uid="{00000000-0004-0000-0000-000091060000}"/>
    <hyperlink ref="W2034" r:id="rId1683" xr:uid="{00000000-0004-0000-0000-000092060000}"/>
    <hyperlink ref="W2035" r:id="rId1684" xr:uid="{00000000-0004-0000-0000-000093060000}"/>
    <hyperlink ref="W2037" r:id="rId1685" xr:uid="{00000000-0004-0000-0000-000094060000}"/>
    <hyperlink ref="W2038" r:id="rId1686" xr:uid="{00000000-0004-0000-0000-000095060000}"/>
    <hyperlink ref="W2039" r:id="rId1687" xr:uid="{00000000-0004-0000-0000-000096060000}"/>
    <hyperlink ref="W2040" r:id="rId1688" xr:uid="{00000000-0004-0000-0000-000097060000}"/>
    <hyperlink ref="W2041" r:id="rId1689" xr:uid="{00000000-0004-0000-0000-000098060000}"/>
    <hyperlink ref="W2042" r:id="rId1690" xr:uid="{00000000-0004-0000-0000-000099060000}"/>
    <hyperlink ref="W2043" r:id="rId1691" xr:uid="{00000000-0004-0000-0000-00009A060000}"/>
    <hyperlink ref="W2044" r:id="rId1692" xr:uid="{00000000-0004-0000-0000-00009B060000}"/>
    <hyperlink ref="W2045" r:id="rId1693" xr:uid="{00000000-0004-0000-0000-00009C060000}"/>
    <hyperlink ref="I2046" r:id="rId1694" xr:uid="{00000000-0004-0000-0000-00009D060000}"/>
    <hyperlink ref="W2046" r:id="rId1695" xr:uid="{00000000-0004-0000-0000-00009E060000}"/>
    <hyperlink ref="W2047" r:id="rId1696" xr:uid="{00000000-0004-0000-0000-00009F060000}"/>
    <hyperlink ref="W2048" r:id="rId1697" xr:uid="{00000000-0004-0000-0000-0000A0060000}"/>
    <hyperlink ref="W2049" r:id="rId1698" xr:uid="{00000000-0004-0000-0000-0000A1060000}"/>
    <hyperlink ref="W2050" r:id="rId1699" xr:uid="{00000000-0004-0000-0000-0000A2060000}"/>
    <hyperlink ref="W2051" r:id="rId1700" xr:uid="{00000000-0004-0000-0000-0000A3060000}"/>
    <hyperlink ref="W2052" r:id="rId1701" xr:uid="{00000000-0004-0000-0000-0000A4060000}"/>
    <hyperlink ref="W2053" r:id="rId1702" xr:uid="{00000000-0004-0000-0000-0000A5060000}"/>
    <hyperlink ref="W2056" r:id="rId1703" xr:uid="{00000000-0004-0000-0000-0000A6060000}"/>
    <hyperlink ref="W2057" r:id="rId1704" xr:uid="{00000000-0004-0000-0000-0000A7060000}"/>
    <hyperlink ref="W2058" r:id="rId1705" xr:uid="{00000000-0004-0000-0000-0000A8060000}"/>
    <hyperlink ref="W2059" r:id="rId1706" xr:uid="{00000000-0004-0000-0000-0000A9060000}"/>
    <hyperlink ref="W2060" r:id="rId1707" xr:uid="{00000000-0004-0000-0000-0000AA060000}"/>
    <hyperlink ref="W2061" r:id="rId1708" xr:uid="{00000000-0004-0000-0000-0000AB060000}"/>
    <hyperlink ref="W2062" r:id="rId1709" xr:uid="{00000000-0004-0000-0000-0000AC060000}"/>
    <hyperlink ref="W2063" r:id="rId1710" xr:uid="{00000000-0004-0000-0000-0000AD060000}"/>
    <hyperlink ref="W2064" r:id="rId1711" xr:uid="{00000000-0004-0000-0000-0000AE060000}"/>
    <hyperlink ref="W2065" r:id="rId1712" xr:uid="{00000000-0004-0000-0000-0000AF060000}"/>
    <hyperlink ref="W2066" r:id="rId1713" xr:uid="{00000000-0004-0000-0000-0000B0060000}"/>
    <hyperlink ref="W2067" r:id="rId1714" xr:uid="{00000000-0004-0000-0000-0000B1060000}"/>
    <hyperlink ref="W2068" r:id="rId1715" xr:uid="{00000000-0004-0000-0000-0000B2060000}"/>
    <hyperlink ref="W2069" r:id="rId1716" xr:uid="{00000000-0004-0000-0000-0000B3060000}"/>
    <hyperlink ref="W2070" r:id="rId1717" xr:uid="{00000000-0004-0000-0000-0000B4060000}"/>
    <hyperlink ref="W2071" r:id="rId1718" xr:uid="{00000000-0004-0000-0000-0000B5060000}"/>
    <hyperlink ref="W2072" r:id="rId1719" xr:uid="{00000000-0004-0000-0000-0000B6060000}"/>
    <hyperlink ref="W2073" r:id="rId1720" xr:uid="{00000000-0004-0000-0000-0000B7060000}"/>
    <hyperlink ref="W2074" r:id="rId1721" xr:uid="{00000000-0004-0000-0000-0000B8060000}"/>
    <hyperlink ref="W2089" r:id="rId1722" xr:uid="{00000000-0004-0000-0000-0000B9060000}"/>
    <hyperlink ref="W2090" r:id="rId1723" xr:uid="{00000000-0004-0000-0000-0000BA060000}"/>
    <hyperlink ref="W2091" r:id="rId1724" xr:uid="{00000000-0004-0000-0000-0000BB060000}"/>
    <hyperlink ref="W2092" r:id="rId1725" xr:uid="{00000000-0004-0000-0000-0000BC060000}"/>
    <hyperlink ref="W2093" r:id="rId1726" xr:uid="{00000000-0004-0000-0000-0000BD060000}"/>
    <hyperlink ref="W2094" r:id="rId1727" xr:uid="{00000000-0004-0000-0000-0000BE060000}"/>
    <hyperlink ref="W2095" r:id="rId1728" xr:uid="{00000000-0004-0000-0000-0000BF060000}"/>
    <hyperlink ref="W2096" r:id="rId1729" xr:uid="{00000000-0004-0000-0000-0000C0060000}"/>
    <hyperlink ref="W2097" r:id="rId1730" xr:uid="{00000000-0004-0000-0000-0000C1060000}"/>
    <hyperlink ref="W2098" r:id="rId1731" xr:uid="{00000000-0004-0000-0000-0000C2060000}"/>
    <hyperlink ref="W2099" r:id="rId1732" xr:uid="{00000000-0004-0000-0000-0000C3060000}"/>
    <hyperlink ref="W2100" r:id="rId1733" xr:uid="{00000000-0004-0000-0000-0000C4060000}"/>
    <hyperlink ref="W2101" r:id="rId1734" xr:uid="{00000000-0004-0000-0000-0000C5060000}"/>
    <hyperlink ref="W2102" r:id="rId1735" xr:uid="{00000000-0004-0000-0000-0000C6060000}"/>
    <hyperlink ref="W2103" r:id="rId1736" xr:uid="{00000000-0004-0000-0000-0000C7060000}"/>
    <hyperlink ref="W2105" r:id="rId1737" xr:uid="{00000000-0004-0000-0000-0000C8060000}"/>
    <hyperlink ref="W2106" r:id="rId1738" xr:uid="{00000000-0004-0000-0000-0000C9060000}"/>
    <hyperlink ref="W2107" r:id="rId1739" xr:uid="{00000000-0004-0000-0000-0000CA060000}"/>
    <hyperlink ref="W2108" r:id="rId1740" xr:uid="{00000000-0004-0000-0000-0000CB060000}"/>
    <hyperlink ref="W2109" r:id="rId1741" xr:uid="{00000000-0004-0000-0000-0000CC060000}"/>
    <hyperlink ref="W2110" r:id="rId1742" xr:uid="{00000000-0004-0000-0000-0000CD060000}"/>
    <hyperlink ref="W2111" r:id="rId1743" xr:uid="{00000000-0004-0000-0000-0000CE060000}"/>
    <hyperlink ref="W2112" r:id="rId1744" xr:uid="{00000000-0004-0000-0000-0000CF060000}"/>
    <hyperlink ref="W2113" r:id="rId1745" xr:uid="{00000000-0004-0000-0000-0000D0060000}"/>
    <hyperlink ref="W2114" r:id="rId1746" xr:uid="{00000000-0004-0000-0000-0000D1060000}"/>
    <hyperlink ref="W2115" r:id="rId1747" xr:uid="{00000000-0004-0000-0000-0000D2060000}"/>
    <hyperlink ref="W2116" r:id="rId1748" xr:uid="{00000000-0004-0000-0000-0000D3060000}"/>
    <hyperlink ref="W2117" r:id="rId1749" xr:uid="{00000000-0004-0000-0000-0000D4060000}"/>
    <hyperlink ref="W2118" r:id="rId1750" xr:uid="{00000000-0004-0000-0000-0000D5060000}"/>
    <hyperlink ref="W2119" r:id="rId1751" xr:uid="{00000000-0004-0000-0000-0000D6060000}"/>
    <hyperlink ref="W2120" r:id="rId1752" xr:uid="{00000000-0004-0000-0000-0000D7060000}"/>
    <hyperlink ref="W2121" r:id="rId1753" xr:uid="{00000000-0004-0000-0000-0000D8060000}"/>
    <hyperlink ref="W2122" r:id="rId1754" xr:uid="{00000000-0004-0000-0000-0000D9060000}"/>
    <hyperlink ref="W2123" r:id="rId1755" xr:uid="{00000000-0004-0000-0000-0000DA060000}"/>
    <hyperlink ref="W2124" r:id="rId1756" xr:uid="{00000000-0004-0000-0000-0000DB060000}"/>
    <hyperlink ref="W2125" r:id="rId1757" xr:uid="{00000000-0004-0000-0000-0000DC060000}"/>
    <hyperlink ref="W2126" r:id="rId1758" xr:uid="{00000000-0004-0000-0000-0000DD060000}"/>
    <hyperlink ref="W2127" r:id="rId1759" xr:uid="{00000000-0004-0000-0000-0000DE060000}"/>
    <hyperlink ref="W2128" r:id="rId1760" xr:uid="{00000000-0004-0000-0000-0000DF060000}"/>
    <hyperlink ref="W2129" r:id="rId1761" xr:uid="{00000000-0004-0000-0000-0000E0060000}"/>
    <hyperlink ref="W2130" r:id="rId1762" xr:uid="{00000000-0004-0000-0000-0000E1060000}"/>
    <hyperlink ref="W2131" r:id="rId1763" xr:uid="{00000000-0004-0000-0000-0000E2060000}"/>
    <hyperlink ref="W2132" r:id="rId1764" xr:uid="{00000000-0004-0000-0000-0000E3060000}"/>
    <hyperlink ref="W2133" r:id="rId1765" xr:uid="{00000000-0004-0000-0000-0000E4060000}"/>
    <hyperlink ref="W2134" r:id="rId1766" xr:uid="{00000000-0004-0000-0000-0000E5060000}"/>
    <hyperlink ref="W2136" r:id="rId1767" xr:uid="{00000000-0004-0000-0000-0000E6060000}"/>
    <hyperlink ref="W2137" r:id="rId1768" xr:uid="{00000000-0004-0000-0000-0000E7060000}"/>
    <hyperlink ref="W2138" r:id="rId1769" xr:uid="{00000000-0004-0000-0000-0000E8060000}"/>
    <hyperlink ref="W2139" r:id="rId1770" xr:uid="{00000000-0004-0000-0000-0000E9060000}"/>
    <hyperlink ref="W2140" r:id="rId1771" xr:uid="{00000000-0004-0000-0000-0000EA060000}"/>
    <hyperlink ref="W2141" r:id="rId1772" xr:uid="{00000000-0004-0000-0000-0000EB060000}"/>
    <hyperlink ref="W2142" r:id="rId1773" xr:uid="{00000000-0004-0000-0000-0000EC060000}"/>
    <hyperlink ref="W2143" r:id="rId1774" xr:uid="{00000000-0004-0000-0000-0000ED060000}"/>
    <hyperlink ref="W2144" r:id="rId1775" xr:uid="{00000000-0004-0000-0000-0000EE060000}"/>
    <hyperlink ref="W2145" r:id="rId1776" xr:uid="{00000000-0004-0000-0000-0000EF060000}"/>
    <hyperlink ref="W2146" r:id="rId1777" xr:uid="{00000000-0004-0000-0000-0000F0060000}"/>
    <hyperlink ref="W2147" r:id="rId1778" xr:uid="{00000000-0004-0000-0000-0000F1060000}"/>
    <hyperlink ref="W2148" r:id="rId1779" xr:uid="{00000000-0004-0000-0000-0000F2060000}"/>
    <hyperlink ref="W2149" r:id="rId1780" xr:uid="{00000000-0004-0000-0000-0000F3060000}"/>
    <hyperlink ref="W2150" r:id="rId1781" xr:uid="{00000000-0004-0000-0000-0000F4060000}"/>
    <hyperlink ref="W2151" r:id="rId1782" xr:uid="{00000000-0004-0000-0000-0000F5060000}"/>
    <hyperlink ref="W2152" r:id="rId1783" xr:uid="{00000000-0004-0000-0000-0000F6060000}"/>
    <hyperlink ref="W2153" r:id="rId1784" xr:uid="{00000000-0004-0000-0000-0000F7060000}"/>
    <hyperlink ref="W2154" r:id="rId1785" xr:uid="{00000000-0004-0000-0000-0000F8060000}"/>
    <hyperlink ref="W2155" r:id="rId1786" xr:uid="{00000000-0004-0000-0000-0000F9060000}"/>
    <hyperlink ref="W2156" r:id="rId1787" xr:uid="{00000000-0004-0000-0000-0000FA060000}"/>
    <hyperlink ref="W2157" r:id="rId1788" xr:uid="{00000000-0004-0000-0000-0000FB060000}"/>
    <hyperlink ref="W2158" r:id="rId1789" xr:uid="{00000000-0004-0000-0000-0000FC060000}"/>
    <hyperlink ref="W2159" r:id="rId1790" xr:uid="{00000000-0004-0000-0000-0000FD060000}"/>
    <hyperlink ref="W2160" r:id="rId1791" xr:uid="{00000000-0004-0000-0000-0000FE060000}"/>
    <hyperlink ref="W2161" r:id="rId1792" xr:uid="{00000000-0004-0000-0000-0000FF060000}"/>
    <hyperlink ref="W2162" r:id="rId1793" xr:uid="{00000000-0004-0000-0000-000000070000}"/>
    <hyperlink ref="W2163" r:id="rId1794" xr:uid="{00000000-0004-0000-0000-000001070000}"/>
    <hyperlink ref="W2164" r:id="rId1795" xr:uid="{00000000-0004-0000-0000-000002070000}"/>
    <hyperlink ref="W2165" r:id="rId1796" xr:uid="{00000000-0004-0000-0000-000003070000}"/>
    <hyperlink ref="W2166" r:id="rId1797" xr:uid="{00000000-0004-0000-0000-000004070000}"/>
    <hyperlink ref="W2167" r:id="rId1798" xr:uid="{00000000-0004-0000-0000-000005070000}"/>
    <hyperlink ref="W2168" r:id="rId1799" xr:uid="{00000000-0004-0000-0000-000006070000}"/>
    <hyperlink ref="W2169" r:id="rId1800" xr:uid="{00000000-0004-0000-0000-000007070000}"/>
    <hyperlink ref="W2170" r:id="rId1801" xr:uid="{00000000-0004-0000-0000-000008070000}"/>
    <hyperlink ref="W2171" r:id="rId1802" xr:uid="{00000000-0004-0000-0000-000009070000}"/>
    <hyperlink ref="W2172" r:id="rId1803" xr:uid="{00000000-0004-0000-0000-00000A070000}"/>
    <hyperlink ref="W2173" r:id="rId1804" xr:uid="{00000000-0004-0000-0000-00000B070000}"/>
    <hyperlink ref="W2174" r:id="rId1805" xr:uid="{00000000-0004-0000-0000-00000C070000}"/>
    <hyperlink ref="W2175" r:id="rId1806" xr:uid="{00000000-0004-0000-0000-00000D070000}"/>
    <hyperlink ref="I2176" r:id="rId1807" xr:uid="{00000000-0004-0000-0000-00000E070000}"/>
    <hyperlink ref="W2176" r:id="rId1808" xr:uid="{00000000-0004-0000-0000-00000F070000}"/>
    <hyperlink ref="W2177" r:id="rId1809" xr:uid="{00000000-0004-0000-0000-000010070000}"/>
    <hyperlink ref="W2178" r:id="rId1810" xr:uid="{00000000-0004-0000-0000-000011070000}"/>
    <hyperlink ref="W2179" r:id="rId1811" xr:uid="{00000000-0004-0000-0000-000012070000}"/>
    <hyperlink ref="W2180" r:id="rId1812" xr:uid="{00000000-0004-0000-0000-000013070000}"/>
    <hyperlink ref="W2181" r:id="rId1813" xr:uid="{00000000-0004-0000-0000-000014070000}"/>
    <hyperlink ref="W2182" r:id="rId1814" xr:uid="{00000000-0004-0000-0000-000015070000}"/>
    <hyperlink ref="W2183" r:id="rId1815" xr:uid="{00000000-0004-0000-0000-000016070000}"/>
    <hyperlink ref="W2184" r:id="rId1816" xr:uid="{00000000-0004-0000-0000-000017070000}"/>
    <hyperlink ref="K2185" r:id="rId1817" xr:uid="{00000000-0004-0000-0000-000018070000}"/>
    <hyperlink ref="W2185" r:id="rId1818" xr:uid="{00000000-0004-0000-0000-000019070000}"/>
    <hyperlink ref="W2186" r:id="rId1819" xr:uid="{00000000-0004-0000-0000-00001A070000}"/>
    <hyperlink ref="W2187" r:id="rId1820" xr:uid="{00000000-0004-0000-0000-00001B070000}"/>
    <hyperlink ref="W2188" r:id="rId1821" xr:uid="{00000000-0004-0000-0000-00001C070000}"/>
    <hyperlink ref="W2189" r:id="rId1822" xr:uid="{00000000-0004-0000-0000-00001D070000}"/>
    <hyperlink ref="W2190" r:id="rId1823" xr:uid="{00000000-0004-0000-0000-00001E070000}"/>
    <hyperlink ref="W2191" r:id="rId1824" xr:uid="{00000000-0004-0000-0000-00001F070000}"/>
    <hyperlink ref="W2192" r:id="rId1825" xr:uid="{00000000-0004-0000-0000-000020070000}"/>
    <hyperlink ref="W2193" r:id="rId1826" xr:uid="{00000000-0004-0000-0000-000021070000}"/>
    <hyperlink ref="W2194" r:id="rId1827" xr:uid="{00000000-0004-0000-0000-000022070000}"/>
    <hyperlink ref="W2195" r:id="rId1828" xr:uid="{00000000-0004-0000-0000-000023070000}"/>
    <hyperlink ref="W2196" r:id="rId1829" xr:uid="{00000000-0004-0000-0000-000024070000}"/>
    <hyperlink ref="W2197" r:id="rId1830" xr:uid="{00000000-0004-0000-0000-000025070000}"/>
    <hyperlink ref="W2198" r:id="rId1831" xr:uid="{00000000-0004-0000-0000-000026070000}"/>
    <hyperlink ref="W2199" r:id="rId1832" xr:uid="{00000000-0004-0000-0000-000027070000}"/>
    <hyperlink ref="W2200" r:id="rId1833" xr:uid="{00000000-0004-0000-0000-000028070000}"/>
    <hyperlink ref="W2201" r:id="rId1834" xr:uid="{00000000-0004-0000-0000-000029070000}"/>
    <hyperlink ref="W2202" r:id="rId1835" xr:uid="{00000000-0004-0000-0000-00002A070000}"/>
    <hyperlink ref="W2203" r:id="rId1836" xr:uid="{00000000-0004-0000-0000-00002B070000}"/>
    <hyperlink ref="W2204" r:id="rId1837" xr:uid="{00000000-0004-0000-0000-00002C070000}"/>
    <hyperlink ref="W2205" r:id="rId1838" xr:uid="{00000000-0004-0000-0000-00002D070000}"/>
    <hyperlink ref="W2206" r:id="rId1839" xr:uid="{00000000-0004-0000-0000-00002E070000}"/>
    <hyperlink ref="W2207" r:id="rId1840" xr:uid="{00000000-0004-0000-0000-00002F070000}"/>
    <hyperlink ref="W2208" r:id="rId1841" xr:uid="{00000000-0004-0000-0000-000030070000}"/>
    <hyperlink ref="W2209" r:id="rId1842" xr:uid="{00000000-0004-0000-0000-000031070000}"/>
    <hyperlink ref="W2210" r:id="rId1843" xr:uid="{00000000-0004-0000-0000-000032070000}"/>
    <hyperlink ref="W2211" r:id="rId1844" xr:uid="{00000000-0004-0000-0000-000033070000}"/>
    <hyperlink ref="W2212" r:id="rId1845" xr:uid="{00000000-0004-0000-0000-000034070000}"/>
    <hyperlink ref="W2213" r:id="rId1846" xr:uid="{00000000-0004-0000-0000-000035070000}"/>
    <hyperlink ref="W2214" r:id="rId1847" xr:uid="{00000000-0004-0000-0000-000036070000}"/>
    <hyperlink ref="W2215" r:id="rId1848" xr:uid="{00000000-0004-0000-0000-000037070000}"/>
    <hyperlink ref="W2216" r:id="rId1849" xr:uid="{00000000-0004-0000-0000-000038070000}"/>
    <hyperlink ref="W2217" r:id="rId1850" xr:uid="{00000000-0004-0000-0000-000039070000}"/>
    <hyperlink ref="W2218" r:id="rId1851" xr:uid="{00000000-0004-0000-0000-00003A070000}"/>
    <hyperlink ref="W2219" r:id="rId1852" xr:uid="{00000000-0004-0000-0000-00003B070000}"/>
    <hyperlink ref="W2220" r:id="rId1853" xr:uid="{00000000-0004-0000-0000-00003C070000}"/>
    <hyperlink ref="W2221" r:id="rId1854" xr:uid="{00000000-0004-0000-0000-00003D070000}"/>
    <hyperlink ref="W2222" r:id="rId1855" xr:uid="{00000000-0004-0000-0000-00003E070000}"/>
    <hyperlink ref="W2223" r:id="rId1856" xr:uid="{00000000-0004-0000-0000-00003F070000}"/>
    <hyperlink ref="W2224" r:id="rId1857" xr:uid="{00000000-0004-0000-0000-000040070000}"/>
    <hyperlink ref="W2225" r:id="rId1858" xr:uid="{00000000-0004-0000-0000-000041070000}"/>
    <hyperlink ref="W2226" r:id="rId1859" xr:uid="{00000000-0004-0000-0000-000042070000}"/>
    <hyperlink ref="W2227" r:id="rId1860" xr:uid="{00000000-0004-0000-0000-000043070000}"/>
    <hyperlink ref="W2228" r:id="rId1861" xr:uid="{00000000-0004-0000-0000-000044070000}"/>
    <hyperlink ref="W2229" r:id="rId1862" xr:uid="{00000000-0004-0000-0000-000045070000}"/>
    <hyperlink ref="W2230" r:id="rId1863" xr:uid="{00000000-0004-0000-0000-000046070000}"/>
    <hyperlink ref="W2231" r:id="rId1864" xr:uid="{00000000-0004-0000-0000-000047070000}"/>
    <hyperlink ref="W2232" r:id="rId1865" xr:uid="{00000000-0004-0000-0000-000048070000}"/>
    <hyperlink ref="W2233" r:id="rId1866" xr:uid="{00000000-0004-0000-0000-000049070000}"/>
    <hyperlink ref="W2234" r:id="rId1867" xr:uid="{00000000-0004-0000-0000-00004A070000}"/>
    <hyperlink ref="W2235" r:id="rId1868" xr:uid="{00000000-0004-0000-0000-00004B070000}"/>
    <hyperlink ref="W2236" r:id="rId1869" xr:uid="{00000000-0004-0000-0000-00004C070000}"/>
    <hyperlink ref="W2237" r:id="rId1870" xr:uid="{00000000-0004-0000-0000-00004D070000}"/>
    <hyperlink ref="W2238" r:id="rId1871" xr:uid="{00000000-0004-0000-0000-00004E070000}"/>
    <hyperlink ref="W2239" r:id="rId1872" xr:uid="{00000000-0004-0000-0000-00004F070000}"/>
    <hyperlink ref="W2240" r:id="rId1873" xr:uid="{00000000-0004-0000-0000-000050070000}"/>
    <hyperlink ref="W2241" r:id="rId1874" xr:uid="{00000000-0004-0000-0000-000051070000}"/>
    <hyperlink ref="W2242" r:id="rId1875" xr:uid="{00000000-0004-0000-0000-000052070000}"/>
    <hyperlink ref="W2243" r:id="rId1876" xr:uid="{00000000-0004-0000-0000-000053070000}"/>
    <hyperlink ref="W2244" r:id="rId1877" xr:uid="{00000000-0004-0000-0000-000054070000}"/>
    <hyperlink ref="W2245" r:id="rId1878" xr:uid="{00000000-0004-0000-0000-000055070000}"/>
    <hyperlink ref="W2246" r:id="rId1879" xr:uid="{00000000-0004-0000-0000-000056070000}"/>
    <hyperlink ref="W2247" r:id="rId1880" xr:uid="{00000000-0004-0000-0000-000057070000}"/>
    <hyperlink ref="W2248" r:id="rId1881" xr:uid="{00000000-0004-0000-0000-000058070000}"/>
    <hyperlink ref="W2249" r:id="rId1882" xr:uid="{00000000-0004-0000-0000-000059070000}"/>
    <hyperlink ref="W2250" r:id="rId1883" xr:uid="{00000000-0004-0000-0000-00005A070000}"/>
    <hyperlink ref="W2251" r:id="rId1884" xr:uid="{00000000-0004-0000-0000-00005B070000}"/>
    <hyperlink ref="W2252" r:id="rId1885" xr:uid="{00000000-0004-0000-0000-00005C070000}"/>
    <hyperlink ref="W2253" r:id="rId1886" xr:uid="{00000000-0004-0000-0000-00005D070000}"/>
    <hyperlink ref="W2254" r:id="rId1887" xr:uid="{00000000-0004-0000-0000-00005E070000}"/>
    <hyperlink ref="W2255" r:id="rId1888" xr:uid="{00000000-0004-0000-0000-00005F070000}"/>
    <hyperlink ref="W2256" r:id="rId1889" xr:uid="{00000000-0004-0000-0000-000060070000}"/>
    <hyperlink ref="W2257" r:id="rId1890" xr:uid="{00000000-0004-0000-0000-000061070000}"/>
    <hyperlink ref="W2258" r:id="rId1891" xr:uid="{00000000-0004-0000-0000-000062070000}"/>
    <hyperlink ref="W2259" r:id="rId1892" xr:uid="{00000000-0004-0000-0000-000063070000}"/>
    <hyperlink ref="W2260" r:id="rId1893" xr:uid="{00000000-0004-0000-0000-000064070000}"/>
    <hyperlink ref="W2261" r:id="rId1894" xr:uid="{00000000-0004-0000-0000-000065070000}"/>
    <hyperlink ref="W2262" r:id="rId1895" xr:uid="{00000000-0004-0000-0000-000066070000}"/>
    <hyperlink ref="W2263" r:id="rId1896" xr:uid="{00000000-0004-0000-0000-000067070000}"/>
    <hyperlink ref="W2264" r:id="rId1897" xr:uid="{00000000-0004-0000-0000-000068070000}"/>
    <hyperlink ref="W2265" r:id="rId1898" xr:uid="{00000000-0004-0000-0000-000069070000}"/>
    <hyperlink ref="W2266" r:id="rId1899" xr:uid="{00000000-0004-0000-0000-00006A070000}"/>
    <hyperlink ref="W2268" r:id="rId1900" xr:uid="{00000000-0004-0000-0000-00006B070000}"/>
    <hyperlink ref="W2269" r:id="rId1901" xr:uid="{00000000-0004-0000-0000-00006C070000}"/>
    <hyperlink ref="W2270" r:id="rId1902" xr:uid="{00000000-0004-0000-0000-00006D070000}"/>
    <hyperlink ref="W2271" r:id="rId1903" xr:uid="{00000000-0004-0000-0000-00006E070000}"/>
    <hyperlink ref="W2272" r:id="rId1904" xr:uid="{00000000-0004-0000-0000-00006F070000}"/>
    <hyperlink ref="W2273" r:id="rId1905" xr:uid="{00000000-0004-0000-0000-000070070000}"/>
    <hyperlink ref="W2274" r:id="rId1906" xr:uid="{00000000-0004-0000-0000-000071070000}"/>
    <hyperlink ref="W2275" r:id="rId1907" xr:uid="{00000000-0004-0000-0000-000072070000}"/>
    <hyperlink ref="W2276" r:id="rId1908" xr:uid="{00000000-0004-0000-0000-000073070000}"/>
    <hyperlink ref="W2277" r:id="rId1909" xr:uid="{00000000-0004-0000-0000-000074070000}"/>
    <hyperlink ref="W2278" r:id="rId1910" xr:uid="{00000000-0004-0000-0000-000075070000}"/>
    <hyperlink ref="W2279" r:id="rId1911" xr:uid="{00000000-0004-0000-0000-000076070000}"/>
    <hyperlink ref="W2280" r:id="rId1912" xr:uid="{00000000-0004-0000-0000-000077070000}"/>
    <hyperlink ref="W2281" r:id="rId1913" xr:uid="{00000000-0004-0000-0000-000078070000}"/>
    <hyperlink ref="W2282" r:id="rId1914" xr:uid="{00000000-0004-0000-0000-000079070000}"/>
    <hyperlink ref="W2283" r:id="rId1915" xr:uid="{00000000-0004-0000-0000-00007A070000}"/>
    <hyperlink ref="W2284" r:id="rId1916" xr:uid="{00000000-0004-0000-0000-00007B070000}"/>
    <hyperlink ref="W2285" r:id="rId1917" xr:uid="{00000000-0004-0000-0000-00007C070000}"/>
    <hyperlink ref="W2286" r:id="rId1918" xr:uid="{00000000-0004-0000-0000-00007D070000}"/>
    <hyperlink ref="W2287" r:id="rId1919" xr:uid="{00000000-0004-0000-0000-00007E070000}"/>
    <hyperlink ref="W2288" r:id="rId1920" xr:uid="{00000000-0004-0000-0000-00007F070000}"/>
    <hyperlink ref="W2289" r:id="rId1921" xr:uid="{00000000-0004-0000-0000-000080070000}"/>
    <hyperlink ref="W2290" r:id="rId1922" xr:uid="{00000000-0004-0000-0000-000081070000}"/>
    <hyperlink ref="W2291" r:id="rId1923" xr:uid="{00000000-0004-0000-0000-000082070000}"/>
    <hyperlink ref="W2292" r:id="rId1924" xr:uid="{00000000-0004-0000-0000-000083070000}"/>
    <hyperlink ref="W2293" r:id="rId1925" xr:uid="{00000000-0004-0000-0000-000084070000}"/>
    <hyperlink ref="W2294" r:id="rId1926" xr:uid="{00000000-0004-0000-0000-000085070000}"/>
    <hyperlink ref="W2295" r:id="rId1927" xr:uid="{00000000-0004-0000-0000-000086070000}"/>
    <hyperlink ref="W2296" r:id="rId1928" xr:uid="{00000000-0004-0000-0000-000087070000}"/>
    <hyperlink ref="W2297" r:id="rId1929" xr:uid="{00000000-0004-0000-0000-000088070000}"/>
    <hyperlink ref="W2298" r:id="rId1930" xr:uid="{00000000-0004-0000-0000-000089070000}"/>
    <hyperlink ref="W2299" r:id="rId1931" xr:uid="{00000000-0004-0000-0000-00008A070000}"/>
    <hyperlink ref="W2300" r:id="rId1932" xr:uid="{00000000-0004-0000-0000-00008B070000}"/>
    <hyperlink ref="W2301" r:id="rId1933" xr:uid="{00000000-0004-0000-0000-00008C070000}"/>
    <hyperlink ref="W2302" r:id="rId1934" xr:uid="{00000000-0004-0000-0000-00008D070000}"/>
    <hyperlink ref="W2303" r:id="rId1935" xr:uid="{00000000-0004-0000-0000-00008E070000}"/>
    <hyperlink ref="W2304" r:id="rId1936" xr:uid="{00000000-0004-0000-0000-00008F070000}"/>
    <hyperlink ref="W2305" r:id="rId1937" xr:uid="{00000000-0004-0000-0000-000090070000}"/>
    <hyperlink ref="W2306" r:id="rId1938" xr:uid="{00000000-0004-0000-0000-000091070000}"/>
    <hyperlink ref="W2307" r:id="rId1939" xr:uid="{00000000-0004-0000-0000-000092070000}"/>
    <hyperlink ref="W2308" r:id="rId1940" xr:uid="{00000000-0004-0000-0000-000093070000}"/>
    <hyperlink ref="W2309" r:id="rId1941" xr:uid="{00000000-0004-0000-0000-000094070000}"/>
    <hyperlink ref="W2310" r:id="rId1942" xr:uid="{00000000-0004-0000-0000-000095070000}"/>
    <hyperlink ref="W2311" r:id="rId1943" xr:uid="{00000000-0004-0000-0000-000096070000}"/>
    <hyperlink ref="W2312" r:id="rId1944" xr:uid="{00000000-0004-0000-0000-000097070000}"/>
    <hyperlink ref="W2313" r:id="rId1945" xr:uid="{00000000-0004-0000-0000-000098070000}"/>
    <hyperlink ref="W2314" r:id="rId1946" xr:uid="{00000000-0004-0000-0000-000099070000}"/>
    <hyperlink ref="W2315" r:id="rId1947" xr:uid="{00000000-0004-0000-0000-00009A070000}"/>
    <hyperlink ref="W2316" r:id="rId1948" xr:uid="{00000000-0004-0000-0000-00009B070000}"/>
    <hyperlink ref="W2317" r:id="rId1949" xr:uid="{00000000-0004-0000-0000-00009C070000}"/>
    <hyperlink ref="W2318" r:id="rId1950" xr:uid="{00000000-0004-0000-0000-00009D070000}"/>
    <hyperlink ref="W2319" r:id="rId1951" xr:uid="{00000000-0004-0000-0000-00009E070000}"/>
    <hyperlink ref="W2320" r:id="rId1952" xr:uid="{00000000-0004-0000-0000-00009F070000}"/>
    <hyperlink ref="W2321" r:id="rId1953" xr:uid="{00000000-0004-0000-0000-0000A0070000}"/>
    <hyperlink ref="W2322" r:id="rId1954" xr:uid="{00000000-0004-0000-0000-0000A1070000}"/>
    <hyperlink ref="W2323" r:id="rId1955" xr:uid="{00000000-0004-0000-0000-0000A2070000}"/>
    <hyperlink ref="W2324" r:id="rId1956" xr:uid="{00000000-0004-0000-0000-0000A3070000}"/>
    <hyperlink ref="W2325" r:id="rId1957" xr:uid="{00000000-0004-0000-0000-0000A4070000}"/>
    <hyperlink ref="W2327" r:id="rId1958" xr:uid="{00000000-0004-0000-0000-0000A5070000}"/>
    <hyperlink ref="W2328" r:id="rId1959" xr:uid="{00000000-0004-0000-0000-0000A6070000}"/>
    <hyperlink ref="W2329" r:id="rId1960" xr:uid="{00000000-0004-0000-0000-0000A7070000}"/>
    <hyperlink ref="W2337" r:id="rId1961" xr:uid="{00000000-0004-0000-0000-0000A8070000}"/>
    <hyperlink ref="W2338" r:id="rId1962" xr:uid="{00000000-0004-0000-0000-0000A9070000}"/>
    <hyperlink ref="W2339" r:id="rId1963" xr:uid="{00000000-0004-0000-0000-0000AA070000}"/>
    <hyperlink ref="W2340" r:id="rId1964" xr:uid="{00000000-0004-0000-0000-0000AB070000}"/>
    <hyperlink ref="W2341" r:id="rId1965" xr:uid="{00000000-0004-0000-0000-0000AC070000}"/>
    <hyperlink ref="W2342" r:id="rId1966" xr:uid="{00000000-0004-0000-0000-0000AD070000}"/>
    <hyperlink ref="W2343" r:id="rId1967" xr:uid="{00000000-0004-0000-0000-0000AE070000}"/>
    <hyperlink ref="W2344" r:id="rId1968" xr:uid="{00000000-0004-0000-0000-0000AF070000}"/>
    <hyperlink ref="W2345" r:id="rId1969" xr:uid="{00000000-0004-0000-0000-0000B0070000}"/>
    <hyperlink ref="W2346" r:id="rId1970" xr:uid="{00000000-0004-0000-0000-0000B1070000}"/>
    <hyperlink ref="W2347" r:id="rId1971" xr:uid="{00000000-0004-0000-0000-0000B2070000}"/>
    <hyperlink ref="W2348" r:id="rId1972" xr:uid="{00000000-0004-0000-0000-0000B3070000}"/>
    <hyperlink ref="W2350" r:id="rId1973" xr:uid="{00000000-0004-0000-0000-0000B4070000}"/>
    <hyperlink ref="W2351" r:id="rId1974" xr:uid="{00000000-0004-0000-0000-0000B5070000}"/>
    <hyperlink ref="W2352" r:id="rId1975" xr:uid="{00000000-0004-0000-0000-0000B6070000}"/>
    <hyperlink ref="W2353" r:id="rId1976" xr:uid="{00000000-0004-0000-0000-0000B7070000}"/>
    <hyperlink ref="W2354" r:id="rId1977" xr:uid="{00000000-0004-0000-0000-0000B8070000}"/>
    <hyperlink ref="W2355" r:id="rId1978" xr:uid="{00000000-0004-0000-0000-0000B9070000}"/>
    <hyperlink ref="W2356" r:id="rId1979" xr:uid="{00000000-0004-0000-0000-0000BA070000}"/>
    <hyperlink ref="W2357" r:id="rId1980" xr:uid="{00000000-0004-0000-0000-0000BB070000}"/>
    <hyperlink ref="W2358" r:id="rId1981" xr:uid="{00000000-0004-0000-0000-0000BC070000}"/>
    <hyperlink ref="W2359" r:id="rId1982" xr:uid="{00000000-0004-0000-0000-0000BD070000}"/>
    <hyperlink ref="W2360" r:id="rId1983" xr:uid="{00000000-0004-0000-0000-0000BE070000}"/>
    <hyperlink ref="W2361" r:id="rId1984" xr:uid="{00000000-0004-0000-0000-0000BF070000}"/>
    <hyperlink ref="W2362" r:id="rId1985" xr:uid="{00000000-0004-0000-0000-0000C0070000}"/>
    <hyperlink ref="W2363" r:id="rId1986" xr:uid="{00000000-0004-0000-0000-0000C1070000}"/>
    <hyperlink ref="W2364" r:id="rId1987" xr:uid="{00000000-0004-0000-0000-0000C2070000}"/>
    <hyperlink ref="W2365" r:id="rId1988" xr:uid="{00000000-0004-0000-0000-0000C3070000}"/>
    <hyperlink ref="W2366" r:id="rId1989" xr:uid="{00000000-0004-0000-0000-0000C4070000}"/>
    <hyperlink ref="W2367" r:id="rId1990" xr:uid="{00000000-0004-0000-0000-0000C5070000}"/>
    <hyperlink ref="W2368" r:id="rId1991" xr:uid="{00000000-0004-0000-0000-0000C6070000}"/>
    <hyperlink ref="W2369" r:id="rId1992" xr:uid="{00000000-0004-0000-0000-0000C7070000}"/>
    <hyperlink ref="W2370" r:id="rId1993" xr:uid="{00000000-0004-0000-0000-0000C8070000}"/>
    <hyperlink ref="W2371" r:id="rId1994" xr:uid="{00000000-0004-0000-0000-0000C9070000}"/>
    <hyperlink ref="W2372" r:id="rId1995" xr:uid="{00000000-0004-0000-0000-0000CA070000}"/>
    <hyperlink ref="W2373" r:id="rId1996" xr:uid="{00000000-0004-0000-0000-0000CB070000}"/>
    <hyperlink ref="W2374" r:id="rId1997" xr:uid="{00000000-0004-0000-0000-0000CC070000}"/>
    <hyperlink ref="W2375" r:id="rId1998" xr:uid="{00000000-0004-0000-0000-0000CD070000}"/>
    <hyperlink ref="W2376" r:id="rId1999" xr:uid="{00000000-0004-0000-0000-0000CE070000}"/>
    <hyperlink ref="W2377" r:id="rId2000" xr:uid="{00000000-0004-0000-0000-0000CF070000}"/>
    <hyperlink ref="W2378" r:id="rId2001" xr:uid="{00000000-0004-0000-0000-0000D0070000}"/>
    <hyperlink ref="W2379" r:id="rId2002" xr:uid="{00000000-0004-0000-0000-0000D1070000}"/>
    <hyperlink ref="W2380" r:id="rId2003" xr:uid="{00000000-0004-0000-0000-0000D2070000}"/>
    <hyperlink ref="W2381" r:id="rId2004" xr:uid="{00000000-0004-0000-0000-0000D3070000}"/>
    <hyperlink ref="W2382" r:id="rId2005" xr:uid="{00000000-0004-0000-0000-0000D4070000}"/>
    <hyperlink ref="W2383" r:id="rId2006" xr:uid="{00000000-0004-0000-0000-0000D5070000}"/>
    <hyperlink ref="W2384" r:id="rId2007" xr:uid="{00000000-0004-0000-0000-0000D6070000}"/>
    <hyperlink ref="W2385" r:id="rId2008" xr:uid="{00000000-0004-0000-0000-0000D7070000}"/>
    <hyperlink ref="W2386" r:id="rId2009" xr:uid="{00000000-0004-0000-0000-0000D8070000}"/>
    <hyperlink ref="W2387" r:id="rId2010" xr:uid="{00000000-0004-0000-0000-0000D9070000}"/>
    <hyperlink ref="W2388" r:id="rId2011" xr:uid="{00000000-0004-0000-0000-0000DA070000}"/>
    <hyperlink ref="W2389" r:id="rId2012" xr:uid="{00000000-0004-0000-0000-0000DB070000}"/>
    <hyperlink ref="W2390" r:id="rId2013" xr:uid="{00000000-0004-0000-0000-0000DC070000}"/>
    <hyperlink ref="W2391" r:id="rId2014" xr:uid="{00000000-0004-0000-0000-0000DD070000}"/>
    <hyperlink ref="W2392" r:id="rId2015" xr:uid="{00000000-0004-0000-0000-0000DE070000}"/>
    <hyperlink ref="W2393" r:id="rId2016" xr:uid="{00000000-0004-0000-0000-0000DF070000}"/>
    <hyperlink ref="W2394" r:id="rId2017" xr:uid="{00000000-0004-0000-0000-0000E0070000}"/>
    <hyperlink ref="W2395" r:id="rId2018" xr:uid="{00000000-0004-0000-0000-0000E1070000}"/>
    <hyperlink ref="W2396" r:id="rId2019" xr:uid="{00000000-0004-0000-0000-0000E2070000}"/>
    <hyperlink ref="W2397" r:id="rId2020" xr:uid="{00000000-0004-0000-0000-0000E3070000}"/>
    <hyperlink ref="W2398" r:id="rId2021" xr:uid="{00000000-0004-0000-0000-0000E4070000}"/>
    <hyperlink ref="W2399" r:id="rId2022" xr:uid="{00000000-0004-0000-0000-0000E5070000}"/>
    <hyperlink ref="W2400" r:id="rId2023" xr:uid="{00000000-0004-0000-0000-0000E6070000}"/>
    <hyperlink ref="W2401" r:id="rId2024" xr:uid="{00000000-0004-0000-0000-0000E7070000}"/>
    <hyperlink ref="W2402" r:id="rId2025" xr:uid="{00000000-0004-0000-0000-0000E8070000}"/>
    <hyperlink ref="W2403" r:id="rId2026" xr:uid="{00000000-0004-0000-0000-0000E9070000}"/>
    <hyperlink ref="W2404" r:id="rId2027" xr:uid="{00000000-0004-0000-0000-0000EA070000}"/>
    <hyperlink ref="W2405" r:id="rId2028" xr:uid="{00000000-0004-0000-0000-0000EB070000}"/>
    <hyperlink ref="W2406" r:id="rId2029" xr:uid="{00000000-0004-0000-0000-0000EC070000}"/>
    <hyperlink ref="W2407" r:id="rId2030" xr:uid="{00000000-0004-0000-0000-0000ED070000}"/>
    <hyperlink ref="W2408" r:id="rId2031" xr:uid="{00000000-0004-0000-0000-0000EE070000}"/>
    <hyperlink ref="W2409" r:id="rId2032" xr:uid="{00000000-0004-0000-0000-0000EF070000}"/>
    <hyperlink ref="W2410" r:id="rId2033" xr:uid="{00000000-0004-0000-0000-0000F0070000}"/>
    <hyperlink ref="W2411" r:id="rId2034" location="tab-id-3" xr:uid="{00000000-0004-0000-0000-0000F1070000}"/>
    <hyperlink ref="W2412" r:id="rId2035" xr:uid="{00000000-0004-0000-0000-0000F2070000}"/>
    <hyperlink ref="W2413" r:id="rId2036" xr:uid="{00000000-0004-0000-0000-0000F3070000}"/>
    <hyperlink ref="W2414" r:id="rId2037" xr:uid="{00000000-0004-0000-0000-0000F4070000}"/>
    <hyperlink ref="W2416" r:id="rId2038" xr:uid="{00000000-0004-0000-0000-0000F5070000}"/>
    <hyperlink ref="W2417" r:id="rId2039" xr:uid="{00000000-0004-0000-0000-0000F6070000}"/>
    <hyperlink ref="W2418" r:id="rId2040" xr:uid="{00000000-0004-0000-0000-0000F7070000}"/>
    <hyperlink ref="W2419" r:id="rId2041" xr:uid="{00000000-0004-0000-0000-0000F8070000}"/>
    <hyperlink ref="W2420" r:id="rId2042" xr:uid="{00000000-0004-0000-0000-0000F9070000}"/>
    <hyperlink ref="W2421" r:id="rId2043" xr:uid="{00000000-0004-0000-0000-0000FA070000}"/>
    <hyperlink ref="W2422" r:id="rId2044" xr:uid="{00000000-0004-0000-0000-0000FB070000}"/>
    <hyperlink ref="W2423" r:id="rId2045" xr:uid="{00000000-0004-0000-0000-0000FC070000}"/>
    <hyperlink ref="W2424" r:id="rId2046" xr:uid="{00000000-0004-0000-0000-0000FD070000}"/>
    <hyperlink ref="W2425" r:id="rId2047" xr:uid="{00000000-0004-0000-0000-0000FE070000}"/>
    <hyperlink ref="W2437" r:id="rId2048" xr:uid="{00000000-0004-0000-0000-0000FF070000}"/>
    <hyperlink ref="W2438" r:id="rId2049" xr:uid="{00000000-0004-0000-0000-000000080000}"/>
    <hyperlink ref="W2439" r:id="rId2050" xr:uid="{00000000-0004-0000-0000-000001080000}"/>
    <hyperlink ref="W2440" r:id="rId2051" xr:uid="{00000000-0004-0000-0000-000002080000}"/>
    <hyperlink ref="W2441" r:id="rId2052" xr:uid="{00000000-0004-0000-0000-000003080000}"/>
    <hyperlink ref="W2442" r:id="rId2053" xr:uid="{00000000-0004-0000-0000-000004080000}"/>
    <hyperlink ref="W2443" r:id="rId2054" xr:uid="{00000000-0004-0000-0000-000005080000}"/>
    <hyperlink ref="W2444" r:id="rId2055" xr:uid="{00000000-0004-0000-0000-000006080000}"/>
    <hyperlink ref="W2445" r:id="rId2056" xr:uid="{00000000-0004-0000-0000-000007080000}"/>
    <hyperlink ref="W2446" r:id="rId2057" xr:uid="{00000000-0004-0000-0000-000008080000}"/>
    <hyperlink ref="W2447" r:id="rId2058" xr:uid="{00000000-0004-0000-0000-000009080000}"/>
    <hyperlink ref="W2448" r:id="rId2059" xr:uid="{00000000-0004-0000-0000-00000A080000}"/>
    <hyperlink ref="W2449" r:id="rId2060" xr:uid="{00000000-0004-0000-0000-00000B080000}"/>
    <hyperlink ref="W2450" r:id="rId2061" xr:uid="{00000000-0004-0000-0000-00000C080000}"/>
    <hyperlink ref="W2451" r:id="rId2062" xr:uid="{00000000-0004-0000-0000-00000D080000}"/>
    <hyperlink ref="W2452" r:id="rId2063" xr:uid="{00000000-0004-0000-0000-00000E080000}"/>
    <hyperlink ref="W2453" r:id="rId2064" xr:uid="{00000000-0004-0000-0000-00000F080000}"/>
    <hyperlink ref="W2454" r:id="rId2065" xr:uid="{00000000-0004-0000-0000-000010080000}"/>
    <hyperlink ref="W2455" r:id="rId2066" xr:uid="{00000000-0004-0000-0000-000011080000}"/>
    <hyperlink ref="W2456" r:id="rId2067" xr:uid="{00000000-0004-0000-0000-000012080000}"/>
    <hyperlink ref="W2457" r:id="rId2068" xr:uid="{00000000-0004-0000-0000-000013080000}"/>
    <hyperlink ref="W2458" r:id="rId2069" xr:uid="{00000000-0004-0000-0000-000014080000}"/>
    <hyperlink ref="W2459" r:id="rId2070" xr:uid="{00000000-0004-0000-0000-000015080000}"/>
    <hyperlink ref="W2460" r:id="rId2071" xr:uid="{00000000-0004-0000-0000-000016080000}"/>
    <hyperlink ref="W2461" r:id="rId2072" xr:uid="{00000000-0004-0000-0000-000017080000}"/>
    <hyperlink ref="W2462" r:id="rId2073" xr:uid="{00000000-0004-0000-0000-000018080000}"/>
    <hyperlink ref="W2463" r:id="rId2074" xr:uid="{00000000-0004-0000-0000-000019080000}"/>
    <hyperlink ref="W2464" r:id="rId2075" xr:uid="{00000000-0004-0000-0000-00001A080000}"/>
    <hyperlink ref="W2465" r:id="rId2076" xr:uid="{00000000-0004-0000-0000-00001B080000}"/>
    <hyperlink ref="W2466" r:id="rId2077" xr:uid="{00000000-0004-0000-0000-00001C080000}"/>
    <hyperlink ref="W2467" r:id="rId2078" xr:uid="{00000000-0004-0000-0000-00001D080000}"/>
    <hyperlink ref="W2468" r:id="rId2079" xr:uid="{00000000-0004-0000-0000-00001E080000}"/>
    <hyperlink ref="W2469" r:id="rId2080" xr:uid="{00000000-0004-0000-0000-00001F080000}"/>
    <hyperlink ref="W2470" r:id="rId2081" xr:uid="{00000000-0004-0000-0000-000020080000}"/>
    <hyperlink ref="W2471" r:id="rId2082" xr:uid="{00000000-0004-0000-0000-000021080000}"/>
    <hyperlink ref="W2472" r:id="rId2083" xr:uid="{00000000-0004-0000-0000-000022080000}"/>
    <hyperlink ref="W2473" r:id="rId2084" xr:uid="{00000000-0004-0000-0000-000023080000}"/>
    <hyperlink ref="W2474" r:id="rId2085" xr:uid="{00000000-0004-0000-0000-000024080000}"/>
    <hyperlink ref="W2475" r:id="rId2086" xr:uid="{00000000-0004-0000-0000-000025080000}"/>
    <hyperlink ref="W2476" r:id="rId2087" xr:uid="{00000000-0004-0000-0000-000026080000}"/>
    <hyperlink ref="W2477" r:id="rId2088" xr:uid="{00000000-0004-0000-0000-000027080000}"/>
    <hyperlink ref="W2478" r:id="rId2089" xr:uid="{00000000-0004-0000-0000-000028080000}"/>
    <hyperlink ref="W2479" r:id="rId2090" xr:uid="{00000000-0004-0000-0000-000029080000}"/>
    <hyperlink ref="W2480" r:id="rId2091" xr:uid="{00000000-0004-0000-0000-00002A080000}"/>
    <hyperlink ref="W2481" r:id="rId2092" xr:uid="{00000000-0004-0000-0000-00002B080000}"/>
    <hyperlink ref="W2482" r:id="rId2093" xr:uid="{00000000-0004-0000-0000-00002C080000}"/>
    <hyperlink ref="W2483" r:id="rId2094" xr:uid="{00000000-0004-0000-0000-00002D080000}"/>
    <hyperlink ref="W2484" r:id="rId2095" xr:uid="{00000000-0004-0000-0000-00002E080000}"/>
    <hyperlink ref="W2485" r:id="rId2096" xr:uid="{00000000-0004-0000-0000-00002F080000}"/>
    <hyperlink ref="W2486" r:id="rId2097" xr:uid="{00000000-0004-0000-0000-000030080000}"/>
    <hyperlink ref="W2487" r:id="rId2098" xr:uid="{00000000-0004-0000-0000-000031080000}"/>
    <hyperlink ref="W2488" r:id="rId2099" xr:uid="{00000000-0004-0000-0000-000032080000}"/>
    <hyperlink ref="W2489" r:id="rId2100" xr:uid="{00000000-0004-0000-0000-000033080000}"/>
    <hyperlink ref="W2490" r:id="rId2101" xr:uid="{00000000-0004-0000-0000-000034080000}"/>
    <hyperlink ref="W2491" r:id="rId2102" xr:uid="{00000000-0004-0000-0000-000035080000}"/>
    <hyperlink ref="W2492" r:id="rId2103" xr:uid="{00000000-0004-0000-0000-000036080000}"/>
    <hyperlink ref="W2493" r:id="rId2104" xr:uid="{00000000-0004-0000-0000-000037080000}"/>
    <hyperlink ref="W2494" r:id="rId2105" xr:uid="{00000000-0004-0000-0000-000038080000}"/>
    <hyperlink ref="W2495" r:id="rId2106" xr:uid="{00000000-0004-0000-0000-000039080000}"/>
    <hyperlink ref="W2496" r:id="rId2107" xr:uid="{00000000-0004-0000-0000-00003A080000}"/>
    <hyperlink ref="W2497" r:id="rId2108" xr:uid="{00000000-0004-0000-0000-00003B080000}"/>
    <hyperlink ref="W2498" r:id="rId2109" xr:uid="{00000000-0004-0000-0000-00003C080000}"/>
    <hyperlink ref="W2499" r:id="rId2110" xr:uid="{00000000-0004-0000-0000-00003D080000}"/>
    <hyperlink ref="W2500" r:id="rId2111" xr:uid="{00000000-0004-0000-0000-00003E080000}"/>
    <hyperlink ref="W2501" r:id="rId2112" xr:uid="{00000000-0004-0000-0000-00003F080000}"/>
    <hyperlink ref="W2502" r:id="rId2113" xr:uid="{00000000-0004-0000-0000-000040080000}"/>
    <hyperlink ref="W2503" r:id="rId2114" xr:uid="{00000000-0004-0000-0000-000041080000}"/>
    <hyperlink ref="W2504" r:id="rId2115" xr:uid="{00000000-0004-0000-0000-000042080000}"/>
    <hyperlink ref="W2505" r:id="rId2116" xr:uid="{00000000-0004-0000-0000-000043080000}"/>
    <hyperlink ref="W2506" r:id="rId2117" xr:uid="{00000000-0004-0000-0000-000044080000}"/>
    <hyperlink ref="W2507" r:id="rId2118" xr:uid="{00000000-0004-0000-0000-000045080000}"/>
    <hyperlink ref="W2508" r:id="rId2119" xr:uid="{00000000-0004-0000-0000-000046080000}"/>
    <hyperlink ref="W2509" r:id="rId2120" xr:uid="{00000000-0004-0000-0000-000047080000}"/>
    <hyperlink ref="W2510" r:id="rId2121" xr:uid="{00000000-0004-0000-0000-000048080000}"/>
    <hyperlink ref="W2511" r:id="rId2122" xr:uid="{00000000-0004-0000-0000-000049080000}"/>
    <hyperlink ref="W2512" r:id="rId2123" xr:uid="{00000000-0004-0000-0000-00004A080000}"/>
    <hyperlink ref="W2513" r:id="rId2124" xr:uid="{00000000-0004-0000-0000-00004B080000}"/>
    <hyperlink ref="W2514" r:id="rId2125" xr:uid="{00000000-0004-0000-0000-00004C080000}"/>
    <hyperlink ref="W2515" r:id="rId2126" xr:uid="{00000000-0004-0000-0000-00004D080000}"/>
    <hyperlink ref="W2516" r:id="rId2127" xr:uid="{00000000-0004-0000-0000-00004E080000}"/>
    <hyperlink ref="W2517" r:id="rId2128" xr:uid="{00000000-0004-0000-0000-00004F080000}"/>
    <hyperlink ref="W2518" r:id="rId2129" xr:uid="{00000000-0004-0000-0000-000050080000}"/>
    <hyperlink ref="W2519" r:id="rId2130" xr:uid="{00000000-0004-0000-0000-000051080000}"/>
    <hyperlink ref="W2521" r:id="rId2131" xr:uid="{00000000-0004-0000-0000-000052080000}"/>
    <hyperlink ref="W2522" r:id="rId2132" xr:uid="{00000000-0004-0000-0000-000053080000}"/>
    <hyperlink ref="W2523" r:id="rId2133" xr:uid="{00000000-0004-0000-0000-000054080000}"/>
    <hyperlink ref="W2524" r:id="rId2134" xr:uid="{00000000-0004-0000-0000-000055080000}"/>
    <hyperlink ref="W2525" r:id="rId2135" xr:uid="{00000000-0004-0000-0000-000056080000}"/>
    <hyperlink ref="W2526" r:id="rId2136" xr:uid="{00000000-0004-0000-0000-000057080000}"/>
    <hyperlink ref="W2527" r:id="rId2137" xr:uid="{00000000-0004-0000-0000-000058080000}"/>
    <hyperlink ref="W2528" r:id="rId2138" xr:uid="{00000000-0004-0000-0000-000059080000}"/>
    <hyperlink ref="W2529" r:id="rId2139" xr:uid="{00000000-0004-0000-0000-00005A080000}"/>
    <hyperlink ref="W2530" r:id="rId2140" location="op_694=20&amp;op_695=50&amp;op_696=50" xr:uid="{00000000-0004-0000-0000-00005B080000}"/>
    <hyperlink ref="W2531" r:id="rId2141" xr:uid="{00000000-0004-0000-0000-00005C080000}"/>
    <hyperlink ref="W2532" r:id="rId2142" xr:uid="{00000000-0004-0000-0000-00005D080000}"/>
    <hyperlink ref="W2533" r:id="rId2143" xr:uid="{00000000-0004-0000-0000-00005E080000}"/>
    <hyperlink ref="W2534" r:id="rId2144" xr:uid="{00000000-0004-0000-0000-00005F080000}"/>
    <hyperlink ref="W2535" r:id="rId2145" xr:uid="{00000000-0004-0000-0000-000060080000}"/>
    <hyperlink ref="W2536" r:id="rId2146" xr:uid="{00000000-0004-0000-0000-000061080000}"/>
    <hyperlink ref="W2537" r:id="rId2147" xr:uid="{00000000-0004-0000-0000-000062080000}"/>
    <hyperlink ref="W2538" r:id="rId2148" xr:uid="{00000000-0004-0000-0000-000063080000}"/>
    <hyperlink ref="W2539" r:id="rId2149" xr:uid="{00000000-0004-0000-0000-000064080000}"/>
    <hyperlink ref="W2540" r:id="rId2150" xr:uid="{00000000-0004-0000-0000-000065080000}"/>
    <hyperlink ref="W2541" r:id="rId2151" xr:uid="{00000000-0004-0000-0000-000066080000}"/>
    <hyperlink ref="W2542" r:id="rId2152" xr:uid="{00000000-0004-0000-0000-000067080000}"/>
    <hyperlink ref="W2543" r:id="rId2153" xr:uid="{00000000-0004-0000-0000-000068080000}"/>
    <hyperlink ref="W2544" r:id="rId2154" xr:uid="{00000000-0004-0000-0000-000069080000}"/>
    <hyperlink ref="W2545" r:id="rId2155" xr:uid="{00000000-0004-0000-0000-00006A080000}"/>
    <hyperlink ref="W2546" r:id="rId2156" xr:uid="{00000000-0004-0000-0000-00006B080000}"/>
    <hyperlink ref="W2548" r:id="rId2157" xr:uid="{00000000-0004-0000-0000-00006C080000}"/>
    <hyperlink ref="W2549" r:id="rId2158" xr:uid="{00000000-0004-0000-0000-00006D080000}"/>
    <hyperlink ref="W2550" r:id="rId2159" xr:uid="{00000000-0004-0000-0000-00006E080000}"/>
    <hyperlink ref="W2551" r:id="rId2160" xr:uid="{00000000-0004-0000-0000-00006F080000}"/>
    <hyperlink ref="W2552" r:id="rId2161" xr:uid="{00000000-0004-0000-0000-000070080000}"/>
    <hyperlink ref="W2553" r:id="rId2162" xr:uid="{00000000-0004-0000-0000-000071080000}"/>
    <hyperlink ref="W2554" r:id="rId2163" xr:uid="{00000000-0004-0000-0000-000072080000}"/>
    <hyperlink ref="W2555" r:id="rId2164" xr:uid="{00000000-0004-0000-0000-000073080000}"/>
    <hyperlink ref="W2556" r:id="rId2165" xr:uid="{00000000-0004-0000-0000-000074080000}"/>
    <hyperlink ref="H2557" r:id="rId2166" xr:uid="{00000000-0004-0000-0000-000075080000}"/>
    <hyperlink ref="W2557" r:id="rId2167" xr:uid="{00000000-0004-0000-0000-000076080000}"/>
    <hyperlink ref="W2558" r:id="rId2168" xr:uid="{00000000-0004-0000-0000-000077080000}"/>
    <hyperlink ref="W2559" r:id="rId2169" xr:uid="{00000000-0004-0000-0000-000078080000}"/>
    <hyperlink ref="W2560" r:id="rId2170" xr:uid="{00000000-0004-0000-0000-000079080000}"/>
    <hyperlink ref="W2561" r:id="rId2171" xr:uid="{00000000-0004-0000-0000-00007A080000}"/>
    <hyperlink ref="W2562" r:id="rId2172" xr:uid="{00000000-0004-0000-0000-00007B080000}"/>
    <hyperlink ref="W2563" r:id="rId2173" xr:uid="{00000000-0004-0000-0000-00007C080000}"/>
    <hyperlink ref="W2564" r:id="rId2174" xr:uid="{00000000-0004-0000-0000-00007D080000}"/>
    <hyperlink ref="W2565" r:id="rId2175" xr:uid="{00000000-0004-0000-0000-00007E080000}"/>
    <hyperlink ref="W2566" r:id="rId2176" xr:uid="{00000000-0004-0000-0000-00007F080000}"/>
    <hyperlink ref="W2567" r:id="rId2177" xr:uid="{00000000-0004-0000-0000-000080080000}"/>
    <hyperlink ref="W2568" r:id="rId2178" xr:uid="{00000000-0004-0000-0000-000081080000}"/>
    <hyperlink ref="W2569" r:id="rId2179" xr:uid="{00000000-0004-0000-0000-000082080000}"/>
    <hyperlink ref="W2570" r:id="rId2180" xr:uid="{00000000-0004-0000-0000-000083080000}"/>
    <hyperlink ref="W2571" r:id="rId2181" xr:uid="{00000000-0004-0000-0000-000084080000}"/>
    <hyperlink ref="W2572" r:id="rId2182" xr:uid="{00000000-0004-0000-0000-000085080000}"/>
    <hyperlink ref="W2573" r:id="rId2183" xr:uid="{00000000-0004-0000-0000-000086080000}"/>
    <hyperlink ref="W2574" r:id="rId2184" xr:uid="{00000000-0004-0000-0000-000087080000}"/>
    <hyperlink ref="W2575" r:id="rId2185" xr:uid="{00000000-0004-0000-0000-000088080000}"/>
    <hyperlink ref="W2577" r:id="rId2186" xr:uid="{00000000-0004-0000-0000-000089080000}"/>
    <hyperlink ref="W2578" r:id="rId2187" xr:uid="{00000000-0004-0000-0000-00008A080000}"/>
    <hyperlink ref="W2579" r:id="rId2188" xr:uid="{00000000-0004-0000-0000-00008B080000}"/>
    <hyperlink ref="W2580" r:id="rId2189" xr:uid="{00000000-0004-0000-0000-00008C080000}"/>
    <hyperlink ref="W2581" r:id="rId2190" xr:uid="{00000000-0004-0000-0000-00008D080000}"/>
    <hyperlink ref="W2582" r:id="rId2191" xr:uid="{00000000-0004-0000-0000-00008E080000}"/>
    <hyperlink ref="W2583" r:id="rId2192" xr:uid="{00000000-0004-0000-0000-00008F080000}"/>
    <hyperlink ref="W2584" r:id="rId2193" xr:uid="{00000000-0004-0000-0000-000090080000}"/>
    <hyperlink ref="W2585" r:id="rId2194" xr:uid="{00000000-0004-0000-0000-000091080000}"/>
    <hyperlink ref="W2586" r:id="rId2195" xr:uid="{00000000-0004-0000-0000-000092080000}"/>
    <hyperlink ref="W2587" r:id="rId2196" xr:uid="{00000000-0004-0000-0000-000093080000}"/>
    <hyperlink ref="W2588" r:id="rId2197" xr:uid="{00000000-0004-0000-0000-000094080000}"/>
    <hyperlink ref="W2589" r:id="rId2198" xr:uid="{00000000-0004-0000-0000-000095080000}"/>
    <hyperlink ref="W2590" r:id="rId2199" xr:uid="{00000000-0004-0000-0000-000096080000}"/>
    <hyperlink ref="W2591" r:id="rId2200" xr:uid="{00000000-0004-0000-0000-000097080000}"/>
    <hyperlink ref="W2592" r:id="rId2201" xr:uid="{00000000-0004-0000-0000-000098080000}"/>
    <hyperlink ref="W2593" r:id="rId2202" xr:uid="{00000000-0004-0000-0000-000099080000}"/>
    <hyperlink ref="W2594" r:id="rId2203" xr:uid="{00000000-0004-0000-0000-00009A080000}"/>
    <hyperlink ref="W2595" r:id="rId2204" xr:uid="{00000000-0004-0000-0000-00009B080000}"/>
    <hyperlink ref="W2596" r:id="rId2205" xr:uid="{00000000-0004-0000-0000-00009C080000}"/>
    <hyperlink ref="W2597" r:id="rId2206" xr:uid="{00000000-0004-0000-0000-00009D080000}"/>
    <hyperlink ref="W2598" r:id="rId2207" xr:uid="{00000000-0004-0000-0000-00009E080000}"/>
    <hyperlink ref="W2599" r:id="rId2208" xr:uid="{00000000-0004-0000-0000-00009F080000}"/>
    <hyperlink ref="W2600" r:id="rId2209" xr:uid="{00000000-0004-0000-0000-0000A0080000}"/>
    <hyperlink ref="W2601" r:id="rId2210" xr:uid="{00000000-0004-0000-0000-0000A1080000}"/>
    <hyperlink ref="W2602" r:id="rId2211" xr:uid="{00000000-0004-0000-0000-0000A2080000}"/>
    <hyperlink ref="W2603" r:id="rId2212" xr:uid="{00000000-0004-0000-0000-0000A3080000}"/>
    <hyperlink ref="W2604" r:id="rId2213" xr:uid="{00000000-0004-0000-0000-0000A4080000}"/>
    <hyperlink ref="W2605" r:id="rId2214" xr:uid="{00000000-0004-0000-0000-0000A5080000}"/>
    <hyperlink ref="W2606" r:id="rId2215" xr:uid="{00000000-0004-0000-0000-0000A6080000}"/>
    <hyperlink ref="W2607" r:id="rId2216" xr:uid="{00000000-0004-0000-0000-0000A7080000}"/>
    <hyperlink ref="W2608" r:id="rId2217" xr:uid="{00000000-0004-0000-0000-0000A8080000}"/>
    <hyperlink ref="W2609" r:id="rId2218" xr:uid="{00000000-0004-0000-0000-0000A9080000}"/>
    <hyperlink ref="W2610" r:id="rId2219" xr:uid="{00000000-0004-0000-0000-0000AA080000}"/>
    <hyperlink ref="W2611" r:id="rId2220" xr:uid="{00000000-0004-0000-0000-0000AB080000}"/>
    <hyperlink ref="W2612" r:id="rId2221" xr:uid="{00000000-0004-0000-0000-0000AC080000}"/>
    <hyperlink ref="W2613" r:id="rId2222" xr:uid="{00000000-0004-0000-0000-0000AD080000}"/>
    <hyperlink ref="W2614" r:id="rId2223" xr:uid="{00000000-0004-0000-0000-0000AE080000}"/>
    <hyperlink ref="W2615" r:id="rId2224" xr:uid="{00000000-0004-0000-0000-0000AF080000}"/>
    <hyperlink ref="W2616" r:id="rId2225" xr:uid="{00000000-0004-0000-0000-0000B0080000}"/>
    <hyperlink ref="W2617" r:id="rId2226" xr:uid="{00000000-0004-0000-0000-0000B1080000}"/>
    <hyperlink ref="W2618" r:id="rId2227" xr:uid="{00000000-0004-0000-0000-0000B2080000}"/>
    <hyperlink ref="W2619" r:id="rId2228" xr:uid="{00000000-0004-0000-0000-0000B3080000}"/>
    <hyperlink ref="W2622" r:id="rId2229" xr:uid="{00000000-0004-0000-0000-0000B4080000}"/>
    <hyperlink ref="W2623" r:id="rId2230" xr:uid="{00000000-0004-0000-0000-0000B5080000}"/>
    <hyperlink ref="W2624" r:id="rId2231" xr:uid="{00000000-0004-0000-0000-0000B6080000}"/>
    <hyperlink ref="W2625" r:id="rId2232" xr:uid="{00000000-0004-0000-0000-0000B7080000}"/>
    <hyperlink ref="W2626" r:id="rId2233" xr:uid="{00000000-0004-0000-0000-0000B8080000}"/>
    <hyperlink ref="W2627" r:id="rId2234" xr:uid="{00000000-0004-0000-0000-0000B9080000}"/>
    <hyperlink ref="W2628" r:id="rId2235" xr:uid="{00000000-0004-0000-0000-0000BA080000}"/>
    <hyperlink ref="W2629" r:id="rId2236" xr:uid="{00000000-0004-0000-0000-0000BB080000}"/>
    <hyperlink ref="W2630" r:id="rId2237" xr:uid="{00000000-0004-0000-0000-0000BC080000}"/>
    <hyperlink ref="W2631" r:id="rId2238" xr:uid="{00000000-0004-0000-0000-0000BD080000}"/>
    <hyperlink ref="W2632" r:id="rId2239" xr:uid="{00000000-0004-0000-0000-0000BE080000}"/>
    <hyperlink ref="W2633" r:id="rId2240" xr:uid="{00000000-0004-0000-0000-0000BF080000}"/>
    <hyperlink ref="W2634" r:id="rId2241" xr:uid="{00000000-0004-0000-0000-0000C0080000}"/>
    <hyperlink ref="W2635" r:id="rId2242" xr:uid="{00000000-0004-0000-0000-0000C1080000}"/>
    <hyperlink ref="W2636" r:id="rId2243" xr:uid="{00000000-0004-0000-0000-0000C2080000}"/>
    <hyperlink ref="W2637" r:id="rId2244" xr:uid="{00000000-0004-0000-0000-0000C3080000}"/>
    <hyperlink ref="W2638" r:id="rId2245" xr:uid="{00000000-0004-0000-0000-0000C4080000}"/>
    <hyperlink ref="W2639" r:id="rId2246" xr:uid="{00000000-0004-0000-0000-0000C5080000}"/>
    <hyperlink ref="W2640" r:id="rId2247" xr:uid="{00000000-0004-0000-0000-0000C6080000}"/>
    <hyperlink ref="W2641" r:id="rId2248" xr:uid="{00000000-0004-0000-0000-0000C7080000}"/>
    <hyperlink ref="W2642" r:id="rId2249" xr:uid="{00000000-0004-0000-0000-0000C8080000}"/>
    <hyperlink ref="W2643" r:id="rId2250" xr:uid="{00000000-0004-0000-0000-0000C9080000}"/>
    <hyperlink ref="W2644" r:id="rId2251" xr:uid="{00000000-0004-0000-0000-0000CA080000}"/>
    <hyperlink ref="W2645" r:id="rId2252" xr:uid="{00000000-0004-0000-0000-0000CB080000}"/>
    <hyperlink ref="W2647" r:id="rId2253" xr:uid="{00000000-0004-0000-0000-0000CC080000}"/>
    <hyperlink ref="W2648" r:id="rId2254" xr:uid="{00000000-0004-0000-0000-0000CD080000}"/>
    <hyperlink ref="W2649" r:id="rId2255" xr:uid="{00000000-0004-0000-0000-0000CE080000}"/>
    <hyperlink ref="W2650" r:id="rId2256" xr:uid="{00000000-0004-0000-0000-0000CF080000}"/>
    <hyperlink ref="W2651" r:id="rId2257" xr:uid="{00000000-0004-0000-0000-0000D0080000}"/>
    <hyperlink ref="W2652" r:id="rId2258" xr:uid="{00000000-0004-0000-0000-0000D1080000}"/>
    <hyperlink ref="W2653" r:id="rId2259" xr:uid="{00000000-0004-0000-0000-0000D2080000}"/>
    <hyperlink ref="W2654" r:id="rId2260" xr:uid="{00000000-0004-0000-0000-0000D3080000}"/>
    <hyperlink ref="W2655" r:id="rId2261" xr:uid="{00000000-0004-0000-0000-0000D4080000}"/>
    <hyperlink ref="W2656" r:id="rId2262" xr:uid="{00000000-0004-0000-0000-0000D5080000}"/>
    <hyperlink ref="W2657" r:id="rId2263" xr:uid="{00000000-0004-0000-0000-0000D6080000}"/>
    <hyperlink ref="W2658" r:id="rId2264" xr:uid="{00000000-0004-0000-0000-0000D7080000}"/>
    <hyperlink ref="W2659" r:id="rId2265" xr:uid="{00000000-0004-0000-0000-0000D8080000}"/>
    <hyperlink ref="W2660" r:id="rId2266" xr:uid="{00000000-0004-0000-0000-0000D9080000}"/>
    <hyperlink ref="W2661" r:id="rId2267" xr:uid="{00000000-0004-0000-0000-0000DA080000}"/>
    <hyperlink ref="W2662" r:id="rId2268" xr:uid="{00000000-0004-0000-0000-0000DB080000}"/>
    <hyperlink ref="W2663" r:id="rId2269" xr:uid="{00000000-0004-0000-0000-0000DC080000}"/>
    <hyperlink ref="W2664" r:id="rId2270" xr:uid="{00000000-0004-0000-0000-0000DD080000}"/>
    <hyperlink ref="W2665" r:id="rId2271" xr:uid="{00000000-0004-0000-0000-0000DE080000}"/>
    <hyperlink ref="W2666" r:id="rId2272" xr:uid="{00000000-0004-0000-0000-0000DF080000}"/>
    <hyperlink ref="W2667" r:id="rId2273" xr:uid="{00000000-0004-0000-0000-0000E0080000}"/>
    <hyperlink ref="W2668" r:id="rId2274" xr:uid="{00000000-0004-0000-0000-0000E1080000}"/>
    <hyperlink ref="W2669" r:id="rId2275" xr:uid="{00000000-0004-0000-0000-0000E2080000}"/>
    <hyperlink ref="W2670" r:id="rId2276" xr:uid="{00000000-0004-0000-0000-0000E3080000}"/>
    <hyperlink ref="W2671" r:id="rId2277" xr:uid="{00000000-0004-0000-0000-0000E4080000}"/>
    <hyperlink ref="W2672" r:id="rId2278" xr:uid="{00000000-0004-0000-0000-0000E5080000}"/>
    <hyperlink ref="W2673" r:id="rId2279" xr:uid="{00000000-0004-0000-0000-0000E6080000}"/>
    <hyperlink ref="W2674" r:id="rId2280" xr:uid="{00000000-0004-0000-0000-0000E7080000}"/>
    <hyperlink ref="W2675" r:id="rId2281" xr:uid="{00000000-0004-0000-0000-0000E8080000}"/>
    <hyperlink ref="W2676" r:id="rId2282" xr:uid="{00000000-0004-0000-0000-0000E9080000}"/>
    <hyperlink ref="W2677" r:id="rId2283" xr:uid="{00000000-0004-0000-0000-0000EA080000}"/>
    <hyperlink ref="W2678" r:id="rId2284" xr:uid="{00000000-0004-0000-0000-0000EB080000}"/>
    <hyperlink ref="W2679" r:id="rId2285" xr:uid="{00000000-0004-0000-0000-0000EC080000}"/>
    <hyperlink ref="W2680" r:id="rId2286" xr:uid="{00000000-0004-0000-0000-0000ED080000}"/>
    <hyperlink ref="W2681" r:id="rId2287" xr:uid="{00000000-0004-0000-0000-0000EE080000}"/>
    <hyperlink ref="W2683" r:id="rId2288" xr:uid="{00000000-0004-0000-0000-0000EF080000}"/>
    <hyperlink ref="W2684" r:id="rId2289" xr:uid="{00000000-0004-0000-0000-0000F0080000}"/>
    <hyperlink ref="W2685" r:id="rId2290" xr:uid="{00000000-0004-0000-0000-0000F1080000}"/>
    <hyperlink ref="W2687" r:id="rId2291" xr:uid="{00000000-0004-0000-0000-0000F2080000}"/>
    <hyperlink ref="W2688" r:id="rId2292" xr:uid="{00000000-0004-0000-0000-0000F3080000}"/>
    <hyperlink ref="W2689" r:id="rId2293" xr:uid="{00000000-0004-0000-0000-0000F4080000}"/>
    <hyperlink ref="W2690" r:id="rId2294" xr:uid="{00000000-0004-0000-0000-0000F5080000}"/>
    <hyperlink ref="W2691" r:id="rId2295" xr:uid="{00000000-0004-0000-0000-0000F6080000}"/>
    <hyperlink ref="W2692" r:id="rId2296" xr:uid="{00000000-0004-0000-0000-0000F7080000}"/>
    <hyperlink ref="W2693" r:id="rId2297" xr:uid="{00000000-0004-0000-0000-0000F8080000}"/>
    <hyperlink ref="W2694" r:id="rId2298" xr:uid="{00000000-0004-0000-0000-0000F9080000}"/>
    <hyperlink ref="W2695" r:id="rId2299" xr:uid="{00000000-0004-0000-0000-0000FA080000}"/>
    <hyperlink ref="W2696" r:id="rId2300" xr:uid="{00000000-0004-0000-0000-0000FB080000}"/>
    <hyperlink ref="W2697" r:id="rId2301" xr:uid="{00000000-0004-0000-0000-0000FC080000}"/>
    <hyperlink ref="W2698" r:id="rId2302" xr:uid="{00000000-0004-0000-0000-0000FD080000}"/>
    <hyperlink ref="W2699" r:id="rId2303" xr:uid="{00000000-0004-0000-0000-0000FE080000}"/>
    <hyperlink ref="W2700" r:id="rId2304" xr:uid="{00000000-0004-0000-0000-0000FF080000}"/>
    <hyperlink ref="W2701" r:id="rId2305" xr:uid="{00000000-0004-0000-0000-000000090000}"/>
    <hyperlink ref="W2702" r:id="rId2306" xr:uid="{00000000-0004-0000-0000-000001090000}"/>
    <hyperlink ref="W2703" r:id="rId2307" xr:uid="{00000000-0004-0000-0000-000002090000}"/>
    <hyperlink ref="W2704" r:id="rId2308" xr:uid="{00000000-0004-0000-0000-000003090000}"/>
    <hyperlink ref="W2705" r:id="rId2309" xr:uid="{00000000-0004-0000-0000-000004090000}"/>
    <hyperlink ref="W2706" r:id="rId2310" xr:uid="{00000000-0004-0000-0000-000005090000}"/>
    <hyperlink ref="W2707" r:id="rId2311" xr:uid="{00000000-0004-0000-0000-000006090000}"/>
    <hyperlink ref="W2708" r:id="rId2312" xr:uid="{00000000-0004-0000-0000-000007090000}"/>
    <hyperlink ref="W2709" r:id="rId2313" xr:uid="{00000000-0004-0000-0000-000008090000}"/>
    <hyperlink ref="W2710" r:id="rId2314" xr:uid="{00000000-0004-0000-0000-000009090000}"/>
    <hyperlink ref="W2711" r:id="rId2315" xr:uid="{00000000-0004-0000-0000-00000A090000}"/>
    <hyperlink ref="W2712" r:id="rId2316" xr:uid="{00000000-0004-0000-0000-00000B090000}"/>
    <hyperlink ref="W2713" r:id="rId2317" xr:uid="{00000000-0004-0000-0000-00000C090000}"/>
    <hyperlink ref="W2714" r:id="rId2318" xr:uid="{00000000-0004-0000-0000-00000D090000}"/>
    <hyperlink ref="W2715" r:id="rId2319" xr:uid="{00000000-0004-0000-0000-00000E090000}"/>
    <hyperlink ref="W2716" r:id="rId2320" xr:uid="{00000000-0004-0000-0000-00000F090000}"/>
    <hyperlink ref="W2717" r:id="rId2321" xr:uid="{00000000-0004-0000-0000-000010090000}"/>
    <hyperlink ref="W2718" r:id="rId2322" xr:uid="{00000000-0004-0000-0000-000011090000}"/>
    <hyperlink ref="W2719" r:id="rId2323" xr:uid="{00000000-0004-0000-0000-000012090000}"/>
    <hyperlink ref="W2720" r:id="rId2324" xr:uid="{00000000-0004-0000-0000-000013090000}"/>
    <hyperlink ref="W2721" r:id="rId2325" xr:uid="{00000000-0004-0000-0000-000014090000}"/>
    <hyperlink ref="W2722" r:id="rId2326" xr:uid="{00000000-0004-0000-0000-000015090000}"/>
    <hyperlink ref="H2723" r:id="rId2327" xr:uid="{00000000-0004-0000-0000-000016090000}"/>
    <hyperlink ref="W2723" r:id="rId2328" xr:uid="{00000000-0004-0000-0000-000017090000}"/>
    <hyperlink ref="W2724" r:id="rId2329" xr:uid="{00000000-0004-0000-0000-000018090000}"/>
    <hyperlink ref="W2725" r:id="rId2330" xr:uid="{00000000-0004-0000-0000-000019090000}"/>
    <hyperlink ref="W2726" r:id="rId2331" xr:uid="{00000000-0004-0000-0000-00001A090000}"/>
    <hyperlink ref="W2727" r:id="rId2332" xr:uid="{00000000-0004-0000-0000-00001B090000}"/>
    <hyperlink ref="W2729" r:id="rId2333" xr:uid="{00000000-0004-0000-0000-00001C090000}"/>
    <hyperlink ref="W2730" r:id="rId2334" xr:uid="{00000000-0004-0000-0000-00001D090000}"/>
    <hyperlink ref="W2731" r:id="rId2335" xr:uid="{00000000-0004-0000-0000-00001E090000}"/>
    <hyperlink ref="W2732" r:id="rId2336" xr:uid="{00000000-0004-0000-0000-00001F090000}"/>
    <hyperlink ref="W2733" r:id="rId2337" xr:uid="{00000000-0004-0000-0000-000020090000}"/>
    <hyperlink ref="W2734" r:id="rId2338" xr:uid="{00000000-0004-0000-0000-000021090000}"/>
    <hyperlink ref="W2735" r:id="rId2339" xr:uid="{00000000-0004-0000-0000-000022090000}"/>
    <hyperlink ref="W2736" r:id="rId2340" xr:uid="{00000000-0004-0000-0000-000023090000}"/>
    <hyperlink ref="W2737" r:id="rId2341" xr:uid="{00000000-0004-0000-0000-000024090000}"/>
    <hyperlink ref="W2738" r:id="rId2342" xr:uid="{00000000-0004-0000-0000-000025090000}"/>
    <hyperlink ref="W2739" r:id="rId2343" xr:uid="{00000000-0004-0000-0000-000026090000}"/>
    <hyperlink ref="W2740" r:id="rId2344" xr:uid="{00000000-0004-0000-0000-000027090000}"/>
    <hyperlink ref="W2741" r:id="rId2345" xr:uid="{00000000-0004-0000-0000-000028090000}"/>
    <hyperlink ref="W2742" r:id="rId2346" xr:uid="{00000000-0004-0000-0000-000029090000}"/>
    <hyperlink ref="W2743" r:id="rId2347" xr:uid="{00000000-0004-0000-0000-00002A090000}"/>
    <hyperlink ref="W2744" r:id="rId2348" xr:uid="{00000000-0004-0000-0000-00002B090000}"/>
    <hyperlink ref="W2745" r:id="rId2349" xr:uid="{00000000-0004-0000-0000-00002C090000}"/>
    <hyperlink ref="W2746" r:id="rId2350" xr:uid="{00000000-0004-0000-0000-00002D090000}"/>
    <hyperlink ref="W2747" r:id="rId2351" xr:uid="{00000000-0004-0000-0000-00002E090000}"/>
    <hyperlink ref="W2748" r:id="rId2352" location="bx3" xr:uid="{00000000-0004-0000-0000-00002F090000}"/>
    <hyperlink ref="W2749" r:id="rId2353" location="bx3" xr:uid="{00000000-0004-0000-0000-000030090000}"/>
    <hyperlink ref="W2750" r:id="rId2354" location="bx3" xr:uid="{00000000-0004-0000-0000-000031090000}"/>
    <hyperlink ref="W2751" r:id="rId2355" location="bx3" xr:uid="{00000000-0004-0000-0000-000032090000}"/>
    <hyperlink ref="W2752" r:id="rId2356" location="bx3" xr:uid="{00000000-0004-0000-0000-000033090000}"/>
    <hyperlink ref="W2753" r:id="rId2357" location="bx3" xr:uid="{00000000-0004-0000-0000-000034090000}"/>
    <hyperlink ref="W2754" r:id="rId2358" location="bx3" xr:uid="{00000000-0004-0000-0000-000035090000}"/>
    <hyperlink ref="W2755" r:id="rId2359" location="bx3" xr:uid="{00000000-0004-0000-0000-000036090000}"/>
    <hyperlink ref="W2756" r:id="rId2360" location="bx3" xr:uid="{00000000-0004-0000-0000-000037090000}"/>
    <hyperlink ref="W2757" r:id="rId2361" xr:uid="{00000000-0004-0000-0000-000038090000}"/>
    <hyperlink ref="W2758" r:id="rId2362" xr:uid="{00000000-0004-0000-0000-000039090000}"/>
    <hyperlink ref="W2759" r:id="rId2363" xr:uid="{00000000-0004-0000-0000-00003A090000}"/>
    <hyperlink ref="W2760" r:id="rId2364" xr:uid="{00000000-0004-0000-0000-00003B090000}"/>
    <hyperlink ref="W2761" r:id="rId2365" xr:uid="{00000000-0004-0000-0000-00003C090000}"/>
    <hyperlink ref="W2762" r:id="rId2366" xr:uid="{00000000-0004-0000-0000-00003D090000}"/>
    <hyperlink ref="W2763" r:id="rId2367" xr:uid="{00000000-0004-0000-0000-00003E090000}"/>
    <hyperlink ref="W2764" r:id="rId2368" xr:uid="{00000000-0004-0000-0000-00003F090000}"/>
    <hyperlink ref="W2765" r:id="rId2369" xr:uid="{00000000-0004-0000-0000-000040090000}"/>
    <hyperlink ref="W2766" r:id="rId2370" xr:uid="{00000000-0004-0000-0000-000041090000}"/>
    <hyperlink ref="W2767" r:id="rId2371" xr:uid="{00000000-0004-0000-0000-000042090000}"/>
    <hyperlink ref="W2768" r:id="rId2372" xr:uid="{00000000-0004-0000-0000-000043090000}"/>
    <hyperlink ref="W2769" r:id="rId2373" xr:uid="{00000000-0004-0000-0000-000044090000}"/>
    <hyperlink ref="W2770" r:id="rId2374" xr:uid="{00000000-0004-0000-0000-000045090000}"/>
    <hyperlink ref="W2771" r:id="rId2375" xr:uid="{00000000-0004-0000-0000-000046090000}"/>
    <hyperlink ref="W2772" r:id="rId2376" xr:uid="{00000000-0004-0000-0000-000047090000}"/>
    <hyperlink ref="W2773" r:id="rId2377" xr:uid="{00000000-0004-0000-0000-000048090000}"/>
    <hyperlink ref="W2774" r:id="rId2378" xr:uid="{00000000-0004-0000-0000-000049090000}"/>
    <hyperlink ref="W2775" r:id="rId2379" xr:uid="{00000000-0004-0000-0000-00004A090000}"/>
    <hyperlink ref="W2776" r:id="rId2380" xr:uid="{00000000-0004-0000-0000-00004B090000}"/>
    <hyperlink ref="W2777" r:id="rId2381" xr:uid="{00000000-0004-0000-0000-00004C090000}"/>
    <hyperlink ref="W2778" r:id="rId2382" xr:uid="{00000000-0004-0000-0000-00004D090000}"/>
    <hyperlink ref="W2779" r:id="rId2383" xr:uid="{00000000-0004-0000-0000-00004E090000}"/>
    <hyperlink ref="W2780" r:id="rId2384" xr:uid="{00000000-0004-0000-0000-00004F090000}"/>
    <hyperlink ref="W2781" r:id="rId2385" xr:uid="{00000000-0004-0000-0000-000050090000}"/>
    <hyperlink ref="W2782" r:id="rId2386" xr:uid="{00000000-0004-0000-0000-000051090000}"/>
    <hyperlink ref="W2783" r:id="rId2387" xr:uid="{00000000-0004-0000-0000-000052090000}"/>
    <hyperlink ref="W2784" r:id="rId2388" xr:uid="{00000000-0004-0000-0000-000053090000}"/>
    <hyperlink ref="W2813" r:id="rId2389" xr:uid="{00000000-0004-0000-0000-000054090000}"/>
    <hyperlink ref="W2814" r:id="rId2390" xr:uid="{00000000-0004-0000-0000-000055090000}"/>
    <hyperlink ref="W2818" r:id="rId2391" xr:uid="{00000000-0004-0000-0000-000056090000}"/>
    <hyperlink ref="W2819" r:id="rId2392" xr:uid="{00000000-0004-0000-0000-000057090000}"/>
    <hyperlink ref="W2820" r:id="rId2393" xr:uid="{00000000-0004-0000-0000-000058090000}"/>
    <hyperlink ref="W2821" r:id="rId2394" xr:uid="{00000000-0004-0000-0000-000059090000}"/>
    <hyperlink ref="W2822" r:id="rId2395" xr:uid="{00000000-0004-0000-0000-00005A090000}"/>
    <hyperlink ref="W2823" r:id="rId2396" xr:uid="{00000000-0004-0000-0000-00005B090000}"/>
    <hyperlink ref="W2824" r:id="rId2397" xr:uid="{00000000-0004-0000-0000-00005C090000}"/>
    <hyperlink ref="W2825" r:id="rId2398" xr:uid="{00000000-0004-0000-0000-00005D090000}"/>
    <hyperlink ref="W2826" r:id="rId2399" xr:uid="{00000000-0004-0000-0000-00005E090000}"/>
    <hyperlink ref="W2827" r:id="rId2400" xr:uid="{00000000-0004-0000-0000-00005F090000}"/>
    <hyperlink ref="W2828" r:id="rId2401" xr:uid="{00000000-0004-0000-0000-000060090000}"/>
    <hyperlink ref="W2829" r:id="rId2402" xr:uid="{00000000-0004-0000-0000-000061090000}"/>
    <hyperlink ref="W2830" r:id="rId2403" xr:uid="{00000000-0004-0000-0000-000062090000}"/>
    <hyperlink ref="W2832" r:id="rId2404" xr:uid="{00000000-0004-0000-0000-000063090000}"/>
    <hyperlink ref="W2834" r:id="rId2405" xr:uid="{00000000-0004-0000-0000-000064090000}"/>
    <hyperlink ref="W2835" r:id="rId2406" xr:uid="{00000000-0004-0000-0000-000065090000}"/>
    <hyperlink ref="W2836" r:id="rId2407" xr:uid="{00000000-0004-0000-0000-000066090000}"/>
    <hyperlink ref="W2837" r:id="rId2408" xr:uid="{00000000-0004-0000-0000-000067090000}"/>
    <hyperlink ref="H2838" r:id="rId2409" xr:uid="{00000000-0004-0000-0000-000068090000}"/>
    <hyperlink ref="W2838" r:id="rId2410" xr:uid="{00000000-0004-0000-0000-000069090000}"/>
    <hyperlink ref="W2839" r:id="rId2411" xr:uid="{00000000-0004-0000-0000-00006A090000}"/>
    <hyperlink ref="W2840" r:id="rId2412" xr:uid="{00000000-0004-0000-0000-00006B090000}"/>
    <hyperlink ref="W2841" r:id="rId2413" xr:uid="{00000000-0004-0000-0000-00006C090000}"/>
    <hyperlink ref="W2842" r:id="rId2414" xr:uid="{00000000-0004-0000-0000-00006D090000}"/>
    <hyperlink ref="W2843" r:id="rId2415" xr:uid="{00000000-0004-0000-0000-00006E090000}"/>
    <hyperlink ref="W2844" r:id="rId2416" xr:uid="{00000000-0004-0000-0000-00006F090000}"/>
    <hyperlink ref="W2845" r:id="rId2417" xr:uid="{00000000-0004-0000-0000-000070090000}"/>
    <hyperlink ref="W2846" r:id="rId2418" xr:uid="{00000000-0004-0000-0000-000071090000}"/>
    <hyperlink ref="W2847" r:id="rId2419" xr:uid="{00000000-0004-0000-0000-000072090000}"/>
    <hyperlink ref="W2848" r:id="rId2420" xr:uid="{00000000-0004-0000-0000-000073090000}"/>
    <hyperlink ref="W2849" r:id="rId2421" xr:uid="{00000000-0004-0000-0000-000074090000}"/>
    <hyperlink ref="W2850" r:id="rId2422" xr:uid="{00000000-0004-0000-0000-000075090000}"/>
    <hyperlink ref="W2851" r:id="rId2423" xr:uid="{00000000-0004-0000-0000-000076090000}"/>
    <hyperlink ref="W2852" r:id="rId2424" xr:uid="{00000000-0004-0000-0000-000077090000}"/>
    <hyperlink ref="W2858" r:id="rId2425" xr:uid="{00000000-0004-0000-0000-000078090000}"/>
    <hyperlink ref="W2859" r:id="rId2426" xr:uid="{00000000-0004-0000-0000-000079090000}"/>
    <hyperlink ref="W2860" r:id="rId2427" xr:uid="{00000000-0004-0000-0000-00007A090000}"/>
    <hyperlink ref="W2862" r:id="rId2428" xr:uid="{00000000-0004-0000-0000-00007B090000}"/>
    <hyperlink ref="W2863" r:id="rId2429" xr:uid="{00000000-0004-0000-0000-00007C090000}"/>
    <hyperlink ref="W2864" r:id="rId2430" xr:uid="{00000000-0004-0000-0000-00007D090000}"/>
    <hyperlink ref="W2865" r:id="rId2431" xr:uid="{00000000-0004-0000-0000-00007E090000}"/>
    <hyperlink ref="W2866" r:id="rId2432" xr:uid="{00000000-0004-0000-0000-00007F090000}"/>
    <hyperlink ref="W2867" r:id="rId2433" xr:uid="{00000000-0004-0000-0000-000080090000}"/>
    <hyperlink ref="W2869" r:id="rId2434" xr:uid="{00000000-0004-0000-0000-000081090000}"/>
    <hyperlink ref="W2870" r:id="rId2435" xr:uid="{00000000-0004-0000-0000-000082090000}"/>
    <hyperlink ref="W2871" r:id="rId2436" xr:uid="{00000000-0004-0000-0000-000083090000}"/>
    <hyperlink ref="W2872" r:id="rId2437" xr:uid="{00000000-0004-0000-0000-000084090000}"/>
    <hyperlink ref="W2873" r:id="rId2438" xr:uid="{00000000-0004-0000-0000-000085090000}"/>
    <hyperlink ref="W2874" r:id="rId2439" xr:uid="{00000000-0004-0000-0000-000086090000}"/>
    <hyperlink ref="W2876" r:id="rId2440" xr:uid="{00000000-0004-0000-0000-000087090000}"/>
    <hyperlink ref="W2877" r:id="rId2441" xr:uid="{00000000-0004-0000-0000-000088090000}"/>
    <hyperlink ref="W2878" r:id="rId2442" xr:uid="{00000000-0004-0000-0000-000089090000}"/>
    <hyperlink ref="H2879" r:id="rId2443" xr:uid="{00000000-0004-0000-0000-00008A090000}"/>
    <hyperlink ref="W2879" r:id="rId2444" xr:uid="{00000000-0004-0000-0000-00008B090000}"/>
    <hyperlink ref="W2880" r:id="rId2445" xr:uid="{00000000-0004-0000-0000-00008C090000}"/>
    <hyperlink ref="H2881" r:id="rId2446" xr:uid="{00000000-0004-0000-0000-00008D090000}"/>
    <hyperlink ref="W2881" r:id="rId2447" xr:uid="{00000000-0004-0000-0000-00008E090000}"/>
    <hyperlink ref="W2882" r:id="rId2448" xr:uid="{00000000-0004-0000-0000-00008F090000}"/>
    <hyperlink ref="W2884" r:id="rId2449" xr:uid="{00000000-0004-0000-0000-000090090000}"/>
    <hyperlink ref="W2885" r:id="rId2450" xr:uid="{00000000-0004-0000-0000-000091090000}"/>
    <hyperlink ref="W2886" r:id="rId2451" xr:uid="{00000000-0004-0000-0000-000092090000}"/>
    <hyperlink ref="W2887" r:id="rId2452" xr:uid="{00000000-0004-0000-0000-000093090000}"/>
    <hyperlink ref="W2888" r:id="rId2453" xr:uid="{00000000-0004-0000-0000-000094090000}"/>
    <hyperlink ref="W2889" r:id="rId2454" xr:uid="{00000000-0004-0000-0000-000095090000}"/>
    <hyperlink ref="W2890" r:id="rId2455" xr:uid="{00000000-0004-0000-0000-000096090000}"/>
    <hyperlink ref="W2891" r:id="rId2456" xr:uid="{00000000-0004-0000-0000-000097090000}"/>
    <hyperlink ref="W2892" r:id="rId2457" xr:uid="{00000000-0004-0000-0000-000098090000}"/>
    <hyperlink ref="W2893" r:id="rId2458" xr:uid="{00000000-0004-0000-0000-000099090000}"/>
    <hyperlink ref="W2894" r:id="rId2459" xr:uid="{00000000-0004-0000-0000-00009A090000}"/>
    <hyperlink ref="W2895" r:id="rId2460" xr:uid="{00000000-0004-0000-0000-00009B090000}"/>
    <hyperlink ref="W2896" r:id="rId2461" xr:uid="{00000000-0004-0000-0000-00009C090000}"/>
    <hyperlink ref="W2897" r:id="rId2462" xr:uid="{00000000-0004-0000-0000-00009D090000}"/>
    <hyperlink ref="W2898" r:id="rId2463" xr:uid="{00000000-0004-0000-0000-00009E090000}"/>
    <hyperlink ref="W2899" r:id="rId2464" xr:uid="{00000000-0004-0000-0000-00009F090000}"/>
    <hyperlink ref="W2900" r:id="rId2465" xr:uid="{00000000-0004-0000-0000-0000A0090000}"/>
    <hyperlink ref="W2901" r:id="rId2466" xr:uid="{00000000-0004-0000-0000-0000A1090000}"/>
    <hyperlink ref="W2902" r:id="rId2467" xr:uid="{00000000-0004-0000-0000-0000A2090000}"/>
    <hyperlink ref="W2903" r:id="rId2468" xr:uid="{00000000-0004-0000-0000-0000A3090000}"/>
    <hyperlink ref="W2904" r:id="rId2469" xr:uid="{00000000-0004-0000-0000-0000A4090000}"/>
    <hyperlink ref="W2905" r:id="rId2470" xr:uid="{00000000-0004-0000-0000-0000A5090000}"/>
    <hyperlink ref="W2906" r:id="rId2471" xr:uid="{00000000-0004-0000-0000-0000A6090000}"/>
    <hyperlink ref="W2907" r:id="rId2472" xr:uid="{00000000-0004-0000-0000-0000A7090000}"/>
    <hyperlink ref="W2908" r:id="rId2473" xr:uid="{00000000-0004-0000-0000-0000A8090000}"/>
    <hyperlink ref="W2909" r:id="rId2474" xr:uid="{00000000-0004-0000-0000-0000A9090000}"/>
    <hyperlink ref="W2910" r:id="rId2475" xr:uid="{00000000-0004-0000-0000-0000AA090000}"/>
    <hyperlink ref="W2911" r:id="rId2476" xr:uid="{00000000-0004-0000-0000-0000AB090000}"/>
    <hyperlink ref="W2912" r:id="rId2477" xr:uid="{00000000-0004-0000-0000-0000AC090000}"/>
    <hyperlink ref="W2913" r:id="rId2478" xr:uid="{00000000-0004-0000-0000-0000AD090000}"/>
    <hyperlink ref="W2914" r:id="rId2479" xr:uid="{00000000-0004-0000-0000-0000AE090000}"/>
    <hyperlink ref="W2915" r:id="rId2480" xr:uid="{00000000-0004-0000-0000-0000AF090000}"/>
    <hyperlink ref="W2916" r:id="rId2481" xr:uid="{00000000-0004-0000-0000-0000B0090000}"/>
    <hyperlink ref="W2917" r:id="rId2482" xr:uid="{00000000-0004-0000-0000-0000B1090000}"/>
    <hyperlink ref="W2918" r:id="rId2483" xr:uid="{00000000-0004-0000-0000-0000B2090000}"/>
    <hyperlink ref="W2919" r:id="rId2484" xr:uid="{00000000-0004-0000-0000-0000B3090000}"/>
    <hyperlink ref="W2920" r:id="rId2485" xr:uid="{00000000-0004-0000-0000-0000B4090000}"/>
    <hyperlink ref="W2921" r:id="rId2486" xr:uid="{00000000-0004-0000-0000-0000B5090000}"/>
    <hyperlink ref="W2922" r:id="rId2487" xr:uid="{00000000-0004-0000-0000-0000B6090000}"/>
    <hyperlink ref="W2923" r:id="rId2488" xr:uid="{00000000-0004-0000-0000-0000B7090000}"/>
    <hyperlink ref="W2924" r:id="rId2489" xr:uid="{00000000-0004-0000-0000-0000B8090000}"/>
    <hyperlink ref="W2925" r:id="rId2490" xr:uid="{00000000-0004-0000-0000-0000B9090000}"/>
    <hyperlink ref="W2926" r:id="rId2491" xr:uid="{00000000-0004-0000-0000-0000BA090000}"/>
    <hyperlink ref="W2927" r:id="rId2492" xr:uid="{00000000-0004-0000-0000-0000BB090000}"/>
    <hyperlink ref="W2935" r:id="rId2493" xr:uid="{00000000-0004-0000-0000-0000BC090000}"/>
    <hyperlink ref="W2936" r:id="rId2494" xr:uid="{00000000-0004-0000-0000-0000BD090000}"/>
    <hyperlink ref="W2937" r:id="rId2495" xr:uid="{00000000-0004-0000-0000-0000BE090000}"/>
    <hyperlink ref="W2938" r:id="rId2496" xr:uid="{00000000-0004-0000-0000-0000BF090000}"/>
    <hyperlink ref="W2939" r:id="rId2497" xr:uid="{00000000-0004-0000-0000-0000C0090000}"/>
    <hyperlink ref="W2940" r:id="rId2498" xr:uid="{00000000-0004-0000-0000-0000C1090000}"/>
    <hyperlink ref="W2941" r:id="rId2499" xr:uid="{00000000-0004-0000-0000-0000C2090000}"/>
    <hyperlink ref="W2942" r:id="rId2500" xr:uid="{00000000-0004-0000-0000-0000C3090000}"/>
    <hyperlink ref="W2943" r:id="rId2501" xr:uid="{00000000-0004-0000-0000-0000C4090000}"/>
    <hyperlink ref="W2944" r:id="rId2502" xr:uid="{00000000-0004-0000-0000-0000C5090000}"/>
    <hyperlink ref="W2945" r:id="rId2503" xr:uid="{00000000-0004-0000-0000-0000C6090000}"/>
    <hyperlink ref="W2946" r:id="rId2504" xr:uid="{00000000-0004-0000-0000-0000C7090000}"/>
    <hyperlink ref="W2947" r:id="rId2505" xr:uid="{00000000-0004-0000-0000-0000C8090000}"/>
    <hyperlink ref="W2948" r:id="rId2506" xr:uid="{00000000-0004-0000-0000-0000C9090000}"/>
    <hyperlink ref="W2949" r:id="rId2507" xr:uid="{00000000-0004-0000-0000-0000CA090000}"/>
    <hyperlink ref="W2950" r:id="rId2508" xr:uid="{00000000-0004-0000-0000-0000CB090000}"/>
    <hyperlink ref="W2951" r:id="rId2509" xr:uid="{00000000-0004-0000-0000-0000CC090000}"/>
    <hyperlink ref="W2952" r:id="rId2510" xr:uid="{00000000-0004-0000-0000-0000CD090000}"/>
    <hyperlink ref="W2953" r:id="rId2511" xr:uid="{00000000-0004-0000-0000-0000CE090000}"/>
    <hyperlink ref="W2954" r:id="rId2512" xr:uid="{00000000-0004-0000-0000-0000CF090000}"/>
    <hyperlink ref="W2955" r:id="rId2513" xr:uid="{00000000-0004-0000-0000-0000D0090000}"/>
    <hyperlink ref="W2956" r:id="rId2514" xr:uid="{00000000-0004-0000-0000-0000D1090000}"/>
    <hyperlink ref="W2957" r:id="rId2515" xr:uid="{00000000-0004-0000-0000-0000D2090000}"/>
    <hyperlink ref="W2958" r:id="rId2516" xr:uid="{00000000-0004-0000-0000-0000D3090000}"/>
    <hyperlink ref="W2959" r:id="rId2517" xr:uid="{00000000-0004-0000-0000-0000D4090000}"/>
    <hyperlink ref="W2960" r:id="rId2518" xr:uid="{00000000-0004-0000-0000-0000D5090000}"/>
    <hyperlink ref="W2961" r:id="rId2519" xr:uid="{00000000-0004-0000-0000-0000D6090000}"/>
    <hyperlink ref="W2962" r:id="rId2520" xr:uid="{00000000-0004-0000-0000-0000D7090000}"/>
    <hyperlink ref="W2963" r:id="rId2521" xr:uid="{00000000-0004-0000-0000-0000D8090000}"/>
    <hyperlink ref="W2964" r:id="rId2522" xr:uid="{00000000-0004-0000-0000-0000D9090000}"/>
    <hyperlink ref="W2965" r:id="rId2523" xr:uid="{00000000-0004-0000-0000-0000DA090000}"/>
    <hyperlink ref="W2966" r:id="rId2524" xr:uid="{00000000-0004-0000-0000-0000DB090000}"/>
    <hyperlink ref="W2967" r:id="rId2525" xr:uid="{00000000-0004-0000-0000-0000DC090000}"/>
    <hyperlink ref="W2968" r:id="rId2526" xr:uid="{00000000-0004-0000-0000-0000DD090000}"/>
    <hyperlink ref="W2969" r:id="rId2527" xr:uid="{00000000-0004-0000-0000-0000DE090000}"/>
    <hyperlink ref="W2970" r:id="rId2528" xr:uid="{00000000-0004-0000-0000-0000DF090000}"/>
    <hyperlink ref="W2971" r:id="rId2529" xr:uid="{00000000-0004-0000-0000-0000E0090000}"/>
    <hyperlink ref="W2972" r:id="rId2530" xr:uid="{00000000-0004-0000-0000-0000E1090000}"/>
    <hyperlink ref="W2973" r:id="rId2531" xr:uid="{00000000-0004-0000-0000-0000E2090000}"/>
    <hyperlink ref="W2974" r:id="rId2532" xr:uid="{00000000-0004-0000-0000-0000E3090000}"/>
    <hyperlink ref="W2975" r:id="rId2533" xr:uid="{00000000-0004-0000-0000-0000E4090000}"/>
    <hyperlink ref="W2976" r:id="rId2534" xr:uid="{00000000-0004-0000-0000-0000E5090000}"/>
    <hyperlink ref="W2977" r:id="rId2535" xr:uid="{00000000-0004-0000-0000-0000E6090000}"/>
    <hyperlink ref="W2978" r:id="rId2536" xr:uid="{00000000-0004-0000-0000-0000E7090000}"/>
    <hyperlink ref="W2979" r:id="rId2537" xr:uid="{00000000-0004-0000-0000-0000E8090000}"/>
    <hyperlink ref="W2980" r:id="rId2538" xr:uid="{00000000-0004-0000-0000-0000E9090000}"/>
    <hyperlink ref="W2981" r:id="rId2539" xr:uid="{00000000-0004-0000-0000-0000EA090000}"/>
    <hyperlink ref="W2982" r:id="rId2540" xr:uid="{00000000-0004-0000-0000-0000EB090000}"/>
    <hyperlink ref="W2983" r:id="rId2541" xr:uid="{00000000-0004-0000-0000-0000EC090000}"/>
    <hyperlink ref="W2984" r:id="rId2542" xr:uid="{00000000-0004-0000-0000-0000ED090000}"/>
    <hyperlink ref="W2985" r:id="rId2543" xr:uid="{00000000-0004-0000-0000-0000EE090000}"/>
    <hyperlink ref="W2986" r:id="rId2544" xr:uid="{00000000-0004-0000-0000-0000EF090000}"/>
    <hyperlink ref="W2987" r:id="rId2545" xr:uid="{00000000-0004-0000-0000-0000F0090000}"/>
    <hyperlink ref="W2988" r:id="rId2546" xr:uid="{00000000-0004-0000-0000-0000F1090000}"/>
    <hyperlink ref="W2989" r:id="rId2547" xr:uid="{00000000-0004-0000-0000-0000F2090000}"/>
    <hyperlink ref="W2990" r:id="rId2548" xr:uid="{00000000-0004-0000-0000-0000F3090000}"/>
    <hyperlink ref="W2991" r:id="rId2549" xr:uid="{00000000-0004-0000-0000-0000F4090000}"/>
    <hyperlink ref="W2992" r:id="rId2550" xr:uid="{00000000-0004-0000-0000-0000F5090000}"/>
    <hyperlink ref="W2993" r:id="rId2551" xr:uid="{00000000-0004-0000-0000-0000F6090000}"/>
    <hyperlink ref="W2994" r:id="rId2552" xr:uid="{00000000-0004-0000-0000-0000F7090000}"/>
    <hyperlink ref="W2995" r:id="rId2553" xr:uid="{00000000-0004-0000-0000-0000F8090000}"/>
    <hyperlink ref="W2996" r:id="rId2554" xr:uid="{00000000-0004-0000-0000-0000F9090000}"/>
    <hyperlink ref="W2998" r:id="rId2555" xr:uid="{00000000-0004-0000-0000-0000FA090000}"/>
    <hyperlink ref="W2999" r:id="rId2556" xr:uid="{00000000-0004-0000-0000-0000FB090000}"/>
    <hyperlink ref="W3000" r:id="rId2557" xr:uid="{00000000-0004-0000-0000-0000FC090000}"/>
    <hyperlink ref="W3001" r:id="rId2558" xr:uid="{00000000-0004-0000-0000-0000FD090000}"/>
    <hyperlink ref="W3002" r:id="rId2559" xr:uid="{00000000-0004-0000-0000-0000FE090000}"/>
    <hyperlink ref="W3003" r:id="rId2560" xr:uid="{00000000-0004-0000-0000-0000FF090000}"/>
    <hyperlink ref="W3004" r:id="rId2561" xr:uid="{00000000-0004-0000-0000-0000000A0000}"/>
    <hyperlink ref="W3005" r:id="rId2562" xr:uid="{00000000-0004-0000-0000-0000010A0000}"/>
    <hyperlink ref="W3006" r:id="rId2563" xr:uid="{00000000-0004-0000-0000-0000020A0000}"/>
    <hyperlink ref="W3007" r:id="rId2564" xr:uid="{00000000-0004-0000-0000-0000030A0000}"/>
    <hyperlink ref="W3008" r:id="rId2565" xr:uid="{00000000-0004-0000-0000-0000040A0000}"/>
    <hyperlink ref="W3009" r:id="rId2566" xr:uid="{00000000-0004-0000-0000-0000050A0000}"/>
    <hyperlink ref="W3010" r:id="rId2567" xr:uid="{00000000-0004-0000-0000-0000060A0000}"/>
    <hyperlink ref="W3011" r:id="rId2568" xr:uid="{00000000-0004-0000-0000-0000070A0000}"/>
    <hyperlink ref="W3012" r:id="rId2569" xr:uid="{00000000-0004-0000-0000-0000080A0000}"/>
    <hyperlink ref="W3013" r:id="rId2570" xr:uid="{00000000-0004-0000-0000-0000090A0000}"/>
    <hyperlink ref="W3014" r:id="rId2571" xr:uid="{00000000-0004-0000-0000-00000A0A0000}"/>
    <hyperlink ref="W3015" r:id="rId2572" xr:uid="{00000000-0004-0000-0000-00000B0A0000}"/>
    <hyperlink ref="W3016" r:id="rId2573" xr:uid="{00000000-0004-0000-0000-00000C0A0000}"/>
    <hyperlink ref="W3017" r:id="rId2574" xr:uid="{00000000-0004-0000-0000-00000D0A0000}"/>
    <hyperlink ref="W3018" r:id="rId2575" xr:uid="{00000000-0004-0000-0000-00000E0A0000}"/>
    <hyperlink ref="W3019" r:id="rId2576" xr:uid="{00000000-0004-0000-0000-00000F0A0000}"/>
    <hyperlink ref="W3020" r:id="rId2577" xr:uid="{00000000-0004-0000-0000-0000100A0000}"/>
    <hyperlink ref="W3021" r:id="rId2578" xr:uid="{00000000-0004-0000-0000-0000110A0000}"/>
    <hyperlink ref="W3022" r:id="rId2579" xr:uid="{00000000-0004-0000-0000-0000120A0000}"/>
    <hyperlink ref="W3023" r:id="rId2580" xr:uid="{00000000-0004-0000-0000-0000130A0000}"/>
    <hyperlink ref="W3024" r:id="rId2581" xr:uid="{00000000-0004-0000-0000-0000140A0000}"/>
    <hyperlink ref="W3025" r:id="rId2582" xr:uid="{00000000-0004-0000-0000-0000150A0000}"/>
    <hyperlink ref="W3026" r:id="rId2583" xr:uid="{00000000-0004-0000-0000-0000160A0000}"/>
    <hyperlink ref="W3027" r:id="rId2584" xr:uid="{00000000-0004-0000-0000-0000170A0000}"/>
    <hyperlink ref="W3028" r:id="rId2585" xr:uid="{00000000-0004-0000-0000-0000180A0000}"/>
    <hyperlink ref="W3029" r:id="rId2586" xr:uid="{00000000-0004-0000-0000-0000190A0000}"/>
    <hyperlink ref="W3030" r:id="rId2587" xr:uid="{00000000-0004-0000-0000-00001A0A0000}"/>
    <hyperlink ref="W3031" r:id="rId2588" xr:uid="{00000000-0004-0000-0000-00001B0A0000}"/>
    <hyperlink ref="W3032" r:id="rId2589" xr:uid="{00000000-0004-0000-0000-00001C0A0000}"/>
    <hyperlink ref="W3033" r:id="rId2590" xr:uid="{00000000-0004-0000-0000-00001D0A0000}"/>
    <hyperlink ref="G3034" r:id="rId2591" xr:uid="{00000000-0004-0000-0000-00001E0A0000}"/>
    <hyperlink ref="W3034" r:id="rId2592" xr:uid="{00000000-0004-0000-0000-00001F0A0000}"/>
    <hyperlink ref="W3035" r:id="rId2593" xr:uid="{00000000-0004-0000-0000-0000200A0000}"/>
    <hyperlink ref="W3036" r:id="rId2594" xr:uid="{00000000-0004-0000-0000-0000210A0000}"/>
    <hyperlink ref="W3038" r:id="rId2595" xr:uid="{00000000-0004-0000-0000-0000220A0000}"/>
    <hyperlink ref="W3039" r:id="rId2596" xr:uid="{00000000-0004-0000-0000-0000230A0000}"/>
    <hyperlink ref="W3040" r:id="rId2597" xr:uid="{00000000-0004-0000-0000-0000240A0000}"/>
    <hyperlink ref="W3041" r:id="rId2598" xr:uid="{00000000-0004-0000-0000-0000250A0000}"/>
    <hyperlink ref="W3042" r:id="rId2599" xr:uid="{00000000-0004-0000-0000-0000260A0000}"/>
    <hyperlink ref="W3043" r:id="rId2600" xr:uid="{00000000-0004-0000-0000-0000270A0000}"/>
    <hyperlink ref="W3044" r:id="rId2601" xr:uid="{00000000-0004-0000-0000-0000280A0000}"/>
    <hyperlink ref="W3045" r:id="rId2602" xr:uid="{00000000-0004-0000-0000-0000290A0000}"/>
    <hyperlink ref="W3046" r:id="rId2603" xr:uid="{00000000-0004-0000-0000-00002A0A0000}"/>
    <hyperlink ref="W3047" r:id="rId2604" xr:uid="{00000000-0004-0000-0000-00002B0A0000}"/>
    <hyperlink ref="W3051" r:id="rId2605" xr:uid="{00000000-0004-0000-0000-00002C0A0000}"/>
    <hyperlink ref="W3052" r:id="rId2606" xr:uid="{00000000-0004-0000-0000-00002D0A0000}"/>
    <hyperlink ref="W3053" r:id="rId2607" xr:uid="{00000000-0004-0000-0000-00002E0A0000}"/>
    <hyperlink ref="W3054" r:id="rId2608" xr:uid="{00000000-0004-0000-0000-00002F0A0000}"/>
    <hyperlink ref="W3055" r:id="rId2609" xr:uid="{00000000-0004-0000-0000-0000300A0000}"/>
    <hyperlink ref="W3056" r:id="rId2610" xr:uid="{00000000-0004-0000-0000-0000310A0000}"/>
    <hyperlink ref="W3057" r:id="rId2611" xr:uid="{00000000-0004-0000-0000-0000320A0000}"/>
    <hyperlink ref="W3058" r:id="rId2612" xr:uid="{00000000-0004-0000-0000-0000330A0000}"/>
    <hyperlink ref="W3059" r:id="rId2613" xr:uid="{00000000-0004-0000-0000-0000340A0000}"/>
    <hyperlink ref="W3060" r:id="rId2614" xr:uid="{00000000-0004-0000-0000-0000350A0000}"/>
    <hyperlink ref="W3061" r:id="rId2615" xr:uid="{00000000-0004-0000-0000-0000360A0000}"/>
    <hyperlink ref="W3062" r:id="rId2616" xr:uid="{00000000-0004-0000-0000-0000370A0000}"/>
    <hyperlink ref="W3063" r:id="rId2617" xr:uid="{00000000-0004-0000-0000-0000380A0000}"/>
    <hyperlink ref="W3064" r:id="rId2618" xr:uid="{00000000-0004-0000-0000-0000390A0000}"/>
    <hyperlink ref="W3065" r:id="rId2619" xr:uid="{00000000-0004-0000-0000-00003A0A0000}"/>
    <hyperlink ref="W3066" r:id="rId2620" xr:uid="{00000000-0004-0000-0000-00003B0A0000}"/>
    <hyperlink ref="W3067" r:id="rId2621" xr:uid="{00000000-0004-0000-0000-00003C0A0000}"/>
    <hyperlink ref="W3068" r:id="rId2622" xr:uid="{00000000-0004-0000-0000-00003D0A0000}"/>
    <hyperlink ref="W3069" r:id="rId2623" xr:uid="{00000000-0004-0000-0000-00003E0A0000}"/>
    <hyperlink ref="W3070" r:id="rId2624" xr:uid="{00000000-0004-0000-0000-00003F0A0000}"/>
    <hyperlink ref="W3071" r:id="rId2625" xr:uid="{00000000-0004-0000-0000-0000400A0000}"/>
    <hyperlink ref="W3072" r:id="rId2626" xr:uid="{00000000-0004-0000-0000-0000410A0000}"/>
    <hyperlink ref="W3073" r:id="rId2627" xr:uid="{00000000-0004-0000-0000-0000420A0000}"/>
    <hyperlink ref="W3074" r:id="rId2628" xr:uid="{00000000-0004-0000-0000-0000430A0000}"/>
    <hyperlink ref="W3075" r:id="rId2629" xr:uid="{00000000-0004-0000-0000-0000440A0000}"/>
    <hyperlink ref="W3076" r:id="rId2630" xr:uid="{00000000-0004-0000-0000-0000450A0000}"/>
    <hyperlink ref="W3077" r:id="rId2631" xr:uid="{00000000-0004-0000-0000-0000460A0000}"/>
    <hyperlink ref="W3079" r:id="rId2632" xr:uid="{00000000-0004-0000-0000-0000470A0000}"/>
    <hyperlink ref="W3081" r:id="rId2633" xr:uid="{00000000-0004-0000-0000-0000480A0000}"/>
    <hyperlink ref="W3082" r:id="rId2634" xr:uid="{00000000-0004-0000-0000-0000490A0000}"/>
    <hyperlink ref="W3083" r:id="rId2635" xr:uid="{00000000-0004-0000-0000-00004A0A0000}"/>
    <hyperlink ref="W3084" r:id="rId2636" xr:uid="{00000000-0004-0000-0000-00004B0A0000}"/>
    <hyperlink ref="W3085" r:id="rId2637" xr:uid="{00000000-0004-0000-0000-00004C0A0000}"/>
    <hyperlink ref="W3086" r:id="rId2638" xr:uid="{00000000-0004-0000-0000-00004D0A0000}"/>
    <hyperlink ref="W3087" r:id="rId2639" xr:uid="{00000000-0004-0000-0000-00004E0A0000}"/>
    <hyperlink ref="W3088" r:id="rId2640" xr:uid="{00000000-0004-0000-0000-00004F0A0000}"/>
    <hyperlink ref="W3089" r:id="rId2641" xr:uid="{00000000-0004-0000-0000-0000500A0000}"/>
    <hyperlink ref="W3090" r:id="rId2642" xr:uid="{00000000-0004-0000-0000-0000510A0000}"/>
    <hyperlink ref="W3091" r:id="rId2643" xr:uid="{00000000-0004-0000-0000-0000520A0000}"/>
    <hyperlink ref="W3092" r:id="rId2644" xr:uid="{00000000-0004-0000-0000-0000530A0000}"/>
    <hyperlink ref="W3093" r:id="rId2645" xr:uid="{00000000-0004-0000-0000-0000540A0000}"/>
    <hyperlink ref="W3094" r:id="rId2646" xr:uid="{00000000-0004-0000-0000-0000550A0000}"/>
    <hyperlink ref="W3095" r:id="rId2647" xr:uid="{00000000-0004-0000-0000-0000560A0000}"/>
    <hyperlink ref="W3096" r:id="rId2648" xr:uid="{00000000-0004-0000-0000-0000570A0000}"/>
    <hyperlink ref="W3097" r:id="rId2649" xr:uid="{00000000-0004-0000-0000-0000580A0000}"/>
    <hyperlink ref="W3098" r:id="rId2650" xr:uid="{00000000-0004-0000-0000-0000590A0000}"/>
    <hyperlink ref="W3099" r:id="rId2651" xr:uid="{00000000-0004-0000-0000-00005A0A0000}"/>
    <hyperlink ref="W3100" r:id="rId2652" xr:uid="{00000000-0004-0000-0000-00005B0A0000}"/>
    <hyperlink ref="W3103" r:id="rId2653" xr:uid="{00000000-0004-0000-0000-00005C0A0000}"/>
    <hyperlink ref="W3104" r:id="rId2654" xr:uid="{00000000-0004-0000-0000-00005D0A0000}"/>
    <hyperlink ref="W3105" r:id="rId2655" xr:uid="{00000000-0004-0000-0000-00005E0A0000}"/>
    <hyperlink ref="W3106" r:id="rId2656" xr:uid="{00000000-0004-0000-0000-00005F0A0000}"/>
    <hyperlink ref="W3107" r:id="rId2657" xr:uid="{00000000-0004-0000-0000-0000600A0000}"/>
    <hyperlink ref="W3108" r:id="rId2658" xr:uid="{00000000-0004-0000-0000-0000610A0000}"/>
    <hyperlink ref="W3109" r:id="rId2659" xr:uid="{00000000-0004-0000-0000-0000620A0000}"/>
    <hyperlink ref="W3110" r:id="rId2660" xr:uid="{00000000-0004-0000-0000-0000630A0000}"/>
    <hyperlink ref="W3111" r:id="rId2661" xr:uid="{00000000-0004-0000-0000-0000640A0000}"/>
    <hyperlink ref="W3112" r:id="rId2662" xr:uid="{00000000-0004-0000-0000-0000650A0000}"/>
    <hyperlink ref="W3113" r:id="rId2663" xr:uid="{00000000-0004-0000-0000-0000660A0000}"/>
    <hyperlink ref="W3114" r:id="rId2664" xr:uid="{00000000-0004-0000-0000-0000670A0000}"/>
    <hyperlink ref="W3115" r:id="rId2665" xr:uid="{00000000-0004-0000-0000-0000680A0000}"/>
    <hyperlink ref="W3116" r:id="rId2666" xr:uid="{00000000-0004-0000-0000-0000690A0000}"/>
    <hyperlink ref="W3117" r:id="rId2667" xr:uid="{00000000-0004-0000-0000-00006A0A0000}"/>
    <hyperlink ref="W3118" r:id="rId2668" xr:uid="{00000000-0004-0000-0000-00006B0A0000}"/>
    <hyperlink ref="W3119" r:id="rId2669" xr:uid="{00000000-0004-0000-0000-00006C0A0000}"/>
    <hyperlink ref="W3120" r:id="rId2670" xr:uid="{00000000-0004-0000-0000-00006D0A0000}"/>
    <hyperlink ref="W3121" r:id="rId2671" xr:uid="{00000000-0004-0000-0000-00006E0A0000}"/>
    <hyperlink ref="W3122" r:id="rId2672" xr:uid="{00000000-0004-0000-0000-00006F0A0000}"/>
    <hyperlink ref="W3123" r:id="rId2673" xr:uid="{00000000-0004-0000-0000-0000700A0000}"/>
    <hyperlink ref="W3124" r:id="rId2674" xr:uid="{00000000-0004-0000-0000-0000710A0000}"/>
    <hyperlink ref="W3125" r:id="rId2675" xr:uid="{00000000-0004-0000-0000-0000720A0000}"/>
    <hyperlink ref="W3126" r:id="rId2676" xr:uid="{00000000-0004-0000-0000-0000730A0000}"/>
    <hyperlink ref="W3127" r:id="rId2677" xr:uid="{00000000-0004-0000-0000-0000740A0000}"/>
    <hyperlink ref="W3128" r:id="rId2678" xr:uid="{00000000-0004-0000-0000-0000750A0000}"/>
    <hyperlink ref="W3129" r:id="rId2679" xr:uid="{00000000-0004-0000-0000-0000760A0000}"/>
    <hyperlink ref="W3130" r:id="rId2680" xr:uid="{00000000-0004-0000-0000-0000770A0000}"/>
    <hyperlink ref="W3131" r:id="rId2681" xr:uid="{00000000-0004-0000-0000-0000780A0000}"/>
    <hyperlink ref="W3132" r:id="rId2682" xr:uid="{00000000-0004-0000-0000-0000790A0000}"/>
    <hyperlink ref="W3133" r:id="rId2683" xr:uid="{00000000-0004-0000-0000-00007A0A0000}"/>
    <hyperlink ref="W3134" r:id="rId2684" xr:uid="{00000000-0004-0000-0000-00007B0A0000}"/>
    <hyperlink ref="W3135" r:id="rId2685" xr:uid="{00000000-0004-0000-0000-00007C0A0000}"/>
    <hyperlink ref="W3136" r:id="rId2686" xr:uid="{00000000-0004-0000-0000-00007D0A0000}"/>
    <hyperlink ref="W3137" r:id="rId2687" xr:uid="{00000000-0004-0000-0000-00007E0A0000}"/>
    <hyperlink ref="W3138" r:id="rId2688" xr:uid="{00000000-0004-0000-0000-00007F0A0000}"/>
    <hyperlink ref="W3139" r:id="rId2689" xr:uid="{00000000-0004-0000-0000-0000800A0000}"/>
    <hyperlink ref="W3140" r:id="rId2690" xr:uid="{00000000-0004-0000-0000-0000810A0000}"/>
    <hyperlink ref="W3141" r:id="rId2691" xr:uid="{00000000-0004-0000-0000-0000820A0000}"/>
    <hyperlink ref="W3142" r:id="rId2692" xr:uid="{00000000-0004-0000-0000-0000830A0000}"/>
    <hyperlink ref="W3143" r:id="rId2693" xr:uid="{00000000-0004-0000-0000-0000840A0000}"/>
    <hyperlink ref="W3144" r:id="rId2694" xr:uid="{00000000-0004-0000-0000-0000850A0000}"/>
    <hyperlink ref="W3145" r:id="rId2695" xr:uid="{00000000-0004-0000-0000-0000860A0000}"/>
    <hyperlink ref="W3146" r:id="rId2696" xr:uid="{00000000-0004-0000-0000-0000870A0000}"/>
    <hyperlink ref="W3147" r:id="rId2697" xr:uid="{00000000-0004-0000-0000-0000880A0000}"/>
    <hyperlink ref="W3148" r:id="rId2698" xr:uid="{00000000-0004-0000-0000-0000890A0000}"/>
    <hyperlink ref="W3149" r:id="rId2699" xr:uid="{00000000-0004-0000-0000-00008A0A0000}"/>
    <hyperlink ref="W3150" r:id="rId2700" xr:uid="{00000000-0004-0000-0000-00008B0A0000}"/>
    <hyperlink ref="W3151" r:id="rId2701" xr:uid="{00000000-0004-0000-0000-00008C0A0000}"/>
    <hyperlink ref="W3152" r:id="rId2702" xr:uid="{00000000-0004-0000-0000-00008D0A0000}"/>
    <hyperlink ref="W3153" r:id="rId2703" xr:uid="{00000000-0004-0000-0000-00008E0A0000}"/>
    <hyperlink ref="W3154" r:id="rId2704" xr:uid="{00000000-0004-0000-0000-00008F0A0000}"/>
    <hyperlink ref="W3155" r:id="rId2705" xr:uid="{00000000-0004-0000-0000-0000900A0000}"/>
    <hyperlink ref="W3156" r:id="rId2706" xr:uid="{00000000-0004-0000-0000-0000910A0000}"/>
    <hyperlink ref="W3157" r:id="rId2707" xr:uid="{00000000-0004-0000-0000-0000920A0000}"/>
    <hyperlink ref="W3158" r:id="rId2708" xr:uid="{00000000-0004-0000-0000-0000930A0000}"/>
    <hyperlink ref="W3159" r:id="rId2709" xr:uid="{00000000-0004-0000-0000-0000940A0000}"/>
    <hyperlink ref="W3160" r:id="rId2710" xr:uid="{00000000-0004-0000-0000-0000950A0000}"/>
    <hyperlink ref="W3161" r:id="rId2711" xr:uid="{00000000-0004-0000-0000-0000960A0000}"/>
    <hyperlink ref="W3162" r:id="rId2712" xr:uid="{00000000-0004-0000-0000-0000970A0000}"/>
    <hyperlink ref="W3163" r:id="rId2713" xr:uid="{00000000-0004-0000-0000-0000980A0000}"/>
    <hyperlink ref="W3164" r:id="rId2714" xr:uid="{00000000-0004-0000-0000-0000990A0000}"/>
    <hyperlink ref="W3165" r:id="rId2715" xr:uid="{00000000-0004-0000-0000-00009A0A0000}"/>
    <hyperlink ref="W3166" r:id="rId2716" xr:uid="{00000000-0004-0000-0000-00009B0A0000}"/>
    <hyperlink ref="W3167" r:id="rId2717" xr:uid="{00000000-0004-0000-0000-00009C0A0000}"/>
    <hyperlink ref="W3168" r:id="rId2718" xr:uid="{00000000-0004-0000-0000-00009D0A0000}"/>
    <hyperlink ref="W3169" r:id="rId2719" xr:uid="{00000000-0004-0000-0000-00009E0A0000}"/>
    <hyperlink ref="W3170" r:id="rId2720" xr:uid="{00000000-0004-0000-0000-00009F0A0000}"/>
    <hyperlink ref="W3171" r:id="rId2721" xr:uid="{00000000-0004-0000-0000-0000A00A0000}"/>
    <hyperlink ref="W3172" r:id="rId2722" xr:uid="{00000000-0004-0000-0000-0000A10A0000}"/>
    <hyperlink ref="W3173" r:id="rId2723" xr:uid="{00000000-0004-0000-0000-0000A20A0000}"/>
    <hyperlink ref="W3174" r:id="rId2724" xr:uid="{00000000-0004-0000-0000-0000A30A0000}"/>
    <hyperlink ref="W3175" r:id="rId2725" xr:uid="{00000000-0004-0000-0000-0000A40A0000}"/>
    <hyperlink ref="W3176" r:id="rId2726" xr:uid="{00000000-0004-0000-0000-0000A50A0000}"/>
    <hyperlink ref="W3177" r:id="rId2727" xr:uid="{00000000-0004-0000-0000-0000A60A0000}"/>
    <hyperlink ref="W3178" r:id="rId2728" xr:uid="{00000000-0004-0000-0000-0000A70A0000}"/>
    <hyperlink ref="W3179" r:id="rId2729" xr:uid="{00000000-0004-0000-0000-0000A80A0000}"/>
    <hyperlink ref="W3180" r:id="rId2730" xr:uid="{00000000-0004-0000-0000-0000A90A0000}"/>
    <hyperlink ref="W3181" r:id="rId2731" xr:uid="{00000000-0004-0000-0000-0000AA0A0000}"/>
    <hyperlink ref="W3182" r:id="rId2732" xr:uid="{00000000-0004-0000-0000-0000AB0A0000}"/>
    <hyperlink ref="W3183" r:id="rId2733" xr:uid="{00000000-0004-0000-0000-0000AC0A0000}"/>
    <hyperlink ref="W3184" r:id="rId2734" xr:uid="{00000000-0004-0000-0000-0000AD0A0000}"/>
    <hyperlink ref="W3185" r:id="rId2735" xr:uid="{00000000-0004-0000-0000-0000AE0A0000}"/>
    <hyperlink ref="W3186" r:id="rId2736" xr:uid="{00000000-0004-0000-0000-0000AF0A0000}"/>
    <hyperlink ref="W3187" r:id="rId2737" xr:uid="{00000000-0004-0000-0000-0000B00A0000}"/>
    <hyperlink ref="W3188" r:id="rId2738" xr:uid="{00000000-0004-0000-0000-0000B10A0000}"/>
    <hyperlink ref="W3189" r:id="rId2739" xr:uid="{00000000-0004-0000-0000-0000B20A0000}"/>
    <hyperlink ref="W3190" r:id="rId2740" xr:uid="{00000000-0004-0000-0000-0000B30A0000}"/>
    <hyperlink ref="W3191" r:id="rId2741" xr:uid="{00000000-0004-0000-0000-0000B40A0000}"/>
    <hyperlink ref="W3192" r:id="rId2742" xr:uid="{00000000-0004-0000-0000-0000B50A0000}"/>
    <hyperlink ref="W3193" r:id="rId2743" xr:uid="{00000000-0004-0000-0000-0000B60A0000}"/>
    <hyperlink ref="W3194" r:id="rId2744" xr:uid="{00000000-0004-0000-0000-0000B70A0000}"/>
    <hyperlink ref="W3195" r:id="rId2745" xr:uid="{00000000-0004-0000-0000-0000B80A0000}"/>
    <hyperlink ref="W3196" r:id="rId2746" xr:uid="{00000000-0004-0000-0000-0000B90A0000}"/>
    <hyperlink ref="W3197" r:id="rId2747" xr:uid="{00000000-0004-0000-0000-0000BA0A0000}"/>
    <hyperlink ref="W3198" r:id="rId2748" xr:uid="{00000000-0004-0000-0000-0000BB0A0000}"/>
    <hyperlink ref="W3199" r:id="rId2749" xr:uid="{00000000-0004-0000-0000-0000BC0A0000}"/>
    <hyperlink ref="W3200" r:id="rId2750" xr:uid="{00000000-0004-0000-0000-0000BD0A0000}"/>
    <hyperlink ref="W3201" r:id="rId2751" xr:uid="{00000000-0004-0000-0000-0000BE0A0000}"/>
    <hyperlink ref="W3202" r:id="rId2752" xr:uid="{00000000-0004-0000-0000-0000BF0A0000}"/>
    <hyperlink ref="W3203" r:id="rId2753" xr:uid="{00000000-0004-0000-0000-0000C00A0000}"/>
    <hyperlink ref="W3204" r:id="rId2754" xr:uid="{00000000-0004-0000-0000-0000C10A0000}"/>
    <hyperlink ref="W3207" r:id="rId2755" xr:uid="{00000000-0004-0000-0000-0000C20A0000}"/>
    <hyperlink ref="W3208" r:id="rId2756" xr:uid="{00000000-0004-0000-0000-0000C30A0000}"/>
    <hyperlink ref="W3209" r:id="rId2757" xr:uid="{00000000-0004-0000-0000-0000C40A0000}"/>
    <hyperlink ref="W3210" r:id="rId2758" xr:uid="{00000000-0004-0000-0000-0000C50A0000}"/>
    <hyperlink ref="W3211" r:id="rId2759" xr:uid="{00000000-0004-0000-0000-0000C60A0000}"/>
    <hyperlink ref="W3212" r:id="rId2760" xr:uid="{00000000-0004-0000-0000-0000C70A0000}"/>
    <hyperlink ref="W3213" r:id="rId2761" xr:uid="{00000000-0004-0000-0000-0000C80A0000}"/>
    <hyperlink ref="W3214" r:id="rId2762" xr:uid="{00000000-0004-0000-0000-0000C90A0000}"/>
    <hyperlink ref="W3215" r:id="rId2763" xr:uid="{00000000-0004-0000-0000-0000CA0A0000}"/>
    <hyperlink ref="W3216" r:id="rId2764" xr:uid="{00000000-0004-0000-0000-0000CB0A0000}"/>
    <hyperlink ref="W3217" r:id="rId2765" xr:uid="{00000000-0004-0000-0000-0000CC0A0000}"/>
    <hyperlink ref="W3218" r:id="rId2766" xr:uid="{00000000-0004-0000-0000-0000CD0A0000}"/>
    <hyperlink ref="W3219" r:id="rId2767" xr:uid="{00000000-0004-0000-0000-0000CE0A0000}"/>
    <hyperlink ref="W3220" r:id="rId2768" xr:uid="{00000000-0004-0000-0000-0000CF0A0000}"/>
    <hyperlink ref="W3221" r:id="rId2769" xr:uid="{00000000-0004-0000-0000-0000D00A0000}"/>
    <hyperlink ref="W3222" r:id="rId2770" xr:uid="{00000000-0004-0000-0000-0000D10A0000}"/>
    <hyperlink ref="W3223" r:id="rId2771" xr:uid="{00000000-0004-0000-0000-0000D20A0000}"/>
    <hyperlink ref="W3224" r:id="rId2772" xr:uid="{00000000-0004-0000-0000-0000D30A0000}"/>
    <hyperlink ref="W3225" r:id="rId2773" xr:uid="{00000000-0004-0000-0000-0000D40A0000}"/>
    <hyperlink ref="W3226" r:id="rId2774" xr:uid="{00000000-0004-0000-0000-0000D50A0000}"/>
    <hyperlink ref="W3227" r:id="rId2775" xr:uid="{00000000-0004-0000-0000-0000D60A0000}"/>
    <hyperlink ref="W3228" r:id="rId2776" xr:uid="{00000000-0004-0000-0000-0000D70A0000}"/>
    <hyperlink ref="W3229" r:id="rId2777" xr:uid="{00000000-0004-0000-0000-0000D80A0000}"/>
    <hyperlink ref="W3230" r:id="rId2778" xr:uid="{00000000-0004-0000-0000-0000D90A0000}"/>
    <hyperlink ref="W3231" r:id="rId2779" xr:uid="{00000000-0004-0000-0000-0000DA0A0000}"/>
    <hyperlink ref="W3232" r:id="rId2780" xr:uid="{00000000-0004-0000-0000-0000DB0A0000}"/>
    <hyperlink ref="W3233" r:id="rId2781" xr:uid="{00000000-0004-0000-0000-0000DC0A0000}"/>
    <hyperlink ref="W3234" r:id="rId2782" xr:uid="{00000000-0004-0000-0000-0000DD0A0000}"/>
    <hyperlink ref="W3235" r:id="rId2783" xr:uid="{00000000-0004-0000-0000-0000DE0A0000}"/>
    <hyperlink ref="W3236" r:id="rId2784" xr:uid="{00000000-0004-0000-0000-0000DF0A0000}"/>
    <hyperlink ref="W3237" r:id="rId2785" xr:uid="{00000000-0004-0000-0000-0000E00A0000}"/>
    <hyperlink ref="W3238" r:id="rId2786" xr:uid="{00000000-0004-0000-0000-0000E10A0000}"/>
    <hyperlink ref="W3239" r:id="rId2787" xr:uid="{00000000-0004-0000-0000-0000E20A0000}"/>
    <hyperlink ref="W3240" r:id="rId2788" xr:uid="{00000000-0004-0000-0000-0000E30A0000}"/>
    <hyperlink ref="W3241" r:id="rId2789" xr:uid="{00000000-0004-0000-0000-0000E40A0000}"/>
    <hyperlink ref="W3242" r:id="rId2790" xr:uid="{00000000-0004-0000-0000-0000E50A0000}"/>
    <hyperlink ref="W3243" r:id="rId2791" xr:uid="{00000000-0004-0000-0000-0000E60A0000}"/>
    <hyperlink ref="W3244" r:id="rId2792" xr:uid="{00000000-0004-0000-0000-0000E70A0000}"/>
    <hyperlink ref="W3245" r:id="rId2793" xr:uid="{00000000-0004-0000-0000-0000E80A0000}"/>
    <hyperlink ref="W3246" r:id="rId2794" xr:uid="{00000000-0004-0000-0000-0000E90A0000}"/>
    <hyperlink ref="W3247" r:id="rId2795" xr:uid="{00000000-0004-0000-0000-0000EA0A0000}"/>
    <hyperlink ref="W3248" r:id="rId2796" xr:uid="{00000000-0004-0000-0000-0000EB0A0000}"/>
    <hyperlink ref="W3249" r:id="rId2797" xr:uid="{00000000-0004-0000-0000-0000EC0A0000}"/>
    <hyperlink ref="W3250" r:id="rId2798" xr:uid="{00000000-0004-0000-0000-0000ED0A0000}"/>
    <hyperlink ref="W3251" r:id="rId2799" xr:uid="{00000000-0004-0000-0000-0000EE0A0000}"/>
    <hyperlink ref="W3252" r:id="rId2800" xr:uid="{00000000-0004-0000-0000-0000EF0A0000}"/>
    <hyperlink ref="W3253" r:id="rId2801" xr:uid="{00000000-0004-0000-0000-0000F00A0000}"/>
    <hyperlink ref="W3255" r:id="rId2802" xr:uid="{00000000-0004-0000-0000-0000F10A0000}"/>
    <hyperlink ref="W3256" r:id="rId2803" xr:uid="{00000000-0004-0000-0000-0000F20A0000}"/>
    <hyperlink ref="W3257" r:id="rId2804" xr:uid="{00000000-0004-0000-0000-0000F30A0000}"/>
    <hyperlink ref="W3258" r:id="rId2805" xr:uid="{00000000-0004-0000-0000-0000F40A0000}"/>
    <hyperlink ref="W3259" r:id="rId2806" xr:uid="{00000000-0004-0000-0000-0000F50A0000}"/>
    <hyperlink ref="W3260" r:id="rId2807" xr:uid="{00000000-0004-0000-0000-0000F60A0000}"/>
    <hyperlink ref="W3261" r:id="rId2808" display="https://jp.rs-online.com/web/p/detector-switches/7931768/?relevancy-data=636F3D3126696E3D4931384E53656172636847656E65726963266C753D6A61266D6D3D6D61746368616C6C7061727469616C26706D3D5E5B5C707B4C7D5C707B4E647D2D2C2F255C2E5D2B2426706F3D31313326736E3D592673723D2673743D4B4559574F52445F53494E474C455F414C5048415F4E554D455249432677633D4E4F4E45267573743D53445330303252267374613D5344533030325226&amp;searchHistory=%7B%22enabled%22%3Atrue%7D" xr:uid="{00000000-0004-0000-0000-0000F70A0000}"/>
    <hyperlink ref="W3262" r:id="rId2809" xr:uid="{00000000-0004-0000-0000-0000F80A0000}"/>
    <hyperlink ref="W3263" r:id="rId2810" xr:uid="{00000000-0004-0000-0000-0000F90A0000}"/>
    <hyperlink ref="W3264" r:id="rId2811" xr:uid="{00000000-0004-0000-0000-0000FA0A0000}"/>
    <hyperlink ref="W3265" r:id="rId2812" xr:uid="{00000000-0004-0000-0000-0000FB0A0000}"/>
    <hyperlink ref="W3266" r:id="rId2813" xr:uid="{00000000-0004-0000-0000-0000FC0A0000}"/>
    <hyperlink ref="W3267" r:id="rId2814" xr:uid="{00000000-0004-0000-0000-0000FD0A0000}"/>
    <hyperlink ref="W3268" r:id="rId2815" xr:uid="{00000000-0004-0000-0000-0000FE0A0000}"/>
    <hyperlink ref="W3269" r:id="rId2816" xr:uid="{00000000-0004-0000-0000-0000FF0A0000}"/>
    <hyperlink ref="W3270" r:id="rId2817" xr:uid="{00000000-0004-0000-0000-0000000B0000}"/>
    <hyperlink ref="W3272" r:id="rId2818" xr:uid="{00000000-0004-0000-0000-0000010B0000}"/>
    <hyperlink ref="W3273" r:id="rId2819" xr:uid="{00000000-0004-0000-0000-0000020B0000}"/>
    <hyperlink ref="W3274" r:id="rId2820" xr:uid="{00000000-0004-0000-0000-0000030B0000}"/>
    <hyperlink ref="W3275" r:id="rId2821" xr:uid="{00000000-0004-0000-0000-0000040B0000}"/>
    <hyperlink ref="W3276" r:id="rId2822" xr:uid="{00000000-0004-0000-0000-0000050B0000}"/>
    <hyperlink ref="W3277" r:id="rId2823" xr:uid="{00000000-0004-0000-0000-0000060B0000}"/>
    <hyperlink ref="W3278" r:id="rId2824" xr:uid="{00000000-0004-0000-0000-0000070B0000}"/>
    <hyperlink ref="W3279" r:id="rId2825" xr:uid="{00000000-0004-0000-0000-0000080B0000}"/>
    <hyperlink ref="W3280" r:id="rId2826" xr:uid="{00000000-0004-0000-0000-0000090B0000}"/>
    <hyperlink ref="W3281" r:id="rId2827" xr:uid="{00000000-0004-0000-0000-00000A0B0000}"/>
    <hyperlink ref="W3282" r:id="rId2828" xr:uid="{00000000-0004-0000-0000-00000B0B0000}"/>
    <hyperlink ref="W3283" r:id="rId2829" xr:uid="{00000000-0004-0000-0000-00000C0B0000}"/>
    <hyperlink ref="W3284" r:id="rId2830" xr:uid="{00000000-0004-0000-0000-00000D0B0000}"/>
    <hyperlink ref="W3285" r:id="rId2831" xr:uid="{00000000-0004-0000-0000-00000E0B0000}"/>
    <hyperlink ref="W3286" r:id="rId2832" xr:uid="{00000000-0004-0000-0000-00000F0B0000}"/>
    <hyperlink ref="W3287" r:id="rId2833" xr:uid="{00000000-0004-0000-0000-0000100B0000}"/>
    <hyperlink ref="W3288" r:id="rId2834" xr:uid="{00000000-0004-0000-0000-0000110B0000}"/>
    <hyperlink ref="W3289" r:id="rId2835" xr:uid="{00000000-0004-0000-0000-0000120B0000}"/>
    <hyperlink ref="W3290" r:id="rId2836" xr:uid="{00000000-0004-0000-0000-0000130B0000}"/>
    <hyperlink ref="W3291" r:id="rId2837" xr:uid="{00000000-0004-0000-0000-0000140B0000}"/>
    <hyperlink ref="W3292" r:id="rId2838" xr:uid="{00000000-0004-0000-0000-0000150B0000}"/>
    <hyperlink ref="W3293" r:id="rId2839" xr:uid="{00000000-0004-0000-0000-0000160B0000}"/>
    <hyperlink ref="W3294" r:id="rId2840" xr:uid="{00000000-0004-0000-0000-0000170B0000}"/>
    <hyperlink ref="W3295" r:id="rId2841" xr:uid="{00000000-0004-0000-0000-0000180B0000}"/>
    <hyperlink ref="W3296" r:id="rId2842" xr:uid="{00000000-0004-0000-0000-0000190B0000}"/>
    <hyperlink ref="W3297" r:id="rId2843" xr:uid="{00000000-0004-0000-0000-00001A0B0000}"/>
    <hyperlink ref="W3298" r:id="rId2844" xr:uid="{00000000-0004-0000-0000-00001B0B0000}"/>
    <hyperlink ref="W3299" r:id="rId2845" xr:uid="{00000000-0004-0000-0000-00001C0B0000}"/>
    <hyperlink ref="W3300" r:id="rId2846" xr:uid="{00000000-0004-0000-0000-00001D0B0000}"/>
    <hyperlink ref="W3301" r:id="rId2847" xr:uid="{00000000-0004-0000-0000-00001E0B0000}"/>
    <hyperlink ref="W3302" r:id="rId2848" xr:uid="{00000000-0004-0000-0000-00001F0B0000}"/>
    <hyperlink ref="W3303" r:id="rId2849" xr:uid="{00000000-0004-0000-0000-0000200B0000}"/>
    <hyperlink ref="W3304" r:id="rId2850" xr:uid="{00000000-0004-0000-0000-0000210B0000}"/>
    <hyperlink ref="W3305" r:id="rId2851" xr:uid="{00000000-0004-0000-0000-0000220B0000}"/>
    <hyperlink ref="W3306" r:id="rId2852" xr:uid="{00000000-0004-0000-0000-0000230B0000}"/>
    <hyperlink ref="W3307" r:id="rId2853" xr:uid="{00000000-0004-0000-0000-0000240B0000}"/>
    <hyperlink ref="W3310" r:id="rId2854" xr:uid="{00000000-0004-0000-0000-0000250B0000}"/>
    <hyperlink ref="W3311" r:id="rId2855" xr:uid="{00000000-0004-0000-0000-0000260B0000}"/>
    <hyperlink ref="W3312" r:id="rId2856" xr:uid="{00000000-0004-0000-0000-0000270B0000}"/>
    <hyperlink ref="W3313" r:id="rId2857" xr:uid="{00000000-0004-0000-0000-0000280B0000}"/>
    <hyperlink ref="W3316" r:id="rId2858" xr:uid="{00000000-0004-0000-0000-0000290B0000}"/>
    <hyperlink ref="W3319" r:id="rId2859" xr:uid="{00000000-0004-0000-0000-00002A0B0000}"/>
    <hyperlink ref="W3320" r:id="rId2860" xr:uid="{00000000-0004-0000-0000-00002B0B0000}"/>
    <hyperlink ref="W3322" r:id="rId2861" xr:uid="{00000000-0004-0000-0000-00002C0B0000}"/>
    <hyperlink ref="W3323" r:id="rId2862" xr:uid="{00000000-0004-0000-0000-00002D0B0000}"/>
    <hyperlink ref="W3324" r:id="rId2863" xr:uid="{00000000-0004-0000-0000-00002E0B0000}"/>
    <hyperlink ref="H3325" r:id="rId2864" xr:uid="{00000000-0004-0000-0000-00002F0B0000}"/>
    <hyperlink ref="W3325" r:id="rId2865" xr:uid="{00000000-0004-0000-0000-0000300B0000}"/>
    <hyperlink ref="W3326" r:id="rId2866" xr:uid="{00000000-0004-0000-0000-0000310B0000}"/>
    <hyperlink ref="W3327" r:id="rId2867" xr:uid="{00000000-0004-0000-0000-0000320B0000}"/>
    <hyperlink ref="W3328" r:id="rId2868" xr:uid="{00000000-0004-0000-0000-0000330B0000}"/>
    <hyperlink ref="W3329" r:id="rId2869" xr:uid="{00000000-0004-0000-0000-0000340B0000}"/>
    <hyperlink ref="W3330" r:id="rId2870" xr:uid="{00000000-0004-0000-0000-0000350B0000}"/>
    <hyperlink ref="W3331" r:id="rId2871" xr:uid="{00000000-0004-0000-0000-0000360B0000}"/>
    <hyperlink ref="W3332" r:id="rId2872" xr:uid="{00000000-0004-0000-0000-0000370B0000}"/>
    <hyperlink ref="W3333" r:id="rId2873" xr:uid="{00000000-0004-0000-0000-0000380B0000}"/>
    <hyperlink ref="W3334" r:id="rId2874" xr:uid="{00000000-0004-0000-0000-0000390B0000}"/>
    <hyperlink ref="W3335" r:id="rId2875" xr:uid="{00000000-0004-0000-0000-00003A0B0000}"/>
    <hyperlink ref="W3336" r:id="rId2876" xr:uid="{00000000-0004-0000-0000-00003B0B0000}"/>
    <hyperlink ref="W3337" r:id="rId2877" xr:uid="{00000000-0004-0000-0000-00003C0B0000}"/>
    <hyperlink ref="W3338" r:id="rId2878" xr:uid="{00000000-0004-0000-0000-00003D0B0000}"/>
    <hyperlink ref="W3339" r:id="rId2879" xr:uid="{00000000-0004-0000-0000-00003E0B0000}"/>
    <hyperlink ref="W3340" r:id="rId2880" xr:uid="{00000000-0004-0000-0000-00003F0B0000}"/>
    <hyperlink ref="W3341" r:id="rId2881" xr:uid="{00000000-0004-0000-0000-0000400B0000}"/>
    <hyperlink ref="W3342" r:id="rId2882" xr:uid="{00000000-0004-0000-0000-0000410B0000}"/>
    <hyperlink ref="W3343" r:id="rId2883" xr:uid="{00000000-0004-0000-0000-0000420B0000}"/>
    <hyperlink ref="W3344" r:id="rId2884" xr:uid="{00000000-0004-0000-0000-0000430B0000}"/>
    <hyperlink ref="W3345" r:id="rId2885" xr:uid="{00000000-0004-0000-0000-0000440B0000}"/>
    <hyperlink ref="W3346" r:id="rId2886" xr:uid="{00000000-0004-0000-0000-0000450B0000}"/>
    <hyperlink ref="W3347" r:id="rId2887" xr:uid="{00000000-0004-0000-0000-0000460B0000}"/>
    <hyperlink ref="W3350" r:id="rId2888" xr:uid="{00000000-0004-0000-0000-0000470B0000}"/>
    <hyperlink ref="W3351" r:id="rId2889" xr:uid="{00000000-0004-0000-0000-0000480B0000}"/>
    <hyperlink ref="W3352" r:id="rId2890" xr:uid="{00000000-0004-0000-0000-0000490B0000}"/>
    <hyperlink ref="W3353" r:id="rId2891" xr:uid="{00000000-0004-0000-0000-00004A0B0000}"/>
    <hyperlink ref="W3354" r:id="rId2892" xr:uid="{00000000-0004-0000-0000-00004B0B0000}"/>
    <hyperlink ref="W3355" r:id="rId2893" xr:uid="{00000000-0004-0000-0000-00004C0B0000}"/>
    <hyperlink ref="W3356" r:id="rId2894" xr:uid="{00000000-0004-0000-0000-00004D0B0000}"/>
    <hyperlink ref="W3357" r:id="rId2895" xr:uid="{00000000-0004-0000-0000-00004E0B0000}"/>
    <hyperlink ref="W3358" r:id="rId2896" xr:uid="{00000000-0004-0000-0000-00004F0B0000}"/>
    <hyperlink ref="W3360" r:id="rId2897" xr:uid="{00000000-0004-0000-0000-0000500B0000}"/>
    <hyperlink ref="W3361" r:id="rId2898" xr:uid="{00000000-0004-0000-0000-0000510B0000}"/>
    <hyperlink ref="W3362" r:id="rId2899" xr:uid="{00000000-0004-0000-0000-0000520B0000}"/>
    <hyperlink ref="W3363" r:id="rId2900" xr:uid="{00000000-0004-0000-0000-0000530B0000}"/>
    <hyperlink ref="W3364" r:id="rId2901" xr:uid="{00000000-0004-0000-0000-0000540B0000}"/>
    <hyperlink ref="W3365" r:id="rId2902" xr:uid="{00000000-0004-0000-0000-0000550B0000}"/>
    <hyperlink ref="W3366" r:id="rId2903" xr:uid="{00000000-0004-0000-0000-0000560B0000}"/>
    <hyperlink ref="W3367" r:id="rId2904" xr:uid="{00000000-0004-0000-0000-0000570B0000}"/>
    <hyperlink ref="W3368" r:id="rId2905" xr:uid="{00000000-0004-0000-0000-0000580B0000}"/>
    <hyperlink ref="W3369" r:id="rId2906" xr:uid="{00000000-0004-0000-0000-0000590B0000}"/>
    <hyperlink ref="W3370" r:id="rId2907" xr:uid="{00000000-0004-0000-0000-00005A0B0000}"/>
    <hyperlink ref="W3371" r:id="rId2908" xr:uid="{00000000-0004-0000-0000-00005B0B0000}"/>
    <hyperlink ref="W3372" r:id="rId2909" xr:uid="{00000000-0004-0000-0000-00005C0B0000}"/>
    <hyperlink ref="W3373" r:id="rId2910" xr:uid="{00000000-0004-0000-0000-00005D0B0000}"/>
    <hyperlink ref="W3374" r:id="rId2911" xr:uid="{00000000-0004-0000-0000-00005E0B0000}"/>
    <hyperlink ref="W3375" r:id="rId2912" xr:uid="{00000000-0004-0000-0000-00005F0B0000}"/>
    <hyperlink ref="W3376" r:id="rId2913" xr:uid="{00000000-0004-0000-0000-0000600B0000}"/>
    <hyperlink ref="W3377" r:id="rId2914" xr:uid="{00000000-0004-0000-0000-0000610B0000}"/>
    <hyperlink ref="W3378" r:id="rId2915" xr:uid="{00000000-0004-0000-0000-0000620B0000}"/>
    <hyperlink ref="W3379" r:id="rId2916" xr:uid="{00000000-0004-0000-0000-0000630B0000}"/>
    <hyperlink ref="W3380" r:id="rId2917" xr:uid="{00000000-0004-0000-0000-0000640B0000}"/>
    <hyperlink ref="W3381" r:id="rId2918" xr:uid="{00000000-0004-0000-0000-0000650B0000}"/>
    <hyperlink ref="W3382" r:id="rId2919" xr:uid="{00000000-0004-0000-0000-0000660B0000}"/>
    <hyperlink ref="W3383" r:id="rId2920" xr:uid="{00000000-0004-0000-0000-0000670B0000}"/>
    <hyperlink ref="W3384" r:id="rId2921" xr:uid="{00000000-0004-0000-0000-0000680B0000}"/>
    <hyperlink ref="W3385" r:id="rId2922" xr:uid="{00000000-0004-0000-0000-0000690B0000}"/>
    <hyperlink ref="W3386" r:id="rId2923" xr:uid="{00000000-0004-0000-0000-00006A0B0000}"/>
    <hyperlink ref="W3387" r:id="rId2924" xr:uid="{00000000-0004-0000-0000-00006B0B0000}"/>
    <hyperlink ref="W3388" r:id="rId2925" xr:uid="{00000000-0004-0000-0000-00006C0B0000}"/>
    <hyperlink ref="W3389" r:id="rId2926" xr:uid="{00000000-0004-0000-0000-00006D0B0000}"/>
    <hyperlink ref="W3390" r:id="rId2927" xr:uid="{00000000-0004-0000-0000-00006E0B0000}"/>
    <hyperlink ref="W3391" r:id="rId2928" xr:uid="{00000000-0004-0000-0000-00006F0B0000}"/>
    <hyperlink ref="W3392" r:id="rId2929" xr:uid="{00000000-0004-0000-0000-0000700B0000}"/>
    <hyperlink ref="W3393" r:id="rId2930" xr:uid="{00000000-0004-0000-0000-0000710B0000}"/>
    <hyperlink ref="W3394" r:id="rId2931" xr:uid="{00000000-0004-0000-0000-0000720B0000}"/>
    <hyperlink ref="W3395" r:id="rId2932" xr:uid="{00000000-0004-0000-0000-0000730B0000}"/>
    <hyperlink ref="W3396" r:id="rId2933" xr:uid="{00000000-0004-0000-0000-0000740B0000}"/>
    <hyperlink ref="W3397" r:id="rId2934" xr:uid="{00000000-0004-0000-0000-0000750B0000}"/>
    <hyperlink ref="W3398" r:id="rId2935" xr:uid="{00000000-0004-0000-0000-0000760B0000}"/>
    <hyperlink ref="W3399" r:id="rId2936" xr:uid="{00000000-0004-0000-0000-0000770B0000}"/>
    <hyperlink ref="W3400" r:id="rId2937" xr:uid="{00000000-0004-0000-0000-0000780B0000}"/>
    <hyperlink ref="W3401" r:id="rId2938" location="op_694=10&amp;op_695=100&amp;op_696=100" xr:uid="{00000000-0004-0000-0000-0000790B0000}"/>
    <hyperlink ref="W3402" r:id="rId2939" xr:uid="{00000000-0004-0000-0000-00007A0B0000}"/>
    <hyperlink ref="W3403" r:id="rId2940" xr:uid="{00000000-0004-0000-0000-00007B0B0000}"/>
    <hyperlink ref="W3404" r:id="rId2941" xr:uid="{00000000-0004-0000-0000-00007C0B0000}"/>
    <hyperlink ref="W3405" r:id="rId2942" xr:uid="{00000000-0004-0000-0000-00007D0B0000}"/>
    <hyperlink ref="W3406" r:id="rId2943" xr:uid="{00000000-0004-0000-0000-00007E0B0000}"/>
    <hyperlink ref="W3407" r:id="rId2944" xr:uid="{00000000-0004-0000-0000-00007F0B0000}"/>
    <hyperlink ref="W3408" r:id="rId2945" xr:uid="{00000000-0004-0000-0000-0000800B0000}"/>
    <hyperlink ref="W3409" r:id="rId2946" xr:uid="{00000000-0004-0000-0000-0000810B0000}"/>
    <hyperlink ref="W3410" r:id="rId2947" xr:uid="{00000000-0004-0000-0000-0000820B0000}"/>
    <hyperlink ref="W3411" r:id="rId2948" xr:uid="{00000000-0004-0000-0000-0000830B0000}"/>
    <hyperlink ref="W3412" r:id="rId2949" xr:uid="{00000000-0004-0000-0000-0000840B0000}"/>
    <hyperlink ref="W3413" r:id="rId2950" xr:uid="{00000000-0004-0000-0000-0000850B0000}"/>
    <hyperlink ref="W3414" r:id="rId2951" xr:uid="{00000000-0004-0000-0000-0000860B0000}"/>
    <hyperlink ref="W3415" r:id="rId2952" xr:uid="{00000000-0004-0000-0000-0000870B0000}"/>
    <hyperlink ref="W3416" r:id="rId2953" xr:uid="{00000000-0004-0000-0000-0000880B0000}"/>
    <hyperlink ref="W3417" r:id="rId2954" xr:uid="{00000000-0004-0000-0000-0000890B0000}"/>
    <hyperlink ref="W3419" r:id="rId2955" xr:uid="{00000000-0004-0000-0000-00008A0B0000}"/>
    <hyperlink ref="W3423" r:id="rId2956" xr:uid="{00000000-0004-0000-0000-00008B0B0000}"/>
    <hyperlink ref="W3424" r:id="rId2957" xr:uid="{00000000-0004-0000-0000-00008C0B0000}"/>
    <hyperlink ref="W3425" r:id="rId2958" xr:uid="{00000000-0004-0000-0000-00008D0B0000}"/>
    <hyperlink ref="W3426" r:id="rId2959" xr:uid="{00000000-0004-0000-0000-00008E0B0000}"/>
    <hyperlink ref="W3427" r:id="rId2960" xr:uid="{00000000-0004-0000-0000-00008F0B0000}"/>
    <hyperlink ref="W3428" r:id="rId2961" xr:uid="{00000000-0004-0000-0000-0000900B0000}"/>
    <hyperlink ref="W3429" r:id="rId2962" xr:uid="{00000000-0004-0000-0000-0000910B0000}"/>
    <hyperlink ref="W3430" r:id="rId2963" xr:uid="{00000000-0004-0000-0000-0000920B0000}"/>
    <hyperlink ref="W3431" r:id="rId2964" xr:uid="{00000000-0004-0000-0000-0000930B0000}"/>
    <hyperlink ref="W3432" r:id="rId2965" xr:uid="{00000000-0004-0000-0000-0000940B0000}"/>
    <hyperlink ref="W3433" r:id="rId2966" xr:uid="{00000000-0004-0000-0000-0000950B0000}"/>
    <hyperlink ref="W3434" r:id="rId2967" xr:uid="{00000000-0004-0000-0000-0000960B0000}"/>
    <hyperlink ref="W3435" r:id="rId2968" xr:uid="{00000000-0004-0000-0000-0000970B0000}"/>
    <hyperlink ref="W3436" r:id="rId2969" xr:uid="{00000000-0004-0000-0000-0000980B0000}"/>
    <hyperlink ref="W3437" r:id="rId2970" xr:uid="{00000000-0004-0000-0000-0000990B0000}"/>
    <hyperlink ref="W3438" r:id="rId2971" xr:uid="{00000000-0004-0000-0000-00009A0B0000}"/>
    <hyperlink ref="W3439" r:id="rId2972" xr:uid="{00000000-0004-0000-0000-00009B0B0000}"/>
    <hyperlink ref="W3440" r:id="rId2973" xr:uid="{00000000-0004-0000-0000-00009C0B0000}"/>
    <hyperlink ref="W3441" r:id="rId2974" xr:uid="{00000000-0004-0000-0000-00009D0B0000}"/>
    <hyperlink ref="W3443" r:id="rId2975" xr:uid="{00000000-0004-0000-0000-00009E0B0000}"/>
    <hyperlink ref="W3444" r:id="rId2976" xr:uid="{00000000-0004-0000-0000-00009F0B0000}"/>
    <hyperlink ref="H3446" r:id="rId2977" xr:uid="{00000000-0004-0000-0000-0000A00B0000}"/>
    <hyperlink ref="W3446" r:id="rId2978" xr:uid="{00000000-0004-0000-0000-0000A10B0000}"/>
    <hyperlink ref="W3447" r:id="rId2979" xr:uid="{00000000-0004-0000-0000-0000A20B0000}"/>
    <hyperlink ref="W3448" r:id="rId2980" xr:uid="{00000000-0004-0000-0000-0000A30B0000}"/>
    <hyperlink ref="W3449" r:id="rId2981" xr:uid="{00000000-0004-0000-0000-0000A40B0000}"/>
    <hyperlink ref="W3450" r:id="rId2982" xr:uid="{00000000-0004-0000-0000-0000A50B0000}"/>
    <hyperlink ref="W3451" r:id="rId2983" xr:uid="{00000000-0004-0000-0000-0000A60B0000}"/>
    <hyperlink ref="W3452" r:id="rId2984" xr:uid="{00000000-0004-0000-0000-0000A70B0000}"/>
    <hyperlink ref="W3453" r:id="rId2985" xr:uid="{00000000-0004-0000-0000-0000A80B0000}"/>
    <hyperlink ref="W3454" r:id="rId2986" xr:uid="{00000000-0004-0000-0000-0000A90B0000}"/>
    <hyperlink ref="W3455" r:id="rId2987" xr:uid="{00000000-0004-0000-0000-0000AA0B0000}"/>
    <hyperlink ref="W3456" r:id="rId2988" xr:uid="{00000000-0004-0000-0000-0000AB0B0000}"/>
    <hyperlink ref="H3458" r:id="rId2989" xr:uid="{00000000-0004-0000-0000-0000AC0B0000}"/>
    <hyperlink ref="W3459" r:id="rId2990" xr:uid="{00000000-0004-0000-0000-0000AD0B0000}"/>
    <hyperlink ref="W3460" r:id="rId2991" xr:uid="{00000000-0004-0000-0000-0000AE0B0000}"/>
    <hyperlink ref="W3461" r:id="rId2992" xr:uid="{00000000-0004-0000-0000-0000AF0B0000}"/>
    <hyperlink ref="W3462" r:id="rId2993" xr:uid="{00000000-0004-0000-0000-0000B00B0000}"/>
    <hyperlink ref="W3463" r:id="rId2994" xr:uid="{00000000-0004-0000-0000-0000B10B0000}"/>
    <hyperlink ref="H3464" r:id="rId2995" xr:uid="{00000000-0004-0000-0000-0000B20B0000}"/>
    <hyperlink ref="W3464" r:id="rId2996" xr:uid="{00000000-0004-0000-0000-0000B30B0000}"/>
    <hyperlink ref="W3465" r:id="rId2997" xr:uid="{00000000-0004-0000-0000-0000B40B0000}"/>
    <hyperlink ref="W3466" r:id="rId2998" xr:uid="{00000000-0004-0000-0000-0000B50B0000}"/>
    <hyperlink ref="W3467" r:id="rId2999" xr:uid="{00000000-0004-0000-0000-0000B60B0000}"/>
    <hyperlink ref="W3468" r:id="rId3000" xr:uid="{00000000-0004-0000-0000-0000B70B0000}"/>
    <hyperlink ref="W3469" r:id="rId3001" xr:uid="{00000000-0004-0000-0000-0000B80B0000}"/>
    <hyperlink ref="W3470" r:id="rId3002" xr:uid="{00000000-0004-0000-0000-0000B90B0000}"/>
    <hyperlink ref="W3471" r:id="rId3003" xr:uid="{00000000-0004-0000-0000-0000BA0B0000}"/>
    <hyperlink ref="W3472" r:id="rId3004" xr:uid="{00000000-0004-0000-0000-0000BB0B0000}"/>
    <hyperlink ref="W3473" r:id="rId3005" xr:uid="{00000000-0004-0000-0000-0000BC0B0000}"/>
    <hyperlink ref="W3474" r:id="rId3006" xr:uid="{00000000-0004-0000-0000-0000BD0B0000}"/>
    <hyperlink ref="W3475" r:id="rId3007" xr:uid="{00000000-0004-0000-0000-0000BE0B0000}"/>
    <hyperlink ref="W3476" r:id="rId3008" xr:uid="{00000000-0004-0000-0000-0000BF0B0000}"/>
    <hyperlink ref="W3477" r:id="rId3009" xr:uid="{00000000-0004-0000-0000-0000C00B0000}"/>
    <hyperlink ref="W3478" r:id="rId3010" xr:uid="{00000000-0004-0000-0000-0000C10B0000}"/>
    <hyperlink ref="W3479" r:id="rId3011" xr:uid="{00000000-0004-0000-0000-0000C20B0000}"/>
    <hyperlink ref="W3480" r:id="rId3012" xr:uid="{00000000-0004-0000-0000-0000C30B0000}"/>
    <hyperlink ref="W3481" r:id="rId3013" xr:uid="{00000000-0004-0000-0000-0000C40B0000}"/>
    <hyperlink ref="W3482" r:id="rId3014" xr:uid="{00000000-0004-0000-0000-0000C50B0000}"/>
    <hyperlink ref="W3483" r:id="rId3015" xr:uid="{00000000-0004-0000-0000-0000C60B0000}"/>
    <hyperlink ref="W3484" r:id="rId3016" xr:uid="{00000000-0004-0000-0000-0000C70B0000}"/>
    <hyperlink ref="W3485" r:id="rId3017" xr:uid="{00000000-0004-0000-0000-0000C80B0000}"/>
    <hyperlink ref="W3486" r:id="rId3018" xr:uid="{00000000-0004-0000-0000-0000C90B0000}"/>
    <hyperlink ref="W3487" r:id="rId3019" xr:uid="{00000000-0004-0000-0000-0000CA0B0000}"/>
    <hyperlink ref="W3488" r:id="rId3020" xr:uid="{00000000-0004-0000-0000-0000CB0B0000}"/>
    <hyperlink ref="W3489" r:id="rId3021" xr:uid="{00000000-0004-0000-0000-0000CC0B0000}"/>
    <hyperlink ref="W3490" r:id="rId3022" xr:uid="{00000000-0004-0000-0000-0000CD0B0000}"/>
    <hyperlink ref="W3491" r:id="rId3023" xr:uid="{00000000-0004-0000-0000-0000CE0B0000}"/>
    <hyperlink ref="W3492" r:id="rId3024" xr:uid="{00000000-0004-0000-0000-0000CF0B0000}"/>
    <hyperlink ref="W3493" r:id="rId3025" xr:uid="{00000000-0004-0000-0000-0000D00B0000}"/>
    <hyperlink ref="W3494" r:id="rId3026" xr:uid="{00000000-0004-0000-0000-0000D10B0000}"/>
    <hyperlink ref="W3495" r:id="rId3027" xr:uid="{00000000-0004-0000-0000-0000D20B0000}"/>
    <hyperlink ref="W3496" r:id="rId3028" xr:uid="{00000000-0004-0000-0000-0000D30B0000}"/>
    <hyperlink ref="W3497" r:id="rId3029" xr:uid="{00000000-0004-0000-0000-0000D40B0000}"/>
    <hyperlink ref="W3498" r:id="rId3030" xr:uid="{00000000-0004-0000-0000-0000D50B0000}"/>
    <hyperlink ref="W3499" r:id="rId3031" xr:uid="{00000000-0004-0000-0000-0000D60B0000}"/>
    <hyperlink ref="W3500" r:id="rId3032" xr:uid="{00000000-0004-0000-0000-0000D70B0000}"/>
    <hyperlink ref="W3501" r:id="rId3033" xr:uid="{00000000-0004-0000-0000-0000D80B0000}"/>
    <hyperlink ref="W3502" r:id="rId3034" xr:uid="{00000000-0004-0000-0000-0000D90B0000}"/>
    <hyperlink ref="W3503" r:id="rId3035" xr:uid="{00000000-0004-0000-0000-0000DA0B0000}"/>
    <hyperlink ref="W3504" r:id="rId3036" xr:uid="{00000000-0004-0000-0000-0000DB0B0000}"/>
    <hyperlink ref="W3505" r:id="rId3037" xr:uid="{00000000-0004-0000-0000-0000DC0B0000}"/>
    <hyperlink ref="W3506" r:id="rId3038" xr:uid="{00000000-0004-0000-0000-0000DD0B0000}"/>
    <hyperlink ref="W3507" r:id="rId3039" xr:uid="{00000000-0004-0000-0000-0000DE0B0000}"/>
    <hyperlink ref="W3508" r:id="rId3040" xr:uid="{00000000-0004-0000-0000-0000DF0B0000}"/>
    <hyperlink ref="W3509" r:id="rId3041" xr:uid="{00000000-0004-0000-0000-0000E00B0000}"/>
    <hyperlink ref="W3510" r:id="rId3042" xr:uid="{00000000-0004-0000-0000-0000E10B0000}"/>
    <hyperlink ref="W3511" r:id="rId3043" xr:uid="{00000000-0004-0000-0000-0000E20B0000}"/>
    <hyperlink ref="W3512" r:id="rId3044" xr:uid="{00000000-0004-0000-0000-0000E30B0000}"/>
    <hyperlink ref="W3513" r:id="rId3045" xr:uid="{00000000-0004-0000-0000-0000E40B0000}"/>
    <hyperlink ref="W3514" r:id="rId3046" xr:uid="{00000000-0004-0000-0000-0000E50B0000}"/>
    <hyperlink ref="W3515" r:id="rId3047" xr:uid="{00000000-0004-0000-0000-0000E60B0000}"/>
    <hyperlink ref="W3516" r:id="rId3048" xr:uid="{00000000-0004-0000-0000-0000E70B0000}"/>
    <hyperlink ref="W3517" r:id="rId3049" xr:uid="{00000000-0004-0000-0000-0000E80B0000}"/>
    <hyperlink ref="W3518" r:id="rId3050" xr:uid="{00000000-0004-0000-0000-0000E90B0000}"/>
    <hyperlink ref="W3519" r:id="rId3051" xr:uid="{00000000-0004-0000-0000-0000EA0B0000}"/>
    <hyperlink ref="W3520" r:id="rId3052" xr:uid="{00000000-0004-0000-0000-0000EB0B0000}"/>
    <hyperlink ref="W3521" r:id="rId3053" xr:uid="{00000000-0004-0000-0000-0000EC0B0000}"/>
    <hyperlink ref="W3522" r:id="rId3054" xr:uid="{00000000-0004-0000-0000-0000ED0B0000}"/>
    <hyperlink ref="W3523" r:id="rId3055" xr:uid="{00000000-0004-0000-0000-0000EE0B0000}"/>
    <hyperlink ref="W3524" r:id="rId3056" xr:uid="{00000000-0004-0000-0000-0000EF0B0000}"/>
    <hyperlink ref="W3525" r:id="rId3057" xr:uid="{00000000-0004-0000-0000-0000F00B0000}"/>
    <hyperlink ref="W3527" r:id="rId3058" xr:uid="{00000000-0004-0000-0000-0000F10B0000}"/>
    <hyperlink ref="W3528" r:id="rId3059" xr:uid="{00000000-0004-0000-0000-0000F20B0000}"/>
    <hyperlink ref="W3529" r:id="rId3060" xr:uid="{00000000-0004-0000-0000-0000F30B0000}"/>
    <hyperlink ref="W3530" r:id="rId3061" xr:uid="{00000000-0004-0000-0000-0000F40B0000}"/>
    <hyperlink ref="W3531" r:id="rId3062" xr:uid="{00000000-0004-0000-0000-0000F50B0000}"/>
    <hyperlink ref="W3532" r:id="rId3063" xr:uid="{00000000-0004-0000-0000-0000F60B0000}"/>
    <hyperlink ref="W3533" r:id="rId3064" xr:uid="{00000000-0004-0000-0000-0000F70B0000}"/>
    <hyperlink ref="W3536" r:id="rId3065" xr:uid="{00000000-0004-0000-0000-0000F80B0000}"/>
    <hyperlink ref="W3537" r:id="rId3066" xr:uid="{00000000-0004-0000-0000-0000F90B0000}"/>
    <hyperlink ref="W3538" r:id="rId3067" xr:uid="{00000000-0004-0000-0000-0000FA0B0000}"/>
    <hyperlink ref="W3539" r:id="rId3068" xr:uid="{00000000-0004-0000-0000-0000FB0B0000}"/>
    <hyperlink ref="W3540" r:id="rId3069" xr:uid="{00000000-0004-0000-0000-0000FC0B0000}"/>
    <hyperlink ref="W3541" r:id="rId3070" xr:uid="{00000000-0004-0000-0000-0000FD0B0000}"/>
    <hyperlink ref="W3542" r:id="rId3071" xr:uid="{00000000-0004-0000-0000-0000FE0B0000}"/>
    <hyperlink ref="W3543" r:id="rId3072" xr:uid="{00000000-0004-0000-0000-0000FF0B0000}"/>
    <hyperlink ref="W3544" r:id="rId3073" xr:uid="{00000000-0004-0000-0000-0000000C0000}"/>
    <hyperlink ref="W3545" r:id="rId3074" xr:uid="{00000000-0004-0000-0000-0000010C0000}"/>
    <hyperlink ref="W3546" r:id="rId3075" xr:uid="{00000000-0004-0000-0000-0000020C0000}"/>
    <hyperlink ref="W3547" r:id="rId3076" xr:uid="{00000000-0004-0000-0000-0000030C0000}"/>
    <hyperlink ref="W3549" r:id="rId3077" xr:uid="{00000000-0004-0000-0000-0000040C0000}"/>
    <hyperlink ref="W3551" r:id="rId3078" xr:uid="{00000000-0004-0000-0000-0000050C0000}"/>
    <hyperlink ref="W3552" r:id="rId3079" xr:uid="{00000000-0004-0000-0000-0000060C0000}"/>
    <hyperlink ref="W3553" r:id="rId3080" xr:uid="{00000000-0004-0000-0000-0000070C0000}"/>
    <hyperlink ref="W3554" r:id="rId3081" xr:uid="{00000000-0004-0000-0000-0000080C0000}"/>
    <hyperlink ref="C3555" r:id="rId3082" xr:uid="{00000000-0004-0000-0000-0000090C0000}"/>
    <hyperlink ref="W3555" r:id="rId3083" xr:uid="{00000000-0004-0000-0000-00000A0C0000}"/>
    <hyperlink ref="W3556" r:id="rId3084" xr:uid="{00000000-0004-0000-0000-00000B0C0000}"/>
    <hyperlink ref="C3557" r:id="rId3085" xr:uid="{00000000-0004-0000-0000-00000C0C0000}"/>
    <hyperlink ref="W3557" r:id="rId3086" xr:uid="{00000000-0004-0000-0000-00000D0C0000}"/>
    <hyperlink ref="W3558" r:id="rId3087" xr:uid="{00000000-0004-0000-0000-00000E0C0000}"/>
    <hyperlink ref="W3559" r:id="rId3088" xr:uid="{00000000-0004-0000-0000-00000F0C0000}"/>
    <hyperlink ref="W3560" r:id="rId3089" xr:uid="{00000000-0004-0000-0000-0000100C0000}"/>
    <hyperlink ref="W3561" r:id="rId3090" xr:uid="{00000000-0004-0000-0000-0000110C0000}"/>
    <hyperlink ref="W3562" r:id="rId3091" xr:uid="{00000000-0004-0000-0000-0000120C0000}"/>
    <hyperlink ref="W3563" r:id="rId3092" xr:uid="{00000000-0004-0000-0000-0000130C0000}"/>
    <hyperlink ref="W3564" r:id="rId3093" xr:uid="{00000000-0004-0000-0000-0000140C0000}"/>
    <hyperlink ref="W3565" r:id="rId3094" xr:uid="{00000000-0004-0000-0000-0000150C0000}"/>
    <hyperlink ref="W3566" r:id="rId3095" xr:uid="{00000000-0004-0000-0000-0000160C0000}"/>
    <hyperlink ref="W3567" r:id="rId3096" xr:uid="{00000000-0004-0000-0000-0000170C0000}"/>
    <hyperlink ref="W3569" r:id="rId3097" xr:uid="{00000000-0004-0000-0000-0000180C0000}"/>
    <hyperlink ref="W3570" r:id="rId3098" xr:uid="{00000000-0004-0000-0000-0000190C0000}"/>
    <hyperlink ref="W3571" r:id="rId3099" xr:uid="{00000000-0004-0000-0000-00001A0C0000}"/>
    <hyperlink ref="W3572" r:id="rId3100" xr:uid="{00000000-0004-0000-0000-00001B0C0000}"/>
    <hyperlink ref="W3573" r:id="rId3101" xr:uid="{00000000-0004-0000-0000-00001C0C0000}"/>
    <hyperlink ref="W3574" r:id="rId3102" xr:uid="{00000000-0004-0000-0000-00001D0C0000}"/>
    <hyperlink ref="W3575" r:id="rId3103" xr:uid="{00000000-0004-0000-0000-00001E0C0000}"/>
    <hyperlink ref="W3576" r:id="rId3104" xr:uid="{00000000-0004-0000-0000-00001F0C0000}"/>
    <hyperlink ref="W3577" r:id="rId3105" xr:uid="{00000000-0004-0000-0000-0000200C0000}"/>
    <hyperlink ref="W3578" r:id="rId3106" xr:uid="{00000000-0004-0000-0000-0000210C0000}"/>
    <hyperlink ref="W3579" r:id="rId3107" xr:uid="{00000000-0004-0000-0000-0000220C0000}"/>
    <hyperlink ref="W3580" r:id="rId3108" xr:uid="{00000000-0004-0000-0000-0000230C0000}"/>
    <hyperlink ref="W3581" r:id="rId3109" xr:uid="{00000000-0004-0000-0000-0000240C0000}"/>
    <hyperlink ref="W3582" r:id="rId3110" xr:uid="{00000000-0004-0000-0000-0000250C0000}"/>
    <hyperlink ref="W3583" r:id="rId3111" xr:uid="{00000000-0004-0000-0000-0000260C0000}"/>
    <hyperlink ref="W3584" r:id="rId3112" xr:uid="{00000000-0004-0000-0000-0000270C0000}"/>
    <hyperlink ref="W3586" r:id="rId3113" location="op_694=10&amp;op_695=100&amp;op_696=70" xr:uid="{00000000-0004-0000-0000-0000280C0000}"/>
    <hyperlink ref="W3594" r:id="rId3114" xr:uid="{00000000-0004-0000-0000-0000290C0000}"/>
    <hyperlink ref="W3595" r:id="rId3115" xr:uid="{00000000-0004-0000-0000-00002A0C0000}"/>
    <hyperlink ref="W3600" r:id="rId3116" xr:uid="{00000000-0004-0000-0000-00002B0C0000}"/>
    <hyperlink ref="W3601" r:id="rId3117" xr:uid="{00000000-0004-0000-0000-00002C0C0000}"/>
    <hyperlink ref="W3602" r:id="rId3118" xr:uid="{00000000-0004-0000-0000-00002D0C0000}"/>
    <hyperlink ref="W3603" r:id="rId3119" xr:uid="{00000000-0004-0000-0000-00002E0C0000}"/>
    <hyperlink ref="W3604" r:id="rId3120" xr:uid="{00000000-0004-0000-0000-00002F0C0000}"/>
    <hyperlink ref="W3605" r:id="rId3121" xr:uid="{00000000-0004-0000-0000-0000300C0000}"/>
    <hyperlink ref="W3606" r:id="rId3122" xr:uid="{00000000-0004-0000-0000-0000310C0000}"/>
    <hyperlink ref="W3607" r:id="rId3123" xr:uid="{00000000-0004-0000-0000-0000320C0000}"/>
    <hyperlink ref="W3608" r:id="rId3124" xr:uid="{00000000-0004-0000-0000-0000330C0000}"/>
    <hyperlink ref="W3609" r:id="rId3125" xr:uid="{00000000-0004-0000-0000-0000340C0000}"/>
    <hyperlink ref="W3610" r:id="rId3126" xr:uid="{00000000-0004-0000-0000-0000350C0000}"/>
    <hyperlink ref="W3611" r:id="rId3127" xr:uid="{00000000-0004-0000-0000-0000360C0000}"/>
    <hyperlink ref="W3612" r:id="rId3128" xr:uid="{00000000-0004-0000-0000-0000370C0000}"/>
    <hyperlink ref="W3613" r:id="rId3129" xr:uid="{00000000-0004-0000-0000-0000380C0000}"/>
    <hyperlink ref="W3614" r:id="rId3130" xr:uid="{00000000-0004-0000-0000-0000390C0000}"/>
    <hyperlink ref="W3615" r:id="rId3131" xr:uid="{00000000-0004-0000-0000-00003A0C0000}"/>
    <hyperlink ref="W3616" r:id="rId3132" xr:uid="{00000000-0004-0000-0000-00003B0C0000}"/>
    <hyperlink ref="W3617" r:id="rId3133" xr:uid="{00000000-0004-0000-0000-00003C0C0000}"/>
    <hyperlink ref="W3618" r:id="rId3134" xr:uid="{00000000-0004-0000-0000-00003D0C0000}"/>
    <hyperlink ref="W3619" r:id="rId3135" xr:uid="{00000000-0004-0000-0000-00003E0C0000}"/>
    <hyperlink ref="W3620" r:id="rId3136" xr:uid="{00000000-0004-0000-0000-00003F0C0000}"/>
    <hyperlink ref="W3621" r:id="rId3137" xr:uid="{00000000-0004-0000-0000-0000400C0000}"/>
    <hyperlink ref="W3622" r:id="rId3138" xr:uid="{00000000-0004-0000-0000-0000410C0000}"/>
    <hyperlink ref="W3623" r:id="rId3139" xr:uid="{00000000-0004-0000-0000-0000420C0000}"/>
    <hyperlink ref="W3624" r:id="rId3140" xr:uid="{00000000-0004-0000-0000-0000430C0000}"/>
    <hyperlink ref="W3625" r:id="rId3141" xr:uid="{00000000-0004-0000-0000-0000440C0000}"/>
    <hyperlink ref="W3626" r:id="rId3142" xr:uid="{00000000-0004-0000-0000-0000450C0000}"/>
    <hyperlink ref="W3627" r:id="rId3143" xr:uid="{00000000-0004-0000-0000-0000460C0000}"/>
    <hyperlink ref="W3628" r:id="rId3144" xr:uid="{00000000-0004-0000-0000-0000470C0000}"/>
    <hyperlink ref="W3629" r:id="rId3145" xr:uid="{00000000-0004-0000-0000-0000480C0000}"/>
    <hyperlink ref="W3630" r:id="rId3146" xr:uid="{00000000-0004-0000-0000-0000490C0000}"/>
    <hyperlink ref="W3631" r:id="rId3147" xr:uid="{00000000-0004-0000-0000-00004A0C0000}"/>
    <hyperlink ref="W3632" r:id="rId3148" xr:uid="{00000000-0004-0000-0000-00004B0C0000}"/>
    <hyperlink ref="W3633" r:id="rId3149" xr:uid="{00000000-0004-0000-0000-00004C0C0000}"/>
    <hyperlink ref="W3634" r:id="rId3150" xr:uid="{00000000-0004-0000-0000-00004D0C0000}"/>
    <hyperlink ref="W3635" r:id="rId3151" xr:uid="{00000000-0004-0000-0000-00004E0C0000}"/>
    <hyperlink ref="W3636" r:id="rId3152" xr:uid="{00000000-0004-0000-0000-00004F0C0000}"/>
    <hyperlink ref="W3637" r:id="rId3153" xr:uid="{00000000-0004-0000-0000-0000500C0000}"/>
    <hyperlink ref="W3638" r:id="rId3154" xr:uid="{00000000-0004-0000-0000-0000510C0000}"/>
    <hyperlink ref="W3639" r:id="rId3155" xr:uid="{00000000-0004-0000-0000-0000520C0000}"/>
    <hyperlink ref="W3640" r:id="rId3156" xr:uid="{00000000-0004-0000-0000-0000530C0000}"/>
    <hyperlink ref="W3641" r:id="rId3157" xr:uid="{00000000-0004-0000-0000-0000540C0000}"/>
    <hyperlink ref="W3642" r:id="rId3158" xr:uid="{00000000-0004-0000-0000-0000550C0000}"/>
    <hyperlink ref="W3643" r:id="rId3159" xr:uid="{00000000-0004-0000-0000-0000560C0000}"/>
    <hyperlink ref="W3644" r:id="rId3160" xr:uid="{00000000-0004-0000-0000-0000570C0000}"/>
    <hyperlink ref="W3645" r:id="rId3161" xr:uid="{00000000-0004-0000-0000-0000580C0000}"/>
    <hyperlink ref="W3646" r:id="rId3162" xr:uid="{00000000-0004-0000-0000-0000590C0000}"/>
    <hyperlink ref="W3647" r:id="rId3163" xr:uid="{00000000-0004-0000-0000-00005A0C0000}"/>
    <hyperlink ref="W3648" r:id="rId3164" xr:uid="{00000000-0004-0000-0000-00005B0C0000}"/>
    <hyperlink ref="W3649" r:id="rId3165" xr:uid="{00000000-0004-0000-0000-00005C0C0000}"/>
    <hyperlink ref="W3650" r:id="rId3166" xr:uid="{00000000-0004-0000-0000-00005D0C0000}"/>
    <hyperlink ref="W3651" r:id="rId3167" xr:uid="{00000000-0004-0000-0000-00005E0C0000}"/>
    <hyperlink ref="W3652" r:id="rId3168" xr:uid="{00000000-0004-0000-0000-00005F0C0000}"/>
    <hyperlink ref="W3653" r:id="rId3169" xr:uid="{00000000-0004-0000-0000-0000600C0000}"/>
    <hyperlink ref="W3654" r:id="rId3170" xr:uid="{00000000-0004-0000-0000-0000610C0000}"/>
    <hyperlink ref="W3655" r:id="rId3171" xr:uid="{00000000-0004-0000-0000-0000620C0000}"/>
    <hyperlink ref="W3656" r:id="rId3172" xr:uid="{00000000-0004-0000-0000-0000630C0000}"/>
    <hyperlink ref="W3657" r:id="rId3173" xr:uid="{00000000-0004-0000-0000-0000640C0000}"/>
    <hyperlink ref="W3658" r:id="rId3174" xr:uid="{00000000-0004-0000-0000-0000650C0000}"/>
    <hyperlink ref="W3659" r:id="rId3175" xr:uid="{00000000-0004-0000-0000-0000660C0000}"/>
    <hyperlink ref="W3660" r:id="rId3176" xr:uid="{00000000-0004-0000-0000-0000670C0000}"/>
    <hyperlink ref="W3661" r:id="rId3177" xr:uid="{00000000-0004-0000-0000-0000680C0000}"/>
    <hyperlink ref="W3662" r:id="rId3178" xr:uid="{00000000-0004-0000-0000-0000690C0000}"/>
    <hyperlink ref="W3663" r:id="rId3179" xr:uid="{00000000-0004-0000-0000-00006A0C0000}"/>
    <hyperlink ref="W3664" r:id="rId3180" xr:uid="{00000000-0004-0000-0000-00006B0C0000}"/>
    <hyperlink ref="W3665" r:id="rId3181" xr:uid="{00000000-0004-0000-0000-00006C0C0000}"/>
    <hyperlink ref="W3666" r:id="rId3182" xr:uid="{00000000-0004-0000-0000-00006D0C0000}"/>
    <hyperlink ref="W3667" r:id="rId3183" xr:uid="{00000000-0004-0000-0000-00006E0C0000}"/>
    <hyperlink ref="W3668" r:id="rId3184" xr:uid="{00000000-0004-0000-0000-00006F0C0000}"/>
    <hyperlink ref="W3669" r:id="rId3185" xr:uid="{00000000-0004-0000-0000-0000700C0000}"/>
    <hyperlink ref="W3670" r:id="rId3186" xr:uid="{00000000-0004-0000-0000-0000710C0000}"/>
    <hyperlink ref="W3671" r:id="rId3187" xr:uid="{00000000-0004-0000-0000-0000720C0000}"/>
    <hyperlink ref="W3672" r:id="rId3188" xr:uid="{00000000-0004-0000-0000-0000730C0000}"/>
    <hyperlink ref="W3673" r:id="rId3189" xr:uid="{00000000-0004-0000-0000-0000740C0000}"/>
    <hyperlink ref="W3674" r:id="rId3190" xr:uid="{00000000-0004-0000-0000-0000750C0000}"/>
    <hyperlink ref="W3675" r:id="rId3191" xr:uid="{00000000-0004-0000-0000-0000760C0000}"/>
    <hyperlink ref="W3676" r:id="rId3192" xr:uid="{00000000-0004-0000-0000-0000770C0000}"/>
    <hyperlink ref="W3677" r:id="rId3193" xr:uid="{00000000-0004-0000-0000-0000780C0000}"/>
    <hyperlink ref="W3678" r:id="rId3194" xr:uid="{00000000-0004-0000-0000-0000790C0000}"/>
    <hyperlink ref="W3679" r:id="rId3195" xr:uid="{00000000-0004-0000-0000-00007A0C0000}"/>
    <hyperlink ref="W3680" r:id="rId3196" xr:uid="{00000000-0004-0000-0000-00007B0C0000}"/>
    <hyperlink ref="W3681" r:id="rId3197" xr:uid="{00000000-0004-0000-0000-00007C0C0000}"/>
    <hyperlink ref="W3682" r:id="rId3198" xr:uid="{00000000-0004-0000-0000-00007D0C0000}"/>
    <hyperlink ref="W3683" r:id="rId3199" xr:uid="{00000000-0004-0000-0000-00007E0C0000}"/>
    <hyperlink ref="W3684" r:id="rId3200" xr:uid="{00000000-0004-0000-0000-00007F0C0000}"/>
    <hyperlink ref="W3687" r:id="rId3201" xr:uid="{00000000-0004-0000-0000-0000800C0000}"/>
    <hyperlink ref="W3688" r:id="rId3202" xr:uid="{00000000-0004-0000-0000-0000810C0000}"/>
    <hyperlink ref="W3689" r:id="rId3203" xr:uid="{00000000-0004-0000-0000-0000820C0000}"/>
    <hyperlink ref="W3696" r:id="rId3204" location="price_compare" xr:uid="{00000000-0004-0000-0000-0000830C0000}"/>
    <hyperlink ref="W3701" r:id="rId3205" xr:uid="{00000000-0004-0000-0000-0000840C0000}"/>
    <hyperlink ref="W3702" r:id="rId3206" xr:uid="{00000000-0004-0000-0000-0000850C0000}"/>
    <hyperlink ref="W3703" r:id="rId3207" xr:uid="{00000000-0004-0000-0000-0000860C0000}"/>
    <hyperlink ref="W3704" r:id="rId3208" xr:uid="{00000000-0004-0000-0000-0000870C0000}"/>
    <hyperlink ref="W3706" r:id="rId3209" xr:uid="{00000000-0004-0000-0000-0000880C0000}"/>
    <hyperlink ref="W3707" r:id="rId3210" xr:uid="{00000000-0004-0000-0000-0000890C0000}"/>
    <hyperlink ref="W3709" r:id="rId3211" xr:uid="{00000000-0004-0000-0000-00008A0C0000}"/>
    <hyperlink ref="W3710" r:id="rId3212" xr:uid="{00000000-0004-0000-0000-00008B0C0000}"/>
    <hyperlink ref="W3711" r:id="rId3213" xr:uid="{00000000-0004-0000-0000-00008C0C0000}"/>
    <hyperlink ref="W3712" r:id="rId3214" xr:uid="{00000000-0004-0000-0000-00008D0C0000}"/>
    <hyperlink ref="W3713" r:id="rId3215" xr:uid="{00000000-0004-0000-0000-00008E0C0000}"/>
    <hyperlink ref="W3714" r:id="rId3216" xr:uid="{00000000-0004-0000-0000-00008F0C0000}"/>
    <hyperlink ref="W3715" r:id="rId3217" xr:uid="{00000000-0004-0000-0000-0000900C0000}"/>
    <hyperlink ref="W3716" r:id="rId3218" xr:uid="{00000000-0004-0000-0000-0000910C0000}"/>
    <hyperlink ref="W3717" r:id="rId3219" xr:uid="{00000000-0004-0000-0000-0000920C0000}"/>
    <hyperlink ref="W3718" r:id="rId3220" xr:uid="{00000000-0004-0000-0000-0000930C0000}"/>
    <hyperlink ref="W3719" r:id="rId3221" xr:uid="{00000000-0004-0000-0000-0000940C0000}"/>
    <hyperlink ref="W3720" r:id="rId3222" xr:uid="{00000000-0004-0000-0000-0000950C0000}"/>
    <hyperlink ref="W3721" r:id="rId3223" xr:uid="{00000000-0004-0000-0000-0000960C0000}"/>
    <hyperlink ref="W3722" r:id="rId3224" xr:uid="{00000000-0004-0000-0000-0000970C0000}"/>
    <hyperlink ref="W3724" r:id="rId3225" xr:uid="{00000000-0004-0000-0000-0000980C0000}"/>
    <hyperlink ref="W3725" r:id="rId3226" xr:uid="{00000000-0004-0000-0000-0000990C0000}"/>
    <hyperlink ref="W3726" r:id="rId3227" xr:uid="{00000000-0004-0000-0000-00009A0C0000}"/>
    <hyperlink ref="W3727" r:id="rId3228" xr:uid="{00000000-0004-0000-0000-00009B0C0000}"/>
    <hyperlink ref="W3728" r:id="rId3229" xr:uid="{00000000-0004-0000-0000-00009C0C0000}"/>
    <hyperlink ref="W3729" r:id="rId3230" xr:uid="{00000000-0004-0000-0000-00009D0C0000}"/>
    <hyperlink ref="W3730" r:id="rId3231" xr:uid="{00000000-0004-0000-0000-00009E0C0000}"/>
    <hyperlink ref="W3732" r:id="rId3232" xr:uid="{00000000-0004-0000-0000-00009F0C0000}"/>
    <hyperlink ref="W3733" r:id="rId3233" xr:uid="{00000000-0004-0000-0000-0000A00C0000}"/>
    <hyperlink ref="W3734" r:id="rId3234" xr:uid="{00000000-0004-0000-0000-0000A10C0000}"/>
    <hyperlink ref="W3737" r:id="rId3235" xr:uid="{00000000-0004-0000-0000-0000A20C0000}"/>
    <hyperlink ref="W3739" r:id="rId3236" xr:uid="{00000000-0004-0000-0000-0000A30C0000}"/>
    <hyperlink ref="W3748" r:id="rId3237" xr:uid="{00000000-0004-0000-0000-0000A40C0000}"/>
    <hyperlink ref="W3749" r:id="rId3238" xr:uid="{00000000-0004-0000-0000-0000A50C0000}"/>
    <hyperlink ref="W3751" r:id="rId3239" xr:uid="{00000000-0004-0000-0000-0000A60C0000}"/>
    <hyperlink ref="W3752" r:id="rId3240" xr:uid="{00000000-0004-0000-0000-0000A70C0000}"/>
    <hyperlink ref="W3753" r:id="rId3241" xr:uid="{00000000-0004-0000-0000-0000A80C0000}"/>
    <hyperlink ref="W3754" r:id="rId3242" xr:uid="{00000000-0004-0000-0000-0000A90C0000}"/>
    <hyperlink ref="W3755" r:id="rId3243" xr:uid="{00000000-0004-0000-0000-0000AA0C0000}"/>
    <hyperlink ref="W3756" r:id="rId3244" xr:uid="{00000000-0004-0000-0000-0000AB0C0000}"/>
    <hyperlink ref="W3757" r:id="rId3245" xr:uid="{00000000-0004-0000-0000-0000AC0C0000}"/>
    <hyperlink ref="W3758" r:id="rId3246" xr:uid="{00000000-0004-0000-0000-0000AD0C0000}"/>
    <hyperlink ref="W3759" r:id="rId3247" xr:uid="{00000000-0004-0000-0000-0000AE0C0000}"/>
    <hyperlink ref="W3760" r:id="rId3248" xr:uid="{00000000-0004-0000-0000-0000AF0C0000}"/>
    <hyperlink ref="W3761" r:id="rId3249" xr:uid="{00000000-0004-0000-0000-0000B00C0000}"/>
    <hyperlink ref="W3762" r:id="rId3250" xr:uid="{00000000-0004-0000-0000-0000B10C0000}"/>
    <hyperlink ref="W3763" r:id="rId3251" xr:uid="{00000000-0004-0000-0000-0000B20C0000}"/>
    <hyperlink ref="G3764" r:id="rId3252" xr:uid="{00000000-0004-0000-0000-0000B30C0000}"/>
    <hyperlink ref="W3764" r:id="rId3253" xr:uid="{00000000-0004-0000-0000-0000B40C0000}"/>
    <hyperlink ref="W3765" r:id="rId3254" xr:uid="{00000000-0004-0000-0000-0000B50C0000}"/>
    <hyperlink ref="W3766" r:id="rId3255" xr:uid="{00000000-0004-0000-0000-0000B60C0000}"/>
    <hyperlink ref="W3767" r:id="rId3256" xr:uid="{00000000-0004-0000-0000-0000B70C0000}"/>
    <hyperlink ref="W3768" r:id="rId3257" xr:uid="{00000000-0004-0000-0000-0000B80C0000}"/>
    <hyperlink ref="W3769" r:id="rId3258" xr:uid="{00000000-0004-0000-0000-0000B90C0000}"/>
    <hyperlink ref="W3770" r:id="rId3259" xr:uid="{00000000-0004-0000-0000-0000BA0C0000}"/>
    <hyperlink ref="W3771" r:id="rId3260" xr:uid="{00000000-0004-0000-0000-0000BB0C0000}"/>
    <hyperlink ref="W3772" r:id="rId3261" xr:uid="{00000000-0004-0000-0000-0000BC0C0000}"/>
    <hyperlink ref="W3773" r:id="rId3262" xr:uid="{00000000-0004-0000-0000-0000BD0C0000}"/>
    <hyperlink ref="W3774" r:id="rId3263" xr:uid="{00000000-0004-0000-0000-0000BE0C0000}"/>
    <hyperlink ref="W3775" r:id="rId3264" xr:uid="{00000000-0004-0000-0000-0000BF0C0000}"/>
    <hyperlink ref="W3776" r:id="rId3265" xr:uid="{00000000-0004-0000-0000-0000C00C0000}"/>
    <hyperlink ref="W3777" r:id="rId3266" xr:uid="{00000000-0004-0000-0000-0000C10C0000}"/>
    <hyperlink ref="W3778" r:id="rId3267" xr:uid="{00000000-0004-0000-0000-0000C20C0000}"/>
    <hyperlink ref="W3779" r:id="rId3268" xr:uid="{00000000-0004-0000-0000-0000C30C0000}"/>
    <hyperlink ref="W3780" r:id="rId3269" xr:uid="{00000000-0004-0000-0000-0000C40C0000}"/>
    <hyperlink ref="W3781" r:id="rId3270" xr:uid="{00000000-0004-0000-0000-0000C50C0000}"/>
    <hyperlink ref="W3782" r:id="rId3271" xr:uid="{00000000-0004-0000-0000-0000C60C0000}"/>
    <hyperlink ref="W3783" r:id="rId3272" xr:uid="{00000000-0004-0000-0000-0000C70C0000}"/>
    <hyperlink ref="W3784" r:id="rId3273" xr:uid="{00000000-0004-0000-0000-0000C80C0000}"/>
    <hyperlink ref="W3785" r:id="rId3274" xr:uid="{00000000-0004-0000-0000-0000C90C0000}"/>
    <hyperlink ref="W3786" r:id="rId3275" xr:uid="{00000000-0004-0000-0000-0000CA0C0000}"/>
    <hyperlink ref="W3787" r:id="rId3276" xr:uid="{00000000-0004-0000-0000-0000CB0C0000}"/>
    <hyperlink ref="W3788" r:id="rId3277" xr:uid="{00000000-0004-0000-0000-0000CC0C0000}"/>
    <hyperlink ref="W3789" r:id="rId3278" xr:uid="{00000000-0004-0000-0000-0000CD0C0000}"/>
    <hyperlink ref="W3790" r:id="rId3279" xr:uid="{00000000-0004-0000-0000-0000CE0C0000}"/>
    <hyperlink ref="W3791" r:id="rId3280" xr:uid="{00000000-0004-0000-0000-0000CF0C0000}"/>
    <hyperlink ref="H3792" r:id="rId3281" xr:uid="{00000000-0004-0000-0000-0000D00C0000}"/>
    <hyperlink ref="W3792" r:id="rId3282" xr:uid="{00000000-0004-0000-0000-0000D10C0000}"/>
    <hyperlink ref="W3793" r:id="rId3283" xr:uid="{00000000-0004-0000-0000-0000D20C0000}"/>
    <hyperlink ref="W3794" r:id="rId3284" xr:uid="{00000000-0004-0000-0000-0000D30C0000}"/>
    <hyperlink ref="W3795" r:id="rId3285" xr:uid="{00000000-0004-0000-0000-0000D40C0000}"/>
    <hyperlink ref="W3796" r:id="rId3286" xr:uid="{00000000-0004-0000-0000-0000D50C0000}"/>
    <hyperlink ref="W3797" r:id="rId3287" xr:uid="{00000000-0004-0000-0000-0000D60C0000}"/>
    <hyperlink ref="W3798" r:id="rId3288" xr:uid="{00000000-0004-0000-0000-0000D70C0000}"/>
    <hyperlink ref="W3799" r:id="rId3289" xr:uid="{00000000-0004-0000-0000-0000D80C0000}"/>
    <hyperlink ref="W3800" r:id="rId3290" xr:uid="{00000000-0004-0000-0000-0000D90C0000}"/>
    <hyperlink ref="W3801" r:id="rId3291" xr:uid="{00000000-0004-0000-0000-0000DA0C0000}"/>
    <hyperlink ref="W3802" r:id="rId3292" xr:uid="{00000000-0004-0000-0000-0000DB0C0000}"/>
    <hyperlink ref="W3803" r:id="rId3293" xr:uid="{00000000-0004-0000-0000-0000DC0C0000}"/>
    <hyperlink ref="W3804" r:id="rId3294" xr:uid="{00000000-0004-0000-0000-0000DD0C0000}"/>
    <hyperlink ref="W3805" r:id="rId3295" xr:uid="{00000000-0004-0000-0000-0000DE0C0000}"/>
    <hyperlink ref="W3806" r:id="rId3296" xr:uid="{00000000-0004-0000-0000-0000DF0C0000}"/>
    <hyperlink ref="W3807" r:id="rId3297" xr:uid="{00000000-0004-0000-0000-0000E00C0000}"/>
    <hyperlink ref="W3808" r:id="rId3298" xr:uid="{00000000-0004-0000-0000-0000E10C0000}"/>
    <hyperlink ref="W3810" r:id="rId3299" xr:uid="{00000000-0004-0000-0000-0000E20C0000}"/>
    <hyperlink ref="W3811" r:id="rId3300" xr:uid="{00000000-0004-0000-0000-0000E30C0000}"/>
    <hyperlink ref="W3812" r:id="rId3301" xr:uid="{00000000-0004-0000-0000-0000E40C0000}"/>
    <hyperlink ref="W3813" r:id="rId3302" xr:uid="{00000000-0004-0000-0000-0000E50C0000}"/>
    <hyperlink ref="W3814" r:id="rId3303" xr:uid="{00000000-0004-0000-0000-0000E60C0000}"/>
    <hyperlink ref="W3815" r:id="rId3304" xr:uid="{00000000-0004-0000-0000-0000E70C0000}"/>
    <hyperlink ref="W3816" r:id="rId3305" xr:uid="{00000000-0004-0000-0000-0000E80C0000}"/>
    <hyperlink ref="W3817" r:id="rId3306" xr:uid="{00000000-0004-0000-0000-0000E90C0000}"/>
    <hyperlink ref="W3818" r:id="rId3307" xr:uid="{00000000-0004-0000-0000-0000EA0C0000}"/>
    <hyperlink ref="W3819" r:id="rId3308" xr:uid="{00000000-0004-0000-0000-0000EB0C0000}"/>
    <hyperlink ref="W3820" r:id="rId3309" xr:uid="{00000000-0004-0000-0000-0000EC0C0000}"/>
    <hyperlink ref="W3821" r:id="rId3310" xr:uid="{00000000-0004-0000-0000-0000ED0C0000}"/>
    <hyperlink ref="W3822" r:id="rId3311" xr:uid="{00000000-0004-0000-0000-0000EE0C0000}"/>
    <hyperlink ref="W3823" r:id="rId3312" xr:uid="{00000000-0004-0000-0000-0000EF0C0000}"/>
    <hyperlink ref="H3824" r:id="rId3313" xr:uid="{00000000-0004-0000-0000-0000F00C0000}"/>
    <hyperlink ref="W3824" r:id="rId3314" xr:uid="{00000000-0004-0000-0000-0000F10C0000}"/>
    <hyperlink ref="W3834" r:id="rId3315" location="HLCXComparisonWidget_feature_div" xr:uid="{00000000-0004-0000-0000-0000F20C0000}"/>
    <hyperlink ref="W3835" r:id="rId3316" location="descriptionAndDetails" xr:uid="{00000000-0004-0000-0000-0000F30C0000}"/>
    <hyperlink ref="W3836" r:id="rId3317" xr:uid="{00000000-0004-0000-0000-0000F40C0000}"/>
    <hyperlink ref="W3837" r:id="rId3318" xr:uid="{00000000-0004-0000-0000-0000F50C0000}"/>
    <hyperlink ref="W3838" r:id="rId3319" xr:uid="{00000000-0004-0000-0000-0000F60C0000}"/>
    <hyperlink ref="W3839" r:id="rId3320" xr:uid="{00000000-0004-0000-0000-0000F70C0000}"/>
    <hyperlink ref="W3840" r:id="rId3321" xr:uid="{00000000-0004-0000-0000-0000F80C0000}"/>
    <hyperlink ref="W3841" r:id="rId3322" xr:uid="{00000000-0004-0000-0000-0000F90C0000}"/>
    <hyperlink ref="W3842" r:id="rId3323" xr:uid="{00000000-0004-0000-0000-0000FA0C0000}"/>
    <hyperlink ref="W3843" r:id="rId3324" xr:uid="{00000000-0004-0000-0000-0000FB0C0000}"/>
    <hyperlink ref="W3844" r:id="rId3325" xr:uid="{00000000-0004-0000-0000-0000FC0C0000}"/>
    <hyperlink ref="W3845" r:id="rId3326" xr:uid="{00000000-0004-0000-0000-0000FD0C0000}"/>
    <hyperlink ref="W3846" r:id="rId3327" xr:uid="{00000000-0004-0000-0000-0000FE0C0000}"/>
    <hyperlink ref="W3847" r:id="rId3328" xr:uid="{00000000-0004-0000-0000-0000FF0C0000}"/>
    <hyperlink ref="W3848" r:id="rId3329" xr:uid="{00000000-0004-0000-0000-0000000D0000}"/>
    <hyperlink ref="W3850" r:id="rId3330" xr:uid="{00000000-0004-0000-0000-0000010D0000}"/>
    <hyperlink ref="W3851" r:id="rId3331" xr:uid="{00000000-0004-0000-0000-0000020D0000}"/>
    <hyperlink ref="W3852" r:id="rId3332" xr:uid="{00000000-0004-0000-0000-0000030D0000}"/>
    <hyperlink ref="W3853" r:id="rId3333" xr:uid="{00000000-0004-0000-0000-0000040D0000}"/>
    <hyperlink ref="W3854" r:id="rId3334" xr:uid="{00000000-0004-0000-0000-0000050D0000}"/>
    <hyperlink ref="W3855" r:id="rId3335" xr:uid="{00000000-0004-0000-0000-0000060D0000}"/>
    <hyperlink ref="W3856" r:id="rId3336" xr:uid="{00000000-0004-0000-0000-0000070D0000}"/>
    <hyperlink ref="W3857" r:id="rId3337" xr:uid="{00000000-0004-0000-0000-0000080D0000}"/>
    <hyperlink ref="W3858" r:id="rId3338" xr:uid="{00000000-0004-0000-0000-0000090D0000}"/>
    <hyperlink ref="W3859" r:id="rId3339" xr:uid="{00000000-0004-0000-0000-00000A0D0000}"/>
    <hyperlink ref="W3860" r:id="rId3340" xr:uid="{00000000-0004-0000-0000-00000B0D0000}"/>
    <hyperlink ref="W3861" r:id="rId3341" xr:uid="{00000000-0004-0000-0000-00000C0D0000}"/>
    <hyperlink ref="W3862" r:id="rId3342" xr:uid="{00000000-0004-0000-0000-00000D0D0000}"/>
    <hyperlink ref="W3863" r:id="rId3343" xr:uid="{00000000-0004-0000-0000-00000E0D0000}"/>
    <hyperlink ref="W3864" r:id="rId3344" xr:uid="{00000000-0004-0000-0000-00000F0D0000}"/>
    <hyperlink ref="W3865" r:id="rId3345" xr:uid="{00000000-0004-0000-0000-0000100D0000}"/>
    <hyperlink ref="W3866" r:id="rId3346" xr:uid="{00000000-0004-0000-0000-0000110D0000}"/>
    <hyperlink ref="W3867" r:id="rId3347" xr:uid="{00000000-0004-0000-0000-0000120D0000}"/>
    <hyperlink ref="W3868" r:id="rId3348" xr:uid="{00000000-0004-0000-0000-0000130D0000}"/>
    <hyperlink ref="W3869" r:id="rId3349" xr:uid="{00000000-0004-0000-0000-0000140D0000}"/>
    <hyperlink ref="W3870" r:id="rId3350" xr:uid="{00000000-0004-0000-0000-0000150D0000}"/>
    <hyperlink ref="W3871" r:id="rId3351" xr:uid="{00000000-0004-0000-0000-0000160D0000}"/>
    <hyperlink ref="W3872" r:id="rId3352" xr:uid="{00000000-0004-0000-0000-0000170D0000}"/>
    <hyperlink ref="W3873" r:id="rId3353" xr:uid="{00000000-0004-0000-0000-0000180D0000}"/>
    <hyperlink ref="W3874" r:id="rId3354" xr:uid="{00000000-0004-0000-0000-0000190D0000}"/>
    <hyperlink ref="W3875" r:id="rId3355" xr:uid="{00000000-0004-0000-0000-00001A0D0000}"/>
    <hyperlink ref="W3876" r:id="rId3356" xr:uid="{00000000-0004-0000-0000-00001B0D0000}"/>
    <hyperlink ref="W3877" r:id="rId3357" xr:uid="{00000000-0004-0000-0000-00001C0D0000}"/>
    <hyperlink ref="W3878" r:id="rId3358" xr:uid="{00000000-0004-0000-0000-00001D0D0000}"/>
    <hyperlink ref="W3879" r:id="rId3359" xr:uid="{00000000-0004-0000-0000-00001E0D0000}"/>
    <hyperlink ref="W3880" r:id="rId3360" xr:uid="{00000000-0004-0000-0000-00001F0D0000}"/>
    <hyperlink ref="W3881" r:id="rId3361" xr:uid="{00000000-0004-0000-0000-0000200D0000}"/>
    <hyperlink ref="W3882" r:id="rId3362" xr:uid="{00000000-0004-0000-0000-0000210D0000}"/>
    <hyperlink ref="W3883" r:id="rId3363" xr:uid="{00000000-0004-0000-0000-0000220D0000}"/>
    <hyperlink ref="W3884" r:id="rId3364" xr:uid="{00000000-0004-0000-0000-0000230D0000}"/>
    <hyperlink ref="W3885" r:id="rId3365" xr:uid="{00000000-0004-0000-0000-0000240D0000}"/>
    <hyperlink ref="W3886" r:id="rId3366" xr:uid="{00000000-0004-0000-0000-0000250D0000}"/>
    <hyperlink ref="W3887" r:id="rId3367" xr:uid="{00000000-0004-0000-0000-0000260D0000}"/>
    <hyperlink ref="W3888" r:id="rId3368" xr:uid="{00000000-0004-0000-0000-0000270D0000}"/>
    <hyperlink ref="W3889" r:id="rId3369" xr:uid="{00000000-0004-0000-0000-0000280D0000}"/>
    <hyperlink ref="W3890" r:id="rId3370" xr:uid="{00000000-0004-0000-0000-0000290D0000}"/>
    <hyperlink ref="W3891" r:id="rId3371" xr:uid="{00000000-0004-0000-0000-00002A0D0000}"/>
    <hyperlink ref="W3892" r:id="rId3372" xr:uid="{00000000-0004-0000-0000-00002B0D0000}"/>
    <hyperlink ref="W3893" r:id="rId3373" xr:uid="{00000000-0004-0000-0000-00002C0D0000}"/>
    <hyperlink ref="W3894" r:id="rId3374" xr:uid="{00000000-0004-0000-0000-00002D0D0000}"/>
    <hyperlink ref="W3895" r:id="rId3375" xr:uid="{00000000-0004-0000-0000-00002E0D0000}"/>
    <hyperlink ref="W3896" r:id="rId3376" xr:uid="{00000000-0004-0000-0000-00002F0D0000}"/>
    <hyperlink ref="W3897" r:id="rId3377" xr:uid="{00000000-0004-0000-0000-0000300D0000}"/>
    <hyperlink ref="W3898" r:id="rId3378" xr:uid="{00000000-0004-0000-0000-0000310D0000}"/>
    <hyperlink ref="W3899" r:id="rId3379" xr:uid="{00000000-0004-0000-0000-0000320D0000}"/>
    <hyperlink ref="W3900" r:id="rId3380" xr:uid="{00000000-0004-0000-0000-0000330D0000}"/>
    <hyperlink ref="W3901" r:id="rId3381" xr:uid="{00000000-0004-0000-0000-0000340D0000}"/>
    <hyperlink ref="W3902" r:id="rId3382" xr:uid="{00000000-0004-0000-0000-0000350D0000}"/>
    <hyperlink ref="W3903" r:id="rId3383" xr:uid="{00000000-0004-0000-0000-0000360D0000}"/>
    <hyperlink ref="W3904" r:id="rId3384" xr:uid="{00000000-0004-0000-0000-0000370D0000}"/>
    <hyperlink ref="W3905" r:id="rId3385" xr:uid="{00000000-0004-0000-0000-0000380D0000}"/>
    <hyperlink ref="W3906" r:id="rId3386" xr:uid="{00000000-0004-0000-0000-0000390D0000}"/>
    <hyperlink ref="W3907" r:id="rId3387" xr:uid="{00000000-0004-0000-0000-00003A0D0000}"/>
    <hyperlink ref="W3908" r:id="rId3388" xr:uid="{00000000-0004-0000-0000-00003B0D0000}"/>
    <hyperlink ref="W3909" r:id="rId3389" xr:uid="{00000000-0004-0000-0000-00003C0D0000}"/>
    <hyperlink ref="W3910" r:id="rId3390" xr:uid="{00000000-0004-0000-0000-00003D0D0000}"/>
    <hyperlink ref="W3911" r:id="rId3391" xr:uid="{00000000-0004-0000-0000-00003E0D0000}"/>
    <hyperlink ref="W3912" r:id="rId3392" xr:uid="{00000000-0004-0000-0000-00003F0D0000}"/>
    <hyperlink ref="W3913" r:id="rId3393" xr:uid="{00000000-0004-0000-0000-0000400D0000}"/>
    <hyperlink ref="W3914" r:id="rId3394" xr:uid="{00000000-0004-0000-0000-0000410D0000}"/>
    <hyperlink ref="W3915" r:id="rId3395" display="https://www.monotaro.com/p/8922/9856/?utm_id=g_pla&amp;utm_medium=cpc&amp;utm_source=Adwords&amp;utm_campaign=246-833-4061_6466659573&amp;utm_content=77481174476&amp;utm_term=_380604181365__aud-299700299220:pla-799401265600&amp;gclid=Cj0KCQjwsqmEBhDiARIsANV8H3aevSRt5QJCsvrOnAc-qf73u39wrx-vYz0CEAGAGWugI8evLRrstN4aAqsTEALw_wcB" xr:uid="{00000000-0004-0000-0000-0000420D0000}"/>
    <hyperlink ref="W3916" r:id="rId3396" xr:uid="{00000000-0004-0000-0000-0000430D0000}"/>
    <hyperlink ref="W3917" r:id="rId3397" xr:uid="{00000000-0004-0000-0000-0000440D0000}"/>
    <hyperlink ref="W3918" r:id="rId3398" xr:uid="{00000000-0004-0000-0000-0000450D0000}"/>
    <hyperlink ref="W3919" r:id="rId3399" xr:uid="{00000000-0004-0000-0000-0000460D0000}"/>
    <hyperlink ref="W3920" r:id="rId3400" xr:uid="{00000000-0004-0000-0000-0000470D0000}"/>
    <hyperlink ref="W3922" r:id="rId3401" xr:uid="{00000000-0004-0000-0000-0000480D0000}"/>
    <hyperlink ref="W3931" r:id="rId3402" xr:uid="{00000000-0004-0000-0000-0000490D0000}"/>
    <hyperlink ref="W3932" r:id="rId3403" xr:uid="{00000000-0004-0000-0000-00004A0D0000}"/>
    <hyperlink ref="W3933" r:id="rId3404" xr:uid="{00000000-0004-0000-0000-00004B0D0000}"/>
    <hyperlink ref="W3934" r:id="rId3405" xr:uid="{00000000-0004-0000-0000-00004C0D0000}"/>
    <hyperlink ref="W3935" r:id="rId3406" xr:uid="{00000000-0004-0000-0000-00004D0D0000}"/>
    <hyperlink ref="W3936" r:id="rId3407" xr:uid="{00000000-0004-0000-0000-00004E0D0000}"/>
    <hyperlink ref="W3937" r:id="rId3408" xr:uid="{00000000-0004-0000-0000-00004F0D0000}"/>
    <hyperlink ref="W3938" r:id="rId3409" xr:uid="{00000000-0004-0000-0000-0000500D0000}"/>
    <hyperlink ref="W3939" r:id="rId3410" xr:uid="{00000000-0004-0000-0000-0000510D0000}"/>
    <hyperlink ref="W3940" r:id="rId3411" xr:uid="{00000000-0004-0000-0000-0000520D0000}"/>
    <hyperlink ref="W3941" r:id="rId3412" xr:uid="{00000000-0004-0000-0000-0000530D0000}"/>
    <hyperlink ref="W3942" r:id="rId3413" xr:uid="{00000000-0004-0000-0000-0000540D0000}"/>
    <hyperlink ref="W3943" r:id="rId3414" xr:uid="{00000000-0004-0000-0000-0000550D0000}"/>
    <hyperlink ref="W3944" r:id="rId3415" xr:uid="{00000000-0004-0000-0000-0000560D0000}"/>
    <hyperlink ref="W3945" r:id="rId3416" xr:uid="{00000000-0004-0000-0000-0000570D0000}"/>
    <hyperlink ref="W3946" r:id="rId3417" xr:uid="{00000000-0004-0000-0000-0000580D0000}"/>
    <hyperlink ref="W3947" r:id="rId3418" xr:uid="{00000000-0004-0000-0000-0000590D0000}"/>
    <hyperlink ref="W3948" r:id="rId3419" xr:uid="{00000000-0004-0000-0000-00005A0D0000}"/>
    <hyperlink ref="W3954" r:id="rId3420" xr:uid="{00000000-0004-0000-0000-00005B0D0000}"/>
    <hyperlink ref="W3955" r:id="rId3421" xr:uid="{00000000-0004-0000-0000-00005C0D0000}"/>
    <hyperlink ref="W3956" r:id="rId3422" xr:uid="{00000000-0004-0000-0000-00005D0D0000}"/>
    <hyperlink ref="W3957" r:id="rId3423" xr:uid="{00000000-0004-0000-0000-00005E0D0000}"/>
    <hyperlink ref="W3958" r:id="rId3424" xr:uid="{00000000-0004-0000-0000-00005F0D0000}"/>
    <hyperlink ref="W3959" r:id="rId3425" xr:uid="{00000000-0004-0000-0000-0000600D0000}"/>
    <hyperlink ref="W3964" r:id="rId3426" xr:uid="{00000000-0004-0000-0000-0000610D0000}"/>
    <hyperlink ref="W3965" r:id="rId3427" xr:uid="{00000000-0004-0000-0000-0000620D0000}"/>
    <hyperlink ref="W3966" r:id="rId3428" xr:uid="{00000000-0004-0000-0000-0000630D0000}"/>
    <hyperlink ref="W3967" r:id="rId3429" xr:uid="{00000000-0004-0000-0000-0000640D0000}"/>
    <hyperlink ref="W3968" r:id="rId3430" xr:uid="{00000000-0004-0000-0000-0000650D0000}"/>
    <hyperlink ref="W3969" r:id="rId3431" xr:uid="{00000000-0004-0000-0000-0000660D0000}"/>
    <hyperlink ref="W3970" r:id="rId3432" xr:uid="{00000000-0004-0000-0000-0000670D0000}"/>
    <hyperlink ref="W3971" r:id="rId3433" xr:uid="{00000000-0004-0000-0000-0000680D0000}"/>
    <hyperlink ref="W3972" r:id="rId3434" xr:uid="{00000000-0004-0000-0000-0000690D0000}"/>
    <hyperlink ref="W3973" r:id="rId3435" xr:uid="{00000000-0004-0000-0000-00006A0D0000}"/>
    <hyperlink ref="W3974" r:id="rId3436" xr:uid="{00000000-0004-0000-0000-00006B0D0000}"/>
    <hyperlink ref="W3975" r:id="rId3437" xr:uid="{00000000-0004-0000-0000-00006C0D0000}"/>
    <hyperlink ref="W3976" r:id="rId3438" xr:uid="{00000000-0004-0000-0000-00006D0D0000}"/>
    <hyperlink ref="W3977" r:id="rId3439" xr:uid="{00000000-0004-0000-0000-00006E0D0000}"/>
    <hyperlink ref="W3978" r:id="rId3440" xr:uid="{00000000-0004-0000-0000-00006F0D0000}"/>
    <hyperlink ref="W3980" r:id="rId3441" xr:uid="{00000000-0004-0000-0000-0000700D0000}"/>
    <hyperlink ref="W3982" r:id="rId3442" xr:uid="{00000000-0004-0000-0000-0000710D0000}"/>
    <hyperlink ref="W3983" r:id="rId3443" xr:uid="{00000000-0004-0000-0000-0000720D0000}"/>
    <hyperlink ref="W3984" r:id="rId3444" xr:uid="{00000000-0004-0000-0000-0000730D0000}"/>
    <hyperlink ref="W3985" r:id="rId3445" xr:uid="{00000000-0004-0000-0000-0000740D0000}"/>
    <hyperlink ref="W3986" r:id="rId3446" xr:uid="{00000000-0004-0000-0000-0000750D0000}"/>
    <hyperlink ref="W3987" r:id="rId3447" xr:uid="{00000000-0004-0000-0000-0000760D0000}"/>
    <hyperlink ref="W3988" r:id="rId3448" xr:uid="{00000000-0004-0000-0000-0000770D0000}"/>
    <hyperlink ref="W3989" r:id="rId3449" xr:uid="{00000000-0004-0000-0000-0000780D0000}"/>
    <hyperlink ref="W3990" r:id="rId3450" xr:uid="{00000000-0004-0000-0000-0000790D0000}"/>
    <hyperlink ref="W3991" r:id="rId3451" xr:uid="{00000000-0004-0000-0000-00007A0D0000}"/>
    <hyperlink ref="W3992" r:id="rId3452" xr:uid="{00000000-0004-0000-0000-00007B0D0000}"/>
    <hyperlink ref="W3993" r:id="rId3453" xr:uid="{00000000-0004-0000-0000-00007C0D0000}"/>
    <hyperlink ref="W3994" r:id="rId3454" xr:uid="{00000000-0004-0000-0000-00007D0D0000}"/>
    <hyperlink ref="W3995" r:id="rId3455" xr:uid="{00000000-0004-0000-0000-00007E0D0000}"/>
    <hyperlink ref="W3996" r:id="rId3456" xr:uid="{00000000-0004-0000-0000-00007F0D0000}"/>
    <hyperlink ref="W3997" r:id="rId3457" xr:uid="{00000000-0004-0000-0000-0000800D0000}"/>
    <hyperlink ref="W3998" r:id="rId3458" xr:uid="{00000000-0004-0000-0000-0000810D0000}"/>
    <hyperlink ref="W3999" r:id="rId3459" xr:uid="{00000000-0004-0000-0000-0000820D0000}"/>
    <hyperlink ref="W4000" r:id="rId3460" xr:uid="{00000000-0004-0000-0000-0000830D0000}"/>
    <hyperlink ref="W4001" r:id="rId3461" xr:uid="{00000000-0004-0000-0000-0000840D0000}"/>
    <hyperlink ref="W4002" r:id="rId3462" xr:uid="{00000000-0004-0000-0000-0000850D0000}"/>
    <hyperlink ref="W4003" r:id="rId3463" xr:uid="{00000000-0004-0000-0000-0000860D0000}"/>
    <hyperlink ref="W4004" r:id="rId3464" xr:uid="{00000000-0004-0000-0000-0000870D0000}"/>
    <hyperlink ref="W4005" r:id="rId3465" xr:uid="{00000000-0004-0000-0000-0000880D0000}"/>
    <hyperlink ref="W4006" r:id="rId3466" xr:uid="{00000000-0004-0000-0000-0000890D0000}"/>
    <hyperlink ref="W4007" r:id="rId3467" xr:uid="{00000000-0004-0000-0000-00008A0D0000}"/>
    <hyperlink ref="W4008" r:id="rId3468" xr:uid="{00000000-0004-0000-0000-00008B0D0000}"/>
    <hyperlink ref="W4009" r:id="rId3469" xr:uid="{00000000-0004-0000-0000-00008C0D0000}"/>
    <hyperlink ref="W4011" r:id="rId3470" xr:uid="{00000000-0004-0000-0000-00008D0D0000}"/>
    <hyperlink ref="W4012" r:id="rId3471" xr:uid="{00000000-0004-0000-0000-00008E0D0000}"/>
    <hyperlink ref="W4013" r:id="rId3472" xr:uid="{00000000-0004-0000-0000-00008F0D0000}"/>
    <hyperlink ref="W4014" r:id="rId3473" xr:uid="{00000000-0004-0000-0000-0000900D0000}"/>
    <hyperlink ref="W4015" r:id="rId3474" xr:uid="{00000000-0004-0000-0000-0000910D0000}"/>
    <hyperlink ref="W4016" r:id="rId3475" xr:uid="{00000000-0004-0000-0000-0000920D0000}"/>
    <hyperlink ref="W4017" r:id="rId3476" xr:uid="{00000000-0004-0000-0000-0000930D0000}"/>
    <hyperlink ref="W4018" r:id="rId3477" xr:uid="{00000000-0004-0000-0000-0000940D0000}"/>
    <hyperlink ref="W4019" r:id="rId3478" xr:uid="{00000000-0004-0000-0000-0000950D0000}"/>
    <hyperlink ref="W4020" r:id="rId3479" xr:uid="{00000000-0004-0000-0000-0000960D0000}"/>
    <hyperlink ref="W4021" r:id="rId3480" xr:uid="{00000000-0004-0000-0000-0000970D0000}"/>
    <hyperlink ref="W4022" r:id="rId3481" xr:uid="{00000000-0004-0000-0000-0000980D0000}"/>
    <hyperlink ref="W4023" r:id="rId3482" xr:uid="{00000000-0004-0000-0000-0000990D0000}"/>
    <hyperlink ref="W4024" r:id="rId3483" xr:uid="{00000000-0004-0000-0000-00009A0D0000}"/>
    <hyperlink ref="W4025" r:id="rId3484" xr:uid="{00000000-0004-0000-0000-00009B0D0000}"/>
    <hyperlink ref="W4026" r:id="rId3485" xr:uid="{00000000-0004-0000-0000-00009C0D0000}"/>
    <hyperlink ref="W4027" r:id="rId3486" xr:uid="{00000000-0004-0000-0000-00009D0D0000}"/>
    <hyperlink ref="W4028" r:id="rId3487" xr:uid="{00000000-0004-0000-0000-00009E0D0000}"/>
    <hyperlink ref="W4029" r:id="rId3488" xr:uid="{00000000-0004-0000-0000-00009F0D0000}"/>
    <hyperlink ref="W4030" r:id="rId3489" xr:uid="{00000000-0004-0000-0000-0000A00D0000}"/>
    <hyperlink ref="W4031" r:id="rId3490" xr:uid="{00000000-0004-0000-0000-0000A10D0000}"/>
    <hyperlink ref="W4032" r:id="rId3491" xr:uid="{00000000-0004-0000-0000-0000A20D0000}"/>
    <hyperlink ref="W4033" r:id="rId3492" xr:uid="{00000000-0004-0000-0000-0000A30D0000}"/>
    <hyperlink ref="W4034" r:id="rId3493" xr:uid="{00000000-0004-0000-0000-0000A40D0000}"/>
    <hyperlink ref="W4035" r:id="rId3494" xr:uid="{00000000-0004-0000-0000-0000A50D0000}"/>
    <hyperlink ref="W4038" r:id="rId3495" xr:uid="{00000000-0004-0000-0000-0000A60D0000}"/>
    <hyperlink ref="W4039" r:id="rId3496" xr:uid="{00000000-0004-0000-0000-0000A70D0000}"/>
    <hyperlink ref="W4042" r:id="rId3497" xr:uid="{00000000-0004-0000-0000-0000A80D0000}"/>
    <hyperlink ref="W4043" r:id="rId3498" xr:uid="{00000000-0004-0000-0000-0000A90D0000}"/>
    <hyperlink ref="W4044" r:id="rId3499" xr:uid="{00000000-0004-0000-0000-0000AA0D0000}"/>
    <hyperlink ref="W4045" r:id="rId3500" xr:uid="{00000000-0004-0000-0000-0000AB0D0000}"/>
    <hyperlink ref="W4046" r:id="rId3501" xr:uid="{00000000-0004-0000-0000-0000AC0D0000}"/>
    <hyperlink ref="W4047" r:id="rId3502" xr:uid="{00000000-0004-0000-0000-0000AD0D0000}"/>
    <hyperlink ref="W4048" r:id="rId3503" xr:uid="{00000000-0004-0000-0000-0000AE0D0000}"/>
    <hyperlink ref="W4049" r:id="rId3504" xr:uid="{00000000-0004-0000-0000-0000AF0D0000}"/>
    <hyperlink ref="W4050" r:id="rId3505" xr:uid="{00000000-0004-0000-0000-0000B00D0000}"/>
    <hyperlink ref="W4051" r:id="rId3506" xr:uid="{00000000-0004-0000-0000-0000B10D0000}"/>
    <hyperlink ref="W4053" r:id="rId3507" xr:uid="{00000000-0004-0000-0000-0000B20D0000}"/>
    <hyperlink ref="W4054" r:id="rId3508" xr:uid="{00000000-0004-0000-0000-0000B30D0000}"/>
    <hyperlink ref="W4055" r:id="rId3509" xr:uid="{00000000-0004-0000-0000-0000B40D0000}"/>
    <hyperlink ref="W4056" r:id="rId3510" xr:uid="{00000000-0004-0000-0000-0000B50D0000}"/>
    <hyperlink ref="W4057" r:id="rId3511" xr:uid="{00000000-0004-0000-0000-0000B60D0000}"/>
    <hyperlink ref="W4058" r:id="rId3512" xr:uid="{00000000-0004-0000-0000-0000B70D0000}"/>
    <hyperlink ref="W4059" r:id="rId3513" xr:uid="{00000000-0004-0000-0000-0000B80D0000}"/>
    <hyperlink ref="W4060" r:id="rId3514" xr:uid="{00000000-0004-0000-0000-0000B90D0000}"/>
    <hyperlink ref="W4061" r:id="rId3515" xr:uid="{00000000-0004-0000-0000-0000BA0D0000}"/>
    <hyperlink ref="W4062" r:id="rId3516" xr:uid="{00000000-0004-0000-0000-0000BB0D0000}"/>
    <hyperlink ref="W4063" r:id="rId3517" xr:uid="{00000000-0004-0000-0000-0000BC0D0000}"/>
    <hyperlink ref="W4064" r:id="rId3518" xr:uid="{00000000-0004-0000-0000-0000BD0D0000}"/>
    <hyperlink ref="W4068" r:id="rId3519" xr:uid="{00000000-0004-0000-0000-0000BE0D0000}"/>
    <hyperlink ref="W4069" r:id="rId3520" xr:uid="{00000000-0004-0000-0000-0000BF0D0000}"/>
    <hyperlink ref="W4070" r:id="rId3521" xr:uid="{00000000-0004-0000-0000-0000C00D0000}"/>
    <hyperlink ref="W4071" r:id="rId3522" xr:uid="{00000000-0004-0000-0000-0000C10D0000}"/>
    <hyperlink ref="W4072" r:id="rId3523" xr:uid="{00000000-0004-0000-0000-0000C20D0000}"/>
    <hyperlink ref="W4074" r:id="rId3524" xr:uid="{00000000-0004-0000-0000-0000C30D0000}"/>
    <hyperlink ref="W4075" r:id="rId3525" xr:uid="{00000000-0004-0000-0000-0000C40D0000}"/>
    <hyperlink ref="W4076" r:id="rId3526" xr:uid="{00000000-0004-0000-0000-0000C50D0000}"/>
    <hyperlink ref="W4079" r:id="rId3527" xr:uid="{00000000-0004-0000-0000-0000C60D0000}"/>
    <hyperlink ref="W4080" r:id="rId3528" xr:uid="{00000000-0004-0000-0000-0000C70D0000}"/>
    <hyperlink ref="W4081" r:id="rId3529" xr:uid="{00000000-0004-0000-0000-0000C80D0000}"/>
    <hyperlink ref="W4082" r:id="rId3530" xr:uid="{00000000-0004-0000-0000-0000C90D0000}"/>
    <hyperlink ref="W4083" r:id="rId3531" xr:uid="{00000000-0004-0000-0000-0000CA0D0000}"/>
    <hyperlink ref="W4085" r:id="rId3532" xr:uid="{00000000-0004-0000-0000-0000CB0D0000}"/>
    <hyperlink ref="W4086" r:id="rId3533" xr:uid="{00000000-0004-0000-0000-0000CC0D0000}"/>
    <hyperlink ref="W4087" r:id="rId3534" xr:uid="{00000000-0004-0000-0000-0000CD0D0000}"/>
    <hyperlink ref="W4088" r:id="rId3535" xr:uid="{00000000-0004-0000-0000-0000CE0D0000}"/>
    <hyperlink ref="W4089" r:id="rId3536" xr:uid="{00000000-0004-0000-0000-0000CF0D0000}"/>
    <hyperlink ref="W4090" r:id="rId3537" xr:uid="{00000000-0004-0000-0000-0000D00D0000}"/>
    <hyperlink ref="W4091" r:id="rId3538" xr:uid="{00000000-0004-0000-0000-0000D10D0000}"/>
    <hyperlink ref="W4092" r:id="rId3539" xr:uid="{00000000-0004-0000-0000-0000D20D0000}"/>
    <hyperlink ref="W4093" r:id="rId3540" xr:uid="{00000000-0004-0000-0000-0000D30D0000}"/>
    <hyperlink ref="W4094" r:id="rId3541" xr:uid="{00000000-0004-0000-0000-0000D40D0000}"/>
    <hyperlink ref="W4095" r:id="rId3542" xr:uid="{00000000-0004-0000-0000-0000D50D0000}"/>
    <hyperlink ref="W4096" r:id="rId3543" xr:uid="{00000000-0004-0000-0000-0000D60D0000}"/>
    <hyperlink ref="W4097" r:id="rId3544" xr:uid="{00000000-0004-0000-0000-0000D70D0000}"/>
    <hyperlink ref="W4098" r:id="rId3545" xr:uid="{00000000-0004-0000-0000-0000D80D0000}"/>
    <hyperlink ref="W4099" r:id="rId3546" xr:uid="{00000000-0004-0000-0000-0000D90D0000}"/>
    <hyperlink ref="W4100" r:id="rId3547" xr:uid="{00000000-0004-0000-0000-0000DA0D0000}"/>
    <hyperlink ref="W4101" r:id="rId3548" xr:uid="{00000000-0004-0000-0000-0000DB0D0000}"/>
    <hyperlink ref="W4102" r:id="rId3549" xr:uid="{00000000-0004-0000-0000-0000DC0D0000}"/>
    <hyperlink ref="W4103" r:id="rId3550" xr:uid="{00000000-0004-0000-0000-0000DD0D0000}"/>
    <hyperlink ref="W4104" r:id="rId3551" xr:uid="{00000000-0004-0000-0000-0000DE0D0000}"/>
    <hyperlink ref="W4105" r:id="rId3552" xr:uid="{00000000-0004-0000-0000-0000DF0D0000}"/>
    <hyperlink ref="W4106" r:id="rId3553" xr:uid="{00000000-0004-0000-0000-0000E00D0000}"/>
    <hyperlink ref="W4107" r:id="rId3554" xr:uid="{00000000-0004-0000-0000-0000E10D0000}"/>
    <hyperlink ref="W4108" r:id="rId3555" xr:uid="{00000000-0004-0000-0000-0000E20D0000}"/>
    <hyperlink ref="W4109" r:id="rId3556" xr:uid="{00000000-0004-0000-0000-0000E30D0000}"/>
    <hyperlink ref="W4110" r:id="rId3557" xr:uid="{00000000-0004-0000-0000-0000E40D0000}"/>
    <hyperlink ref="W4112" r:id="rId3558" xr:uid="{00000000-0004-0000-0000-0000E50D0000}"/>
    <hyperlink ref="W4113" r:id="rId3559" xr:uid="{00000000-0004-0000-0000-0000E60D0000}"/>
    <hyperlink ref="W4114" r:id="rId3560" xr:uid="{00000000-0004-0000-0000-0000E70D0000}"/>
    <hyperlink ref="W4115" r:id="rId3561" xr:uid="{00000000-0004-0000-0000-0000E80D0000}"/>
    <hyperlink ref="W4116" r:id="rId3562" xr:uid="{00000000-0004-0000-0000-0000E90D0000}"/>
    <hyperlink ref="W4117" r:id="rId3563" xr:uid="{00000000-0004-0000-0000-0000EA0D0000}"/>
    <hyperlink ref="W4118" r:id="rId3564" xr:uid="{00000000-0004-0000-0000-0000EB0D0000}"/>
    <hyperlink ref="W4119" r:id="rId3565" xr:uid="{00000000-0004-0000-0000-0000EC0D0000}"/>
    <hyperlink ref="W4120" r:id="rId3566" xr:uid="{00000000-0004-0000-0000-0000ED0D0000}"/>
    <hyperlink ref="W4121" r:id="rId3567" xr:uid="{00000000-0004-0000-0000-0000EE0D0000}"/>
    <hyperlink ref="W4122" r:id="rId3568" xr:uid="{00000000-0004-0000-0000-0000EF0D0000}"/>
    <hyperlink ref="W4123" r:id="rId3569" xr:uid="{00000000-0004-0000-0000-0000F00D0000}"/>
    <hyperlink ref="W4124" r:id="rId3570" xr:uid="{00000000-0004-0000-0000-0000F10D0000}"/>
    <hyperlink ref="W4125" r:id="rId3571" xr:uid="{00000000-0004-0000-0000-0000F20D0000}"/>
    <hyperlink ref="W4126" r:id="rId3572" xr:uid="{00000000-0004-0000-0000-0000F30D0000}"/>
    <hyperlink ref="W4127" r:id="rId3573" xr:uid="{00000000-0004-0000-0000-0000F40D0000}"/>
    <hyperlink ref="W4128" r:id="rId3574" xr:uid="{00000000-0004-0000-0000-0000F50D0000}"/>
    <hyperlink ref="W4129" r:id="rId3575" xr:uid="{00000000-0004-0000-0000-0000F60D0000}"/>
    <hyperlink ref="W4130" r:id="rId3576" xr:uid="{00000000-0004-0000-0000-0000F70D0000}"/>
    <hyperlink ref="W4131" r:id="rId3577" xr:uid="{00000000-0004-0000-0000-0000F80D0000}"/>
    <hyperlink ref="W4132" r:id="rId3578" xr:uid="{00000000-0004-0000-0000-0000F90D0000}"/>
    <hyperlink ref="W4133" r:id="rId3579" xr:uid="{00000000-0004-0000-0000-0000FA0D0000}"/>
    <hyperlink ref="W4134" r:id="rId3580" xr:uid="{00000000-0004-0000-0000-0000FB0D0000}"/>
    <hyperlink ref="W4135" r:id="rId3581" xr:uid="{00000000-0004-0000-0000-0000FC0D0000}"/>
    <hyperlink ref="W4136" r:id="rId3582" xr:uid="{00000000-0004-0000-0000-0000FD0D0000}"/>
    <hyperlink ref="W4137" r:id="rId3583" xr:uid="{00000000-0004-0000-0000-0000FE0D0000}"/>
    <hyperlink ref="W4139" r:id="rId3584" xr:uid="{00000000-0004-0000-0000-0000FF0D0000}"/>
    <hyperlink ref="W4140" r:id="rId3585" xr:uid="{00000000-0004-0000-0000-0000000E0000}"/>
    <hyperlink ref="W4141" r:id="rId3586" xr:uid="{00000000-0004-0000-0000-0000010E0000}"/>
    <hyperlink ref="W4142" r:id="rId3587" xr:uid="{00000000-0004-0000-0000-0000020E0000}"/>
    <hyperlink ref="W4143" r:id="rId3588" xr:uid="{00000000-0004-0000-0000-0000030E0000}"/>
    <hyperlink ref="W4144" r:id="rId3589" xr:uid="{00000000-0004-0000-0000-0000040E0000}"/>
    <hyperlink ref="W4145" r:id="rId3590" xr:uid="{00000000-0004-0000-0000-0000050E0000}"/>
    <hyperlink ref="W4146" r:id="rId3591" xr:uid="{00000000-0004-0000-0000-0000060E0000}"/>
    <hyperlink ref="W4147" r:id="rId3592" xr:uid="{00000000-0004-0000-0000-0000070E0000}"/>
    <hyperlink ref="W4148" r:id="rId3593" display="https://www.digikey.jp/product-detail/ja/dfrobot/DFR0379/1738-1293-ND/7087190?utm_adgroup=IoT&amp;utm_source=google&amp;utm_medium=cpc&amp;utm_campaign=Smart%20Shopping_Product_IoT&amp;utm_term=&amp;productid=7087190&amp;gclid=CjwKCAjw47eFBhA9EiwAy8kzNIk2umIp_TINebcQqJ240KrdLaZcsZPoBZpaKord2yVKcSjVZMpelhoCHTEQAvD_BwE" xr:uid="{00000000-0004-0000-0000-0000080E0000}"/>
    <hyperlink ref="W4149" r:id="rId3594" xr:uid="{00000000-0004-0000-0000-0000090E0000}"/>
    <hyperlink ref="W4151" r:id="rId3595" xr:uid="{00000000-0004-0000-0000-00000A0E0000}"/>
    <hyperlink ref="W4152" r:id="rId3596" xr:uid="{00000000-0004-0000-0000-00000B0E0000}"/>
    <hyperlink ref="W4153" r:id="rId3597" xr:uid="{00000000-0004-0000-0000-00000C0E0000}"/>
    <hyperlink ref="W4154" r:id="rId3598" xr:uid="{00000000-0004-0000-0000-00000D0E0000}"/>
    <hyperlink ref="W4155" r:id="rId3599" xr:uid="{00000000-0004-0000-0000-00000E0E0000}"/>
    <hyperlink ref="W4156" r:id="rId3600" xr:uid="{00000000-0004-0000-0000-00000F0E0000}"/>
    <hyperlink ref="W4157" r:id="rId3601" xr:uid="{00000000-0004-0000-0000-0000100E0000}"/>
    <hyperlink ref="W4158" r:id="rId3602" xr:uid="{00000000-0004-0000-0000-0000110E0000}"/>
    <hyperlink ref="W4167" r:id="rId3603" xr:uid="{00000000-0004-0000-0000-0000120E0000}"/>
    <hyperlink ref="W4168" r:id="rId3604" xr:uid="{00000000-0004-0000-0000-0000130E0000}"/>
    <hyperlink ref="W4169" r:id="rId3605" xr:uid="{00000000-0004-0000-0000-0000140E0000}"/>
    <hyperlink ref="W4170" r:id="rId3606" xr:uid="{00000000-0004-0000-0000-0000150E0000}"/>
    <hyperlink ref="W4171" r:id="rId3607" xr:uid="{00000000-0004-0000-0000-0000160E0000}"/>
    <hyperlink ref="W4174" r:id="rId3608" xr:uid="{00000000-0004-0000-0000-0000170E0000}"/>
    <hyperlink ref="W4178" r:id="rId3609" xr:uid="{00000000-0004-0000-0000-0000180E0000}"/>
    <hyperlink ref="W4179" r:id="rId3610" xr:uid="{00000000-0004-0000-0000-0000190E0000}"/>
    <hyperlink ref="W4180" r:id="rId3611" xr:uid="{00000000-0004-0000-0000-00001A0E0000}"/>
    <hyperlink ref="W4181" r:id="rId3612" xr:uid="{00000000-0004-0000-0000-00001B0E0000}"/>
    <hyperlink ref="W4182" r:id="rId3613" xr:uid="{00000000-0004-0000-0000-00001C0E0000}"/>
    <hyperlink ref="W4183" r:id="rId3614" xr:uid="{00000000-0004-0000-0000-00001D0E0000}"/>
    <hyperlink ref="W4184" r:id="rId3615" xr:uid="{00000000-0004-0000-0000-00001E0E0000}"/>
    <hyperlink ref="W4185" r:id="rId3616" xr:uid="{00000000-0004-0000-0000-00001F0E0000}"/>
    <hyperlink ref="W4186" r:id="rId3617" xr:uid="{00000000-0004-0000-0000-0000200E0000}"/>
    <hyperlink ref="W4187" r:id="rId3618" xr:uid="{00000000-0004-0000-0000-0000210E0000}"/>
    <hyperlink ref="W4188" r:id="rId3619" xr:uid="{00000000-0004-0000-0000-0000220E0000}"/>
    <hyperlink ref="W4189" r:id="rId3620" xr:uid="{00000000-0004-0000-0000-0000230E0000}"/>
    <hyperlink ref="W4190" r:id="rId3621" xr:uid="{00000000-0004-0000-0000-0000240E0000}"/>
    <hyperlink ref="W4191" r:id="rId3622" xr:uid="{00000000-0004-0000-0000-0000250E0000}"/>
    <hyperlink ref="W4192" r:id="rId3623" xr:uid="{00000000-0004-0000-0000-0000260E0000}"/>
    <hyperlink ref="W4193" r:id="rId3624" xr:uid="{00000000-0004-0000-0000-0000270E0000}"/>
    <hyperlink ref="W4194" r:id="rId3625" xr:uid="{00000000-0004-0000-0000-0000280E0000}"/>
    <hyperlink ref="W4196" r:id="rId3626" xr:uid="{00000000-0004-0000-0000-0000290E0000}"/>
    <hyperlink ref="W4197" r:id="rId3627" xr:uid="{00000000-0004-0000-0000-00002A0E0000}"/>
    <hyperlink ref="W4198" r:id="rId3628" xr:uid="{00000000-0004-0000-0000-00002B0E0000}"/>
    <hyperlink ref="W4199" r:id="rId3629" xr:uid="{00000000-0004-0000-0000-00002C0E0000}"/>
    <hyperlink ref="W4200" r:id="rId3630" xr:uid="{00000000-0004-0000-0000-00002D0E0000}"/>
    <hyperlink ref="W4201" r:id="rId3631" xr:uid="{00000000-0004-0000-0000-00002E0E0000}"/>
    <hyperlink ref="W4202" r:id="rId3632" xr:uid="{00000000-0004-0000-0000-00002F0E0000}"/>
    <hyperlink ref="W4203" r:id="rId3633" xr:uid="{00000000-0004-0000-0000-0000300E0000}"/>
    <hyperlink ref="W4204" r:id="rId3634" xr:uid="{00000000-0004-0000-0000-0000310E0000}"/>
    <hyperlink ref="W4205" r:id="rId3635" xr:uid="{00000000-0004-0000-0000-0000320E0000}"/>
    <hyperlink ref="W4206" r:id="rId3636" xr:uid="{00000000-0004-0000-0000-0000330E0000}"/>
    <hyperlink ref="W4207" r:id="rId3637" xr:uid="{00000000-0004-0000-0000-0000340E0000}"/>
    <hyperlink ref="W4208" r:id="rId3638" xr:uid="{00000000-0004-0000-0000-0000350E0000}"/>
    <hyperlink ref="W4209" r:id="rId3639" xr:uid="{00000000-0004-0000-0000-0000360E0000}"/>
    <hyperlink ref="W4210" r:id="rId3640" xr:uid="{00000000-0004-0000-0000-0000370E0000}"/>
    <hyperlink ref="W4211" r:id="rId3641" xr:uid="{00000000-0004-0000-0000-0000380E0000}"/>
    <hyperlink ref="W4212" r:id="rId3642" xr:uid="{00000000-0004-0000-0000-0000390E0000}"/>
    <hyperlink ref="W4213" r:id="rId3643" xr:uid="{00000000-0004-0000-0000-00003A0E0000}"/>
    <hyperlink ref="W4214" r:id="rId3644" xr:uid="{00000000-0004-0000-0000-00003B0E0000}"/>
    <hyperlink ref="W4215" r:id="rId3645" xr:uid="{00000000-0004-0000-0000-00003C0E0000}"/>
    <hyperlink ref="W4216" r:id="rId3646" xr:uid="{00000000-0004-0000-0000-00003D0E0000}"/>
    <hyperlink ref="W4217" r:id="rId3647" xr:uid="{00000000-0004-0000-0000-00003E0E0000}"/>
    <hyperlink ref="W4220" r:id="rId3648" xr:uid="{00000000-0004-0000-0000-00003F0E0000}"/>
    <hyperlink ref="W4221" r:id="rId3649" xr:uid="{00000000-0004-0000-0000-0000400E0000}"/>
    <hyperlink ref="W4222" r:id="rId3650" xr:uid="{00000000-0004-0000-0000-0000410E0000}"/>
    <hyperlink ref="W4223" r:id="rId3651" xr:uid="{00000000-0004-0000-0000-0000420E0000}"/>
    <hyperlink ref="W4224" r:id="rId3652" xr:uid="{00000000-0004-0000-0000-0000430E0000}"/>
    <hyperlink ref="W4225" r:id="rId3653" xr:uid="{00000000-0004-0000-0000-0000440E0000}"/>
    <hyperlink ref="W4226" r:id="rId3654" xr:uid="{00000000-0004-0000-0000-0000450E0000}"/>
    <hyperlink ref="W4227" r:id="rId3655" xr:uid="{00000000-0004-0000-0000-0000460E0000}"/>
    <hyperlink ref="W4228" r:id="rId3656" xr:uid="{00000000-0004-0000-0000-0000470E0000}"/>
    <hyperlink ref="W4229" r:id="rId3657" xr:uid="{00000000-0004-0000-0000-0000480E0000}"/>
    <hyperlink ref="W4230" r:id="rId3658" xr:uid="{00000000-0004-0000-0000-0000490E0000}"/>
    <hyperlink ref="W4231" r:id="rId3659" xr:uid="{00000000-0004-0000-0000-00004A0E0000}"/>
    <hyperlink ref="W4232" r:id="rId3660" xr:uid="{00000000-0004-0000-0000-00004B0E0000}"/>
    <hyperlink ref="W4233" r:id="rId3661" xr:uid="{00000000-0004-0000-0000-00004C0E0000}"/>
    <hyperlink ref="W4234" r:id="rId3662" xr:uid="{00000000-0004-0000-0000-00004D0E0000}"/>
    <hyperlink ref="W4235" r:id="rId3663" xr:uid="{00000000-0004-0000-0000-00004E0E0000}"/>
    <hyperlink ref="W4236" r:id="rId3664" xr:uid="{00000000-0004-0000-0000-00004F0E0000}"/>
    <hyperlink ref="W4237" r:id="rId3665" xr:uid="{00000000-0004-0000-0000-0000500E0000}"/>
    <hyperlink ref="W4238" r:id="rId3666" xr:uid="{00000000-0004-0000-0000-0000510E0000}"/>
    <hyperlink ref="W4239" r:id="rId3667" xr:uid="{00000000-0004-0000-0000-0000520E0000}"/>
    <hyperlink ref="W4240" r:id="rId3668" xr:uid="{00000000-0004-0000-0000-0000530E0000}"/>
    <hyperlink ref="W4241" r:id="rId3669" xr:uid="{00000000-0004-0000-0000-0000540E0000}"/>
    <hyperlink ref="W4242" r:id="rId3670" xr:uid="{00000000-0004-0000-0000-0000550E0000}"/>
    <hyperlink ref="W4243" r:id="rId3671" xr:uid="{00000000-0004-0000-0000-0000560E0000}"/>
    <hyperlink ref="W4244" r:id="rId3672" xr:uid="{00000000-0004-0000-0000-0000570E0000}"/>
    <hyperlink ref="W4245" r:id="rId3673" xr:uid="{00000000-0004-0000-0000-0000580E0000}"/>
    <hyperlink ref="W4246" r:id="rId3674" xr:uid="{00000000-0004-0000-0000-0000590E0000}"/>
    <hyperlink ref="W4247" r:id="rId3675" xr:uid="{00000000-0004-0000-0000-00005A0E0000}"/>
    <hyperlink ref="W4248" r:id="rId3676" xr:uid="{00000000-0004-0000-0000-00005B0E0000}"/>
    <hyperlink ref="W4249" r:id="rId3677" xr:uid="{00000000-0004-0000-0000-00005C0E0000}"/>
    <hyperlink ref="W4250" r:id="rId3678" xr:uid="{00000000-0004-0000-0000-00005D0E0000}"/>
    <hyperlink ref="W4251" r:id="rId3679" xr:uid="{00000000-0004-0000-0000-00005E0E0000}"/>
    <hyperlink ref="W4259" r:id="rId3680" xr:uid="{00000000-0004-0000-0000-00005F0E0000}"/>
    <hyperlink ref="W4260" r:id="rId3681" xr:uid="{00000000-0004-0000-0000-0000600E0000}"/>
    <hyperlink ref="W4261" r:id="rId3682" xr:uid="{00000000-0004-0000-0000-0000610E0000}"/>
    <hyperlink ref="W4262" r:id="rId3683" xr:uid="{00000000-0004-0000-0000-0000620E0000}"/>
    <hyperlink ref="W4263" r:id="rId3684" xr:uid="{00000000-0004-0000-0000-0000630E0000}"/>
    <hyperlink ref="W4264" r:id="rId3685" xr:uid="{00000000-0004-0000-0000-0000640E0000}"/>
    <hyperlink ref="W4265" r:id="rId3686" xr:uid="{00000000-0004-0000-0000-0000650E0000}"/>
    <hyperlink ref="W4266" r:id="rId3687" xr:uid="{00000000-0004-0000-0000-0000660E0000}"/>
    <hyperlink ref="W4267" r:id="rId3688" xr:uid="{00000000-0004-0000-0000-0000670E0000}"/>
    <hyperlink ref="W4268" r:id="rId3689" xr:uid="{00000000-0004-0000-0000-0000680E0000}"/>
    <hyperlink ref="W4269" r:id="rId3690" xr:uid="{00000000-0004-0000-0000-0000690E0000}"/>
    <hyperlink ref="W4270" r:id="rId3691" xr:uid="{00000000-0004-0000-0000-00006A0E0000}"/>
    <hyperlink ref="W4271" r:id="rId3692" xr:uid="{00000000-0004-0000-0000-00006B0E0000}"/>
    <hyperlink ref="W4272" r:id="rId3693" xr:uid="{00000000-0004-0000-0000-00006C0E0000}"/>
    <hyperlink ref="W4273" r:id="rId3694" xr:uid="{00000000-0004-0000-0000-00006D0E0000}"/>
    <hyperlink ref="W4274" r:id="rId3695" xr:uid="{00000000-0004-0000-0000-00006E0E0000}"/>
    <hyperlink ref="W4275" r:id="rId3696" xr:uid="{00000000-0004-0000-0000-00006F0E0000}"/>
    <hyperlink ref="W4276" r:id="rId3697" xr:uid="{00000000-0004-0000-0000-0000700E0000}"/>
    <hyperlink ref="W4277" r:id="rId3698" xr:uid="{00000000-0004-0000-0000-0000710E0000}"/>
    <hyperlink ref="W4278" r:id="rId3699" xr:uid="{00000000-0004-0000-0000-0000720E0000}"/>
    <hyperlink ref="W4279" r:id="rId3700" xr:uid="{00000000-0004-0000-0000-0000730E0000}"/>
    <hyperlink ref="W4280" r:id="rId3701" xr:uid="{00000000-0004-0000-0000-0000740E0000}"/>
    <hyperlink ref="W4282" r:id="rId3702" xr:uid="{00000000-0004-0000-0000-0000750E0000}"/>
    <hyperlink ref="W4283" r:id="rId3703" xr:uid="{00000000-0004-0000-0000-0000760E0000}"/>
    <hyperlink ref="W4284" r:id="rId3704" xr:uid="{00000000-0004-0000-0000-0000770E0000}"/>
    <hyperlink ref="W4285" r:id="rId3705" xr:uid="{00000000-0004-0000-0000-0000780E0000}"/>
    <hyperlink ref="W4286" r:id="rId3706" xr:uid="{00000000-0004-0000-0000-0000790E0000}"/>
    <hyperlink ref="W4287" r:id="rId3707" xr:uid="{00000000-0004-0000-0000-00007A0E0000}"/>
    <hyperlink ref="W4288" r:id="rId3708" xr:uid="{00000000-0004-0000-0000-00007B0E0000}"/>
    <hyperlink ref="W4289" r:id="rId3709" xr:uid="{00000000-0004-0000-0000-00007C0E0000}"/>
    <hyperlink ref="W4290" r:id="rId3710" xr:uid="{00000000-0004-0000-0000-00007D0E0000}"/>
    <hyperlink ref="W4291" r:id="rId3711" xr:uid="{00000000-0004-0000-0000-00007E0E0000}"/>
    <hyperlink ref="W4292" r:id="rId3712" xr:uid="{00000000-0004-0000-0000-00007F0E0000}"/>
    <hyperlink ref="W4293" r:id="rId3713" xr:uid="{00000000-0004-0000-0000-0000800E0000}"/>
    <hyperlink ref="W4294" r:id="rId3714" xr:uid="{00000000-0004-0000-0000-0000810E0000}"/>
    <hyperlink ref="W4295" r:id="rId3715" xr:uid="{00000000-0004-0000-0000-0000820E0000}"/>
    <hyperlink ref="W4296" r:id="rId3716" xr:uid="{00000000-0004-0000-0000-0000830E0000}"/>
    <hyperlink ref="W4297" r:id="rId3717" xr:uid="{00000000-0004-0000-0000-0000840E0000}"/>
    <hyperlink ref="W4298" r:id="rId3718" xr:uid="{00000000-0004-0000-0000-0000850E0000}"/>
    <hyperlink ref="W4299" r:id="rId3719" xr:uid="{00000000-0004-0000-0000-0000860E0000}"/>
    <hyperlink ref="W4300" r:id="rId3720" xr:uid="{00000000-0004-0000-0000-0000870E0000}"/>
    <hyperlink ref="W4301" r:id="rId3721" xr:uid="{00000000-0004-0000-0000-0000880E0000}"/>
    <hyperlink ref="W4302" r:id="rId3722" xr:uid="{00000000-0004-0000-0000-0000890E0000}"/>
    <hyperlink ref="W4303" r:id="rId3723" xr:uid="{00000000-0004-0000-0000-00008A0E0000}"/>
    <hyperlink ref="W4304" r:id="rId3724" xr:uid="{00000000-0004-0000-0000-00008B0E0000}"/>
    <hyperlink ref="W4305" r:id="rId3725" xr:uid="{00000000-0004-0000-0000-00008C0E0000}"/>
    <hyperlink ref="W4306" r:id="rId3726" xr:uid="{00000000-0004-0000-0000-00008D0E0000}"/>
    <hyperlink ref="W4307" r:id="rId3727" xr:uid="{00000000-0004-0000-0000-00008E0E0000}"/>
    <hyperlink ref="W4308" r:id="rId3728" xr:uid="{00000000-0004-0000-0000-00008F0E0000}"/>
    <hyperlink ref="W4309" r:id="rId3729" xr:uid="{00000000-0004-0000-0000-0000900E0000}"/>
    <hyperlink ref="W4310" r:id="rId3730" xr:uid="{00000000-0004-0000-0000-0000910E0000}"/>
    <hyperlink ref="W4311" r:id="rId3731" xr:uid="{00000000-0004-0000-0000-0000920E0000}"/>
    <hyperlink ref="W4312" r:id="rId3732" xr:uid="{00000000-0004-0000-0000-0000930E0000}"/>
    <hyperlink ref="W4313" r:id="rId3733" xr:uid="{00000000-0004-0000-0000-0000940E0000}"/>
    <hyperlink ref="W4314" r:id="rId3734" xr:uid="{00000000-0004-0000-0000-0000950E0000}"/>
    <hyperlink ref="W4318" r:id="rId3735" xr:uid="{00000000-0004-0000-0000-0000960E0000}"/>
    <hyperlink ref="W4319" r:id="rId3736" xr:uid="{00000000-0004-0000-0000-0000970E0000}"/>
    <hyperlink ref="W4320" r:id="rId3737" xr:uid="{00000000-0004-0000-0000-0000980E0000}"/>
    <hyperlink ref="W4321" r:id="rId3738" xr:uid="{00000000-0004-0000-0000-0000990E0000}"/>
    <hyperlink ref="W4322" r:id="rId3739" xr:uid="{00000000-0004-0000-0000-00009A0E0000}"/>
    <hyperlink ref="W4323" r:id="rId3740" xr:uid="{00000000-0004-0000-0000-00009B0E0000}"/>
    <hyperlink ref="W4324" r:id="rId3741" xr:uid="{00000000-0004-0000-0000-00009C0E0000}"/>
    <hyperlink ref="W4325" r:id="rId3742" xr:uid="{00000000-0004-0000-0000-00009D0E0000}"/>
    <hyperlink ref="W4326" r:id="rId3743" xr:uid="{00000000-0004-0000-0000-00009E0E0000}"/>
    <hyperlink ref="W4329" r:id="rId3744" xr:uid="{00000000-0004-0000-0000-00009F0E0000}"/>
    <hyperlink ref="W4332" r:id="rId3745" xr:uid="{00000000-0004-0000-0000-0000A00E0000}"/>
    <hyperlink ref="W4333" r:id="rId3746" xr:uid="{00000000-0004-0000-0000-0000A10E0000}"/>
    <hyperlink ref="W4334" r:id="rId3747" xr:uid="{00000000-0004-0000-0000-0000A20E0000}"/>
    <hyperlink ref="W4335" r:id="rId3748" xr:uid="{00000000-0004-0000-0000-0000A30E0000}"/>
    <hyperlink ref="W4336" r:id="rId3749" xr:uid="{00000000-0004-0000-0000-0000A40E0000}"/>
    <hyperlink ref="W4337" r:id="rId3750" xr:uid="{00000000-0004-0000-0000-0000A50E0000}"/>
    <hyperlink ref="W4338" r:id="rId3751" xr:uid="{00000000-0004-0000-0000-0000A60E0000}"/>
    <hyperlink ref="W4339" r:id="rId3752" xr:uid="{00000000-0004-0000-0000-0000A70E0000}"/>
    <hyperlink ref="W4340" r:id="rId3753" xr:uid="{00000000-0004-0000-0000-0000A80E0000}"/>
    <hyperlink ref="W4341" r:id="rId3754" xr:uid="{00000000-0004-0000-0000-0000A90E0000}"/>
    <hyperlink ref="W4342" r:id="rId3755" xr:uid="{00000000-0004-0000-0000-0000AA0E0000}"/>
    <hyperlink ref="W4343" r:id="rId3756" xr:uid="{00000000-0004-0000-0000-0000AB0E0000}"/>
    <hyperlink ref="W4344" r:id="rId3757" xr:uid="{00000000-0004-0000-0000-0000AC0E0000}"/>
    <hyperlink ref="W4345" r:id="rId3758" xr:uid="{00000000-0004-0000-0000-0000AD0E0000}"/>
    <hyperlink ref="W4346" r:id="rId3759" xr:uid="{00000000-0004-0000-0000-0000AE0E0000}"/>
    <hyperlink ref="W4347" r:id="rId3760" xr:uid="{00000000-0004-0000-0000-0000AF0E0000}"/>
    <hyperlink ref="W4348" r:id="rId3761" xr:uid="{00000000-0004-0000-0000-0000B00E0000}"/>
    <hyperlink ref="W4349" r:id="rId3762" xr:uid="{00000000-0004-0000-0000-0000B10E0000}"/>
    <hyperlink ref="W4350" r:id="rId3763" xr:uid="{00000000-0004-0000-0000-0000B20E0000}"/>
    <hyperlink ref="W4351" r:id="rId3764" xr:uid="{00000000-0004-0000-0000-0000B30E0000}"/>
    <hyperlink ref="W4352" r:id="rId3765" xr:uid="{00000000-0004-0000-0000-0000B40E0000}"/>
    <hyperlink ref="W4353" r:id="rId3766" xr:uid="{00000000-0004-0000-0000-0000B50E0000}"/>
    <hyperlink ref="W4354" r:id="rId3767" xr:uid="{00000000-0004-0000-0000-0000B60E0000}"/>
    <hyperlink ref="W4355" r:id="rId3768" xr:uid="{00000000-0004-0000-0000-0000B70E0000}"/>
    <hyperlink ref="W4356" r:id="rId3769" xr:uid="{00000000-0004-0000-0000-0000B80E0000}"/>
    <hyperlink ref="W4357" r:id="rId3770" xr:uid="{00000000-0004-0000-0000-0000B90E0000}"/>
    <hyperlink ref="W4358" r:id="rId3771" xr:uid="{00000000-0004-0000-0000-0000BA0E0000}"/>
    <hyperlink ref="W4359" r:id="rId3772" xr:uid="{00000000-0004-0000-0000-0000BB0E0000}"/>
    <hyperlink ref="W4360" r:id="rId3773" xr:uid="{00000000-0004-0000-0000-0000BC0E0000}"/>
    <hyperlink ref="W4361" r:id="rId3774" xr:uid="{00000000-0004-0000-0000-0000BD0E0000}"/>
    <hyperlink ref="W4362" r:id="rId3775" xr:uid="{00000000-0004-0000-0000-0000BE0E0000}"/>
    <hyperlink ref="W4363" r:id="rId3776" xr:uid="{00000000-0004-0000-0000-0000BF0E0000}"/>
    <hyperlink ref="W4364" r:id="rId3777" xr:uid="{00000000-0004-0000-0000-0000C00E0000}"/>
    <hyperlink ref="W4365" r:id="rId3778" xr:uid="{00000000-0004-0000-0000-0000C10E0000}"/>
    <hyperlink ref="W4366" r:id="rId3779" xr:uid="{00000000-0004-0000-0000-0000C20E0000}"/>
    <hyperlink ref="W4367" r:id="rId3780" xr:uid="{00000000-0004-0000-0000-0000C30E0000}"/>
    <hyperlink ref="W4368" r:id="rId3781" xr:uid="{00000000-0004-0000-0000-0000C40E0000}"/>
    <hyperlink ref="W4369" r:id="rId3782" xr:uid="{00000000-0004-0000-0000-0000C50E0000}"/>
    <hyperlink ref="W4370" r:id="rId3783" xr:uid="{00000000-0004-0000-0000-0000C60E0000}"/>
    <hyperlink ref="W4371" r:id="rId3784" location="ad-image-0" xr:uid="{00000000-0004-0000-0000-0000C70E0000}"/>
    <hyperlink ref="W4372" r:id="rId3785" xr:uid="{00000000-0004-0000-0000-0000C80E0000}"/>
    <hyperlink ref="W4373" r:id="rId3786" xr:uid="{00000000-0004-0000-0000-0000C90E0000}"/>
    <hyperlink ref="W4374" r:id="rId3787" location="ad-image-0" xr:uid="{00000000-0004-0000-0000-0000CA0E0000}"/>
    <hyperlink ref="W4375" r:id="rId3788" xr:uid="{00000000-0004-0000-0000-0000CB0E0000}"/>
    <hyperlink ref="W4376" r:id="rId3789" xr:uid="{00000000-0004-0000-0000-0000CC0E0000}"/>
    <hyperlink ref="W4377" r:id="rId3790" xr:uid="{00000000-0004-0000-0000-0000CD0E0000}"/>
    <hyperlink ref="W4379" r:id="rId3791" xr:uid="{00000000-0004-0000-0000-0000CE0E0000}"/>
    <hyperlink ref="W4380" r:id="rId3792" xr:uid="{00000000-0004-0000-0000-0000CF0E0000}"/>
    <hyperlink ref="W4381" r:id="rId3793" xr:uid="{00000000-0004-0000-0000-0000D00E0000}"/>
    <hyperlink ref="W4382" r:id="rId3794" xr:uid="{00000000-0004-0000-0000-0000D10E0000}"/>
    <hyperlink ref="W4383" r:id="rId3795" xr:uid="{00000000-0004-0000-0000-0000D20E0000}"/>
    <hyperlink ref="W4384" r:id="rId3796" xr:uid="{00000000-0004-0000-0000-0000D30E0000}"/>
    <hyperlink ref="W4385" r:id="rId3797" xr:uid="{00000000-0004-0000-0000-0000D40E0000}"/>
    <hyperlink ref="W4386" r:id="rId3798" xr:uid="{00000000-0004-0000-0000-0000D50E0000}"/>
    <hyperlink ref="W4387" r:id="rId3799" xr:uid="{00000000-0004-0000-0000-0000D60E0000}"/>
    <hyperlink ref="W4388" r:id="rId3800" xr:uid="{00000000-0004-0000-0000-0000D70E0000}"/>
    <hyperlink ref="W4389" r:id="rId3801" xr:uid="{00000000-0004-0000-0000-0000D80E0000}"/>
    <hyperlink ref="W4390" r:id="rId3802" xr:uid="{00000000-0004-0000-0000-0000D90E0000}"/>
    <hyperlink ref="W4391" r:id="rId3803" xr:uid="{00000000-0004-0000-0000-0000DA0E0000}"/>
    <hyperlink ref="W4392" r:id="rId3804" xr:uid="{00000000-0004-0000-0000-0000DB0E0000}"/>
    <hyperlink ref="W4393" r:id="rId3805" xr:uid="{00000000-0004-0000-0000-0000DC0E0000}"/>
    <hyperlink ref="W4394" r:id="rId3806" xr:uid="{00000000-0004-0000-0000-0000DD0E0000}"/>
    <hyperlink ref="W4395" r:id="rId3807" xr:uid="{00000000-0004-0000-0000-0000DE0E0000}"/>
    <hyperlink ref="W4396" r:id="rId3808" xr:uid="{00000000-0004-0000-0000-0000DF0E0000}"/>
    <hyperlink ref="W4397" r:id="rId3809" xr:uid="{00000000-0004-0000-0000-0000E00E0000}"/>
    <hyperlink ref="W4398" r:id="rId3810" xr:uid="{00000000-0004-0000-0000-0000E10E0000}"/>
    <hyperlink ref="W4399" r:id="rId3811" xr:uid="{00000000-0004-0000-0000-0000E20E0000}"/>
    <hyperlink ref="W4400" r:id="rId3812" xr:uid="{00000000-0004-0000-0000-0000E30E0000}"/>
    <hyperlink ref="W4401" r:id="rId3813" xr:uid="{00000000-0004-0000-0000-0000E40E0000}"/>
    <hyperlink ref="W4402" r:id="rId3814" xr:uid="{00000000-0004-0000-0000-0000E50E0000}"/>
    <hyperlink ref="W4403" r:id="rId3815" xr:uid="{00000000-0004-0000-0000-0000E60E0000}"/>
    <hyperlink ref="W4404" r:id="rId3816" xr:uid="{00000000-0004-0000-0000-0000E70E0000}"/>
    <hyperlink ref="W4405" r:id="rId3817" xr:uid="{00000000-0004-0000-0000-0000E80E0000}"/>
    <hyperlink ref="W4406" r:id="rId3818" xr:uid="{00000000-0004-0000-0000-0000E90E0000}"/>
    <hyperlink ref="W4407" r:id="rId3819" xr:uid="{00000000-0004-0000-0000-0000EA0E0000}"/>
    <hyperlink ref="W4408" r:id="rId3820" xr:uid="{00000000-0004-0000-0000-0000EB0E0000}"/>
    <hyperlink ref="W4409" r:id="rId3821" xr:uid="{00000000-0004-0000-0000-0000EC0E0000}"/>
    <hyperlink ref="W4410" r:id="rId3822" xr:uid="{00000000-0004-0000-0000-0000ED0E0000}"/>
    <hyperlink ref="W4411" r:id="rId3823" xr:uid="{00000000-0004-0000-0000-0000EE0E0000}"/>
    <hyperlink ref="W4412" r:id="rId3824" xr:uid="{00000000-0004-0000-0000-0000EF0E0000}"/>
    <hyperlink ref="W4413" r:id="rId3825" xr:uid="{00000000-0004-0000-0000-0000F00E0000}"/>
    <hyperlink ref="W4414" r:id="rId3826" xr:uid="{00000000-0004-0000-0000-0000F10E0000}"/>
    <hyperlink ref="W4415" r:id="rId3827" xr:uid="{00000000-0004-0000-0000-0000F20E0000}"/>
    <hyperlink ref="W4416" r:id="rId3828" xr:uid="{00000000-0004-0000-0000-0000F30E0000}"/>
    <hyperlink ref="W4417" r:id="rId3829" xr:uid="{00000000-0004-0000-0000-0000F40E0000}"/>
    <hyperlink ref="W4418" r:id="rId3830" xr:uid="{00000000-0004-0000-0000-0000F50E0000}"/>
    <hyperlink ref="W4419" r:id="rId3831" xr:uid="{00000000-0004-0000-0000-0000F60E0000}"/>
    <hyperlink ref="W4422" r:id="rId3832" xr:uid="{00000000-0004-0000-0000-0000F70E0000}"/>
    <hyperlink ref="W4423" r:id="rId3833" xr:uid="{00000000-0004-0000-0000-0000F80E0000}"/>
    <hyperlink ref="W4424" r:id="rId3834" xr:uid="{00000000-0004-0000-0000-0000F90E0000}"/>
    <hyperlink ref="W4425" r:id="rId3835" xr:uid="{00000000-0004-0000-0000-0000FA0E0000}"/>
    <hyperlink ref="W4426" r:id="rId3836" xr:uid="{00000000-0004-0000-0000-0000FB0E0000}"/>
    <hyperlink ref="W4427" r:id="rId3837" xr:uid="{00000000-0004-0000-0000-0000FC0E0000}"/>
    <hyperlink ref="W4428" r:id="rId3838" xr:uid="{00000000-0004-0000-0000-0000FD0E0000}"/>
    <hyperlink ref="W4429" r:id="rId3839" xr:uid="{00000000-0004-0000-0000-0000FE0E0000}"/>
    <hyperlink ref="W4430" r:id="rId3840" xr:uid="{00000000-0004-0000-0000-0000FF0E0000}"/>
    <hyperlink ref="I4431" r:id="rId3841" xr:uid="{00000000-0004-0000-0000-0000000F0000}"/>
    <hyperlink ref="W4431" r:id="rId3842" location="page3" xr:uid="{00000000-0004-0000-0000-0000010F0000}"/>
    <hyperlink ref="W4432" r:id="rId3843" xr:uid="{00000000-0004-0000-0000-0000020F0000}"/>
    <hyperlink ref="W4433" r:id="rId3844" xr:uid="{00000000-0004-0000-0000-0000030F0000}"/>
    <hyperlink ref="W4434" r:id="rId3845" xr:uid="{00000000-0004-0000-0000-0000040F0000}"/>
    <hyperlink ref="W4435" r:id="rId3846" xr:uid="{00000000-0004-0000-0000-0000050F0000}"/>
    <hyperlink ref="W4436" r:id="rId3847" xr:uid="{00000000-0004-0000-0000-0000060F0000}"/>
    <hyperlink ref="W4437" r:id="rId3848" xr:uid="{00000000-0004-0000-0000-0000070F0000}"/>
    <hyperlink ref="W4438" r:id="rId3849" xr:uid="{00000000-0004-0000-0000-0000080F0000}"/>
    <hyperlink ref="W4439" r:id="rId3850" xr:uid="{00000000-0004-0000-0000-0000090F0000}"/>
    <hyperlink ref="W4440" r:id="rId3851" xr:uid="{00000000-0004-0000-0000-00000A0F0000}"/>
    <hyperlink ref="W4441" r:id="rId3852" xr:uid="{00000000-0004-0000-0000-00000B0F0000}"/>
    <hyperlink ref="W4442" r:id="rId3853" xr:uid="{00000000-0004-0000-0000-00000C0F0000}"/>
    <hyperlink ref="W4443" r:id="rId3854" xr:uid="{00000000-0004-0000-0000-00000D0F0000}"/>
    <hyperlink ref="W4444" r:id="rId3855" xr:uid="{00000000-0004-0000-0000-00000E0F0000}"/>
    <hyperlink ref="W4445" r:id="rId3856" xr:uid="{00000000-0004-0000-0000-00000F0F0000}"/>
    <hyperlink ref="W4446" r:id="rId3857" xr:uid="{00000000-0004-0000-0000-0000100F0000}"/>
    <hyperlink ref="W4447" r:id="rId3858" xr:uid="{00000000-0004-0000-0000-0000110F0000}"/>
    <hyperlink ref="W4448" r:id="rId3859" xr:uid="{00000000-0004-0000-0000-0000120F0000}"/>
    <hyperlink ref="W4449" r:id="rId3860" xr:uid="{00000000-0004-0000-0000-0000130F0000}"/>
    <hyperlink ref="W4451" r:id="rId3861" xr:uid="{00000000-0004-0000-0000-0000140F0000}"/>
    <hyperlink ref="W4452" r:id="rId3862" xr:uid="{00000000-0004-0000-0000-0000150F0000}"/>
    <hyperlink ref="W4453" r:id="rId3863" xr:uid="{00000000-0004-0000-0000-0000160F0000}"/>
    <hyperlink ref="W4456" r:id="rId3864" xr:uid="{00000000-0004-0000-0000-0000170F0000}"/>
    <hyperlink ref="W4457" r:id="rId3865" xr:uid="{00000000-0004-0000-0000-0000180F0000}"/>
    <hyperlink ref="W4458" r:id="rId3866" xr:uid="{00000000-0004-0000-0000-0000190F0000}"/>
    <hyperlink ref="W4459" r:id="rId3867" xr:uid="{00000000-0004-0000-0000-00001A0F0000}"/>
    <hyperlink ref="W4460" r:id="rId3868" xr:uid="{00000000-0004-0000-0000-00001B0F0000}"/>
    <hyperlink ref="W4461" r:id="rId3869" xr:uid="{00000000-0004-0000-0000-00001C0F0000}"/>
    <hyperlink ref="W4462" r:id="rId3870" xr:uid="{00000000-0004-0000-0000-00001D0F0000}"/>
    <hyperlink ref="W4463" r:id="rId3871" xr:uid="{00000000-0004-0000-0000-00001E0F0000}"/>
    <hyperlink ref="W4464" r:id="rId3872" xr:uid="{00000000-0004-0000-0000-00001F0F0000}"/>
    <hyperlink ref="W4465" r:id="rId3873" xr:uid="{00000000-0004-0000-0000-0000200F0000}"/>
    <hyperlink ref="W4466" r:id="rId3874" xr:uid="{00000000-0004-0000-0000-0000210F0000}"/>
    <hyperlink ref="W4467" r:id="rId3875" xr:uid="{00000000-0004-0000-0000-0000220F0000}"/>
    <hyperlink ref="W4468" r:id="rId3876" xr:uid="{00000000-0004-0000-0000-0000230F0000}"/>
    <hyperlink ref="W4469" r:id="rId3877" xr:uid="{00000000-0004-0000-0000-0000240F0000}"/>
    <hyperlink ref="W4470" r:id="rId3878" xr:uid="{00000000-0004-0000-0000-0000250F0000}"/>
    <hyperlink ref="W4471" r:id="rId3879" xr:uid="{00000000-0004-0000-0000-0000260F0000}"/>
    <hyperlink ref="W4472" r:id="rId3880" xr:uid="{00000000-0004-0000-0000-0000270F0000}"/>
    <hyperlink ref="W4473" r:id="rId3881" xr:uid="{00000000-0004-0000-0000-0000280F0000}"/>
    <hyperlink ref="W4474" r:id="rId3882" xr:uid="{00000000-0004-0000-0000-0000290F0000}"/>
    <hyperlink ref="W4476" r:id="rId3883" xr:uid="{00000000-0004-0000-0000-00002A0F0000}"/>
    <hyperlink ref="W4477" r:id="rId3884" xr:uid="{00000000-0004-0000-0000-00002B0F0000}"/>
    <hyperlink ref="W4478" r:id="rId3885" xr:uid="{00000000-0004-0000-0000-00002C0F0000}"/>
    <hyperlink ref="W4479" r:id="rId3886" xr:uid="{00000000-0004-0000-0000-00002D0F0000}"/>
    <hyperlink ref="W4480" r:id="rId3887" xr:uid="{00000000-0004-0000-0000-00002E0F0000}"/>
    <hyperlink ref="W4481" r:id="rId3888" xr:uid="{00000000-0004-0000-0000-00002F0F0000}"/>
    <hyperlink ref="W4482" r:id="rId3889" xr:uid="{00000000-0004-0000-0000-0000300F0000}"/>
    <hyperlink ref="W4483" r:id="rId3890" xr:uid="{00000000-0004-0000-0000-0000310F0000}"/>
    <hyperlink ref="W4485" r:id="rId3891" xr:uid="{00000000-0004-0000-0000-0000320F0000}"/>
    <hyperlink ref="J4486" r:id="rId3892" display="https://www.monotaro.com/p/5095/8328/" xr:uid="{00000000-0004-0000-0000-0000330F0000}"/>
    <hyperlink ref="W4486" r:id="rId3893" xr:uid="{00000000-0004-0000-0000-0000340F0000}"/>
    <hyperlink ref="H4487" r:id="rId3894" xr:uid="{00000000-0004-0000-0000-0000350F0000}"/>
    <hyperlink ref="W4487" r:id="rId3895" xr:uid="{00000000-0004-0000-0000-0000360F0000}"/>
    <hyperlink ref="W4488" r:id="rId3896" xr:uid="{00000000-0004-0000-0000-0000370F0000}"/>
    <hyperlink ref="J4489" r:id="rId3897" display="https://www.monotaro.com/p/0639/3624/?t.q=%83J%83v%83g%83%93%83e%81%5B%83v" xr:uid="{00000000-0004-0000-0000-0000380F0000}"/>
    <hyperlink ref="W4489" r:id="rId3898" xr:uid="{00000000-0004-0000-0000-0000390F0000}"/>
    <hyperlink ref="W4490" r:id="rId3899" xr:uid="{00000000-0004-0000-0000-00003A0F0000}"/>
    <hyperlink ref="W4491" r:id="rId3900" xr:uid="{00000000-0004-0000-0000-00003B0F0000}"/>
    <hyperlink ref="W4492" r:id="rId3901" xr:uid="{00000000-0004-0000-0000-00003C0F0000}"/>
    <hyperlink ref="W4493" r:id="rId3902" xr:uid="{00000000-0004-0000-0000-00003D0F0000}"/>
    <hyperlink ref="W4494" r:id="rId3903" xr:uid="{00000000-0004-0000-0000-00003E0F0000}"/>
    <hyperlink ref="W4495" r:id="rId3904" xr:uid="{00000000-0004-0000-0000-00003F0F0000}"/>
    <hyperlink ref="W4498" r:id="rId3905" xr:uid="{00000000-0004-0000-0000-0000400F0000}"/>
    <hyperlink ref="W4499" r:id="rId3906" xr:uid="{00000000-0004-0000-0000-0000410F0000}"/>
    <hyperlink ref="W4500" r:id="rId3907" xr:uid="{00000000-0004-0000-0000-0000420F0000}"/>
    <hyperlink ref="W4501" r:id="rId3908" xr:uid="{00000000-0004-0000-0000-0000430F0000}"/>
    <hyperlink ref="W4502" r:id="rId3909" xr:uid="{00000000-0004-0000-0000-0000440F0000}"/>
    <hyperlink ref="W4503" r:id="rId3910" xr:uid="{00000000-0004-0000-0000-0000450F0000}"/>
    <hyperlink ref="W4504" r:id="rId3911" xr:uid="{00000000-0004-0000-0000-0000460F0000}"/>
    <hyperlink ref="W4505" r:id="rId3912" xr:uid="{00000000-0004-0000-0000-0000470F0000}"/>
    <hyperlink ref="W4506" r:id="rId3913" xr:uid="{00000000-0004-0000-0000-0000480F0000}"/>
    <hyperlink ref="W4507" r:id="rId3914" xr:uid="{00000000-0004-0000-0000-0000490F0000}"/>
    <hyperlink ref="W4508" r:id="rId3915" xr:uid="{00000000-0004-0000-0000-00004A0F0000}"/>
    <hyperlink ref="W4509" r:id="rId3916" xr:uid="{00000000-0004-0000-0000-00004B0F0000}"/>
    <hyperlink ref="W4510" r:id="rId3917" xr:uid="{00000000-0004-0000-0000-00004C0F0000}"/>
    <hyperlink ref="W4511" r:id="rId3918" xr:uid="{00000000-0004-0000-0000-00004D0F0000}"/>
    <hyperlink ref="W4512" r:id="rId3919" xr:uid="{00000000-0004-0000-0000-00004E0F0000}"/>
    <hyperlink ref="W4513" r:id="rId3920" xr:uid="{00000000-0004-0000-0000-00004F0F0000}"/>
    <hyperlink ref="W4514" r:id="rId3921" xr:uid="{00000000-0004-0000-0000-0000500F0000}"/>
    <hyperlink ref="W4515" r:id="rId3922" xr:uid="{00000000-0004-0000-0000-0000510F0000}"/>
    <hyperlink ref="W4516" r:id="rId3923" xr:uid="{00000000-0004-0000-0000-0000520F0000}"/>
    <hyperlink ref="W4517" r:id="rId3924" xr:uid="{00000000-0004-0000-0000-0000530F0000}"/>
    <hyperlink ref="W4518" r:id="rId3925" xr:uid="{00000000-0004-0000-0000-0000540F0000}"/>
    <hyperlink ref="W4519" r:id="rId3926" xr:uid="{00000000-0004-0000-0000-0000550F0000}"/>
    <hyperlink ref="W4520" r:id="rId3927" xr:uid="{00000000-0004-0000-0000-0000560F0000}"/>
    <hyperlink ref="W4521" r:id="rId3928" xr:uid="{00000000-0004-0000-0000-0000570F0000}"/>
    <hyperlink ref="W4522" r:id="rId3929" xr:uid="{00000000-0004-0000-0000-0000580F0000}"/>
    <hyperlink ref="W4523" r:id="rId3930" xr:uid="{00000000-0004-0000-0000-0000590F0000}"/>
    <hyperlink ref="W4524" r:id="rId3931" xr:uid="{00000000-0004-0000-0000-00005A0F0000}"/>
    <hyperlink ref="W4525" r:id="rId3932" xr:uid="{00000000-0004-0000-0000-00005B0F0000}"/>
    <hyperlink ref="W4528" r:id="rId3933" xr:uid="{00000000-0004-0000-0000-00005C0F0000}"/>
    <hyperlink ref="W4529" r:id="rId3934" xr:uid="{00000000-0004-0000-0000-00005D0F0000}"/>
    <hyperlink ref="W4530" r:id="rId3935" xr:uid="{00000000-0004-0000-0000-00005E0F0000}"/>
    <hyperlink ref="W4531" r:id="rId3936" xr:uid="{00000000-0004-0000-0000-00005F0F0000}"/>
    <hyperlink ref="W4532" r:id="rId3937" xr:uid="{00000000-0004-0000-0000-0000600F0000}"/>
    <hyperlink ref="W4534" r:id="rId3938" xr:uid="{00000000-0004-0000-0000-0000610F0000}"/>
    <hyperlink ref="W4535" r:id="rId3939" xr:uid="{00000000-0004-0000-0000-0000620F0000}"/>
    <hyperlink ref="W4536" r:id="rId3940" xr:uid="{00000000-0004-0000-0000-0000630F0000}"/>
    <hyperlink ref="W4537" r:id="rId3941" xr:uid="{00000000-0004-0000-0000-0000640F0000}"/>
    <hyperlink ref="W4538" r:id="rId3942" xr:uid="{00000000-0004-0000-0000-0000650F0000}"/>
    <hyperlink ref="W4539" r:id="rId3943" xr:uid="{00000000-0004-0000-0000-0000660F0000}"/>
    <hyperlink ref="W4540" r:id="rId3944" xr:uid="{00000000-0004-0000-0000-0000670F0000}"/>
    <hyperlink ref="W4541" r:id="rId3945" xr:uid="{00000000-0004-0000-0000-0000680F0000}"/>
    <hyperlink ref="W4542" r:id="rId3946" xr:uid="{00000000-0004-0000-0000-0000690F0000}"/>
    <hyperlink ref="W4543" r:id="rId3947" xr:uid="{00000000-0004-0000-0000-00006A0F0000}"/>
    <hyperlink ref="W4544" r:id="rId3948" xr:uid="{00000000-0004-0000-0000-00006B0F0000}"/>
    <hyperlink ref="W4545" r:id="rId3949" xr:uid="{00000000-0004-0000-0000-00006C0F0000}"/>
    <hyperlink ref="W4546" r:id="rId3950" xr:uid="{00000000-0004-0000-0000-00006D0F0000}"/>
    <hyperlink ref="W4547" r:id="rId3951" xr:uid="{00000000-0004-0000-0000-00006E0F0000}"/>
    <hyperlink ref="W4548" r:id="rId3952" xr:uid="{00000000-0004-0000-0000-00006F0F0000}"/>
    <hyperlink ref="W4549" r:id="rId3953" xr:uid="{00000000-0004-0000-0000-0000700F0000}"/>
    <hyperlink ref="W4550" r:id="rId3954" xr:uid="{00000000-0004-0000-0000-0000710F0000}"/>
    <hyperlink ref="W4551" r:id="rId3955" xr:uid="{00000000-0004-0000-0000-0000720F0000}"/>
    <hyperlink ref="W4553" r:id="rId3956" xr:uid="{00000000-0004-0000-0000-0000730F0000}"/>
    <hyperlink ref="W4556" r:id="rId3957" xr:uid="{00000000-0004-0000-0000-0000740F0000}"/>
    <hyperlink ref="W4557" r:id="rId3958" xr:uid="{00000000-0004-0000-0000-0000750F0000}"/>
    <hyperlink ref="W4558" r:id="rId3959" xr:uid="{00000000-0004-0000-0000-0000760F0000}"/>
    <hyperlink ref="W4559" r:id="rId3960" xr:uid="{00000000-0004-0000-0000-0000770F0000}"/>
    <hyperlink ref="W4560" r:id="rId3961" xr:uid="{00000000-0004-0000-0000-0000780F0000}"/>
    <hyperlink ref="W4561" r:id="rId3962" xr:uid="{00000000-0004-0000-0000-0000790F0000}"/>
    <hyperlink ref="W4562" r:id="rId3963" xr:uid="{00000000-0004-0000-0000-00007A0F0000}"/>
    <hyperlink ref="W4563" r:id="rId3964" xr:uid="{00000000-0004-0000-0000-00007B0F0000}"/>
    <hyperlink ref="W4565" r:id="rId3965" xr:uid="{00000000-0004-0000-0000-00007C0F0000}"/>
    <hyperlink ref="W4568" r:id="rId3966" xr:uid="{00000000-0004-0000-0000-00007D0F0000}"/>
    <hyperlink ref="W4569" r:id="rId3967" xr:uid="{00000000-0004-0000-0000-00007E0F0000}"/>
    <hyperlink ref="W4570" r:id="rId3968" xr:uid="{00000000-0004-0000-0000-00007F0F0000}"/>
    <hyperlink ref="W4571" r:id="rId3969" xr:uid="{00000000-0004-0000-0000-0000800F0000}"/>
    <hyperlink ref="W4572" r:id="rId3970" xr:uid="{00000000-0004-0000-0000-0000810F0000}"/>
    <hyperlink ref="W4573" r:id="rId3971" xr:uid="{00000000-0004-0000-0000-0000820F0000}"/>
    <hyperlink ref="W4576" r:id="rId3972" xr:uid="{00000000-0004-0000-0000-0000830F0000}"/>
    <hyperlink ref="W4577" r:id="rId3973" xr:uid="{00000000-0004-0000-0000-0000840F0000}"/>
    <hyperlink ref="W4579" r:id="rId3974" xr:uid="{00000000-0004-0000-0000-0000850F0000}"/>
    <hyperlink ref="W4580" r:id="rId3975" xr:uid="{00000000-0004-0000-0000-0000860F0000}"/>
    <hyperlink ref="W4581" r:id="rId3976" xr:uid="{00000000-0004-0000-0000-0000870F0000}"/>
    <hyperlink ref="W4582" r:id="rId3977" xr:uid="{00000000-0004-0000-0000-0000880F0000}"/>
    <hyperlink ref="W4583" r:id="rId3978" xr:uid="{00000000-0004-0000-0000-0000890F0000}"/>
    <hyperlink ref="W4585" r:id="rId3979" xr:uid="{00000000-0004-0000-0000-00008A0F0000}"/>
    <hyperlink ref="W4586" r:id="rId3980" xr:uid="{00000000-0004-0000-0000-00008B0F0000}"/>
    <hyperlink ref="H4587" r:id="rId3981" xr:uid="{00000000-0004-0000-0000-00008C0F0000}"/>
    <hyperlink ref="W4587" r:id="rId3982" xr:uid="{00000000-0004-0000-0000-00008D0F0000}"/>
    <hyperlink ref="W4588" r:id="rId3983" xr:uid="{00000000-0004-0000-0000-00008E0F0000}"/>
    <hyperlink ref="W4589" r:id="rId3984" xr:uid="{00000000-0004-0000-0000-00008F0F0000}"/>
    <hyperlink ref="W4590" r:id="rId3985" xr:uid="{00000000-0004-0000-0000-0000900F0000}"/>
    <hyperlink ref="W4591" r:id="rId3986" xr:uid="{00000000-0004-0000-0000-0000910F0000}"/>
    <hyperlink ref="W4592" r:id="rId3987" xr:uid="{00000000-0004-0000-0000-0000920F0000}"/>
    <hyperlink ref="W4593" r:id="rId3988" xr:uid="{00000000-0004-0000-0000-0000930F0000}"/>
    <hyperlink ref="W4594" r:id="rId3989" xr:uid="{00000000-0004-0000-0000-0000940F0000}"/>
    <hyperlink ref="W4595" r:id="rId3990" xr:uid="{00000000-0004-0000-0000-0000950F0000}"/>
    <hyperlink ref="W4596" r:id="rId3991" xr:uid="{00000000-0004-0000-0000-0000960F0000}"/>
    <hyperlink ref="W4597" r:id="rId3992" xr:uid="{00000000-0004-0000-0000-0000970F0000}"/>
    <hyperlink ref="W4598" r:id="rId3993" xr:uid="{00000000-0004-0000-0000-0000980F0000}"/>
    <hyperlink ref="W4599" r:id="rId3994" xr:uid="{00000000-0004-0000-0000-0000990F0000}"/>
    <hyperlink ref="W4600" r:id="rId3995" xr:uid="{00000000-0004-0000-0000-00009A0F0000}"/>
    <hyperlink ref="W4601" r:id="rId3996" xr:uid="{00000000-0004-0000-0000-00009B0F0000}"/>
    <hyperlink ref="W4602" r:id="rId3997" xr:uid="{00000000-0004-0000-0000-00009C0F0000}"/>
    <hyperlink ref="W4603" r:id="rId3998" xr:uid="{00000000-0004-0000-0000-00009D0F0000}"/>
    <hyperlink ref="W4604" r:id="rId3999" xr:uid="{00000000-0004-0000-0000-00009E0F0000}"/>
    <hyperlink ref="W4605" r:id="rId4000" xr:uid="{00000000-0004-0000-0000-00009F0F0000}"/>
    <hyperlink ref="W4606" r:id="rId4001" xr:uid="{00000000-0004-0000-0000-0000A00F0000}"/>
    <hyperlink ref="W4607" r:id="rId4002" xr:uid="{00000000-0004-0000-0000-0000A10F0000}"/>
    <hyperlink ref="W4608" r:id="rId4003" xr:uid="{00000000-0004-0000-0000-0000A20F0000}"/>
    <hyperlink ref="W4609" r:id="rId4004" xr:uid="{00000000-0004-0000-0000-0000A30F0000}"/>
    <hyperlink ref="W4610" r:id="rId4005" xr:uid="{00000000-0004-0000-0000-0000A40F0000}"/>
    <hyperlink ref="W4611" r:id="rId4006" xr:uid="{00000000-0004-0000-0000-0000A50F0000}"/>
    <hyperlink ref="W4612" r:id="rId4007" xr:uid="{00000000-0004-0000-0000-0000A60F0000}"/>
    <hyperlink ref="W4613" r:id="rId4008" xr:uid="{00000000-0004-0000-0000-0000A70F0000}"/>
    <hyperlink ref="W4614" r:id="rId4009" xr:uid="{00000000-0004-0000-0000-0000A80F0000}"/>
    <hyperlink ref="W4615" r:id="rId4010" xr:uid="{00000000-0004-0000-0000-0000A90F0000}"/>
    <hyperlink ref="W4616" r:id="rId4011" xr:uid="{00000000-0004-0000-0000-0000AA0F0000}"/>
    <hyperlink ref="W4617" r:id="rId4012" xr:uid="{00000000-0004-0000-0000-0000AB0F0000}"/>
    <hyperlink ref="W4618" r:id="rId4013" xr:uid="{00000000-0004-0000-0000-0000AC0F0000}"/>
    <hyperlink ref="W4619" r:id="rId4014" xr:uid="{00000000-0004-0000-0000-0000AD0F0000}"/>
    <hyperlink ref="W4620" r:id="rId4015" xr:uid="{00000000-0004-0000-0000-0000AE0F0000}"/>
    <hyperlink ref="W4621" r:id="rId4016" xr:uid="{00000000-0004-0000-0000-0000AF0F0000}"/>
    <hyperlink ref="W4622" r:id="rId4017" xr:uid="{00000000-0004-0000-0000-0000B00F0000}"/>
    <hyperlink ref="W4624" r:id="rId4018" xr:uid="{00000000-0004-0000-0000-0000B10F0000}"/>
    <hyperlink ref="W4625" r:id="rId4019" xr:uid="{00000000-0004-0000-0000-0000B20F0000}"/>
    <hyperlink ref="W4626" r:id="rId4020" xr:uid="{00000000-0004-0000-0000-0000B30F0000}"/>
    <hyperlink ref="W4627" r:id="rId4021" xr:uid="{00000000-0004-0000-0000-0000B40F0000}"/>
    <hyperlink ref="W4628" r:id="rId4022" xr:uid="{00000000-0004-0000-0000-0000B50F0000}"/>
    <hyperlink ref="W4629" r:id="rId4023" xr:uid="{00000000-0004-0000-0000-0000B60F0000}"/>
    <hyperlink ref="W4630" r:id="rId4024" xr:uid="{00000000-0004-0000-0000-0000B70F0000}"/>
    <hyperlink ref="W4631" r:id="rId4025" xr:uid="{00000000-0004-0000-0000-0000B80F0000}"/>
    <hyperlink ref="W4632" r:id="rId4026" xr:uid="{00000000-0004-0000-0000-0000B90F0000}"/>
    <hyperlink ref="W4633" r:id="rId4027" xr:uid="{00000000-0004-0000-0000-0000BA0F0000}"/>
    <hyperlink ref="W4634" r:id="rId4028" xr:uid="{00000000-0004-0000-0000-0000BB0F0000}"/>
    <hyperlink ref="W4635" r:id="rId4029" xr:uid="{00000000-0004-0000-0000-0000BC0F0000}"/>
    <hyperlink ref="W4637" r:id="rId4030" xr:uid="{00000000-0004-0000-0000-0000BD0F0000}"/>
    <hyperlink ref="W4638" r:id="rId4031" xr:uid="{00000000-0004-0000-0000-0000BE0F0000}"/>
    <hyperlink ref="W4639" r:id="rId4032" xr:uid="{00000000-0004-0000-0000-0000BF0F0000}"/>
    <hyperlink ref="W4640" r:id="rId4033" xr:uid="{00000000-0004-0000-0000-0000C00F0000}"/>
    <hyperlink ref="W4642" r:id="rId4034" xr:uid="{00000000-0004-0000-0000-0000C10F0000}"/>
    <hyperlink ref="W4644" r:id="rId4035" xr:uid="{00000000-0004-0000-0000-0000C20F0000}"/>
    <hyperlink ref="W4645" r:id="rId4036" xr:uid="{00000000-0004-0000-0000-0000C30F0000}"/>
    <hyperlink ref="W4646" r:id="rId4037" xr:uid="{00000000-0004-0000-0000-0000C40F0000}"/>
    <hyperlink ref="W4647" r:id="rId4038" xr:uid="{00000000-0004-0000-0000-0000C50F0000}"/>
    <hyperlink ref="W4648" r:id="rId4039" xr:uid="{00000000-0004-0000-0000-0000C60F0000}"/>
    <hyperlink ref="W4649" r:id="rId4040" xr:uid="{00000000-0004-0000-0000-0000C70F0000}"/>
    <hyperlink ref="W4650" r:id="rId4041" xr:uid="{00000000-0004-0000-0000-0000C80F0000}"/>
    <hyperlink ref="W4651" r:id="rId4042" xr:uid="{00000000-0004-0000-0000-0000C90F0000}"/>
    <hyperlink ref="W4652" r:id="rId4043" xr:uid="{00000000-0004-0000-0000-0000CA0F0000}"/>
    <hyperlink ref="W4654" r:id="rId4044" xr:uid="{00000000-0004-0000-0000-0000CB0F0000}"/>
    <hyperlink ref="W4655" r:id="rId4045" xr:uid="{00000000-0004-0000-0000-0000CC0F0000}"/>
    <hyperlink ref="W4656" r:id="rId4046" xr:uid="{00000000-0004-0000-0000-0000CD0F0000}"/>
    <hyperlink ref="W4657" r:id="rId4047" xr:uid="{00000000-0004-0000-0000-0000CE0F0000}"/>
    <hyperlink ref="W4658" r:id="rId4048" xr:uid="{00000000-0004-0000-0000-0000CF0F0000}"/>
    <hyperlink ref="W4659" r:id="rId4049" xr:uid="{00000000-0004-0000-0000-0000D00F0000}"/>
    <hyperlink ref="W4660" r:id="rId4050" xr:uid="{00000000-0004-0000-0000-0000D10F0000}"/>
    <hyperlink ref="W4661" r:id="rId4051" xr:uid="{00000000-0004-0000-0000-0000D20F0000}"/>
    <hyperlink ref="W4662" r:id="rId4052" xr:uid="{00000000-0004-0000-0000-0000D30F0000}"/>
    <hyperlink ref="W4663" r:id="rId4053" xr:uid="{00000000-0004-0000-0000-0000D40F0000}"/>
    <hyperlink ref="W4664" r:id="rId4054" xr:uid="{00000000-0004-0000-0000-0000D50F0000}"/>
    <hyperlink ref="W4665" r:id="rId4055" xr:uid="{00000000-0004-0000-0000-0000D60F0000}"/>
    <hyperlink ref="W4666" r:id="rId4056" xr:uid="{00000000-0004-0000-0000-0000D70F0000}"/>
    <hyperlink ref="W4667" r:id="rId4057" xr:uid="{00000000-0004-0000-0000-0000D80F0000}"/>
    <hyperlink ref="W4668" r:id="rId4058" xr:uid="{00000000-0004-0000-0000-0000D90F0000}"/>
    <hyperlink ref="W4669" r:id="rId4059" xr:uid="{00000000-0004-0000-0000-0000DA0F0000}"/>
    <hyperlink ref="W4670" r:id="rId4060" xr:uid="{00000000-0004-0000-0000-0000DB0F0000}"/>
    <hyperlink ref="W4671" r:id="rId4061" xr:uid="{00000000-0004-0000-0000-0000DC0F0000}"/>
    <hyperlink ref="W4672" r:id="rId4062" xr:uid="{00000000-0004-0000-0000-0000DD0F0000}"/>
    <hyperlink ref="W4673" r:id="rId4063" xr:uid="{00000000-0004-0000-0000-0000DE0F0000}"/>
    <hyperlink ref="W4674" r:id="rId4064" xr:uid="{00000000-0004-0000-0000-0000DF0F0000}"/>
    <hyperlink ref="W4675" r:id="rId4065" xr:uid="{00000000-0004-0000-0000-0000E00F0000}"/>
    <hyperlink ref="W4676" r:id="rId4066" xr:uid="{00000000-0004-0000-0000-0000E10F0000}"/>
    <hyperlink ref="W4677" r:id="rId4067" xr:uid="{00000000-0004-0000-0000-0000E20F0000}"/>
    <hyperlink ref="W4678" r:id="rId4068" xr:uid="{00000000-0004-0000-0000-0000E30F0000}"/>
    <hyperlink ref="W4679" r:id="rId4069" xr:uid="{00000000-0004-0000-0000-0000E40F0000}"/>
    <hyperlink ref="W4680" r:id="rId4070" xr:uid="{00000000-0004-0000-0000-0000E50F0000}"/>
    <hyperlink ref="W4681" r:id="rId4071" xr:uid="{00000000-0004-0000-0000-0000E60F0000}"/>
    <hyperlink ref="W4682" r:id="rId4072" xr:uid="{00000000-0004-0000-0000-0000E70F0000}"/>
    <hyperlink ref="W4683" r:id="rId4073" xr:uid="{00000000-0004-0000-0000-0000E80F0000}"/>
    <hyperlink ref="W4684" r:id="rId4074" xr:uid="{00000000-0004-0000-0000-0000E90F0000}"/>
    <hyperlink ref="W4685" r:id="rId4075" xr:uid="{00000000-0004-0000-0000-0000EA0F0000}"/>
    <hyperlink ref="W4686" r:id="rId4076" xr:uid="{00000000-0004-0000-0000-0000EB0F0000}"/>
    <hyperlink ref="W4687" r:id="rId4077" xr:uid="{00000000-0004-0000-0000-0000EC0F0000}"/>
    <hyperlink ref="W4688" r:id="rId4078" xr:uid="{00000000-0004-0000-0000-0000ED0F0000}"/>
    <hyperlink ref="W4689" r:id="rId4079" xr:uid="{00000000-0004-0000-0000-0000EE0F0000}"/>
    <hyperlink ref="W4690" r:id="rId4080" xr:uid="{00000000-0004-0000-0000-0000EF0F0000}"/>
    <hyperlink ref="W4691" r:id="rId4081" xr:uid="{00000000-0004-0000-0000-0000F00F0000}"/>
    <hyperlink ref="W4692" r:id="rId4082" xr:uid="{00000000-0004-0000-0000-0000F10F0000}"/>
    <hyperlink ref="W4693" r:id="rId4083" xr:uid="{00000000-0004-0000-0000-0000F20F0000}"/>
    <hyperlink ref="W4694" r:id="rId4084" xr:uid="{00000000-0004-0000-0000-0000F30F0000}"/>
    <hyperlink ref="W4695" r:id="rId4085" xr:uid="{00000000-0004-0000-0000-0000F40F0000}"/>
    <hyperlink ref="W4698" r:id="rId4086" xr:uid="{00000000-0004-0000-0000-0000F50F0000}"/>
    <hyperlink ref="W4700" r:id="rId4087" xr:uid="{00000000-0004-0000-0000-0000F60F0000}"/>
    <hyperlink ref="W4701" r:id="rId4088" xr:uid="{00000000-0004-0000-0000-0000F70F0000}"/>
    <hyperlink ref="W4702" r:id="rId4089" xr:uid="{00000000-0004-0000-0000-0000F80F0000}"/>
    <hyperlink ref="W4703" r:id="rId4090" xr:uid="{00000000-0004-0000-0000-0000F90F0000}"/>
    <hyperlink ref="W4704" r:id="rId4091" xr:uid="{00000000-0004-0000-0000-0000FA0F0000}"/>
    <hyperlink ref="W4705" r:id="rId4092" xr:uid="{00000000-0004-0000-0000-0000FB0F0000}"/>
    <hyperlink ref="W4706" r:id="rId4093" xr:uid="{00000000-0004-0000-0000-0000FC0F0000}"/>
    <hyperlink ref="W4708" r:id="rId4094" xr:uid="{00000000-0004-0000-0000-0000FD0F0000}"/>
    <hyperlink ref="C4709" r:id="rId4095" xr:uid="{00000000-0004-0000-0000-0000FE0F0000}"/>
    <hyperlink ref="W4709" r:id="rId4096" xr:uid="{00000000-0004-0000-0000-0000FF0F0000}"/>
    <hyperlink ref="W4710" r:id="rId4097" xr:uid="{00000000-0004-0000-0000-000000100000}"/>
    <hyperlink ref="W4711" r:id="rId4098" xr:uid="{00000000-0004-0000-0000-000001100000}"/>
    <hyperlink ref="W4712" r:id="rId4099" xr:uid="{00000000-0004-0000-0000-000002100000}"/>
    <hyperlink ref="W4714" r:id="rId4100" xr:uid="{00000000-0004-0000-0000-000003100000}"/>
    <hyperlink ref="W4715" r:id="rId4101" xr:uid="{00000000-0004-0000-0000-000004100000}"/>
    <hyperlink ref="W4720" r:id="rId4102" xr:uid="{00000000-0004-0000-0000-000005100000}"/>
    <hyperlink ref="W4721" r:id="rId4103" xr:uid="{00000000-0004-0000-0000-000006100000}"/>
    <hyperlink ref="W4722" r:id="rId4104" xr:uid="{00000000-0004-0000-0000-000007100000}"/>
    <hyperlink ref="W4723" r:id="rId4105" xr:uid="{00000000-0004-0000-0000-000008100000}"/>
    <hyperlink ref="W4724" r:id="rId4106" xr:uid="{00000000-0004-0000-0000-000009100000}"/>
    <hyperlink ref="W4725" r:id="rId4107" xr:uid="{00000000-0004-0000-0000-00000A100000}"/>
    <hyperlink ref="W4726" r:id="rId4108" xr:uid="{00000000-0004-0000-0000-00000B100000}"/>
    <hyperlink ref="W4727" r:id="rId4109" xr:uid="{00000000-0004-0000-0000-00000C100000}"/>
    <hyperlink ref="W4728" r:id="rId4110" xr:uid="{00000000-0004-0000-0000-00000D100000}"/>
    <hyperlink ref="W4729" r:id="rId4111" xr:uid="{00000000-0004-0000-0000-00000E100000}"/>
    <hyperlink ref="W4730" r:id="rId4112" xr:uid="{00000000-0004-0000-0000-00000F100000}"/>
    <hyperlink ref="W4731" r:id="rId4113" xr:uid="{00000000-0004-0000-0000-000010100000}"/>
    <hyperlink ref="W4732" r:id="rId4114" xr:uid="{00000000-0004-0000-0000-000011100000}"/>
    <hyperlink ref="W4733" r:id="rId4115" xr:uid="{00000000-0004-0000-0000-000012100000}"/>
    <hyperlink ref="W4735" r:id="rId4116" xr:uid="{00000000-0004-0000-0000-000013100000}"/>
    <hyperlink ref="W4713" r:id="rId4117" xr:uid="{00000000-0004-0000-0000-000014100000}"/>
    <hyperlink ref="W4716" r:id="rId4118" xr:uid="{00000000-0004-0000-0000-000015100000}"/>
    <hyperlink ref="W4717" r:id="rId4119" xr:uid="{00000000-0004-0000-0000-000016100000}"/>
    <hyperlink ref="W4718" r:id="rId4120" xr:uid="{00000000-0004-0000-0000-000017100000}"/>
    <hyperlink ref="W4719" r:id="rId4121" xr:uid="{00000000-0004-0000-0000-000018100000}"/>
    <hyperlink ref="W4739" r:id="rId4122" display="https://jp.rs-online.com/web/p/toggle-switches/7347066/?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733342D37303636267365617263685F6B6579776F72645F6170703D37333437303636267365617263685F636F6E6669673D3126&amp;searchHistory=%7B%22enabled%22%3Afalse%7D" xr:uid="{00000000-0004-0000-0000-000019100000}"/>
    <hyperlink ref="W4740" r:id="rId4123" xr:uid="{00000000-0004-0000-0000-00001A100000}"/>
    <hyperlink ref="W4741" r:id="rId4124" xr:uid="{00000000-0004-0000-0000-00001B100000}"/>
    <hyperlink ref="W4742" r:id="rId4125" xr:uid="{00000000-0004-0000-0000-00001C100000}"/>
    <hyperlink ref="W4743" r:id="rId4126" xr:uid="{00000000-0004-0000-0000-00001D100000}"/>
    <hyperlink ref="W4744" r:id="rId4127" xr:uid="{00000000-0004-0000-0000-00001E100000}"/>
    <hyperlink ref="W4745" r:id="rId4128" xr:uid="{00000000-0004-0000-0000-00001F100000}"/>
    <hyperlink ref="W4746" r:id="rId4129" xr:uid="{00000000-0004-0000-0000-000020100000}"/>
    <hyperlink ref="W4747" r:id="rId4130" xr:uid="{00000000-0004-0000-0000-000021100000}"/>
    <hyperlink ref="W4748" r:id="rId4131" xr:uid="{00000000-0004-0000-0000-000022100000}"/>
    <hyperlink ref="W4749" r:id="rId4132" xr:uid="{00000000-0004-0000-0000-000023100000}"/>
    <hyperlink ref="W4750" r:id="rId4133" xr:uid="{00000000-0004-0000-0000-000024100000}"/>
    <hyperlink ref="W4751" r:id="rId4134" xr:uid="{00000000-0004-0000-0000-000025100000}"/>
    <hyperlink ref="W4754" r:id="rId4135" xr:uid="{00000000-0004-0000-0000-000026100000}"/>
    <hyperlink ref="W4755" r:id="rId4136" xr:uid="{00000000-0004-0000-0000-000027100000}"/>
    <hyperlink ref="W4756" r:id="rId4137" xr:uid="{00000000-0004-0000-0000-000028100000}"/>
    <hyperlink ref="W4757" r:id="rId4138" xr:uid="{00000000-0004-0000-0000-000029100000}"/>
    <hyperlink ref="W4758" r:id="rId4139" xr:uid="{00000000-0004-0000-0000-00002A100000}"/>
    <hyperlink ref="W4759" r:id="rId4140" xr:uid="{00000000-0004-0000-0000-00002B100000}"/>
    <hyperlink ref="W4760" r:id="rId4141" xr:uid="{00000000-0004-0000-0000-00002C100000}"/>
    <hyperlink ref="W4762" r:id="rId4142" xr:uid="{00000000-0004-0000-0000-00002D100000}"/>
    <hyperlink ref="W4764" r:id="rId4143" xr:uid="{00000000-0004-0000-0000-00002E100000}"/>
    <hyperlink ref="W4763" r:id="rId4144" xr:uid="{00000000-0004-0000-0000-00002F100000}"/>
    <hyperlink ref="W4765" r:id="rId4145" xr:uid="{00000000-0004-0000-0000-000030100000}"/>
    <hyperlink ref="W4766" r:id="rId4146" xr:uid="{00000000-0004-0000-0000-000031100000}"/>
    <hyperlink ref="W4767" r:id="rId4147" xr:uid="{00000000-0004-0000-0000-000032100000}"/>
    <hyperlink ref="W4768" r:id="rId4148" xr:uid="{00000000-0004-0000-0000-000033100000}"/>
    <hyperlink ref="W4761" r:id="rId4149" xr:uid="{00000000-0004-0000-0000-000034100000}"/>
    <hyperlink ref="W4782" r:id="rId4150" xr:uid="{00000000-0004-0000-0000-000035100000}"/>
    <hyperlink ref="W4781" r:id="rId4151" xr:uid="{00000000-0004-0000-0000-000036100000}"/>
    <hyperlink ref="W4780" r:id="rId4152" xr:uid="{00000000-0004-0000-0000-000037100000}"/>
    <hyperlink ref="W4783" r:id="rId4153" xr:uid="{00000000-0004-0000-0000-000038100000}"/>
    <hyperlink ref="W4454" r:id="rId4154" display="https://www.amazon.co.jp/FULARR%C2%AE-3D%E3%83%97%E3%83%AA%E3%83%B3%E3%82%BF%E3%83%BC%E7%94%A8%E5%8A%A0%E7%86%B1%E3%83%96%E3%83%AD%E3%83%83%E3%82%AF%E3%80%816%E5%80%8B-1-75mm%E3%83%86%E3%83%95%E3%83%AD%E3%83%B3%E3%82%B9%E3%83%AD%E3%83%BC%E3%83%88%E3%83%81%E3%83%A5%E3%83%BC%E3%83%96%E3%80%816%E5%80%8B-0-4mm%E6%8A%BC%E5%87%BA%E6%A9%9F%E3%83%8E%E3%82%BA%E3%83%AB%E3%83%97%E3%83%AA%E3%83%B3%E3%83%88%E3%83%98%E3%83%83%E3%83%89%E3%80%81%E3%82%A2%E3%83%AC%E3%83%B3%E3%83%AC%E3%83%B3%E3%83%81-%E3%80%813%E5%80%8B%E3%82%AF%E3%83%AA%E3%83%BC%E3%83%8B%E3%83%B3%E3%82%B0%E3%83%8B%E3%83%BC%E3%83%89%E3%83%AB/dp/B08H163Q5G/ref=sr_1_1_sspa?__mk_ja_JP=%E3%82%AB%E3%82%BF%E3%82%AB%E3%83%8A&amp;dchild=1&amp;keywords=D%E3%83%97%E3%83%AA%E3%83%B3%E3%82%BF%E3%83%BC+%E3%83%8E%E3%82%BA%E3%83%AB+%E3%82%B9%E3%83%AD%E3%83%BC%E3%83%88+%E3%83%81%E3%83%A5%E3%83%BC%E3%83%96&amp;qid=1630290969&amp;s=industrial&amp;sr=1-1-spons&amp;psc=1&amp;smid=AOIR09OL6FIAR&amp;spLa=ZW5jcnlwdGVkUXVhbGlmaWVyPUFJODY4REcxVDAwQ1gmZW5jcnlwdGVkSWQ9QTAwNDE5NTYzS0dHVkI4NloyWUJQJmVuY3J5cHRlZEFkSWQ9QTNVT1lNUFVDQjZWTDQmd2lkZ2V0TmFtZT1zcF9hdGYmYWN0aW9uPWNsaWNrUmVkaXJlY3QmZG9Ob3RMb2dDbGljaz10cnVl" xr:uid="{00000000-0004-0000-0000-000039100000}"/>
    <hyperlink ref="W4784" r:id="rId4155" display="https://www.amazon.co.jp/FULARR%C2%AE-3D%E3%83%97%E3%83%AA%E3%83%B3%E3%82%BF%E3%83%BC%E7%94%A8%E5%8A%A0%E7%86%B1%E3%83%96%E3%83%AD%E3%83%83%E3%82%AF%E3%80%816%E5%80%8B-1-75mm%E3%83%86%E3%83%95%E3%83%AD%E3%83%B3%E3%82%B9%E3%83%AD%E3%83%BC%E3%83%88%E3%83%81%E3%83%A5%E3%83%BC%E3%83%96%E3%80%816%E5%80%8B-0-4mm%E6%8A%BC%E5%87%BA%E6%A9%9F%E3%83%8E%E3%82%BA%E3%83%AB%E3%83%97%E3%83%AA%E3%83%B3%E3%83%88%E3%83%98%E3%83%83%E3%83%89%E3%80%81%E3%82%A2%E3%83%AC%E3%83%B3%E3%83%AC%E3%83%B3%E3%83%81-%E3%80%813%E5%80%8B%E3%82%AF%E3%83%AA%E3%83%BC%E3%83%8B%E3%83%B3%E3%82%B0%E3%83%8B%E3%83%BC%E3%83%89%E3%83%AB/dp/B08H163Q5G/ref=sr_1_1_sspa?__mk_ja_JP=%E3%82%AB%E3%82%BF%E3%82%AB%E3%83%8A&amp;dchild=1&amp;keywords=D%E3%83%97%E3%83%AA%E3%83%B3%E3%82%BF%E3%83%BC+%E3%83%8E%E3%82%BA%E3%83%AB+%E3%82%B9%E3%83%AD%E3%83%BC%E3%83%88+%E3%83%81%E3%83%A5%E3%83%BC%E3%83%96&amp;qid=1630290969&amp;s=industrial&amp;sr=1-1-spons&amp;psc=1&amp;smid=AOIR09OL6FIAR&amp;spLa=ZW5jcnlwdGVkUXVhbGlmaWVyPUFJODY4REcxVDAwQ1gmZW5jcnlwdGVkSWQ9QTAwNDE5NTYzS0dHVkI4NloyWUJQJmVuY3J5cHRlZEFkSWQ9QTNVT1lNUFVDQjZWTDQmd2lkZ2V0TmFtZT1zcF9hdGYmYWN0aW9uPWNsaWNrUmVkaXJlY3QmZG9Ob3RMb2dDbGljaz10cnVl" xr:uid="{00000000-0004-0000-0000-00003A100000}"/>
    <hyperlink ref="W4794" r:id="rId4156" xr:uid="{00000000-0004-0000-0000-00003B100000}"/>
    <hyperlink ref="W4795" r:id="rId4157" xr:uid="{00000000-0004-0000-0000-00003C100000}"/>
    <hyperlink ref="W4796" r:id="rId4158" xr:uid="{00000000-0004-0000-0000-00003D100000}"/>
    <hyperlink ref="W4797" r:id="rId4159" xr:uid="{00000000-0004-0000-0000-00003E100000}"/>
    <hyperlink ref="W4798" r:id="rId4160" xr:uid="{00000000-0004-0000-0000-00003F100000}"/>
    <hyperlink ref="W4800" r:id="rId4161" xr:uid="{00000000-0004-0000-0000-000040100000}"/>
    <hyperlink ref="W4801" r:id="rId4162" xr:uid="{00000000-0004-0000-0000-000041100000}"/>
    <hyperlink ref="W4802" r:id="rId4163" xr:uid="{00000000-0004-0000-0000-000042100000}"/>
    <hyperlink ref="W4803" r:id="rId4164" display="https://www.digikey.jp/product-detail/ja/3m/DP2216/3M156895-ND/7066677?utm_adgroup=Glue%2C%20Adhesives%2C%20Applicators&amp;utm_source=google&amp;utm_medium=cpc&amp;utm_campaign=Shopping_Product_Tapes%2C%20Adhesives%2C%20Materials&amp;utm_term=&amp;productid=7066677&amp;gclid=CjwKCAjwlbr8BRA0EiwAnt4MTgRrSUisriyRvMlAxhKRfmm56W8Qf-Jv2zQGaxcv9Ct5bR2o8ENSQRoComsQAvD_BwE" xr:uid="{00000000-0004-0000-0000-000043100000}"/>
    <hyperlink ref="W4804" r:id="rId4165" xr:uid="{00000000-0004-0000-0000-000044100000}"/>
    <hyperlink ref="W4805" r:id="rId4166" xr:uid="{00000000-0004-0000-0000-000045100000}"/>
    <hyperlink ref="W4806" r:id="rId4167" xr:uid="{00000000-0004-0000-0000-000046100000}"/>
    <hyperlink ref="W4807" r:id="rId4168" xr:uid="{00000000-0004-0000-0000-000047100000}"/>
    <hyperlink ref="W4808" r:id="rId4169" xr:uid="{00000000-0004-0000-0000-000048100000}"/>
    <hyperlink ref="W4809" r:id="rId4170" xr:uid="{00000000-0004-0000-0000-000049100000}"/>
    <hyperlink ref="W4810" r:id="rId4171" xr:uid="{00000000-0004-0000-0000-00004A100000}"/>
    <hyperlink ref="W4811" r:id="rId4172" xr:uid="{00000000-0004-0000-0000-00004B100000}"/>
    <hyperlink ref="W4812" r:id="rId4173" xr:uid="{00000000-0004-0000-0000-00004C100000}"/>
    <hyperlink ref="W4818" r:id="rId4174" xr:uid="{00000000-0004-0000-0000-00004D100000}"/>
    <hyperlink ref="W4819:W4824" r:id="rId4175" display="https://www.p-ban.com/kiban/com/csComTop.do" xr:uid="{00000000-0004-0000-0000-00004E100000}"/>
    <hyperlink ref="W4825" r:id="rId4176" xr:uid="{00000000-0004-0000-0000-00004F100000}"/>
    <hyperlink ref="W4826" r:id="rId4177" xr:uid="{00000000-0004-0000-0000-000050100000}"/>
    <hyperlink ref="W4827" r:id="rId4178" xr:uid="{00000000-0004-0000-0000-000051100000}"/>
    <hyperlink ref="W4828" r:id="rId4179" xr:uid="{00000000-0004-0000-0000-000052100000}"/>
    <hyperlink ref="W4829" r:id="rId4180" xr:uid="{00000000-0004-0000-0000-000053100000}"/>
    <hyperlink ref="W4830" r:id="rId4181" xr:uid="{00000000-0004-0000-0000-000054100000}"/>
    <hyperlink ref="W4831" r:id="rId4182" xr:uid="{00000000-0004-0000-0000-000055100000}"/>
    <hyperlink ref="W4832" r:id="rId4183" xr:uid="{00000000-0004-0000-0000-000056100000}"/>
    <hyperlink ref="W4834" r:id="rId4184" xr:uid="{00000000-0004-0000-0000-000057100000}"/>
    <hyperlink ref="W4835" r:id="rId4185" xr:uid="{00000000-0004-0000-0000-000058100000}"/>
    <hyperlink ref="W4836" r:id="rId4186" xr:uid="{00000000-0004-0000-0000-000059100000}"/>
    <hyperlink ref="W4837" r:id="rId4187" xr:uid="{00000000-0004-0000-0000-00005A100000}"/>
    <hyperlink ref="W4838" r:id="rId4188" xr:uid="{00000000-0004-0000-0000-00005B100000}"/>
    <hyperlink ref="W4839" r:id="rId4189" xr:uid="{00000000-0004-0000-0000-00005C100000}"/>
    <hyperlink ref="W4840" r:id="rId4190" xr:uid="{00000000-0004-0000-0000-00005D100000}"/>
    <hyperlink ref="W4841" r:id="rId4191" xr:uid="{00000000-0004-0000-0000-00005E100000}"/>
    <hyperlink ref="W4842" r:id="rId4192" xr:uid="{00000000-0004-0000-0000-00005F100000}"/>
    <hyperlink ref="W4843" r:id="rId4193" xr:uid="{00000000-0004-0000-0000-000060100000}"/>
    <hyperlink ref="W4844" r:id="rId4194" xr:uid="{00000000-0004-0000-0000-000061100000}"/>
    <hyperlink ref="W4845" r:id="rId4195" xr:uid="{00000000-0004-0000-0000-000062100000}"/>
    <hyperlink ref="W4846" r:id="rId4196" xr:uid="{00000000-0004-0000-0000-000063100000}"/>
    <hyperlink ref="W4848" r:id="rId4197" xr:uid="{00000000-0004-0000-0000-000064100000}"/>
    <hyperlink ref="W4849" r:id="rId4198" xr:uid="{00000000-0004-0000-0000-000065100000}"/>
    <hyperlink ref="W4851" r:id="rId4199" xr:uid="{00000000-0004-0000-0000-000066100000}"/>
    <hyperlink ref="W4852" r:id="rId4200" xr:uid="{00000000-0004-0000-0000-000067100000}"/>
    <hyperlink ref="W4853" r:id="rId4201" xr:uid="{00000000-0004-0000-0000-000068100000}"/>
    <hyperlink ref="W4854" r:id="rId4202" xr:uid="{00000000-0004-0000-0000-000069100000}"/>
    <hyperlink ref="W4855" r:id="rId4203" xr:uid="{00000000-0004-0000-0000-00006A100000}"/>
    <hyperlink ref="W4856" r:id="rId4204" xr:uid="{00000000-0004-0000-0000-00006B100000}"/>
    <hyperlink ref="W4857" r:id="rId4205" xr:uid="{00000000-0004-0000-0000-00006C100000}"/>
    <hyperlink ref="W4858" r:id="rId4206" xr:uid="{00000000-0004-0000-0000-00006D100000}"/>
    <hyperlink ref="W4859" r:id="rId4207" xr:uid="{00000000-0004-0000-0000-00006E100000}"/>
    <hyperlink ref="W4860" r:id="rId4208" xr:uid="{00000000-0004-0000-0000-00006F100000}"/>
    <hyperlink ref="W4861" r:id="rId4209" xr:uid="{00000000-0004-0000-0000-000070100000}"/>
    <hyperlink ref="W4862" r:id="rId4210" xr:uid="{00000000-0004-0000-0000-000071100000}"/>
    <hyperlink ref="W4863" r:id="rId4211" xr:uid="{00000000-0004-0000-0000-000072100000}"/>
    <hyperlink ref="W4864" r:id="rId4212" xr:uid="{00000000-0004-0000-0000-000073100000}"/>
    <hyperlink ref="W4865" r:id="rId4213" xr:uid="{00000000-0004-0000-0000-000074100000}"/>
    <hyperlink ref="W4866" r:id="rId4214" xr:uid="{00000000-0004-0000-0000-000075100000}"/>
    <hyperlink ref="W4867" r:id="rId4215" xr:uid="{00000000-0004-0000-0000-000076100000}"/>
    <hyperlink ref="W4868" r:id="rId4216" xr:uid="{00000000-0004-0000-0000-000077100000}"/>
    <hyperlink ref="W4869" r:id="rId4217" xr:uid="{00000000-0004-0000-0000-000078100000}"/>
    <hyperlink ref="W4870" r:id="rId4218" xr:uid="{00000000-0004-0000-0000-000079100000}"/>
    <hyperlink ref="W4871" r:id="rId4219" xr:uid="{00000000-0004-0000-0000-00007A100000}"/>
    <hyperlink ref="W4872" r:id="rId4220" xr:uid="{00000000-0004-0000-0000-00007B100000}"/>
    <hyperlink ref="W4873" r:id="rId4221" xr:uid="{00000000-0004-0000-0000-00007C100000}"/>
    <hyperlink ref="W4874" r:id="rId4222" xr:uid="{00000000-0004-0000-0000-00007D100000}"/>
    <hyperlink ref="W4876" r:id="rId4223" xr:uid="{00000000-0004-0000-0000-00007E100000}"/>
    <hyperlink ref="W4877" r:id="rId4224" xr:uid="{00000000-0004-0000-0000-00007F100000}"/>
    <hyperlink ref="W4878" r:id="rId4225" xr:uid="{00000000-0004-0000-0000-000080100000}"/>
    <hyperlink ref="W4884" r:id="rId4226" display="https://www.monotaro.com/p/1006/5264/?utm_id=g_pla&amp;utm_medium=cpc&amp;utm_source=Adwords&amp;utm_campaign=246-833-4061_6466659573&amp;utm_content=77481175156&amp;utm_term=_380604198153__aud-906547009128:pla-876688242940&amp;gclid=CjwKCAiA4veMBhAMEiwAU4XRr6Ob88sanHIJ1om2jkysVWmf0unYAxupsOQRdQT0GHmwj2ST5t8CgBoCICIQAvD_BwE" xr:uid="{00000000-0004-0000-0000-000081100000}"/>
    <hyperlink ref="W4886" r:id="rId4227" xr:uid="{00000000-0004-0000-0000-000082100000}"/>
    <hyperlink ref="W4887" r:id="rId4228" xr:uid="{00000000-0004-0000-0000-000083100000}"/>
    <hyperlink ref="W4888" r:id="rId4229" xr:uid="{00000000-0004-0000-0000-000084100000}"/>
    <hyperlink ref="W4889" r:id="rId4230" xr:uid="{00000000-0004-0000-0000-000085100000}"/>
    <hyperlink ref="W4901" r:id="rId4231" xr:uid="{00000000-0004-0000-0000-000086100000}"/>
    <hyperlink ref="W4891" r:id="rId4232" xr:uid="{00000000-0004-0000-0000-000087100000}"/>
    <hyperlink ref="W4890" r:id="rId4233" xr:uid="{00000000-0004-0000-0000-000088100000}"/>
    <hyperlink ref="W4892" r:id="rId4234" display="https://jp.rs-online.com/web/p/isolated-dc-to-high-voltage-dc-converters/1238289/?cm_mmc=JP-PLA-DS3A-_-google-_-PLA_JP_JP_%E9%9B%BB%E6%BA%90%E3%83%BB%E3%83%88%E3%83%A9%E3%83%B3%E3%82%B9_Whoop-_-(JP:Whoop!)+DC-DC%E3%82%B3%E3%83%B3%E3%83%90%E3%83%BC%E3%82%BF+:+%E7%B5%B6%E7%B8%81%E5%9E%8B+(%E9%AB%98%E9%9B%BB%E5%9C%A7)-_-1238289&amp;matchtype=&amp;aud-821594433763:pla-300610967209&amp;gclid=CjwKCAiAqIKNBhAIEiwAu_ZLDst39mzIbuKz3jIxHZg0QrXir5ElabYy4-IxlNxSD2bUOx1NKUYPiRoCQAsQAvD_BwE&amp;gclsrc=aw.ds" xr:uid="{00000000-0004-0000-0000-000089100000}"/>
    <hyperlink ref="W4893" r:id="rId4235" xr:uid="{00000000-0004-0000-0000-00008A100000}"/>
    <hyperlink ref="W4894" r:id="rId4236" xr:uid="{00000000-0004-0000-0000-00008B100000}"/>
    <hyperlink ref="W4896" r:id="rId4237" xr:uid="{00000000-0004-0000-0000-00008C100000}"/>
    <hyperlink ref="W4900" r:id="rId4238" xr:uid="{00000000-0004-0000-0000-00008D100000}"/>
    <hyperlink ref="W4897" r:id="rId4239" xr:uid="{00000000-0004-0000-0000-00008E100000}"/>
    <hyperlink ref="W4899" r:id="rId4240" xr:uid="{00000000-0004-0000-0000-00008F100000}"/>
    <hyperlink ref="W4898" r:id="rId4241" xr:uid="{00000000-0004-0000-0000-000090100000}"/>
    <hyperlink ref="W4902" r:id="rId4242" xr:uid="{00000000-0004-0000-0000-000091100000}"/>
    <hyperlink ref="W4895" r:id="rId4243" xr:uid="{00000000-0004-0000-0000-000092100000}"/>
    <hyperlink ref="W4906" r:id="rId4244" xr:uid="{00000000-0004-0000-0000-000093100000}"/>
    <hyperlink ref="W4909" r:id="rId4245" xr:uid="{00000000-0004-0000-0000-000094100000}"/>
    <hyperlink ref="W4912" r:id="rId4246" xr:uid="{00000000-0004-0000-0000-000095100000}"/>
    <hyperlink ref="W4913" r:id="rId4247" xr:uid="{00000000-0004-0000-0000-000096100000}"/>
    <hyperlink ref="W4910" r:id="rId4248" xr:uid="{00000000-0004-0000-0000-000097100000}"/>
    <hyperlink ref="W4914" r:id="rId4249" xr:uid="{00000000-0004-0000-0000-000098100000}"/>
    <hyperlink ref="G4914" r:id="rId4250" xr:uid="{00000000-0004-0000-0000-000099100000}"/>
    <hyperlink ref="W4917" r:id="rId4251" xr:uid="{00000000-0004-0000-0000-00009A100000}"/>
    <hyperlink ref="W4916" r:id="rId4252" xr:uid="{00000000-0004-0000-0000-00009B100000}"/>
    <hyperlink ref="K4917" r:id="rId4253" display="26354448" xr:uid="{00000000-0004-0000-0000-00009C100000}"/>
    <hyperlink ref="W4918" r:id="rId4254" display="https://www.amazon.co.jp/WITMOTION-RM3100-%E5%9C%B0%E7%A3%81%E6%B0%97%E3%80%81%E3%83%9F%E3%83%AA%E3%82%BF%E3%83%AA%E3%83%BC-%E3%82%BB%E3%83%B3%E3%82%B5%E3%80%81%E9%AB%98%E9%80%9F-%E3%83%A2%E3%82%B8%E3%83%A5%E3%83%BC%E3%83%AB%E3%80%81%E7%A3%81%E5%8A%9B%E8%A8%88/dp/B07RZZ9SBR/ref=asc_df_B07RZZ9SBR/?tag=jpgo-" xr:uid="{00000000-0004-0000-0000-00009D100000}"/>
    <hyperlink ref="W4919" r:id="rId4255" xr:uid="{00000000-0004-0000-0000-00009E100000}"/>
    <hyperlink ref="W4921" r:id="rId4256" xr:uid="{00000000-0004-0000-0000-00009F100000}"/>
    <hyperlink ref="W4911" r:id="rId4257" xr:uid="{00000000-0004-0000-0000-0000A0100000}"/>
    <hyperlink ref="W4915" r:id="rId4258" xr:uid="{00000000-0004-0000-0000-0000A1100000}"/>
    <hyperlink ref="W4922" r:id="rId4259" xr:uid="{00000000-0004-0000-0000-0000A2100000}"/>
    <hyperlink ref="W4923" r:id="rId4260" xr:uid="{00000000-0004-0000-0000-0000A3100000}"/>
    <hyperlink ref="W4924" r:id="rId4261" xr:uid="{00000000-0004-0000-0000-0000A4100000}"/>
    <hyperlink ref="W4925" r:id="rId4262" xr:uid="{00000000-0004-0000-0000-0000A5100000}"/>
    <hyperlink ref="W4926" r:id="rId4263" xr:uid="{00000000-0004-0000-0000-0000A6100000}"/>
    <hyperlink ref="W4927" r:id="rId4264" xr:uid="{00000000-0004-0000-0000-0000A7100000}"/>
    <hyperlink ref="W4928" r:id="rId4265" xr:uid="{00000000-0004-0000-0000-0000A8100000}"/>
    <hyperlink ref="W4929" r:id="rId4266" xr:uid="{00000000-0004-0000-0000-0000A9100000}"/>
    <hyperlink ref="W4920" r:id="rId4267" xr:uid="{00000000-0004-0000-0000-0000AA100000}"/>
    <hyperlink ref="W4931" r:id="rId4268" xr:uid="{00000000-0004-0000-0000-0000AB100000}"/>
    <hyperlink ref="W4930" r:id="rId4269" xr:uid="{00000000-0004-0000-0000-0000AC100000}"/>
    <hyperlink ref="W4584" r:id="rId4270" xr:uid="{00000000-0004-0000-0000-0000AD100000}"/>
    <hyperlink ref="W4934" r:id="rId4271" xr:uid="{00000000-0004-0000-0000-0000AE100000}"/>
    <hyperlink ref="W4937" r:id="rId4272" display="https://www.amazon.co.jp/dp/B098MJ358V/ref=sspa_dk_detail_0?psc=1&amp;pd_rd_i=B098MJ358V&amp;pd_rd_w=37Cmz&amp;pf_rd_p=86d545e6-51ff-428d-9903-b93b364247df&amp;pd_rd_wg=d4jAn&amp;pf_rd_r=W2V4NJAV8A93H0ASBBXY&amp;pd_rd_r=d6dc5c42-d8bd-4fad-bab4-52e1eb9d40e9&amp;spLa=ZW5jcnlwdGVkUXVhbGlmaWVyPUFWVFE1UEpLUzZJS1ImZW5jcnlwdGVkSWQ9QTA1NDgzNzNKTDI1SlUxUjdXMCZlbmNyeXB0ZWRBZElkPUEyOUpLNjBGUFcySFhQJndpZGdldE5hbWU9c3BfZGV0YWlsJmFjdGlvbj1jbGlja1JlZGlyZWN0JmRvTm90TG9nQ2xpY2s9dHJ1ZQ==" xr:uid="{00000000-0004-0000-0000-0000AF100000}"/>
    <hyperlink ref="W4936" r:id="rId4273" xr:uid="{00000000-0004-0000-0000-0000B0100000}"/>
    <hyperlink ref="W4938" r:id="rId4274" xr:uid="{00000000-0004-0000-0000-0000B1100000}"/>
    <hyperlink ref="W4776" r:id="rId4275" xr:uid="{00000000-0004-0000-0000-0000B2100000}"/>
    <hyperlink ref="W4939" r:id="rId4276" xr:uid="{00000000-0004-0000-0000-0000B3100000}"/>
    <hyperlink ref="W4815" r:id="rId4277" xr:uid="{00000000-0004-0000-0000-0000B4100000}"/>
    <hyperlink ref="W4816" r:id="rId4278" xr:uid="{00000000-0004-0000-0000-0000B5100000}"/>
    <hyperlink ref="W4817" r:id="rId4279" xr:uid="{00000000-0004-0000-0000-0000B6100000}"/>
    <hyperlink ref="W4941" r:id="rId4280" xr:uid="{00000000-0004-0000-0000-0000B7100000}"/>
    <hyperlink ref="W4942" r:id="rId4281" xr:uid="{00000000-0004-0000-0000-0000B8100000}"/>
    <hyperlink ref="W4977" r:id="rId4282" xr:uid="{00000000-0004-0000-0000-0000B9100000}"/>
    <hyperlink ref="W4976" r:id="rId4283" xr:uid="{00000000-0004-0000-0000-0000BA100000}"/>
    <hyperlink ref="W4966" r:id="rId4284" xr:uid="{00000000-0004-0000-0000-0000BB100000}"/>
    <hyperlink ref="W4974" r:id="rId4285" xr:uid="{00000000-0004-0000-0000-0000BC100000}"/>
    <hyperlink ref="W4953" r:id="rId4286" xr:uid="{00000000-0004-0000-0000-0000BD100000}"/>
    <hyperlink ref="W4946" r:id="rId4287" xr:uid="{00000000-0004-0000-0000-0000BE100000}"/>
    <hyperlink ref="W4958" r:id="rId4288" xr:uid="{00000000-0004-0000-0000-0000BF100000}"/>
    <hyperlink ref="W4961" r:id="rId4289" xr:uid="{00000000-0004-0000-0000-0000C0100000}"/>
    <hyperlink ref="W4960" r:id="rId4290" xr:uid="{00000000-0004-0000-0000-0000C1100000}"/>
    <hyperlink ref="W4959" r:id="rId4291" xr:uid="{00000000-0004-0000-0000-0000C2100000}"/>
    <hyperlink ref="W4957" r:id="rId4292" xr:uid="{00000000-0004-0000-0000-0000C3100000}"/>
    <hyperlink ref="W4956" r:id="rId4293" xr:uid="{00000000-0004-0000-0000-0000C4100000}"/>
    <hyperlink ref="W4955" r:id="rId4294" xr:uid="{00000000-0004-0000-0000-0000C5100000}"/>
    <hyperlink ref="W4954" r:id="rId4295" xr:uid="{00000000-0004-0000-0000-0000C6100000}"/>
    <hyperlink ref="W4951" r:id="rId4296" xr:uid="{00000000-0004-0000-0000-0000C7100000}"/>
    <hyperlink ref="W4952" r:id="rId4297" xr:uid="{00000000-0004-0000-0000-0000C8100000}"/>
    <hyperlink ref="W4950" r:id="rId4298" xr:uid="{00000000-0004-0000-0000-0000C9100000}"/>
    <hyperlink ref="W4948" r:id="rId4299" xr:uid="{00000000-0004-0000-0000-0000CA100000}"/>
    <hyperlink ref="W4949" r:id="rId4300" xr:uid="{00000000-0004-0000-0000-0000CB100000}"/>
    <hyperlink ref="W4947" r:id="rId4301" xr:uid="{00000000-0004-0000-0000-0000CC100000}"/>
    <hyperlink ref="W4964" r:id="rId4302" xr:uid="{00000000-0004-0000-0000-0000CD100000}"/>
    <hyperlink ref="W4965" r:id="rId4303" xr:uid="{00000000-0004-0000-0000-0000CE100000}"/>
    <hyperlink ref="W4962" r:id="rId4304" xr:uid="{00000000-0004-0000-0000-0000CF100000}"/>
    <hyperlink ref="W4963" r:id="rId4305" xr:uid="{00000000-0004-0000-0000-0000D0100000}"/>
    <hyperlink ref="W4985" r:id="rId4306" xr:uid="{00000000-0004-0000-0000-0000D1100000}"/>
    <hyperlink ref="W4986" r:id="rId4307" xr:uid="{00000000-0004-0000-0000-0000D2100000}"/>
    <hyperlink ref="W4987" r:id="rId4308" xr:uid="{00000000-0004-0000-0000-0000D3100000}"/>
    <hyperlink ref="W4988" r:id="rId4309" xr:uid="{00000000-0004-0000-0000-0000D4100000}"/>
    <hyperlink ref="W4990" r:id="rId4310" xr:uid="{00000000-0004-0000-0000-0000D5100000}"/>
    <hyperlink ref="W4991" r:id="rId4311" xr:uid="{00000000-0004-0000-0000-0000D6100000}"/>
    <hyperlink ref="W4992" r:id="rId4312" xr:uid="{00000000-0004-0000-0000-0000D7100000}"/>
    <hyperlink ref="W5001" r:id="rId4313" xr:uid="{00000000-0004-0000-0000-0000D8100000}"/>
    <hyperlink ref="W4994" r:id="rId4314" xr:uid="{00000000-0004-0000-0000-0000D9100000}"/>
    <hyperlink ref="W5000" r:id="rId4315" xr:uid="{00000000-0004-0000-0000-0000DA100000}"/>
    <hyperlink ref="W4999" r:id="rId4316" xr:uid="{00000000-0004-0000-0000-0000DB100000}"/>
    <hyperlink ref="W4998" r:id="rId4317" xr:uid="{00000000-0004-0000-0000-0000DC100000}"/>
    <hyperlink ref="W5002" r:id="rId4318" xr:uid="{00000000-0004-0000-0000-0000DD100000}"/>
    <hyperlink ref="W4995" r:id="rId4319" xr:uid="{00000000-0004-0000-0000-0000DE100000}"/>
    <hyperlink ref="W4996" r:id="rId4320" display="https://jp.rs-online.com/web/p/wire-housings-plugs/6322081/?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35313039302D30323030267365617263685F6B6579776F72645F6170703D35313039302D30323030267365617263685F636F6E6669673D3126&amp;searchHistory=%7B%22enabled%22%3Atrue%7D" xr:uid="{00000000-0004-0000-0000-0000DF100000}"/>
    <hyperlink ref="W4997" r:id="rId4321" xr:uid="{00000000-0004-0000-0000-0000E0100000}"/>
    <hyperlink ref="W5003" r:id="rId4322" xr:uid="{00000000-0004-0000-0000-0000E1100000}"/>
    <hyperlink ref="W5004" r:id="rId4323" xr:uid="{00000000-0004-0000-0000-0000E2100000}"/>
    <hyperlink ref="W5005" r:id="rId4324" xr:uid="{00000000-0004-0000-0000-0000E3100000}"/>
    <hyperlink ref="W5006" r:id="rId4325" xr:uid="{00000000-0004-0000-0000-0000E4100000}"/>
    <hyperlink ref="W5007" r:id="rId4326" xr:uid="{00000000-0004-0000-0000-0000E5100000}"/>
    <hyperlink ref="W5008" r:id="rId4327" xr:uid="{00000000-0004-0000-0000-0000E6100000}"/>
    <hyperlink ref="W5009" r:id="rId4328" xr:uid="{00000000-0004-0000-0000-0000E7100000}"/>
    <hyperlink ref="W5011" r:id="rId4329" xr:uid="{00000000-0004-0000-0000-0000E8100000}"/>
    <hyperlink ref="W5010" r:id="rId4330" xr:uid="{00000000-0004-0000-0000-0000E9100000}"/>
    <hyperlink ref="W5013" r:id="rId4331" xr:uid="{00000000-0004-0000-0000-0000EA100000}"/>
    <hyperlink ref="W5012" r:id="rId4332" xr:uid="{00000000-0004-0000-0000-0000EB100000}"/>
    <hyperlink ref="W5014" r:id="rId4333" xr:uid="{00000000-0004-0000-0000-0000EC100000}"/>
    <hyperlink ref="W5021" r:id="rId4334" xr:uid="{00000000-0004-0000-0000-0000ED100000}"/>
    <hyperlink ref="W5022" r:id="rId4335" xr:uid="{00000000-0004-0000-0000-0000EE100000}"/>
    <hyperlink ref="W5023" r:id="rId4336" xr:uid="{00000000-0004-0000-0000-0000EF100000}"/>
    <hyperlink ref="W5024" r:id="rId4337" xr:uid="{00000000-0004-0000-0000-0000F0100000}"/>
    <hyperlink ref="W5025" r:id="rId4338" xr:uid="{00000000-0004-0000-0000-0000F1100000}"/>
    <hyperlink ref="W5026" r:id="rId4339" xr:uid="{00000000-0004-0000-0000-0000F2100000}"/>
    <hyperlink ref="W5027" r:id="rId4340" xr:uid="{00000000-0004-0000-0000-0000F3100000}"/>
    <hyperlink ref="W5015" r:id="rId4341" xr:uid="{00000000-0004-0000-0000-0000F4100000}"/>
    <hyperlink ref="W5016" r:id="rId4342" xr:uid="{00000000-0004-0000-0000-0000F5100000}"/>
    <hyperlink ref="W5017" r:id="rId4343" xr:uid="{00000000-0004-0000-0000-0000F6100000}"/>
    <hyperlink ref="W5018" r:id="rId4344" xr:uid="{00000000-0004-0000-0000-0000F7100000}"/>
    <hyperlink ref="W5019" r:id="rId4345" xr:uid="{00000000-0004-0000-0000-0000F8100000}"/>
    <hyperlink ref="W5020" r:id="rId4346" xr:uid="{00000000-0004-0000-0000-0000F9100000}"/>
    <hyperlink ref="W5028" r:id="rId4347" xr:uid="{00000000-0004-0000-0000-0000FA100000}"/>
    <hyperlink ref="W5032" r:id="rId4348" xr:uid="{00000000-0004-0000-0000-0000FB100000}"/>
    <hyperlink ref="W5033" r:id="rId4349" xr:uid="{00000000-0004-0000-0000-0000FC100000}"/>
    <hyperlink ref="W5038" r:id="rId4350" xr:uid="{00000000-0004-0000-0000-0000FD100000}"/>
    <hyperlink ref="W5034" r:id="rId4351" xr:uid="{00000000-0004-0000-0000-0000FE100000}"/>
    <hyperlink ref="W5035" r:id="rId4352" xr:uid="{00000000-0004-0000-0000-0000FF100000}"/>
    <hyperlink ref="W5036" r:id="rId4353" xr:uid="{00000000-0004-0000-0000-000000110000}"/>
    <hyperlink ref="W5037" r:id="rId4354" display="https://www.digikey.jp/ja/products/detail/jst-sales-america-inc/SPHD-001T-P0-5/608808?utm_adgroup=Connectors%20%26%20Interconnects&amp;utm_source=google&amp;utm_medium=cpc&amp;utm_campaign=Dynamic%20Search_JP_RLSA_Cart&amp;utm_term=&amp;productid=&amp;gclid=CjwKCAjwtdeFBhBAEiwAKOIy52LxeEhShl4w5Qual6qyBy5PcuUq_VUaOaq0G9n3r86NF5kO0W94NRoCPkMQAvD_BwE" xr:uid="{00000000-0004-0000-0000-000001110000}"/>
    <hyperlink ref="W4943" r:id="rId4355" xr:uid="{00000000-0004-0000-0000-000002110000}"/>
    <hyperlink ref="W5041" r:id="rId4356" xr:uid="{00000000-0004-0000-0000-000003110000}"/>
    <hyperlink ref="W5043" r:id="rId4357" xr:uid="{00000000-0004-0000-0000-000004110000}"/>
    <hyperlink ref="W5044" r:id="rId4358" xr:uid="{00000000-0004-0000-0000-000005110000}"/>
    <hyperlink ref="W5046" r:id="rId4359" xr:uid="{00000000-0004-0000-0000-000006110000}"/>
    <hyperlink ref="W5048" r:id="rId4360" xr:uid="{00000000-0004-0000-0000-000007110000}"/>
    <hyperlink ref="W5049" r:id="rId4361" xr:uid="{00000000-0004-0000-0000-000008110000}"/>
    <hyperlink ref="W5050" r:id="rId4362" xr:uid="{00000000-0004-0000-0000-000009110000}"/>
    <hyperlink ref="W5051" r:id="rId4363" display="https://www.digikey.jp/ja/products/detail/adafruit-industries-llc/3295/6238007?utm_adgroup=IoT&amp;utm_source=google&amp;utm_medium=cpc&amp;utm_campaign=Smart%20Shopping_Product_IoT&amp;utm_term=&amp;productid=6238007&amp;gclid=CjwKCAiArOqOBhBmEiwAsgeLmcGGFJ-lXBJrWzEwzo3io6wpVS_fHfYefhTx_uvzzzmcfuFjxgFxgxoCx-0QAvD_BwE" xr:uid="{00000000-0004-0000-0000-00000A110000}"/>
    <hyperlink ref="W5052" r:id="rId4364" display="https://www.digikey.jp/ja/products/detail/dfrobot/KIT0021/7087154?utm_adgroup=IoT&amp;utm_source=google&amp;utm_medium=cpc&amp;utm_campaign=Smart%20Shopping_Product_IoT&amp;utm_term=&amp;productid=7087154&amp;gclid=CjwKCAiArOqOBhBmEiwAsgeLmYezWG0jl4OEN8LeCz4znaIRKjp3pyIdLwahamGhMRgYT5WERlaMSxoCtIEQAvD_BwE" xr:uid="{00000000-0004-0000-0000-00000B110000}"/>
    <hyperlink ref="W5053" r:id="rId4365" xr:uid="{00000000-0004-0000-0000-00000C110000}"/>
    <hyperlink ref="W5055" r:id="rId4366" display="https://www.digikey.jp/ja/products/detail/swissbit/SFSD8192N3BM1TO-I-GE-2B1-STD/6572642?utm_adgroup=General&amp;utm_source=google&amp;utm_medium=cpc&amp;utm_campaign=Smart%20Shopping_Product_Zombie%20SKUs&amp;utm_term=&amp;productid=6572642&amp;gclid=CjwKCAiArOqOBhBmEiwAsgeLmevdedvu6OZJ9gfdXMz7ya_2nuFPOpFC-HVdlXD1_m8OrritYh_XcBoCjDMQAvD_BwE" xr:uid="{00000000-0004-0000-0000-00000D110000}"/>
    <hyperlink ref="W5054" r:id="rId4367" xr:uid="{00000000-0004-0000-0000-00000E110000}"/>
    <hyperlink ref="W5059" r:id="rId4368" xr:uid="{00000000-0004-0000-0000-00000F110000}"/>
    <hyperlink ref="W5058" r:id="rId4369" xr:uid="{00000000-0004-0000-0000-000010110000}"/>
    <hyperlink ref="W5060" r:id="rId4370" xr:uid="{00000000-0004-0000-0000-000011110000}"/>
    <hyperlink ref="W5061" r:id="rId4371" xr:uid="{00000000-0004-0000-0000-000012110000}"/>
    <hyperlink ref="W5062" r:id="rId4372" xr:uid="{00000000-0004-0000-0000-000013110000}"/>
    <hyperlink ref="W5063" r:id="rId4373" xr:uid="{00000000-0004-0000-0000-000014110000}"/>
    <hyperlink ref="W5064" r:id="rId4374" xr:uid="{00000000-0004-0000-0000-000015110000}"/>
    <hyperlink ref="W5065" r:id="rId4375" xr:uid="{00000000-0004-0000-0000-000016110000}"/>
    <hyperlink ref="W5066" r:id="rId4376" display="https://www.amazon.co.jp/TAKAMIYA-%E3%82%BF%E3%82%AB%E3%83%9F%E3%83%A4-%E4%BC%9D%E8%A1%9B%E9%96%80%E4%B8%B8-150m-KFS1003/dp/B00K2GEU8K/ref=sr_1_1?__mk_ja_JP=%E3%82%AB%E3%82%BF%E3%82%AB%E3%83%8A&amp;crid=UFKYJRLVNT5D&amp;keywords=%E4%BC%9D%E8%A1%9B%E9%96%80%E4%B8%B8+PE&amp;qid=1642398543&amp;sprefix=%E4%BC%9D%E8%A1%9B%E9%96%80%E4%B8%B8+pe%2Caps%2C196&amp;sr=8-1" xr:uid="{00000000-0004-0000-0000-000017110000}"/>
    <hyperlink ref="W5068" r:id="rId4377" xr:uid="{00000000-0004-0000-0000-000018110000}"/>
    <hyperlink ref="W5069" r:id="rId4378" display="https://www.amazon.co.jp/dp/B08NTCLN34/ref=syn_sd_onsite_desktop_219?psc=1&amp;pd_rd_plhdr=t&amp;spLa=ZW5jcnlwdGVkUXVhbGlmaWVyPUExWFFOTldCM1ZMT1hVJmVuY3J5cHRlZElkPUEwMjQwNDA0UU5TTlBRWkdURUdUJmVuY3J5cHRlZEFkSWQ9QVFQNTNKM0NaWVI5VSZ3aWRnZXROYW1lPXNkX29uc2l0ZV9kZXNrdG9wJmFjdGlvbj1jbGlja1JlZGlyZWN0JmRvTm90TG9nQ2xpY2s9dHJ1ZQ==" xr:uid="{00000000-0004-0000-0000-000019110000}"/>
    <hyperlink ref="W5070" r:id="rId4379" display="https://www.amazon.co.jp/dp/B098MJ358V/ref=sspa_dk_detail_0?psc=1&amp;pd_rd_i=B098MJ358V&amp;pd_rd_w=37Cmz&amp;pf_rd_p=86d545e6-51ff-428d-9903-b93b364247df&amp;pd_rd_wg=d4jAn&amp;pf_rd_r=W2V4NJAV8A93H0ASBBXY&amp;pd_rd_r=d6dc5c42-d8bd-4fad-bab4-52e1eb9d40e9&amp;spLa=ZW5jcnlwdGVkUXVhbGlmaWVyPUFWVFE1UEpLUzZJS1ImZW5jcnlwdGVkSWQ9QTA1NDgzNzNKTDI1SlUxUjdXMCZlbmNyeXB0ZWRBZElkPUEyOUpLNjBGUFcySFhQJndpZGdldE5hbWU9c3BfZGV0YWlsJmFjdGlvbj1jbGlja1JlZGlyZWN0JmRvTm90TG9nQ2xpY2s9dHJ1ZQ==" xr:uid="{00000000-0004-0000-0000-00001A110000}"/>
    <hyperlink ref="W5071" r:id="rId4380" xr:uid="{00000000-0004-0000-0000-00001B110000}"/>
    <hyperlink ref="W5072" r:id="rId4381" xr:uid="{00000000-0004-0000-0000-00001C110000}"/>
    <hyperlink ref="G5073" r:id="rId4382" xr:uid="{00000000-0004-0000-0000-00001D110000}"/>
    <hyperlink ref="W5073" r:id="rId4383" xr:uid="{00000000-0004-0000-0000-00001E110000}"/>
    <hyperlink ref="W177" r:id="rId4384" xr:uid="{00000000-0004-0000-0000-00001F110000}"/>
    <hyperlink ref="W5074" r:id="rId4385" xr:uid="{00000000-0004-0000-0000-000020110000}"/>
    <hyperlink ref="W5077" r:id="rId4386" xr:uid="{00000000-0004-0000-0000-000021110000}"/>
    <hyperlink ref="W5076" r:id="rId4387" xr:uid="{00000000-0004-0000-0000-000022110000}"/>
    <hyperlink ref="W5075" r:id="rId4388" xr:uid="{00000000-0004-0000-0000-000023110000}"/>
    <hyperlink ref="W5078" r:id="rId4389" xr:uid="{00000000-0004-0000-0000-000024110000}"/>
    <hyperlink ref="W5079" r:id="rId4390" xr:uid="{00000000-0004-0000-0000-000025110000}"/>
    <hyperlink ref="W5080" r:id="rId4391" xr:uid="{00000000-0004-0000-0000-000026110000}"/>
    <hyperlink ref="W5081" r:id="rId4392" xr:uid="{00000000-0004-0000-0000-000027110000}"/>
    <hyperlink ref="W5084" r:id="rId4393" xr:uid="{00000000-0004-0000-0000-000028110000}"/>
    <hyperlink ref="W5086" r:id="rId4394" xr:uid="{00000000-0004-0000-0000-000029110000}"/>
    <hyperlink ref="W5085" r:id="rId4395" xr:uid="{00000000-0004-0000-0000-00002A110000}"/>
    <hyperlink ref="W5087" r:id="rId4396" xr:uid="{00000000-0004-0000-0000-00002B110000}"/>
    <hyperlink ref="W5088" r:id="rId4397" xr:uid="{00000000-0004-0000-0000-00002C110000}"/>
    <hyperlink ref="W5089" r:id="rId4398" xr:uid="{00000000-0004-0000-0000-00002D110000}"/>
    <hyperlink ref="W5090" r:id="rId4399" xr:uid="{00000000-0004-0000-0000-00002E110000}"/>
    <hyperlink ref="W5082" r:id="rId4400" xr:uid="{00000000-0004-0000-0000-00002F110000}"/>
    <hyperlink ref="W5083" r:id="rId4401" xr:uid="{00000000-0004-0000-0000-000030110000}"/>
    <hyperlink ref="W5091" r:id="rId4402" xr:uid="{00000000-0004-0000-0000-000031110000}"/>
    <hyperlink ref="W5092" r:id="rId4403" xr:uid="{00000000-0004-0000-0000-000032110000}"/>
    <hyperlink ref="W5093" r:id="rId4404" xr:uid="{00000000-0004-0000-0000-000033110000}"/>
    <hyperlink ref="W5094" r:id="rId4405" xr:uid="{00000000-0004-0000-0000-000034110000}"/>
    <hyperlink ref="W5095" r:id="rId4406" xr:uid="{00000000-0004-0000-0000-000035110000}"/>
    <hyperlink ref="W5096" r:id="rId4407" xr:uid="{00000000-0004-0000-0000-000036110000}"/>
    <hyperlink ref="W5097" r:id="rId4408" xr:uid="{00000000-0004-0000-0000-000037110000}"/>
    <hyperlink ref="W5098" r:id="rId4409" display="https://www.amazon.com/SunFounder-Channel-Optocoupler-Expansion-Raspberry/dp/B00E0NTPP4/ref=sr_1_2_sspa?crid=2D1IT0ETBR1GK&amp;keywords=relay%2Bboard%2B5v&amp;qid=1643004244&amp;sprefix=relay%2Bboard%2B5v%2Caps%2C222&amp;sr=8-2-spons&amp;spLa=ZW5jcnlwdGVkUXVhbGlmaWVyPUEyVUFWSUEyMDdZS1NGJmVuY3J5cHRlZElkPUEwNjk1NjgwMjdSUlMzMkVTWkEwSCZlbmNyeXB0ZWRBZElkPUExMDA5MDk3M1NDQUxaTFAzQ1Y3MyZ3aWRnZXROYW1lPXNwX2F0ZiZhY3Rpb249Y2xpY2tSZWRpcmVjdCZkb05vdExvZ0NsaWNrPXRydWU&amp;th=1" xr:uid="{00000000-0004-0000-0000-000038110000}"/>
    <hyperlink ref="W5099" r:id="rId4410" xr:uid="{00000000-0004-0000-0000-000039110000}"/>
    <hyperlink ref="W5103" r:id="rId4411" xr:uid="{00000000-0004-0000-0000-00003A110000}"/>
    <hyperlink ref="W5104" r:id="rId4412" xr:uid="{00000000-0004-0000-0000-00003B110000}"/>
    <hyperlink ref="W5105" r:id="rId4413" xr:uid="{00000000-0004-0000-0000-00003C110000}"/>
    <hyperlink ref="W5106" r:id="rId4414" xr:uid="{00000000-0004-0000-0000-00003D110000}"/>
    <hyperlink ref="W5107" r:id="rId4415" xr:uid="{00000000-0004-0000-0000-00003E110000}"/>
    <hyperlink ref="W5108" r:id="rId4416" xr:uid="{00000000-0004-0000-0000-00003F110000}"/>
    <hyperlink ref="W5109" r:id="rId4417" xr:uid="{00000000-0004-0000-0000-000040110000}"/>
    <hyperlink ref="W5110" r:id="rId4418" xr:uid="{00000000-0004-0000-0000-000041110000}"/>
    <hyperlink ref="W5111" r:id="rId4419" xr:uid="{00000000-0004-0000-0000-000042110000}"/>
    <hyperlink ref="W5112" r:id="rId4420" xr:uid="{00000000-0004-0000-0000-000043110000}"/>
    <hyperlink ref="W5113" r:id="rId4421" xr:uid="{00000000-0004-0000-0000-000044110000}"/>
    <hyperlink ref="W5114" r:id="rId4422" xr:uid="{00000000-0004-0000-0000-000045110000}"/>
    <hyperlink ref="W5115" r:id="rId4423" xr:uid="{00000000-0004-0000-0000-000046110000}"/>
    <hyperlink ref="W5116" r:id="rId4424" xr:uid="{00000000-0004-0000-0000-000047110000}"/>
    <hyperlink ref="W5117" r:id="rId4425" xr:uid="{00000000-0004-0000-0000-000048110000}"/>
    <hyperlink ref="W5118" r:id="rId4426" xr:uid="{00000000-0004-0000-0000-000049110000}"/>
    <hyperlink ref="W5119" r:id="rId4427" xr:uid="{00000000-0004-0000-0000-00004A110000}"/>
    <hyperlink ref="W5132" r:id="rId4428" xr:uid="{00000000-0004-0000-0000-00004B110000}"/>
    <hyperlink ref="W5133" r:id="rId4429" xr:uid="{00000000-0004-0000-0000-00004C110000}"/>
    <hyperlink ref="W5135" r:id="rId4430" xr:uid="{00000000-0004-0000-0000-00004D110000}"/>
    <hyperlink ref="W5136" r:id="rId4431" xr:uid="{00000000-0004-0000-0000-00004E110000}"/>
    <hyperlink ref="W5137" r:id="rId4432" xr:uid="{00000000-0004-0000-0000-00004F110000}"/>
    <hyperlink ref="W5139" r:id="rId4433" xr:uid="{00000000-0004-0000-0000-000050110000}"/>
    <hyperlink ref="W5140" r:id="rId4434" xr:uid="{00000000-0004-0000-0000-000051110000}"/>
    <hyperlink ref="W5141" r:id="rId4435" xr:uid="{00000000-0004-0000-0000-000052110000}"/>
    <hyperlink ref="W5142" r:id="rId4436" xr:uid="{00000000-0004-0000-0000-000053110000}"/>
    <hyperlink ref="W5144" r:id="rId4437" xr:uid="{00000000-0004-0000-0000-000054110000}"/>
    <hyperlink ref="W5145" r:id="rId4438" xr:uid="{00000000-0004-0000-0000-000055110000}"/>
    <hyperlink ref="W5146" r:id="rId4439" xr:uid="{00000000-0004-0000-0000-000056110000}"/>
    <hyperlink ref="W5147" r:id="rId4440" xr:uid="{00000000-0004-0000-0000-000057110000}"/>
    <hyperlink ref="W5152" r:id="rId4441" xr:uid="{00000000-0004-0000-0000-000058110000}"/>
    <hyperlink ref="W5150" r:id="rId4442" xr:uid="{00000000-0004-0000-0000-000059110000}"/>
    <hyperlink ref="W5151" r:id="rId4443" xr:uid="{00000000-0004-0000-0000-00005A110000}"/>
    <hyperlink ref="W5153" r:id="rId4444" xr:uid="{00000000-0004-0000-0000-00005B110000}"/>
    <hyperlink ref="W5154" r:id="rId4445" display="https://www.amazon.co.jp/%E3%83%95%E3%83%AB%E3%83%97%E3%83%AD%E3%82%B0%E3%83%A9%E3%83%A0%E5%8F%AF%E8%83%BD-%E3%83%A1%E3%82%AB%E3%83%8B%E3%82%AB%E3%83%AB%E3%82%AD%E3%83%BC%E3%83%9C%E3%83%BC%E3%83%89-%E5%B7%A6%E6%89%8B%E3%82%B2%E3%83%BC%E3%83%9F%E3%83%B3%E3%82%B0%E3%82%AD%E3%83%BC%E3%83%9C%E3%83%BC%E3%83%89-RGB%E3%83%90%E3%83%83%E3%82%AF%E3%83%A9%E3%82%A4%E3%83%88-%E3%82%B7%E3%83%A7%E3%83%83%E3%83%88%E3%82%AB%E3%83%83%E3%83%88%E3%82%AD%E3%83%BC/dp/B07RM2GFTY/ref=sr_1_53?__mk_ja_JP=%E3%82%AB%E3%82%BF%E3%82%AB%E3%83%8A&amp;dchild=1&amp;keywords=%E3%83%86%E3%83%B3%E3%82%AD%E3%83%BC%2B%E5%89%B2%E3%82%8A%E5%BD%93%E3%81%A6&amp;qid=1616461729&amp;sr=8-53&amp;th=1" xr:uid="{00000000-0004-0000-0000-00005C110000}"/>
    <hyperlink ref="W5155" r:id="rId4446" display="https://www.amazon.co.jp/RTL-SDR-R820T2-RTL2832U-SMA%E3%82%BD%E3%83%95%E3%83%88%E3%82%A6%E3%82%A7%E3%82%A2%E5%AE%9A%E7%BE%A9%E3%83%A9%E3%82%B8%E3%82%AA-2%E5%80%8D%E4%BC%B8%E7%B8%AE%E3%82%A2%E3%83%B3%E3%83%86%E3%83%8A%E4%BB%98%E3%81%8D/dp/B011HVUEME/ref=sr_1_6?__mk_ja_JP=%E3%82%AB%E3%82%BF%E3%82%AB%E3%83%8A&amp;crid=GJTZKP4LMGN6&amp;keywords=SDR&amp;qid=1640584588&amp;sprefix=sdr%2Caps%2C316&amp;sr=8-6" xr:uid="{00000000-0004-0000-0000-00005D110000}"/>
    <hyperlink ref="W5156" r:id="rId4447" display="https://www.amazon.co.jp/3G%E3%83%99%E3%82%AF%E3%83%88%E3%83%AB%E3%83%8D%E3%83%83%E3%83%88%E3%83%AF%E3%83%BC%E3%82%AF%E3%82%A2%E3%83%8A%E3%83%A9%E3%82%A4%E3%82%B6%E3%83%BC%E3%80%812-8%E3%82%A4%E3%83%B3%E3%83%81NanoVNA-V2-50KHz%E3%80%9C3GHz%E5%A4%A7%E5%9E%8B%E3%82%BF%E3%83%83%E3%83%81%E3%82%B9%E3%82%AF%E3%83%AA%E3%83%BC%E3%83%B3%E3%82%A2%E3%83%B3%E3%83%86%E3%83%8A%E3%82%A2%E3%83%8A%E3%83%A9%E3%82%A4%E3%82%B6%E3%83%BCS-A-A-2%E7%9F%AD%E6%B3%A2HF-VHF-UHF%E5%AE%9A%E5%9C%A8%E6%B3%A2%E3%82%B9%E3%83%9A%E3%82%AF%E3%83%88%E3%83%AB%E3%82%A2%E3%83%8A%E3%83%A9%E3%82%A4%E3%82%B6%E3%83%BC/dp/B08GKQ9SF7/?_encoding=UTF8&amp;pd_rd_w=OiDMH&amp;pf_rd_p=d753a891-bba8-4352-b10c-3c8d00c6b548&amp;pf_rd_r=V7TJTW4GP304ZWQ0GZ4Y&amp;pd_rd_r=0867c9e6-f3d5-4739-807c-c5420d43e189&amp;pd_rd_wg=Mj0cJ&amp;ref_=pd_gw_ci_mcx_mr_hp_atf_m&amp;th=1" xr:uid="{00000000-0004-0000-0000-00005E110000}"/>
    <hyperlink ref="W5157" r:id="rId4448" display="https://www.amazon.co.jp/Elikliv-%E3%82%B9%E3%83%9A%E3%82%AF%E3%83%88%E3%83%A9%E3%83%A0-100kHz-350MHz%E7%94%A8%E3%81%AE%E9%AB%98%E5%85%A5%E5%8A%9B%E3%83%A2%E3%83%BC%E3%83%89%E3%81%A8240MHz-960MHz%E7%94%A8%E3%81%AE%E4%BD%8E%E5%85%A5%E5%8A%9B%E3%83%A2%E3%83%BC%E3%83%89%E4%BB%98%E3%81%8D-2-8%E3%82%A4%E3%83%B3%E3%83%81%E3%82%BF%E3%83%83%E3%83%81%E3%82%B9%E3%82%AF%E3%83%AA%E3%83%BC%E3%83%B3MF-UHF%E3%82%A2%E3%83%8A%E3%83%A9%E3%82%A4%E3%82%B6/dp/B08SHQMR6K/ref=sr_1_3?crid=20G57NNRR8FOM&amp;keywords=micro+spectrum+analyzer&amp;qid=1640584510&amp;sprefix=micro+Spectrum+analy%2Caps%2C471&amp;sr=8-3" xr:uid="{00000000-0004-0000-0000-00005F110000}"/>
    <hyperlink ref="W5158" r:id="rId4449" xr:uid="{00000000-0004-0000-0000-000060110000}"/>
    <hyperlink ref="W5159" r:id="rId4450" xr:uid="{00000000-0004-0000-0000-000061110000}"/>
    <hyperlink ref="W5160" r:id="rId4451" display="https://www.amazon.co.jp/-/en/leeyovk-Antenna-Converter-Connector-Receivers/dp/B078MFFJTQ/ref=pd_vtp_4/355-7681945-1338807?pd_rd_w=0bQ1E&amp;pf_rd_p=949e26f5-c2ef-4c96-bfde-49d7614d0317&amp;pf_rd_r=RJZER9Y9BYR4RBWWMZHG&amp;pd_rd_r=a6de7632-8d2f-481e-b1e2-8db8560f2440&amp;pd_rd_wg=hD0xH&amp;pd_rd_i=B078MFFJTQ&amp;th=1" xr:uid="{00000000-0004-0000-0000-000062110000}"/>
    <hyperlink ref="W5163" r:id="rId4452" xr:uid="{00000000-0004-0000-0000-000063110000}"/>
    <hyperlink ref="W5165" r:id="rId4453" xr:uid="{00000000-0004-0000-0000-000064110000}"/>
    <hyperlink ref="W5166" r:id="rId4454" xr:uid="{00000000-0004-0000-0000-000065110000}"/>
    <hyperlink ref="W5167" r:id="rId4455" xr:uid="{00000000-0004-0000-0000-000066110000}"/>
    <hyperlink ref="W5168" r:id="rId4456" xr:uid="{00000000-0004-0000-0000-000067110000}"/>
    <hyperlink ref="W5169" r:id="rId4457" xr:uid="{00000000-0004-0000-0000-000068110000}"/>
    <hyperlink ref="W5170" r:id="rId4458" xr:uid="{00000000-0004-0000-0000-000069110000}"/>
    <hyperlink ref="G5171" r:id="rId4459" xr:uid="{00000000-0004-0000-0000-00006A110000}"/>
    <hyperlink ref="W5171" r:id="rId4460" xr:uid="{00000000-0004-0000-0000-00006B110000}"/>
    <hyperlink ref="W5182" r:id="rId4461" xr:uid="{00000000-0004-0000-0000-00006C110000}"/>
    <hyperlink ref="W5184" r:id="rId4462" xr:uid="{00000000-0004-0000-0000-00006D110000}"/>
    <hyperlink ref="W5183" r:id="rId4463" xr:uid="{00000000-0004-0000-0000-00006E110000}"/>
    <hyperlink ref="W5185" r:id="rId4464" display="https://jp.rs-online.com/web/p/surface-mount-resistors/631639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8314A5454443130303146267365617263685F6B6579776F72645F6170703D524B373348314A5454443130303146267365617263685F636F6E6669673D3126&amp;searchHistory=%7B%22enabled%22%3Atrue%7D" xr:uid="{00000000-0004-0000-0000-00006F110000}"/>
    <hyperlink ref="W5186" r:id="rId4465" display="https://jp.rs-online.com/web/p/surface-mount-resistors/0431619/?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A5454443130334A267365617263685F6B6579776F72645F6170703D524B373342314A5454443130334A267365617263685F636F6E6669673D3126&amp;searchHistory=%7B%22enabled%22%3Atrue%7D" xr:uid="{00000000-0004-0000-0000-000070110000}"/>
    <hyperlink ref="W5187" r:id="rId4466" display="https://jp.rs-online.com/web/p/surface-mount-resistors/0430739/?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55454503536324A267365617263685F6B6579776F72645F6170703D524B37334231455454503536324A267365617263685F636F6E6669673D3126&amp;searchHistory=%7B%22enabled%22%3Atrue%7D" xr:uid="{00000000-0004-0000-0000-000071110000}"/>
    <hyperlink ref="W5188" r:id="rId4467" xr:uid="{00000000-0004-0000-0000-000072110000}"/>
    <hyperlink ref="W5189" r:id="rId4468" display="https://jp.rs-online.com/web/p/surface-mount-resistors/0431316/?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524B373342314A5454443333304A267365617263685F6B6579776F72645F6170703D524B373342314A5454443333304A267365617263685F636F6E6669673D3126&amp;searchHistory=%7B%22enabled%22%3Atrue%7D" xr:uid="{00000000-0004-0000-0000-000073110000}"/>
    <hyperlink ref="W5191" r:id="rId4469" xr:uid="{00000000-0004-0000-0000-000074110000}"/>
    <hyperlink ref="W5190" r:id="rId4470" xr:uid="{00000000-0004-0000-0000-000075110000}"/>
    <hyperlink ref="W5192" r:id="rId4471" xr:uid="{00000000-0004-0000-0000-000076110000}"/>
    <hyperlink ref="W5194" r:id="rId4472" xr:uid="{00000000-0004-0000-0000-000077110000}"/>
    <hyperlink ref="W5193" r:id="rId4473" display="https://www.monotaro.com/p/1006/5264/?utm_id=g_pla&amp;utm_medium=cpc&amp;utm_source=Adwords&amp;utm_campaign=246-833-4061_6466659573&amp;utm_content=77481175156&amp;utm_term=_380604198153__aud-906547009128:pla-876688242940&amp;gclid=CjwKCAiA4veMBhAMEiwAU4XRr6Ob88sanHIJ1om2jkysVWmf0unYAxupsOQRdQT0GHmwj2ST5t8CgBoCICIQAvD_BwE" xr:uid="{00000000-0004-0000-0000-000078110000}"/>
    <hyperlink ref="W5204" r:id="rId4474" xr:uid="{00000000-0004-0000-0000-000079110000}"/>
    <hyperlink ref="W5205" r:id="rId4475" xr:uid="{00000000-0004-0000-0000-00007A110000}"/>
    <hyperlink ref="W5208" r:id="rId4476" xr:uid="{00000000-0004-0000-0000-00007B110000}"/>
    <hyperlink ref="W5206" r:id="rId4477" xr:uid="{00000000-0004-0000-0000-00007C110000}"/>
    <hyperlink ref="W5207" r:id="rId4478" xr:uid="{00000000-0004-0000-0000-00007D110000}"/>
    <hyperlink ref="W5209" r:id="rId4479" xr:uid="{00000000-0004-0000-0000-00007E110000}"/>
    <hyperlink ref="W5210" r:id="rId4480" xr:uid="{00000000-0004-0000-0000-00007F110000}"/>
    <hyperlink ref="W5211" r:id="rId4481" xr:uid="{00000000-0004-0000-0000-000080110000}"/>
    <hyperlink ref="W5212" r:id="rId4482" xr:uid="{00000000-0004-0000-0000-000081110000}"/>
    <hyperlink ref="W5213" r:id="rId4483" xr:uid="{00000000-0004-0000-0000-000082110000}"/>
    <hyperlink ref="W5214" r:id="rId4484" xr:uid="{00000000-0004-0000-0000-000083110000}"/>
    <hyperlink ref="W5215" r:id="rId4485" xr:uid="{00000000-0004-0000-0000-000084110000}"/>
    <hyperlink ref="W5216" r:id="rId4486" xr:uid="{00000000-0004-0000-0000-000085110000}"/>
    <hyperlink ref="W5217" r:id="rId4487" xr:uid="{00000000-0004-0000-0000-000086110000}"/>
    <hyperlink ref="W5218" r:id="rId4488" xr:uid="{00000000-0004-0000-0000-000087110000}"/>
    <hyperlink ref="W5219" r:id="rId4489" xr:uid="{00000000-0004-0000-0000-000088110000}"/>
    <hyperlink ref="W5220" r:id="rId4490" xr:uid="{00000000-0004-0000-0000-000089110000}"/>
    <hyperlink ref="W5221" r:id="rId4491" xr:uid="{00000000-0004-0000-0000-00008A110000}"/>
    <hyperlink ref="W5226" r:id="rId4492" xr:uid="{00000000-0004-0000-0000-00008B110000}"/>
    <hyperlink ref="W5225" r:id="rId4493" xr:uid="{00000000-0004-0000-0000-00008C110000}"/>
    <hyperlink ref="W5224" r:id="rId4494" xr:uid="{00000000-0004-0000-0000-00008D110000}"/>
    <hyperlink ref="W5227" r:id="rId4495" xr:uid="{00000000-0004-0000-0000-00008E110000}"/>
    <hyperlink ref="W5228" r:id="rId4496" xr:uid="{00000000-0004-0000-0000-00008F110000}"/>
    <hyperlink ref="W5230" r:id="rId4497" xr:uid="{00000000-0004-0000-0000-000090110000}"/>
    <hyperlink ref="W5231" r:id="rId4498" xr:uid="{00000000-0004-0000-0000-000091110000}"/>
    <hyperlink ref="W5232" r:id="rId4499" xr:uid="{00000000-0004-0000-0000-000092110000}"/>
    <hyperlink ref="W5233" r:id="rId4500" xr:uid="{00000000-0004-0000-0000-000093110000}"/>
    <hyperlink ref="W5229" r:id="rId4501" xr:uid="{00000000-0004-0000-0000-000094110000}"/>
    <hyperlink ref="W5234" r:id="rId4502" xr:uid="{00000000-0004-0000-0000-000095110000}"/>
    <hyperlink ref="W5235" r:id="rId4503" xr:uid="{00000000-0004-0000-0000-000096110000}"/>
    <hyperlink ref="W5236" r:id="rId4504" display="Amazon.co.jp: Heat Resistant Tape, High Temperature Tape, Polyimide Adhesive Tape, Insulation Heat Resistant Tape, Kapton Tape, Adhesive Tape, Sublimation Tape, Masking Protection, Mechanical Equipment, etc., Set of 6 (0.4, 0.6, 0.8, 1, 1.2, 2 x 10 m) : Industrial &amp; Scientific" xr:uid="{00000000-0004-0000-0000-000097110000}"/>
    <hyperlink ref="W5237" r:id="rId4505" xr:uid="{00000000-0004-0000-0000-000098110000}"/>
    <hyperlink ref="W5238" r:id="rId4506" xr:uid="{00000000-0004-0000-0000-000099110000}"/>
    <hyperlink ref="W5239" r:id="rId4507" xr:uid="{00000000-0004-0000-0000-00009A110000}"/>
    <hyperlink ref="W5240" r:id="rId4508" xr:uid="{00000000-0004-0000-0000-00009B110000}"/>
    <hyperlink ref="W5241" r:id="rId4509" display="https://www.amazon.co.jp/Concept-%E3%83%AC%E3%83%B3%E3%82%BA%E3%83%9E%E3%82%A6%E3%83%B3%E3%83%88%E3%82%A2%E3%83%80%E3%83%97%E3%82%BF%E3%83%BC-KF-PKC-%E3%83%9A%E3%83%B3%E3%82%BF%E3%83%83%E3%82%AF%E3%82%B9K%E3%83%9E%E3%82%A6%E3%83%B3%E3%83%88%E3%83%AC%E3%83%B3%E3%82%BA-C%E3%83%9E%E3%82%A6%E3%83%B3%E3%83%88%E5%A4%89%E6%8F%9B/dp/B07421STB1/ref=sr_1_1?__mk_ja_JP=%E3%82%AB%E3%82%BF%E3%82%AB%E3%83%8A&amp;crid=KQ51U27UZFQ0&amp;keywords=KF-PKC&amp;qid=1647924191&amp;s=electronics&amp;sprefix=%2Celectronics%2C609&amp;sr=1-1&amp;th=1" xr:uid="{00000000-0004-0000-0000-00009C110000}"/>
    <hyperlink ref="W5242" r:id="rId4510" xr:uid="{00000000-0004-0000-0000-00009D110000}"/>
    <hyperlink ref="W5245" r:id="rId4511" xr:uid="{00000000-0004-0000-0000-00009E110000}"/>
    <hyperlink ref="W5244" r:id="rId4512" xr:uid="{00000000-0004-0000-0000-00009F110000}"/>
    <hyperlink ref="W5246" r:id="rId4513" xr:uid="{00000000-0004-0000-0000-0000A0110000}"/>
    <hyperlink ref="W5248" r:id="rId4514" xr:uid="{00000000-0004-0000-0000-0000A1110000}"/>
    <hyperlink ref="W5247" r:id="rId4515" xr:uid="{00000000-0004-0000-0000-0000A2110000}"/>
    <hyperlink ref="W5243" r:id="rId4516" xr:uid="{00000000-0004-0000-0000-0000A3110000}"/>
    <hyperlink ref="W5249" r:id="rId4517" xr:uid="{00000000-0004-0000-0000-0000A4110000}"/>
    <hyperlink ref="W5250" r:id="rId4518" xr:uid="{00000000-0004-0000-0000-0000A5110000}"/>
    <hyperlink ref="W5251" r:id="rId4519" xr:uid="{00000000-0004-0000-0000-0000A6110000}"/>
    <hyperlink ref="W5252" r:id="rId4520" xr:uid="{00000000-0004-0000-0000-0000A7110000}"/>
    <hyperlink ref="W5253" r:id="rId4521" xr:uid="{00000000-0004-0000-0000-0000A8110000}"/>
    <hyperlink ref="W5254" r:id="rId4522" xr:uid="{00000000-0004-0000-0000-0000A9110000}"/>
    <hyperlink ref="W5255" r:id="rId4523" display="https://www.amazon.co.jp/Aoje-Link%E7%89%87%E9%9D%A2%E9%8A%85%E5%BC%B5PCB%E3%83%A9%E3%83%9F%E3%83%8D%E3%83%BC%E3%83%88%E5%9B%9E%E8%B7%AF%E5%9F%BA%E6%9D%BF%E3%80%81FR-4%E3%82%B0%E3%83%A9%E3%82%B9%E3%83%95%E3%82%A1%E3%82%A4%E3%83%90%E3%83%BC%E3%80%81-300-200-1mm-2%E5%80%8B/dp/B091Y1VPW4/ref=sr_1_16?__mk_ja_JP=%E3%82%AB%E3%82%BF%E3%82%AB%E3%83%8A&amp;crid=2TW4ODC7FIB9E&amp;keywords=FR-4%2Bboard&amp;qid=1646886680&amp;sprefix=fr-4%2Bboar%2Caps%2C160&amp;sr=8-16&amp;th=1" xr:uid="{00000000-0004-0000-0000-0000AA110000}"/>
    <hyperlink ref="W5256" r:id="rId4524" xr:uid="{00000000-0004-0000-0000-0000AB110000}"/>
    <hyperlink ref="W5257" r:id="rId4525" xr:uid="{00000000-0004-0000-0000-0000AC110000}"/>
    <hyperlink ref="W5258" r:id="rId4526" xr:uid="{00000000-0004-0000-0000-0000AD110000}"/>
    <hyperlink ref="W5259" r:id="rId4527" xr:uid="{00000000-0004-0000-0000-0000AE110000}"/>
    <hyperlink ref="W5260" r:id="rId4528" xr:uid="{00000000-0004-0000-0000-0000AF110000}"/>
    <hyperlink ref="W5261" r:id="rId4529" xr:uid="{00000000-0004-0000-0000-0000B0110000}"/>
    <hyperlink ref="W5262" r:id="rId4530" xr:uid="{00000000-0004-0000-0000-0000B1110000}"/>
    <hyperlink ref="W5265" r:id="rId4531" xr:uid="{00000000-0004-0000-0000-0000B2110000}"/>
    <hyperlink ref="W5266" r:id="rId4532" xr:uid="{00000000-0004-0000-0000-0000B3110000}"/>
    <hyperlink ref="W5267" r:id="rId4533" xr:uid="{00000000-0004-0000-0000-0000B4110000}"/>
    <hyperlink ref="W5268" r:id="rId4534" xr:uid="{00000000-0004-0000-0000-0000B5110000}"/>
    <hyperlink ref="W5269" r:id="rId4535" xr:uid="{00000000-0004-0000-0000-0000B6110000}"/>
    <hyperlink ref="W5270" r:id="rId4536" xr:uid="{00000000-0004-0000-0000-0000B7110000}"/>
    <hyperlink ref="W5271" r:id="rId4537" xr:uid="{00000000-0004-0000-0000-0000B8110000}"/>
    <hyperlink ref="W5272" r:id="rId4538" xr:uid="{00000000-0004-0000-0000-0000B9110000}"/>
    <hyperlink ref="W5274" r:id="rId4539" xr:uid="{00000000-0004-0000-0000-0000BA110000}"/>
    <hyperlink ref="W5275" r:id="rId4540" display="https://www.amazon.co.jp/Raspberry-RS485-CAN-HAT-UART%E9%80%9A%E4%BF%A1%E3%83%A2%E3%82%B8%E3%83%A5%E3%83%BC%E3%83%AB%E6%8B%A1%E5%BC%B5%E3%83%9C%E3%83%BC%E3%83%89%E7%94%A8/dp/B082ZRYNS3/ref=asc_df_B082ZRYNS3/?tag=jpgo-22&amp;linkCode=df0&amp;hvadid=342506280444&amp;hvpos=&amp;hvnetw=g&amp;hvrand=4889974413298932666&amp;hvpone=&amp;hvptwo=&amp;hvqmt=&amp;hvdev=c&amp;hvdvcmdl=&amp;hvlocint=&amp;hvlocphy=1009250&amp;hvtargid=pla-900479446726&amp;psc=1" xr:uid="{00000000-0004-0000-0000-0000BB110000}"/>
    <hyperlink ref="W5276" r:id="rId4541" xr:uid="{00000000-0004-0000-0000-0000BC110000}"/>
    <hyperlink ref="W5277" r:id="rId4542" xr:uid="{00000000-0004-0000-0000-0000BD110000}"/>
    <hyperlink ref="W5278" r:id="rId4543" xr:uid="{00000000-0004-0000-0000-0000BE110000}"/>
    <hyperlink ref="W5279" r:id="rId4544" xr:uid="{00000000-0004-0000-0000-0000BF110000}"/>
    <hyperlink ref="W5280" r:id="rId4545" xr:uid="{00000000-0004-0000-0000-0000C0110000}"/>
    <hyperlink ref="W5287" r:id="rId4546" xr:uid="{00000000-0004-0000-0000-0000C1110000}"/>
    <hyperlink ref="W5288" r:id="rId4547" xr:uid="{00000000-0004-0000-0000-0000C2110000}"/>
    <hyperlink ref="W5289" r:id="rId4548" xr:uid="{00000000-0004-0000-0000-0000C3110000}"/>
    <hyperlink ref="W5290" r:id="rId4549" xr:uid="{00000000-0004-0000-0000-0000C4110000}"/>
    <hyperlink ref="W5291" r:id="rId4550" xr:uid="{00000000-0004-0000-0000-0000C5110000}"/>
    <hyperlink ref="W5292" r:id="rId4551" xr:uid="{00000000-0004-0000-0000-0000C6110000}"/>
    <hyperlink ref="W5305" r:id="rId4552" xr:uid="{00000000-0004-0000-0000-0000C7110000}"/>
    <hyperlink ref="W5306" r:id="rId4553" xr:uid="{00000000-0004-0000-0000-0000C8110000}"/>
    <hyperlink ref="W5307" r:id="rId4554" xr:uid="{00000000-0004-0000-0000-0000C9110000}"/>
    <hyperlink ref="W5308" r:id="rId4555" xr:uid="{00000000-0004-0000-0000-0000CA110000}"/>
    <hyperlink ref="W5309" r:id="rId4556" xr:uid="{00000000-0004-0000-0000-0000CB110000}"/>
    <hyperlink ref="W5310" r:id="rId4557" xr:uid="{00000000-0004-0000-0000-0000CC110000}"/>
    <hyperlink ref="W5311" r:id="rId4558" xr:uid="{00000000-0004-0000-0000-0000CD110000}"/>
    <hyperlink ref="W5312" r:id="rId4559" xr:uid="{00000000-0004-0000-0000-0000CE110000}"/>
    <hyperlink ref="W5313" r:id="rId4560" xr:uid="{00000000-0004-0000-0000-0000CF110000}"/>
    <hyperlink ref="W5314" r:id="rId4561" xr:uid="{00000000-0004-0000-0000-0000D0110000}"/>
    <hyperlink ref="W5315" r:id="rId4562" xr:uid="{00000000-0004-0000-0000-0000D1110000}"/>
    <hyperlink ref="W5316" r:id="rId4563" xr:uid="{00000000-0004-0000-0000-0000D2110000}"/>
    <hyperlink ref="W5317" r:id="rId4564" xr:uid="{00000000-0004-0000-0000-0000D3110000}"/>
    <hyperlink ref="W5318" r:id="rId4565" xr:uid="{00000000-0004-0000-0000-0000D4110000}"/>
    <hyperlink ref="W5321" r:id="rId4566" xr:uid="{00000000-0004-0000-0000-0000D5110000}"/>
    <hyperlink ref="W5322" r:id="rId4567" xr:uid="{00000000-0004-0000-0000-0000D6110000}"/>
    <hyperlink ref="W5323" r:id="rId4568" xr:uid="{00000000-0004-0000-0000-0000D7110000}"/>
    <hyperlink ref="W5324" r:id="rId4569" xr:uid="{00000000-0004-0000-0000-0000D8110000}"/>
    <hyperlink ref="W5325" r:id="rId4570" xr:uid="{00000000-0004-0000-0000-0000D9110000}"/>
    <hyperlink ref="W5326" r:id="rId4571" xr:uid="{00000000-0004-0000-0000-0000DA110000}"/>
    <hyperlink ref="W5327" r:id="rId4572" xr:uid="{00000000-0004-0000-0000-0000DB110000}"/>
    <hyperlink ref="W5328" r:id="rId4573" xr:uid="{00000000-0004-0000-0000-0000DC110000}"/>
    <hyperlink ref="W5329" r:id="rId4574" xr:uid="{00000000-0004-0000-0000-0000DD110000}"/>
    <hyperlink ref="W5330" r:id="rId4575" xr:uid="{00000000-0004-0000-0000-0000DE110000}"/>
    <hyperlink ref="W5331" r:id="rId4576" xr:uid="{00000000-0004-0000-0000-0000DF110000}"/>
    <hyperlink ref="W5332" r:id="rId4577" xr:uid="{00000000-0004-0000-0000-0000E0110000}"/>
    <hyperlink ref="W5333" r:id="rId4578" xr:uid="{00000000-0004-0000-0000-0000E1110000}"/>
    <hyperlink ref="W5334" r:id="rId4579" xr:uid="{00000000-0004-0000-0000-0000E2110000}"/>
    <hyperlink ref="W5335" r:id="rId4580" xr:uid="{00000000-0004-0000-0000-0000E3110000}"/>
    <hyperlink ref="W5336" r:id="rId4581" xr:uid="{00000000-0004-0000-0000-0000E4110000}"/>
    <hyperlink ref="W5342" r:id="rId4582" xr:uid="{00000000-0004-0000-0000-0000E5110000}"/>
    <hyperlink ref="W5343" r:id="rId4583" xr:uid="{00000000-0004-0000-0000-0000E6110000}"/>
    <hyperlink ref="W5344" r:id="rId4584" xr:uid="{00000000-0004-0000-0000-0000E7110000}"/>
    <hyperlink ref="W5345" r:id="rId4585" display="https://jp.rs-online.com/web/p/voltage-regulators/6616721/?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6312D36373231267365617263685F6B6579776F72645F6170703D36363136373231267365617263685F636F6E6669673D3126&amp;searchHistory=%7B%22enabled%22%3Atrue%7D" xr:uid="{00000000-0004-0000-0000-0000E8110000}"/>
    <hyperlink ref="W5352" r:id="rId4586" display="https://www.amazon.co.jp/-/en/Gigastone-MicroSD-Micro-Adapter-Video/dp/B01MSUMC1T/ref=sr_1_13?crid=BL49KT35HEIQ&amp;keywords=%E6%A5%AD%E5%8B%99%E7%94%A8%E3%82%B0%E3%83%AC%E3%83%BC%E3%83%89microsd&amp;qid=1650437755&amp;sprefix=industrial%2BSD%2B%2Caps%2C203&amp;sr=8-13&amp;th=1" xr:uid="{00000000-0004-0000-0000-0000E9110000}"/>
    <hyperlink ref="W5353" r:id="rId4587" display="https://www.amazon.co.jp/Multimeter-Capacity-Impedance-Temperature-Voltmeter/dp/B07H82PZX7/ref=pd_rhf_dp_s_pd_crcd_sccl_12/356-6363334-7664800?pd_rd_w=GjbM6&amp;pf_rd_p=f6807b6a-a51f-484d-a903-9221ae683054&amp;pf_rd_r=TM13MVZE96S8F8BRE5FQ&amp;pd_rd_r=4ef3af9e-60e5-4d53-b88d-54598e7b24bd&amp;pd_rd_wg=9GqOe&amp;pd_rd_i=B07H82PZX7&amp;psc=1" xr:uid="{00000000-0004-0000-0000-0000EA110000}"/>
    <hyperlink ref="W5355" r:id="rId4588" display="https://jp.rs-online.com/web/p/arduino/7717667?cm_mmc=JP-PLA-DS3A-_-google-_-PLA_JP_JP_Raspberry_Pi_%26_Arduino%E9%96%8B%E7%99%BA%E3%83%84%E3%83%BC%E3%83%AB_Whoop-_-(JP:Whoop!)+Arduino-_-7717667&amp;matchtype=&amp;pla-475754026213&amp;gclid=Cj0KCQjw3v6SBhCsARIsACyrRAkDYyAdszVPiF5lBcAEFnhWyFvU1EV5GlnG4Dfv6O-_cSYLT_3SMyAaAjDQEALw_wcB&amp;gclsrc=aw.ds" xr:uid="{00000000-0004-0000-0000-0000EB110000}"/>
    <hyperlink ref="W5356" r:id="rId4589" xr:uid="{00000000-0004-0000-0000-0000EC110000}"/>
    <hyperlink ref="W5361" r:id="rId4590" xr:uid="{00000000-0004-0000-0000-0000ED110000}"/>
    <hyperlink ref="W5362" r:id="rId4591" xr:uid="{00000000-0004-0000-0000-0000EE110000}"/>
    <hyperlink ref="W5360" r:id="rId4592" xr:uid="{00000000-0004-0000-0000-0000EF110000}"/>
    <hyperlink ref="W5363" r:id="rId4593" xr:uid="{00000000-0004-0000-0000-0000F0110000}"/>
    <hyperlink ref="W5364" r:id="rId4594" xr:uid="{00000000-0004-0000-0000-0000F1110000}"/>
    <hyperlink ref="W5365" r:id="rId4595" xr:uid="{00000000-0004-0000-0000-0000F2110000}"/>
    <hyperlink ref="W5366" r:id="rId4596" xr:uid="{00000000-0004-0000-0000-0000F3110000}"/>
    <hyperlink ref="W5367" r:id="rId4597" xr:uid="{00000000-0004-0000-0000-0000F4110000}"/>
    <hyperlink ref="W5371" r:id="rId4598" xr:uid="{00000000-0004-0000-0000-0000F5110000}"/>
    <hyperlink ref="W5350" r:id="rId4599" xr:uid="{00000000-0004-0000-0000-0000F6110000}"/>
    <hyperlink ref="W5351" r:id="rId4600" xr:uid="{00000000-0004-0000-0000-0000F7110000}"/>
    <hyperlink ref="I5375" r:id="rId4601" xr:uid="{00000000-0004-0000-0000-0000F8110000}"/>
    <hyperlink ref="W5394" r:id="rId4602" xr:uid="{00000000-0004-0000-0000-0000F9110000}"/>
    <hyperlink ref="W5393" r:id="rId4603" xr:uid="{00000000-0004-0000-0000-0000FA110000}"/>
    <hyperlink ref="W5392" r:id="rId4604" xr:uid="{00000000-0004-0000-0000-0000FB110000}"/>
    <hyperlink ref="W5396" r:id="rId4605" xr:uid="{00000000-0004-0000-0000-0000FC110000}"/>
    <hyperlink ref="W5397" r:id="rId4606" xr:uid="{00000000-0004-0000-0000-0000FD110000}"/>
    <hyperlink ref="W5398" r:id="rId4607" display="https://www.amazon.co.jp/-/en/Doshisha-Tabletop-Compact-Supply-Battery/dp/B08XM7CNHT/ref=sr_1_7?crid=2YMER5HQQROW1&amp;keywords=%E3%82%B3%E3%83%BC%E3%83%89%E3%83%AC%E3%82%B9%E3%83%86%E3%83%BC%E3%83%96%E3%83%AB%E3%83%95%E3%82%A1%E3%83%B3&amp;qid=1652417348&amp;sprefix=table%2Bfan%2Caps%2C187&amp;sr=8-7&amp;th=1" xr:uid="{00000000-0004-0000-0000-0000FE110000}"/>
    <hyperlink ref="W5399" r:id="rId4608" display="https://ja.aliexpress.com/item/32306515627.html?spm=a2g0o.detail.1000014.6.28f06951fdNj2A&amp;gps-id=pcDetailBottomMoreOtherSeller&amp;scm=1007.40050.281175.0&amp;scm_id=1007.40050.281175.0&amp;scm-url=1007.40050.281175.0&amp;pvid=6c72d239-58cc-4b2a-8860-7b390c165956&amp;_t=gps-id:pcDetailBottomMoreOtherSeller,scm-url:1007.40050.281175.0,pvid:6c72d239-58cc-4b2a-8860-7b390c165956,tpp_buckets:668%232846%238109%231935&amp;pdp_ext_f=%7B%22sku_id%22%3A%2264755699478%22%2C%22sceneId%22%3A%2230050%22%7D&amp;pdp_npi=2%40dis%21JPY%21%212662.0%21%21%21%21%21%40210312f116524216922868755ed64c%2164755699478%21rec" xr:uid="{00000000-0004-0000-0000-0000FF110000}"/>
    <hyperlink ref="W5376" r:id="rId4609" xr:uid="{00000000-0004-0000-0000-000000120000}"/>
    <hyperlink ref="W5400" r:id="rId4610" xr:uid="{00000000-0004-0000-0000-000001120000}"/>
    <hyperlink ref="W5401" r:id="rId4611" xr:uid="{00000000-0004-0000-0000-000002120000}"/>
    <hyperlink ref="W5375" r:id="rId4612" xr:uid="{00000000-0004-0000-0000-000003120000}"/>
    <hyperlink ref="W5404" r:id="rId4613" xr:uid="{00000000-0004-0000-0000-000004120000}"/>
    <hyperlink ref="W5408" r:id="rId4614" xr:uid="{00000000-0004-0000-0000-000005120000}"/>
    <hyperlink ref="W5407" r:id="rId4615" xr:uid="{00000000-0004-0000-0000-000006120000}"/>
    <hyperlink ref="W5409" r:id="rId4616" display="https://www.digikey.jp/ja/products/detail/sparkfun-electronics/ROB-09238/5318747?utm_adgroup=Stepper%20Motors&amp;utm_source=google&amp;utm_medium=cpc&amp;utm_campaign=Shopping_Product_Motors%2C%20Solenoids%2C%20Driver%20Boards%2FModules&amp;utm_term=&amp;productid=5318747&amp;gclid=Cj0KCQjwspKUBhCvARIsAB2IYuuTYkw8kvvMOhVrPiVboOdDr_V_W8chz-Av-NTVzGtHDDc0YfUC5wwaAjfZEALw_wcB" xr:uid="{00000000-0004-0000-0000-000007120000}"/>
    <hyperlink ref="W5410" r:id="rId4617" display="https://www.digikey.jp/ja/products/detail/sparkfun-electronics/ROB-12779/5318750?utm_adgroup=Motor%20Driver%20Boards%2C%20Modules&amp;utm_source=google&amp;utm_medium=cpc&amp;utm_campaign=Shopping_Product_Motors%2C%20Solenoids%2C%20Driver%20Boards%2FModules&amp;utm_term=&amp;productid=5318750&amp;gclid=Cj0KCQjwspKUBhCvARIsAB2IYusjbIkV2zRzOU_V9X2-NTrxtEQ1UkB003nsBqr07tCg5lf1Gnt4j6caAorlEALw_wcB" xr:uid="{00000000-0004-0000-0000-000008120000}"/>
    <hyperlink ref="W5413" r:id="rId4618" xr:uid="{00000000-0004-0000-0000-000009120000}"/>
    <hyperlink ref="W5415" r:id="rId4619" xr:uid="{00000000-0004-0000-0000-00000A120000}"/>
    <hyperlink ref="W5417" r:id="rId4620" xr:uid="{00000000-0004-0000-0000-00000B120000}"/>
    <hyperlink ref="W5418" r:id="rId4621" xr:uid="{00000000-0004-0000-0000-00000C120000}"/>
    <hyperlink ref="W5419" r:id="rId4622" display="https://www.monotaro.com/p/4845/7947/?utm_id=g_pla&amp;utm_medium=cpc&amp;utm_source=google&amp;utm_campaign=246-833-4061_6466659573_shopping&amp;utm_content=77481173956&amp;utm_term=_380615429419_x_pla-880179462657&amp;gclid=Cj0KCQjw-JyUBhCuARIsANUqQ_KqfVwEAJhBWKtV4EdTHG3zY_4m2k6fuMrFNEa9rHv2EOwNZABgpu4aAgWxEALw_wcB" xr:uid="{00000000-0004-0000-0000-00000D120000}"/>
    <hyperlink ref="W5420" r:id="rId4623" xr:uid="{00000000-0004-0000-0000-00000E120000}"/>
    <hyperlink ref="W5421" r:id="rId4624" xr:uid="{00000000-0004-0000-0000-00000F120000}"/>
    <hyperlink ref="W5422" r:id="rId4625" xr:uid="{00000000-0004-0000-0000-000010120000}"/>
    <hyperlink ref="W5423" r:id="rId4626" xr:uid="{00000000-0004-0000-0000-000011120000}"/>
    <hyperlink ref="W5425" r:id="rId4627" xr:uid="{00000000-0004-0000-0000-000012120000}"/>
    <hyperlink ref="W5426" r:id="rId4628" xr:uid="{00000000-0004-0000-0000-000013120000}"/>
    <hyperlink ref="W5435" r:id="rId4629" xr:uid="{00000000-0004-0000-0000-000014120000}"/>
    <hyperlink ref="W5436" r:id="rId4630" xr:uid="{00000000-0004-0000-0000-000015120000}"/>
    <hyperlink ref="W5438" r:id="rId4631" xr:uid="{00000000-0004-0000-0000-000016120000}"/>
    <hyperlink ref="W5439" r:id="rId4632" xr:uid="{00000000-0004-0000-0000-000017120000}"/>
    <hyperlink ref="W5440" r:id="rId4633" xr:uid="{00000000-0004-0000-0000-000018120000}"/>
    <hyperlink ref="W5441" r:id="rId4634" xr:uid="{00000000-0004-0000-0000-000019120000}"/>
    <hyperlink ref="J5434" r:id="rId4635" xr:uid="{00000000-0004-0000-0000-00001A120000}"/>
    <hyperlink ref="K5434" r:id="rId4636" display="CBSS6-8" xr:uid="{00000000-0004-0000-0000-00001B120000}"/>
    <hyperlink ref="W5434" r:id="rId4637" xr:uid="{00000000-0004-0000-0000-00001C120000}"/>
    <hyperlink ref="W5432" r:id="rId4638" xr:uid="{00000000-0004-0000-0000-00001D120000}"/>
    <hyperlink ref="W5433" r:id="rId4639" xr:uid="{00000000-0004-0000-0000-00001E120000}"/>
    <hyperlink ref="W5427" r:id="rId4640" xr:uid="{00000000-0004-0000-0000-00001F120000}"/>
    <hyperlink ref="W5429" r:id="rId4641" xr:uid="{00000000-0004-0000-0000-000020120000}"/>
    <hyperlink ref="W5442" r:id="rId4642" xr:uid="{00000000-0004-0000-0000-000021120000}"/>
    <hyperlink ref="W5428" r:id="rId4643" xr:uid="{00000000-0004-0000-0000-000022120000}"/>
    <hyperlink ref="W5443" r:id="rId4644" xr:uid="{00000000-0004-0000-0000-000023120000}"/>
    <hyperlink ref="W5444" r:id="rId4645" xr:uid="{00000000-0004-0000-0000-000024120000}"/>
    <hyperlink ref="W5445" r:id="rId4646" xr:uid="{00000000-0004-0000-0000-000025120000}"/>
    <hyperlink ref="W5446" r:id="rId4647" xr:uid="{00000000-0004-0000-0000-000026120000}"/>
    <hyperlink ref="W5447" r:id="rId4648" xr:uid="{00000000-0004-0000-0000-000027120000}"/>
    <hyperlink ref="W5448" r:id="rId4649" xr:uid="{00000000-0004-0000-0000-000028120000}"/>
    <hyperlink ref="W5449" r:id="rId4650" xr:uid="{00000000-0004-0000-0000-000029120000}"/>
    <hyperlink ref="W5450" r:id="rId4651" xr:uid="{00000000-0004-0000-0000-00002A120000}"/>
    <hyperlink ref="W5451" r:id="rId4652" xr:uid="{00000000-0004-0000-0000-00002B120000}"/>
    <hyperlink ref="W5452" r:id="rId4653" xr:uid="{00000000-0004-0000-0000-00002C120000}"/>
    <hyperlink ref="W5453" r:id="rId4654" xr:uid="{00000000-0004-0000-0000-00002D120000}"/>
    <hyperlink ref="W5454" r:id="rId4655" xr:uid="{00000000-0004-0000-0000-00002E120000}"/>
    <hyperlink ref="W5455" r:id="rId4656" xr:uid="{00000000-0004-0000-0000-00002F120000}"/>
    <hyperlink ref="W5456" r:id="rId4657" xr:uid="{00000000-0004-0000-0000-000030120000}"/>
    <hyperlink ref="W5457" r:id="rId4658" xr:uid="{00000000-0004-0000-0000-000031120000}"/>
    <hyperlink ref="W5458" r:id="rId4659" xr:uid="{00000000-0004-0000-0000-000032120000}"/>
    <hyperlink ref="W5459" r:id="rId4660" xr:uid="{00000000-0004-0000-0000-000033120000}"/>
    <hyperlink ref="W5460" r:id="rId4661" xr:uid="{00000000-0004-0000-0000-000034120000}"/>
    <hyperlink ref="W5461" r:id="rId4662" xr:uid="{00000000-0004-0000-0000-000035120000}"/>
    <hyperlink ref="W5462" r:id="rId4663" xr:uid="{00000000-0004-0000-0000-000036120000}"/>
    <hyperlink ref="W5463" r:id="rId4664" xr:uid="{00000000-0004-0000-0000-000037120000}"/>
    <hyperlink ref="W5464" r:id="rId4665" xr:uid="{00000000-0004-0000-0000-000038120000}"/>
    <hyperlink ref="W5466" r:id="rId4666" xr:uid="{00000000-0004-0000-0000-000039120000}"/>
    <hyperlink ref="W5467" r:id="rId4667" xr:uid="{00000000-0004-0000-0000-00003A120000}"/>
    <hyperlink ref="W5468" r:id="rId4668" xr:uid="{00000000-0004-0000-0000-00003B120000}"/>
    <hyperlink ref="W5469" r:id="rId4669" xr:uid="{00000000-0004-0000-0000-00003C120000}"/>
    <hyperlink ref="W5470" r:id="rId4670" xr:uid="{00000000-0004-0000-0000-00003D120000}"/>
    <hyperlink ref="W5430" r:id="rId4671" xr:uid="{00000000-0004-0000-0000-00003E120000}"/>
    <hyperlink ref="W5431" r:id="rId4672" xr:uid="{00000000-0004-0000-0000-00003F120000}"/>
    <hyperlink ref="W5475" r:id="rId4673" xr:uid="{00000000-0004-0000-0000-000040120000}"/>
    <hyperlink ref="W5465" r:id="rId4674" display="https://jp.rs-online.com/web/p/mlccs-multilayer-ceramic-capacitors/8015202/?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830312D35323032267365617263685F6B6579776F72645F6170703D38303135323032267365617263685F636F6E6669673D3126&amp;searchHistory=%7B%22enabled%22%3Atrue%7D" xr:uid="{00000000-0004-0000-0000-000041120000}"/>
    <hyperlink ref="W5477" r:id="rId4675" xr:uid="{00000000-0004-0000-0000-000042120000}"/>
    <hyperlink ref="W5478" r:id="rId4676" xr:uid="{00000000-0004-0000-0000-000043120000}"/>
    <hyperlink ref="W5479" r:id="rId4677" xr:uid="{00000000-0004-0000-0000-000044120000}"/>
    <hyperlink ref="W5480" r:id="rId4678" xr:uid="{00000000-0004-0000-0000-000045120000}"/>
    <hyperlink ref="W5481" r:id="rId4679" xr:uid="{00000000-0004-0000-0000-000046120000}"/>
    <hyperlink ref="W5482" r:id="rId4680" xr:uid="{00000000-0004-0000-0000-000047120000}"/>
    <hyperlink ref="W5483" r:id="rId4681" xr:uid="{00000000-0004-0000-0000-000048120000}"/>
    <hyperlink ref="W5484" r:id="rId4682" xr:uid="{00000000-0004-0000-0000-000049120000}"/>
    <hyperlink ref="W5485" r:id="rId4683" xr:uid="{00000000-0004-0000-0000-00004A120000}"/>
    <hyperlink ref="W5486" r:id="rId4684" xr:uid="{00000000-0004-0000-0000-00004B120000}"/>
    <hyperlink ref="W5487" r:id="rId4685" xr:uid="{00000000-0004-0000-0000-00004C120000}"/>
    <hyperlink ref="W5489" r:id="rId4686" xr:uid="{00000000-0004-0000-0000-00004D120000}"/>
    <hyperlink ref="W5490" r:id="rId4687" xr:uid="{00000000-0004-0000-0000-00004E120000}"/>
    <hyperlink ref="W5492" r:id="rId4688" xr:uid="{00000000-0004-0000-0000-00004F120000}"/>
    <hyperlink ref="W5493" r:id="rId4689" xr:uid="{00000000-0004-0000-0000-000050120000}"/>
    <hyperlink ref="W5494" r:id="rId4690" xr:uid="{00000000-0004-0000-0000-000051120000}"/>
    <hyperlink ref="W5495" r:id="rId4691" xr:uid="{00000000-0004-0000-0000-000052120000}"/>
    <hyperlink ref="W5496" r:id="rId4692" xr:uid="{00000000-0004-0000-0000-000053120000}"/>
    <hyperlink ref="W5497" r:id="rId4693" xr:uid="{00000000-0004-0000-0000-000054120000}"/>
    <hyperlink ref="W5498" r:id="rId4694" xr:uid="{00000000-0004-0000-0000-000055120000}"/>
    <hyperlink ref="W5499" r:id="rId4695" xr:uid="{00000000-0004-0000-0000-000056120000}"/>
    <hyperlink ref="W5500" r:id="rId4696" xr:uid="{00000000-0004-0000-0000-000057120000}"/>
    <hyperlink ref="W5501" r:id="rId4697" xr:uid="{00000000-0004-0000-0000-000058120000}"/>
    <hyperlink ref="W5504" r:id="rId4698" xr:uid="{00000000-0004-0000-0000-000059120000}"/>
    <hyperlink ref="W5505" r:id="rId4699" xr:uid="{00000000-0004-0000-0000-00005A120000}"/>
    <hyperlink ref="W5507" r:id="rId4700" xr:uid="{00000000-0004-0000-0000-00005B120000}"/>
    <hyperlink ref="W5506" r:id="rId4701" xr:uid="{00000000-0004-0000-0000-00005C120000}"/>
    <hyperlink ref="W5508" r:id="rId4702" xr:uid="{00000000-0004-0000-0000-00005D120000}"/>
    <hyperlink ref="W5503" r:id="rId4703" xr:uid="{00000000-0004-0000-0000-00005E120000}"/>
    <hyperlink ref="W5509" r:id="rId4704" xr:uid="{00000000-0004-0000-0000-00005F120000}"/>
    <hyperlink ref="W5510" r:id="rId4705" xr:uid="{00000000-0004-0000-0000-000060120000}"/>
    <hyperlink ref="W5514" r:id="rId4706" xr:uid="{00000000-0004-0000-0000-000061120000}"/>
    <hyperlink ref="W5515" r:id="rId4707" xr:uid="{00000000-0004-0000-0000-000062120000}"/>
    <hyperlink ref="W5516" r:id="rId4708" xr:uid="{00000000-0004-0000-0000-000063120000}"/>
    <hyperlink ref="W5517" r:id="rId4709" xr:uid="{00000000-0004-0000-0000-000064120000}"/>
    <hyperlink ref="W5518" r:id="rId4710" xr:uid="{00000000-0004-0000-0000-000065120000}"/>
    <hyperlink ref="W5519" r:id="rId4711" xr:uid="{00000000-0004-0000-0000-000066120000}"/>
    <hyperlink ref="W5520" r:id="rId4712" xr:uid="{00000000-0004-0000-0000-000067120000}"/>
    <hyperlink ref="W5521" r:id="rId4713" xr:uid="{00000000-0004-0000-0000-000068120000}"/>
    <hyperlink ref="W5522" r:id="rId4714" xr:uid="{00000000-0004-0000-0000-000069120000}"/>
    <hyperlink ref="W5524" r:id="rId4715" xr:uid="{00000000-0004-0000-0000-00006A120000}"/>
    <hyperlink ref="W5526" r:id="rId4716" xr:uid="{00000000-0004-0000-0000-00006B120000}"/>
    <hyperlink ref="W5527" r:id="rId4717" xr:uid="{00000000-0004-0000-0000-00006C120000}"/>
    <hyperlink ref="W5528" r:id="rId4718" xr:uid="{00000000-0004-0000-0000-00006D120000}"/>
    <hyperlink ref="W5532" r:id="rId4719" xr:uid="{00000000-0004-0000-0000-00006E120000}"/>
    <hyperlink ref="W5533" r:id="rId4720" xr:uid="{00000000-0004-0000-0000-00006F120000}"/>
    <hyperlink ref="W5534" r:id="rId4721" xr:uid="{00000000-0004-0000-0000-000070120000}"/>
    <hyperlink ref="W5535" r:id="rId4722" xr:uid="{00000000-0004-0000-0000-000071120000}"/>
    <hyperlink ref="W5536" r:id="rId4723" xr:uid="{00000000-0004-0000-0000-000072120000}"/>
    <hyperlink ref="W339" r:id="rId4724" xr:uid="{00000000-0004-0000-0000-000073120000}"/>
    <hyperlink ref="W5537" r:id="rId4725" xr:uid="{00000000-0004-0000-0000-000074120000}"/>
    <hyperlink ref="G5539" r:id="rId4726" display="22062100139" xr:uid="{00000000-0004-0000-0000-000075120000}"/>
    <hyperlink ref="G5538" r:id="rId4727" display="22062100138" xr:uid="{00000000-0004-0000-0000-000076120000}"/>
    <hyperlink ref="J5539" r:id="rId4728" display="22062100139" xr:uid="{00000000-0004-0000-0000-000077120000}"/>
    <hyperlink ref="J5538" r:id="rId4729" display="22062100138" xr:uid="{00000000-0004-0000-0000-000078120000}"/>
    <hyperlink ref="K5539" r:id="rId4730" display="22062100139" xr:uid="{00000000-0004-0000-0000-000079120000}"/>
    <hyperlink ref="K5538" r:id="rId4731" display="22062100138" xr:uid="{00000000-0004-0000-0000-00007A120000}"/>
    <hyperlink ref="W5540" r:id="rId4732" xr:uid="{00000000-0004-0000-0000-00007B120000}"/>
    <hyperlink ref="W5541" r:id="rId4733" xr:uid="{00000000-0004-0000-0000-00007C120000}"/>
    <hyperlink ref="W5542" r:id="rId4734" xr:uid="{00000000-0004-0000-0000-00007D120000}"/>
    <hyperlink ref="W5543" r:id="rId4735" xr:uid="{00000000-0004-0000-0000-00007E120000}"/>
    <hyperlink ref="W5547" r:id="rId4736" xr:uid="{00000000-0004-0000-0000-00007F120000}"/>
    <hyperlink ref="W5548" r:id="rId4737" xr:uid="{00000000-0004-0000-0000-000080120000}"/>
    <hyperlink ref="W5549" r:id="rId4738" xr:uid="{00000000-0004-0000-0000-000081120000}"/>
    <hyperlink ref="W5550" r:id="rId4739" xr:uid="{00000000-0004-0000-0000-000082120000}"/>
    <hyperlink ref="W5551" r:id="rId4740" xr:uid="{00000000-0004-0000-0000-000083120000}"/>
    <hyperlink ref="W5544" r:id="rId4741" xr:uid="{00000000-0004-0000-0000-000084120000}"/>
    <hyperlink ref="W5545" r:id="rId4742" xr:uid="{00000000-0004-0000-0000-000085120000}"/>
    <hyperlink ref="W5546" r:id="rId4743" xr:uid="{00000000-0004-0000-0000-000086120000}"/>
    <hyperlink ref="W5552" r:id="rId4744" xr:uid="{00000000-0004-0000-0000-000087120000}"/>
    <hyperlink ref="W5554" r:id="rId4745" xr:uid="{00000000-0004-0000-0000-000088120000}"/>
    <hyperlink ref="W5555" r:id="rId4746" xr:uid="{00000000-0004-0000-0000-000089120000}"/>
    <hyperlink ref="W5556" r:id="rId4747" xr:uid="{00000000-0004-0000-0000-00008A120000}"/>
    <hyperlink ref="W5557" r:id="rId4748" xr:uid="{00000000-0004-0000-0000-00008B120000}"/>
    <hyperlink ref="W5559" r:id="rId4749" xr:uid="{00000000-0004-0000-0000-00008C120000}"/>
    <hyperlink ref="W5560" r:id="rId4750" xr:uid="{00000000-0004-0000-0000-00008D120000}"/>
    <hyperlink ref="W5561" r:id="rId4751" xr:uid="{00000000-0004-0000-0000-00008E120000}"/>
    <hyperlink ref="W5562" r:id="rId4752" xr:uid="{00000000-0004-0000-0000-00008F120000}"/>
    <hyperlink ref="W5563" r:id="rId4753" xr:uid="{00000000-0004-0000-0000-000090120000}"/>
    <hyperlink ref="W5564" r:id="rId4754" xr:uid="{00000000-0004-0000-0000-000091120000}"/>
    <hyperlink ref="W5573" r:id="rId4755" xr:uid="{00000000-0004-0000-0000-000092120000}"/>
    <hyperlink ref="W5576" r:id="rId4756" xr:uid="{00000000-0004-0000-0000-000093120000}"/>
    <hyperlink ref="W5577" r:id="rId4757" xr:uid="{00000000-0004-0000-0000-000094120000}"/>
    <hyperlink ref="W5578" r:id="rId4758" xr:uid="{00000000-0004-0000-0000-000095120000}"/>
    <hyperlink ref="W5579" r:id="rId4759" xr:uid="{00000000-0004-0000-0000-000096120000}"/>
    <hyperlink ref="W5580" r:id="rId4760" xr:uid="{00000000-0004-0000-0000-000097120000}"/>
    <hyperlink ref="W5581" r:id="rId4761" xr:uid="{00000000-0004-0000-0000-000098120000}"/>
    <hyperlink ref="W5582" r:id="rId4762" xr:uid="{00000000-0004-0000-0000-000099120000}"/>
    <hyperlink ref="W5583" r:id="rId4763" xr:uid="{00000000-0004-0000-0000-00009A120000}"/>
    <hyperlink ref="W5584" r:id="rId4764" xr:uid="{00000000-0004-0000-0000-00009B120000}"/>
    <hyperlink ref="W5585" r:id="rId4765" xr:uid="{00000000-0004-0000-0000-00009C120000}"/>
    <hyperlink ref="W5586" r:id="rId4766" xr:uid="{00000000-0004-0000-0000-00009D120000}"/>
    <hyperlink ref="W5587" r:id="rId4767" xr:uid="{00000000-0004-0000-0000-00009E120000}"/>
    <hyperlink ref="W5588" r:id="rId4768" xr:uid="{00000000-0004-0000-0000-00009F120000}"/>
    <hyperlink ref="W5589" r:id="rId4769" xr:uid="{00000000-0004-0000-0000-0000A0120000}"/>
    <hyperlink ref="W5566" r:id="rId4770" xr:uid="{00000000-0004-0000-0000-0000A1120000}"/>
    <hyperlink ref="W5590" r:id="rId4771" xr:uid="{00000000-0004-0000-0000-0000A2120000}"/>
    <hyperlink ref="W5591" r:id="rId4772" xr:uid="{00000000-0004-0000-0000-0000A3120000}"/>
    <hyperlink ref="W5592" r:id="rId4773" xr:uid="{00000000-0004-0000-0000-0000A4120000}"/>
    <hyperlink ref="W5593" r:id="rId4774" xr:uid="{00000000-0004-0000-0000-0000A5120000}"/>
    <hyperlink ref="W5594" r:id="rId4775" xr:uid="{00000000-0004-0000-0000-0000A6120000}"/>
    <hyperlink ref="W5595" r:id="rId4776" xr:uid="{00000000-0004-0000-0000-0000A7120000}"/>
    <hyperlink ref="W5596" r:id="rId4777" xr:uid="{00000000-0004-0000-0000-0000A8120000}"/>
    <hyperlink ref="W5597" r:id="rId4778" xr:uid="{00000000-0004-0000-0000-0000A9120000}"/>
    <hyperlink ref="W5598" r:id="rId4779" xr:uid="{00000000-0004-0000-0000-0000AA120000}"/>
    <hyperlink ref="W5599" r:id="rId4780" xr:uid="{00000000-0004-0000-0000-0000AB120000}"/>
    <hyperlink ref="W5600" r:id="rId4781" xr:uid="{00000000-0004-0000-0000-0000AC120000}"/>
    <hyperlink ref="W5601" r:id="rId4782" xr:uid="{00000000-0004-0000-0000-0000AD120000}"/>
    <hyperlink ref="W5602" r:id="rId4783" xr:uid="{00000000-0004-0000-0000-0000AE120000}"/>
    <hyperlink ref="W5603" r:id="rId4784" xr:uid="{00000000-0004-0000-0000-0000AF120000}"/>
    <hyperlink ref="W5604" r:id="rId4785" xr:uid="{00000000-0004-0000-0000-0000B0120000}"/>
    <hyperlink ref="W5605" r:id="rId4786" xr:uid="{00000000-0004-0000-0000-0000B1120000}"/>
    <hyperlink ref="W5606" r:id="rId4787" xr:uid="{00000000-0004-0000-0000-0000B2120000}"/>
    <hyperlink ref="W5607" r:id="rId4788" xr:uid="{00000000-0004-0000-0000-0000B3120000}"/>
    <hyperlink ref="W5608" r:id="rId4789" xr:uid="{00000000-0004-0000-0000-0000B4120000}"/>
    <hyperlink ref="W5609" r:id="rId4790" xr:uid="{00000000-0004-0000-0000-0000B5120000}"/>
    <hyperlink ref="W5610" r:id="rId4791" xr:uid="{00000000-0004-0000-0000-0000B6120000}"/>
    <hyperlink ref="W5611" r:id="rId4792" xr:uid="{00000000-0004-0000-0000-0000B7120000}"/>
    <hyperlink ref="W5614" r:id="rId4793" xr:uid="{00000000-0004-0000-0000-0000B8120000}"/>
    <hyperlink ref="W5615" r:id="rId4794" xr:uid="{00000000-0004-0000-0000-0000B9120000}"/>
    <hyperlink ref="W5616" r:id="rId4795" xr:uid="{00000000-0004-0000-0000-0000BA120000}"/>
    <hyperlink ref="W5617" r:id="rId4796" xr:uid="{00000000-0004-0000-0000-0000BB120000}"/>
    <hyperlink ref="W5618" r:id="rId4797" xr:uid="{00000000-0004-0000-0000-0000BC120000}"/>
    <hyperlink ref="W5619" r:id="rId4798" xr:uid="{00000000-0004-0000-0000-0000BD120000}"/>
    <hyperlink ref="W5620" r:id="rId4799" xr:uid="{00000000-0004-0000-0000-0000BE120000}"/>
    <hyperlink ref="W5621" r:id="rId4800" xr:uid="{00000000-0004-0000-0000-0000BF120000}"/>
    <hyperlink ref="W5622" r:id="rId4801" xr:uid="{00000000-0004-0000-0000-0000C0120000}"/>
    <hyperlink ref="W5623" r:id="rId4802" xr:uid="{00000000-0004-0000-0000-0000C1120000}"/>
    <hyperlink ref="W5624" r:id="rId4803" xr:uid="{00000000-0004-0000-0000-0000C2120000}"/>
    <hyperlink ref="W5625" r:id="rId4804" xr:uid="{00000000-0004-0000-0000-0000C3120000}"/>
    <hyperlink ref="W5626" r:id="rId4805" xr:uid="{00000000-0004-0000-0000-0000C4120000}"/>
    <hyperlink ref="W5627" r:id="rId4806" xr:uid="{00000000-0004-0000-0000-0000C5120000}"/>
    <hyperlink ref="W5629" r:id="rId4807" xr:uid="{00000000-0004-0000-0000-0000C6120000}"/>
    <hyperlink ref="W5628" r:id="rId4808" xr:uid="{00000000-0004-0000-0000-0000C7120000}"/>
    <hyperlink ref="W5630" r:id="rId4809" xr:uid="{00000000-0004-0000-0000-0000C8120000}"/>
    <hyperlink ref="W5631" r:id="rId4810" xr:uid="{00000000-0004-0000-0000-0000C9120000}"/>
    <hyperlink ref="W5632" r:id="rId4811" xr:uid="{00000000-0004-0000-0000-0000CA120000}"/>
    <hyperlink ref="W5633" r:id="rId4812" xr:uid="{00000000-0004-0000-0000-0000CB120000}"/>
    <hyperlink ref="W5634" r:id="rId4813" xr:uid="{00000000-0004-0000-0000-0000CC120000}"/>
    <hyperlink ref="W5635" r:id="rId4814" xr:uid="{00000000-0004-0000-0000-0000CD120000}"/>
    <hyperlink ref="W5636" r:id="rId4815" xr:uid="{00000000-0004-0000-0000-0000CE120000}"/>
    <hyperlink ref="W5637" r:id="rId4816" xr:uid="{00000000-0004-0000-0000-0000CF120000}"/>
    <hyperlink ref="W5638" r:id="rId4817" xr:uid="{00000000-0004-0000-0000-0000D0120000}"/>
    <hyperlink ref="W5639" r:id="rId4818" xr:uid="{00000000-0004-0000-0000-0000D1120000}"/>
    <hyperlink ref="W5640" r:id="rId4819" xr:uid="{00000000-0004-0000-0000-0000D2120000}"/>
    <hyperlink ref="W5641" r:id="rId4820" xr:uid="{00000000-0004-0000-0000-0000D3120000}"/>
    <hyperlink ref="W5642" r:id="rId4821" xr:uid="{00000000-0004-0000-0000-0000D4120000}"/>
    <hyperlink ref="W5643" r:id="rId4822" display="https://www.digikey.jp/ja/products/detail/dfrobot/DFR0379/7087190?utm_adgroup=IoT&amp;utm_source=google&amp;utm_medium=cpc&amp;utm_campaign=Smart%20Shopping_Product_IoT&amp;utm_term=&amp;productid=7087190&amp;gclid=CjwKCAjw47eFBhA9EiwAy8kzNIk2umIp_TINebcQqJ240KrdLaZcsZPoBZpaKord2yVKcSjVZMpelhoCHTEQAvD_BwE" xr:uid="{00000000-0004-0000-0000-0000D5120000}"/>
    <hyperlink ref="W5644" r:id="rId4823" xr:uid="{00000000-0004-0000-0000-0000D6120000}"/>
    <hyperlink ref="W5645" r:id="rId4824" xr:uid="{00000000-0004-0000-0000-0000D7120000}"/>
    <hyperlink ref="W5646" r:id="rId4825" xr:uid="{00000000-0004-0000-0000-0000D8120000}"/>
    <hyperlink ref="W5647" r:id="rId4826" xr:uid="{00000000-0004-0000-0000-0000D9120000}"/>
    <hyperlink ref="W5648" r:id="rId4827" xr:uid="{00000000-0004-0000-0000-0000DA120000}"/>
    <hyperlink ref="W5649" r:id="rId4828" xr:uid="{00000000-0004-0000-0000-0000DB120000}"/>
    <hyperlink ref="G5650" r:id="rId4829" xr:uid="{00000000-0004-0000-0000-0000DC120000}"/>
    <hyperlink ref="W5650" r:id="rId4830" xr:uid="{00000000-0004-0000-0000-0000DD120000}"/>
    <hyperlink ref="W5651" r:id="rId4831" xr:uid="{00000000-0004-0000-0000-0000DE120000}"/>
    <hyperlink ref="W5652" r:id="rId4832" xr:uid="{00000000-0004-0000-0000-0000DF120000}"/>
    <hyperlink ref="W5664" r:id="rId4833" xr:uid="{00000000-0004-0000-0000-0000E0120000}"/>
    <hyperlink ref="W5665" r:id="rId4834" xr:uid="{00000000-0004-0000-0000-0000E1120000}"/>
    <hyperlink ref="W5666" r:id="rId4835" xr:uid="{00000000-0004-0000-0000-0000E2120000}"/>
    <hyperlink ref="W5667" r:id="rId4836" xr:uid="{00000000-0004-0000-0000-0000E3120000}"/>
    <hyperlink ref="W5668" r:id="rId4837" xr:uid="{00000000-0004-0000-0000-0000E4120000}"/>
    <hyperlink ref="W5669" r:id="rId4838" xr:uid="{00000000-0004-0000-0000-0000E5120000}"/>
    <hyperlink ref="W5670" r:id="rId4839" xr:uid="{00000000-0004-0000-0000-0000E6120000}"/>
    <hyperlink ref="W5671" r:id="rId4840" xr:uid="{00000000-0004-0000-0000-0000E7120000}"/>
    <hyperlink ref="W5672" r:id="rId4841" xr:uid="{00000000-0004-0000-0000-0000E8120000}"/>
    <hyperlink ref="W5673" r:id="rId4842" xr:uid="{00000000-0004-0000-0000-0000E9120000}"/>
    <hyperlink ref="W5674" r:id="rId4843" xr:uid="{00000000-0004-0000-0000-0000EA120000}"/>
    <hyperlink ref="W5677" r:id="rId4844" xr:uid="{00000000-0004-0000-0000-0000EB120000}"/>
    <hyperlink ref="H5678" r:id="rId4845" xr:uid="{00000000-0004-0000-0000-0000EC120000}"/>
    <hyperlink ref="J5678" r:id="rId4846" xr:uid="{00000000-0004-0000-0000-0000ED120000}"/>
    <hyperlink ref="W5678" r:id="rId4847" xr:uid="{00000000-0004-0000-0000-0000EE120000}"/>
    <hyperlink ref="W5679" r:id="rId4848" xr:uid="{00000000-0004-0000-0000-0000EF120000}"/>
    <hyperlink ref="H5679" r:id="rId4849" xr:uid="{00000000-0004-0000-0000-0000F0120000}"/>
    <hyperlink ref="W5680" r:id="rId4850" xr:uid="{00000000-0004-0000-0000-0000F1120000}"/>
    <hyperlink ref="W5681" r:id="rId4851" xr:uid="{00000000-0004-0000-0000-0000F2120000}"/>
    <hyperlink ref="W5683" r:id="rId4852" xr:uid="{00000000-0004-0000-0000-0000F3120000}"/>
    <hyperlink ref="W5682" r:id="rId4853" xr:uid="{00000000-0004-0000-0000-0000F4120000}"/>
    <hyperlink ref="W5684" r:id="rId4854" xr:uid="{00000000-0004-0000-0000-0000F5120000}"/>
    <hyperlink ref="W5685" r:id="rId4855" xr:uid="{00000000-0004-0000-0000-0000F6120000}"/>
    <hyperlink ref="W5687" r:id="rId4856" xr:uid="{00000000-0004-0000-0000-0000F7120000}"/>
    <hyperlink ref="W5686" r:id="rId4857" display="https://www.mouser.jp/ProductDetail/onsemi/NCP716MT12TBG?qs=dbuNSGnowt0HdoGkdI9nXQ%3D%3D&amp;utm_source=eciaauthorized&amp;utm_medium=aggregator&amp;utm_campaign=NCP716MT12TBG&amp;utm_term=NCP716MT12TBG&amp;utm_content=onsemi&amp;cmpReferrer=onsemi_EMA_ECIA_inventoryfeed_VSE&amp;cmpProduct=NCP716MT12TBG" xr:uid="{00000000-0004-0000-0000-0000F8120000}"/>
    <hyperlink ref="W5688" r:id="rId4858" xr:uid="{00000000-0004-0000-0000-0000F9120000}"/>
    <hyperlink ref="W5689" r:id="rId4859" xr:uid="{00000000-0004-0000-0000-0000FA120000}"/>
    <hyperlink ref="W5690" r:id="rId4860" xr:uid="{00000000-0004-0000-0000-0000FB120000}"/>
    <hyperlink ref="W5691" r:id="rId4861" xr:uid="{00000000-0004-0000-0000-0000FC120000}"/>
    <hyperlink ref="W5692" r:id="rId4862" xr:uid="{00000000-0004-0000-0000-0000FD120000}"/>
    <hyperlink ref="W5693" r:id="rId4863" xr:uid="{00000000-0004-0000-0000-0000FE120000}"/>
    <hyperlink ref="W5694" r:id="rId4864" xr:uid="{00000000-0004-0000-0000-0000FF120000}"/>
    <hyperlink ref="W5695" r:id="rId4865" xr:uid="{00000000-0004-0000-0000-000000130000}"/>
    <hyperlink ref="W5696" r:id="rId4866" xr:uid="{00000000-0004-0000-0000-000001130000}"/>
    <hyperlink ref="W5697" r:id="rId4867" xr:uid="{00000000-0004-0000-0000-000002130000}"/>
    <hyperlink ref="W5698" r:id="rId4868" xr:uid="{00000000-0004-0000-0000-000003130000}"/>
    <hyperlink ref="W5706" r:id="rId4869" xr:uid="{00000000-0004-0000-0000-000004130000}"/>
    <hyperlink ref="W5710" r:id="rId4870" xr:uid="{00000000-0004-0000-0000-000005130000}"/>
    <hyperlink ref="W5718" r:id="rId4871" xr:uid="{00000000-0004-0000-0000-000006130000}"/>
    <hyperlink ref="W5717" r:id="rId4872" xr:uid="{00000000-0004-0000-0000-000007130000}"/>
    <hyperlink ref="W5719" r:id="rId4873" xr:uid="{00000000-0004-0000-0000-000008130000}"/>
    <hyperlink ref="W5699" r:id="rId4874" xr:uid="{00000000-0004-0000-0000-000009130000}"/>
    <hyperlink ref="W5700" r:id="rId4875" xr:uid="{00000000-0004-0000-0000-00000A130000}"/>
    <hyperlink ref="W5715" r:id="rId4876" xr:uid="{00000000-0004-0000-0000-00000B130000}"/>
    <hyperlink ref="W5720" r:id="rId4877" xr:uid="{00000000-0004-0000-0000-00000C130000}"/>
    <hyperlink ref="W5721" r:id="rId4878" xr:uid="{00000000-0004-0000-0000-00000D130000}"/>
    <hyperlink ref="W5722" r:id="rId4879" xr:uid="{00000000-0004-0000-0000-00000E130000}"/>
    <hyperlink ref="W5737" r:id="rId4880" xr:uid="{00000000-0004-0000-0000-00000F130000}"/>
    <hyperlink ref="W5738" r:id="rId4881" xr:uid="{00000000-0004-0000-0000-000010130000}"/>
    <hyperlink ref="W5744" r:id="rId4882" xr:uid="{00000000-0004-0000-0000-000011130000}"/>
    <hyperlink ref="W5745" r:id="rId4883" xr:uid="{00000000-0004-0000-0000-000012130000}"/>
    <hyperlink ref="W5743" r:id="rId4884" xr:uid="{00000000-0004-0000-0000-000013130000}"/>
    <hyperlink ref="W5742" r:id="rId4885" xr:uid="{00000000-0004-0000-0000-000014130000}"/>
    <hyperlink ref="W5741" r:id="rId4886" xr:uid="{00000000-0004-0000-0000-000015130000}"/>
    <hyperlink ref="W5746" r:id="rId4887" xr:uid="{00000000-0004-0000-0000-000016130000}"/>
    <hyperlink ref="W5747" r:id="rId4888" xr:uid="{00000000-0004-0000-0000-000017130000}"/>
    <hyperlink ref="W5748" r:id="rId4889" xr:uid="{00000000-0004-0000-0000-000018130000}"/>
    <hyperlink ref="W5750" r:id="rId4890" xr:uid="{00000000-0004-0000-0000-000019130000}"/>
    <hyperlink ref="W5751" r:id="rId4891" xr:uid="{00000000-0004-0000-0000-00001A130000}"/>
    <hyperlink ref="W5749" r:id="rId4892" xr:uid="{00000000-0004-0000-0000-00001B130000}"/>
    <hyperlink ref="W5752" r:id="rId4893" xr:uid="{00000000-0004-0000-0000-00001C130000}"/>
    <hyperlink ref="W5753" r:id="rId4894" xr:uid="{00000000-0004-0000-0000-00001D130000}"/>
    <hyperlink ref="W5754" r:id="rId4895" xr:uid="{00000000-0004-0000-0000-00001E130000}"/>
    <hyperlink ref="W5755" r:id="rId4896" xr:uid="{00000000-0004-0000-0000-00001F130000}"/>
    <hyperlink ref="W5756" r:id="rId4897" xr:uid="{00000000-0004-0000-0000-000020130000}"/>
    <hyperlink ref="X5603" r:id="rId4898" xr:uid="{00000000-0004-0000-0000-000021130000}"/>
    <hyperlink ref="W5757" r:id="rId4899" xr:uid="{00000000-0004-0000-0000-000022130000}"/>
    <hyperlink ref="W5758" r:id="rId4900" xr:uid="{00000000-0004-0000-0000-000023130000}"/>
    <hyperlink ref="W5763" r:id="rId4901" xr:uid="{00000000-0004-0000-0000-000024130000}"/>
    <hyperlink ref="W5764" r:id="rId4902" xr:uid="{00000000-0004-0000-0000-000025130000}"/>
    <hyperlink ref="W5765" r:id="rId4903" xr:uid="{00000000-0004-0000-0000-000026130000}"/>
    <hyperlink ref="W5766" r:id="rId4904" xr:uid="{00000000-0004-0000-0000-000027130000}"/>
    <hyperlink ref="W5767" r:id="rId4905" xr:uid="{00000000-0004-0000-0000-000028130000}"/>
    <hyperlink ref="W5768" r:id="rId4906" xr:uid="{00000000-0004-0000-0000-000029130000}"/>
    <hyperlink ref="W5769" r:id="rId4907" xr:uid="{00000000-0004-0000-0000-00002A130000}"/>
    <hyperlink ref="W5773" r:id="rId4908" xr:uid="{00000000-0004-0000-0000-00002B130000}"/>
    <hyperlink ref="W5775" r:id="rId4909" xr:uid="{00000000-0004-0000-0000-00002C130000}"/>
    <hyperlink ref="W5776" r:id="rId4910" display="https://jp.rs-online.com/web/p/ethernet-cable/2115759?cm_mmc=JP-PLA-DS3A-_-google-_-PLA_JP_JP_%E3%82%B1%E3%83%BC%E3%83%96%E3%83%AB_Whoop-_-(JP:Whoop!)+%E3%82%A4%E3%83%BC%E3%82%B5%E3%83%8D%E3%83%83%E3%83%88%E3%82%B1%E3%83%BC%E3%83%96%E3%83%AB-_-2115759&amp;matchtype=&amp;pla-341401857057&amp;gclid=CjwKCAjw7IeUBhBbEiwADhiEMU00XsyBdkIWRkh_QV5trMYj2j7yDINCK2kjBqB9ykEZ26eco60NShoCZ1YQAvD_BwE&amp;gclsrc=aw.ds" xr:uid="{00000000-0004-0000-0000-00002D130000}"/>
    <hyperlink ref="W5777" r:id="rId4911" xr:uid="{00000000-0004-0000-0000-00002E130000}"/>
    <hyperlink ref="W5778" r:id="rId4912" xr:uid="{00000000-0004-0000-0000-00002F130000}"/>
    <hyperlink ref="W5770" r:id="rId4913" display="https://www.amazon.co.jp/RTL-SDR-R820T2-RTL2832U-SMA%E3%82%BD%E3%83%95%E3%83%88%E3%82%A6%E3%82%A7%E3%82%A2%E5%AE%9A%E7%BE%A9%E3%83%A9%E3%82%B8%E3%82%AA-2%E5%80%8D%E4%BC%B8%E7%B8%AE%E3%82%A2%E3%83%B3%E3%83%86%E3%83%8A%E4%BB%98%E3%81%8D/dp/B011HVUEME/ref=sr_1_6?__mk_ja_JP=%E3%82%AB%E3%82%BF%E3%82%AB%E3%83%8A&amp;crid=GJTZKP4LMGN6&amp;keywords=SDR&amp;qid=1640584588&amp;sprefix=sdr%2Caps%2C316&amp;sr=8-6" xr:uid="{00000000-0004-0000-0000-000030130000}"/>
    <hyperlink ref="W5771" r:id="rId4914" display="https://www.amazon.co.jp/dp/B083XSRYXW/ref=sspa_dk_detail_4?pd_rd_i=B083XSRYXW&amp;pd_rd_w=SleiR&amp;content-id=amzn1.sym.f293be60-50b7-49bc-95e8-931faf86ed1e&amp;pf_rd_p=f293be60-50b7-49bc-95e8-931faf86ed1e&amp;pf_rd_r=ZX2HCK4JG85V3P9TDSGX&amp;pd_rd_wg=kLXFu&amp;pd_rd_r=b488366d-c355-4e46-a3b8-6bc7376b4fda&amp;s=computers&amp;sp_csd=d2lkZ2V0TmFtZT1zcF9kZXRhaWw&amp;spLa=ZW5jcnlwdGVkUXVhbGlmaWVyPUEyWlNDWk0yM01UUTBSJmVuY3J5cHRlZElkPUEwMzE0NTQwU0FCR0RSUzkyQVpPJmVuY3J5cHRlZEFkSWQ9QVJWODdaSjFWR1FZQyZ3aWRnZXROYW1lPXNwX2RldGFpbCZhY3Rpb249Y2xpY2tSZWRpcmVjdCZkb05vdExvZ0NsaWNrPXRydWU&amp;th=1" xr:uid="{00000000-0004-0000-0000-000031130000}"/>
    <hyperlink ref="W5772" r:id="rId4915" xr:uid="{00000000-0004-0000-0000-000032130000}"/>
    <hyperlink ref="W5774" r:id="rId4916" xr:uid="{00000000-0004-0000-0000-000033130000}"/>
    <hyperlink ref="W4111" r:id="rId4917" xr:uid="{00000000-0004-0000-0000-000034130000}"/>
    <hyperlink ref="W5779" r:id="rId4918" xr:uid="{00000000-0004-0000-0000-000035130000}"/>
    <hyperlink ref="W5780" r:id="rId4919" xr:uid="{00000000-0004-0000-0000-000036130000}"/>
    <hyperlink ref="W5781" r:id="rId4920" xr:uid="{00000000-0004-0000-0000-000037130000}"/>
    <hyperlink ref="H5781" r:id="rId4921" xr:uid="{00000000-0004-0000-0000-000038130000}"/>
    <hyperlink ref="W5782" r:id="rId4922" xr:uid="{00000000-0004-0000-0000-000039130000}"/>
    <hyperlink ref="W5783" r:id="rId4923" xr:uid="{00000000-0004-0000-0000-00003A130000}"/>
    <hyperlink ref="W5784" r:id="rId4924" xr:uid="{00000000-0004-0000-0000-00003B130000}"/>
    <hyperlink ref="W5785" r:id="rId4925" xr:uid="{00000000-0004-0000-0000-00003C130000}"/>
    <hyperlink ref="W5802" r:id="rId4926" xr:uid="{00000000-0004-0000-0000-00003D130000}"/>
    <hyperlink ref="W5803" r:id="rId4927" xr:uid="{00000000-0004-0000-0000-00003E130000}"/>
    <hyperlink ref="W5804" r:id="rId4928" xr:uid="{00000000-0004-0000-0000-00003F130000}"/>
    <hyperlink ref="W5800" r:id="rId4929" xr:uid="{00000000-0004-0000-0000-000040130000}"/>
    <hyperlink ref="W5801" r:id="rId4930" xr:uid="{00000000-0004-0000-0000-000041130000}"/>
    <hyperlink ref="W5805" r:id="rId4931" xr:uid="{00000000-0004-0000-0000-000042130000}"/>
    <hyperlink ref="W5795" r:id="rId4932" xr:uid="{00000000-0004-0000-0000-000043130000}"/>
    <hyperlink ref="W5791" r:id="rId4933" xr:uid="{00000000-0004-0000-0000-000044130000}"/>
    <hyperlink ref="W5793" r:id="rId4934" xr:uid="{00000000-0004-0000-0000-000045130000}"/>
    <hyperlink ref="W5806" r:id="rId4935" xr:uid="{00000000-0004-0000-0000-000046130000}"/>
    <hyperlink ref="W5807" r:id="rId4936" xr:uid="{00000000-0004-0000-0000-000047130000}"/>
    <hyperlink ref="W5808" r:id="rId4937" xr:uid="{00000000-0004-0000-0000-000048130000}"/>
    <hyperlink ref="W5809" r:id="rId4938" xr:uid="{00000000-0004-0000-0000-000049130000}"/>
    <hyperlink ref="W5813" r:id="rId4939" xr:uid="{00000000-0004-0000-0000-00004A130000}"/>
    <hyperlink ref="W5814" r:id="rId4940" display="https://www.digikey.jp/ja/products/detail/panasonic-electronic-components/ERA-3AEB2873V/2026968?s=N4IgjCBcoMxaBjKAzAhgGwM4FMA0IB7KAbRAHYYIBdfABwBcoQBlegJwEsA7AcxAF98YAGzwQSSGix5CJEDACcAJgAsomiAZNWnXgPwBaCNHEoMOfEUikwABhBVBIA3BMT2AVxlWb9x4aUxdzYvSzkAVgd%2BJ0DrECUADjIAawACTABbABMooA" xr:uid="{00000000-0004-0000-0000-00004B130000}"/>
    <hyperlink ref="W5815" r:id="rId4941" xr:uid="{00000000-0004-0000-0000-00004C130000}"/>
    <hyperlink ref="W5817" r:id="rId4942" xr:uid="{00000000-0004-0000-0000-00004D130000}"/>
    <hyperlink ref="W5818" r:id="rId4943" xr:uid="{00000000-0004-0000-0000-00004E130000}"/>
    <hyperlink ref="W5819" r:id="rId4944" xr:uid="{00000000-0004-0000-0000-00004F130000}"/>
    <hyperlink ref="W5837" r:id="rId4945" xr:uid="{00000000-0004-0000-0000-000050130000}"/>
    <hyperlink ref="W5839" r:id="rId4946" xr:uid="{00000000-0004-0000-0000-000051130000}"/>
    <hyperlink ref="W5840" r:id="rId4947" xr:uid="{00000000-0004-0000-0000-000052130000}"/>
    <hyperlink ref="W5841" r:id="rId4948" xr:uid="{00000000-0004-0000-0000-000053130000}"/>
    <hyperlink ref="W5842" r:id="rId4949" xr:uid="{00000000-0004-0000-0000-000054130000}"/>
    <hyperlink ref="W5843" r:id="rId4950" xr:uid="{00000000-0004-0000-0000-000055130000}"/>
    <hyperlink ref="W5844" r:id="rId4951" xr:uid="{00000000-0004-0000-0000-000056130000}"/>
    <hyperlink ref="W5845" r:id="rId4952" xr:uid="{00000000-0004-0000-0000-000057130000}"/>
    <hyperlink ref="W5846" r:id="rId4953" xr:uid="{00000000-0004-0000-0000-000058130000}"/>
    <hyperlink ref="W5847" r:id="rId4954" xr:uid="{00000000-0004-0000-0000-000059130000}"/>
    <hyperlink ref="W5848" r:id="rId4955" xr:uid="{00000000-0004-0000-0000-00005A130000}"/>
    <hyperlink ref="W5849" r:id="rId4956" xr:uid="{00000000-0004-0000-0000-00005B130000}"/>
    <hyperlink ref="W5850" r:id="rId4957" xr:uid="{00000000-0004-0000-0000-00005C130000}"/>
    <hyperlink ref="W5851" r:id="rId4958" xr:uid="{00000000-0004-0000-0000-00005D130000}"/>
    <hyperlink ref="W5852" r:id="rId4959" xr:uid="{00000000-0004-0000-0000-00005E130000}"/>
    <hyperlink ref="W5853" r:id="rId4960" xr:uid="{00000000-0004-0000-0000-00005F130000}"/>
    <hyperlink ref="W5854" r:id="rId4961" xr:uid="{00000000-0004-0000-0000-000060130000}"/>
    <hyperlink ref="W5855" r:id="rId4962" xr:uid="{00000000-0004-0000-0000-000061130000}"/>
    <hyperlink ref="W5857" r:id="rId4963" xr:uid="{00000000-0004-0000-0000-000062130000}"/>
    <hyperlink ref="W5856" r:id="rId4964" xr:uid="{00000000-0004-0000-0000-000063130000}"/>
    <hyperlink ref="W5838" r:id="rId4965" xr:uid="{00000000-0004-0000-0000-000064130000}"/>
    <hyperlink ref="W5859" r:id="rId4966" xr:uid="{00000000-0004-0000-0000-000065130000}"/>
    <hyperlink ref="W5861" r:id="rId4967" xr:uid="{00000000-0004-0000-0000-000066130000}"/>
    <hyperlink ref="W5863" r:id="rId4968" xr:uid="{00000000-0004-0000-0000-000067130000}"/>
    <hyperlink ref="W5864" r:id="rId4969" xr:uid="{00000000-0004-0000-0000-000068130000}"/>
    <hyperlink ref="W5865" r:id="rId4970" xr:uid="{00000000-0004-0000-0000-000069130000}"/>
    <hyperlink ref="W5866" r:id="rId4971" xr:uid="{00000000-0004-0000-0000-00006A130000}"/>
    <hyperlink ref="W5873" r:id="rId4972" xr:uid="{00000000-0004-0000-0000-00006B130000}"/>
    <hyperlink ref="W5874" r:id="rId4973" xr:uid="{00000000-0004-0000-0000-00006C130000}"/>
    <hyperlink ref="W5875" r:id="rId4974" display="https://www.amazon.co.jp/RigExpert-AA-650-ZOOM-%E3%83%AA%E3%82%B0%E3%82%A8%E3%82%AD%E3%82%B9%E3%83%91%E3%83%BC%E3%83%88-%E3%82%A2%E3%83%B3%E3%83%86%E3%83%8A%E3%82%A2%E3%83%8A%E3%83%A9%E3%82%A4%E3%82%B6%E3%83%BC/dp/B08FF9422P/ref=asc_df_B08FF9422P/?tag=jpgo-22&amp;linkCode=df0&amp;hvadid=472481135714&amp;hvpos=&amp;hvnetw=g&amp;hvrand=742477727324605450&amp;hvpone=&amp;hvptwo=&amp;hvqmt=&amp;hvdev=c&amp;hvdvcmdl=&amp;hvlocint=&amp;hvlocphy=1009721&amp;hvtargid=pla-1045193522877&amp;psc=1" xr:uid="{00000000-0004-0000-0000-00006D130000}"/>
    <hyperlink ref="W5876" r:id="rId4975" display="https://www.digikey.jp/ja/products/detail/adafruit-industries-llc/1085/5761229?utm_adgroup=General&amp;utm_source=google&amp;utm_medium=cpc&amp;utm_campaign=PMax%20Shopping_Product_Zombie%20SKUs&amp;utm_term=&amp;productid=5761229&amp;gclid=Cj0KCQjwmouZBhDSARIsALYcoupkCPiWq-wFWAqnw39TXufocMWMHr-XV7QR5OIxdPXVmvXfKH5QkUQaAsGREALw_wcB" xr:uid="{00000000-0004-0000-0000-00006E130000}"/>
    <hyperlink ref="W5877" r:id="rId4976" xr:uid="{00000000-0004-0000-0000-00006F130000}"/>
    <hyperlink ref="W5878" r:id="rId4977" xr:uid="{00000000-0004-0000-0000-000070130000}"/>
    <hyperlink ref="W5879" r:id="rId4978" xr:uid="{00000000-0004-0000-0000-000071130000}"/>
    <hyperlink ref="W5880" r:id="rId4979" xr:uid="{00000000-0004-0000-0000-000072130000}"/>
    <hyperlink ref="W5881" r:id="rId4980" xr:uid="{00000000-0004-0000-0000-000073130000}"/>
    <hyperlink ref="W5882" r:id="rId4981" xr:uid="{00000000-0004-0000-0000-000074130000}"/>
    <hyperlink ref="W5883" r:id="rId4982" xr:uid="{00000000-0004-0000-0000-000075130000}"/>
    <hyperlink ref="W5884" r:id="rId4983" xr:uid="{00000000-0004-0000-0000-000076130000}"/>
    <hyperlink ref="W5885" r:id="rId4984" xr:uid="{00000000-0004-0000-0000-000077130000}"/>
    <hyperlink ref="W5886" r:id="rId4985" xr:uid="{00000000-0004-0000-0000-000078130000}"/>
    <hyperlink ref="W5887" r:id="rId4986" xr:uid="{00000000-0004-0000-0000-000079130000}"/>
    <hyperlink ref="W5888" r:id="rId4987" xr:uid="{00000000-0004-0000-0000-00007A130000}"/>
    <hyperlink ref="W5891" r:id="rId4988" xr:uid="{00000000-0004-0000-0000-00007B130000}"/>
    <hyperlink ref="W5892" r:id="rId4989" xr:uid="{00000000-0004-0000-0000-00007C130000}"/>
    <hyperlink ref="W5893" r:id="rId4990" xr:uid="{00000000-0004-0000-0000-00007D130000}"/>
    <hyperlink ref="W5894" r:id="rId4991" xr:uid="{00000000-0004-0000-0000-00007E130000}"/>
    <hyperlink ref="W5895" r:id="rId4992" xr:uid="{00000000-0004-0000-0000-00007F130000}"/>
    <hyperlink ref="W5896" r:id="rId4993" xr:uid="{00000000-0004-0000-0000-000080130000}"/>
    <hyperlink ref="W5897" r:id="rId4994" xr:uid="{00000000-0004-0000-0000-000081130000}"/>
    <hyperlink ref="W5898" r:id="rId4995" xr:uid="{00000000-0004-0000-0000-000082130000}"/>
    <hyperlink ref="W5899" r:id="rId4996" xr:uid="{00000000-0004-0000-0000-000083130000}"/>
    <hyperlink ref="W5900" r:id="rId4997" xr:uid="{00000000-0004-0000-0000-000084130000}"/>
    <hyperlink ref="W5901" r:id="rId4998" xr:uid="{00000000-0004-0000-0000-000085130000}"/>
    <hyperlink ref="W5902" r:id="rId4999" xr:uid="{00000000-0004-0000-0000-000086130000}"/>
    <hyperlink ref="W5903" r:id="rId5000" xr:uid="{00000000-0004-0000-0000-000087130000}"/>
    <hyperlink ref="W5904" r:id="rId5001" xr:uid="{00000000-0004-0000-0000-000088130000}"/>
    <hyperlink ref="W5906" r:id="rId5002" xr:uid="{00000000-0004-0000-0000-000089130000}"/>
    <hyperlink ref="W5907" r:id="rId5003" xr:uid="{00000000-0004-0000-0000-00008A130000}"/>
    <hyperlink ref="W5908" r:id="rId5004" xr:uid="{00000000-0004-0000-0000-00008B130000}"/>
    <hyperlink ref="W5909" r:id="rId5005" xr:uid="{00000000-0004-0000-0000-00008C130000}"/>
    <hyperlink ref="W5910" r:id="rId5006" xr:uid="{00000000-0004-0000-0000-00008D130000}"/>
    <hyperlink ref="W5911" r:id="rId5007" xr:uid="{00000000-0004-0000-0000-00008E130000}"/>
    <hyperlink ref="W5912" r:id="rId5008" xr:uid="{00000000-0004-0000-0000-00008F130000}"/>
    <hyperlink ref="W5913" r:id="rId5009" xr:uid="{00000000-0004-0000-0000-000090130000}"/>
    <hyperlink ref="W5914" r:id="rId5010" xr:uid="{00000000-0004-0000-0000-000091130000}"/>
    <hyperlink ref="W5915" r:id="rId5011" xr:uid="{00000000-0004-0000-0000-000092130000}"/>
    <hyperlink ref="W5916" r:id="rId5012" xr:uid="{00000000-0004-0000-0000-000093130000}"/>
    <hyperlink ref="W5917" r:id="rId5013" xr:uid="{00000000-0004-0000-0000-000094130000}"/>
    <hyperlink ref="W5918" r:id="rId5014" xr:uid="{00000000-0004-0000-0000-000095130000}"/>
    <hyperlink ref="W5919" r:id="rId5015" xr:uid="{00000000-0004-0000-0000-000096130000}"/>
    <hyperlink ref="W5920" r:id="rId5016" xr:uid="{00000000-0004-0000-0000-000097130000}"/>
    <hyperlink ref="W5921" r:id="rId5017" xr:uid="{00000000-0004-0000-0000-000098130000}"/>
    <hyperlink ref="W5922" r:id="rId5018" xr:uid="{00000000-0004-0000-0000-000099130000}"/>
    <hyperlink ref="W5923" r:id="rId5019" xr:uid="{00000000-0004-0000-0000-00009A130000}"/>
    <hyperlink ref="W5924" r:id="rId5020" xr:uid="{00000000-0004-0000-0000-00009B130000}"/>
    <hyperlink ref="W5925" r:id="rId5021" xr:uid="{00000000-0004-0000-0000-00009C130000}"/>
    <hyperlink ref="W5926" r:id="rId5022" xr:uid="{00000000-0004-0000-0000-00009D130000}"/>
    <hyperlink ref="W5927" r:id="rId5023" xr:uid="{00000000-0004-0000-0000-00009E130000}"/>
    <hyperlink ref="W5928" r:id="rId5024" xr:uid="{00000000-0004-0000-0000-00009F130000}"/>
    <hyperlink ref="W5929" r:id="rId5025" xr:uid="{00000000-0004-0000-0000-0000A0130000}"/>
    <hyperlink ref="W5930" r:id="rId5026" xr:uid="{00000000-0004-0000-0000-0000A1130000}"/>
    <hyperlink ref="W5931" r:id="rId5027" xr:uid="{00000000-0004-0000-0000-0000A2130000}"/>
    <hyperlink ref="W5932" r:id="rId5028" xr:uid="{00000000-0004-0000-0000-0000A3130000}"/>
    <hyperlink ref="W5933" r:id="rId5029" xr:uid="{00000000-0004-0000-0000-0000A4130000}"/>
    <hyperlink ref="W5934" r:id="rId5030" xr:uid="{00000000-0004-0000-0000-0000A5130000}"/>
    <hyperlink ref="W5935" r:id="rId5031" xr:uid="{00000000-0004-0000-0000-0000A6130000}"/>
    <hyperlink ref="W5936" r:id="rId5032" xr:uid="{00000000-0004-0000-0000-0000A7130000}"/>
    <hyperlink ref="W5937" r:id="rId5033" xr:uid="{00000000-0004-0000-0000-0000A8130000}"/>
    <hyperlink ref="W5938" r:id="rId5034" xr:uid="{00000000-0004-0000-0000-0000A9130000}"/>
    <hyperlink ref="W5939" r:id="rId5035" xr:uid="{00000000-0004-0000-0000-0000AA130000}"/>
    <hyperlink ref="W5940" r:id="rId5036" xr:uid="{00000000-0004-0000-0000-0000AB130000}"/>
    <hyperlink ref="W5941" r:id="rId5037" xr:uid="{00000000-0004-0000-0000-0000AC130000}"/>
    <hyperlink ref="W5942" r:id="rId5038" xr:uid="{00000000-0004-0000-0000-0000AD130000}"/>
    <hyperlink ref="W5943" r:id="rId5039" xr:uid="{00000000-0004-0000-0000-0000AE130000}"/>
    <hyperlink ref="W5944" r:id="rId5040" xr:uid="{00000000-0004-0000-0000-0000AF130000}"/>
    <hyperlink ref="W5945" r:id="rId5041" xr:uid="{00000000-0004-0000-0000-0000B0130000}"/>
    <hyperlink ref="W5946" r:id="rId5042" xr:uid="{00000000-0004-0000-0000-0000B1130000}"/>
    <hyperlink ref="W5947" r:id="rId5043" xr:uid="{00000000-0004-0000-0000-0000B2130000}"/>
    <hyperlink ref="W5948" r:id="rId5044" xr:uid="{00000000-0004-0000-0000-0000B3130000}"/>
    <hyperlink ref="W5949" r:id="rId5045" xr:uid="{00000000-0004-0000-0000-0000B4130000}"/>
    <hyperlink ref="W5950" r:id="rId5046" xr:uid="{00000000-0004-0000-0000-0000B5130000}"/>
    <hyperlink ref="W5951" r:id="rId5047" xr:uid="{00000000-0004-0000-0000-0000B6130000}"/>
    <hyperlink ref="W5952" r:id="rId5048" xr:uid="{00000000-0004-0000-0000-0000B7130000}"/>
    <hyperlink ref="W5953" r:id="rId5049" xr:uid="{00000000-0004-0000-0000-0000B8130000}"/>
    <hyperlink ref="W5905" r:id="rId5050" xr:uid="{00000000-0004-0000-0000-0000B9130000}"/>
    <hyperlink ref="W5956" r:id="rId5051" xr:uid="{00000000-0004-0000-0000-0000BA130000}"/>
    <hyperlink ref="W5957" r:id="rId5052" xr:uid="{00000000-0004-0000-0000-0000BB130000}"/>
    <hyperlink ref="W5958" r:id="rId5053" xr:uid="{00000000-0004-0000-0000-0000BC130000}"/>
    <hyperlink ref="W5959" r:id="rId5054" display="https://www.amazon.co.jp/dp/B07HHRDTJZ/ref=sspa_dk_detail_2?pd_rd_i=B07HHRDTJZ&amp;pd_rd_w=wYSla&amp;content-id=amzn1.sym.a710bf95-cf8c-4200-b800-fda98510a454&amp;pf_rd_p=a710bf95-cf8c-4200-b800-fda98510a454&amp;pf_rd_r=YZ5S7NHPGF0C1KEHMVS8&amp;pd_rd_wg=5CUFQ&amp;pd_rd_r=e2fd687a-1ab9-4358-8004-635c49a501a3&amp;s=home&amp;sp_csd=d2lkZ2V0TmFtZT1zcF9kZXRhaWxfdGhlbWF0aWM&amp;spLa=ZW5jcnlwdGVkUXVhbGlmaWVyPUFRRUQ4NkgwRVVDRlAmZW5jcnlwdGVkSWQ9QTA3ODA4NDAzTE45S005VkJJU0xVJmVuY3J5cHRlZEFkSWQ9QTNKRjhWWTZERUJXVkgmd2lkZ2V0TmFtZT1zcF9kZXRhaWxfdGhlbWF0aWMmYWN0aW9uPWNsaWNrUmVkaXJlY3QmZG9Ob3RMb2dDbGljaz10cnVl&amp;th=1" xr:uid="{00000000-0004-0000-0000-0000BD130000}"/>
    <hyperlink ref="W5960" r:id="rId5055" display="https://www.amazon.co.jp/-/en/Petit-Noi-F-2232-Handle-Clear/dp/B004UEJAX0/ref=d_pd_sbs_sccl_4_1/357-6788231-1176924?pd_rd_w=xgSmO&amp;content-id=amzn1.sym.ca864c39-ce73-4598-86c6-eb8514722510&amp;pf_rd_p=ca864c39-ce73-4598-86c6-eb8514722510&amp;pf_rd_r=MERSWBK28XSNX7J9323C&amp;pd_rd_wg=z4fMW&amp;pd_rd_r=2c1c18ee-2a76-46b7-a197-70f0503eaabb&amp;pd_rd_i=B004UEJAX0&amp;psc=1" xr:uid="{00000000-0004-0000-0000-0000BE130000}"/>
    <hyperlink ref="W5961" r:id="rId5056" display="https://www.amazon.co.jp/-/en/Comon-Female-Converter-Adapter-MMCX-%E2%80%93-SMA/dp/B01M076KV2/ref=sr_1_2?__mk_ja_JP=%E3%82%AB%E3%82%BF%E3%82%AB%E3%83%8A&amp;crid=31UYTOWYJV6FX&amp;keywords=mmcx+%E3%83%A1%E3%82%B9+-sma+%E3%82%AA%E3%82%B9+%E5%A4%89%E6%8F%9B&amp;qid=1664936951&amp;s=electronics&amp;sprefix=mmcx+female+to+sma+male+converte%2Celectronics%2C179&amp;sr=1-2" xr:uid="{00000000-0004-0000-0000-0000BF130000}"/>
    <hyperlink ref="W5962" r:id="rId5057" xr:uid="{00000000-0004-0000-0000-0000C0130000}"/>
    <hyperlink ref="W5963" r:id="rId5058" xr:uid="{00000000-0004-0000-0000-0000C1130000}"/>
    <hyperlink ref="W5970" r:id="rId5059" xr:uid="{00000000-0004-0000-0000-0000C2130000}"/>
    <hyperlink ref="W5972" r:id="rId5060" xr:uid="{00000000-0004-0000-0000-0000C3130000}"/>
    <hyperlink ref="W5973" r:id="rId5061" xr:uid="{00000000-0004-0000-0000-0000C4130000}"/>
    <hyperlink ref="W5974" r:id="rId5062" xr:uid="{00000000-0004-0000-0000-0000C5130000}"/>
    <hyperlink ref="W5978" r:id="rId5063" xr:uid="{00000000-0004-0000-0000-0000C6130000}"/>
    <hyperlink ref="W5977" r:id="rId5064" xr:uid="{00000000-0004-0000-0000-0000C7130000}"/>
    <hyperlink ref="W5976" r:id="rId5065" xr:uid="{00000000-0004-0000-0000-0000C8130000}"/>
    <hyperlink ref="W5975" r:id="rId5066" xr:uid="{00000000-0004-0000-0000-0000C9130000}"/>
    <hyperlink ref="W5979" r:id="rId5067" xr:uid="{00000000-0004-0000-0000-0000CA130000}"/>
    <hyperlink ref="W5980" r:id="rId5068" xr:uid="{00000000-0004-0000-0000-0000CB130000}"/>
    <hyperlink ref="W5981" r:id="rId5069" xr:uid="{00000000-0004-0000-0000-0000CC130000}"/>
    <hyperlink ref="W5969" r:id="rId5070" xr:uid="{00000000-0004-0000-0000-0000CD130000}"/>
    <hyperlink ref="W5968" r:id="rId5071" xr:uid="{00000000-0004-0000-0000-0000CE130000}"/>
    <hyperlink ref="W5965" r:id="rId5072" xr:uid="{00000000-0004-0000-0000-0000CF130000}"/>
    <hyperlink ref="W5966" r:id="rId5073" xr:uid="{00000000-0004-0000-0000-0000D0130000}"/>
    <hyperlink ref="W5967" r:id="rId5074" xr:uid="{00000000-0004-0000-0000-0000D1130000}"/>
    <hyperlink ref="W5982" r:id="rId5075" xr:uid="{00000000-0004-0000-0000-0000D2130000}"/>
    <hyperlink ref="W5983" r:id="rId5076" xr:uid="{00000000-0004-0000-0000-0000D3130000}"/>
    <hyperlink ref="W5984" r:id="rId5077" xr:uid="{00000000-0004-0000-0000-0000D4130000}"/>
    <hyperlink ref="W5985" r:id="rId5078" xr:uid="{00000000-0004-0000-0000-0000D5130000}"/>
    <hyperlink ref="W5987" r:id="rId5079" xr:uid="{00000000-0004-0000-0000-0000D6130000}"/>
    <hyperlink ref="W5988" r:id="rId5080" xr:uid="{00000000-0004-0000-0000-0000D7130000}"/>
    <hyperlink ref="W5991" r:id="rId5081" xr:uid="{00000000-0004-0000-0000-0000D8130000}"/>
    <hyperlink ref="W5989" r:id="rId5082" xr:uid="{00000000-0004-0000-0000-0000D9130000}"/>
    <hyperlink ref="W5990" r:id="rId5083" xr:uid="{00000000-0004-0000-0000-0000DA130000}"/>
    <hyperlink ref="W5993" r:id="rId5084" xr:uid="{00000000-0004-0000-0000-0000DB130000}"/>
    <hyperlink ref="W5995" r:id="rId5085" xr:uid="{00000000-0004-0000-0000-0000DC130000}"/>
    <hyperlink ref="W5994" r:id="rId5086" xr:uid="{00000000-0004-0000-0000-0000DD130000}"/>
    <hyperlink ref="W5996" r:id="rId5087" xr:uid="{00000000-0004-0000-0000-0000DE130000}"/>
    <hyperlink ref="W5998" r:id="rId5088" xr:uid="{00000000-0004-0000-0000-0000DF130000}"/>
    <hyperlink ref="W5999" r:id="rId5089" xr:uid="{00000000-0004-0000-0000-0000E0130000}"/>
    <hyperlink ref="W6000" r:id="rId5090" xr:uid="{00000000-0004-0000-0000-0000E1130000}"/>
    <hyperlink ref="W6001" r:id="rId5091" xr:uid="{00000000-0004-0000-0000-0000E2130000}"/>
    <hyperlink ref="W6002" r:id="rId5092" xr:uid="{00000000-0004-0000-0000-0000E3130000}"/>
    <hyperlink ref="W6003" r:id="rId5093" xr:uid="{00000000-0004-0000-0000-0000E4130000}"/>
    <hyperlink ref="W6009" r:id="rId5094" xr:uid="{00000000-0004-0000-0000-0000E5130000}"/>
    <hyperlink ref="W6010" r:id="rId5095" xr:uid="{00000000-0004-0000-0000-0000E6130000}"/>
    <hyperlink ref="W6011" r:id="rId5096" xr:uid="{00000000-0004-0000-0000-0000E7130000}"/>
    <hyperlink ref="W6012" r:id="rId5097" xr:uid="{00000000-0004-0000-0000-0000E8130000}"/>
    <hyperlink ref="W6013" r:id="rId5098" xr:uid="{00000000-0004-0000-0000-0000E9130000}"/>
    <hyperlink ref="W6014" r:id="rId5099" xr:uid="{00000000-0004-0000-0000-0000EA130000}"/>
    <hyperlink ref="W6015" r:id="rId5100" xr:uid="{00000000-0004-0000-0000-0000EB130000}"/>
    <hyperlink ref="W6016" r:id="rId5101" xr:uid="{00000000-0004-0000-0000-0000EC130000}"/>
    <hyperlink ref="W6017" r:id="rId5102" xr:uid="{00000000-0004-0000-0000-0000ED130000}"/>
    <hyperlink ref="W6018" r:id="rId5103" xr:uid="{00000000-0004-0000-0000-0000EE130000}"/>
    <hyperlink ref="W6019" r:id="rId5104" xr:uid="{00000000-0004-0000-0000-0000EF130000}"/>
    <hyperlink ref="W6020" r:id="rId5105" xr:uid="{00000000-0004-0000-0000-0000F0130000}"/>
    <hyperlink ref="W6021" r:id="rId5106" xr:uid="{00000000-0004-0000-0000-0000F1130000}"/>
    <hyperlink ref="W6022" r:id="rId5107" xr:uid="{00000000-0004-0000-0000-0000F2130000}"/>
    <hyperlink ref="W6023" r:id="rId5108" xr:uid="{00000000-0004-0000-0000-0000F3130000}"/>
    <hyperlink ref="W6024" r:id="rId5109" xr:uid="{00000000-0004-0000-0000-0000F4130000}"/>
    <hyperlink ref="W6025" r:id="rId5110" xr:uid="{00000000-0004-0000-0000-0000F5130000}"/>
    <hyperlink ref="W6026" r:id="rId5111" xr:uid="{00000000-0004-0000-0000-0000F6130000}"/>
    <hyperlink ref="W6027" r:id="rId5112" xr:uid="{00000000-0004-0000-0000-0000F7130000}"/>
    <hyperlink ref="W6028" r:id="rId5113" xr:uid="{00000000-0004-0000-0000-0000F8130000}"/>
    <hyperlink ref="W3694" r:id="rId5114" xr:uid="{00000000-0004-0000-0000-0000F9130000}"/>
    <hyperlink ref="W6004" r:id="rId5115" xr:uid="{00000000-0004-0000-0000-0000FA130000}"/>
    <hyperlink ref="W6029" r:id="rId5116" xr:uid="{00000000-0004-0000-0000-0000FB130000}"/>
    <hyperlink ref="W4881" r:id="rId5117" xr:uid="{00000000-0004-0000-0000-0000FC130000}"/>
    <hyperlink ref="W6031" r:id="rId5118" xr:uid="{00000000-0004-0000-0000-0000FD130000}"/>
    <hyperlink ref="W6033" r:id="rId5119" xr:uid="{00000000-0004-0000-0000-0000FE130000}"/>
    <hyperlink ref="W6032" r:id="rId5120" xr:uid="{00000000-0004-0000-0000-0000FF130000}"/>
    <hyperlink ref="W6035" r:id="rId5121" xr:uid="{00000000-0004-0000-0000-000000140000}"/>
    <hyperlink ref="W6036" r:id="rId5122" xr:uid="{00000000-0004-0000-0000-000001140000}"/>
    <hyperlink ref="W6037" r:id="rId5123" xr:uid="{00000000-0004-0000-0000-000002140000}"/>
    <hyperlink ref="W6038" r:id="rId5124" xr:uid="{00000000-0004-0000-0000-000003140000}"/>
    <hyperlink ref="W6040" r:id="rId5125" xr:uid="{00000000-0004-0000-0000-000004140000}"/>
    <hyperlink ref="W6041" r:id="rId5126" xr:uid="{00000000-0004-0000-0000-000005140000}"/>
    <hyperlink ref="W6042" r:id="rId5127" xr:uid="{00000000-0004-0000-0000-000006140000}"/>
    <hyperlink ref="W6043" r:id="rId5128" xr:uid="{00000000-0004-0000-0000-000007140000}"/>
    <hyperlink ref="W6044" r:id="rId5129" xr:uid="{00000000-0004-0000-0000-000008140000}"/>
    <hyperlink ref="W6045" r:id="rId5130" xr:uid="{00000000-0004-0000-0000-000009140000}"/>
    <hyperlink ref="W6047" r:id="rId5131" xr:uid="{00000000-0004-0000-0000-00000A140000}"/>
    <hyperlink ref="W6046" r:id="rId5132" xr:uid="{00000000-0004-0000-0000-00000B140000}"/>
    <hyperlink ref="W6039" r:id="rId5133" xr:uid="{00000000-0004-0000-0000-00000C140000}"/>
    <hyperlink ref="W6051" r:id="rId5134" xr:uid="{00000000-0004-0000-0000-00000D140000}"/>
    <hyperlink ref="W6052" r:id="rId5135" xr:uid="{00000000-0004-0000-0000-00000E140000}"/>
    <hyperlink ref="W6048" r:id="rId5136" xr:uid="{00000000-0004-0000-0000-00000F140000}"/>
    <hyperlink ref="W6056" r:id="rId5137" xr:uid="{00000000-0004-0000-0000-000010140000}"/>
    <hyperlink ref="W6057" r:id="rId5138" xr:uid="{00000000-0004-0000-0000-000011140000}"/>
    <hyperlink ref="W6058" r:id="rId5139" xr:uid="{00000000-0004-0000-0000-000012140000}"/>
    <hyperlink ref="W6059" r:id="rId5140" xr:uid="{00000000-0004-0000-0000-000013140000}"/>
    <hyperlink ref="W6061" r:id="rId5141" xr:uid="{00000000-0004-0000-0000-000014140000}"/>
    <hyperlink ref="W6060" r:id="rId5142" xr:uid="{00000000-0004-0000-0000-000015140000}"/>
    <hyperlink ref="W6062" r:id="rId5143" xr:uid="{00000000-0004-0000-0000-000016140000}"/>
    <hyperlink ref="W6063" r:id="rId5144" xr:uid="{00000000-0004-0000-0000-000017140000}"/>
    <hyperlink ref="W6064" r:id="rId5145" xr:uid="{00000000-0004-0000-0000-000018140000}"/>
    <hyperlink ref="W6065" r:id="rId5146" xr:uid="{00000000-0004-0000-0000-000019140000}"/>
    <hyperlink ref="W6066" r:id="rId5147" xr:uid="{00000000-0004-0000-0000-00001A140000}"/>
    <hyperlink ref="W6067" r:id="rId5148" xr:uid="{00000000-0004-0000-0000-00001B140000}"/>
    <hyperlink ref="W6068" r:id="rId5149" xr:uid="{00000000-0004-0000-0000-00001C140000}"/>
    <hyperlink ref="W6071" r:id="rId5150" xr:uid="{00000000-0004-0000-0000-00001D140000}"/>
    <hyperlink ref="W6074" r:id="rId5151" xr:uid="{00000000-0004-0000-0000-00001E140000}"/>
    <hyperlink ref="W6069" r:id="rId5152" xr:uid="{00000000-0004-0000-0000-00001F140000}"/>
    <hyperlink ref="W6070" r:id="rId5153" xr:uid="{00000000-0004-0000-0000-000020140000}"/>
    <hyperlink ref="W6072" r:id="rId5154" xr:uid="{00000000-0004-0000-0000-000021140000}"/>
    <hyperlink ref="W6075" r:id="rId5155" xr:uid="{00000000-0004-0000-0000-000022140000}"/>
    <hyperlink ref="W6073" r:id="rId5156" display="https://jp.rs-online.com/web/p/through-hole-resistors/6832945/?relevancy-data=7365617263685F636173636164655F6F726465723D31267365617263685F696E746572666163655F6E616D653D4931384E525353746F636B4E756D626572267365617263685F6C616E67756167655F757365643D656E267365617263685F6D617463685F6D6F64653D6D61746368616C6C267365617263685F7061747465726E5F6D6174636865643D5E2828282872737C5253295B205D3F293F285C647B337D5B5C2D5C735D3F5C647B332C347D5B705061415D3F29297C283235285C647B387D7C5C647B317D5C2D5C647B377D29292924267365617263685F7061747465726E5F6F726465723D31267365617263685F73745F6E6F726D616C697365643D59267365617263685F726573706F6E73655F616374696F6E3D267365617263685F747970653D52535F53544F434B5F4E554D424552267365617263685F77696C645F63617264696E675F6D6F64653D4E4F4E45267365617263685F6B6579776F72643D3638332D32393435267365617263685F6B6579776F72645F6170703D36383332393435267365617263685F636F6E6669673D3126&amp;searchHistory=%7B%22enabled%22%3Atrue%7D" xr:uid="{00000000-0004-0000-0000-000023140000}"/>
    <hyperlink ref="W6078" r:id="rId5157" xr:uid="{00000000-0004-0000-0000-000024140000}"/>
    <hyperlink ref="W6079" r:id="rId5158" xr:uid="{00000000-0004-0000-0000-000025140000}"/>
    <hyperlink ref="W6080" r:id="rId5159" xr:uid="{00000000-0004-0000-0000-000026140000}"/>
    <hyperlink ref="W6081" r:id="rId5160" xr:uid="{00000000-0004-0000-0000-000027140000}"/>
    <hyperlink ref="W6082" r:id="rId5161" xr:uid="{00000000-0004-0000-0000-000028140000}"/>
    <hyperlink ref="W6085" r:id="rId5162" xr:uid="{00000000-0004-0000-0000-000029140000}"/>
    <hyperlink ref="W6086" r:id="rId5163" xr:uid="{00000000-0004-0000-0000-00002A140000}"/>
    <hyperlink ref="W6088" r:id="rId5164" xr:uid="{00000000-0004-0000-0000-00002B140000}"/>
    <hyperlink ref="W6089" r:id="rId5165" xr:uid="{00000000-0004-0000-0000-00002C140000}"/>
    <hyperlink ref="W6090" r:id="rId5166" xr:uid="{00000000-0004-0000-0000-00002D140000}"/>
    <hyperlink ref="W6091" r:id="rId5167" xr:uid="{00000000-0004-0000-0000-00002E140000}"/>
    <hyperlink ref="W6092" r:id="rId5168" xr:uid="{00000000-0004-0000-0000-00002F140000}"/>
    <hyperlink ref="W6094" r:id="rId5169" xr:uid="{00000000-0004-0000-0000-000030140000}"/>
    <hyperlink ref="W6095" r:id="rId5170" xr:uid="{00000000-0004-0000-0000-000031140000}"/>
    <hyperlink ref="W6096" r:id="rId5171" xr:uid="{00000000-0004-0000-0000-000032140000}"/>
    <hyperlink ref="W6100" r:id="rId5172" xr:uid="{00000000-0004-0000-0000-000033140000}"/>
    <hyperlink ref="W6097" r:id="rId5173" xr:uid="{00000000-0004-0000-0000-000034140000}"/>
    <hyperlink ref="W6101" r:id="rId5174" xr:uid="{00000000-0004-0000-0000-000035140000}"/>
    <hyperlink ref="W6102" r:id="rId5175" xr:uid="{00000000-0004-0000-0000-000036140000}"/>
    <hyperlink ref="W6084" r:id="rId5176" xr:uid="{00000000-0004-0000-0000-000037140000}"/>
    <hyperlink ref="W6030" r:id="rId5177" xr:uid="{00000000-0004-0000-0000-000038140000}"/>
    <hyperlink ref="W6111" r:id="rId5178" xr:uid="{00000000-0004-0000-0000-000039140000}"/>
    <hyperlink ref="W6103" r:id="rId5179" xr:uid="{00000000-0004-0000-0000-00003A140000}"/>
    <hyperlink ref="W6104" r:id="rId5180" xr:uid="{00000000-0004-0000-0000-00003B140000}"/>
    <hyperlink ref="W6105" r:id="rId5181" xr:uid="{00000000-0004-0000-0000-00003C140000}"/>
    <hyperlink ref="W6106" r:id="rId5182" xr:uid="{00000000-0004-0000-0000-00003D140000}"/>
    <hyperlink ref="W6107" r:id="rId5183" xr:uid="{00000000-0004-0000-0000-00003E140000}"/>
    <hyperlink ref="W6108" r:id="rId5184" xr:uid="{00000000-0004-0000-0000-00003F140000}"/>
    <hyperlink ref="W6109" r:id="rId5185" xr:uid="{00000000-0004-0000-0000-000040140000}"/>
    <hyperlink ref="W6110" r:id="rId5186" xr:uid="{00000000-0004-0000-0000-000041140000}"/>
    <hyperlink ref="W6093" r:id="rId5187" xr:uid="{00000000-0004-0000-0000-000042140000}"/>
    <hyperlink ref="W6127" r:id="rId5188" xr:uid="{00000000-0004-0000-0000-000043140000}"/>
    <hyperlink ref="W6128" r:id="rId5189" xr:uid="{00000000-0004-0000-0000-000044140000}"/>
    <hyperlink ref="W6129" r:id="rId5190" xr:uid="{00000000-0004-0000-0000-000045140000}"/>
    <hyperlink ref="W6130" r:id="rId5191" xr:uid="{00000000-0004-0000-0000-000046140000}"/>
    <hyperlink ref="W6131" r:id="rId5192" xr:uid="{00000000-0004-0000-0000-000047140000}"/>
    <hyperlink ref="W6132" r:id="rId5193" xr:uid="{00000000-0004-0000-0000-000048140000}"/>
    <hyperlink ref="W6133" r:id="rId5194" xr:uid="{00000000-0004-0000-0000-000049140000}"/>
    <hyperlink ref="W6134" r:id="rId5195" xr:uid="{00000000-0004-0000-0000-00004A140000}"/>
    <hyperlink ref="W6136" r:id="rId5196" xr:uid="{00000000-0004-0000-0000-00004B140000}"/>
    <hyperlink ref="W6135" r:id="rId5197" xr:uid="{00000000-0004-0000-0000-00004C140000}"/>
    <hyperlink ref="W6137" r:id="rId5198" xr:uid="{00000000-0004-0000-0000-00004D140000}"/>
    <hyperlink ref="W6138" r:id="rId5199" xr:uid="{00000000-0004-0000-0000-00004E140000}"/>
    <hyperlink ref="W6139" r:id="rId5200" xr:uid="{00000000-0004-0000-0000-00004F140000}"/>
    <hyperlink ref="W6150" r:id="rId5201" xr:uid="{00000000-0004-0000-0000-000050140000}"/>
    <hyperlink ref="W6151" r:id="rId5202" xr:uid="{00000000-0004-0000-0000-000051140000}"/>
    <hyperlink ref="W6152" r:id="rId5203" xr:uid="{00000000-0004-0000-0000-000052140000}"/>
    <hyperlink ref="W6155" r:id="rId5204" xr:uid="{00000000-0004-0000-0000-000053140000}"/>
    <hyperlink ref="W6156" r:id="rId5205" xr:uid="{00000000-0004-0000-0000-000054140000}"/>
    <hyperlink ref="W6158" r:id="rId5206" xr:uid="{00000000-0004-0000-0000-000055140000}"/>
    <hyperlink ref="W6160" r:id="rId5207" xr:uid="{00000000-0004-0000-0000-000056140000}"/>
    <hyperlink ref="W6154" r:id="rId5208" xr:uid="{00000000-0004-0000-0000-000057140000}"/>
    <hyperlink ref="W6153" r:id="rId5209" xr:uid="{00000000-0004-0000-0000-000058140000}"/>
    <hyperlink ref="W6162" r:id="rId5210" xr:uid="{00000000-0004-0000-0000-000059140000}"/>
    <hyperlink ref="W6163" r:id="rId5211" xr:uid="{00000000-0004-0000-0000-00005A140000}"/>
    <hyperlink ref="W6164" r:id="rId5212" xr:uid="{00000000-0004-0000-0000-00005B140000}"/>
    <hyperlink ref="W6165" r:id="rId5213" xr:uid="{00000000-0004-0000-0000-00005C140000}"/>
    <hyperlink ref="W6166" r:id="rId5214" xr:uid="{00000000-0004-0000-0000-00005D140000}"/>
    <hyperlink ref="W6167" r:id="rId5215" xr:uid="{00000000-0004-0000-0000-00005E140000}"/>
    <hyperlink ref="W6168" r:id="rId5216" xr:uid="{00000000-0004-0000-0000-00005F140000}"/>
    <hyperlink ref="W6169" r:id="rId5217" xr:uid="{00000000-0004-0000-0000-000060140000}"/>
    <hyperlink ref="W6170" r:id="rId5218" xr:uid="{00000000-0004-0000-0000-000061140000}"/>
    <hyperlink ref="W6171" r:id="rId5219" xr:uid="{00000000-0004-0000-0000-000062140000}"/>
    <hyperlink ref="W6172" r:id="rId5220" xr:uid="{00000000-0004-0000-0000-000063140000}"/>
    <hyperlink ref="W6173" r:id="rId5221" xr:uid="{00000000-0004-0000-0000-000064140000}"/>
    <hyperlink ref="W6174" r:id="rId5222" xr:uid="{00000000-0004-0000-0000-000065140000}"/>
    <hyperlink ref="W6175" r:id="rId5223" xr:uid="{00000000-0004-0000-0000-000066140000}"/>
    <hyperlink ref="W6176" r:id="rId5224" xr:uid="{00000000-0004-0000-0000-000067140000}"/>
    <hyperlink ref="W6178" r:id="rId5225" xr:uid="{00000000-0004-0000-0000-000068140000}"/>
    <hyperlink ref="W6177" r:id="rId5226" xr:uid="{00000000-0004-0000-0000-000069140000}"/>
    <hyperlink ref="H6180" r:id="rId5227" xr:uid="{00000000-0004-0000-0000-00006A140000}"/>
    <hyperlink ref="W6180" r:id="rId5228" display="https://www.digikey.jp/ja/products/detail/anysolar-ltd/SM531K08L/9990469?utm_adgroup=&amp;utm_source=google&amp;utm_medium=cpc&amp;utm_campaign=Dynamic%20Search_JP_RLSA_Site%20Visitor&amp;utm_term=&amp;productid=&amp;gclid=Cj0KCQiAvqGcBhCJARIsAFQ5ke6j5tKr2S1qVmD_U2wh6VEWMFO4n5YqALViV5Hw9Y6xJJpzYmp-axcaAtbBEALw_wcB" xr:uid="{00000000-0004-0000-0000-00006B140000}"/>
    <hyperlink ref="W6181" r:id="rId5229" xr:uid="{00000000-0004-0000-0000-00006C140000}"/>
    <hyperlink ref="W6113" r:id="rId5230" xr:uid="{00000000-0004-0000-0000-00006D140000}"/>
    <hyperlink ref="W6087" r:id="rId5231" xr:uid="{00000000-0004-0000-0000-00006E140000}"/>
    <hyperlink ref="W3693" r:id="rId5232" xr:uid="{00000000-0004-0000-0000-00006F140000}"/>
    <hyperlink ref="W6182" r:id="rId5233" xr:uid="{00000000-0004-0000-0000-000070140000}"/>
    <hyperlink ref="W6183" r:id="rId5234" xr:uid="{00000000-0004-0000-0000-000071140000}"/>
    <hyperlink ref="W6185" r:id="rId5235" xr:uid="{00000000-0004-0000-0000-000072140000}"/>
    <hyperlink ref="W6186" r:id="rId5236" xr:uid="{00000000-0004-0000-0000-000073140000}"/>
    <hyperlink ref="W6187" r:id="rId5237" xr:uid="{00000000-0004-0000-0000-000074140000}"/>
    <hyperlink ref="W6188" r:id="rId5238" xr:uid="{00000000-0004-0000-0000-000075140000}"/>
    <hyperlink ref="W6189" r:id="rId5239" xr:uid="{00000000-0004-0000-0000-000076140000}"/>
    <hyperlink ref="W6197" r:id="rId5240" xr:uid="{00000000-0004-0000-0000-000077140000}"/>
    <hyperlink ref="W6198" r:id="rId5241" xr:uid="{00000000-0004-0000-0000-000078140000}"/>
    <hyperlink ref="W6201" r:id="rId5242" xr:uid="{00000000-0004-0000-0000-000079140000}"/>
    <hyperlink ref="W6202" r:id="rId5243" xr:uid="{00000000-0004-0000-0000-00007A140000}"/>
    <hyperlink ref="W6199" r:id="rId5244" xr:uid="{00000000-0004-0000-0000-00007B140000}"/>
    <hyperlink ref="W6203" r:id="rId5245" xr:uid="{00000000-0004-0000-0000-00007C140000}"/>
    <hyperlink ref="W6204" r:id="rId5246" xr:uid="{00000000-0004-0000-0000-00007D140000}"/>
    <hyperlink ref="W6205" r:id="rId5247" xr:uid="{00000000-0004-0000-0000-00007E140000}"/>
    <hyperlink ref="W6209" r:id="rId5248" xr:uid="{00000000-0004-0000-0000-00007F140000}"/>
    <hyperlink ref="W6213" r:id="rId5249" display="https://www.amazon.co.jp/0-001g-100g-digital-precision-function-calibration/dp/B08531FXZ3/ref=rvi_sccl_4/358-7776560-1196104?pd_rd_w=6Y0P8&amp;content-id=amzn1.sym.a4dc92d7-7100-437e-b3e3-2349e8298523&amp;pf_rd_p=a4dc92d7-7100-437e-b3e3-2349e8298523&amp;pf_rd_r=SEQFYM2CE4X6CZ5X6GQC&amp;pd_rd_wg=8Rt6x&amp;pd_rd_r=23591c6a-9d9c-460a-9d06-a22835232058&amp;pd_rd_i=B08531FXZ3&amp;psc=1" xr:uid="{00000000-0004-0000-0000-000080140000}"/>
    <hyperlink ref="W6214" r:id="rId5250" xr:uid="{00000000-0004-0000-0000-000081140000}"/>
    <hyperlink ref="W6215" r:id="rId5251" xr:uid="{00000000-0004-0000-0000-000082140000}"/>
    <hyperlink ref="W6217" r:id="rId5252" xr:uid="{00000000-0004-0000-0000-000083140000}"/>
    <hyperlink ref="W6218" r:id="rId5253" xr:uid="{00000000-0004-0000-0000-000084140000}"/>
    <hyperlink ref="W6219" r:id="rId5254" xr:uid="{00000000-0004-0000-0000-000085140000}"/>
    <hyperlink ref="W6220" r:id="rId5255" xr:uid="{00000000-0004-0000-0000-000086140000}"/>
    <hyperlink ref="W6221" r:id="rId5256" xr:uid="{00000000-0004-0000-0000-000087140000}"/>
    <hyperlink ref="W6222" r:id="rId5257" xr:uid="{00000000-0004-0000-0000-000088140000}"/>
    <hyperlink ref="W6223" r:id="rId5258" xr:uid="{00000000-0004-0000-0000-000089140000}"/>
    <hyperlink ref="W244" r:id="rId5259" xr:uid="{00000000-0004-0000-0000-00008A140000}"/>
    <hyperlink ref="W6228" r:id="rId5260" xr:uid="{00000000-0004-0000-0000-00008B140000}"/>
    <hyperlink ref="W6242" r:id="rId5261" xr:uid="{00000000-0004-0000-0000-00008C140000}"/>
    <hyperlink ref="W6241" r:id="rId5262" xr:uid="{00000000-0004-0000-0000-00008D140000}"/>
    <hyperlink ref="W6243" r:id="rId5263" xr:uid="{00000000-0004-0000-0000-00008E140000}"/>
    <hyperlink ref="W6244" r:id="rId5264" xr:uid="{00000000-0004-0000-0000-00008F140000}"/>
    <hyperlink ref="W6245" r:id="rId5265" xr:uid="{00000000-0004-0000-0000-000090140000}"/>
    <hyperlink ref="W6246" r:id="rId5266" xr:uid="{00000000-0004-0000-0000-000091140000}"/>
    <hyperlink ref="W6247" r:id="rId5267" xr:uid="{00000000-0004-0000-0000-000092140000}"/>
    <hyperlink ref="W6248" r:id="rId5268" xr:uid="{00000000-0004-0000-0000-000093140000}"/>
    <hyperlink ref="W6249" r:id="rId5269" xr:uid="{00000000-0004-0000-0000-000094140000}"/>
    <hyperlink ref="W6250" r:id="rId5270" xr:uid="{00000000-0004-0000-0000-000095140000}"/>
    <hyperlink ref="W6251" r:id="rId5271" xr:uid="{00000000-0004-0000-0000-000096140000}"/>
    <hyperlink ref="W6252" r:id="rId5272" xr:uid="{00000000-0004-0000-0000-000097140000}"/>
    <hyperlink ref="W6253" r:id="rId5273" xr:uid="{00000000-0004-0000-0000-000098140000}"/>
    <hyperlink ref="W6254" r:id="rId5274" xr:uid="{00000000-0004-0000-0000-000099140000}"/>
    <hyperlink ref="W6255" r:id="rId5275" xr:uid="{00000000-0004-0000-0000-00009A140000}"/>
    <hyperlink ref="W6256" r:id="rId5276" xr:uid="{00000000-0004-0000-0000-00009B140000}"/>
    <hyperlink ref="W6257" r:id="rId5277" display="https://jp.rs-online.com/web/p/pcb-headers/9048165/?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35303233353230323030267365617263685F6B6579776F72645F6170703D35303233353230323030267365617263685F636F6E6669673D3126&amp;searchHistory=%7B%22enabled%22%3Atrue%7D" xr:uid="{00000000-0004-0000-0000-00009C140000}"/>
    <hyperlink ref="W6258" r:id="rId5278" xr:uid="{00000000-0004-0000-0000-00009D140000}"/>
    <hyperlink ref="W6259" r:id="rId5279" xr:uid="{00000000-0004-0000-0000-00009E140000}"/>
    <hyperlink ref="W6260" r:id="rId5280" xr:uid="{00000000-0004-0000-0000-00009F140000}"/>
    <hyperlink ref="W6261" r:id="rId5281" xr:uid="{00000000-0004-0000-0000-0000A0140000}"/>
    <hyperlink ref="W6262" r:id="rId5282" xr:uid="{00000000-0004-0000-0000-0000A1140000}"/>
    <hyperlink ref="W6264" r:id="rId5283" xr:uid="{00000000-0004-0000-0000-0000A2140000}"/>
    <hyperlink ref="W6263" r:id="rId5284" xr:uid="{00000000-0004-0000-0000-0000A3140000}"/>
    <hyperlink ref="W6265" r:id="rId5285" xr:uid="{00000000-0004-0000-0000-0000A4140000}"/>
    <hyperlink ref="W6266" r:id="rId5286" xr:uid="{00000000-0004-0000-0000-0000A5140000}"/>
    <hyperlink ref="W6267" r:id="rId5287" xr:uid="{00000000-0004-0000-0000-0000A6140000}"/>
    <hyperlink ref="W6268" r:id="rId5288" xr:uid="{00000000-0004-0000-0000-0000A7140000}"/>
    <hyperlink ref="W6269" r:id="rId5289" xr:uid="{00000000-0004-0000-0000-0000A8140000}"/>
    <hyperlink ref="W6270" r:id="rId5290" xr:uid="{00000000-0004-0000-0000-0000A9140000}"/>
    <hyperlink ref="W6271" r:id="rId5291" xr:uid="{00000000-0004-0000-0000-0000AA140000}"/>
    <hyperlink ref="W6272" r:id="rId5292" xr:uid="{00000000-0004-0000-0000-0000AB140000}"/>
    <hyperlink ref="W6273" r:id="rId5293" xr:uid="{00000000-0004-0000-0000-0000AC140000}"/>
    <hyperlink ref="W6274" r:id="rId5294" xr:uid="{00000000-0004-0000-0000-0000AD140000}"/>
    <hyperlink ref="W6275" r:id="rId5295" xr:uid="{00000000-0004-0000-0000-0000AE140000}"/>
    <hyperlink ref="W6276" r:id="rId5296" xr:uid="{00000000-0004-0000-0000-0000AF140000}"/>
    <hyperlink ref="W6277" r:id="rId5297" xr:uid="{00000000-0004-0000-0000-0000B0140000}"/>
    <hyperlink ref="W6278" r:id="rId5298" xr:uid="{00000000-0004-0000-0000-0000B1140000}"/>
    <hyperlink ref="W6279" r:id="rId5299" display="https://www.amazon.co.jp/-/en/Signal-Amplifier-5-6000MHz-Medium-Electronic/dp/B089YS2YCF/ref=sr_1_2?crid=2K6WDAKFDVSOV&amp;keywords=rf+%E5%BA%83%E5%B8%AF%E5%9F%9F%E3%82%A2%E3%83%B3%E3%83%97+6000&amp;qid=1674631675&amp;s=industrial&amp;sprefix=rf+wideband+amplifier+6000%2Cindustrial%2C302&amp;sr=1-2" xr:uid="{00000000-0004-0000-0000-0000B2140000}"/>
    <hyperlink ref="W6282" r:id="rId5300" xr:uid="{00000000-0004-0000-0000-0000B3140000}"/>
    <hyperlink ref="W6283" r:id="rId5301" xr:uid="{00000000-0004-0000-0000-0000B4140000}"/>
    <hyperlink ref="W6284" r:id="rId5302" xr:uid="{00000000-0004-0000-0000-0000B5140000}"/>
    <hyperlink ref="W6285" r:id="rId5303" xr:uid="{00000000-0004-0000-0000-0000B6140000}"/>
    <hyperlink ref="W6286" r:id="rId5304" xr:uid="{00000000-0004-0000-0000-0000B7140000}"/>
    <hyperlink ref="W6287" r:id="rId5305" xr:uid="{00000000-0004-0000-0000-0000B8140000}"/>
    <hyperlink ref="W6288" r:id="rId5306" xr:uid="{00000000-0004-0000-0000-0000B9140000}"/>
    <hyperlink ref="W6289" r:id="rId5307" xr:uid="{00000000-0004-0000-0000-0000BA140000}"/>
    <hyperlink ref="W6290" r:id="rId5308" xr:uid="{00000000-0004-0000-0000-0000BB140000}"/>
    <hyperlink ref="W6291" r:id="rId5309" xr:uid="{00000000-0004-0000-0000-0000BC140000}"/>
    <hyperlink ref="W6281" r:id="rId5310" display="https://www.amazon.co.jp/-/en/BINGFU-Antenna-Connection-Coaxial-Extension/dp/B08R5KRKHP/ref=d_pd_sbs_sccl_4_5/357-9579109-9054705?pd_rd_w=aYHlk&amp;content-id=amzn1.sym.820591ed-a555-4556-9bf6-5ebd5493c69e&amp;pf_rd_p=820591ed-a555-4556-9bf6-5ebd5493c69e&amp;pf_rd_r=5PAJZKMH20BH89GA9F6V&amp;pd_rd_wg=ShInz&amp;pd_rd_r=338c8c93-47ae-4b6c-a9b4-69c3b97a3810&amp;pd_rd_i=B08R5KRKHP&amp;psc=1" xr:uid="{00000000-0004-0000-0000-0000BD140000}"/>
    <hyperlink ref="W6280" r:id="rId5311" display="https://www.amazon.co.jp/-/en/Kaunosta-Conversion-Connector-Female-Machines/dp/B07MM25RTH/ref=d_pd_sbs_sccl_4_1/357-9579109-9054705?pd_rd_w=aYHlk&amp;content-id=amzn1.sym.820591ed-a555-4556-9bf6-5ebd5493c69e&amp;pf_rd_p=820591ed-a555-4556-9bf6-5ebd5493c69e&amp;pf_rd_r=5PAJZKMH20BH89GA9F6V&amp;pd_rd_wg=ShInz&amp;pd_rd_r=338c8c93-47ae-4b6c-a9b4-69c3b97a3810&amp;pd_rd_i=B07MM25RTH&amp;psc=1" xr:uid="{00000000-0004-0000-0000-0000BE140000}"/>
    <hyperlink ref="W6292" r:id="rId5312" xr:uid="{00000000-0004-0000-0000-0000BF140000}"/>
    <hyperlink ref="W6293" r:id="rId5313" xr:uid="{00000000-0004-0000-0000-0000C0140000}"/>
    <hyperlink ref="W6294" r:id="rId5314" xr:uid="{00000000-0004-0000-0000-0000C1140000}"/>
    <hyperlink ref="W6295" r:id="rId5315" xr:uid="{00000000-0004-0000-0000-0000C2140000}"/>
    <hyperlink ref="W6296" r:id="rId5316" xr:uid="{00000000-0004-0000-0000-0000C3140000}"/>
    <hyperlink ref="W6297" r:id="rId5317" xr:uid="{00000000-0004-0000-0000-0000C4140000}"/>
    <hyperlink ref="W6298" r:id="rId5318" xr:uid="{00000000-0004-0000-0000-0000C5140000}"/>
    <hyperlink ref="W6299" r:id="rId5319" xr:uid="{00000000-0004-0000-0000-0000C6140000}"/>
    <hyperlink ref="W6300" r:id="rId5320" xr:uid="{00000000-0004-0000-0000-0000C7140000}"/>
    <hyperlink ref="W6301" r:id="rId5321" xr:uid="{00000000-0004-0000-0000-0000C8140000}"/>
    <hyperlink ref="W6302" r:id="rId5322" xr:uid="{00000000-0004-0000-0000-0000C9140000}"/>
    <hyperlink ref="W6303" r:id="rId5323" xr:uid="{00000000-0004-0000-0000-0000CA140000}"/>
    <hyperlink ref="W6304" r:id="rId5324" xr:uid="{00000000-0004-0000-0000-0000CB140000}"/>
    <hyperlink ref="W6305" r:id="rId5325" xr:uid="{00000000-0004-0000-0000-0000CC140000}"/>
    <hyperlink ref="W6306" r:id="rId5326" xr:uid="{00000000-0004-0000-0000-0000CD140000}"/>
    <hyperlink ref="W6307" r:id="rId5327" xr:uid="{00000000-0004-0000-0000-0000CE140000}"/>
    <hyperlink ref="W6308" r:id="rId5328" xr:uid="{00000000-0004-0000-0000-0000CF140000}"/>
    <hyperlink ref="W6309" r:id="rId5329" xr:uid="{00000000-0004-0000-0000-0000D0140000}"/>
    <hyperlink ref="W6310" r:id="rId5330" xr:uid="{00000000-0004-0000-0000-0000D1140000}"/>
    <hyperlink ref="W6311" r:id="rId5331" xr:uid="{00000000-0004-0000-0000-0000D2140000}"/>
    <hyperlink ref="W6312" r:id="rId5332" xr:uid="{00000000-0004-0000-0000-0000D3140000}"/>
    <hyperlink ref="W6313" r:id="rId5333" xr:uid="{00000000-0004-0000-0000-0000D4140000}"/>
    <hyperlink ref="W6314" r:id="rId5334" xr:uid="{00000000-0004-0000-0000-0000D5140000}"/>
    <hyperlink ref="W6315" r:id="rId5335" xr:uid="{00000000-0004-0000-0000-0000D6140000}"/>
    <hyperlink ref="W6316" r:id="rId5336" xr:uid="{00000000-0004-0000-0000-0000D7140000}"/>
    <hyperlink ref="W6317" r:id="rId5337" xr:uid="{00000000-0004-0000-0000-0000D8140000}"/>
    <hyperlink ref="W6318" r:id="rId5338" xr:uid="{00000000-0004-0000-0000-0000D9140000}"/>
    <hyperlink ref="W6319" r:id="rId5339" xr:uid="{00000000-0004-0000-0000-0000DA140000}"/>
    <hyperlink ref="W6320" r:id="rId5340" xr:uid="{00000000-0004-0000-0000-0000DB140000}"/>
    <hyperlink ref="W6321" r:id="rId5341" xr:uid="{00000000-0004-0000-0000-0000DC140000}"/>
    <hyperlink ref="W6322" r:id="rId5342" xr:uid="{00000000-0004-0000-0000-0000DD140000}"/>
    <hyperlink ref="W6330" r:id="rId5343" xr:uid="{00000000-0004-0000-0000-0000DE140000}"/>
    <hyperlink ref="W6334" r:id="rId5344" xr:uid="{00000000-0004-0000-0000-0000DF140000}"/>
    <hyperlink ref="W6323" r:id="rId5345" xr:uid="{00000000-0004-0000-0000-0000E0140000}"/>
    <hyperlink ref="W6324" r:id="rId5346" xr:uid="{00000000-0004-0000-0000-0000E1140000}"/>
    <hyperlink ref="W6325" r:id="rId5347" xr:uid="{00000000-0004-0000-0000-0000E2140000}"/>
    <hyperlink ref="W6336" r:id="rId5348" xr:uid="{00000000-0004-0000-0000-0000E3140000}"/>
    <hyperlink ref="W6337" r:id="rId5349" display="https://jp.rs-online.com/web/p/mlccs-multilayer-ceramic-capacitors/7665648/?relevancy-data=7365617263685F636173636164655F6F726465723D31267365617263685F696E746572666163655F6E616D653D4931384E53656172636847656E65726963267365617263685F6C616E67756167655F757365643D6A61267365617263685F6D617463685F6D6F64653D6D61746368616C6C7061727469616C267365617263685F7061747465726E5F6D6174636865643D5E5B5C707B4C7D5C707B4E647D2D2C2F255C2E5D2B24267365617263685F7061747465726E5F6F726465723D313133267365617263685F73745F6E6F726D616C697365643D59267365617263685F726573706F6E73655F616374696F6E3D267365617263685F747970653D4B4559574F52445F53494E474C455F414C5048415F4E554D45524943267365617263685F77696C645F63617264696E675F6D6F64653D4E4F4E45267365617263685F6B6579776F72643D434C3231423130344B41434E4E4E43267365617263685F6B6579776F72645F6170703D434C3231423130344B41434E4E4E43267365617263685F636F6E6669673D3126&amp;searchHistory=%7B%22enabled%22%3Atrue%7D" xr:uid="{00000000-0004-0000-0000-0000E4140000}"/>
    <hyperlink ref="W6338" r:id="rId5350" xr:uid="{00000000-0004-0000-0000-0000E5140000}"/>
    <hyperlink ref="W6339" r:id="rId5351" xr:uid="{00000000-0004-0000-0000-0000E6140000}"/>
    <hyperlink ref="W6340" r:id="rId5352" xr:uid="{00000000-0004-0000-0000-0000E7140000}"/>
    <hyperlink ref="W6341" r:id="rId5353" xr:uid="{00000000-0004-0000-0000-0000E8140000}"/>
    <hyperlink ref="W6342" r:id="rId5354" xr:uid="{00000000-0004-0000-0000-0000E9140000}"/>
    <hyperlink ref="W6343" r:id="rId5355" xr:uid="{00000000-0004-0000-0000-0000EA140000}"/>
    <hyperlink ref="W6344" r:id="rId5356" xr:uid="{00000000-0004-0000-0000-0000EB140000}"/>
    <hyperlink ref="W6345" r:id="rId5357" xr:uid="{00000000-0004-0000-0000-0000EC140000}"/>
    <hyperlink ref="W6346" r:id="rId5358" xr:uid="{00000000-0004-0000-0000-0000ED140000}"/>
    <hyperlink ref="W6347" r:id="rId5359" xr:uid="{00000000-0004-0000-0000-0000EE140000}"/>
    <hyperlink ref="W6348" r:id="rId5360" xr:uid="{00000000-0004-0000-0000-0000EF140000}"/>
    <hyperlink ref="W6350" r:id="rId5361" xr:uid="{00000000-0004-0000-0000-0000F0140000}"/>
    <hyperlink ref="W6349" r:id="rId5362" xr:uid="{00000000-0004-0000-0000-0000F1140000}"/>
    <hyperlink ref="W6351" r:id="rId5363" xr:uid="{00000000-0004-0000-0000-0000F2140000}"/>
    <hyperlink ref="W6353" r:id="rId5364" xr:uid="{00000000-0004-0000-0000-0000F3140000}"/>
    <hyperlink ref="W6352" r:id="rId5365" xr:uid="{00000000-0004-0000-0000-0000F4140000}"/>
    <hyperlink ref="W6355" r:id="rId5366" xr:uid="{00000000-0004-0000-0000-0000F5140000}"/>
    <hyperlink ref="W6354" r:id="rId5367" xr:uid="{00000000-0004-0000-0000-0000F6140000}"/>
    <hyperlink ref="W6356" r:id="rId5368" xr:uid="{00000000-0004-0000-0000-0000F7140000}"/>
    <hyperlink ref="W4880" r:id="rId5369" xr:uid="{00000000-0004-0000-0000-0000F8140000}"/>
    <hyperlink ref="W4883" r:id="rId5370" xr:uid="{00000000-0004-0000-0000-0000F9140000}"/>
    <hyperlink ref="W6083" r:id="rId5371" xr:uid="{00000000-0004-0000-0000-0000FA140000}"/>
    <hyperlink ref="W4769" r:id="rId5372" xr:uid="{00000000-0004-0000-0000-0000FB140000}"/>
    <hyperlink ref="W4533" r:id="rId5373" xr:uid="{00000000-0004-0000-0000-0000FC140000}"/>
  </hyperlinks>
  <printOptions horizontalCentered="1" gridLines="1"/>
  <pageMargins left="0.7" right="0.7" top="0.75" bottom="0.75" header="0" footer="0"/>
  <pageSetup paperSize="9" pageOrder="overThenDown" orientation="landscape" cellComments="atEnd" r:id="rId5374"/>
  <ignoredErrors>
    <ignoredError sqref="S5963" evalError="1"/>
  </ignoredErrors>
  <legacyDrawing r:id="rId53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3281834-bd77-4da8-9b5c-8cdc7ad0c569">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52E1EFDCF6F64990155574BBDBDC84" ma:contentTypeVersion="14" ma:contentTypeDescription="Create a new document." ma:contentTypeScope="" ma:versionID="45ac06304d1675a27a8924dbd270b5f7">
  <xsd:schema xmlns:xsd="http://www.w3.org/2001/XMLSchema" xmlns:xs="http://www.w3.org/2001/XMLSchema" xmlns:p="http://schemas.microsoft.com/office/2006/metadata/properties" xmlns:ns2="63281834-bd77-4da8-9b5c-8cdc7ad0c569" xmlns:ns3="64183b6c-8ea3-4ca2-af76-7bf4d48b8167" targetNamespace="http://schemas.microsoft.com/office/2006/metadata/properties" ma:root="true" ma:fieldsID="3e32d80661da5707f8862bfd6b5bed4c" ns2:_="" ns3:_="">
    <xsd:import namespace="63281834-bd77-4da8-9b5c-8cdc7ad0c569"/>
    <xsd:import namespace="64183b6c-8ea3-4ca2-af76-7bf4d48b816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281834-bd77-4da8-9b5c-8cdc7ad0c5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4ff13f57-c2f9-47ee-807d-4f367a1673df"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4183b6c-8ea3-4ca2-af76-7bf4d48b8167"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C740458-EFA9-4C86-840C-28A6EC363F12}"/>
</file>

<file path=customXml/itemProps2.xml><?xml version="1.0" encoding="utf-8"?>
<ds:datastoreItem xmlns:ds="http://schemas.openxmlformats.org/officeDocument/2006/customXml" ds:itemID="{03AC6E8D-5D0E-40B1-A5C5-E00052DB9756}"/>
</file>

<file path=customXml/itemProps3.xml><?xml version="1.0" encoding="utf-8"?>
<ds:datastoreItem xmlns:ds="http://schemas.openxmlformats.org/officeDocument/2006/customXml" ds:itemID="{F84DDB27-49F2-4F9E-973D-B0C6C1ECA51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PANETTI Marco</cp:lastModifiedBy>
  <cp:revision/>
  <dcterms:created xsi:type="dcterms:W3CDTF">2021-10-18T07:04:54Z</dcterms:created>
  <dcterms:modified xsi:type="dcterms:W3CDTF">2023-02-08T08:42:36Z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0x0101009C52E1EFDCF6F64990155574BBDBDC84</vt:lpwstr>
  </property>
  <property fmtid="{D5CDD505-2E9C-101B-9397-08002B2CF9AE}" pid="3" name="MediaServiceImageTags">
    <vt:lpwstr/>
  </property>
</Properties>
</file>